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T:\ASA 2023\DPE\SAMP\DLI-7\AMBOASARY\"/>
    </mc:Choice>
  </mc:AlternateContent>
  <xr:revisionPtr revIDLastSave="0" documentId="13_ncr:1_{E14E0A6A-8E3F-481C-91FE-940538EEFFBD}" xr6:coauthVersionLast="47" xr6:coauthVersionMax="47" xr10:uidLastSave="{00000000-0000-0000-0000-000000000000}"/>
  <bookViews>
    <workbookView xWindow="-120" yWindow="-120" windowWidth="29040" windowHeight="15840" tabRatio="644" firstSheet="9" activeTab="9" xr2:uid="{00000000-000D-0000-FFFF-FFFF00000000}"/>
  </bookViews>
  <sheets>
    <sheet name="Budget par Comp&amp;S Comp-marche" sheetId="1" state="hidden" r:id="rId1"/>
    <sheet name="Recap_pourcentage" sheetId="4" state="hidden" r:id="rId2"/>
    <sheet name="Compil Costing PPA 3 millions" sheetId="2" state="hidden" r:id="rId3"/>
    <sheet name="COMPIL" sheetId="14" state="hidden" r:id="rId4"/>
    <sheet name="COMPIL V2" sheetId="23" state="hidden" r:id="rId5"/>
    <sheet name="COMPLIL V3" sheetId="30" state="hidden" r:id="rId6"/>
    <sheet name="PTBA PAR PCOP" sheetId="37" state="hidden" r:id="rId7"/>
    <sheet name="PTBA  comp sc code 4" sheetId="46" state="hidden" r:id="rId8"/>
    <sheet name="Feuil1" sheetId="50" state="hidden" r:id="rId9"/>
    <sheet name="Modèle PE REVU" sheetId="45" r:id="rId10"/>
    <sheet name="Modèle AF" sheetId="43" r:id="rId11"/>
    <sheet name="Modèle EDDF-AF" sheetId="44" r:id="rId12"/>
    <sheet name="PTBA-AMBOASARY SUD" sheetId="56" r:id="rId13"/>
    <sheet name="recap par PCOP" sheetId="57" r:id="rId14"/>
    <sheet name="RECAP PAR ACTIVITE" sheetId="58" r:id="rId15"/>
    <sheet name="PTBA-AMBOASARY SUD (2 MOIS)" sheetId="59" r:id="rId16"/>
    <sheet name="ACHAT FOURNITURE" sheetId="60" r:id="rId17"/>
    <sheet name="192 ENSEIGNANTS" sheetId="51" r:id="rId18"/>
    <sheet name="22_ZAP" sheetId="52" r:id="rId19"/>
    <sheet name="MULTIGRADES" sheetId="53" r:id="rId20"/>
    <sheet name="recap comp sscp code 3" sheetId="48" state="hidden" r:id="rId21"/>
    <sheet name="PTBA COMP SC RECAP" sheetId="47" state="hidden" r:id="rId22"/>
    <sheet name="PTBA PAR C PAR SC PAR PCOP" sheetId="32" state="hidden" r:id="rId23"/>
    <sheet name="UFP" sheetId="19" state="hidden" r:id="rId24"/>
    <sheet name="DETAILS CF UFP" sheetId="18" state="hidden" r:id="rId25"/>
    <sheet name="DEPA" sheetId="3" state="hidden" r:id="rId26"/>
    <sheet name="DPE" sheetId="5" state="hidden" r:id="rId27"/>
    <sheet name="DRH" sheetId="6" state="hidden" r:id="rId28"/>
    <sheet name="DSSDRH" sheetId="13" state="hidden" r:id="rId29"/>
    <sheet name="DCI" sheetId="7" state="hidden" r:id="rId30"/>
    <sheet name="INFP" sheetId="8" state="hidden" r:id="rId31"/>
    <sheet name="DEIPEF" sheetId="9" state="hidden" r:id="rId32"/>
    <sheet name="DPFI" sheetId="10" state="hidden" r:id="rId33"/>
    <sheet name="DEF" sheetId="11" state="hidden" r:id="rId34"/>
    <sheet name="DTIC" sheetId="12" state="hidden" r:id="rId35"/>
    <sheet name="recap comp ss comp" sheetId="15" state="hidden" r:id="rId36"/>
  </sheets>
  <externalReferences>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__xlnm.Print_Area_1">#REF!</definedName>
    <definedName name="___xlnm.Print_Area_2">#REF!</definedName>
    <definedName name="___xlnm.Print_Titles_1">#REF!</definedName>
    <definedName name="___xlnm.Print_Titles_2">#REF!</definedName>
    <definedName name="__xlnm.Print_Area_1">#REF!</definedName>
    <definedName name="__xlnm.Print_Area_2">#REF!</definedName>
    <definedName name="__xlnm.Print_Titles_1">#REF!</definedName>
    <definedName name="__xlnm.Print_Titles_2">#REF!</definedName>
    <definedName name="_xlnm._FilterDatabase" localSheetId="17" hidden="1">'192 ENSEIGNANTS'!$A$18:$AG$287</definedName>
    <definedName name="_xlnm._FilterDatabase" localSheetId="18" hidden="1">'22_ZAP'!$A$4:$AG$38</definedName>
    <definedName name="_xlnm._FilterDatabase" localSheetId="16" hidden="1">'ACHAT FOURNITURE'!$A$1:$I$12</definedName>
    <definedName name="_xlnm._FilterDatabase" localSheetId="3" hidden="1">COMPIL!$L$1:$L$719</definedName>
    <definedName name="_xlnm._FilterDatabase" localSheetId="4" hidden="1">'COMPIL V2'!$L$1:$L$726</definedName>
    <definedName name="_xlnm._FilterDatabase" localSheetId="5" hidden="1">'COMPLIL V3'!$A$6:$AH$600</definedName>
    <definedName name="_xlnm._FilterDatabase" localSheetId="19" hidden="1">MULTIGRADES!$A$18:$AG$208</definedName>
    <definedName name="_xlnm._FilterDatabase" localSheetId="7" hidden="1">'PTBA  comp sc code 4'!$A$8:$AH$677</definedName>
    <definedName name="_xlnm._FilterDatabase" localSheetId="21" hidden="1">'PTBA COMP SC RECAP'!$A$6:$AH$600</definedName>
    <definedName name="_xlnm._FilterDatabase" localSheetId="22" hidden="1">'PTBA PAR C PAR SC PAR PCOP'!$L$1:$L$788</definedName>
    <definedName name="_xlnm._FilterDatabase" localSheetId="6" hidden="1">'PTBA PAR PCOP'!$A$6:$AG$538</definedName>
    <definedName name="_xlnm._FilterDatabase" localSheetId="12" hidden="1">'PTBA-AMBOASARY SUD'!$A$6:$AM$97</definedName>
    <definedName name="_xlnm._FilterDatabase" localSheetId="15" hidden="1">'PTBA-AMBOASARY SUD (2 MOIS)'!$A$6:$AM$54</definedName>
    <definedName name="_xlnm._FilterDatabase" localSheetId="20" hidden="1">'recap comp sscp code 3'!$A$6:$AH$673</definedName>
    <definedName name="anactu">[1]Résultats!$J$98</definedName>
    <definedName name="anbase">[1]Fonct!$E$2</definedName>
    <definedName name="attritionCollA">[1]Fonct!$D$539</definedName>
    <definedName name="attritionLycA">[1]Fonct!$D$689</definedName>
    <definedName name="attritionPrescoA">[1]Fonct!$D$233</definedName>
    <definedName name="attritionPriA">[1]Fonct!$D$367</definedName>
    <definedName name="catemodele">[1]PAEN!$Z$782:$Z$854</definedName>
    <definedName name="catETFP">[1]PAETFP!$Y$151:$Y$167</definedName>
    <definedName name="catSUP">[1]PASUP!$Y$112:$Y$125</definedName>
    <definedName name="cordefla">[1]PAEN!$F$2</definedName>
    <definedName name="dategouve">[1]Invest!$C$593</definedName>
    <definedName name="formule">[1]Résultats!$B$7</definedName>
    <definedName name="_xlnm.Print_Titles" localSheetId="17">'192 ENSEIGNANTS'!$15:$18</definedName>
    <definedName name="_xlnm.Print_Titles" localSheetId="16">'ACHAT FOURNITURE'!#REF!</definedName>
    <definedName name="_xlnm.Print_Titles" localSheetId="19">MULTIGRADES!$15:$18</definedName>
    <definedName name="_xlnm.Print_Titles" localSheetId="12">'PTBA-AMBOASARY SUD'!#REF!</definedName>
    <definedName name="_xlnm.Print_Titles" localSheetId="15">'PTBA-AMBOASARY SUD (2 MOIS)'!#REF!</definedName>
    <definedName name="lesmatricielles">[1]TableauDeBord!$E$34:$M$34,[1]TableauDeBord!$E$36:$M$36,[1]TableauDeBord!$E$42:$M$42,[1]TableauDeBord!$E$44:$M$44,[1]TableauDeBord!$E$46:$M$46,[1]TableauDeBord!$E$160:$M$160,[1]TableauDeBord!$E$232:$M$232,[1]TableauDeBord!$E$322:$M$322,[1]TableauDeBord!$E$327:$M$327,[1]TableauDeBord!$E$339:$M$339,[1]TableauDeBord!$E$341:$M$341,[1]TableauDeBord!$E$352:$M$352,[1]TableauDeBord!$E$355:$M$355,[1]TableauDeBord!$E$433:$M$433</definedName>
    <definedName name="listablo">[1]Pop!$AQ$5:$AQ$206</definedName>
    <definedName name="Listemonnaie">[1]Pop!$AU$35:$AU$37</definedName>
    <definedName name="listenomscen">[1]Pop!$AU$25:$AU$30</definedName>
    <definedName name="nomscen1">[1]TableauDeBord!$D$2</definedName>
    <definedName name="nomscen2">[1]TableauDeBord!$F$2</definedName>
    <definedName name="nomscen3">[1]TableauDeBord!$H$2</definedName>
    <definedName name="nomscen4">[1]TableauDeBord!$J$2</definedName>
    <definedName name="nomscen5">[1]TableauDeBord!$L$2</definedName>
    <definedName name="nomscen6">[1]TableauDeBord!$N$2</definedName>
    <definedName name="numscen">[1]Résultats!$C$2</definedName>
    <definedName name="sesame">[1]Pop!$AU$15</definedName>
    <definedName name="soloina">#REF!</definedName>
    <definedName name="tablo">[1]Pop!$AQ$5:$AR$206</definedName>
    <definedName name="unite">[1]Résultats!$D$98</definedName>
    <definedName name="Z_4B586DA3_22A0_4C25_AA0D_FEB79A9FB427_.wvu.Cols" localSheetId="16" hidden="1">'ACHAT FOURNITURE'!#REF!,'ACHAT FOURNITURE'!#REF!,'ACHAT FOURNITURE'!$A:$H,'ACHAT FOURNITURE'!#REF!</definedName>
    <definedName name="Z_4B586DA3_22A0_4C25_AA0D_FEB79A9FB427_.wvu.Cols" localSheetId="12" hidden="1">'PTBA-AMBOASARY SUD'!$G:$H,'PTBA-AMBOASARY SUD'!$K:$K,'PTBA-AMBOASARY SUD'!$N:$U,'PTBA-AMBOASARY SUD'!#REF!</definedName>
    <definedName name="Z_4B586DA3_22A0_4C25_AA0D_FEB79A9FB427_.wvu.Cols" localSheetId="15" hidden="1">'PTBA-AMBOASARY SUD (2 MOIS)'!$G:$H,'PTBA-AMBOASARY SUD (2 MOIS)'!$K:$K,'PTBA-AMBOASARY SUD (2 MOIS)'!$N:$U,'PTBA-AMBOASARY SUD (2 MOIS)'!#REF!</definedName>
    <definedName name="Z_4B586DA3_22A0_4C25_AA0D_FEB79A9FB427_.wvu.FilterData" localSheetId="16" hidden="1">'ACHAT FOURNITURE'!$A$1:$H$1</definedName>
    <definedName name="Z_4B586DA3_22A0_4C25_AA0D_FEB79A9FB427_.wvu.FilterData" localSheetId="12" hidden="1">'PTBA-AMBOASARY SUD'!$D$6:$U$6</definedName>
    <definedName name="Z_4B586DA3_22A0_4C25_AA0D_FEB79A9FB427_.wvu.FilterData" localSheetId="15" hidden="1">'PTBA-AMBOASARY SUD (2 MOIS)'!$D$6:$U$6</definedName>
    <definedName name="Z_4B586DA3_22A0_4C25_AA0D_FEB79A9FB427_.wvu.PrintTitles" localSheetId="16" hidden="1">'ACHAT FOURNITURE'!#REF!</definedName>
    <definedName name="Z_4B586DA3_22A0_4C25_AA0D_FEB79A9FB427_.wvu.PrintTitles" localSheetId="12" hidden="1">'PTBA-AMBOASARY SUD'!#REF!</definedName>
    <definedName name="Z_4B586DA3_22A0_4C25_AA0D_FEB79A9FB427_.wvu.PrintTitles" localSheetId="15" hidden="1">'PTBA-AMBOASARY SUD (2 MOIS)'!#REF!</definedName>
    <definedName name="Z_4B586DA3_22A0_4C25_AA0D_FEB79A9FB427_.wvu.Rows" localSheetId="16" hidden="1">#VALUE!</definedName>
    <definedName name="Z_4B586DA3_22A0_4C25_AA0D_FEB79A9FB427_.wvu.Rows" localSheetId="12" hidden="1">#VALUE!</definedName>
    <definedName name="Z_4B586DA3_22A0_4C25_AA0D_FEB79A9FB427_.wvu.Rows" localSheetId="15" hidden="1">#VALUE!</definedName>
    <definedName name="_xlnm.Print_Area" localSheetId="17">'192 ENSEIGNANTS'!$A$1:$AF$288</definedName>
    <definedName name="_xlnm.Print_Area" localSheetId="16">'ACHAT FOURNITURE'!$A$1:$I$21</definedName>
    <definedName name="_xlnm.Print_Area" localSheetId="10">'Modèle AF'!$A$1:$F$26</definedName>
    <definedName name="_xlnm.Print_Area" localSheetId="11">'Modèle EDDF-AF'!$A$1:$F$38</definedName>
    <definedName name="_xlnm.Print_Area" localSheetId="9">'Modèle PE REVU'!$A$1:$I$29</definedName>
    <definedName name="_xlnm.Print_Area" localSheetId="19">MULTIGRADES!$A$1:$AF$209</definedName>
    <definedName name="_xlnm.Print_Area" localSheetId="12">'PTBA-AMBOASARY SUD'!$A$1:$AM$106</definedName>
    <definedName name="_xlnm.Print_Area" localSheetId="15">'PTBA-AMBOASARY SUD (2 MOIS)'!$A$1:$AM$63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2" i="43" l="1"/>
  <c r="D12" i="44" s="1"/>
  <c r="C12" i="44" s="1"/>
  <c r="AF284" i="51"/>
  <c r="E11" i="43"/>
  <c r="C13" i="45"/>
  <c r="C12" i="45"/>
  <c r="I13" i="60"/>
  <c r="I12" i="60"/>
  <c r="I11" i="60"/>
  <c r="I10" i="60"/>
  <c r="I9" i="60"/>
  <c r="H8" i="60"/>
  <c r="I8" i="60" s="1"/>
  <c r="I7" i="60"/>
  <c r="I6" i="60"/>
  <c r="I5" i="60"/>
  <c r="I4" i="60"/>
  <c r="I3" i="60"/>
  <c r="I2" i="60"/>
  <c r="U54" i="59"/>
  <c r="V54" i="59" s="1"/>
  <c r="X54" i="59" s="1"/>
  <c r="Y54" i="59" s="1"/>
  <c r="AA54" i="59" s="1"/>
  <c r="AL54" i="59" s="1"/>
  <c r="AM54" i="59" s="1"/>
  <c r="U53" i="59"/>
  <c r="V53" i="59" s="1"/>
  <c r="X53" i="59" s="1"/>
  <c r="Y53" i="59" s="1"/>
  <c r="AA53" i="59" s="1"/>
  <c r="AL53" i="59" s="1"/>
  <c r="AM53" i="59" s="1"/>
  <c r="S52" i="59"/>
  <c r="V52" i="59" s="1"/>
  <c r="X52" i="59" s="1"/>
  <c r="Y52" i="59" s="1"/>
  <c r="AA52" i="59" s="1"/>
  <c r="AL52" i="59" s="1"/>
  <c r="AM52" i="59" s="1"/>
  <c r="V51" i="59"/>
  <c r="X51" i="59" s="1"/>
  <c r="Y51" i="59" s="1"/>
  <c r="AA51" i="59" s="1"/>
  <c r="AL51" i="59" s="1"/>
  <c r="AM51" i="59" s="1"/>
  <c r="V50" i="59"/>
  <c r="X50" i="59" s="1"/>
  <c r="Y50" i="59" s="1"/>
  <c r="AA50" i="59" s="1"/>
  <c r="AL50" i="59" s="1"/>
  <c r="AM50" i="59" s="1"/>
  <c r="U49" i="59"/>
  <c r="V49" i="59" s="1"/>
  <c r="X49" i="59" s="1"/>
  <c r="Y49" i="59" s="1"/>
  <c r="AA49" i="59" s="1"/>
  <c r="AL49" i="59" s="1"/>
  <c r="AM49" i="59" s="1"/>
  <c r="U48" i="59"/>
  <c r="V48" i="59" s="1"/>
  <c r="X48" i="59" s="1"/>
  <c r="Y48" i="59" s="1"/>
  <c r="AA48" i="59" s="1"/>
  <c r="AL48" i="59" s="1"/>
  <c r="AM48" i="59" s="1"/>
  <c r="U47" i="59"/>
  <c r="V47" i="59" s="1"/>
  <c r="X47" i="59" s="1"/>
  <c r="Y47" i="59" s="1"/>
  <c r="AA47" i="59" s="1"/>
  <c r="AL47" i="59" s="1"/>
  <c r="AM47" i="59" s="1"/>
  <c r="S46" i="59"/>
  <c r="V46" i="59" s="1"/>
  <c r="X46" i="59" s="1"/>
  <c r="Y46" i="59" s="1"/>
  <c r="AA46" i="59" s="1"/>
  <c r="AL46" i="59" s="1"/>
  <c r="AM46" i="59" s="1"/>
  <c r="S45" i="59"/>
  <c r="V45" i="59" s="1"/>
  <c r="X45" i="59" s="1"/>
  <c r="Y45" i="59" s="1"/>
  <c r="AA45" i="59" s="1"/>
  <c r="AL45" i="59" s="1"/>
  <c r="AM45" i="59" s="1"/>
  <c r="S44" i="59"/>
  <c r="V44" i="59" s="1"/>
  <c r="X44" i="59" s="1"/>
  <c r="Y44" i="59" s="1"/>
  <c r="AA44" i="59" s="1"/>
  <c r="AL44" i="59" s="1"/>
  <c r="AM44" i="59" s="1"/>
  <c r="U43" i="59"/>
  <c r="V43" i="59" s="1"/>
  <c r="X43" i="59" s="1"/>
  <c r="Y43" i="59" s="1"/>
  <c r="AA43" i="59" s="1"/>
  <c r="AL43" i="59" s="1"/>
  <c r="AM43" i="59" s="1"/>
  <c r="U42" i="59"/>
  <c r="V42" i="59" s="1"/>
  <c r="X42" i="59" s="1"/>
  <c r="Y42" i="59" s="1"/>
  <c r="AA42" i="59" s="1"/>
  <c r="AL42" i="59" s="1"/>
  <c r="AM42" i="59" s="1"/>
  <c r="U41" i="59"/>
  <c r="V41" i="59" s="1"/>
  <c r="X41" i="59" s="1"/>
  <c r="Y41" i="59" s="1"/>
  <c r="AA41" i="59" s="1"/>
  <c r="AL40" i="59"/>
  <c r="S39" i="59"/>
  <c r="V39" i="59" s="1"/>
  <c r="X39" i="59" s="1"/>
  <c r="Y39" i="59" s="1"/>
  <c r="Z39" i="59" s="1"/>
  <c r="AL39" i="59" s="1"/>
  <c r="S38" i="59"/>
  <c r="V38" i="59" s="1"/>
  <c r="X38" i="59" s="1"/>
  <c r="Y38" i="59" s="1"/>
  <c r="Z38" i="59" s="1"/>
  <c r="AL38" i="59" s="1"/>
  <c r="S37" i="59"/>
  <c r="V37" i="59" s="1"/>
  <c r="X37" i="59" s="1"/>
  <c r="Y37" i="59" s="1"/>
  <c r="Z37" i="59" s="1"/>
  <c r="AL37" i="59" s="1"/>
  <c r="AM37" i="59" s="1"/>
  <c r="U36" i="59"/>
  <c r="V36" i="59" s="1"/>
  <c r="X36" i="59" s="1"/>
  <c r="Y36" i="59" s="1"/>
  <c r="Z36" i="59" s="1"/>
  <c r="AL36" i="59" s="1"/>
  <c r="AM36" i="59" s="1"/>
  <c r="S35" i="59"/>
  <c r="V35" i="59" s="1"/>
  <c r="X35" i="59" s="1"/>
  <c r="Y35" i="59" s="1"/>
  <c r="Z35" i="59" s="1"/>
  <c r="AL35" i="59" s="1"/>
  <c r="AM35" i="59" s="1"/>
  <c r="V34" i="59"/>
  <c r="X34" i="59" s="1"/>
  <c r="Y34" i="59" s="1"/>
  <c r="Z34" i="59" s="1"/>
  <c r="AL34" i="59" s="1"/>
  <c r="AM34" i="59" s="1"/>
  <c r="V33" i="59"/>
  <c r="X33" i="59" s="1"/>
  <c r="Y33" i="59" s="1"/>
  <c r="Z33" i="59" s="1"/>
  <c r="AL33" i="59" s="1"/>
  <c r="AM33" i="59" s="1"/>
  <c r="S32" i="59"/>
  <c r="V32" i="59" s="1"/>
  <c r="X32" i="59" s="1"/>
  <c r="Y32" i="59" s="1"/>
  <c r="Z32" i="59" s="1"/>
  <c r="AL32" i="59" s="1"/>
  <c r="AM32" i="59" s="1"/>
  <c r="S31" i="59"/>
  <c r="V31" i="59" s="1"/>
  <c r="X31" i="59" s="1"/>
  <c r="Y31" i="59" s="1"/>
  <c r="Z31" i="59" s="1"/>
  <c r="AL31" i="59" s="1"/>
  <c r="AM31" i="59" s="1"/>
  <c r="S30" i="59"/>
  <c r="V30" i="59" s="1"/>
  <c r="X30" i="59" s="1"/>
  <c r="Y30" i="59" s="1"/>
  <c r="Z30" i="59" s="1"/>
  <c r="AL30" i="59" s="1"/>
  <c r="AM30" i="59" s="1"/>
  <c r="U29" i="59"/>
  <c r="V29" i="59" s="1"/>
  <c r="X29" i="59" s="1"/>
  <c r="Y29" i="59" s="1"/>
  <c r="Z29" i="59" s="1"/>
  <c r="AL29" i="59" s="1"/>
  <c r="AM29" i="59" s="1"/>
  <c r="U28" i="59"/>
  <c r="V28" i="59" s="1"/>
  <c r="X28" i="59" s="1"/>
  <c r="Y28" i="59" s="1"/>
  <c r="Z28" i="59" s="1"/>
  <c r="AL28" i="59" s="1"/>
  <c r="AM28" i="59" s="1"/>
  <c r="U27" i="59"/>
  <c r="V27" i="59" s="1"/>
  <c r="X27" i="59" s="1"/>
  <c r="Y27" i="59" s="1"/>
  <c r="Z27" i="59" s="1"/>
  <c r="AL27" i="59" s="1"/>
  <c r="AM27" i="59" s="1"/>
  <c r="U26" i="59"/>
  <c r="V26" i="59" s="1"/>
  <c r="X26" i="59" s="1"/>
  <c r="Y26" i="59" s="1"/>
  <c r="Z26" i="59" s="1"/>
  <c r="AL26" i="59" s="1"/>
  <c r="AM26" i="59" s="1"/>
  <c r="U25" i="59"/>
  <c r="V25" i="59" s="1"/>
  <c r="X25" i="59" s="1"/>
  <c r="Y25" i="59" s="1"/>
  <c r="Z25" i="59" s="1"/>
  <c r="S24" i="59"/>
  <c r="V24" i="59" s="1"/>
  <c r="X24" i="59" s="1"/>
  <c r="Y24" i="59" s="1"/>
  <c r="AK24" i="59" s="1"/>
  <c r="AL24" i="59" s="1"/>
  <c r="AM24" i="59" s="1"/>
  <c r="V23" i="59"/>
  <c r="X23" i="59" s="1"/>
  <c r="Y23" i="59" s="1"/>
  <c r="AK23" i="59" s="1"/>
  <c r="AL23" i="59" s="1"/>
  <c r="AM23" i="59" s="1"/>
  <c r="V22" i="59"/>
  <c r="X22" i="59" s="1"/>
  <c r="Y22" i="59" s="1"/>
  <c r="AK22" i="59" s="1"/>
  <c r="AL22" i="59" s="1"/>
  <c r="AM22" i="59" s="1"/>
  <c r="S21" i="59"/>
  <c r="V21" i="59" s="1"/>
  <c r="X21" i="59" s="1"/>
  <c r="Y21" i="59" s="1"/>
  <c r="AK21" i="59" s="1"/>
  <c r="AL21" i="59" s="1"/>
  <c r="AM21" i="59" s="1"/>
  <c r="V20" i="59"/>
  <c r="X20" i="59" s="1"/>
  <c r="Y20" i="59" s="1"/>
  <c r="AK20" i="59" s="1"/>
  <c r="AL20" i="59" s="1"/>
  <c r="AM20" i="59" s="1"/>
  <c r="V19" i="59"/>
  <c r="X19" i="59" s="1"/>
  <c r="Y19" i="59" s="1"/>
  <c r="AK19" i="59" s="1"/>
  <c r="AL19" i="59" s="1"/>
  <c r="AM19" i="59" s="1"/>
  <c r="S18" i="59"/>
  <c r="V18" i="59" s="1"/>
  <c r="X18" i="59" s="1"/>
  <c r="Y18" i="59" s="1"/>
  <c r="AK18" i="59" s="1"/>
  <c r="AL18" i="59" s="1"/>
  <c r="AM18" i="59" s="1"/>
  <c r="S17" i="59"/>
  <c r="V17" i="59" s="1"/>
  <c r="X17" i="59" s="1"/>
  <c r="Y17" i="59" s="1"/>
  <c r="AK17" i="59" s="1"/>
  <c r="AL17" i="59" s="1"/>
  <c r="AM17" i="59" s="1"/>
  <c r="U16" i="59"/>
  <c r="V16" i="59" s="1"/>
  <c r="X16" i="59" s="1"/>
  <c r="Y16" i="59" s="1"/>
  <c r="AK16" i="59" s="1"/>
  <c r="AL16" i="59" s="1"/>
  <c r="AM16" i="59" s="1"/>
  <c r="U15" i="59"/>
  <c r="V15" i="59" s="1"/>
  <c r="X15" i="59" s="1"/>
  <c r="Y15" i="59" s="1"/>
  <c r="AK15" i="59" s="1"/>
  <c r="AL15" i="59" s="1"/>
  <c r="AM15" i="59" s="1"/>
  <c r="U14" i="59"/>
  <c r="V14" i="59" s="1"/>
  <c r="X14" i="59" s="1"/>
  <c r="Y14" i="59" s="1"/>
  <c r="AK14" i="59" s="1"/>
  <c r="AL14" i="59" s="1"/>
  <c r="AM14" i="59" s="1"/>
  <c r="U13" i="59"/>
  <c r="V13" i="59" s="1"/>
  <c r="X13" i="59" s="1"/>
  <c r="Y13" i="59" s="1"/>
  <c r="AK13" i="59" s="1"/>
  <c r="AL13" i="59" s="1"/>
  <c r="AM13" i="59" s="1"/>
  <c r="U12" i="59"/>
  <c r="V12" i="59" s="1"/>
  <c r="X12" i="59" s="1"/>
  <c r="Y12" i="59" s="1"/>
  <c r="AK12" i="59" s="1"/>
  <c r="AL12" i="59" s="1"/>
  <c r="AM12" i="59" s="1"/>
  <c r="U11" i="59"/>
  <c r="V11" i="59" s="1"/>
  <c r="X11" i="59" s="1"/>
  <c r="Y11" i="59" s="1"/>
  <c r="AK11" i="59" s="1"/>
  <c r="AL11" i="59" s="1"/>
  <c r="AM11" i="59" s="1"/>
  <c r="S10" i="59"/>
  <c r="V10" i="59" s="1"/>
  <c r="U9" i="59"/>
  <c r="V9" i="59" s="1"/>
  <c r="X9" i="59" s="1"/>
  <c r="Y9" i="59" s="1"/>
  <c r="AK9" i="59" s="1"/>
  <c r="AL9" i="59" s="1"/>
  <c r="AM9" i="59" s="1"/>
  <c r="U8" i="59"/>
  <c r="V8" i="59" s="1"/>
  <c r="X8" i="59" s="1"/>
  <c r="AM7" i="59"/>
  <c r="AJ2" i="59"/>
  <c r="AI2" i="59"/>
  <c r="AH2" i="59"/>
  <c r="AG2" i="59"/>
  <c r="AF2" i="59"/>
  <c r="AE2" i="59"/>
  <c r="AC2" i="59"/>
  <c r="AB2" i="59"/>
  <c r="W2" i="59"/>
  <c r="W4" i="59" s="1"/>
  <c r="V97" i="56"/>
  <c r="X97" i="56" s="1"/>
  <c r="Y97" i="56" s="1"/>
  <c r="AA97" i="56" s="1"/>
  <c r="AL97" i="56" s="1"/>
  <c r="AM97" i="56" s="1"/>
  <c r="V96" i="56"/>
  <c r="X96" i="56" s="1"/>
  <c r="Y96" i="56" s="1"/>
  <c r="AA96" i="56" s="1"/>
  <c r="AL96" i="56" s="1"/>
  <c r="AM96" i="56" s="1"/>
  <c r="S95" i="56"/>
  <c r="V95" i="56" s="1"/>
  <c r="X95" i="56" s="1"/>
  <c r="Y95" i="56" s="1"/>
  <c r="AA95" i="56" s="1"/>
  <c r="AL95" i="56" s="1"/>
  <c r="AM95" i="56" s="1"/>
  <c r="U94" i="56"/>
  <c r="V94" i="56" s="1"/>
  <c r="X94" i="56" s="1"/>
  <c r="Y94" i="56" s="1"/>
  <c r="AA94" i="56" s="1"/>
  <c r="AL94" i="56" s="1"/>
  <c r="AM94" i="56" s="1"/>
  <c r="V93" i="56"/>
  <c r="X93" i="56" s="1"/>
  <c r="Y93" i="56" s="1"/>
  <c r="AA93" i="56" s="1"/>
  <c r="AL93" i="56" s="1"/>
  <c r="AM93" i="56" s="1"/>
  <c r="S93" i="56"/>
  <c r="V92" i="56"/>
  <c r="X92" i="56" s="1"/>
  <c r="Y92" i="56" s="1"/>
  <c r="AA92" i="56" s="1"/>
  <c r="AL92" i="56" s="1"/>
  <c r="AM92" i="56" s="1"/>
  <c r="V91" i="56"/>
  <c r="X91" i="56" s="1"/>
  <c r="Y91" i="56" s="1"/>
  <c r="AA91" i="56" s="1"/>
  <c r="AL91" i="56" s="1"/>
  <c r="AM91" i="56" s="1"/>
  <c r="V90" i="56"/>
  <c r="X90" i="56" s="1"/>
  <c r="Y90" i="56" s="1"/>
  <c r="AA90" i="56" s="1"/>
  <c r="AL90" i="56" s="1"/>
  <c r="AM90" i="56" s="1"/>
  <c r="V89" i="56"/>
  <c r="X89" i="56" s="1"/>
  <c r="Y89" i="56" s="1"/>
  <c r="AA89" i="56" s="1"/>
  <c r="AL89" i="56" s="1"/>
  <c r="AM89" i="56" s="1"/>
  <c r="V88" i="56"/>
  <c r="X88" i="56" s="1"/>
  <c r="Y88" i="56" s="1"/>
  <c r="AA88" i="56" s="1"/>
  <c r="AL88" i="56" s="1"/>
  <c r="AM88" i="56" s="1"/>
  <c r="U87" i="56"/>
  <c r="V87" i="56" s="1"/>
  <c r="X87" i="56" s="1"/>
  <c r="Y87" i="56" s="1"/>
  <c r="AA87" i="56" s="1"/>
  <c r="AL87" i="56" s="1"/>
  <c r="AM87" i="56" s="1"/>
  <c r="U86" i="56"/>
  <c r="V86" i="56" s="1"/>
  <c r="X86" i="56" s="1"/>
  <c r="Y86" i="56" s="1"/>
  <c r="AA86" i="56" s="1"/>
  <c r="AL86" i="56" s="1"/>
  <c r="AM86" i="56" s="1"/>
  <c r="U85" i="56"/>
  <c r="V85" i="56" s="1"/>
  <c r="X85" i="56" s="1"/>
  <c r="Y85" i="56" s="1"/>
  <c r="AA85" i="56" s="1"/>
  <c r="AL85" i="56" s="1"/>
  <c r="AM85" i="56" s="1"/>
  <c r="U84" i="56"/>
  <c r="V84" i="56" s="1"/>
  <c r="AM83" i="56"/>
  <c r="AD83" i="56"/>
  <c r="AA83" i="56"/>
  <c r="U82" i="56"/>
  <c r="V82" i="56" s="1"/>
  <c r="X82" i="56" s="1"/>
  <c r="Y82" i="56" s="1"/>
  <c r="AD82" i="56" s="1"/>
  <c r="AL82" i="56" s="1"/>
  <c r="AM82" i="56" s="1"/>
  <c r="V81" i="56"/>
  <c r="X81" i="56" s="1"/>
  <c r="Y81" i="56" s="1"/>
  <c r="AD81" i="56" s="1"/>
  <c r="AL81" i="56" s="1"/>
  <c r="AM81" i="56" s="1"/>
  <c r="U80" i="56"/>
  <c r="V80" i="56" s="1"/>
  <c r="X80" i="56" s="1"/>
  <c r="Y80" i="56" s="1"/>
  <c r="AD80" i="56" s="1"/>
  <c r="AL80" i="56" s="1"/>
  <c r="AM80" i="56" s="1"/>
  <c r="U79" i="56"/>
  <c r="V79" i="56" s="1"/>
  <c r="X79" i="56" s="1"/>
  <c r="Y79" i="56" s="1"/>
  <c r="AD79" i="56" s="1"/>
  <c r="AL79" i="56" s="1"/>
  <c r="AM79" i="56" s="1"/>
  <c r="U78" i="56"/>
  <c r="V78" i="56" s="1"/>
  <c r="X78" i="56" s="1"/>
  <c r="Y78" i="56" s="1"/>
  <c r="AD78" i="56" s="1"/>
  <c r="AL78" i="56" s="1"/>
  <c r="AM78" i="56" s="1"/>
  <c r="V77" i="56"/>
  <c r="X77" i="56" s="1"/>
  <c r="Y77" i="56" s="1"/>
  <c r="AD77" i="56" s="1"/>
  <c r="AL77" i="56" s="1"/>
  <c r="AM77" i="56" s="1"/>
  <c r="V76" i="56"/>
  <c r="X76" i="56" s="1"/>
  <c r="Y76" i="56" s="1"/>
  <c r="AD76" i="56" s="1"/>
  <c r="AL76" i="56" s="1"/>
  <c r="AM76" i="56" s="1"/>
  <c r="U76" i="56"/>
  <c r="U75" i="56"/>
  <c r="V75" i="56" s="1"/>
  <c r="X75" i="56" s="1"/>
  <c r="Y75" i="56" s="1"/>
  <c r="AD75" i="56" s="1"/>
  <c r="AM74" i="56"/>
  <c r="V73" i="56"/>
  <c r="X73" i="56" s="1"/>
  <c r="Y73" i="56" s="1"/>
  <c r="AA73" i="56" s="1"/>
  <c r="AL73" i="56" s="1"/>
  <c r="AM73" i="56" s="1"/>
  <c r="V72" i="56"/>
  <c r="X72" i="56" s="1"/>
  <c r="Y72" i="56" s="1"/>
  <c r="AA72" i="56" s="1"/>
  <c r="AL72" i="56" s="1"/>
  <c r="AM72" i="56" s="1"/>
  <c r="V71" i="56"/>
  <c r="X71" i="56" s="1"/>
  <c r="Y71" i="56" s="1"/>
  <c r="AA71" i="56" s="1"/>
  <c r="AL71" i="56" s="1"/>
  <c r="AM71" i="56" s="1"/>
  <c r="V70" i="56"/>
  <c r="X70" i="56" s="1"/>
  <c r="Y70" i="56" s="1"/>
  <c r="AA70" i="56" s="1"/>
  <c r="AL70" i="56" s="1"/>
  <c r="AM70" i="56" s="1"/>
  <c r="V69" i="56"/>
  <c r="X69" i="56" s="1"/>
  <c r="Y69" i="56" s="1"/>
  <c r="AA69" i="56" s="1"/>
  <c r="AL69" i="56" s="1"/>
  <c r="AM69" i="56" s="1"/>
  <c r="V68" i="56"/>
  <c r="X68" i="56" s="1"/>
  <c r="Y68" i="56" s="1"/>
  <c r="AA68" i="56" s="1"/>
  <c r="AL68" i="56" s="1"/>
  <c r="AM68" i="56" s="1"/>
  <c r="V67" i="56"/>
  <c r="X67" i="56" s="1"/>
  <c r="Y67" i="56" s="1"/>
  <c r="AA67" i="56" s="1"/>
  <c r="AL67" i="56" s="1"/>
  <c r="AM67" i="56" s="1"/>
  <c r="U66" i="56"/>
  <c r="V66" i="56" s="1"/>
  <c r="X66" i="56" s="1"/>
  <c r="Y66" i="56" s="1"/>
  <c r="AA66" i="56" s="1"/>
  <c r="AL66" i="56" s="1"/>
  <c r="AM66" i="56" s="1"/>
  <c r="U65" i="56"/>
  <c r="V65" i="56" s="1"/>
  <c r="X65" i="56" s="1"/>
  <c r="Y65" i="56" s="1"/>
  <c r="AA65" i="56" s="1"/>
  <c r="AL65" i="56" s="1"/>
  <c r="AM65" i="56" s="1"/>
  <c r="S64" i="56"/>
  <c r="V64" i="56" s="1"/>
  <c r="X64" i="56" s="1"/>
  <c r="Y64" i="56" s="1"/>
  <c r="AA64" i="56" s="1"/>
  <c r="AL64" i="56" s="1"/>
  <c r="AM64" i="56" s="1"/>
  <c r="V63" i="56"/>
  <c r="X63" i="56" s="1"/>
  <c r="Y63" i="56" s="1"/>
  <c r="AA63" i="56" s="1"/>
  <c r="AL63" i="56" s="1"/>
  <c r="AM63" i="56" s="1"/>
  <c r="V62" i="56"/>
  <c r="X62" i="56" s="1"/>
  <c r="Y62" i="56" s="1"/>
  <c r="AA62" i="56" s="1"/>
  <c r="AL62" i="56" s="1"/>
  <c r="AM62" i="56" s="1"/>
  <c r="V61" i="56"/>
  <c r="X61" i="56" s="1"/>
  <c r="Y61" i="56" s="1"/>
  <c r="AA61" i="56" s="1"/>
  <c r="AL61" i="56" s="1"/>
  <c r="AM61" i="56" s="1"/>
  <c r="U61" i="56"/>
  <c r="U60" i="56"/>
  <c r="V60" i="56" s="1"/>
  <c r="X60" i="56" s="1"/>
  <c r="Y60" i="56" s="1"/>
  <c r="AA60" i="56" s="1"/>
  <c r="AL60" i="56" s="1"/>
  <c r="AM60" i="56" s="1"/>
  <c r="U59" i="56"/>
  <c r="V59" i="56" s="1"/>
  <c r="X59" i="56" s="1"/>
  <c r="Y59" i="56" s="1"/>
  <c r="AA59" i="56" s="1"/>
  <c r="AL59" i="56" s="1"/>
  <c r="AM59" i="56" s="1"/>
  <c r="S58" i="56"/>
  <c r="V58" i="56" s="1"/>
  <c r="X58" i="56" s="1"/>
  <c r="Y58" i="56" s="1"/>
  <c r="AA58" i="56" s="1"/>
  <c r="AL58" i="56" s="1"/>
  <c r="AM58" i="56" s="1"/>
  <c r="S57" i="56"/>
  <c r="V57" i="56" s="1"/>
  <c r="X57" i="56" s="1"/>
  <c r="Y57" i="56" s="1"/>
  <c r="AA57" i="56" s="1"/>
  <c r="S56" i="56"/>
  <c r="V56" i="56" s="1"/>
  <c r="X56" i="56" s="1"/>
  <c r="Y56" i="56" s="1"/>
  <c r="AA56" i="56" s="1"/>
  <c r="AL56" i="56" s="1"/>
  <c r="AM56" i="56" s="1"/>
  <c r="V55" i="56"/>
  <c r="X55" i="56" s="1"/>
  <c r="Y55" i="56" s="1"/>
  <c r="AA55" i="56" s="1"/>
  <c r="AL55" i="56" s="1"/>
  <c r="AM55" i="56" s="1"/>
  <c r="U55" i="56"/>
  <c r="U54" i="56"/>
  <c r="V54" i="56" s="1"/>
  <c r="X54" i="56" s="1"/>
  <c r="Y54" i="56" s="1"/>
  <c r="AA54" i="56" s="1"/>
  <c r="AL54" i="56" s="1"/>
  <c r="AM54" i="56" s="1"/>
  <c r="U53" i="56"/>
  <c r="V53" i="56" s="1"/>
  <c r="X53" i="56" s="1"/>
  <c r="Y53" i="56" s="1"/>
  <c r="AA53" i="56" s="1"/>
  <c r="AL53" i="56" s="1"/>
  <c r="AM53" i="56" s="1"/>
  <c r="AL52" i="56"/>
  <c r="U51" i="56"/>
  <c r="V51" i="56" s="1"/>
  <c r="X51" i="56" s="1"/>
  <c r="Y51" i="56" s="1"/>
  <c r="Z51" i="56" s="1"/>
  <c r="AL51" i="56" s="1"/>
  <c r="AM51" i="56" s="1"/>
  <c r="V50" i="56"/>
  <c r="X50" i="56" s="1"/>
  <c r="Y50" i="56" s="1"/>
  <c r="Z50" i="56" s="1"/>
  <c r="AL50" i="56" s="1"/>
  <c r="AM50" i="56" s="1"/>
  <c r="V49" i="56"/>
  <c r="X49" i="56" s="1"/>
  <c r="Y49" i="56" s="1"/>
  <c r="Z49" i="56" s="1"/>
  <c r="AL49" i="56" s="1"/>
  <c r="AM49" i="56" s="1"/>
  <c r="V48" i="56"/>
  <c r="X48" i="56" s="1"/>
  <c r="Y48" i="56" s="1"/>
  <c r="Z48" i="56" s="1"/>
  <c r="AL48" i="56" s="1"/>
  <c r="AM48" i="56" s="1"/>
  <c r="V47" i="56"/>
  <c r="X47" i="56" s="1"/>
  <c r="Y47" i="56" s="1"/>
  <c r="Z47" i="56" s="1"/>
  <c r="AL47" i="56" s="1"/>
  <c r="AM47" i="56" s="1"/>
  <c r="V46" i="56"/>
  <c r="X46" i="56" s="1"/>
  <c r="Y46" i="56" s="1"/>
  <c r="Z46" i="56" s="1"/>
  <c r="AL46" i="56" s="1"/>
  <c r="AM46" i="56" s="1"/>
  <c r="S45" i="56"/>
  <c r="V45" i="56" s="1"/>
  <c r="X45" i="56" s="1"/>
  <c r="Y45" i="56" s="1"/>
  <c r="Z45" i="56" s="1"/>
  <c r="AL45" i="56" s="1"/>
  <c r="S44" i="56"/>
  <c r="V44" i="56" s="1"/>
  <c r="X44" i="56" s="1"/>
  <c r="Y44" i="56" s="1"/>
  <c r="Z44" i="56" s="1"/>
  <c r="AL44" i="56" s="1"/>
  <c r="V43" i="56"/>
  <c r="X43" i="56" s="1"/>
  <c r="Y43" i="56" s="1"/>
  <c r="Z43" i="56" s="1"/>
  <c r="AL43" i="56" s="1"/>
  <c r="AM43" i="56" s="1"/>
  <c r="S43" i="56"/>
  <c r="V42" i="56"/>
  <c r="X42" i="56" s="1"/>
  <c r="Y42" i="56" s="1"/>
  <c r="Z42" i="56" s="1"/>
  <c r="AL42" i="56" s="1"/>
  <c r="AM42" i="56" s="1"/>
  <c r="U42" i="56"/>
  <c r="S41" i="56"/>
  <c r="V41" i="56" s="1"/>
  <c r="X41" i="56" s="1"/>
  <c r="Y41" i="56" s="1"/>
  <c r="Z41" i="56" s="1"/>
  <c r="AL41" i="56" s="1"/>
  <c r="AM41" i="56" s="1"/>
  <c r="V40" i="56"/>
  <c r="X40" i="56" s="1"/>
  <c r="Y40" i="56" s="1"/>
  <c r="Z40" i="56" s="1"/>
  <c r="AL40" i="56" s="1"/>
  <c r="AM40" i="56" s="1"/>
  <c r="V39" i="56"/>
  <c r="X39" i="56" s="1"/>
  <c r="Y39" i="56" s="1"/>
  <c r="Z39" i="56" s="1"/>
  <c r="AL39" i="56" s="1"/>
  <c r="AM39" i="56" s="1"/>
  <c r="S38" i="56"/>
  <c r="V38" i="56" s="1"/>
  <c r="X38" i="56" s="1"/>
  <c r="Y38" i="56" s="1"/>
  <c r="Z38" i="56" s="1"/>
  <c r="AL38" i="56" s="1"/>
  <c r="AM38" i="56" s="1"/>
  <c r="S37" i="56"/>
  <c r="V37" i="56" s="1"/>
  <c r="X37" i="56" s="1"/>
  <c r="Y37" i="56" s="1"/>
  <c r="Z37" i="56" s="1"/>
  <c r="AL37" i="56" s="1"/>
  <c r="AM37" i="56" s="1"/>
  <c r="S36" i="56"/>
  <c r="V36" i="56" s="1"/>
  <c r="X36" i="56" s="1"/>
  <c r="Y36" i="56" s="1"/>
  <c r="Z36" i="56" s="1"/>
  <c r="AL36" i="56" s="1"/>
  <c r="AM36" i="56" s="1"/>
  <c r="U35" i="56"/>
  <c r="V35" i="56" s="1"/>
  <c r="X35" i="56" s="1"/>
  <c r="Y35" i="56" s="1"/>
  <c r="Z35" i="56" s="1"/>
  <c r="AL35" i="56" s="1"/>
  <c r="AM35" i="56" s="1"/>
  <c r="V34" i="56"/>
  <c r="X34" i="56" s="1"/>
  <c r="Y34" i="56" s="1"/>
  <c r="Z34" i="56" s="1"/>
  <c r="AL34" i="56" s="1"/>
  <c r="AM34" i="56" s="1"/>
  <c r="U34" i="56"/>
  <c r="U33" i="56"/>
  <c r="V33" i="56" s="1"/>
  <c r="X33" i="56" s="1"/>
  <c r="Y33" i="56" s="1"/>
  <c r="Z33" i="56" s="1"/>
  <c r="AL33" i="56" s="1"/>
  <c r="AM33" i="56" s="1"/>
  <c r="U32" i="56"/>
  <c r="V32" i="56" s="1"/>
  <c r="X32" i="56" s="1"/>
  <c r="Y32" i="56" s="1"/>
  <c r="Z32" i="56" s="1"/>
  <c r="AL32" i="56" s="1"/>
  <c r="AM32" i="56" s="1"/>
  <c r="U31" i="56"/>
  <c r="V31" i="56" s="1"/>
  <c r="X31" i="56" s="1"/>
  <c r="Y31" i="56" s="1"/>
  <c r="Z31" i="56" s="1"/>
  <c r="S30" i="56"/>
  <c r="V30" i="56" s="1"/>
  <c r="X30" i="56" s="1"/>
  <c r="Y30" i="56" s="1"/>
  <c r="AK30" i="56" s="1"/>
  <c r="AL30" i="56" s="1"/>
  <c r="AM30" i="56" s="1"/>
  <c r="V29" i="56"/>
  <c r="X29" i="56" s="1"/>
  <c r="Y29" i="56" s="1"/>
  <c r="AK29" i="56" s="1"/>
  <c r="AL29" i="56" s="1"/>
  <c r="AM29" i="56" s="1"/>
  <c r="V28" i="56"/>
  <c r="X28" i="56" s="1"/>
  <c r="Y28" i="56" s="1"/>
  <c r="AK28" i="56" s="1"/>
  <c r="AL28" i="56" s="1"/>
  <c r="AM28" i="56" s="1"/>
  <c r="S27" i="56"/>
  <c r="V27" i="56" s="1"/>
  <c r="X27" i="56" s="1"/>
  <c r="Y27" i="56" s="1"/>
  <c r="AK27" i="56" s="1"/>
  <c r="AL27" i="56" s="1"/>
  <c r="AM27" i="56" s="1"/>
  <c r="V26" i="56"/>
  <c r="X26" i="56" s="1"/>
  <c r="Y26" i="56" s="1"/>
  <c r="AK26" i="56" s="1"/>
  <c r="AL26" i="56" s="1"/>
  <c r="AM26" i="56" s="1"/>
  <c r="V25" i="56"/>
  <c r="X25" i="56" s="1"/>
  <c r="Y25" i="56" s="1"/>
  <c r="AK25" i="56" s="1"/>
  <c r="AL25" i="56" s="1"/>
  <c r="AM25" i="56" s="1"/>
  <c r="V24" i="56"/>
  <c r="X24" i="56" s="1"/>
  <c r="Y24" i="56" s="1"/>
  <c r="AK24" i="56" s="1"/>
  <c r="AL24" i="56" s="1"/>
  <c r="AM24" i="56" s="1"/>
  <c r="V23" i="56"/>
  <c r="X23" i="56" s="1"/>
  <c r="Y23" i="56" s="1"/>
  <c r="AK23" i="56" s="1"/>
  <c r="AL23" i="56" s="1"/>
  <c r="AM23" i="56" s="1"/>
  <c r="V22" i="56"/>
  <c r="X22" i="56" s="1"/>
  <c r="Y22" i="56" s="1"/>
  <c r="AK22" i="56" s="1"/>
  <c r="AL22" i="56" s="1"/>
  <c r="AM22" i="56" s="1"/>
  <c r="V21" i="56"/>
  <c r="X21" i="56" s="1"/>
  <c r="Y21" i="56" s="1"/>
  <c r="AK21" i="56" s="1"/>
  <c r="AL21" i="56" s="1"/>
  <c r="AM21" i="56" s="1"/>
  <c r="V20" i="56"/>
  <c r="X20" i="56" s="1"/>
  <c r="Y20" i="56" s="1"/>
  <c r="AK20" i="56" s="1"/>
  <c r="AL20" i="56" s="1"/>
  <c r="AM20" i="56" s="1"/>
  <c r="V19" i="56"/>
  <c r="X19" i="56" s="1"/>
  <c r="Y19" i="56" s="1"/>
  <c r="AK19" i="56" s="1"/>
  <c r="AL19" i="56" s="1"/>
  <c r="AM19" i="56" s="1"/>
  <c r="S18" i="56"/>
  <c r="V18" i="56" s="1"/>
  <c r="X18" i="56" s="1"/>
  <c r="Y18" i="56" s="1"/>
  <c r="AK18" i="56" s="1"/>
  <c r="AL18" i="56" s="1"/>
  <c r="AM18" i="56" s="1"/>
  <c r="S17" i="56"/>
  <c r="V17" i="56" s="1"/>
  <c r="X17" i="56" s="1"/>
  <c r="Y17" i="56" s="1"/>
  <c r="AK17" i="56" s="1"/>
  <c r="AL17" i="56" s="1"/>
  <c r="AM17" i="56" s="1"/>
  <c r="V16" i="56"/>
  <c r="X16" i="56" s="1"/>
  <c r="Y16" i="56" s="1"/>
  <c r="AK16" i="56" s="1"/>
  <c r="AL16" i="56" s="1"/>
  <c r="AM16" i="56" s="1"/>
  <c r="U16" i="56"/>
  <c r="U15" i="56"/>
  <c r="V15" i="56" s="1"/>
  <c r="X15" i="56" s="1"/>
  <c r="Y15" i="56" s="1"/>
  <c r="AK15" i="56" s="1"/>
  <c r="AL15" i="56" s="1"/>
  <c r="AM15" i="56" s="1"/>
  <c r="U14" i="56"/>
  <c r="V14" i="56" s="1"/>
  <c r="X14" i="56" s="1"/>
  <c r="Y14" i="56" s="1"/>
  <c r="AK14" i="56" s="1"/>
  <c r="AL14" i="56" s="1"/>
  <c r="AM14" i="56" s="1"/>
  <c r="AM13" i="56"/>
  <c r="U13" i="56"/>
  <c r="V13" i="56" s="1"/>
  <c r="X13" i="56" s="1"/>
  <c r="Y13" i="56" s="1"/>
  <c r="AK13" i="56" s="1"/>
  <c r="AL13" i="56" s="1"/>
  <c r="V12" i="56"/>
  <c r="X12" i="56" s="1"/>
  <c r="Y12" i="56" s="1"/>
  <c r="AK12" i="56" s="1"/>
  <c r="AL12" i="56" s="1"/>
  <c r="AM12" i="56" s="1"/>
  <c r="U12" i="56"/>
  <c r="U11" i="56"/>
  <c r="V11" i="56" s="1"/>
  <c r="X11" i="56" s="1"/>
  <c r="Y11" i="56" s="1"/>
  <c r="AK11" i="56" s="1"/>
  <c r="AL11" i="56" s="1"/>
  <c r="AM11" i="56" s="1"/>
  <c r="S10" i="56"/>
  <c r="V10" i="56" s="1"/>
  <c r="X10" i="56" s="1"/>
  <c r="Y10" i="56" s="1"/>
  <c r="AK10" i="56" s="1"/>
  <c r="AL10" i="56" s="1"/>
  <c r="AM10" i="56" s="1"/>
  <c r="U9" i="56"/>
  <c r="V9" i="56" s="1"/>
  <c r="X9" i="56" s="1"/>
  <c r="Y9" i="56" s="1"/>
  <c r="AK9" i="56" s="1"/>
  <c r="AL9" i="56" s="1"/>
  <c r="AM9" i="56" s="1"/>
  <c r="U8" i="56"/>
  <c r="V8" i="56" s="1"/>
  <c r="AM7" i="56"/>
  <c r="AJ2" i="56"/>
  <c r="AI2" i="56"/>
  <c r="AH2" i="56"/>
  <c r="AG2" i="56"/>
  <c r="AF2" i="56"/>
  <c r="AE2" i="56"/>
  <c r="AC2" i="56"/>
  <c r="AB2" i="56"/>
  <c r="W2" i="56"/>
  <c r="W4" i="56" s="1"/>
  <c r="Y8" i="59" l="1"/>
  <c r="X10" i="59"/>
  <c r="Y10" i="59" s="1"/>
  <c r="AK10" i="59" s="1"/>
  <c r="AL10" i="59" s="1"/>
  <c r="AM10" i="59" s="1"/>
  <c r="V2" i="59"/>
  <c r="AA2" i="59"/>
  <c r="AL41" i="59"/>
  <c r="AM41" i="59" s="1"/>
  <c r="AD2" i="59"/>
  <c r="AL25" i="59"/>
  <c r="AM25" i="59" s="1"/>
  <c r="Z2" i="59"/>
  <c r="AL57" i="56"/>
  <c r="AM57" i="56" s="1"/>
  <c r="AL31" i="56"/>
  <c r="AM31" i="56" s="1"/>
  <c r="Z2" i="56"/>
  <c r="D5" i="57"/>
  <c r="F5" i="57" s="1"/>
  <c r="X8" i="56"/>
  <c r="V2" i="56"/>
  <c r="D4" i="58"/>
  <c r="AL75" i="56"/>
  <c r="AD2" i="56"/>
  <c r="D7" i="58"/>
  <c r="F7" i="58" s="1"/>
  <c r="X84" i="56"/>
  <c r="Y84" i="56" s="1"/>
  <c r="AA84" i="56" s="1"/>
  <c r="AL84" i="56" s="1"/>
  <c r="AM84" i="56" s="1"/>
  <c r="D5" i="58"/>
  <c r="F5" i="58" s="1"/>
  <c r="D4" i="57"/>
  <c r="V4" i="59" l="1"/>
  <c r="B2" i="59" s="1"/>
  <c r="B4" i="59"/>
  <c r="T2" i="59"/>
  <c r="Y2" i="59"/>
  <c r="AK8" i="59"/>
  <c r="X2" i="59"/>
  <c r="X4" i="59" s="1"/>
  <c r="F4" i="58"/>
  <c r="T2" i="56"/>
  <c r="V4" i="56"/>
  <c r="B2" i="56" s="1"/>
  <c r="B4" i="56"/>
  <c r="AM75" i="56"/>
  <c r="D6" i="58"/>
  <c r="F6" i="58" s="1"/>
  <c r="X2" i="56"/>
  <c r="X4" i="56" s="1"/>
  <c r="Y8" i="56"/>
  <c r="F4" i="57"/>
  <c r="F7" i="57" s="1"/>
  <c r="D7" i="57"/>
  <c r="AA2" i="56"/>
  <c r="F8" i="58" l="1"/>
  <c r="AL8" i="59"/>
  <c r="AK2" i="59"/>
  <c r="AK8" i="56"/>
  <c r="Y2" i="56"/>
  <c r="D8" i="58"/>
  <c r="AM8" i="59" l="1"/>
  <c r="AL2" i="59"/>
  <c r="A1" i="59" s="1"/>
  <c r="AK2" i="56"/>
  <c r="AL8" i="56"/>
  <c r="AL2" i="56" l="1"/>
  <c r="A1" i="56" s="1"/>
  <c r="AM8" i="56"/>
  <c r="AE204" i="53" l="1"/>
  <c r="Z204" i="53"/>
  <c r="Y204" i="53"/>
  <c r="X204" i="53"/>
  <c r="V204" i="53"/>
  <c r="S204" i="53"/>
  <c r="U204" i="53" s="1"/>
  <c r="O204" i="53"/>
  <c r="Q204" i="53" s="1"/>
  <c r="R204" i="53" s="1"/>
  <c r="N204" i="53"/>
  <c r="AE203" i="53"/>
  <c r="Z203" i="53"/>
  <c r="X203" i="53"/>
  <c r="V203" i="53"/>
  <c r="S203" i="53"/>
  <c r="U203" i="53" s="1"/>
  <c r="Y203" i="53" s="1"/>
  <c r="O203" i="53"/>
  <c r="Q203" i="53" s="1"/>
  <c r="R203" i="53" s="1"/>
  <c r="N203" i="53"/>
  <c r="AE202" i="53"/>
  <c r="Z202" i="53"/>
  <c r="Y202" i="53"/>
  <c r="X202" i="53"/>
  <c r="V202" i="53"/>
  <c r="S202" i="53"/>
  <c r="U202" i="53" s="1"/>
  <c r="Q202" i="53"/>
  <c r="R202" i="53" s="1"/>
  <c r="O202" i="53"/>
  <c r="N202" i="53"/>
  <c r="AE201" i="53"/>
  <c r="Z201" i="53"/>
  <c r="X201" i="53"/>
  <c r="V201" i="53"/>
  <c r="S201" i="53"/>
  <c r="U201" i="53" s="1"/>
  <c r="Q201" i="53"/>
  <c r="O201" i="53"/>
  <c r="N201" i="53"/>
  <c r="R201" i="53" s="1"/>
  <c r="AE200" i="53"/>
  <c r="AB200" i="53"/>
  <c r="X200" i="53"/>
  <c r="Y200" i="53" s="1"/>
  <c r="U200" i="53"/>
  <c r="S200" i="53"/>
  <c r="N200" i="53"/>
  <c r="R200" i="53" s="1"/>
  <c r="AF200" i="53" s="1"/>
  <c r="AE199" i="53"/>
  <c r="AA199" i="53"/>
  <c r="Z199" i="53"/>
  <c r="Y199" i="53"/>
  <c r="X199" i="53"/>
  <c r="V199" i="53"/>
  <c r="U199" i="53"/>
  <c r="S199" i="53"/>
  <c r="O199" i="53"/>
  <c r="Q199" i="53" s="1"/>
  <c r="N199" i="53"/>
  <c r="R199" i="53" s="1"/>
  <c r="AF199" i="53" s="1"/>
  <c r="AF198" i="53"/>
  <c r="AE198" i="53"/>
  <c r="AA198" i="53"/>
  <c r="Z198" i="53"/>
  <c r="Y198" i="53"/>
  <c r="X198" i="53"/>
  <c r="V198" i="53"/>
  <c r="U198" i="53"/>
  <c r="S198" i="53"/>
  <c r="O198" i="53"/>
  <c r="Q198" i="53" s="1"/>
  <c r="N198" i="53"/>
  <c r="R198" i="53" s="1"/>
  <c r="AE197" i="53"/>
  <c r="AF197" i="53" s="1"/>
  <c r="Z197" i="53"/>
  <c r="Y197" i="53"/>
  <c r="V197" i="53"/>
  <c r="X197" i="53" s="1"/>
  <c r="U197" i="53"/>
  <c r="S197" i="53"/>
  <c r="O197" i="53"/>
  <c r="Q197" i="53" s="1"/>
  <c r="N197" i="53"/>
  <c r="R197" i="53" s="1"/>
  <c r="AE196" i="53"/>
  <c r="AA196" i="53"/>
  <c r="Z196" i="53"/>
  <c r="X196" i="53"/>
  <c r="Y196" i="53" s="1"/>
  <c r="V196" i="53"/>
  <c r="S196" i="53"/>
  <c r="U196" i="53" s="1"/>
  <c r="O196" i="53"/>
  <c r="Q196" i="53" s="1"/>
  <c r="N196" i="53"/>
  <c r="AE195" i="53"/>
  <c r="AA195" i="53"/>
  <c r="Z195" i="53"/>
  <c r="S195" i="53"/>
  <c r="Q195" i="53"/>
  <c r="R195" i="53" s="1"/>
  <c r="O195" i="53"/>
  <c r="N195" i="53"/>
  <c r="AE194" i="53"/>
  <c r="AB194" i="53"/>
  <c r="X194" i="53"/>
  <c r="S194" i="53"/>
  <c r="U194" i="53" s="1"/>
  <c r="Y194" i="53" s="1"/>
  <c r="N194" i="53"/>
  <c r="R194" i="53" s="1"/>
  <c r="AE193" i="53"/>
  <c r="Z193" i="53"/>
  <c r="V193" i="53"/>
  <c r="X193" i="53" s="1"/>
  <c r="U193" i="53"/>
  <c r="Y193" i="53" s="1"/>
  <c r="S193" i="53"/>
  <c r="O193" i="53"/>
  <c r="Q193" i="53" s="1"/>
  <c r="N193" i="53"/>
  <c r="Z192" i="53"/>
  <c r="AB192" i="53" s="1"/>
  <c r="AE192" i="53" s="1"/>
  <c r="V192" i="53"/>
  <c r="X192" i="53" s="1"/>
  <c r="Y192" i="53" s="1"/>
  <c r="U192" i="53"/>
  <c r="S192" i="53"/>
  <c r="O192" i="53"/>
  <c r="Q192" i="53" s="1"/>
  <c r="N192" i="53"/>
  <c r="R192" i="53" s="1"/>
  <c r="C192" i="53"/>
  <c r="B192" i="53"/>
  <c r="AE191" i="53"/>
  <c r="Z191" i="53"/>
  <c r="S191" i="53"/>
  <c r="O191" i="53"/>
  <c r="Q191" i="53" s="1"/>
  <c r="N191" i="53"/>
  <c r="R191" i="53" s="1"/>
  <c r="AE190" i="53"/>
  <c r="AF190" i="53" s="1"/>
  <c r="Z190" i="53"/>
  <c r="Y190" i="53"/>
  <c r="X190" i="53"/>
  <c r="S190" i="53"/>
  <c r="U190" i="53" s="1"/>
  <c r="O190" i="53"/>
  <c r="Q190" i="53" s="1"/>
  <c r="N190" i="53"/>
  <c r="R190" i="53" s="1"/>
  <c r="Z189" i="53"/>
  <c r="AB189" i="53" s="1"/>
  <c r="AE189" i="53" s="1"/>
  <c r="S189" i="53"/>
  <c r="R189" i="53"/>
  <c r="Q189" i="53"/>
  <c r="N189" i="53"/>
  <c r="AE188" i="53"/>
  <c r="Z188" i="53"/>
  <c r="X188" i="53"/>
  <c r="V188" i="53"/>
  <c r="S188" i="53"/>
  <c r="U188" i="53" s="1"/>
  <c r="Y188" i="53" s="1"/>
  <c r="Q188" i="53"/>
  <c r="R188" i="53" s="1"/>
  <c r="O188" i="53"/>
  <c r="N188" i="53"/>
  <c r="AE187" i="53"/>
  <c r="Z187" i="53"/>
  <c r="X187" i="53"/>
  <c r="V187" i="53"/>
  <c r="S187" i="53"/>
  <c r="U187" i="53" s="1"/>
  <c r="Y187" i="53" s="1"/>
  <c r="O187" i="53"/>
  <c r="Q187" i="53" s="1"/>
  <c r="N187" i="53"/>
  <c r="AE186" i="53"/>
  <c r="Z186" i="53"/>
  <c r="Y186" i="53"/>
  <c r="X186" i="53"/>
  <c r="U186" i="53"/>
  <c r="S186" i="53"/>
  <c r="Q186" i="53"/>
  <c r="O186" i="53"/>
  <c r="N186" i="53"/>
  <c r="AE185" i="53"/>
  <c r="AF185" i="53" s="1"/>
  <c r="Z185" i="53"/>
  <c r="X185" i="53"/>
  <c r="U185" i="53"/>
  <c r="Y185" i="53" s="1"/>
  <c r="S185" i="53"/>
  <c r="O185" i="53"/>
  <c r="Q185" i="53" s="1"/>
  <c r="N185" i="53"/>
  <c r="R185" i="53" s="1"/>
  <c r="AE184" i="53"/>
  <c r="Z184" i="53"/>
  <c r="X184" i="53"/>
  <c r="S184" i="53"/>
  <c r="U184" i="53" s="1"/>
  <c r="Y184" i="53" s="1"/>
  <c r="AF184" i="53" s="1"/>
  <c r="R184" i="53"/>
  <c r="Q184" i="53"/>
  <c r="N184" i="53"/>
  <c r="AB183" i="53"/>
  <c r="AE183" i="53" s="1"/>
  <c r="X183" i="53"/>
  <c r="S183" i="53"/>
  <c r="U183" i="53" s="1"/>
  <c r="Y183" i="53" s="1"/>
  <c r="AF183" i="53" s="1"/>
  <c r="Q183" i="53"/>
  <c r="R183" i="53" s="1"/>
  <c r="N183" i="53"/>
  <c r="AB182" i="53"/>
  <c r="AE182" i="53" s="1"/>
  <c r="Y182" i="53"/>
  <c r="X182" i="53"/>
  <c r="U182" i="53"/>
  <c r="S182" i="53"/>
  <c r="Q182" i="53"/>
  <c r="N182" i="53"/>
  <c r="R182" i="53" s="1"/>
  <c r="AF181" i="53"/>
  <c r="AE181" i="53"/>
  <c r="AB181" i="53"/>
  <c r="X181" i="53"/>
  <c r="U181" i="53"/>
  <c r="Y181" i="53" s="1"/>
  <c r="S181" i="53"/>
  <c r="R181" i="53"/>
  <c r="Q181" i="53"/>
  <c r="N181" i="53"/>
  <c r="AB180" i="53"/>
  <c r="AE180" i="53" s="1"/>
  <c r="X180" i="53"/>
  <c r="S180" i="53"/>
  <c r="U180" i="53" s="1"/>
  <c r="Y180" i="53" s="1"/>
  <c r="Q180" i="53"/>
  <c r="N180" i="53"/>
  <c r="R180" i="53" s="1"/>
  <c r="AE179" i="53"/>
  <c r="AB179" i="53"/>
  <c r="Y179" i="53"/>
  <c r="X179" i="53"/>
  <c r="U179" i="53"/>
  <c r="S179" i="53"/>
  <c r="Q179" i="53"/>
  <c r="N179" i="53"/>
  <c r="AB178" i="53"/>
  <c r="AE178" i="53" s="1"/>
  <c r="X178" i="53"/>
  <c r="U178" i="53"/>
  <c r="Y178" i="53" s="1"/>
  <c r="AF178" i="53" s="1"/>
  <c r="S178" i="53"/>
  <c r="R178" i="53"/>
  <c r="Q178" i="53"/>
  <c r="N178" i="53"/>
  <c r="AB177" i="53"/>
  <c r="AE177" i="53" s="1"/>
  <c r="X177" i="53"/>
  <c r="S177" i="53"/>
  <c r="U177" i="53" s="1"/>
  <c r="Y177" i="53" s="1"/>
  <c r="AF177" i="53" s="1"/>
  <c r="Q177" i="53"/>
  <c r="R177" i="53" s="1"/>
  <c r="N177" i="53"/>
  <c r="AB176" i="53"/>
  <c r="AE176" i="53" s="1"/>
  <c r="Y176" i="53"/>
  <c r="X176" i="53"/>
  <c r="S176" i="53"/>
  <c r="U176" i="53" s="1"/>
  <c r="Q176" i="53"/>
  <c r="N176" i="53"/>
  <c r="R176" i="53" s="1"/>
  <c r="AE175" i="53"/>
  <c r="AB175" i="53"/>
  <c r="X175" i="53"/>
  <c r="S175" i="53"/>
  <c r="U175" i="53" s="1"/>
  <c r="Y175" i="53" s="1"/>
  <c r="R175" i="53"/>
  <c r="Q175" i="53"/>
  <c r="N175" i="53"/>
  <c r="AB174" i="53"/>
  <c r="AE174" i="53" s="1"/>
  <c r="X174" i="53"/>
  <c r="S174" i="53"/>
  <c r="U174" i="53" s="1"/>
  <c r="Y174" i="53" s="1"/>
  <c r="Q174" i="53"/>
  <c r="N174" i="53"/>
  <c r="R174" i="53" s="1"/>
  <c r="AF173" i="53"/>
  <c r="AE173" i="53"/>
  <c r="AB173" i="53"/>
  <c r="X173" i="53"/>
  <c r="Y173" i="53" s="1"/>
  <c r="U173" i="53"/>
  <c r="S173" i="53"/>
  <c r="Q173" i="53"/>
  <c r="N173" i="53"/>
  <c r="R173" i="53" s="1"/>
  <c r="AB172" i="53"/>
  <c r="AE172" i="53" s="1"/>
  <c r="X172" i="53"/>
  <c r="S172" i="53"/>
  <c r="U172" i="53" s="1"/>
  <c r="R172" i="53"/>
  <c r="Q172" i="53"/>
  <c r="N172" i="53"/>
  <c r="AB171" i="53"/>
  <c r="AE171" i="53" s="1"/>
  <c r="X171" i="53"/>
  <c r="S171" i="53"/>
  <c r="U171" i="53" s="1"/>
  <c r="Y171" i="53" s="1"/>
  <c r="AF171" i="53" s="1"/>
  <c r="Q171" i="53"/>
  <c r="R171" i="53" s="1"/>
  <c r="N171" i="53"/>
  <c r="AB170" i="53"/>
  <c r="AE170" i="53" s="1"/>
  <c r="X170" i="53"/>
  <c r="S170" i="53"/>
  <c r="U170" i="53" s="1"/>
  <c r="Y170" i="53" s="1"/>
  <c r="AF170" i="53" s="1"/>
  <c r="Q170" i="53"/>
  <c r="N170" i="53"/>
  <c r="R170" i="53" s="1"/>
  <c r="AF169" i="53"/>
  <c r="AE169" i="53"/>
  <c r="AB169" i="53"/>
  <c r="X169" i="53"/>
  <c r="U169" i="53"/>
  <c r="Y169" i="53" s="1"/>
  <c r="S169" i="53"/>
  <c r="Q169" i="53"/>
  <c r="N169" i="53"/>
  <c r="R169" i="53" s="1"/>
  <c r="AB168" i="53"/>
  <c r="AE168" i="53" s="1"/>
  <c r="X168" i="53"/>
  <c r="S168" i="53"/>
  <c r="U168" i="53" s="1"/>
  <c r="Y168" i="53" s="1"/>
  <c r="Q168" i="53"/>
  <c r="N168" i="53"/>
  <c r="AE167" i="53"/>
  <c r="AB167" i="53"/>
  <c r="X167" i="53"/>
  <c r="Y167" i="53" s="1"/>
  <c r="U167" i="53"/>
  <c r="S167" i="53"/>
  <c r="Q167" i="53"/>
  <c r="N167" i="53"/>
  <c r="AE166" i="53"/>
  <c r="AB166" i="53"/>
  <c r="Y166" i="53"/>
  <c r="X166" i="53"/>
  <c r="U166" i="53"/>
  <c r="S166" i="53"/>
  <c r="R166" i="53"/>
  <c r="Q166" i="53"/>
  <c r="N166" i="53"/>
  <c r="AB165" i="53"/>
  <c r="AE165" i="53" s="1"/>
  <c r="X165" i="53"/>
  <c r="S165" i="53"/>
  <c r="U165" i="53" s="1"/>
  <c r="Y165" i="53" s="1"/>
  <c r="AF165" i="53" s="1"/>
  <c r="R165" i="53"/>
  <c r="Q165" i="53"/>
  <c r="N165" i="53"/>
  <c r="AB164" i="53"/>
  <c r="AE164" i="53" s="1"/>
  <c r="X164" i="53"/>
  <c r="S164" i="53"/>
  <c r="U164" i="53" s="1"/>
  <c r="Y164" i="53" s="1"/>
  <c r="Q164" i="53"/>
  <c r="N164" i="53"/>
  <c r="R164" i="53" s="1"/>
  <c r="AE163" i="53"/>
  <c r="AB163" i="53"/>
  <c r="X163" i="53"/>
  <c r="U163" i="53"/>
  <c r="S163" i="53"/>
  <c r="R163" i="53"/>
  <c r="Q163" i="53"/>
  <c r="N163" i="53"/>
  <c r="AB162" i="53"/>
  <c r="AE162" i="53" s="1"/>
  <c r="X162" i="53"/>
  <c r="S162" i="53"/>
  <c r="U162" i="53" s="1"/>
  <c r="Y162" i="53" s="1"/>
  <c r="R162" i="53"/>
  <c r="Q162" i="53"/>
  <c r="N162" i="53"/>
  <c r="AE161" i="53"/>
  <c r="AB161" i="53"/>
  <c r="X161" i="53"/>
  <c r="Y161" i="53" s="1"/>
  <c r="AF161" i="53" s="1"/>
  <c r="U161" i="53"/>
  <c r="S161" i="53"/>
  <c r="Q161" i="53"/>
  <c r="N161" i="53"/>
  <c r="R161" i="53" s="1"/>
  <c r="AE160" i="53"/>
  <c r="AF160" i="53" s="1"/>
  <c r="AB160" i="53"/>
  <c r="X160" i="53"/>
  <c r="S160" i="53"/>
  <c r="U160" i="53" s="1"/>
  <c r="Y160" i="53" s="1"/>
  <c r="R160" i="53"/>
  <c r="Q160" i="53"/>
  <c r="N160" i="53"/>
  <c r="AB159" i="53"/>
  <c r="AE159" i="53" s="1"/>
  <c r="X159" i="53"/>
  <c r="Y159" i="53" s="1"/>
  <c r="AF159" i="53" s="1"/>
  <c r="U159" i="53"/>
  <c r="S159" i="53"/>
  <c r="Q159" i="53"/>
  <c r="R159" i="53" s="1"/>
  <c r="N159" i="53"/>
  <c r="AB158" i="53"/>
  <c r="AE158" i="53" s="1"/>
  <c r="X158" i="53"/>
  <c r="U158" i="53"/>
  <c r="Y158" i="53" s="1"/>
  <c r="S158" i="53"/>
  <c r="Q158" i="53"/>
  <c r="N158" i="53"/>
  <c r="R158" i="53" s="1"/>
  <c r="AE157" i="53"/>
  <c r="AB157" i="53"/>
  <c r="X157" i="53"/>
  <c r="S157" i="53"/>
  <c r="U157" i="53" s="1"/>
  <c r="Y157" i="53" s="1"/>
  <c r="Q157" i="53"/>
  <c r="N157" i="53"/>
  <c r="R157" i="53" s="1"/>
  <c r="AF156" i="53"/>
  <c r="AE156" i="53"/>
  <c r="AB156" i="53"/>
  <c r="X156" i="53"/>
  <c r="S156" i="53"/>
  <c r="U156" i="53" s="1"/>
  <c r="Y156" i="53" s="1"/>
  <c r="Q156" i="53"/>
  <c r="N156" i="53"/>
  <c r="R156" i="53" s="1"/>
  <c r="AB155" i="53"/>
  <c r="AE155" i="53" s="1"/>
  <c r="X155" i="53"/>
  <c r="Y155" i="53" s="1"/>
  <c r="U155" i="53"/>
  <c r="S155" i="53"/>
  <c r="Q155" i="53"/>
  <c r="N155" i="53"/>
  <c r="AE154" i="53"/>
  <c r="AB154" i="53"/>
  <c r="X154" i="53"/>
  <c r="U154" i="53"/>
  <c r="Y154" i="53" s="1"/>
  <c r="AF154" i="53" s="1"/>
  <c r="S154" i="53"/>
  <c r="R154" i="53"/>
  <c r="Q154" i="53"/>
  <c r="N154" i="53"/>
  <c r="AB153" i="53"/>
  <c r="AE153" i="53" s="1"/>
  <c r="X153" i="53"/>
  <c r="S153" i="53"/>
  <c r="U153" i="53" s="1"/>
  <c r="Y153" i="53" s="1"/>
  <c r="AF153" i="53" s="1"/>
  <c r="Q153" i="53"/>
  <c r="R153" i="53" s="1"/>
  <c r="N153" i="53"/>
  <c r="AB152" i="53"/>
  <c r="AE152" i="53" s="1"/>
  <c r="Y152" i="53"/>
  <c r="AF152" i="53" s="1"/>
  <c r="X152" i="53"/>
  <c r="S152" i="53"/>
  <c r="U152" i="53" s="1"/>
  <c r="R152" i="53"/>
  <c r="Q152" i="53"/>
  <c r="N152" i="53"/>
  <c r="AE151" i="53"/>
  <c r="AB151" i="53"/>
  <c r="X151" i="53"/>
  <c r="U151" i="53"/>
  <c r="S151" i="53"/>
  <c r="R151" i="53"/>
  <c r="Q151" i="53"/>
  <c r="N151" i="53"/>
  <c r="AE150" i="53"/>
  <c r="AB150" i="53"/>
  <c r="X150" i="53"/>
  <c r="S150" i="53"/>
  <c r="U150" i="53" s="1"/>
  <c r="Y150" i="53" s="1"/>
  <c r="Q150" i="53"/>
  <c r="N150" i="53"/>
  <c r="R150" i="53" s="1"/>
  <c r="AF149" i="53"/>
  <c r="AB149" i="53"/>
  <c r="AE149" i="53" s="1"/>
  <c r="Y149" i="53"/>
  <c r="X149" i="53"/>
  <c r="U149" i="53"/>
  <c r="S149" i="53"/>
  <c r="Q149" i="53"/>
  <c r="N149" i="53"/>
  <c r="R149" i="53" s="1"/>
  <c r="AE148" i="53"/>
  <c r="AB148" i="53"/>
  <c r="X148" i="53"/>
  <c r="S148" i="53"/>
  <c r="U148" i="53" s="1"/>
  <c r="Y148" i="53" s="1"/>
  <c r="AF148" i="53" s="1"/>
  <c r="R148" i="53"/>
  <c r="Q148" i="53"/>
  <c r="N148" i="53"/>
  <c r="AB147" i="53"/>
  <c r="AE147" i="53" s="1"/>
  <c r="X147" i="53"/>
  <c r="U147" i="53"/>
  <c r="Y147" i="53" s="1"/>
  <c r="S147" i="53"/>
  <c r="Q147" i="53"/>
  <c r="N147" i="53"/>
  <c r="AB146" i="53"/>
  <c r="AE146" i="53" s="1"/>
  <c r="Y146" i="53"/>
  <c r="AF146" i="53" s="1"/>
  <c r="X146" i="53"/>
  <c r="U146" i="53"/>
  <c r="S146" i="53"/>
  <c r="Q146" i="53"/>
  <c r="N146" i="53"/>
  <c r="R146" i="53" s="1"/>
  <c r="AE145" i="53"/>
  <c r="AB145" i="53"/>
  <c r="X145" i="53"/>
  <c r="U145" i="53"/>
  <c r="S145" i="53"/>
  <c r="R145" i="53"/>
  <c r="Q145" i="53"/>
  <c r="N145" i="53"/>
  <c r="AB144" i="53"/>
  <c r="AE144" i="53" s="1"/>
  <c r="X144" i="53"/>
  <c r="S144" i="53"/>
  <c r="U144" i="53" s="1"/>
  <c r="Y144" i="53" s="1"/>
  <c r="R144" i="53"/>
  <c r="Q144" i="53"/>
  <c r="N144" i="53"/>
  <c r="AF143" i="53"/>
  <c r="AE143" i="53"/>
  <c r="AB143" i="53"/>
  <c r="X143" i="53"/>
  <c r="U143" i="53"/>
  <c r="Y143" i="53" s="1"/>
  <c r="S143" i="53"/>
  <c r="Q143" i="53"/>
  <c r="N143" i="53"/>
  <c r="R143" i="53" s="1"/>
  <c r="AE142" i="53"/>
  <c r="AB142" i="53"/>
  <c r="X142" i="53"/>
  <c r="Y142" i="53" s="1"/>
  <c r="AF142" i="53" s="1"/>
  <c r="U142" i="53"/>
  <c r="S142" i="53"/>
  <c r="R142" i="53"/>
  <c r="Q142" i="53"/>
  <c r="N142" i="53"/>
  <c r="AB141" i="53"/>
  <c r="AE141" i="53" s="1"/>
  <c r="X141" i="53"/>
  <c r="S141" i="53"/>
  <c r="U141" i="53" s="1"/>
  <c r="Y141" i="53" s="1"/>
  <c r="R141" i="53"/>
  <c r="Q141" i="53"/>
  <c r="N141" i="53"/>
  <c r="AB140" i="53"/>
  <c r="AE140" i="53" s="1"/>
  <c r="X140" i="53"/>
  <c r="S140" i="53"/>
  <c r="U140" i="53" s="1"/>
  <c r="Y140" i="53" s="1"/>
  <c r="Q140" i="53"/>
  <c r="R140" i="53" s="1"/>
  <c r="N140" i="53"/>
  <c r="AE139" i="53"/>
  <c r="AB139" i="53"/>
  <c r="X139" i="53"/>
  <c r="U139" i="53"/>
  <c r="S139" i="53"/>
  <c r="Q139" i="53"/>
  <c r="N139" i="53"/>
  <c r="R139" i="53" s="1"/>
  <c r="AE138" i="53"/>
  <c r="AF138" i="53" s="1"/>
  <c r="AB138" i="53"/>
  <c r="X138" i="53"/>
  <c r="S138" i="53"/>
  <c r="U138" i="53" s="1"/>
  <c r="Y138" i="53" s="1"/>
  <c r="R138" i="53"/>
  <c r="Q138" i="53"/>
  <c r="N138" i="53"/>
  <c r="AB137" i="53"/>
  <c r="AE137" i="53" s="1"/>
  <c r="X137" i="53"/>
  <c r="U137" i="53"/>
  <c r="Y137" i="53" s="1"/>
  <c r="S137" i="53"/>
  <c r="Q137" i="53"/>
  <c r="N137" i="53"/>
  <c r="R137" i="53" s="1"/>
  <c r="AE136" i="53"/>
  <c r="AB136" i="53"/>
  <c r="X136" i="53"/>
  <c r="S136" i="53"/>
  <c r="U136" i="53" s="1"/>
  <c r="Y136" i="53" s="1"/>
  <c r="AF136" i="53" s="1"/>
  <c r="R136" i="53"/>
  <c r="Q136" i="53"/>
  <c r="N136" i="53"/>
  <c r="AB135" i="53"/>
  <c r="AE135" i="53" s="1"/>
  <c r="Y135" i="53"/>
  <c r="X135" i="53"/>
  <c r="S135" i="53"/>
  <c r="U135" i="53" s="1"/>
  <c r="Q135" i="53"/>
  <c r="N135" i="53"/>
  <c r="R135" i="53" s="1"/>
  <c r="AB134" i="53"/>
  <c r="AE134" i="53" s="1"/>
  <c r="X134" i="53"/>
  <c r="S134" i="53"/>
  <c r="U134" i="53" s="1"/>
  <c r="Y134" i="53" s="1"/>
  <c r="AF134" i="53" s="1"/>
  <c r="R134" i="53"/>
  <c r="Q134" i="53"/>
  <c r="N134" i="53"/>
  <c r="AE133" i="53"/>
  <c r="AB133" i="53"/>
  <c r="X133" i="53"/>
  <c r="S133" i="53"/>
  <c r="U133" i="53" s="1"/>
  <c r="Y133" i="53" s="1"/>
  <c r="R133" i="53"/>
  <c r="Q133" i="53"/>
  <c r="N133" i="53"/>
  <c r="AB132" i="53"/>
  <c r="AE132" i="53" s="1"/>
  <c r="Y132" i="53"/>
  <c r="AF132" i="53" s="1"/>
  <c r="X132" i="53"/>
  <c r="S132" i="53"/>
  <c r="U132" i="53" s="1"/>
  <c r="Q132" i="53"/>
  <c r="N132" i="53"/>
  <c r="R132" i="53" s="1"/>
  <c r="AB131" i="53"/>
  <c r="AE131" i="53" s="1"/>
  <c r="Y131" i="53"/>
  <c r="X131" i="53"/>
  <c r="U131" i="53"/>
  <c r="S131" i="53"/>
  <c r="Q131" i="53"/>
  <c r="N131" i="53"/>
  <c r="AB130" i="53"/>
  <c r="AE130" i="53" s="1"/>
  <c r="X130" i="53"/>
  <c r="S130" i="53"/>
  <c r="U130" i="53" s="1"/>
  <c r="Y130" i="53" s="1"/>
  <c r="R130" i="53"/>
  <c r="Q130" i="53"/>
  <c r="N130" i="53"/>
  <c r="AE129" i="53"/>
  <c r="AB129" i="53"/>
  <c r="X129" i="53"/>
  <c r="S129" i="53"/>
  <c r="U129" i="53" s="1"/>
  <c r="Y129" i="53" s="1"/>
  <c r="AF129" i="53" s="1"/>
  <c r="Q129" i="53"/>
  <c r="R129" i="53" s="1"/>
  <c r="N129" i="53"/>
  <c r="AB128" i="53"/>
  <c r="AE128" i="53" s="1"/>
  <c r="Y128" i="53"/>
  <c r="X128" i="53"/>
  <c r="U128" i="53"/>
  <c r="S128" i="53"/>
  <c r="Q128" i="53"/>
  <c r="N128" i="53"/>
  <c r="R128" i="53" s="1"/>
  <c r="AF127" i="53"/>
  <c r="AE127" i="53"/>
  <c r="AB127" i="53"/>
  <c r="X127" i="53"/>
  <c r="S127" i="53"/>
  <c r="U127" i="53" s="1"/>
  <c r="Y127" i="53" s="1"/>
  <c r="R127" i="53"/>
  <c r="Q127" i="53"/>
  <c r="N127" i="53"/>
  <c r="AB126" i="53"/>
  <c r="AE126" i="53" s="1"/>
  <c r="X126" i="53"/>
  <c r="S126" i="53"/>
  <c r="U126" i="53" s="1"/>
  <c r="Y126" i="53" s="1"/>
  <c r="AF126" i="53" s="1"/>
  <c r="Q126" i="53"/>
  <c r="N126" i="53"/>
  <c r="R126" i="53" s="1"/>
  <c r="AE125" i="53"/>
  <c r="AB125" i="53"/>
  <c r="X125" i="53"/>
  <c r="U125" i="53"/>
  <c r="Y125" i="53" s="1"/>
  <c r="S125" i="53"/>
  <c r="Q125" i="53"/>
  <c r="N125" i="53"/>
  <c r="AB124" i="53"/>
  <c r="AE124" i="53" s="1"/>
  <c r="X124" i="53"/>
  <c r="Y124" i="53" s="1"/>
  <c r="AF124" i="53" s="1"/>
  <c r="U124" i="53"/>
  <c r="S124" i="53"/>
  <c r="R124" i="53"/>
  <c r="Q124" i="53"/>
  <c r="N124" i="53"/>
  <c r="AE123" i="53"/>
  <c r="AB123" i="53"/>
  <c r="X123" i="53"/>
  <c r="S123" i="53"/>
  <c r="U123" i="53" s="1"/>
  <c r="Y123" i="53" s="1"/>
  <c r="Q123" i="53"/>
  <c r="R123" i="53" s="1"/>
  <c r="N123" i="53"/>
  <c r="AB122" i="53"/>
  <c r="AE122" i="53" s="1"/>
  <c r="X122" i="53"/>
  <c r="U122" i="53"/>
  <c r="Y122" i="53" s="1"/>
  <c r="S122" i="53"/>
  <c r="Q122" i="53"/>
  <c r="N122" i="53"/>
  <c r="R122" i="53" s="1"/>
  <c r="AE121" i="53"/>
  <c r="AB121" i="53"/>
  <c r="X121" i="53"/>
  <c r="U121" i="53"/>
  <c r="Y121" i="53" s="1"/>
  <c r="AF121" i="53" s="1"/>
  <c r="S121" i="53"/>
  <c r="R121" i="53"/>
  <c r="Q121" i="53"/>
  <c r="N121" i="53"/>
  <c r="AB120" i="53"/>
  <c r="AE120" i="53" s="1"/>
  <c r="Y120" i="53"/>
  <c r="X120" i="53"/>
  <c r="S120" i="53"/>
  <c r="U120" i="53" s="1"/>
  <c r="Q120" i="53"/>
  <c r="N120" i="53"/>
  <c r="AE119" i="53"/>
  <c r="AB119" i="53"/>
  <c r="X119" i="53"/>
  <c r="U119" i="53"/>
  <c r="Y119" i="53" s="1"/>
  <c r="S119" i="53"/>
  <c r="Q119" i="53"/>
  <c r="N119" i="53"/>
  <c r="R119" i="53" s="1"/>
  <c r="AF119" i="53" s="1"/>
  <c r="AE118" i="53"/>
  <c r="AB118" i="53"/>
  <c r="Y118" i="53"/>
  <c r="AF118" i="53" s="1"/>
  <c r="X118" i="53"/>
  <c r="S118" i="53"/>
  <c r="U118" i="53" s="1"/>
  <c r="R118" i="53"/>
  <c r="Q118" i="53"/>
  <c r="N118" i="53"/>
  <c r="AB117" i="53"/>
  <c r="AE117" i="53" s="1"/>
  <c r="X117" i="53"/>
  <c r="S117" i="53"/>
  <c r="U117" i="53" s="1"/>
  <c r="Y117" i="53" s="1"/>
  <c r="AF117" i="53" s="1"/>
  <c r="Q117" i="53"/>
  <c r="N117" i="53"/>
  <c r="R117" i="53" s="1"/>
  <c r="AB116" i="53"/>
  <c r="AE116" i="53" s="1"/>
  <c r="X116" i="53"/>
  <c r="U116" i="53"/>
  <c r="Y116" i="53" s="1"/>
  <c r="S116" i="53"/>
  <c r="Q116" i="53"/>
  <c r="N116" i="53"/>
  <c r="R116" i="53" s="1"/>
  <c r="AE115" i="53"/>
  <c r="AB115" i="53"/>
  <c r="X115" i="53"/>
  <c r="S115" i="53"/>
  <c r="U115" i="53" s="1"/>
  <c r="Y115" i="53" s="1"/>
  <c r="Q115" i="53"/>
  <c r="N115" i="53"/>
  <c r="AB114" i="53"/>
  <c r="AE114" i="53" s="1"/>
  <c r="Y114" i="53"/>
  <c r="X114" i="53"/>
  <c r="S114" i="53"/>
  <c r="U114" i="53" s="1"/>
  <c r="Q114" i="53"/>
  <c r="N114" i="53"/>
  <c r="R114" i="53" s="1"/>
  <c r="AB113" i="53"/>
  <c r="AE113" i="53" s="1"/>
  <c r="Y113" i="53"/>
  <c r="X113" i="53"/>
  <c r="U113" i="53"/>
  <c r="S113" i="53"/>
  <c r="Q113" i="53"/>
  <c r="N113" i="53"/>
  <c r="R113" i="53" s="1"/>
  <c r="AB112" i="53"/>
  <c r="AE112" i="53" s="1"/>
  <c r="X112" i="53"/>
  <c r="S112" i="53"/>
  <c r="U112" i="53" s="1"/>
  <c r="Y112" i="53" s="1"/>
  <c r="R112" i="53"/>
  <c r="Q112" i="53"/>
  <c r="N112" i="53"/>
  <c r="AB111" i="53"/>
  <c r="AE111" i="53" s="1"/>
  <c r="X111" i="53"/>
  <c r="S111" i="53"/>
  <c r="U111" i="53" s="1"/>
  <c r="Y111" i="53" s="1"/>
  <c r="Q111" i="53"/>
  <c r="N111" i="53"/>
  <c r="R111" i="53" s="1"/>
  <c r="AB110" i="53"/>
  <c r="AE110" i="53" s="1"/>
  <c r="X110" i="53"/>
  <c r="S110" i="53"/>
  <c r="U110" i="53" s="1"/>
  <c r="Y110" i="53" s="1"/>
  <c r="AF110" i="53" s="1"/>
  <c r="R110" i="53"/>
  <c r="Q110" i="53"/>
  <c r="N110" i="53"/>
  <c r="AE109" i="53"/>
  <c r="AB109" i="53"/>
  <c r="X109" i="53"/>
  <c r="S109" i="53"/>
  <c r="U109" i="53" s="1"/>
  <c r="Y109" i="53" s="1"/>
  <c r="AF109" i="53" s="1"/>
  <c r="Q109" i="53"/>
  <c r="N109" i="53"/>
  <c r="R109" i="53" s="1"/>
  <c r="AE108" i="53"/>
  <c r="AB108" i="53"/>
  <c r="X108" i="53"/>
  <c r="S108" i="53"/>
  <c r="U108" i="53" s="1"/>
  <c r="Y108" i="53" s="1"/>
  <c r="Q108" i="53"/>
  <c r="R108" i="53" s="1"/>
  <c r="N108" i="53"/>
  <c r="AB107" i="53"/>
  <c r="AE107" i="53" s="1"/>
  <c r="Y107" i="53"/>
  <c r="X107" i="53"/>
  <c r="U107" i="53"/>
  <c r="S107" i="53"/>
  <c r="Q107" i="53"/>
  <c r="N107" i="53"/>
  <c r="R107" i="53" s="1"/>
  <c r="AF106" i="53"/>
  <c r="AB106" i="53"/>
  <c r="AE106" i="53" s="1"/>
  <c r="X106" i="53"/>
  <c r="S106" i="53"/>
  <c r="U106" i="53" s="1"/>
  <c r="Y106" i="53" s="1"/>
  <c r="R106" i="53"/>
  <c r="Q106" i="53"/>
  <c r="N106" i="53"/>
  <c r="AB105" i="53"/>
  <c r="AE105" i="53" s="1"/>
  <c r="X105" i="53"/>
  <c r="U105" i="53"/>
  <c r="Y105" i="53" s="1"/>
  <c r="S105" i="53"/>
  <c r="Q105" i="53"/>
  <c r="N105" i="53"/>
  <c r="R105" i="53" s="1"/>
  <c r="AE104" i="53"/>
  <c r="AB104" i="53"/>
  <c r="X104" i="53"/>
  <c r="U104" i="53"/>
  <c r="Y104" i="53" s="1"/>
  <c r="S104" i="53"/>
  <c r="Q104" i="53"/>
  <c r="N104" i="53"/>
  <c r="AF103" i="53"/>
  <c r="AE103" i="53"/>
  <c r="AB103" i="53"/>
  <c r="Y103" i="53"/>
  <c r="X103" i="53"/>
  <c r="U103" i="53"/>
  <c r="S103" i="53"/>
  <c r="R103" i="53"/>
  <c r="Q103" i="53"/>
  <c r="N103" i="53"/>
  <c r="AF102" i="53"/>
  <c r="AE102" i="53"/>
  <c r="AB102" i="53"/>
  <c r="Y102" i="53"/>
  <c r="X102" i="53"/>
  <c r="U102" i="53"/>
  <c r="S102" i="53"/>
  <c r="R102" i="53"/>
  <c r="Q102" i="53"/>
  <c r="N102" i="53"/>
  <c r="AB101" i="53"/>
  <c r="AE101" i="53" s="1"/>
  <c r="X101" i="53"/>
  <c r="U101" i="53"/>
  <c r="S101" i="53"/>
  <c r="R101" i="53"/>
  <c r="Q101" i="53"/>
  <c r="N101" i="53"/>
  <c r="AE100" i="53"/>
  <c r="AB100" i="53"/>
  <c r="X100" i="53"/>
  <c r="S100" i="53"/>
  <c r="U100" i="53" s="1"/>
  <c r="Y100" i="53" s="1"/>
  <c r="Q100" i="53"/>
  <c r="N100" i="53"/>
  <c r="R100" i="53" s="1"/>
  <c r="AF99" i="53"/>
  <c r="AE99" i="53"/>
  <c r="AB99" i="53"/>
  <c r="Y99" i="53"/>
  <c r="X99" i="53"/>
  <c r="S99" i="53"/>
  <c r="U99" i="53" s="1"/>
  <c r="Q99" i="53"/>
  <c r="N99" i="53"/>
  <c r="R99" i="53" s="1"/>
  <c r="AB98" i="53"/>
  <c r="AE98" i="53" s="1"/>
  <c r="X98" i="53"/>
  <c r="S98" i="53"/>
  <c r="U98" i="53" s="1"/>
  <c r="Y98" i="53" s="1"/>
  <c r="AF98" i="53" s="1"/>
  <c r="Q98" i="53"/>
  <c r="N98" i="53"/>
  <c r="R98" i="53" s="1"/>
  <c r="AB97" i="53"/>
  <c r="AE97" i="53" s="1"/>
  <c r="X97" i="53"/>
  <c r="S97" i="53"/>
  <c r="U97" i="53" s="1"/>
  <c r="Y97" i="53" s="1"/>
  <c r="R97" i="53"/>
  <c r="Q97" i="53"/>
  <c r="N97" i="53"/>
  <c r="AE96" i="53"/>
  <c r="AB96" i="53"/>
  <c r="X96" i="53"/>
  <c r="S96" i="53"/>
  <c r="U96" i="53" s="1"/>
  <c r="Y96" i="53" s="1"/>
  <c r="AF96" i="53" s="1"/>
  <c r="Q96" i="53"/>
  <c r="N96" i="53"/>
  <c r="R96" i="53" s="1"/>
  <c r="AB95" i="53"/>
  <c r="AE95" i="53" s="1"/>
  <c r="X95" i="53"/>
  <c r="Y95" i="53" s="1"/>
  <c r="AF95" i="53" s="1"/>
  <c r="U95" i="53"/>
  <c r="S95" i="53"/>
  <c r="Q95" i="53"/>
  <c r="N95" i="53"/>
  <c r="R95" i="53" s="1"/>
  <c r="AB94" i="53"/>
  <c r="AE94" i="53" s="1"/>
  <c r="AF94" i="53" s="1"/>
  <c r="X94" i="53"/>
  <c r="S94" i="53"/>
  <c r="U94" i="53" s="1"/>
  <c r="Y94" i="53" s="1"/>
  <c r="R94" i="53"/>
  <c r="Q94" i="53"/>
  <c r="N94" i="53"/>
  <c r="AB93" i="53"/>
  <c r="AE93" i="53" s="1"/>
  <c r="X93" i="53"/>
  <c r="S93" i="53"/>
  <c r="U93" i="53" s="1"/>
  <c r="Y93" i="53" s="1"/>
  <c r="AF93" i="53" s="1"/>
  <c r="Q93" i="53"/>
  <c r="N93" i="53"/>
  <c r="R93" i="53" s="1"/>
  <c r="AE92" i="53"/>
  <c r="AB92" i="53"/>
  <c r="X92" i="53"/>
  <c r="S92" i="53"/>
  <c r="U92" i="53" s="1"/>
  <c r="Y92" i="53" s="1"/>
  <c r="Q92" i="53"/>
  <c r="N92" i="53"/>
  <c r="R92" i="53" s="1"/>
  <c r="AE91" i="53"/>
  <c r="AF91" i="53" s="1"/>
  <c r="AB91" i="53"/>
  <c r="Y91" i="53"/>
  <c r="X91" i="53"/>
  <c r="S91" i="53"/>
  <c r="U91" i="53" s="1"/>
  <c r="Q91" i="53"/>
  <c r="R91" i="53" s="1"/>
  <c r="N91" i="53"/>
  <c r="AE90" i="53"/>
  <c r="AB90" i="53"/>
  <c r="X90" i="53"/>
  <c r="S90" i="53"/>
  <c r="U90" i="53" s="1"/>
  <c r="Y90" i="53" s="1"/>
  <c r="AF90" i="53" s="1"/>
  <c r="R90" i="53"/>
  <c r="Q90" i="53"/>
  <c r="N90" i="53"/>
  <c r="AB89" i="53"/>
  <c r="AE89" i="53" s="1"/>
  <c r="X89" i="53"/>
  <c r="Y89" i="53" s="1"/>
  <c r="U89" i="53"/>
  <c r="S89" i="53"/>
  <c r="Q89" i="53"/>
  <c r="N89" i="53"/>
  <c r="R89" i="53" s="1"/>
  <c r="AB88" i="53"/>
  <c r="AE88" i="53" s="1"/>
  <c r="X88" i="53"/>
  <c r="S88" i="53"/>
  <c r="U88" i="53" s="1"/>
  <c r="Y88" i="53" s="1"/>
  <c r="Q88" i="53"/>
  <c r="N88" i="53"/>
  <c r="R88" i="53" s="1"/>
  <c r="AE87" i="53"/>
  <c r="AF87" i="53" s="1"/>
  <c r="AB87" i="53"/>
  <c r="Y87" i="53"/>
  <c r="X87" i="53"/>
  <c r="S87" i="53"/>
  <c r="U87" i="53" s="1"/>
  <c r="Q87" i="53"/>
  <c r="N87" i="53"/>
  <c r="R87" i="53" s="1"/>
  <c r="AB86" i="53"/>
  <c r="AE86" i="53" s="1"/>
  <c r="X86" i="53"/>
  <c r="U86" i="53"/>
  <c r="Y86" i="53" s="1"/>
  <c r="S86" i="53"/>
  <c r="Q86" i="53"/>
  <c r="N86" i="53"/>
  <c r="R86" i="53" s="1"/>
  <c r="AB85" i="53"/>
  <c r="AE85" i="53" s="1"/>
  <c r="Y85" i="53"/>
  <c r="X85" i="53"/>
  <c r="U85" i="53"/>
  <c r="S85" i="53"/>
  <c r="AE84" i="53"/>
  <c r="AF84" i="53" s="1"/>
  <c r="AB84" i="53"/>
  <c r="X84" i="53"/>
  <c r="U84" i="53"/>
  <c r="Y84" i="53" s="1"/>
  <c r="S84" i="53"/>
  <c r="AE83" i="53"/>
  <c r="AB83" i="53"/>
  <c r="Y83" i="53"/>
  <c r="X83" i="53"/>
  <c r="U83" i="53"/>
  <c r="S83" i="53"/>
  <c r="Q83" i="53"/>
  <c r="N83" i="53"/>
  <c r="R83" i="53" s="1"/>
  <c r="AE82" i="53"/>
  <c r="AB82" i="53"/>
  <c r="X82" i="53"/>
  <c r="S82" i="53"/>
  <c r="U82" i="53" s="1"/>
  <c r="Y82" i="53" s="1"/>
  <c r="AF82" i="53" s="1"/>
  <c r="R82" i="53"/>
  <c r="Q82" i="53"/>
  <c r="N82" i="53"/>
  <c r="AE81" i="53"/>
  <c r="AB81" i="53"/>
  <c r="X81" i="53"/>
  <c r="S81" i="53"/>
  <c r="U81" i="53" s="1"/>
  <c r="Y81" i="53" s="1"/>
  <c r="AF81" i="53" s="1"/>
  <c r="R81" i="53"/>
  <c r="Q81" i="53"/>
  <c r="N81" i="53"/>
  <c r="AB80" i="53"/>
  <c r="AE80" i="53" s="1"/>
  <c r="AF80" i="53" s="1"/>
  <c r="Y80" i="53"/>
  <c r="X80" i="53"/>
  <c r="U80" i="53"/>
  <c r="S80" i="53"/>
  <c r="Q80" i="53"/>
  <c r="N80" i="53"/>
  <c r="R80" i="53" s="1"/>
  <c r="AE79" i="53"/>
  <c r="AF79" i="53" s="1"/>
  <c r="AB79" i="53"/>
  <c r="X79" i="53"/>
  <c r="S79" i="53"/>
  <c r="U79" i="53" s="1"/>
  <c r="Y79" i="53" s="1"/>
  <c r="R79" i="53"/>
  <c r="Q79" i="53"/>
  <c r="N79" i="53"/>
  <c r="AB78" i="53"/>
  <c r="AE78" i="53" s="1"/>
  <c r="X78" i="53"/>
  <c r="S78" i="53"/>
  <c r="U78" i="53" s="1"/>
  <c r="Y78" i="53" s="1"/>
  <c r="Q78" i="53"/>
  <c r="R78" i="53" s="1"/>
  <c r="N78" i="53"/>
  <c r="AF77" i="53"/>
  <c r="AE77" i="53"/>
  <c r="AB77" i="53"/>
  <c r="X77" i="53"/>
  <c r="S77" i="53"/>
  <c r="U77" i="53" s="1"/>
  <c r="Y77" i="53" s="1"/>
  <c r="Q77" i="53"/>
  <c r="N77" i="53"/>
  <c r="R77" i="53" s="1"/>
  <c r="AB76" i="53"/>
  <c r="AE76" i="53" s="1"/>
  <c r="Y76" i="53"/>
  <c r="X76" i="53"/>
  <c r="S76" i="53"/>
  <c r="U76" i="53" s="1"/>
  <c r="Q76" i="53"/>
  <c r="R76" i="53" s="1"/>
  <c r="N76" i="53"/>
  <c r="AE75" i="53"/>
  <c r="AB75" i="53"/>
  <c r="X75" i="53"/>
  <c r="S75" i="53"/>
  <c r="U75" i="53" s="1"/>
  <c r="Y75" i="53" s="1"/>
  <c r="R75" i="53"/>
  <c r="Q75" i="53"/>
  <c r="N75" i="53"/>
  <c r="AB74" i="53"/>
  <c r="AE74" i="53" s="1"/>
  <c r="X74" i="53"/>
  <c r="U74" i="53"/>
  <c r="Y74" i="53" s="1"/>
  <c r="AF74" i="53" s="1"/>
  <c r="S74" i="53"/>
  <c r="R74" i="53"/>
  <c r="Q74" i="53"/>
  <c r="N74" i="53"/>
  <c r="AB73" i="53"/>
  <c r="AE73" i="53" s="1"/>
  <c r="X73" i="53"/>
  <c r="S73" i="53"/>
  <c r="U73" i="53" s="1"/>
  <c r="Y73" i="53" s="1"/>
  <c r="Q73" i="53"/>
  <c r="N73" i="53"/>
  <c r="R73" i="53" s="1"/>
  <c r="AE72" i="53"/>
  <c r="AF72" i="53" s="1"/>
  <c r="AB72" i="53"/>
  <c r="Y72" i="53"/>
  <c r="X72" i="53"/>
  <c r="S72" i="53"/>
  <c r="U72" i="53" s="1"/>
  <c r="Q72" i="53"/>
  <c r="N72" i="53"/>
  <c r="R72" i="53" s="1"/>
  <c r="AE71" i="53"/>
  <c r="AB71" i="53"/>
  <c r="X71" i="53"/>
  <c r="U71" i="53"/>
  <c r="Y71" i="53" s="1"/>
  <c r="AF71" i="53" s="1"/>
  <c r="S71" i="53"/>
  <c r="Q71" i="53"/>
  <c r="N71" i="53"/>
  <c r="R71" i="53" s="1"/>
  <c r="AB70" i="53"/>
  <c r="AE70" i="53" s="1"/>
  <c r="X70" i="53"/>
  <c r="U70" i="53"/>
  <c r="Y70" i="53" s="1"/>
  <c r="AF70" i="53" s="1"/>
  <c r="S70" i="53"/>
  <c r="R70" i="53"/>
  <c r="Q70" i="53"/>
  <c r="N70" i="53"/>
  <c r="AB69" i="53"/>
  <c r="AE69" i="53" s="1"/>
  <c r="X69" i="53"/>
  <c r="U69" i="53"/>
  <c r="Y69" i="53" s="1"/>
  <c r="Q69" i="53"/>
  <c r="N69" i="53"/>
  <c r="R69" i="53" s="1"/>
  <c r="AE68" i="53"/>
  <c r="AB68" i="53"/>
  <c r="X68" i="53"/>
  <c r="U68" i="53"/>
  <c r="Q68" i="53"/>
  <c r="N68" i="53"/>
  <c r="R68" i="53" s="1"/>
  <c r="AE67" i="53"/>
  <c r="AB67" i="53"/>
  <c r="X67" i="53"/>
  <c r="Y67" i="53" s="1"/>
  <c r="U67" i="53"/>
  <c r="Q67" i="53"/>
  <c r="N67" i="53"/>
  <c r="AB66" i="53"/>
  <c r="AE66" i="53" s="1"/>
  <c r="X66" i="53"/>
  <c r="U66" i="53"/>
  <c r="Y66" i="53" s="1"/>
  <c r="AF66" i="53" s="1"/>
  <c r="S66" i="53"/>
  <c r="R66" i="53"/>
  <c r="Q66" i="53"/>
  <c r="N66" i="53"/>
  <c r="AE65" i="53"/>
  <c r="AB65" i="53"/>
  <c r="X65" i="53"/>
  <c r="S65" i="53"/>
  <c r="U65" i="53" s="1"/>
  <c r="Y65" i="53" s="1"/>
  <c r="Q65" i="53"/>
  <c r="N65" i="53"/>
  <c r="R65" i="53" s="1"/>
  <c r="AB64" i="53"/>
  <c r="AE64" i="53" s="1"/>
  <c r="X64" i="53"/>
  <c r="Y64" i="53" s="1"/>
  <c r="AF64" i="53" s="1"/>
  <c r="U64" i="53"/>
  <c r="S64" i="53"/>
  <c r="Q64" i="53"/>
  <c r="N64" i="53"/>
  <c r="R64" i="53" s="1"/>
  <c r="AF63" i="53"/>
  <c r="AE63" i="53"/>
  <c r="AB63" i="53"/>
  <c r="X63" i="53"/>
  <c r="S63" i="53"/>
  <c r="U63" i="53" s="1"/>
  <c r="Y63" i="53" s="1"/>
  <c r="R63" i="53"/>
  <c r="Q63" i="53"/>
  <c r="N63" i="53"/>
  <c r="AB62" i="53"/>
  <c r="AE62" i="53" s="1"/>
  <c r="Y62" i="53"/>
  <c r="AF62" i="53" s="1"/>
  <c r="X62" i="53"/>
  <c r="S62" i="53"/>
  <c r="U62" i="53" s="1"/>
  <c r="R62" i="53"/>
  <c r="Q62" i="53"/>
  <c r="N62" i="53"/>
  <c r="AE61" i="53"/>
  <c r="AB61" i="53"/>
  <c r="X61" i="53"/>
  <c r="U61" i="53"/>
  <c r="Y61" i="53" s="1"/>
  <c r="S61" i="53"/>
  <c r="Q61" i="53"/>
  <c r="N61" i="53"/>
  <c r="R61" i="53" s="1"/>
  <c r="AF61" i="53" s="1"/>
  <c r="AE60" i="53"/>
  <c r="AB60" i="53"/>
  <c r="X60" i="53"/>
  <c r="S60" i="53"/>
  <c r="U60" i="53" s="1"/>
  <c r="Y60" i="53" s="1"/>
  <c r="AF60" i="53" s="1"/>
  <c r="R60" i="53"/>
  <c r="Q60" i="53"/>
  <c r="N60" i="53"/>
  <c r="AB59" i="53"/>
  <c r="AE59" i="53" s="1"/>
  <c r="Y59" i="53"/>
  <c r="AF59" i="53" s="1"/>
  <c r="X59" i="53"/>
  <c r="U59" i="53"/>
  <c r="S59" i="53"/>
  <c r="Q59" i="53"/>
  <c r="N59" i="53"/>
  <c r="R59" i="53" s="1"/>
  <c r="AB58" i="53"/>
  <c r="AE58" i="53" s="1"/>
  <c r="X58" i="53"/>
  <c r="S58" i="53"/>
  <c r="U58" i="53" s="1"/>
  <c r="Y58" i="53" s="1"/>
  <c r="Q58" i="53"/>
  <c r="N58" i="53"/>
  <c r="R58" i="53" s="1"/>
  <c r="AE57" i="53"/>
  <c r="AB57" i="53"/>
  <c r="X57" i="53"/>
  <c r="S57" i="53"/>
  <c r="U57" i="53" s="1"/>
  <c r="Y57" i="53" s="1"/>
  <c r="Q57" i="53"/>
  <c r="N57" i="53"/>
  <c r="R57" i="53" s="1"/>
  <c r="AB56" i="53"/>
  <c r="AE56" i="53" s="1"/>
  <c r="AF56" i="53" s="1"/>
  <c r="Y56" i="53"/>
  <c r="X56" i="53"/>
  <c r="S56" i="53"/>
  <c r="U56" i="53" s="1"/>
  <c r="Q56" i="53"/>
  <c r="N56" i="53"/>
  <c r="R56" i="53" s="1"/>
  <c r="AF55" i="53"/>
  <c r="AB55" i="53"/>
  <c r="AE55" i="53" s="1"/>
  <c r="X55" i="53"/>
  <c r="U55" i="53"/>
  <c r="Y55" i="53" s="1"/>
  <c r="S55" i="53"/>
  <c r="Q55" i="53"/>
  <c r="N55" i="53"/>
  <c r="R55" i="53" s="1"/>
  <c r="AB54" i="53"/>
  <c r="AE54" i="53" s="1"/>
  <c r="X54" i="53"/>
  <c r="U54" i="53"/>
  <c r="Y54" i="53" s="1"/>
  <c r="AF54" i="53" s="1"/>
  <c r="S54" i="53"/>
  <c r="R54" i="53"/>
  <c r="Q54" i="53"/>
  <c r="N54" i="53"/>
  <c r="AB53" i="53"/>
  <c r="AE53" i="53" s="1"/>
  <c r="X53" i="53"/>
  <c r="S53" i="53"/>
  <c r="U53" i="53" s="1"/>
  <c r="Y53" i="53" s="1"/>
  <c r="AF53" i="53" s="1"/>
  <c r="Q53" i="53"/>
  <c r="R53" i="53" s="1"/>
  <c r="N53" i="53"/>
  <c r="AB52" i="53"/>
  <c r="AE52" i="53" s="1"/>
  <c r="X52" i="53"/>
  <c r="S52" i="53"/>
  <c r="U52" i="53" s="1"/>
  <c r="Y52" i="53" s="1"/>
  <c r="Q52" i="53"/>
  <c r="N52" i="53"/>
  <c r="R52" i="53" s="1"/>
  <c r="AE51" i="53"/>
  <c r="AB51" i="53"/>
  <c r="X51" i="53"/>
  <c r="U51" i="53"/>
  <c r="Y51" i="53" s="1"/>
  <c r="AF51" i="53" s="1"/>
  <c r="S51" i="53"/>
  <c r="Q51" i="53"/>
  <c r="N51" i="53"/>
  <c r="R51" i="53" s="1"/>
  <c r="AB50" i="53"/>
  <c r="AE50" i="53" s="1"/>
  <c r="X50" i="53"/>
  <c r="S50" i="53"/>
  <c r="U50" i="53" s="1"/>
  <c r="Y50" i="53" s="1"/>
  <c r="R50" i="53"/>
  <c r="Q50" i="53"/>
  <c r="N50" i="53"/>
  <c r="AB49" i="53"/>
  <c r="AE49" i="53" s="1"/>
  <c r="X49" i="53"/>
  <c r="U49" i="53"/>
  <c r="Y49" i="53" s="1"/>
  <c r="S49" i="53"/>
  <c r="Q49" i="53"/>
  <c r="N49" i="53"/>
  <c r="R49" i="53" s="1"/>
  <c r="AE48" i="53"/>
  <c r="AB48" i="53"/>
  <c r="X48" i="53"/>
  <c r="S48" i="53"/>
  <c r="U48" i="53" s="1"/>
  <c r="Y48" i="53" s="1"/>
  <c r="AF48" i="53" s="1"/>
  <c r="R48" i="53"/>
  <c r="Q48" i="53"/>
  <c r="N48" i="53"/>
  <c r="AE47" i="53"/>
  <c r="AF47" i="53" s="1"/>
  <c r="AB47" i="53"/>
  <c r="Y47" i="53"/>
  <c r="X47" i="53"/>
  <c r="S47" i="53"/>
  <c r="U47" i="53" s="1"/>
  <c r="Q47" i="53"/>
  <c r="N47" i="53"/>
  <c r="R47" i="53" s="1"/>
  <c r="AB46" i="53"/>
  <c r="AE46" i="53" s="1"/>
  <c r="X46" i="53"/>
  <c r="U46" i="53"/>
  <c r="Y46" i="53" s="1"/>
  <c r="AF46" i="53" s="1"/>
  <c r="S46" i="53"/>
  <c r="R46" i="53"/>
  <c r="Q46" i="53"/>
  <c r="N46" i="53"/>
  <c r="AE45" i="53"/>
  <c r="AB45" i="53"/>
  <c r="X45" i="53"/>
  <c r="U45" i="53"/>
  <c r="S45" i="53"/>
  <c r="Q45" i="53"/>
  <c r="N45" i="53"/>
  <c r="R45" i="53" s="1"/>
  <c r="AF44" i="53"/>
  <c r="AE44" i="53"/>
  <c r="AB44" i="53"/>
  <c r="X44" i="53"/>
  <c r="S44" i="53"/>
  <c r="U44" i="53" s="1"/>
  <c r="Y44" i="53" s="1"/>
  <c r="Q44" i="53"/>
  <c r="N44" i="53"/>
  <c r="R44" i="53" s="1"/>
  <c r="AE43" i="53"/>
  <c r="AB43" i="53"/>
  <c r="Y43" i="53"/>
  <c r="AF43" i="53" s="1"/>
  <c r="X43" i="53"/>
  <c r="U43" i="53"/>
  <c r="S43" i="53"/>
  <c r="Q43" i="53"/>
  <c r="N43" i="53"/>
  <c r="R43" i="53" s="1"/>
  <c r="AE42" i="53"/>
  <c r="AB42" i="53"/>
  <c r="Y42" i="53"/>
  <c r="X42" i="53"/>
  <c r="U42" i="53"/>
  <c r="S42" i="53"/>
  <c r="R42" i="53"/>
  <c r="Q42" i="53"/>
  <c r="N42" i="53"/>
  <c r="AB41" i="53"/>
  <c r="AE41" i="53" s="1"/>
  <c r="X41" i="53"/>
  <c r="S41" i="53"/>
  <c r="U41" i="53" s="1"/>
  <c r="Y41" i="53" s="1"/>
  <c r="R41" i="53"/>
  <c r="Q41" i="53"/>
  <c r="N41" i="53"/>
  <c r="AB40" i="53"/>
  <c r="AE40" i="53" s="1"/>
  <c r="X40" i="53"/>
  <c r="S40" i="53"/>
  <c r="U40" i="53" s="1"/>
  <c r="Y40" i="53" s="1"/>
  <c r="Q40" i="53"/>
  <c r="N40" i="53"/>
  <c r="R40" i="53" s="1"/>
  <c r="AE39" i="53"/>
  <c r="AB39" i="53"/>
  <c r="X39" i="53"/>
  <c r="S39" i="53"/>
  <c r="U39" i="53" s="1"/>
  <c r="Y39" i="53" s="1"/>
  <c r="Q39" i="53"/>
  <c r="N39" i="53"/>
  <c r="R39" i="53" s="1"/>
  <c r="AF38" i="53"/>
  <c r="AE38" i="53"/>
  <c r="AB38" i="53"/>
  <c r="Y38" i="53"/>
  <c r="X38" i="53"/>
  <c r="S38" i="53"/>
  <c r="U38" i="53" s="1"/>
  <c r="R38" i="53"/>
  <c r="Q38" i="53"/>
  <c r="N38" i="53"/>
  <c r="AB37" i="53"/>
  <c r="AE37" i="53" s="1"/>
  <c r="Y37" i="53"/>
  <c r="AF37" i="53" s="1"/>
  <c r="X37" i="53"/>
  <c r="U37" i="53"/>
  <c r="S37" i="53"/>
  <c r="Q37" i="53"/>
  <c r="R37" i="53" s="1"/>
  <c r="N37" i="53"/>
  <c r="AB36" i="53"/>
  <c r="AE36" i="53" s="1"/>
  <c r="X36" i="53"/>
  <c r="S36" i="53"/>
  <c r="U36" i="53" s="1"/>
  <c r="Y36" i="53" s="1"/>
  <c r="Q36" i="53"/>
  <c r="N36" i="53"/>
  <c r="AF35" i="53"/>
  <c r="AE35" i="53"/>
  <c r="AB35" i="53"/>
  <c r="X35" i="53"/>
  <c r="S35" i="53"/>
  <c r="U35" i="53" s="1"/>
  <c r="Y35" i="53" s="1"/>
  <c r="Q35" i="53"/>
  <c r="N35" i="53"/>
  <c r="R35" i="53" s="1"/>
  <c r="AE34" i="53"/>
  <c r="AB34" i="53"/>
  <c r="X34" i="53"/>
  <c r="S34" i="53"/>
  <c r="U34" i="53" s="1"/>
  <c r="Y34" i="53" s="1"/>
  <c r="Q34" i="53"/>
  <c r="N34" i="53"/>
  <c r="AB33" i="53"/>
  <c r="AE33" i="53" s="1"/>
  <c r="X33" i="53"/>
  <c r="Y33" i="53" s="1"/>
  <c r="U33" i="53"/>
  <c r="S33" i="53"/>
  <c r="Q33" i="53"/>
  <c r="N33" i="53"/>
  <c r="R33" i="53" s="1"/>
  <c r="AE32" i="53"/>
  <c r="AF32" i="53" s="1"/>
  <c r="AB32" i="53"/>
  <c r="X32" i="53"/>
  <c r="S32" i="53"/>
  <c r="U32" i="53" s="1"/>
  <c r="Y32" i="53" s="1"/>
  <c r="R32" i="53"/>
  <c r="Q32" i="53"/>
  <c r="N32" i="53"/>
  <c r="AB31" i="53"/>
  <c r="AE31" i="53" s="1"/>
  <c r="Y31" i="53"/>
  <c r="AF31" i="53" s="1"/>
  <c r="X31" i="53"/>
  <c r="U31" i="53"/>
  <c r="S31" i="53"/>
  <c r="R31" i="53"/>
  <c r="Q31" i="53"/>
  <c r="N31" i="53"/>
  <c r="AB30" i="53"/>
  <c r="AE30" i="53" s="1"/>
  <c r="X30" i="53"/>
  <c r="S30" i="53"/>
  <c r="U30" i="53" s="1"/>
  <c r="Y30" i="53" s="1"/>
  <c r="Q30" i="53"/>
  <c r="N30" i="53"/>
  <c r="R30" i="53" s="1"/>
  <c r="AF29" i="53"/>
  <c r="AE29" i="53"/>
  <c r="AB29" i="53"/>
  <c r="X29" i="53"/>
  <c r="S29" i="53"/>
  <c r="U29" i="53" s="1"/>
  <c r="Y29" i="53" s="1"/>
  <c r="R29" i="53"/>
  <c r="Q29" i="53"/>
  <c r="N29" i="53"/>
  <c r="AB28" i="53"/>
  <c r="AE28" i="53" s="1"/>
  <c r="X28" i="53"/>
  <c r="S28" i="53"/>
  <c r="U28" i="53" s="1"/>
  <c r="Y28" i="53" s="1"/>
  <c r="AF28" i="53" s="1"/>
  <c r="Q28" i="53"/>
  <c r="N28" i="53"/>
  <c r="R28" i="53" s="1"/>
  <c r="AB27" i="53"/>
  <c r="AE27" i="53" s="1"/>
  <c r="Y27" i="53"/>
  <c r="AF27" i="53" s="1"/>
  <c r="X27" i="53"/>
  <c r="U27" i="53"/>
  <c r="S27" i="53"/>
  <c r="Q27" i="53"/>
  <c r="N27" i="53"/>
  <c r="R27" i="53" s="1"/>
  <c r="AB26" i="53"/>
  <c r="AE26" i="53" s="1"/>
  <c r="X26" i="53"/>
  <c r="S26" i="53"/>
  <c r="U26" i="53" s="1"/>
  <c r="Y26" i="53" s="1"/>
  <c r="AF26" i="53" s="1"/>
  <c r="R26" i="53"/>
  <c r="Q26" i="53"/>
  <c r="N26" i="53"/>
  <c r="AB25" i="53"/>
  <c r="AE25" i="53" s="1"/>
  <c r="X25" i="53"/>
  <c r="S25" i="53"/>
  <c r="U25" i="53" s="1"/>
  <c r="Y25" i="53" s="1"/>
  <c r="Q25" i="53"/>
  <c r="R25" i="53" s="1"/>
  <c r="N25" i="53"/>
  <c r="AB24" i="53"/>
  <c r="AE24" i="53" s="1"/>
  <c r="X24" i="53"/>
  <c r="S24" i="53"/>
  <c r="U24" i="53" s="1"/>
  <c r="Y24" i="53" s="1"/>
  <c r="R24" i="53"/>
  <c r="Q24" i="53"/>
  <c r="N24" i="53"/>
  <c r="AE23" i="53"/>
  <c r="AB23" i="53"/>
  <c r="X23" i="53"/>
  <c r="S23" i="53"/>
  <c r="U23" i="53" s="1"/>
  <c r="Y23" i="53" s="1"/>
  <c r="AF23" i="53" s="1"/>
  <c r="Q23" i="53"/>
  <c r="R23" i="53" s="1"/>
  <c r="N23" i="53"/>
  <c r="AB22" i="53"/>
  <c r="AE22" i="53" s="1"/>
  <c r="X22" i="53"/>
  <c r="S22" i="53"/>
  <c r="U22" i="53" s="1"/>
  <c r="Y22" i="53" s="1"/>
  <c r="Q22" i="53"/>
  <c r="N22" i="53"/>
  <c r="AB21" i="53"/>
  <c r="AE21" i="53" s="1"/>
  <c r="X21" i="53"/>
  <c r="Y21" i="53" s="1"/>
  <c r="AF21" i="53" s="1"/>
  <c r="U21" i="53"/>
  <c r="S21" i="53"/>
  <c r="Q21" i="53"/>
  <c r="N21" i="53"/>
  <c r="R21" i="53" s="1"/>
  <c r="AE20" i="53"/>
  <c r="AB20" i="53"/>
  <c r="X20" i="53"/>
  <c r="S20" i="53"/>
  <c r="U20" i="53" s="1"/>
  <c r="Y20" i="53" s="1"/>
  <c r="AF20" i="53" s="1"/>
  <c r="R20" i="53"/>
  <c r="Q20" i="53"/>
  <c r="N20" i="53"/>
  <c r="AB19" i="53"/>
  <c r="AE19" i="53" s="1"/>
  <c r="Y19" i="53"/>
  <c r="X19" i="53"/>
  <c r="U19" i="53"/>
  <c r="S19" i="53"/>
  <c r="Q19" i="53"/>
  <c r="R19" i="53" s="1"/>
  <c r="N19" i="53"/>
  <c r="AE10" i="53"/>
  <c r="C10" i="53"/>
  <c r="AE9" i="53"/>
  <c r="AE34" i="52"/>
  <c r="Z34" i="52"/>
  <c r="X34" i="52"/>
  <c r="U34" i="52"/>
  <c r="Y34" i="52" s="1"/>
  <c r="S34" i="52"/>
  <c r="O34" i="52"/>
  <c r="Q34" i="52" s="1"/>
  <c r="N34" i="52"/>
  <c r="R34" i="52" s="1"/>
  <c r="AE33" i="52"/>
  <c r="AA33" i="52"/>
  <c r="Z33" i="52"/>
  <c r="X33" i="52"/>
  <c r="U33" i="52"/>
  <c r="Y33" i="52" s="1"/>
  <c r="Q33" i="52"/>
  <c r="O33" i="52"/>
  <c r="N33" i="52"/>
  <c r="AE32" i="52"/>
  <c r="Z32" i="52"/>
  <c r="X32" i="52"/>
  <c r="S32" i="52"/>
  <c r="U32" i="52" s="1"/>
  <c r="Y32" i="52" s="1"/>
  <c r="O32" i="52"/>
  <c r="Q32" i="52" s="1"/>
  <c r="N32" i="52"/>
  <c r="R32" i="52" s="1"/>
  <c r="AE31" i="52"/>
  <c r="Y31" i="52"/>
  <c r="X31" i="52"/>
  <c r="U31" i="52"/>
  <c r="S31" i="52"/>
  <c r="O31" i="52"/>
  <c r="Q31" i="52" s="1"/>
  <c r="N31" i="52"/>
  <c r="Z30" i="52"/>
  <c r="AB30" i="52" s="1"/>
  <c r="AE30" i="52" s="1"/>
  <c r="X30" i="52"/>
  <c r="U30" i="52"/>
  <c r="Y30" i="52" s="1"/>
  <c r="AF30" i="52" s="1"/>
  <c r="S30" i="52"/>
  <c r="O30" i="52"/>
  <c r="Q30" i="52" s="1"/>
  <c r="N30" i="52"/>
  <c r="R30" i="52" s="1"/>
  <c r="C30" i="52"/>
  <c r="B30" i="52"/>
  <c r="AE29" i="52"/>
  <c r="Z29" i="52"/>
  <c r="X29" i="52"/>
  <c r="U29" i="52"/>
  <c r="Y29" i="52" s="1"/>
  <c r="AF29" i="52" s="1"/>
  <c r="S29" i="52"/>
  <c r="Q29" i="52"/>
  <c r="O29" i="52"/>
  <c r="N29" i="52"/>
  <c r="R29" i="52" s="1"/>
  <c r="AE28" i="52"/>
  <c r="Z28" i="52"/>
  <c r="X28" i="52"/>
  <c r="S28" i="52"/>
  <c r="U28" i="52" s="1"/>
  <c r="Y28" i="52" s="1"/>
  <c r="O28" i="52"/>
  <c r="Q28" i="52" s="1"/>
  <c r="N28" i="52"/>
  <c r="AE27" i="52"/>
  <c r="Z27" i="52"/>
  <c r="Y27" i="52"/>
  <c r="AF27" i="52" s="1"/>
  <c r="X27" i="52"/>
  <c r="U27" i="52"/>
  <c r="S27" i="52"/>
  <c r="O27" i="52"/>
  <c r="Q27" i="52" s="1"/>
  <c r="R27" i="52" s="1"/>
  <c r="N27" i="52"/>
  <c r="Z26" i="52"/>
  <c r="AB26" i="52" s="1"/>
  <c r="AE26" i="52" s="1"/>
  <c r="X26" i="52"/>
  <c r="U26" i="52"/>
  <c r="Y26" i="52" s="1"/>
  <c r="AF26" i="52" s="1"/>
  <c r="S26" i="52"/>
  <c r="R26" i="52"/>
  <c r="O26" i="52"/>
  <c r="Q26" i="52" s="1"/>
  <c r="N26" i="52"/>
  <c r="Z25" i="52"/>
  <c r="AB25" i="52" s="1"/>
  <c r="AE25" i="52" s="1"/>
  <c r="X25" i="52"/>
  <c r="S25" i="52"/>
  <c r="U25" i="52" s="1"/>
  <c r="Y25" i="52" s="1"/>
  <c r="AF25" i="52" s="1"/>
  <c r="R25" i="52"/>
  <c r="O25" i="52"/>
  <c r="Q25" i="52" s="1"/>
  <c r="N25" i="52"/>
  <c r="Z24" i="52"/>
  <c r="AB24" i="52" s="1"/>
  <c r="AE24" i="52" s="1"/>
  <c r="X24" i="52"/>
  <c r="S24" i="52"/>
  <c r="U24" i="52" s="1"/>
  <c r="Y24" i="52" s="1"/>
  <c r="O24" i="52"/>
  <c r="Q24" i="52" s="1"/>
  <c r="R24" i="52" s="1"/>
  <c r="N24" i="52"/>
  <c r="AB23" i="52"/>
  <c r="AE23" i="52" s="1"/>
  <c r="Z23" i="52"/>
  <c r="X23" i="52"/>
  <c r="U23" i="52"/>
  <c r="Y23" i="52" s="1"/>
  <c r="S23" i="52"/>
  <c r="R23" i="52"/>
  <c r="O23" i="52"/>
  <c r="Q23" i="52" s="1"/>
  <c r="N23" i="52"/>
  <c r="AB22" i="52"/>
  <c r="AE22" i="52" s="1"/>
  <c r="Z22" i="52"/>
  <c r="X22" i="52"/>
  <c r="S22" i="52"/>
  <c r="U22" i="52" s="1"/>
  <c r="Y22" i="52" s="1"/>
  <c r="AF22" i="52" s="1"/>
  <c r="R22" i="52"/>
  <c r="O22" i="52"/>
  <c r="Q22" i="52" s="1"/>
  <c r="N22" i="52"/>
  <c r="Z21" i="52"/>
  <c r="AB21" i="52" s="1"/>
  <c r="AE21" i="52" s="1"/>
  <c r="Y21" i="52"/>
  <c r="AF21" i="52" s="1"/>
  <c r="X21" i="52"/>
  <c r="U21" i="52"/>
  <c r="S21" i="52"/>
  <c r="O21" i="52"/>
  <c r="Q21" i="52" s="1"/>
  <c r="R21" i="52" s="1"/>
  <c r="N21" i="52"/>
  <c r="AB20" i="52"/>
  <c r="AE20" i="52" s="1"/>
  <c r="Z20" i="52"/>
  <c r="X20" i="52"/>
  <c r="U20" i="52"/>
  <c r="Y20" i="52" s="1"/>
  <c r="S20" i="52"/>
  <c r="R20" i="52"/>
  <c r="O20" i="52"/>
  <c r="Q20" i="52" s="1"/>
  <c r="N20" i="52"/>
  <c r="Z19" i="52"/>
  <c r="AB19" i="52" s="1"/>
  <c r="AE19" i="52" s="1"/>
  <c r="Y19" i="52"/>
  <c r="X19" i="52"/>
  <c r="U19" i="52"/>
  <c r="S19" i="52"/>
  <c r="R19" i="52"/>
  <c r="O19" i="52"/>
  <c r="Q19" i="52" s="1"/>
  <c r="N19" i="52"/>
  <c r="Z18" i="52"/>
  <c r="AB18" i="52" s="1"/>
  <c r="AE18" i="52" s="1"/>
  <c r="X18" i="52"/>
  <c r="U18" i="52"/>
  <c r="Y18" i="52" s="1"/>
  <c r="AF18" i="52" s="1"/>
  <c r="S18" i="52"/>
  <c r="R18" i="52"/>
  <c r="O18" i="52"/>
  <c r="Q18" i="52" s="1"/>
  <c r="N18" i="52"/>
  <c r="AB17" i="52"/>
  <c r="AE17" i="52" s="1"/>
  <c r="Z17" i="52"/>
  <c r="X17" i="52"/>
  <c r="U17" i="52"/>
  <c r="Y17" i="52" s="1"/>
  <c r="S17" i="52"/>
  <c r="O17" i="52"/>
  <c r="Q17" i="52" s="1"/>
  <c r="R17" i="52" s="1"/>
  <c r="N17" i="52"/>
  <c r="AE16" i="52"/>
  <c r="AB16" i="52"/>
  <c r="Z16" i="52"/>
  <c r="X16" i="52"/>
  <c r="S16" i="52"/>
  <c r="U16" i="52" s="1"/>
  <c r="Y16" i="52" s="1"/>
  <c r="R16" i="52"/>
  <c r="O16" i="52"/>
  <c r="Q16" i="52" s="1"/>
  <c r="N16" i="52"/>
  <c r="Z15" i="52"/>
  <c r="AB15" i="52" s="1"/>
  <c r="AE15" i="52" s="1"/>
  <c r="Y15" i="52"/>
  <c r="AF15" i="52" s="1"/>
  <c r="X15" i="52"/>
  <c r="U15" i="52"/>
  <c r="S15" i="52"/>
  <c r="O15" i="52"/>
  <c r="Q15" i="52" s="1"/>
  <c r="R15" i="52" s="1"/>
  <c r="N15" i="52"/>
  <c r="Z14" i="52"/>
  <c r="AB14" i="52" s="1"/>
  <c r="AE14" i="52" s="1"/>
  <c r="X14" i="52"/>
  <c r="U14" i="52"/>
  <c r="Y14" i="52" s="1"/>
  <c r="S14" i="52"/>
  <c r="R14" i="52"/>
  <c r="O14" i="52"/>
  <c r="Q14" i="52" s="1"/>
  <c r="N14" i="52"/>
  <c r="Z13" i="52"/>
  <c r="AB13" i="52" s="1"/>
  <c r="AE13" i="52" s="1"/>
  <c r="X13" i="52"/>
  <c r="S13" i="52"/>
  <c r="U13" i="52" s="1"/>
  <c r="Y13" i="52" s="1"/>
  <c r="AF13" i="52" s="1"/>
  <c r="R13" i="52"/>
  <c r="O13" i="52"/>
  <c r="Q13" i="52" s="1"/>
  <c r="N13" i="52"/>
  <c r="Z12" i="52"/>
  <c r="AB12" i="52" s="1"/>
  <c r="AE12" i="52" s="1"/>
  <c r="X12" i="52"/>
  <c r="S12" i="52"/>
  <c r="U12" i="52" s="1"/>
  <c r="Y12" i="52" s="1"/>
  <c r="R12" i="52"/>
  <c r="O12" i="52"/>
  <c r="Q12" i="52" s="1"/>
  <c r="N12" i="52"/>
  <c r="AB11" i="52"/>
  <c r="AE11" i="52" s="1"/>
  <c r="Z11" i="52"/>
  <c r="X11" i="52"/>
  <c r="U11" i="52"/>
  <c r="S11" i="52"/>
  <c r="R11" i="52"/>
  <c r="O11" i="52"/>
  <c r="Q11" i="52" s="1"/>
  <c r="N11" i="52"/>
  <c r="AB10" i="52"/>
  <c r="AE10" i="52" s="1"/>
  <c r="Z10" i="52"/>
  <c r="X10" i="52"/>
  <c r="S10" i="52"/>
  <c r="U10" i="52" s="1"/>
  <c r="Y10" i="52" s="1"/>
  <c r="AF10" i="52" s="1"/>
  <c r="R10" i="52"/>
  <c r="O10" i="52"/>
  <c r="Q10" i="52" s="1"/>
  <c r="N10" i="52"/>
  <c r="Z9" i="52"/>
  <c r="AB9" i="52" s="1"/>
  <c r="AE9" i="52" s="1"/>
  <c r="X9" i="52"/>
  <c r="U9" i="52"/>
  <c r="Y9" i="52" s="1"/>
  <c r="AF9" i="52" s="1"/>
  <c r="S9" i="52"/>
  <c r="O9" i="52"/>
  <c r="Q9" i="52" s="1"/>
  <c r="R9" i="52" s="1"/>
  <c r="N9" i="52"/>
  <c r="AB8" i="52"/>
  <c r="AE8" i="52" s="1"/>
  <c r="Z8" i="52"/>
  <c r="X8" i="52"/>
  <c r="U8" i="52"/>
  <c r="Y8" i="52" s="1"/>
  <c r="S8" i="52"/>
  <c r="R8" i="52"/>
  <c r="O8" i="52"/>
  <c r="Q8" i="52" s="1"/>
  <c r="N8" i="52"/>
  <c r="AE7" i="52"/>
  <c r="AB7" i="52"/>
  <c r="Z7" i="52"/>
  <c r="Y7" i="52"/>
  <c r="X7" i="52"/>
  <c r="U7" i="52"/>
  <c r="S7" i="52"/>
  <c r="R7" i="52"/>
  <c r="O7" i="52"/>
  <c r="Q7" i="52" s="1"/>
  <c r="N7" i="52"/>
  <c r="Z6" i="52"/>
  <c r="AB6" i="52" s="1"/>
  <c r="AE6" i="52" s="1"/>
  <c r="X6" i="52"/>
  <c r="U6" i="52"/>
  <c r="Y6" i="52" s="1"/>
  <c r="AF6" i="52" s="1"/>
  <c r="S6" i="52"/>
  <c r="R6" i="52"/>
  <c r="O6" i="52"/>
  <c r="Q6" i="52" s="1"/>
  <c r="N6" i="52"/>
  <c r="AE5" i="52"/>
  <c r="AB5" i="52"/>
  <c r="X5" i="52"/>
  <c r="U5" i="52"/>
  <c r="Y5" i="52" s="1"/>
  <c r="Q5" i="52"/>
  <c r="N5" i="52"/>
  <c r="R5" i="52" s="1"/>
  <c r="AE283" i="51"/>
  <c r="AA283" i="51"/>
  <c r="AB283" i="51" s="1"/>
  <c r="Z283" i="51"/>
  <c r="S283" i="51"/>
  <c r="V283" i="51" s="1"/>
  <c r="X283" i="51" s="1"/>
  <c r="O283" i="51"/>
  <c r="Q283" i="51" s="1"/>
  <c r="N283" i="51"/>
  <c r="AE282" i="51"/>
  <c r="AA282" i="51"/>
  <c r="AB282" i="51" s="1"/>
  <c r="Z282" i="51"/>
  <c r="S282" i="51"/>
  <c r="V282" i="51" s="1"/>
  <c r="X282" i="51" s="1"/>
  <c r="Q282" i="51"/>
  <c r="O282" i="51"/>
  <c r="N282" i="51"/>
  <c r="R282" i="51" s="1"/>
  <c r="AE281" i="51"/>
  <c r="Z281" i="51"/>
  <c r="S281" i="51"/>
  <c r="Q281" i="51"/>
  <c r="R281" i="51" s="1"/>
  <c r="O281" i="51"/>
  <c r="N281" i="51"/>
  <c r="AE280" i="51"/>
  <c r="AA280" i="51"/>
  <c r="Z280" i="51"/>
  <c r="S280" i="51"/>
  <c r="R280" i="51"/>
  <c r="O280" i="51"/>
  <c r="Q280" i="51" s="1"/>
  <c r="N280" i="51"/>
  <c r="AB279" i="51"/>
  <c r="AE279" i="51" s="1"/>
  <c r="X279" i="51"/>
  <c r="Y279" i="51" s="1"/>
  <c r="AF279" i="51" s="1"/>
  <c r="U279" i="51"/>
  <c r="S279" i="51"/>
  <c r="Q279" i="51"/>
  <c r="R279" i="51" s="1"/>
  <c r="N279" i="51"/>
  <c r="AE278" i="51"/>
  <c r="AA278" i="51"/>
  <c r="Z278" i="51"/>
  <c r="V278" i="51"/>
  <c r="X278" i="51" s="1"/>
  <c r="Y278" i="51" s="1"/>
  <c r="AF278" i="51" s="1"/>
  <c r="U278" i="51"/>
  <c r="S278" i="51"/>
  <c r="Q278" i="51"/>
  <c r="O278" i="51"/>
  <c r="N278" i="51"/>
  <c r="R278" i="51" s="1"/>
  <c r="AE277" i="51"/>
  <c r="Z277" i="51"/>
  <c r="V277" i="51"/>
  <c r="X277" i="51" s="1"/>
  <c r="Y277" i="51" s="1"/>
  <c r="AF277" i="51" s="1"/>
  <c r="U277" i="51"/>
  <c r="S277" i="51"/>
  <c r="Q277" i="51"/>
  <c r="O277" i="51"/>
  <c r="N277" i="51"/>
  <c r="R277" i="51" s="1"/>
  <c r="AE276" i="51"/>
  <c r="Z276" i="51"/>
  <c r="V276" i="51"/>
  <c r="X276" i="51" s="1"/>
  <c r="U276" i="51"/>
  <c r="S276" i="51"/>
  <c r="Q276" i="51"/>
  <c r="O276" i="51"/>
  <c r="N276" i="51"/>
  <c r="R276" i="51" s="1"/>
  <c r="AE275" i="51"/>
  <c r="Z275" i="51"/>
  <c r="S275" i="51"/>
  <c r="V275" i="51" s="1"/>
  <c r="X275" i="51" s="1"/>
  <c r="R275" i="51"/>
  <c r="Q275" i="51"/>
  <c r="O275" i="51"/>
  <c r="N275" i="51"/>
  <c r="AE274" i="51"/>
  <c r="AA274" i="51"/>
  <c r="Z274" i="51"/>
  <c r="S274" i="51"/>
  <c r="R274" i="51"/>
  <c r="O274" i="51"/>
  <c r="Q274" i="51" s="1"/>
  <c r="N274" i="51"/>
  <c r="AB273" i="51"/>
  <c r="AE273" i="51" s="1"/>
  <c r="X273" i="51"/>
  <c r="U273" i="51"/>
  <c r="Y273" i="51" s="1"/>
  <c r="AF273" i="51" s="1"/>
  <c r="S273" i="51"/>
  <c r="Q273" i="51"/>
  <c r="R273" i="51" s="1"/>
  <c r="N273" i="51"/>
  <c r="AE272" i="51"/>
  <c r="Z272" i="51"/>
  <c r="S272" i="51"/>
  <c r="V272" i="51" s="1"/>
  <c r="X272" i="51" s="1"/>
  <c r="Q272" i="51"/>
  <c r="R272" i="51" s="1"/>
  <c r="O272" i="51"/>
  <c r="N272" i="51"/>
  <c r="Z271" i="51"/>
  <c r="AB271" i="51" s="1"/>
  <c r="AE271" i="51" s="1"/>
  <c r="S271" i="51"/>
  <c r="V271" i="51" s="1"/>
  <c r="X271" i="51" s="1"/>
  <c r="R271" i="51"/>
  <c r="Q271" i="51"/>
  <c r="O271" i="51"/>
  <c r="N271" i="51"/>
  <c r="C271" i="51"/>
  <c r="B271" i="51"/>
  <c r="Z270" i="51"/>
  <c r="AB270" i="51" s="1"/>
  <c r="AE270" i="51" s="1"/>
  <c r="V270" i="51"/>
  <c r="X270" i="51" s="1"/>
  <c r="U270" i="51"/>
  <c r="S270" i="51"/>
  <c r="O270" i="51"/>
  <c r="Q270" i="51" s="1"/>
  <c r="N270" i="51"/>
  <c r="R270" i="51" s="1"/>
  <c r="Z269" i="51"/>
  <c r="AB269" i="51" s="1"/>
  <c r="AE269" i="51" s="1"/>
  <c r="S269" i="51"/>
  <c r="U269" i="51" s="1"/>
  <c r="O269" i="51"/>
  <c r="Q269" i="51" s="1"/>
  <c r="N269" i="51"/>
  <c r="R269" i="51" s="1"/>
  <c r="AE268" i="51"/>
  <c r="AB268" i="51"/>
  <c r="Z268" i="51"/>
  <c r="X268" i="51"/>
  <c r="S268" i="51"/>
  <c r="U268" i="51" s="1"/>
  <c r="Y268" i="51" s="1"/>
  <c r="O268" i="51"/>
  <c r="Q268" i="51" s="1"/>
  <c r="N268" i="51"/>
  <c r="AB267" i="51"/>
  <c r="AE267" i="51" s="1"/>
  <c r="AA267" i="51"/>
  <c r="Z267" i="51"/>
  <c r="Y267" i="51"/>
  <c r="V267" i="51"/>
  <c r="X267" i="51" s="1"/>
  <c r="S267" i="51"/>
  <c r="U267" i="51" s="1"/>
  <c r="O267" i="51"/>
  <c r="Q267" i="51" s="1"/>
  <c r="N267" i="51"/>
  <c r="AB266" i="51"/>
  <c r="AE266" i="51" s="1"/>
  <c r="AA266" i="51"/>
  <c r="Z266" i="51"/>
  <c r="Y266" i="51"/>
  <c r="U266" i="51"/>
  <c r="S266" i="51"/>
  <c r="V266" i="51" s="1"/>
  <c r="X266" i="51" s="1"/>
  <c r="Q266" i="51"/>
  <c r="O266" i="51"/>
  <c r="N266" i="51"/>
  <c r="AE265" i="51"/>
  <c r="Z265" i="51"/>
  <c r="U265" i="51"/>
  <c r="Y265" i="51" s="1"/>
  <c r="AF265" i="51" s="1"/>
  <c r="S265" i="51"/>
  <c r="V265" i="51" s="1"/>
  <c r="X265" i="51" s="1"/>
  <c r="O265" i="51"/>
  <c r="Q265" i="51" s="1"/>
  <c r="N265" i="51"/>
  <c r="R265" i="51" s="1"/>
  <c r="AE264" i="51"/>
  <c r="AB264" i="51"/>
  <c r="AA264" i="51"/>
  <c r="Z264" i="51"/>
  <c r="X264" i="51"/>
  <c r="U264" i="51"/>
  <c r="S264" i="51"/>
  <c r="Q264" i="51"/>
  <c r="N264" i="51"/>
  <c r="R264" i="51" s="1"/>
  <c r="AE263" i="51"/>
  <c r="AB263" i="51"/>
  <c r="Y263" i="51"/>
  <c r="AF263" i="51" s="1"/>
  <c r="X263" i="51"/>
  <c r="S263" i="51"/>
  <c r="U263" i="51" s="1"/>
  <c r="Q263" i="51"/>
  <c r="R263" i="51" s="1"/>
  <c r="N263" i="51"/>
  <c r="AB262" i="51"/>
  <c r="AE262" i="51" s="1"/>
  <c r="X262" i="51"/>
  <c r="U262" i="51"/>
  <c r="Y262" i="51" s="1"/>
  <c r="S262" i="51"/>
  <c r="Q262" i="51"/>
  <c r="N262" i="51"/>
  <c r="R262" i="51" s="1"/>
  <c r="AF261" i="51"/>
  <c r="AE261" i="51"/>
  <c r="AB261" i="51"/>
  <c r="X261" i="51"/>
  <c r="U261" i="51"/>
  <c r="Y261" i="51" s="1"/>
  <c r="S261" i="51"/>
  <c r="R261" i="51"/>
  <c r="Q261" i="51"/>
  <c r="N261" i="51"/>
  <c r="AB260" i="51"/>
  <c r="AE260" i="51" s="1"/>
  <c r="Y260" i="51"/>
  <c r="X260" i="51"/>
  <c r="U260" i="51"/>
  <c r="S260" i="51"/>
  <c r="Q260" i="51"/>
  <c r="N260" i="51"/>
  <c r="R260" i="51" s="1"/>
  <c r="AB259" i="51"/>
  <c r="AE259" i="51" s="1"/>
  <c r="Y259" i="51"/>
  <c r="AF259" i="51" s="1"/>
  <c r="X259" i="51"/>
  <c r="S259" i="51"/>
  <c r="U259" i="51" s="1"/>
  <c r="R259" i="51"/>
  <c r="Q259" i="51"/>
  <c r="N259" i="51"/>
  <c r="AE258" i="51"/>
  <c r="AB258" i="51"/>
  <c r="X258" i="51"/>
  <c r="S258" i="51"/>
  <c r="U258" i="51" s="1"/>
  <c r="Y258" i="51" s="1"/>
  <c r="R258" i="51"/>
  <c r="Q258" i="51"/>
  <c r="N258" i="51"/>
  <c r="AE257" i="51"/>
  <c r="AB257" i="51"/>
  <c r="X257" i="51"/>
  <c r="S257" i="51"/>
  <c r="U257" i="51" s="1"/>
  <c r="Y257" i="51" s="1"/>
  <c r="AF257" i="51" s="1"/>
  <c r="R257" i="51"/>
  <c r="Q257" i="51"/>
  <c r="N257" i="51"/>
  <c r="AB256" i="51"/>
  <c r="AE256" i="51" s="1"/>
  <c r="Y256" i="51"/>
  <c r="X256" i="51"/>
  <c r="U256" i="51"/>
  <c r="S256" i="51"/>
  <c r="Q256" i="51"/>
  <c r="N256" i="51"/>
  <c r="R256" i="51" s="1"/>
  <c r="AB255" i="51"/>
  <c r="AE255" i="51" s="1"/>
  <c r="X255" i="51"/>
  <c r="U255" i="51"/>
  <c r="Y255" i="51" s="1"/>
  <c r="S255" i="51"/>
  <c r="R255" i="51"/>
  <c r="AF255" i="51" s="1"/>
  <c r="Q255" i="51"/>
  <c r="N255" i="51"/>
  <c r="AB254" i="51"/>
  <c r="AE254" i="51" s="1"/>
  <c r="X254" i="51"/>
  <c r="S254" i="51"/>
  <c r="U254" i="51" s="1"/>
  <c r="Y254" i="51" s="1"/>
  <c r="AF254" i="51" s="1"/>
  <c r="Q254" i="51"/>
  <c r="N254" i="51"/>
  <c r="R254" i="51" s="1"/>
  <c r="AB253" i="51"/>
  <c r="AE253" i="51" s="1"/>
  <c r="X253" i="51"/>
  <c r="S253" i="51"/>
  <c r="U253" i="51" s="1"/>
  <c r="Y253" i="51" s="1"/>
  <c r="Q253" i="51"/>
  <c r="R253" i="51" s="1"/>
  <c r="N253" i="51"/>
  <c r="AE252" i="51"/>
  <c r="AB252" i="51"/>
  <c r="X252" i="51"/>
  <c r="U252" i="51"/>
  <c r="Y252" i="51" s="1"/>
  <c r="S252" i="51"/>
  <c r="Q252" i="51"/>
  <c r="N252" i="51"/>
  <c r="R252" i="51" s="1"/>
  <c r="AE251" i="51"/>
  <c r="AB251" i="51"/>
  <c r="Y251" i="51"/>
  <c r="AF251" i="51" s="1"/>
  <c r="X251" i="51"/>
  <c r="S251" i="51"/>
  <c r="U251" i="51" s="1"/>
  <c r="Q251" i="51"/>
  <c r="R251" i="51" s="1"/>
  <c r="N251" i="51"/>
  <c r="AB250" i="51"/>
  <c r="AE250" i="51" s="1"/>
  <c r="Y250" i="51"/>
  <c r="X250" i="51"/>
  <c r="U250" i="51"/>
  <c r="S250" i="51"/>
  <c r="Q250" i="51"/>
  <c r="N250" i="51"/>
  <c r="R250" i="51" s="1"/>
  <c r="AF249" i="51"/>
  <c r="AE249" i="51"/>
  <c r="AB249" i="51"/>
  <c r="X249" i="51"/>
  <c r="U249" i="51"/>
  <c r="Y249" i="51" s="1"/>
  <c r="S249" i="51"/>
  <c r="R249" i="51"/>
  <c r="Q249" i="51"/>
  <c r="N249" i="51"/>
  <c r="AB248" i="51"/>
  <c r="AE248" i="51" s="1"/>
  <c r="Y248" i="51"/>
  <c r="AF248" i="51" s="1"/>
  <c r="X248" i="51"/>
  <c r="U248" i="51"/>
  <c r="S248" i="51"/>
  <c r="Q248" i="51"/>
  <c r="N248" i="51"/>
  <c r="R248" i="51" s="1"/>
  <c r="AB247" i="51"/>
  <c r="AE247" i="51" s="1"/>
  <c r="X247" i="51"/>
  <c r="S247" i="51"/>
  <c r="U247" i="51" s="1"/>
  <c r="Y247" i="51" s="1"/>
  <c r="R247" i="51"/>
  <c r="Q247" i="51"/>
  <c r="N247" i="51"/>
  <c r="AE246" i="51"/>
  <c r="AB246" i="51"/>
  <c r="X246" i="51"/>
  <c r="S246" i="51"/>
  <c r="U246" i="51" s="1"/>
  <c r="Y246" i="51" s="1"/>
  <c r="AF246" i="51" s="1"/>
  <c r="Q246" i="51"/>
  <c r="N246" i="51"/>
  <c r="R246" i="51" s="1"/>
  <c r="AE245" i="51"/>
  <c r="AF245" i="51" s="1"/>
  <c r="AB245" i="51"/>
  <c r="X245" i="51"/>
  <c r="S245" i="51"/>
  <c r="U245" i="51" s="1"/>
  <c r="Y245" i="51" s="1"/>
  <c r="Q245" i="51"/>
  <c r="N245" i="51"/>
  <c r="R245" i="51" s="1"/>
  <c r="AF244" i="51"/>
  <c r="AE244" i="51"/>
  <c r="AB244" i="51"/>
  <c r="Y244" i="51"/>
  <c r="X244" i="51"/>
  <c r="U244" i="51"/>
  <c r="S244" i="51"/>
  <c r="Q244" i="51"/>
  <c r="N244" i="51"/>
  <c r="R244" i="51" s="1"/>
  <c r="AB243" i="51"/>
  <c r="AE243" i="51" s="1"/>
  <c r="X243" i="51"/>
  <c r="U243" i="51"/>
  <c r="Y243" i="51" s="1"/>
  <c r="AF243" i="51" s="1"/>
  <c r="S243" i="51"/>
  <c r="R243" i="51"/>
  <c r="Q243" i="51"/>
  <c r="N243" i="51"/>
  <c r="AB242" i="51"/>
  <c r="AE242" i="51" s="1"/>
  <c r="X242" i="51"/>
  <c r="S242" i="51"/>
  <c r="U242" i="51" s="1"/>
  <c r="Y242" i="51" s="1"/>
  <c r="AF242" i="51" s="1"/>
  <c r="Q242" i="51"/>
  <c r="N242" i="51"/>
  <c r="R242" i="51" s="1"/>
  <c r="AB241" i="51"/>
  <c r="AE241" i="51" s="1"/>
  <c r="X241" i="51"/>
  <c r="S241" i="51"/>
  <c r="U241" i="51" s="1"/>
  <c r="Y241" i="51" s="1"/>
  <c r="AF241" i="51" s="1"/>
  <c r="R241" i="51"/>
  <c r="Q241" i="51"/>
  <c r="N241" i="51"/>
  <c r="AE240" i="51"/>
  <c r="AB240" i="51"/>
  <c r="X240" i="51"/>
  <c r="U240" i="51"/>
  <c r="S240" i="51"/>
  <c r="Q240" i="51"/>
  <c r="N240" i="51"/>
  <c r="R240" i="51" s="1"/>
  <c r="AE239" i="51"/>
  <c r="AF239" i="51" s="1"/>
  <c r="AB239" i="51"/>
  <c r="Y239" i="51"/>
  <c r="X239" i="51"/>
  <c r="S239" i="51"/>
  <c r="U239" i="51" s="1"/>
  <c r="Q239" i="51"/>
  <c r="R239" i="51" s="1"/>
  <c r="N239" i="51"/>
  <c r="AB238" i="51"/>
  <c r="AE238" i="51" s="1"/>
  <c r="X238" i="51"/>
  <c r="U238" i="51"/>
  <c r="Y238" i="51" s="1"/>
  <c r="S238" i="51"/>
  <c r="R238" i="51"/>
  <c r="Q238" i="51"/>
  <c r="N238" i="51"/>
  <c r="AE237" i="51"/>
  <c r="AB237" i="51"/>
  <c r="X237" i="51"/>
  <c r="U237" i="51"/>
  <c r="Y237" i="51" s="1"/>
  <c r="AF237" i="51" s="1"/>
  <c r="S237" i="51"/>
  <c r="Q237" i="51"/>
  <c r="N237" i="51"/>
  <c r="R237" i="51" s="1"/>
  <c r="AE236" i="51"/>
  <c r="AF236" i="51" s="1"/>
  <c r="AB236" i="51"/>
  <c r="X236" i="51"/>
  <c r="S236" i="51"/>
  <c r="U236" i="51" s="1"/>
  <c r="Y236" i="51" s="1"/>
  <c r="Q236" i="51"/>
  <c r="N236" i="51"/>
  <c r="R236" i="51" s="1"/>
  <c r="AB235" i="51"/>
  <c r="AE235" i="51" s="1"/>
  <c r="X235" i="51"/>
  <c r="U235" i="51"/>
  <c r="Y235" i="51" s="1"/>
  <c r="S235" i="51"/>
  <c r="Q235" i="51"/>
  <c r="N235" i="51"/>
  <c r="R235" i="51" s="1"/>
  <c r="AE234" i="51"/>
  <c r="AB234" i="51"/>
  <c r="Y234" i="51"/>
  <c r="X234" i="51"/>
  <c r="S234" i="51"/>
  <c r="U234" i="51" s="1"/>
  <c r="Q234" i="51"/>
  <c r="R234" i="51" s="1"/>
  <c r="N234" i="51"/>
  <c r="AE233" i="51"/>
  <c r="AB233" i="51"/>
  <c r="X233" i="51"/>
  <c r="S233" i="51"/>
  <c r="U233" i="51" s="1"/>
  <c r="Y233" i="51" s="1"/>
  <c r="Q233" i="51"/>
  <c r="R233" i="51" s="1"/>
  <c r="N233" i="51"/>
  <c r="AE232" i="51"/>
  <c r="AB232" i="51"/>
  <c r="X232" i="51"/>
  <c r="U232" i="51"/>
  <c r="Y232" i="51" s="1"/>
  <c r="S232" i="51"/>
  <c r="Q232" i="51"/>
  <c r="N232" i="51"/>
  <c r="R232" i="51" s="1"/>
  <c r="AF232" i="51" s="1"/>
  <c r="AB231" i="51"/>
  <c r="AE231" i="51" s="1"/>
  <c r="AF231" i="51" s="1"/>
  <c r="Y231" i="51"/>
  <c r="X231" i="51"/>
  <c r="U231" i="51"/>
  <c r="S231" i="51"/>
  <c r="Q231" i="51"/>
  <c r="N231" i="51"/>
  <c r="R231" i="51" s="1"/>
  <c r="AB230" i="51"/>
  <c r="AE230" i="51" s="1"/>
  <c r="X230" i="51"/>
  <c r="Y230" i="51" s="1"/>
  <c r="AF230" i="51" s="1"/>
  <c r="U230" i="51"/>
  <c r="S230" i="51"/>
  <c r="Q230" i="51"/>
  <c r="N230" i="51"/>
  <c r="R230" i="51" s="1"/>
  <c r="AB229" i="51"/>
  <c r="AE229" i="51" s="1"/>
  <c r="X229" i="51"/>
  <c r="U229" i="51"/>
  <c r="S229" i="51"/>
  <c r="R229" i="51"/>
  <c r="Q229" i="51"/>
  <c r="N229" i="51"/>
  <c r="AE228" i="51"/>
  <c r="AB228" i="51"/>
  <c r="X228" i="51"/>
  <c r="S228" i="51"/>
  <c r="U228" i="51" s="1"/>
  <c r="Y228" i="51" s="1"/>
  <c r="Q228" i="51"/>
  <c r="N228" i="51"/>
  <c r="AE227" i="51"/>
  <c r="AB227" i="51"/>
  <c r="X227" i="51"/>
  <c r="U227" i="51"/>
  <c r="Y227" i="51" s="1"/>
  <c r="AF227" i="51" s="1"/>
  <c r="S227" i="51"/>
  <c r="Q227" i="51"/>
  <c r="N227" i="51"/>
  <c r="R227" i="51" s="1"/>
  <c r="AB226" i="51"/>
  <c r="AE226" i="51" s="1"/>
  <c r="AF226" i="51" s="1"/>
  <c r="Y226" i="51"/>
  <c r="X226" i="51"/>
  <c r="U226" i="51"/>
  <c r="S226" i="51"/>
  <c r="Q226" i="51"/>
  <c r="R226" i="51" s="1"/>
  <c r="N226" i="51"/>
  <c r="AB225" i="51"/>
  <c r="AE225" i="51" s="1"/>
  <c r="X225" i="51"/>
  <c r="Y225" i="51" s="1"/>
  <c r="AF225" i="51" s="1"/>
  <c r="U225" i="51"/>
  <c r="S225" i="51"/>
  <c r="Q225" i="51"/>
  <c r="N225" i="51"/>
  <c r="R225" i="51" s="1"/>
  <c r="AE224" i="51"/>
  <c r="AB224" i="51"/>
  <c r="X224" i="51"/>
  <c r="U224" i="51"/>
  <c r="Y224" i="51" s="1"/>
  <c r="AF224" i="51" s="1"/>
  <c r="S224" i="51"/>
  <c r="R224" i="51"/>
  <c r="Q224" i="51"/>
  <c r="N224" i="51"/>
  <c r="AB223" i="51"/>
  <c r="AE223" i="51" s="1"/>
  <c r="Y223" i="51"/>
  <c r="AF223" i="51" s="1"/>
  <c r="X223" i="51"/>
  <c r="U223" i="51"/>
  <c r="S223" i="51"/>
  <c r="Q223" i="51"/>
  <c r="N223" i="51"/>
  <c r="R223" i="51" s="1"/>
  <c r="AE222" i="51"/>
  <c r="AB222" i="51"/>
  <c r="X222" i="51"/>
  <c r="S222" i="51"/>
  <c r="U222" i="51" s="1"/>
  <c r="Y222" i="51" s="1"/>
  <c r="AF222" i="51" s="1"/>
  <c r="R222" i="51"/>
  <c r="Q222" i="51"/>
  <c r="N222" i="51"/>
  <c r="AE221" i="51"/>
  <c r="AB221" i="51"/>
  <c r="X221" i="51"/>
  <c r="S221" i="51"/>
  <c r="U221" i="51" s="1"/>
  <c r="Y221" i="51" s="1"/>
  <c r="R221" i="51"/>
  <c r="Q221" i="51"/>
  <c r="N221" i="51"/>
  <c r="AB220" i="51"/>
  <c r="AE220" i="51" s="1"/>
  <c r="Y220" i="51"/>
  <c r="AF220" i="51" s="1"/>
  <c r="X220" i="51"/>
  <c r="U220" i="51"/>
  <c r="S220" i="51"/>
  <c r="Q220" i="51"/>
  <c r="N220" i="51"/>
  <c r="R220" i="51" s="1"/>
  <c r="AB219" i="51"/>
  <c r="AE219" i="51" s="1"/>
  <c r="X219" i="51"/>
  <c r="U219" i="51"/>
  <c r="S219" i="51"/>
  <c r="R219" i="51"/>
  <c r="Q219" i="51"/>
  <c r="N219" i="51"/>
  <c r="AB218" i="51"/>
  <c r="AE218" i="51" s="1"/>
  <c r="Y218" i="51"/>
  <c r="X218" i="51"/>
  <c r="S218" i="51"/>
  <c r="U218" i="51" s="1"/>
  <c r="R218" i="51"/>
  <c r="Q218" i="51"/>
  <c r="N218" i="51"/>
  <c r="AE217" i="51"/>
  <c r="AB217" i="51"/>
  <c r="X217" i="51"/>
  <c r="U217" i="51"/>
  <c r="Y217" i="51" s="1"/>
  <c r="S217" i="51"/>
  <c r="R217" i="51"/>
  <c r="Q217" i="51"/>
  <c r="N217" i="51"/>
  <c r="AE216" i="51"/>
  <c r="AB216" i="51"/>
  <c r="X216" i="51"/>
  <c r="S216" i="51"/>
  <c r="U216" i="51" s="1"/>
  <c r="Y216" i="51" s="1"/>
  <c r="AF216" i="51" s="1"/>
  <c r="Q216" i="51"/>
  <c r="N216" i="51"/>
  <c r="R216" i="51" s="1"/>
  <c r="AE214" i="51"/>
  <c r="AB214" i="51"/>
  <c r="Y214" i="51"/>
  <c r="X214" i="51"/>
  <c r="U214" i="51"/>
  <c r="S214" i="51"/>
  <c r="Q214" i="51"/>
  <c r="N214" i="51"/>
  <c r="R214" i="51" s="1"/>
  <c r="AB213" i="51"/>
  <c r="AE213" i="51" s="1"/>
  <c r="X213" i="51"/>
  <c r="U213" i="51"/>
  <c r="Y213" i="51" s="1"/>
  <c r="S213" i="51"/>
  <c r="R213" i="51"/>
  <c r="Q213" i="51"/>
  <c r="N213" i="51"/>
  <c r="AB212" i="51"/>
  <c r="AE212" i="51" s="1"/>
  <c r="X212" i="51"/>
  <c r="U212" i="51"/>
  <c r="Y212" i="51" s="1"/>
  <c r="S212" i="51"/>
  <c r="R212" i="51"/>
  <c r="Q212" i="51"/>
  <c r="N212" i="51"/>
  <c r="AB211" i="51"/>
  <c r="AE211" i="51" s="1"/>
  <c r="X211" i="51"/>
  <c r="S211" i="51"/>
  <c r="U211" i="51" s="1"/>
  <c r="Y211" i="51" s="1"/>
  <c r="AF211" i="51" s="1"/>
  <c r="Q211" i="51"/>
  <c r="N211" i="51"/>
  <c r="R211" i="51" s="1"/>
  <c r="AE210" i="51"/>
  <c r="AB210" i="51"/>
  <c r="X210" i="51"/>
  <c r="S210" i="51"/>
  <c r="U210" i="51" s="1"/>
  <c r="Y210" i="51" s="1"/>
  <c r="Q210" i="51"/>
  <c r="N210" i="51"/>
  <c r="AE209" i="51"/>
  <c r="AB209" i="51"/>
  <c r="X209" i="51"/>
  <c r="Y209" i="51" s="1"/>
  <c r="U209" i="51"/>
  <c r="S209" i="51"/>
  <c r="Q209" i="51"/>
  <c r="N209" i="51"/>
  <c r="R209" i="51" s="1"/>
  <c r="AE208" i="51"/>
  <c r="AB208" i="51"/>
  <c r="Y208" i="51"/>
  <c r="AF208" i="51" s="1"/>
  <c r="X208" i="51"/>
  <c r="U208" i="51"/>
  <c r="S208" i="51"/>
  <c r="R208" i="51"/>
  <c r="Q208" i="51"/>
  <c r="N208" i="51"/>
  <c r="AB207" i="51"/>
  <c r="AE207" i="51" s="1"/>
  <c r="X207" i="51"/>
  <c r="U207" i="51"/>
  <c r="Y207" i="51" s="1"/>
  <c r="S207" i="51"/>
  <c r="Q207" i="51"/>
  <c r="R207" i="51" s="1"/>
  <c r="N207" i="51"/>
  <c r="AB206" i="51"/>
  <c r="AE206" i="51" s="1"/>
  <c r="X206" i="51"/>
  <c r="U206" i="51"/>
  <c r="Y206" i="51" s="1"/>
  <c r="S206" i="51"/>
  <c r="R206" i="51"/>
  <c r="Q206" i="51"/>
  <c r="N206" i="51"/>
  <c r="AE205" i="51"/>
  <c r="AB205" i="51"/>
  <c r="X205" i="51"/>
  <c r="S205" i="51"/>
  <c r="U205" i="51" s="1"/>
  <c r="Y205" i="51" s="1"/>
  <c r="Q205" i="51"/>
  <c r="N205" i="51"/>
  <c r="R205" i="51" s="1"/>
  <c r="AF205" i="51" s="1"/>
  <c r="AB204" i="51"/>
  <c r="AE204" i="51" s="1"/>
  <c r="Y204" i="51"/>
  <c r="X204" i="51"/>
  <c r="U204" i="51"/>
  <c r="S204" i="51"/>
  <c r="Q204" i="51"/>
  <c r="N204" i="51"/>
  <c r="R204" i="51" s="1"/>
  <c r="AE203" i="51"/>
  <c r="AB203" i="51"/>
  <c r="X203" i="51"/>
  <c r="U203" i="51"/>
  <c r="Y203" i="51" s="1"/>
  <c r="AF203" i="51" s="1"/>
  <c r="S203" i="51"/>
  <c r="R203" i="51"/>
  <c r="Q203" i="51"/>
  <c r="N203" i="51"/>
  <c r="AE202" i="51"/>
  <c r="AB202" i="51"/>
  <c r="X202" i="51"/>
  <c r="S202" i="51"/>
  <c r="U202" i="51" s="1"/>
  <c r="Y202" i="51" s="1"/>
  <c r="AF202" i="51" s="1"/>
  <c r="Q202" i="51"/>
  <c r="R202" i="51" s="1"/>
  <c r="N202" i="51"/>
  <c r="AB201" i="51"/>
  <c r="AE201" i="51" s="1"/>
  <c r="X201" i="51"/>
  <c r="U201" i="51"/>
  <c r="Y201" i="51" s="1"/>
  <c r="S201" i="51"/>
  <c r="Q201" i="51"/>
  <c r="N201" i="51"/>
  <c r="R201" i="51" s="1"/>
  <c r="AE200" i="51"/>
  <c r="AB200" i="51"/>
  <c r="X200" i="51"/>
  <c r="U200" i="51"/>
  <c r="Y200" i="51" s="1"/>
  <c r="AF200" i="51" s="1"/>
  <c r="S200" i="51"/>
  <c r="Q200" i="51"/>
  <c r="R200" i="51" s="1"/>
  <c r="N200" i="51"/>
  <c r="AB199" i="51"/>
  <c r="AE199" i="51" s="1"/>
  <c r="X199" i="51"/>
  <c r="S199" i="51"/>
  <c r="U199" i="51" s="1"/>
  <c r="Y199" i="51" s="1"/>
  <c r="AF199" i="51" s="1"/>
  <c r="Q199" i="51"/>
  <c r="N199" i="51"/>
  <c r="R199" i="51" s="1"/>
  <c r="AB198" i="51"/>
  <c r="AE198" i="51" s="1"/>
  <c r="AF198" i="51" s="1"/>
  <c r="X198" i="51"/>
  <c r="Y198" i="51" s="1"/>
  <c r="U198" i="51"/>
  <c r="S198" i="51"/>
  <c r="Q198" i="51"/>
  <c r="N198" i="51"/>
  <c r="R198" i="51" s="1"/>
  <c r="AF197" i="51"/>
  <c r="AB197" i="51"/>
  <c r="AE197" i="51" s="1"/>
  <c r="X197" i="51"/>
  <c r="U197" i="51"/>
  <c r="Y197" i="51" s="1"/>
  <c r="S197" i="51"/>
  <c r="R197" i="51"/>
  <c r="Q197" i="51"/>
  <c r="N197" i="51"/>
  <c r="AE196" i="51"/>
  <c r="AB196" i="51"/>
  <c r="Y196" i="51"/>
  <c r="X196" i="51"/>
  <c r="S196" i="51"/>
  <c r="U196" i="51" s="1"/>
  <c r="Q196" i="51"/>
  <c r="R196" i="51" s="1"/>
  <c r="N196" i="51"/>
  <c r="AB195" i="51"/>
  <c r="AE195" i="51" s="1"/>
  <c r="X195" i="51"/>
  <c r="S195" i="51"/>
  <c r="U195" i="51" s="1"/>
  <c r="Y195" i="51" s="1"/>
  <c r="R195" i="51"/>
  <c r="Q195" i="51"/>
  <c r="N195" i="51"/>
  <c r="AE194" i="51"/>
  <c r="AB194" i="51"/>
  <c r="X194" i="51"/>
  <c r="S194" i="51"/>
  <c r="U194" i="51" s="1"/>
  <c r="Y194" i="51" s="1"/>
  <c r="Q194" i="51"/>
  <c r="N194" i="51"/>
  <c r="R194" i="51" s="1"/>
  <c r="AB193" i="51"/>
  <c r="AE193" i="51" s="1"/>
  <c r="AF193" i="51" s="1"/>
  <c r="X193" i="51"/>
  <c r="S193" i="51"/>
  <c r="U193" i="51" s="1"/>
  <c r="Y193" i="51" s="1"/>
  <c r="R193" i="51"/>
  <c r="Q193" i="51"/>
  <c r="N193" i="51"/>
  <c r="AE192" i="51"/>
  <c r="AB192" i="51"/>
  <c r="X192" i="51"/>
  <c r="Y192" i="51" s="1"/>
  <c r="AF192" i="51" s="1"/>
  <c r="U192" i="51"/>
  <c r="S192" i="51"/>
  <c r="Q192" i="51"/>
  <c r="N192" i="51"/>
  <c r="R192" i="51" s="1"/>
  <c r="AB191" i="51"/>
  <c r="AE191" i="51" s="1"/>
  <c r="X191" i="51"/>
  <c r="U191" i="51"/>
  <c r="Y191" i="51" s="1"/>
  <c r="AF191" i="51" s="1"/>
  <c r="S191" i="51"/>
  <c r="R191" i="51"/>
  <c r="Q191" i="51"/>
  <c r="N191" i="51"/>
  <c r="AB190" i="51"/>
  <c r="AE190" i="51" s="1"/>
  <c r="Y190" i="51"/>
  <c r="X190" i="51"/>
  <c r="S190" i="51"/>
  <c r="U190" i="51" s="1"/>
  <c r="Q190" i="51"/>
  <c r="R190" i="51" s="1"/>
  <c r="N190" i="51"/>
  <c r="AB189" i="51"/>
  <c r="AE189" i="51" s="1"/>
  <c r="X189" i="51"/>
  <c r="S189" i="51"/>
  <c r="U189" i="51" s="1"/>
  <c r="Y189" i="51" s="1"/>
  <c r="R189" i="51"/>
  <c r="Q189" i="51"/>
  <c r="N189" i="51"/>
  <c r="AE188" i="51"/>
  <c r="AB188" i="51"/>
  <c r="X188" i="51"/>
  <c r="S188" i="51"/>
  <c r="U188" i="51" s="1"/>
  <c r="Y188" i="51" s="1"/>
  <c r="AF188" i="51" s="1"/>
  <c r="Q188" i="51"/>
  <c r="N188" i="51"/>
  <c r="R188" i="51" s="1"/>
  <c r="AB187" i="51"/>
  <c r="AE187" i="51" s="1"/>
  <c r="AF187" i="51" s="1"/>
  <c r="X187" i="51"/>
  <c r="S187" i="51"/>
  <c r="U187" i="51" s="1"/>
  <c r="Y187" i="51" s="1"/>
  <c r="Q187" i="51"/>
  <c r="N187" i="51"/>
  <c r="R187" i="51" s="1"/>
  <c r="AE186" i="51"/>
  <c r="AB186" i="51"/>
  <c r="X186" i="51"/>
  <c r="Y186" i="51" s="1"/>
  <c r="AF186" i="51" s="1"/>
  <c r="U186" i="51"/>
  <c r="S186" i="51"/>
  <c r="Q186" i="51"/>
  <c r="N186" i="51"/>
  <c r="R186" i="51" s="1"/>
  <c r="AB185" i="51"/>
  <c r="AE185" i="51" s="1"/>
  <c r="X185" i="51"/>
  <c r="S185" i="51"/>
  <c r="U185" i="51" s="1"/>
  <c r="Y185" i="51" s="1"/>
  <c r="AF185" i="51" s="1"/>
  <c r="R185" i="51"/>
  <c r="Q185" i="51"/>
  <c r="N185" i="51"/>
  <c r="AB184" i="51"/>
  <c r="AE184" i="51" s="1"/>
  <c r="X184" i="51"/>
  <c r="S184" i="51"/>
  <c r="U184" i="51" s="1"/>
  <c r="Y184" i="51" s="1"/>
  <c r="Q184" i="51"/>
  <c r="R184" i="51" s="1"/>
  <c r="N184" i="51"/>
  <c r="AB183" i="51"/>
  <c r="AE183" i="51" s="1"/>
  <c r="X183" i="51"/>
  <c r="S183" i="51"/>
  <c r="U183" i="51" s="1"/>
  <c r="Y183" i="51" s="1"/>
  <c r="AF183" i="51" s="1"/>
  <c r="R183" i="51"/>
  <c r="Q183" i="51"/>
  <c r="N183" i="51"/>
  <c r="AE182" i="51"/>
  <c r="AB182" i="51"/>
  <c r="X182" i="51"/>
  <c r="U182" i="51"/>
  <c r="Y182" i="51" s="1"/>
  <c r="AF182" i="51" s="1"/>
  <c r="S182" i="51"/>
  <c r="Q182" i="51"/>
  <c r="N182" i="51"/>
  <c r="R182" i="51" s="1"/>
  <c r="AE181" i="51"/>
  <c r="AF181" i="51" s="1"/>
  <c r="AB181" i="51"/>
  <c r="X181" i="51"/>
  <c r="S181" i="51"/>
  <c r="U181" i="51" s="1"/>
  <c r="Y181" i="51" s="1"/>
  <c r="Q181" i="51"/>
  <c r="N181" i="51"/>
  <c r="R181" i="51" s="1"/>
  <c r="AB180" i="51"/>
  <c r="AE180" i="51" s="1"/>
  <c r="X180" i="51"/>
  <c r="Y180" i="51" s="1"/>
  <c r="U180" i="51"/>
  <c r="S180" i="51"/>
  <c r="Q180" i="51"/>
  <c r="N180" i="51"/>
  <c r="R180" i="51" s="1"/>
  <c r="AB179" i="51"/>
  <c r="AE179" i="51" s="1"/>
  <c r="X179" i="51"/>
  <c r="S179" i="51"/>
  <c r="U179" i="51" s="1"/>
  <c r="Y179" i="51" s="1"/>
  <c r="R179" i="51"/>
  <c r="Q179" i="51"/>
  <c r="N179" i="51"/>
  <c r="AB178" i="51"/>
  <c r="AE178" i="51" s="1"/>
  <c r="X178" i="51"/>
  <c r="Y178" i="51" s="1"/>
  <c r="AF178" i="51" s="1"/>
  <c r="U178" i="51"/>
  <c r="S178" i="51"/>
  <c r="Q178" i="51"/>
  <c r="R178" i="51" s="1"/>
  <c r="N178" i="51"/>
  <c r="AB177" i="51"/>
  <c r="AE177" i="51" s="1"/>
  <c r="X177" i="51"/>
  <c r="S177" i="51"/>
  <c r="U177" i="51" s="1"/>
  <c r="Y177" i="51" s="1"/>
  <c r="Q177" i="51"/>
  <c r="R177" i="51" s="1"/>
  <c r="N177" i="51"/>
  <c r="AE176" i="51"/>
  <c r="AB176" i="51"/>
  <c r="X176" i="51"/>
  <c r="S176" i="51"/>
  <c r="U176" i="51" s="1"/>
  <c r="Y176" i="51" s="1"/>
  <c r="R176" i="51"/>
  <c r="Q176" i="51"/>
  <c r="N176" i="51"/>
  <c r="AB175" i="51"/>
  <c r="AE175" i="51" s="1"/>
  <c r="AF175" i="51" s="1"/>
  <c r="X175" i="51"/>
  <c r="S175" i="51"/>
  <c r="U175" i="51" s="1"/>
  <c r="Y175" i="51" s="1"/>
  <c r="Q175" i="51"/>
  <c r="N175" i="51"/>
  <c r="R175" i="51" s="1"/>
  <c r="AB174" i="51"/>
  <c r="AE174" i="51" s="1"/>
  <c r="X174" i="51"/>
  <c r="Y174" i="51" s="1"/>
  <c r="U174" i="51"/>
  <c r="S174" i="51"/>
  <c r="Q174" i="51"/>
  <c r="N174" i="51"/>
  <c r="R174" i="51" s="1"/>
  <c r="AB173" i="51"/>
  <c r="AE173" i="51" s="1"/>
  <c r="X173" i="51"/>
  <c r="U173" i="51"/>
  <c r="Y173" i="51" s="1"/>
  <c r="S173" i="51"/>
  <c r="R173" i="51"/>
  <c r="Q173" i="51"/>
  <c r="N173" i="51"/>
  <c r="AB172" i="51"/>
  <c r="AE172" i="51" s="1"/>
  <c r="X172" i="51"/>
  <c r="U172" i="51"/>
  <c r="S172" i="51"/>
  <c r="Q172" i="51"/>
  <c r="R172" i="51" s="1"/>
  <c r="N172" i="51"/>
  <c r="AB171" i="51"/>
  <c r="AE171" i="51" s="1"/>
  <c r="Y171" i="51"/>
  <c r="AF171" i="51" s="1"/>
  <c r="X171" i="51"/>
  <c r="S171" i="51"/>
  <c r="U171" i="51" s="1"/>
  <c r="Q171" i="51"/>
  <c r="N171" i="51"/>
  <c r="R171" i="51" s="1"/>
  <c r="AE170" i="51"/>
  <c r="AB170" i="51"/>
  <c r="X170" i="51"/>
  <c r="S170" i="51"/>
  <c r="U170" i="51" s="1"/>
  <c r="Y170" i="51" s="1"/>
  <c r="AF170" i="51" s="1"/>
  <c r="R170" i="51"/>
  <c r="Q170" i="51"/>
  <c r="N170" i="51"/>
  <c r="AB169" i="51"/>
  <c r="AE169" i="51" s="1"/>
  <c r="X169" i="51"/>
  <c r="S169" i="51"/>
  <c r="U169" i="51" s="1"/>
  <c r="Y169" i="51" s="1"/>
  <c r="R169" i="51"/>
  <c r="Q169" i="51"/>
  <c r="N169" i="51"/>
  <c r="AE168" i="51"/>
  <c r="AB168" i="51"/>
  <c r="X168" i="51"/>
  <c r="Y168" i="51" s="1"/>
  <c r="AF168" i="51" s="1"/>
  <c r="U168" i="51"/>
  <c r="S168" i="51"/>
  <c r="Q168" i="51"/>
  <c r="N168" i="51"/>
  <c r="R168" i="51" s="1"/>
  <c r="AE167" i="51"/>
  <c r="AB167" i="51"/>
  <c r="X167" i="51"/>
  <c r="S167" i="51"/>
  <c r="U167" i="51" s="1"/>
  <c r="Y167" i="51" s="1"/>
  <c r="AF167" i="51" s="1"/>
  <c r="R167" i="51"/>
  <c r="Q167" i="51"/>
  <c r="N167" i="51"/>
  <c r="AB166" i="51"/>
  <c r="AE166" i="51" s="1"/>
  <c r="X166" i="51"/>
  <c r="Y166" i="51" s="1"/>
  <c r="AF166" i="51" s="1"/>
  <c r="U166" i="51"/>
  <c r="S166" i="51"/>
  <c r="R166" i="51"/>
  <c r="Q166" i="51"/>
  <c r="N166" i="51"/>
  <c r="AB165" i="51"/>
  <c r="AE165" i="51" s="1"/>
  <c r="X165" i="51"/>
  <c r="S165" i="51"/>
  <c r="U165" i="51" s="1"/>
  <c r="Y165" i="51" s="1"/>
  <c r="AF165" i="51" s="1"/>
  <c r="R165" i="51"/>
  <c r="Q165" i="51"/>
  <c r="N165" i="51"/>
  <c r="AE164" i="51"/>
  <c r="AB164" i="51"/>
  <c r="X164" i="51"/>
  <c r="S164" i="51"/>
  <c r="U164" i="51" s="1"/>
  <c r="Y164" i="51" s="1"/>
  <c r="AF164" i="51" s="1"/>
  <c r="R164" i="51"/>
  <c r="Q164" i="51"/>
  <c r="N164" i="51"/>
  <c r="AB163" i="51"/>
  <c r="AE163" i="51" s="1"/>
  <c r="AF163" i="51" s="1"/>
  <c r="X163" i="51"/>
  <c r="S163" i="51"/>
  <c r="U163" i="51" s="1"/>
  <c r="Y163" i="51" s="1"/>
  <c r="Q163" i="51"/>
  <c r="N163" i="51"/>
  <c r="R163" i="51" s="1"/>
  <c r="AE162" i="51"/>
  <c r="AB162" i="51"/>
  <c r="X162" i="51"/>
  <c r="Y162" i="51" s="1"/>
  <c r="AF162" i="51" s="1"/>
  <c r="U162" i="51"/>
  <c r="S162" i="51"/>
  <c r="Q162" i="51"/>
  <c r="N162" i="51"/>
  <c r="R162" i="51" s="1"/>
  <c r="AB161" i="51"/>
  <c r="AE161" i="51" s="1"/>
  <c r="X161" i="51"/>
  <c r="S161" i="51"/>
  <c r="U161" i="51" s="1"/>
  <c r="Y161" i="51" s="1"/>
  <c r="AF161" i="51" s="1"/>
  <c r="R161" i="51"/>
  <c r="Q161" i="51"/>
  <c r="N161" i="51"/>
  <c r="AB160" i="51"/>
  <c r="AE160" i="51" s="1"/>
  <c r="X160" i="51"/>
  <c r="S160" i="51"/>
  <c r="U160" i="51" s="1"/>
  <c r="Y160" i="51" s="1"/>
  <c r="Q160" i="51"/>
  <c r="R160" i="51" s="1"/>
  <c r="N160" i="51"/>
  <c r="AB159" i="51"/>
  <c r="AE159" i="51" s="1"/>
  <c r="X159" i="51"/>
  <c r="Y159" i="51" s="1"/>
  <c r="AF159" i="51" s="1"/>
  <c r="S159" i="51"/>
  <c r="U159" i="51" s="1"/>
  <c r="Q159" i="51"/>
  <c r="N159" i="51"/>
  <c r="R159" i="51" s="1"/>
  <c r="AE158" i="51"/>
  <c r="AB158" i="51"/>
  <c r="X158" i="51"/>
  <c r="S158" i="51"/>
  <c r="U158" i="51" s="1"/>
  <c r="Y158" i="51" s="1"/>
  <c r="AF158" i="51" s="1"/>
  <c r="R158" i="51"/>
  <c r="Q158" i="51"/>
  <c r="N158" i="51"/>
  <c r="AB157" i="51"/>
  <c r="AE157" i="51" s="1"/>
  <c r="X157" i="51"/>
  <c r="S157" i="51"/>
  <c r="U157" i="51" s="1"/>
  <c r="Y157" i="51" s="1"/>
  <c r="Q157" i="51"/>
  <c r="R157" i="51" s="1"/>
  <c r="N157" i="51"/>
  <c r="AB156" i="51"/>
  <c r="AE156" i="51" s="1"/>
  <c r="Y156" i="51"/>
  <c r="X156" i="51"/>
  <c r="U156" i="51"/>
  <c r="S156" i="51"/>
  <c r="Q156" i="51"/>
  <c r="N156" i="51"/>
  <c r="R156" i="51" s="1"/>
  <c r="AE155" i="51"/>
  <c r="AB155" i="51"/>
  <c r="X155" i="51"/>
  <c r="S155" i="51"/>
  <c r="U155" i="51" s="1"/>
  <c r="Y155" i="51" s="1"/>
  <c r="AF155" i="51" s="1"/>
  <c r="R155" i="51"/>
  <c r="Q155" i="51"/>
  <c r="N155" i="51"/>
  <c r="AB154" i="51"/>
  <c r="AE154" i="51" s="1"/>
  <c r="X154" i="51"/>
  <c r="Y154" i="51" s="1"/>
  <c r="AF154" i="51" s="1"/>
  <c r="S154" i="51"/>
  <c r="U154" i="51" s="1"/>
  <c r="Q154" i="51"/>
  <c r="R154" i="51" s="1"/>
  <c r="N154" i="51"/>
  <c r="AB153" i="51"/>
  <c r="AE153" i="51" s="1"/>
  <c r="X153" i="51"/>
  <c r="S153" i="51"/>
  <c r="U153" i="51" s="1"/>
  <c r="Y153" i="51" s="1"/>
  <c r="Q153" i="51"/>
  <c r="N153" i="51"/>
  <c r="R153" i="51" s="1"/>
  <c r="AE152" i="51"/>
  <c r="AB152" i="51"/>
  <c r="X152" i="51"/>
  <c r="S152" i="51"/>
  <c r="U152" i="51" s="1"/>
  <c r="Y152" i="51" s="1"/>
  <c r="Q152" i="51"/>
  <c r="N152" i="51"/>
  <c r="AB151" i="51"/>
  <c r="AE151" i="51" s="1"/>
  <c r="X151" i="51"/>
  <c r="S151" i="51"/>
  <c r="U151" i="51" s="1"/>
  <c r="Y151" i="51" s="1"/>
  <c r="AF151" i="51" s="1"/>
  <c r="Q151" i="51"/>
  <c r="R151" i="51" s="1"/>
  <c r="N151" i="51"/>
  <c r="AB150" i="51"/>
  <c r="AE150" i="51" s="1"/>
  <c r="X150" i="51"/>
  <c r="Y150" i="51" s="1"/>
  <c r="AF150" i="51" s="1"/>
  <c r="U150" i="51"/>
  <c r="S150" i="51"/>
  <c r="Q150" i="51"/>
  <c r="N150" i="51"/>
  <c r="R150" i="51" s="1"/>
  <c r="AE149" i="51"/>
  <c r="AB149" i="51"/>
  <c r="X149" i="51"/>
  <c r="S149" i="51"/>
  <c r="U149" i="51" s="1"/>
  <c r="Y149" i="51" s="1"/>
  <c r="AF149" i="51" s="1"/>
  <c r="R149" i="51"/>
  <c r="Q149" i="51"/>
  <c r="N149" i="51"/>
  <c r="AB148" i="51"/>
  <c r="AE148" i="51" s="1"/>
  <c r="X148" i="51"/>
  <c r="Y148" i="51" s="1"/>
  <c r="AF148" i="51" s="1"/>
  <c r="S148" i="51"/>
  <c r="U148" i="51" s="1"/>
  <c r="Q148" i="51"/>
  <c r="R148" i="51" s="1"/>
  <c r="N148" i="51"/>
  <c r="AB147" i="51"/>
  <c r="AE147" i="51" s="1"/>
  <c r="X147" i="51"/>
  <c r="U147" i="51"/>
  <c r="Y147" i="51" s="1"/>
  <c r="AF147" i="51" s="1"/>
  <c r="S147" i="51"/>
  <c r="Q147" i="51"/>
  <c r="R147" i="51" s="1"/>
  <c r="N147" i="51"/>
  <c r="AE146" i="51"/>
  <c r="AB146" i="51"/>
  <c r="X146" i="51"/>
  <c r="S146" i="51"/>
  <c r="U146" i="51" s="1"/>
  <c r="Y146" i="51" s="1"/>
  <c r="Q146" i="51"/>
  <c r="N146" i="51"/>
  <c r="AE145" i="51"/>
  <c r="AB145" i="51"/>
  <c r="X145" i="51"/>
  <c r="S145" i="51"/>
  <c r="U145" i="51" s="1"/>
  <c r="Y145" i="51" s="1"/>
  <c r="AF145" i="51" s="1"/>
  <c r="R145" i="51"/>
  <c r="Q145" i="51"/>
  <c r="N145" i="51"/>
  <c r="AB144" i="51"/>
  <c r="AE144" i="51" s="1"/>
  <c r="Y144" i="51"/>
  <c r="AF144" i="51" s="1"/>
  <c r="X144" i="51"/>
  <c r="U144" i="51"/>
  <c r="S144" i="51"/>
  <c r="Q144" i="51"/>
  <c r="N144" i="51"/>
  <c r="R144" i="51" s="1"/>
  <c r="AB143" i="51"/>
  <c r="AE143" i="51" s="1"/>
  <c r="X143" i="51"/>
  <c r="S143" i="51"/>
  <c r="U143" i="51" s="1"/>
  <c r="Y143" i="51" s="1"/>
  <c r="AF143" i="51" s="1"/>
  <c r="R143" i="51"/>
  <c r="Q143" i="51"/>
  <c r="N143" i="51"/>
  <c r="AB142" i="51"/>
  <c r="AE142" i="51" s="1"/>
  <c r="X142" i="51"/>
  <c r="S142" i="51"/>
  <c r="U142" i="51" s="1"/>
  <c r="Y142" i="51" s="1"/>
  <c r="AF142" i="51" s="1"/>
  <c r="Q142" i="51"/>
  <c r="R142" i="51" s="1"/>
  <c r="N142" i="51"/>
  <c r="AB141" i="51"/>
  <c r="AE141" i="51" s="1"/>
  <c r="X141" i="51"/>
  <c r="S141" i="51"/>
  <c r="U141" i="51" s="1"/>
  <c r="Y141" i="51" s="1"/>
  <c r="Q141" i="51"/>
  <c r="R141" i="51" s="1"/>
  <c r="N141" i="51"/>
  <c r="AE140" i="51"/>
  <c r="AB140" i="51"/>
  <c r="X140" i="51"/>
  <c r="S140" i="51"/>
  <c r="U140" i="51" s="1"/>
  <c r="Y140" i="51" s="1"/>
  <c r="AF140" i="51" s="1"/>
  <c r="Q140" i="51"/>
  <c r="N140" i="51"/>
  <c r="R140" i="51" s="1"/>
  <c r="AB139" i="51"/>
  <c r="AE139" i="51" s="1"/>
  <c r="AF139" i="51" s="1"/>
  <c r="X139" i="51"/>
  <c r="S139" i="51"/>
  <c r="U139" i="51" s="1"/>
  <c r="Y139" i="51" s="1"/>
  <c r="Q139" i="51"/>
  <c r="N139" i="51"/>
  <c r="R139" i="51" s="1"/>
  <c r="AB138" i="51"/>
  <c r="AE138" i="51" s="1"/>
  <c r="X138" i="51"/>
  <c r="Y138" i="51" s="1"/>
  <c r="AF138" i="51" s="1"/>
  <c r="U138" i="51"/>
  <c r="S138" i="51"/>
  <c r="Q138" i="51"/>
  <c r="N138" i="51"/>
  <c r="R138" i="51" s="1"/>
  <c r="AB137" i="51"/>
  <c r="AE137" i="51" s="1"/>
  <c r="Y137" i="51"/>
  <c r="X137" i="51"/>
  <c r="S137" i="51"/>
  <c r="U137" i="51" s="1"/>
  <c r="R137" i="51"/>
  <c r="Q137" i="51"/>
  <c r="N137" i="51"/>
  <c r="AB136" i="51"/>
  <c r="AE136" i="51" s="1"/>
  <c r="X136" i="51"/>
  <c r="S136" i="51"/>
  <c r="U136" i="51" s="1"/>
  <c r="Y136" i="51" s="1"/>
  <c r="Q136" i="51"/>
  <c r="R136" i="51" s="1"/>
  <c r="N136" i="51"/>
  <c r="AB135" i="51"/>
  <c r="AE135" i="51" s="1"/>
  <c r="X135" i="51"/>
  <c r="S135" i="51"/>
  <c r="U135" i="51" s="1"/>
  <c r="Y135" i="51" s="1"/>
  <c r="Q135" i="51"/>
  <c r="R135" i="51" s="1"/>
  <c r="N135" i="51"/>
  <c r="AE134" i="51"/>
  <c r="AB134" i="51"/>
  <c r="X134" i="51"/>
  <c r="U134" i="51"/>
  <c r="Y134" i="51" s="1"/>
  <c r="S134" i="51"/>
  <c r="Q134" i="51"/>
  <c r="N134" i="51"/>
  <c r="R134" i="51" s="1"/>
  <c r="AE133" i="51"/>
  <c r="AB133" i="51"/>
  <c r="X133" i="51"/>
  <c r="S133" i="51"/>
  <c r="U133" i="51" s="1"/>
  <c r="Y133" i="51" s="1"/>
  <c r="Q133" i="51"/>
  <c r="N133" i="51"/>
  <c r="AB132" i="51"/>
  <c r="AE132" i="51" s="1"/>
  <c r="X132" i="51"/>
  <c r="Y132" i="51" s="1"/>
  <c r="AF132" i="51" s="1"/>
  <c r="U132" i="51"/>
  <c r="S132" i="51"/>
  <c r="Q132" i="51"/>
  <c r="N132" i="51"/>
  <c r="R132" i="51" s="1"/>
  <c r="AB131" i="51"/>
  <c r="AE131" i="51" s="1"/>
  <c r="X131" i="51"/>
  <c r="S131" i="51"/>
  <c r="U131" i="51" s="1"/>
  <c r="Y131" i="51" s="1"/>
  <c r="AF131" i="51" s="1"/>
  <c r="R131" i="51"/>
  <c r="Q131" i="51"/>
  <c r="N131" i="51"/>
  <c r="AE130" i="51"/>
  <c r="AB130" i="51"/>
  <c r="X130" i="51"/>
  <c r="S130" i="51"/>
  <c r="U130" i="51" s="1"/>
  <c r="Y130" i="51" s="1"/>
  <c r="R130" i="51"/>
  <c r="Q130" i="51"/>
  <c r="N130" i="51"/>
  <c r="AB129" i="51"/>
  <c r="AE129" i="51" s="1"/>
  <c r="Y129" i="51"/>
  <c r="AF129" i="51" s="1"/>
  <c r="X129" i="51"/>
  <c r="U129" i="51"/>
  <c r="S129" i="51"/>
  <c r="Q129" i="51"/>
  <c r="N129" i="51"/>
  <c r="R129" i="51" s="1"/>
  <c r="AE128" i="51"/>
  <c r="AB128" i="51"/>
  <c r="X128" i="51"/>
  <c r="S128" i="51"/>
  <c r="U128" i="51" s="1"/>
  <c r="Y128" i="51" s="1"/>
  <c r="Q128" i="51"/>
  <c r="R128" i="51" s="1"/>
  <c r="N128" i="51"/>
  <c r="AE127" i="51"/>
  <c r="AB127" i="51"/>
  <c r="X127" i="51"/>
  <c r="S127" i="51"/>
  <c r="U127" i="51" s="1"/>
  <c r="Y127" i="51" s="1"/>
  <c r="R127" i="51"/>
  <c r="Q127" i="51"/>
  <c r="N127" i="51"/>
  <c r="AB126" i="51"/>
  <c r="AE126" i="51" s="1"/>
  <c r="X126" i="51"/>
  <c r="Y126" i="51" s="1"/>
  <c r="AF126" i="51" s="1"/>
  <c r="U126" i="51"/>
  <c r="S126" i="51"/>
  <c r="Q126" i="51"/>
  <c r="N126" i="51"/>
  <c r="R126" i="51" s="1"/>
  <c r="AE125" i="51"/>
  <c r="AB125" i="51"/>
  <c r="Y125" i="51"/>
  <c r="AF125" i="51" s="1"/>
  <c r="X125" i="51"/>
  <c r="U125" i="51"/>
  <c r="S125" i="51"/>
  <c r="R125" i="51"/>
  <c r="Q125" i="51"/>
  <c r="N125" i="51"/>
  <c r="AB124" i="51"/>
  <c r="AE124" i="51" s="1"/>
  <c r="X124" i="51"/>
  <c r="U124" i="51"/>
  <c r="Y124" i="51" s="1"/>
  <c r="AF124" i="51" s="1"/>
  <c r="S124" i="51"/>
  <c r="Q124" i="51"/>
  <c r="R124" i="51" s="1"/>
  <c r="N124" i="51"/>
  <c r="AB123" i="51"/>
  <c r="AE123" i="51" s="1"/>
  <c r="X123" i="51"/>
  <c r="Y123" i="51" s="1"/>
  <c r="S123" i="51"/>
  <c r="U123" i="51" s="1"/>
  <c r="Q123" i="51"/>
  <c r="N123" i="51"/>
  <c r="AE122" i="51"/>
  <c r="AB122" i="51"/>
  <c r="X122" i="51"/>
  <c r="S122" i="51"/>
  <c r="U122" i="51" s="1"/>
  <c r="Y122" i="51" s="1"/>
  <c r="Q122" i="51"/>
  <c r="R122" i="51" s="1"/>
  <c r="AF122" i="51" s="1"/>
  <c r="N122" i="51"/>
  <c r="AB121" i="51"/>
  <c r="AE121" i="51" s="1"/>
  <c r="X121" i="51"/>
  <c r="S121" i="51"/>
  <c r="U121" i="51" s="1"/>
  <c r="Y121" i="51" s="1"/>
  <c r="R121" i="51"/>
  <c r="Q121" i="51"/>
  <c r="N121" i="51"/>
  <c r="AE120" i="51"/>
  <c r="AB120" i="51"/>
  <c r="X120" i="51"/>
  <c r="Y120" i="51" s="1"/>
  <c r="U120" i="51"/>
  <c r="S120" i="51"/>
  <c r="Q120" i="51"/>
  <c r="N120" i="51"/>
  <c r="AB119" i="51"/>
  <c r="AE119" i="51" s="1"/>
  <c r="X119" i="51"/>
  <c r="S119" i="51"/>
  <c r="U119" i="51" s="1"/>
  <c r="Y119" i="51" s="1"/>
  <c r="AF119" i="51" s="1"/>
  <c r="R119" i="51"/>
  <c r="Q119" i="51"/>
  <c r="N119" i="51"/>
  <c r="AB118" i="51"/>
  <c r="AE118" i="51" s="1"/>
  <c r="X118" i="51"/>
  <c r="S118" i="51"/>
  <c r="U118" i="51" s="1"/>
  <c r="Y118" i="51" s="1"/>
  <c r="Q118" i="51"/>
  <c r="R118" i="51" s="1"/>
  <c r="N118" i="51"/>
  <c r="AB117" i="51"/>
  <c r="AE117" i="51" s="1"/>
  <c r="X117" i="51"/>
  <c r="S117" i="51"/>
  <c r="U117" i="51" s="1"/>
  <c r="Y117" i="51" s="1"/>
  <c r="AF117" i="51" s="1"/>
  <c r="Q117" i="51"/>
  <c r="N117" i="51"/>
  <c r="R117" i="51" s="1"/>
  <c r="AE116" i="51"/>
  <c r="AB116" i="51"/>
  <c r="X116" i="51"/>
  <c r="U116" i="51"/>
  <c r="S116" i="51"/>
  <c r="Q116" i="51"/>
  <c r="N116" i="51"/>
  <c r="R116" i="51" s="1"/>
  <c r="AB115" i="51"/>
  <c r="AE115" i="51" s="1"/>
  <c r="X115" i="51"/>
  <c r="S115" i="51"/>
  <c r="U115" i="51" s="1"/>
  <c r="Y115" i="51" s="1"/>
  <c r="Q115" i="51"/>
  <c r="N115" i="51"/>
  <c r="AE114" i="51"/>
  <c r="AB114" i="51"/>
  <c r="Y114" i="51"/>
  <c r="X114" i="51"/>
  <c r="U114" i="51"/>
  <c r="S114" i="51"/>
  <c r="Q114" i="51"/>
  <c r="N114" i="51"/>
  <c r="AB113" i="51"/>
  <c r="AE113" i="51" s="1"/>
  <c r="X113" i="51"/>
  <c r="Y113" i="51" s="1"/>
  <c r="S113" i="51"/>
  <c r="U113" i="51" s="1"/>
  <c r="R113" i="51"/>
  <c r="Q113" i="51"/>
  <c r="N113" i="51"/>
  <c r="AB112" i="51"/>
  <c r="AE112" i="51" s="1"/>
  <c r="X112" i="51"/>
  <c r="S112" i="51"/>
  <c r="U112" i="51" s="1"/>
  <c r="Y112" i="51" s="1"/>
  <c r="AF112" i="51" s="1"/>
  <c r="Q112" i="51"/>
  <c r="R112" i="51" s="1"/>
  <c r="N112" i="51"/>
  <c r="AB111" i="51"/>
  <c r="AE111" i="51" s="1"/>
  <c r="X111" i="51"/>
  <c r="S111" i="51"/>
  <c r="U111" i="51" s="1"/>
  <c r="Y111" i="51" s="1"/>
  <c r="AF111" i="51" s="1"/>
  <c r="Q111" i="51"/>
  <c r="N111" i="51"/>
  <c r="R111" i="51" s="1"/>
  <c r="AE110" i="51"/>
  <c r="AB110" i="51"/>
  <c r="X110" i="51"/>
  <c r="S110" i="51"/>
  <c r="U110" i="51" s="1"/>
  <c r="Y110" i="51" s="1"/>
  <c r="Q110" i="51"/>
  <c r="R110" i="51" s="1"/>
  <c r="N110" i="51"/>
  <c r="AE109" i="51"/>
  <c r="AB109" i="51"/>
  <c r="X109" i="51"/>
  <c r="S109" i="51"/>
  <c r="U109" i="51" s="1"/>
  <c r="Y109" i="51" s="1"/>
  <c r="R109" i="51"/>
  <c r="Q109" i="51"/>
  <c r="N109" i="51"/>
  <c r="AE108" i="51"/>
  <c r="AF108" i="51" s="1"/>
  <c r="AB108" i="51"/>
  <c r="X108" i="51"/>
  <c r="Y108" i="51" s="1"/>
  <c r="U108" i="51"/>
  <c r="S108" i="51"/>
  <c r="Q108" i="51"/>
  <c r="N108" i="51"/>
  <c r="R108" i="51" s="1"/>
  <c r="AB107" i="51"/>
  <c r="AE107" i="51" s="1"/>
  <c r="X107" i="51"/>
  <c r="S107" i="51"/>
  <c r="U107" i="51" s="1"/>
  <c r="Y107" i="51" s="1"/>
  <c r="AF107" i="51" s="1"/>
  <c r="R107" i="51"/>
  <c r="Q107" i="51"/>
  <c r="N107" i="51"/>
  <c r="AB106" i="51"/>
  <c r="AE106" i="51" s="1"/>
  <c r="X106" i="51"/>
  <c r="S106" i="51"/>
  <c r="U106" i="51" s="1"/>
  <c r="Y106" i="51" s="1"/>
  <c r="AF106" i="51" s="1"/>
  <c r="R106" i="51"/>
  <c r="Q106" i="51"/>
  <c r="N106" i="51"/>
  <c r="AB105" i="51"/>
  <c r="AE105" i="51" s="1"/>
  <c r="X105" i="51"/>
  <c r="U105" i="51"/>
  <c r="Y105" i="51" s="1"/>
  <c r="AF105" i="51" s="1"/>
  <c r="S105" i="51"/>
  <c r="Q105" i="51"/>
  <c r="N105" i="51"/>
  <c r="R105" i="51" s="1"/>
  <c r="AE104" i="51"/>
  <c r="AB104" i="51"/>
  <c r="X104" i="51"/>
  <c r="U104" i="51"/>
  <c r="S104" i="51"/>
  <c r="Q104" i="51"/>
  <c r="N104" i="51"/>
  <c r="R104" i="51" s="1"/>
  <c r="AB103" i="51"/>
  <c r="AE103" i="51" s="1"/>
  <c r="X103" i="51"/>
  <c r="S103" i="51"/>
  <c r="U103" i="51" s="1"/>
  <c r="Y103" i="51" s="1"/>
  <c r="Q103" i="51"/>
  <c r="N103" i="51"/>
  <c r="R103" i="51" s="1"/>
  <c r="AE102" i="51"/>
  <c r="AB102" i="51"/>
  <c r="Y102" i="51"/>
  <c r="X102" i="51"/>
  <c r="U102" i="51"/>
  <c r="S102" i="51"/>
  <c r="Q102" i="51"/>
  <c r="N102" i="51"/>
  <c r="AB101" i="51"/>
  <c r="AE101" i="51" s="1"/>
  <c r="Y101" i="51"/>
  <c r="AF101" i="51" s="1"/>
  <c r="X101" i="51"/>
  <c r="U101" i="51"/>
  <c r="S101" i="51"/>
  <c r="R101" i="51"/>
  <c r="Q101" i="51"/>
  <c r="N101" i="51"/>
  <c r="AB100" i="51"/>
  <c r="AE100" i="51" s="1"/>
  <c r="X100" i="51"/>
  <c r="U100" i="51"/>
  <c r="Y100" i="51" s="1"/>
  <c r="AF100" i="51" s="1"/>
  <c r="S100" i="51"/>
  <c r="R100" i="51"/>
  <c r="Q100" i="51"/>
  <c r="N100" i="51"/>
  <c r="AB99" i="51"/>
  <c r="AE99" i="51" s="1"/>
  <c r="Y99" i="51"/>
  <c r="X99" i="51"/>
  <c r="S99" i="51"/>
  <c r="U99" i="51" s="1"/>
  <c r="Q99" i="51"/>
  <c r="N99" i="51"/>
  <c r="R99" i="51" s="1"/>
  <c r="AF98" i="51"/>
  <c r="AE98" i="51"/>
  <c r="AB98" i="51"/>
  <c r="X98" i="51"/>
  <c r="S98" i="51"/>
  <c r="U98" i="51" s="1"/>
  <c r="Y98" i="51" s="1"/>
  <c r="R98" i="51"/>
  <c r="Q98" i="51"/>
  <c r="N98" i="51"/>
  <c r="AB97" i="51"/>
  <c r="AE97" i="51" s="1"/>
  <c r="X97" i="51"/>
  <c r="S97" i="51"/>
  <c r="U97" i="51" s="1"/>
  <c r="Y97" i="51" s="1"/>
  <c r="AF97" i="51" s="1"/>
  <c r="R97" i="51"/>
  <c r="Q97" i="51"/>
  <c r="N97" i="51"/>
  <c r="AE96" i="51"/>
  <c r="AB96" i="51"/>
  <c r="X96" i="51"/>
  <c r="Y96" i="51" s="1"/>
  <c r="U96" i="51"/>
  <c r="S96" i="51"/>
  <c r="Q96" i="51"/>
  <c r="N96" i="51"/>
  <c r="AB95" i="51"/>
  <c r="AE95" i="51" s="1"/>
  <c r="Y95" i="51"/>
  <c r="AF95" i="51" s="1"/>
  <c r="X95" i="51"/>
  <c r="U95" i="51"/>
  <c r="S95" i="51"/>
  <c r="R95" i="51"/>
  <c r="Q95" i="51"/>
  <c r="N95" i="51"/>
  <c r="AE94" i="51"/>
  <c r="AB94" i="51"/>
  <c r="X94" i="51"/>
  <c r="S94" i="51"/>
  <c r="U94" i="51" s="1"/>
  <c r="Y94" i="51" s="1"/>
  <c r="AF94" i="51" s="1"/>
  <c r="R94" i="51"/>
  <c r="Q94" i="51"/>
  <c r="N94" i="51"/>
  <c r="AB93" i="51"/>
  <c r="AE93" i="51" s="1"/>
  <c r="X93" i="51"/>
  <c r="S93" i="51"/>
  <c r="U93" i="51" s="1"/>
  <c r="Y93" i="51" s="1"/>
  <c r="AF93" i="51" s="1"/>
  <c r="Q93" i="51"/>
  <c r="N93" i="51"/>
  <c r="R93" i="51" s="1"/>
  <c r="AE92" i="51"/>
  <c r="AB92" i="51"/>
  <c r="X92" i="51"/>
  <c r="U92" i="51"/>
  <c r="Y92" i="51" s="1"/>
  <c r="AF92" i="51" s="1"/>
  <c r="S92" i="51"/>
  <c r="Q92" i="51"/>
  <c r="N92" i="51"/>
  <c r="R92" i="51" s="1"/>
  <c r="AB91" i="51"/>
  <c r="AE91" i="51" s="1"/>
  <c r="Y91" i="51"/>
  <c r="X91" i="51"/>
  <c r="S91" i="51"/>
  <c r="U91" i="51" s="1"/>
  <c r="R91" i="51"/>
  <c r="Q91" i="51"/>
  <c r="N91" i="51"/>
  <c r="AB90" i="51"/>
  <c r="AE90" i="51" s="1"/>
  <c r="X90" i="51"/>
  <c r="U90" i="51"/>
  <c r="Y90" i="51" s="1"/>
  <c r="S90" i="51"/>
  <c r="Q90" i="51"/>
  <c r="N90" i="51"/>
  <c r="AE89" i="51"/>
  <c r="AB89" i="51"/>
  <c r="Y89" i="51"/>
  <c r="AF89" i="51" s="1"/>
  <c r="X89" i="51"/>
  <c r="U89" i="51"/>
  <c r="S89" i="51"/>
  <c r="R89" i="51"/>
  <c r="Q89" i="51"/>
  <c r="N89" i="51"/>
  <c r="AE88" i="51"/>
  <c r="AB88" i="51"/>
  <c r="X88" i="51"/>
  <c r="U88" i="51"/>
  <c r="Y88" i="51" s="1"/>
  <c r="AF88" i="51" s="1"/>
  <c r="S88" i="51"/>
  <c r="R88" i="51"/>
  <c r="Q88" i="51"/>
  <c r="N88" i="51"/>
  <c r="AB87" i="51"/>
  <c r="AE87" i="51" s="1"/>
  <c r="Y87" i="51"/>
  <c r="X87" i="51"/>
  <c r="U87" i="51"/>
  <c r="S87" i="51"/>
  <c r="Q87" i="51"/>
  <c r="N87" i="51"/>
  <c r="R87" i="51" s="1"/>
  <c r="AE86" i="51"/>
  <c r="AB86" i="51"/>
  <c r="X86" i="51"/>
  <c r="S86" i="51"/>
  <c r="U86" i="51" s="1"/>
  <c r="Y86" i="51" s="1"/>
  <c r="AF86" i="51" s="1"/>
  <c r="R86" i="51"/>
  <c r="Q86" i="51"/>
  <c r="N86" i="51"/>
  <c r="AB85" i="51"/>
  <c r="AE85" i="51" s="1"/>
  <c r="AF85" i="51" s="1"/>
  <c r="Y85" i="51"/>
  <c r="X85" i="51"/>
  <c r="S85" i="51"/>
  <c r="U85" i="51" s="1"/>
  <c r="Q85" i="51"/>
  <c r="N85" i="51"/>
  <c r="R85" i="51" s="1"/>
  <c r="AE84" i="51"/>
  <c r="AB84" i="51"/>
  <c r="X84" i="51"/>
  <c r="U84" i="51"/>
  <c r="Y84" i="51" s="1"/>
  <c r="S84" i="51"/>
  <c r="Q84" i="51"/>
  <c r="N84" i="51"/>
  <c r="AB83" i="51"/>
  <c r="AE83" i="51" s="1"/>
  <c r="X83" i="51"/>
  <c r="Y83" i="51" s="1"/>
  <c r="AF83" i="51" s="1"/>
  <c r="U83" i="51"/>
  <c r="S83" i="51"/>
  <c r="R83" i="51"/>
  <c r="Q83" i="51"/>
  <c r="N83" i="51"/>
  <c r="AB82" i="51"/>
  <c r="AE82" i="51" s="1"/>
  <c r="X82" i="51"/>
  <c r="S82" i="51"/>
  <c r="U82" i="51" s="1"/>
  <c r="Y82" i="51" s="1"/>
  <c r="Q82" i="51"/>
  <c r="R82" i="51" s="1"/>
  <c r="AF82" i="51" s="1"/>
  <c r="N82" i="51"/>
  <c r="AB81" i="51"/>
  <c r="AE81" i="51" s="1"/>
  <c r="Y81" i="51"/>
  <c r="AF81" i="51" s="1"/>
  <c r="X81" i="51"/>
  <c r="S81" i="51"/>
  <c r="U81" i="51" s="1"/>
  <c r="R81" i="51"/>
  <c r="Q81" i="51"/>
  <c r="N81" i="51"/>
  <c r="AE80" i="51"/>
  <c r="AB80" i="51"/>
  <c r="X80" i="51"/>
  <c r="S80" i="51"/>
  <c r="U80" i="51" s="1"/>
  <c r="Y80" i="51" s="1"/>
  <c r="R80" i="51"/>
  <c r="Q80" i="51"/>
  <c r="N80" i="51"/>
  <c r="AB79" i="51"/>
  <c r="AE79" i="51" s="1"/>
  <c r="X79" i="51"/>
  <c r="S79" i="51"/>
  <c r="U79" i="51" s="1"/>
  <c r="Y79" i="51" s="1"/>
  <c r="AF79" i="51" s="1"/>
  <c r="R79" i="51"/>
  <c r="Q79" i="51"/>
  <c r="N79" i="51"/>
  <c r="AB78" i="51"/>
  <c r="AE78" i="51" s="1"/>
  <c r="Y78" i="51"/>
  <c r="AF78" i="51" s="1"/>
  <c r="X78" i="51"/>
  <c r="U78" i="51"/>
  <c r="S78" i="51"/>
  <c r="Q78" i="51"/>
  <c r="N78" i="51"/>
  <c r="R78" i="51" s="1"/>
  <c r="AE77" i="51"/>
  <c r="AB77" i="51"/>
  <c r="X77" i="51"/>
  <c r="S77" i="51"/>
  <c r="U77" i="51" s="1"/>
  <c r="Y77" i="51" s="1"/>
  <c r="R77" i="51"/>
  <c r="AF77" i="51" s="1"/>
  <c r="Q77" i="51"/>
  <c r="N77" i="51"/>
  <c r="AB76" i="51"/>
  <c r="AE76" i="51" s="1"/>
  <c r="X76" i="51"/>
  <c r="Y76" i="51" s="1"/>
  <c r="AF76" i="51" s="1"/>
  <c r="U76" i="51"/>
  <c r="S76" i="51"/>
  <c r="Q76" i="51"/>
  <c r="N76" i="51"/>
  <c r="R76" i="51" s="1"/>
  <c r="AB75" i="51"/>
  <c r="AE75" i="51" s="1"/>
  <c r="X75" i="51"/>
  <c r="S75" i="51"/>
  <c r="U75" i="51" s="1"/>
  <c r="Y75" i="51" s="1"/>
  <c r="AF75" i="51" s="1"/>
  <c r="Q75" i="51"/>
  <c r="R75" i="51" s="1"/>
  <c r="N75" i="51"/>
  <c r="AE74" i="51"/>
  <c r="AB74" i="51"/>
  <c r="X74" i="51"/>
  <c r="S74" i="51"/>
  <c r="U74" i="51" s="1"/>
  <c r="Y74" i="51" s="1"/>
  <c r="AF74" i="51" s="1"/>
  <c r="R74" i="51"/>
  <c r="Q74" i="51"/>
  <c r="N74" i="51"/>
  <c r="AE73" i="51"/>
  <c r="AB73" i="51"/>
  <c r="X73" i="51"/>
  <c r="S73" i="51"/>
  <c r="U73" i="51" s="1"/>
  <c r="Y73" i="51" s="1"/>
  <c r="Q73" i="51"/>
  <c r="N73" i="51"/>
  <c r="AF72" i="51"/>
  <c r="AE72" i="51"/>
  <c r="AB72" i="51"/>
  <c r="X72" i="51"/>
  <c r="U72" i="51"/>
  <c r="Y72" i="51" s="1"/>
  <c r="S72" i="51"/>
  <c r="Q72" i="51"/>
  <c r="N72" i="51"/>
  <c r="R72" i="51" s="1"/>
  <c r="AE71" i="51"/>
  <c r="AB71" i="51"/>
  <c r="X71" i="51"/>
  <c r="S71" i="51"/>
  <c r="U71" i="51" s="1"/>
  <c r="Y71" i="51" s="1"/>
  <c r="AF71" i="51" s="1"/>
  <c r="R71" i="51"/>
  <c r="Q71" i="51"/>
  <c r="N71" i="51"/>
  <c r="AE70" i="51"/>
  <c r="AB70" i="51"/>
  <c r="X70" i="51"/>
  <c r="S70" i="51"/>
  <c r="U70" i="51" s="1"/>
  <c r="Y70" i="51" s="1"/>
  <c r="AF70" i="51" s="1"/>
  <c r="R70" i="51"/>
  <c r="Q70" i="51"/>
  <c r="N70" i="51"/>
  <c r="AB69" i="51"/>
  <c r="AE69" i="51" s="1"/>
  <c r="X69" i="51"/>
  <c r="U69" i="51"/>
  <c r="Y69" i="51" s="1"/>
  <c r="S69" i="51"/>
  <c r="Q69" i="51"/>
  <c r="N69" i="51"/>
  <c r="R69" i="51" s="1"/>
  <c r="AE68" i="51"/>
  <c r="AB68" i="51"/>
  <c r="X68" i="51"/>
  <c r="U68" i="51"/>
  <c r="Y68" i="51" s="1"/>
  <c r="S68" i="51"/>
  <c r="Q68" i="51"/>
  <c r="N68" i="51"/>
  <c r="R68" i="51" s="1"/>
  <c r="AF68" i="51" s="1"/>
  <c r="AB67" i="51"/>
  <c r="AE67" i="51" s="1"/>
  <c r="X67" i="51"/>
  <c r="S67" i="51"/>
  <c r="U67" i="51" s="1"/>
  <c r="Y67" i="51" s="1"/>
  <c r="AF67" i="51" s="1"/>
  <c r="Q67" i="51"/>
  <c r="R67" i="51" s="1"/>
  <c r="N67" i="51"/>
  <c r="AE66" i="51"/>
  <c r="AB66" i="51"/>
  <c r="X66" i="51"/>
  <c r="U66" i="51"/>
  <c r="Y66" i="51" s="1"/>
  <c r="S66" i="51"/>
  <c r="Q66" i="51"/>
  <c r="N66" i="51"/>
  <c r="AE65" i="51"/>
  <c r="AB65" i="51"/>
  <c r="X65" i="51"/>
  <c r="Y65" i="51" s="1"/>
  <c r="AF65" i="51" s="1"/>
  <c r="U65" i="51"/>
  <c r="S65" i="51"/>
  <c r="R65" i="51"/>
  <c r="Q65" i="51"/>
  <c r="N65" i="51"/>
  <c r="AE64" i="51"/>
  <c r="AB64" i="51"/>
  <c r="X64" i="51"/>
  <c r="U64" i="51"/>
  <c r="Y64" i="51" s="1"/>
  <c r="AF64" i="51" s="1"/>
  <c r="S64" i="51"/>
  <c r="R64" i="51"/>
  <c r="Q64" i="51"/>
  <c r="N64" i="51"/>
  <c r="AB63" i="51"/>
  <c r="AE63" i="51" s="1"/>
  <c r="X63" i="51"/>
  <c r="U63" i="51"/>
  <c r="Y63" i="51" s="1"/>
  <c r="AF63" i="51" s="1"/>
  <c r="S63" i="51"/>
  <c r="Q63" i="51"/>
  <c r="N63" i="51"/>
  <c r="R63" i="51" s="1"/>
  <c r="AF62" i="51"/>
  <c r="AE62" i="51"/>
  <c r="AB62" i="51"/>
  <c r="X62" i="51"/>
  <c r="U62" i="51"/>
  <c r="Y62" i="51" s="1"/>
  <c r="S62" i="51"/>
  <c r="R62" i="51"/>
  <c r="Q62" i="51"/>
  <c r="N62" i="51"/>
  <c r="AB61" i="51"/>
  <c r="AE61" i="51" s="1"/>
  <c r="X61" i="51"/>
  <c r="S61" i="51"/>
  <c r="U61" i="51" s="1"/>
  <c r="Y61" i="51" s="1"/>
  <c r="AF61" i="51" s="1"/>
  <c r="Q61" i="51"/>
  <c r="N61" i="51"/>
  <c r="R61" i="51" s="1"/>
  <c r="AE60" i="51"/>
  <c r="AB60" i="51"/>
  <c r="X60" i="51"/>
  <c r="U60" i="51"/>
  <c r="Y60" i="51" s="1"/>
  <c r="S60" i="51"/>
  <c r="Q60" i="51"/>
  <c r="N60" i="51"/>
  <c r="AB59" i="51"/>
  <c r="AE59" i="51" s="1"/>
  <c r="Y59" i="51"/>
  <c r="AF59" i="51" s="1"/>
  <c r="X59" i="51"/>
  <c r="U59" i="51"/>
  <c r="S59" i="51"/>
  <c r="R59" i="51"/>
  <c r="Q59" i="51"/>
  <c r="N59" i="51"/>
  <c r="AE58" i="51"/>
  <c r="AB58" i="51"/>
  <c r="X58" i="51"/>
  <c r="S58" i="51"/>
  <c r="U58" i="51" s="1"/>
  <c r="Y58" i="51" s="1"/>
  <c r="AF58" i="51" s="1"/>
  <c r="R58" i="51"/>
  <c r="Q58" i="51"/>
  <c r="N58" i="51"/>
  <c r="AB57" i="51"/>
  <c r="AE57" i="51" s="1"/>
  <c r="X57" i="51"/>
  <c r="U57" i="51"/>
  <c r="Y57" i="51" s="1"/>
  <c r="S57" i="51"/>
  <c r="Q57" i="51"/>
  <c r="N57" i="51"/>
  <c r="AE56" i="51"/>
  <c r="AF56" i="51" s="1"/>
  <c r="AB56" i="51"/>
  <c r="X56" i="51"/>
  <c r="S56" i="51"/>
  <c r="U56" i="51" s="1"/>
  <c r="Y56" i="51" s="1"/>
  <c r="R56" i="51"/>
  <c r="Q56" i="51"/>
  <c r="N56" i="51"/>
  <c r="AB55" i="51"/>
  <c r="AE55" i="51" s="1"/>
  <c r="Y55" i="51"/>
  <c r="X55" i="51"/>
  <c r="S55" i="51"/>
  <c r="U55" i="51" s="1"/>
  <c r="Q55" i="51"/>
  <c r="N55" i="51"/>
  <c r="R55" i="51" s="1"/>
  <c r="AB54" i="51"/>
  <c r="AE54" i="51" s="1"/>
  <c r="X54" i="51"/>
  <c r="U54" i="51"/>
  <c r="Y54" i="51" s="1"/>
  <c r="S54" i="51"/>
  <c r="Q54" i="51"/>
  <c r="N54" i="51"/>
  <c r="AB53" i="51"/>
  <c r="AE53" i="51" s="1"/>
  <c r="X53" i="51"/>
  <c r="Y53" i="51" s="1"/>
  <c r="AF53" i="51" s="1"/>
  <c r="U53" i="51"/>
  <c r="S53" i="51"/>
  <c r="R53" i="51"/>
  <c r="Q53" i="51"/>
  <c r="N53" i="51"/>
  <c r="AE52" i="51"/>
  <c r="AB52" i="51"/>
  <c r="X52" i="51"/>
  <c r="S52" i="51"/>
  <c r="U52" i="51" s="1"/>
  <c r="Y52" i="51" s="1"/>
  <c r="AF52" i="51" s="1"/>
  <c r="R52" i="51"/>
  <c r="Q52" i="51"/>
  <c r="N52" i="51"/>
  <c r="AB51" i="51"/>
  <c r="AE51" i="51" s="1"/>
  <c r="X51" i="51"/>
  <c r="U51" i="51"/>
  <c r="Y51" i="51" s="1"/>
  <c r="AF51" i="51" s="1"/>
  <c r="S51" i="51"/>
  <c r="Q51" i="51"/>
  <c r="N51" i="51"/>
  <c r="R51" i="51" s="1"/>
  <c r="AE50" i="51"/>
  <c r="AB50" i="51"/>
  <c r="X50" i="51"/>
  <c r="U50" i="51"/>
  <c r="Y50" i="51" s="1"/>
  <c r="AF50" i="51" s="1"/>
  <c r="S50" i="51"/>
  <c r="R50" i="51"/>
  <c r="Q50" i="51"/>
  <c r="N50" i="51"/>
  <c r="AB49" i="51"/>
  <c r="AE49" i="51" s="1"/>
  <c r="Y49" i="51"/>
  <c r="X49" i="51"/>
  <c r="S49" i="51"/>
  <c r="U49" i="51" s="1"/>
  <c r="Q49" i="51"/>
  <c r="N49" i="51"/>
  <c r="R49" i="51" s="1"/>
  <c r="AE48" i="51"/>
  <c r="AB48" i="51"/>
  <c r="X48" i="51"/>
  <c r="U48" i="51"/>
  <c r="Y48" i="51" s="1"/>
  <c r="S48" i="51"/>
  <c r="Q48" i="51"/>
  <c r="N48" i="51"/>
  <c r="AE47" i="51"/>
  <c r="AB47" i="51"/>
  <c r="X47" i="51"/>
  <c r="Y47" i="51" s="1"/>
  <c r="AF47" i="51" s="1"/>
  <c r="S47" i="51"/>
  <c r="U47" i="51" s="1"/>
  <c r="R47" i="51"/>
  <c r="Q47" i="51"/>
  <c r="N47" i="51"/>
  <c r="AE46" i="51"/>
  <c r="AB46" i="51"/>
  <c r="X46" i="51"/>
  <c r="S46" i="51"/>
  <c r="U46" i="51" s="1"/>
  <c r="Y46" i="51" s="1"/>
  <c r="AF46" i="51" s="1"/>
  <c r="Q46" i="51"/>
  <c r="N46" i="51"/>
  <c r="R46" i="51" s="1"/>
  <c r="AB45" i="51"/>
  <c r="AE45" i="51" s="1"/>
  <c r="X45" i="51"/>
  <c r="Y45" i="51" s="1"/>
  <c r="AF45" i="51" s="1"/>
  <c r="U45" i="51"/>
  <c r="S45" i="51"/>
  <c r="Q45" i="51"/>
  <c r="N45" i="51"/>
  <c r="R45" i="51" s="1"/>
  <c r="AE44" i="51"/>
  <c r="AB44" i="51"/>
  <c r="X44" i="51"/>
  <c r="U44" i="51"/>
  <c r="Y44" i="51" s="1"/>
  <c r="AF44" i="51" s="1"/>
  <c r="S44" i="51"/>
  <c r="R44" i="51"/>
  <c r="Q44" i="51"/>
  <c r="N44" i="51"/>
  <c r="AE43" i="51"/>
  <c r="AB43" i="51"/>
  <c r="X43" i="51"/>
  <c r="S43" i="51"/>
  <c r="U43" i="51" s="1"/>
  <c r="Y43" i="51" s="1"/>
  <c r="Q43" i="51"/>
  <c r="R43" i="51" s="1"/>
  <c r="N43" i="51"/>
  <c r="AB42" i="51"/>
  <c r="AE42" i="51" s="1"/>
  <c r="X42" i="51"/>
  <c r="U42" i="51"/>
  <c r="Y42" i="51" s="1"/>
  <c r="AF42" i="51" s="1"/>
  <c r="S42" i="51"/>
  <c r="Q42" i="51"/>
  <c r="N42" i="51"/>
  <c r="R42" i="51" s="1"/>
  <c r="AE41" i="51"/>
  <c r="AB41" i="51"/>
  <c r="X41" i="51"/>
  <c r="S41" i="51"/>
  <c r="U41" i="51" s="1"/>
  <c r="Y41" i="51" s="1"/>
  <c r="AF41" i="51" s="1"/>
  <c r="R41" i="51"/>
  <c r="Q41" i="51"/>
  <c r="N41" i="51"/>
  <c r="AE40" i="51"/>
  <c r="AB40" i="51"/>
  <c r="X40" i="51"/>
  <c r="S40" i="51"/>
  <c r="U40" i="51" s="1"/>
  <c r="Y40" i="51" s="1"/>
  <c r="Q40" i="51"/>
  <c r="R40" i="51" s="1"/>
  <c r="N40" i="51"/>
  <c r="AB39" i="51"/>
  <c r="AE39" i="51" s="1"/>
  <c r="X39" i="51"/>
  <c r="U39" i="51"/>
  <c r="Y39" i="51" s="1"/>
  <c r="S39" i="51"/>
  <c r="Q39" i="51"/>
  <c r="N39" i="51"/>
  <c r="AE37" i="51"/>
  <c r="AB37" i="51"/>
  <c r="X37" i="51"/>
  <c r="S37" i="51"/>
  <c r="U37" i="51" s="1"/>
  <c r="Y37" i="51" s="1"/>
  <c r="AF37" i="51" s="1"/>
  <c r="R37" i="51"/>
  <c r="Q37" i="51"/>
  <c r="N37" i="51"/>
  <c r="AF36" i="51"/>
  <c r="AE36" i="51"/>
  <c r="AB36" i="51"/>
  <c r="AB35" i="51"/>
  <c r="AE35" i="51" s="1"/>
  <c r="AF35" i="51" s="1"/>
  <c r="AB34" i="51"/>
  <c r="AE34" i="51" s="1"/>
  <c r="X34" i="51"/>
  <c r="S34" i="51"/>
  <c r="U34" i="51" s="1"/>
  <c r="Y34" i="51" s="1"/>
  <c r="AF34" i="51" s="1"/>
  <c r="Q34" i="51"/>
  <c r="N34" i="51"/>
  <c r="R34" i="51" s="1"/>
  <c r="AB33" i="51"/>
  <c r="AE33" i="51" s="1"/>
  <c r="X33" i="51"/>
  <c r="U33" i="51"/>
  <c r="Y33" i="51" s="1"/>
  <c r="S33" i="51"/>
  <c r="Q33" i="51"/>
  <c r="N33" i="51"/>
  <c r="AE32" i="51"/>
  <c r="AB32" i="51"/>
  <c r="X32" i="51"/>
  <c r="U32" i="51"/>
  <c r="Y32" i="51" s="1"/>
  <c r="AF32" i="51" s="1"/>
  <c r="S32" i="51"/>
  <c r="R32" i="51"/>
  <c r="Q32" i="51"/>
  <c r="N32" i="51"/>
  <c r="AE31" i="51"/>
  <c r="AB31" i="51"/>
  <c r="X31" i="51"/>
  <c r="S31" i="51"/>
  <c r="U31" i="51" s="1"/>
  <c r="Y31" i="51" s="1"/>
  <c r="Q31" i="51"/>
  <c r="N31" i="51"/>
  <c r="R31" i="51" s="1"/>
  <c r="AB30" i="51"/>
  <c r="AE30" i="51" s="1"/>
  <c r="X30" i="51"/>
  <c r="Y30" i="51" s="1"/>
  <c r="AF30" i="51" s="1"/>
  <c r="U30" i="51"/>
  <c r="S30" i="51"/>
  <c r="Q30" i="51"/>
  <c r="N30" i="51"/>
  <c r="R30" i="51" s="1"/>
  <c r="AE29" i="51"/>
  <c r="AB29" i="51"/>
  <c r="X29" i="51"/>
  <c r="U29" i="51"/>
  <c r="S29" i="51"/>
  <c r="R29" i="51"/>
  <c r="Q29" i="51"/>
  <c r="N29" i="51"/>
  <c r="AE28" i="51"/>
  <c r="AB28" i="51"/>
  <c r="X28" i="51"/>
  <c r="S28" i="51"/>
  <c r="U28" i="51" s="1"/>
  <c r="Y28" i="51" s="1"/>
  <c r="AF28" i="51" s="1"/>
  <c r="Q28" i="51"/>
  <c r="N28" i="51"/>
  <c r="R28" i="51" s="1"/>
  <c r="AB27" i="51"/>
  <c r="AE27" i="51" s="1"/>
  <c r="X27" i="51"/>
  <c r="Y27" i="51" s="1"/>
  <c r="AF27" i="51" s="1"/>
  <c r="U27" i="51"/>
  <c r="S27" i="51"/>
  <c r="Q27" i="51"/>
  <c r="N27" i="51"/>
  <c r="R27" i="51" s="1"/>
  <c r="AE26" i="51"/>
  <c r="AB26" i="51"/>
  <c r="X26" i="51"/>
  <c r="U26" i="51"/>
  <c r="Y26" i="51" s="1"/>
  <c r="AF26" i="51" s="1"/>
  <c r="S26" i="51"/>
  <c r="R26" i="51"/>
  <c r="Q26" i="51"/>
  <c r="N26" i="51"/>
  <c r="AB25" i="51"/>
  <c r="AE25" i="51" s="1"/>
  <c r="X25" i="51"/>
  <c r="S25" i="51"/>
  <c r="U25" i="51" s="1"/>
  <c r="Y25" i="51" s="1"/>
  <c r="AF25" i="51" s="1"/>
  <c r="R25" i="51"/>
  <c r="Q25" i="51"/>
  <c r="N25" i="51"/>
  <c r="AB24" i="51"/>
  <c r="AE24" i="51" s="1"/>
  <c r="Y24" i="51"/>
  <c r="AF24" i="51" s="1"/>
  <c r="X24" i="51"/>
  <c r="U24" i="51"/>
  <c r="S24" i="51"/>
  <c r="Q24" i="51"/>
  <c r="N24" i="51"/>
  <c r="R24" i="51" s="1"/>
  <c r="AE23" i="51"/>
  <c r="AB23" i="51"/>
  <c r="X23" i="51"/>
  <c r="S23" i="51"/>
  <c r="U23" i="51" s="1"/>
  <c r="Y23" i="51" s="1"/>
  <c r="AF23" i="51" s="1"/>
  <c r="R23" i="51"/>
  <c r="Q23" i="51"/>
  <c r="N23" i="51"/>
  <c r="AB22" i="51"/>
  <c r="AE22" i="51" s="1"/>
  <c r="X22" i="51"/>
  <c r="S22" i="51"/>
  <c r="U22" i="51" s="1"/>
  <c r="Y22" i="51" s="1"/>
  <c r="R22" i="51"/>
  <c r="Q22" i="51"/>
  <c r="N22" i="51"/>
  <c r="AB21" i="51"/>
  <c r="AE21" i="51" s="1"/>
  <c r="Y21" i="51"/>
  <c r="X21" i="51"/>
  <c r="U21" i="51"/>
  <c r="S21" i="51"/>
  <c r="Q21" i="51"/>
  <c r="N21" i="51"/>
  <c r="AE20" i="51"/>
  <c r="AB20" i="51"/>
  <c r="X20" i="51"/>
  <c r="S20" i="51"/>
  <c r="U20" i="51" s="1"/>
  <c r="Y20" i="51" s="1"/>
  <c r="AF20" i="51" s="1"/>
  <c r="R20" i="51"/>
  <c r="Q20" i="51"/>
  <c r="N20" i="51"/>
  <c r="AE19" i="51"/>
  <c r="AB19" i="51"/>
  <c r="X19" i="51"/>
  <c r="S19" i="51"/>
  <c r="U19" i="51" s="1"/>
  <c r="Y19" i="51" s="1"/>
  <c r="Q19" i="51"/>
  <c r="N19" i="51"/>
  <c r="R19" i="51" s="1"/>
  <c r="AF113" i="51" l="1"/>
  <c r="AF123" i="51"/>
  <c r="AF19" i="51"/>
  <c r="AF40" i="51"/>
  <c r="AF54" i="51"/>
  <c r="AF120" i="51"/>
  <c r="AF133" i="51"/>
  <c r="AF118" i="51"/>
  <c r="AE284" i="51"/>
  <c r="AF31" i="51"/>
  <c r="AF60" i="51"/>
  <c r="AF110" i="51"/>
  <c r="AF177" i="51"/>
  <c r="AF22" i="51"/>
  <c r="AF39" i="51"/>
  <c r="AF43" i="51"/>
  <c r="AF96" i="51"/>
  <c r="AF136" i="51"/>
  <c r="AF141" i="51"/>
  <c r="AF80" i="51"/>
  <c r="AF134" i="51"/>
  <c r="AF195" i="51"/>
  <c r="R39" i="51"/>
  <c r="R57" i="51"/>
  <c r="AF57" i="51" s="1"/>
  <c r="R60" i="51"/>
  <c r="R66" i="51"/>
  <c r="AF66" i="51" s="1"/>
  <c r="R96" i="51"/>
  <c r="AF179" i="51"/>
  <c r="AF214" i="51"/>
  <c r="AF24" i="53"/>
  <c r="AF131" i="53"/>
  <c r="Y29" i="51"/>
  <c r="AF29" i="51" s="1"/>
  <c r="R54" i="51"/>
  <c r="AF55" i="51"/>
  <c r="Y104" i="51"/>
  <c r="AF104" i="51" s="1"/>
  <c r="AF109" i="51"/>
  <c r="R133" i="51"/>
  <c r="Y172" i="51"/>
  <c r="AF172" i="51" s="1"/>
  <c r="AF190" i="51"/>
  <c r="AF217" i="51"/>
  <c r="AF260" i="51"/>
  <c r="AF49" i="51"/>
  <c r="AF99" i="51"/>
  <c r="AF234" i="51"/>
  <c r="V274" i="51"/>
  <c r="X274" i="51" s="1"/>
  <c r="U274" i="51"/>
  <c r="Y274" i="51" s="1"/>
  <c r="AF274" i="51" s="1"/>
  <c r="AF156" i="51"/>
  <c r="AF160" i="51"/>
  <c r="AF174" i="51"/>
  <c r="AF176" i="51"/>
  <c r="AF201" i="51"/>
  <c r="Y229" i="51"/>
  <c r="AF229" i="51" s="1"/>
  <c r="AF21" i="51"/>
  <c r="AF218" i="51"/>
  <c r="AF69" i="51"/>
  <c r="AF153" i="51"/>
  <c r="AF194" i="51"/>
  <c r="AF213" i="51"/>
  <c r="R21" i="51"/>
  <c r="R284" i="51" s="1"/>
  <c r="R73" i="51"/>
  <c r="AF73" i="51" s="1"/>
  <c r="AF91" i="51"/>
  <c r="Y116" i="51"/>
  <c r="AF116" i="51" s="1"/>
  <c r="R123" i="51"/>
  <c r="AF128" i="51"/>
  <c r="R146" i="51"/>
  <c r="AF146" i="51" s="1"/>
  <c r="AF169" i="51"/>
  <c r="R210" i="51"/>
  <c r="AF210" i="51" s="1"/>
  <c r="Y219" i="51"/>
  <c r="AF219" i="51" s="1"/>
  <c r="R228" i="51"/>
  <c r="AF238" i="51"/>
  <c r="R283" i="51"/>
  <c r="AF121" i="51"/>
  <c r="AF135" i="51"/>
  <c r="AF189" i="51"/>
  <c r="AF196" i="51"/>
  <c r="AF233" i="51"/>
  <c r="AF247" i="51"/>
  <c r="AF86" i="53"/>
  <c r="R33" i="51"/>
  <c r="AF33" i="51" s="1"/>
  <c r="R120" i="51"/>
  <c r="AF130" i="51"/>
  <c r="AF180" i="51"/>
  <c r="AF221" i="51"/>
  <c r="AF228" i="51"/>
  <c r="AF125" i="53"/>
  <c r="AF188" i="53"/>
  <c r="AF184" i="51"/>
  <c r="AF235" i="51"/>
  <c r="AF168" i="53"/>
  <c r="AF87" i="51"/>
  <c r="AF157" i="51"/>
  <c r="AF173" i="51"/>
  <c r="R115" i="51"/>
  <c r="AF137" i="51"/>
  <c r="AF152" i="51"/>
  <c r="AF207" i="51"/>
  <c r="AF212" i="51"/>
  <c r="AF256" i="51"/>
  <c r="AF253" i="51"/>
  <c r="AF258" i="51"/>
  <c r="R267" i="51"/>
  <c r="AF12" i="52"/>
  <c r="AF32" i="52"/>
  <c r="AF135" i="53"/>
  <c r="AE35" i="52"/>
  <c r="AF76" i="53"/>
  <c r="AF137" i="53"/>
  <c r="AF158" i="53"/>
  <c r="U271" i="51"/>
  <c r="Y271" i="51" s="1"/>
  <c r="AF271" i="51" s="1"/>
  <c r="V281" i="51"/>
  <c r="X281" i="51" s="1"/>
  <c r="U281" i="51"/>
  <c r="R266" i="51"/>
  <c r="AF266" i="51" s="1"/>
  <c r="Y35" i="52"/>
  <c r="AF5" i="52"/>
  <c r="AF17" i="52"/>
  <c r="AF20" i="52"/>
  <c r="AF23" i="52"/>
  <c r="R28" i="52"/>
  <c r="R35" i="52" s="1"/>
  <c r="AF49" i="53"/>
  <c r="AF78" i="53"/>
  <c r="AF123" i="53"/>
  <c r="R48" i="51"/>
  <c r="AF48" i="51" s="1"/>
  <c r="R90" i="51"/>
  <c r="AF90" i="51" s="1"/>
  <c r="R114" i="51"/>
  <c r="AF114" i="51" s="1"/>
  <c r="AF115" i="51"/>
  <c r="R152" i="51"/>
  <c r="AF204" i="51"/>
  <c r="Y270" i="51"/>
  <c r="AF270" i="51" s="1"/>
  <c r="AF14" i="52"/>
  <c r="R36" i="53"/>
  <c r="AF36" i="53" s="1"/>
  <c r="AF39" i="53"/>
  <c r="AF41" i="53"/>
  <c r="AF73" i="53"/>
  <c r="AF89" i="53"/>
  <c r="R120" i="53"/>
  <c r="AF130" i="53"/>
  <c r="AF162" i="53"/>
  <c r="AF250" i="51"/>
  <c r="Y276" i="51"/>
  <c r="AF276" i="51" s="1"/>
  <c r="AF204" i="53"/>
  <c r="AF203" i="53"/>
  <c r="AF127" i="51"/>
  <c r="AF19" i="52"/>
  <c r="AF120" i="53"/>
  <c r="AF97" i="53"/>
  <c r="AF209" i="51"/>
  <c r="AF267" i="51"/>
  <c r="U272" i="51"/>
  <c r="Y272" i="51" s="1"/>
  <c r="AF272" i="51" s="1"/>
  <c r="U282" i="51"/>
  <c r="Y282" i="51" s="1"/>
  <c r="AF282" i="51" s="1"/>
  <c r="AF7" i="52"/>
  <c r="AF206" i="51"/>
  <c r="AF16" i="52"/>
  <c r="AF25" i="53"/>
  <c r="R102" i="51"/>
  <c r="AF102" i="51" s="1"/>
  <c r="AF103" i="51"/>
  <c r="Y240" i="51"/>
  <c r="AF240" i="51" s="1"/>
  <c r="AF262" i="51"/>
  <c r="R268" i="51"/>
  <c r="AF268" i="51" s="1"/>
  <c r="U275" i="51"/>
  <c r="Y275" i="51" s="1"/>
  <c r="AF275" i="51" s="1"/>
  <c r="Y101" i="53"/>
  <c r="AF101" i="53" s="1"/>
  <c r="AF107" i="53"/>
  <c r="AF113" i="53"/>
  <c r="AF166" i="53"/>
  <c r="Y172" i="53"/>
  <c r="AF172" i="53" s="1"/>
  <c r="R104" i="53"/>
  <c r="AF128" i="53"/>
  <c r="Y151" i="53"/>
  <c r="AF151" i="53" s="1"/>
  <c r="V195" i="53"/>
  <c r="X195" i="53" s="1"/>
  <c r="U195" i="53"/>
  <c r="Y195" i="53" s="1"/>
  <c r="AF195" i="53" s="1"/>
  <c r="AF252" i="51"/>
  <c r="V280" i="51"/>
  <c r="X280" i="51" s="1"/>
  <c r="U280" i="51"/>
  <c r="AF19" i="53"/>
  <c r="AF33" i="53"/>
  <c r="AF167" i="53"/>
  <c r="AF175" i="53"/>
  <c r="U283" i="51"/>
  <c r="Y283" i="51" s="1"/>
  <c r="AF8" i="52"/>
  <c r="AF24" i="52"/>
  <c r="AF33" i="52"/>
  <c r="AE205" i="53"/>
  <c r="AF42" i="53"/>
  <c r="AF150" i="53"/>
  <c r="AF180" i="53"/>
  <c r="R84" i="51"/>
  <c r="AF84" i="51" s="1"/>
  <c r="Y264" i="51"/>
  <c r="AF264" i="51" s="1"/>
  <c r="V269" i="51"/>
  <c r="X269" i="51" s="1"/>
  <c r="Y269" i="51" s="1"/>
  <c r="AF269" i="51" s="1"/>
  <c r="Y11" i="52"/>
  <c r="AF11" i="52" s="1"/>
  <c r="AF30" i="53"/>
  <c r="AF58" i="53"/>
  <c r="AF100" i="53"/>
  <c r="AF108" i="53"/>
  <c r="AF112" i="53"/>
  <c r="AF140" i="53"/>
  <c r="Y145" i="53"/>
  <c r="AF145" i="53" s="1"/>
  <c r="AF155" i="53"/>
  <c r="AF104" i="53"/>
  <c r="R125" i="53"/>
  <c r="R147" i="53"/>
  <c r="R187" i="53"/>
  <c r="AF40" i="53"/>
  <c r="AF75" i="53"/>
  <c r="AF85" i="53"/>
  <c r="AF202" i="53"/>
  <c r="R33" i="52"/>
  <c r="AF57" i="53"/>
  <c r="AF65" i="53"/>
  <c r="AF83" i="53"/>
  <c r="AF92" i="53"/>
  <c r="AF105" i="53"/>
  <c r="AF141" i="53"/>
  <c r="V189" i="53"/>
  <c r="X189" i="53" s="1"/>
  <c r="U189" i="53"/>
  <c r="Y189" i="53" s="1"/>
  <c r="AF189" i="53" s="1"/>
  <c r="Y201" i="53"/>
  <c r="AF201" i="53" s="1"/>
  <c r="AF34" i="52"/>
  <c r="Y45" i="53"/>
  <c r="AF45" i="53" s="1"/>
  <c r="AF50" i="53"/>
  <c r="AF114" i="53"/>
  <c r="AF164" i="53"/>
  <c r="AF133" i="53"/>
  <c r="AF147" i="53"/>
  <c r="AF194" i="53"/>
  <c r="R22" i="53"/>
  <c r="AF22" i="53" s="1"/>
  <c r="AF111" i="53"/>
  <c r="AF122" i="53"/>
  <c r="AF174" i="53"/>
  <c r="AF192" i="53"/>
  <c r="AF52" i="53"/>
  <c r="AF69" i="53"/>
  <c r="AF88" i="53"/>
  <c r="AF116" i="53"/>
  <c r="AF157" i="53"/>
  <c r="AF182" i="53"/>
  <c r="R186" i="53"/>
  <c r="AF186" i="53" s="1"/>
  <c r="R31" i="52"/>
  <c r="AF31" i="52" s="1"/>
  <c r="R34" i="53"/>
  <c r="AF34" i="53" s="1"/>
  <c r="R115" i="53"/>
  <c r="AF115" i="53" s="1"/>
  <c r="AF144" i="53"/>
  <c r="R168" i="53"/>
  <c r="AF187" i="53"/>
  <c r="Y68" i="53"/>
  <c r="AF68" i="53" s="1"/>
  <c r="R131" i="53"/>
  <c r="Y139" i="53"/>
  <c r="AF139" i="53" s="1"/>
  <c r="Y163" i="53"/>
  <c r="AF163" i="53" s="1"/>
  <c r="R193" i="53"/>
  <c r="AF193" i="53" s="1"/>
  <c r="R67" i="53"/>
  <c r="AF67" i="53" s="1"/>
  <c r="AF176" i="53"/>
  <c r="R196" i="53"/>
  <c r="AF196" i="53" s="1"/>
  <c r="V191" i="53"/>
  <c r="X191" i="53" s="1"/>
  <c r="U191" i="53"/>
  <c r="Y191" i="53" s="1"/>
  <c r="AF191" i="53" s="1"/>
  <c r="R155" i="53"/>
  <c r="R167" i="53"/>
  <c r="R179" i="53"/>
  <c r="AF179" i="53" s="1"/>
  <c r="AF205" i="53" l="1"/>
  <c r="AF207" i="53" s="1"/>
  <c r="AG208" i="53" s="1"/>
  <c r="Y205" i="53"/>
  <c r="Y280" i="51"/>
  <c r="AF280" i="51" s="1"/>
  <c r="AF28" i="52"/>
  <c r="AF35" i="52" s="1"/>
  <c r="AF37" i="52" s="1"/>
  <c r="AG38" i="52" s="1"/>
  <c r="Y284" i="51"/>
  <c r="R205" i="53"/>
  <c r="AF283" i="51"/>
  <c r="AF286" i="51" s="1"/>
  <c r="AG287" i="51" s="1"/>
  <c r="Y281" i="51"/>
  <c r="AF281" i="51" s="1"/>
  <c r="H14" i="45" l="1"/>
  <c r="E12" i="44"/>
  <c r="E11" i="44"/>
  <c r="B7" i="43"/>
  <c r="B4" i="44"/>
  <c r="B4" i="43"/>
  <c r="C11" i="43"/>
  <c r="F11" i="43" s="1"/>
  <c r="C12" i="43"/>
  <c r="F12" i="43" s="1"/>
  <c r="E13" i="43"/>
  <c r="E14" i="43"/>
  <c r="E14" i="45"/>
  <c r="C14" i="43"/>
  <c r="B5" i="44"/>
  <c r="B5" i="43"/>
  <c r="B6" i="43"/>
  <c r="D11" i="44"/>
  <c r="C3" i="44"/>
  <c r="A6" i="44"/>
  <c r="A4" i="44"/>
  <c r="A5" i="44"/>
  <c r="A3" i="44"/>
  <c r="A3" i="43"/>
  <c r="A5" i="43"/>
  <c r="A6" i="43"/>
  <c r="A7" i="43"/>
  <c r="A8" i="43"/>
  <c r="A4" i="43"/>
  <c r="C3" i="43"/>
  <c r="F14" i="44"/>
  <c r="D13" i="43"/>
  <c r="G14" i="45"/>
  <c r="D14" i="45"/>
  <c r="A11" i="44"/>
  <c r="B11" i="44"/>
  <c r="A12" i="44"/>
  <c r="B12" i="44"/>
  <c r="B12" i="43"/>
  <c r="A12" i="43"/>
  <c r="B11" i="43"/>
  <c r="A11" i="43"/>
  <c r="Q300" i="15"/>
  <c r="Q299" i="15"/>
  <c r="Q298" i="15"/>
  <c r="Q297" i="15"/>
  <c r="Q296" i="15"/>
  <c r="X295" i="15"/>
  <c r="Q294" i="15"/>
  <c r="W291" i="15"/>
  <c r="Q293" i="15"/>
  <c r="Q292" i="15"/>
  <c r="Q290" i="15"/>
  <c r="Q289" i="15"/>
  <c r="Q288" i="15"/>
  <c r="Q287" i="15"/>
  <c r="Q286" i="15"/>
  <c r="X284" i="15"/>
  <c r="W284" i="15"/>
  <c r="Q284" i="15"/>
  <c r="T284" i="15"/>
  <c r="Q282" i="15"/>
  <c r="Q281" i="15"/>
  <c r="Q280" i="15" s="1"/>
  <c r="W280" i="15" s="1"/>
  <c r="Q279" i="15"/>
  <c r="Q278" i="15"/>
  <c r="Q277" i="15"/>
  <c r="Q276" i="15"/>
  <c r="Q274" i="15"/>
  <c r="X274" i="15" s="1"/>
  <c r="R272" i="15"/>
  <c r="R253" i="15"/>
  <c r="Q248" i="15"/>
  <c r="V248" i="15"/>
  <c r="Z248" i="15" s="1"/>
  <c r="E248" i="15"/>
  <c r="F248" i="15"/>
  <c r="Q247" i="15"/>
  <c r="V247" i="15" s="1"/>
  <c r="Z247" i="15" s="1"/>
  <c r="E247" i="15"/>
  <c r="F247" i="15" s="1"/>
  <c r="Q246" i="15"/>
  <c r="V246" i="15"/>
  <c r="Z246" i="15"/>
  <c r="E246" i="15"/>
  <c r="F246" i="15" s="1"/>
  <c r="Q245" i="15"/>
  <c r="V245" i="15"/>
  <c r="Z245" i="15" s="1"/>
  <c r="F245" i="15"/>
  <c r="Q244" i="15"/>
  <c r="V244" i="15"/>
  <c r="Z244" i="15" s="1"/>
  <c r="E244" i="15"/>
  <c r="F244" i="15"/>
  <c r="Q243" i="15"/>
  <c r="V243" i="15"/>
  <c r="Z243" i="15" s="1"/>
  <c r="E243" i="15"/>
  <c r="F243" i="15"/>
  <c r="Z242" i="15"/>
  <c r="Q242" i="15"/>
  <c r="F242" i="15"/>
  <c r="Q241" i="15"/>
  <c r="W241" i="15" s="1"/>
  <c r="Z241" i="15" s="1"/>
  <c r="E241" i="15"/>
  <c r="F241" i="15"/>
  <c r="Q240" i="15"/>
  <c r="W240" i="15" s="1"/>
  <c r="Z240" i="15" s="1"/>
  <c r="F240" i="15"/>
  <c r="Q239" i="15"/>
  <c r="F239" i="15"/>
  <c r="Q238" i="15"/>
  <c r="W238" i="15"/>
  <c r="E238" i="15"/>
  <c r="F238" i="15"/>
  <c r="Z237" i="15"/>
  <c r="Z236" i="15"/>
  <c r="Q235" i="15"/>
  <c r="F235" i="15"/>
  <c r="Q234" i="15"/>
  <c r="T234" i="15"/>
  <c r="Z234" i="15"/>
  <c r="E234" i="15"/>
  <c r="F234" i="15" s="1"/>
  <c r="R232" i="15"/>
  <c r="Q230" i="15"/>
  <c r="R230" i="15"/>
  <c r="G230" i="15"/>
  <c r="Q229" i="15"/>
  <c r="R229" i="15"/>
  <c r="V229" i="15" s="1"/>
  <c r="Q228" i="15"/>
  <c r="R228" i="15"/>
  <c r="V228" i="15"/>
  <c r="Q227" i="15"/>
  <c r="R227" i="15"/>
  <c r="G227" i="15"/>
  <c r="P226" i="15"/>
  <c r="Q226" i="15"/>
  <c r="R226" i="15" s="1"/>
  <c r="G226" i="15"/>
  <c r="Q225" i="15"/>
  <c r="R225" i="15" s="1"/>
  <c r="G225" i="15"/>
  <c r="R224" i="15"/>
  <c r="Q223" i="15"/>
  <c r="R223" i="15" s="1"/>
  <c r="G223" i="15"/>
  <c r="Q222" i="15"/>
  <c r="R222" i="15"/>
  <c r="G222" i="15"/>
  <c r="R221" i="15"/>
  <c r="Q220" i="15"/>
  <c r="R220" i="15"/>
  <c r="G220" i="15"/>
  <c r="R219" i="15"/>
  <c r="G219" i="15"/>
  <c r="Q218" i="15"/>
  <c r="R218" i="15" s="1"/>
  <c r="G218" i="15"/>
  <c r="Q217" i="15"/>
  <c r="R217" i="15"/>
  <c r="G217" i="15"/>
  <c r="Q216" i="15"/>
  <c r="R216" i="15" s="1"/>
  <c r="G216" i="15"/>
  <c r="Q215" i="15"/>
  <c r="R215" i="15"/>
  <c r="G215" i="15"/>
  <c r="Q214" i="15"/>
  <c r="R214" i="15" s="1"/>
  <c r="G214" i="15"/>
  <c r="Q213" i="15"/>
  <c r="R213" i="15"/>
  <c r="G213" i="15"/>
  <c r="Q212" i="15"/>
  <c r="R212" i="15" s="1"/>
  <c r="G212" i="15"/>
  <c r="R211" i="15"/>
  <c r="Q210" i="15"/>
  <c r="R210" i="15"/>
  <c r="G210" i="15"/>
  <c r="Q209" i="15"/>
  <c r="R209" i="15"/>
  <c r="G209" i="15"/>
  <c r="Q208" i="15"/>
  <c r="R208" i="15"/>
  <c r="G208" i="15"/>
  <c r="Q207" i="15"/>
  <c r="R207" i="15"/>
  <c r="G207" i="15"/>
  <c r="R206" i="15"/>
  <c r="Q205" i="15"/>
  <c r="R205" i="15"/>
  <c r="G205" i="15"/>
  <c r="R204" i="15"/>
  <c r="Q203" i="15"/>
  <c r="R203" i="15"/>
  <c r="G203" i="15"/>
  <c r="R202" i="15"/>
  <c r="Q201" i="15"/>
  <c r="R201" i="15"/>
  <c r="G201" i="15"/>
  <c r="Q200" i="15"/>
  <c r="R200" i="15"/>
  <c r="G200" i="15"/>
  <c r="Q199" i="15"/>
  <c r="R199" i="15"/>
  <c r="G199" i="15"/>
  <c r="Q198" i="15"/>
  <c r="R198" i="15"/>
  <c r="E198" i="15"/>
  <c r="G198" i="15" s="1"/>
  <c r="R197" i="15"/>
  <c r="R196" i="15"/>
  <c r="G196" i="15"/>
  <c r="Q195" i="15"/>
  <c r="R195" i="15"/>
  <c r="G195" i="15"/>
  <c r="R194" i="15"/>
  <c r="G194" i="15"/>
  <c r="Q193" i="15"/>
  <c r="R193" i="15"/>
  <c r="G193" i="15"/>
  <c r="R192" i="15"/>
  <c r="G192" i="15"/>
  <c r="R191" i="15"/>
  <c r="E191" i="15"/>
  <c r="G191" i="15"/>
  <c r="R189" i="15"/>
  <c r="R180" i="15"/>
  <c r="R170" i="15"/>
  <c r="O169" i="15"/>
  <c r="Q169" i="15"/>
  <c r="X169" i="15"/>
  <c r="G169" i="15"/>
  <c r="O168" i="15"/>
  <c r="Q168" i="15"/>
  <c r="U168" i="15" s="1"/>
  <c r="G168" i="15"/>
  <c r="O167" i="15"/>
  <c r="Q167" i="15"/>
  <c r="X167" i="15" s="1"/>
  <c r="G167" i="15"/>
  <c r="X166" i="15"/>
  <c r="G166" i="15"/>
  <c r="O165" i="15"/>
  <c r="Q165" i="15" s="1"/>
  <c r="W165" i="15" s="1"/>
  <c r="G165" i="15"/>
  <c r="O164" i="15"/>
  <c r="Q164" i="15"/>
  <c r="U164" i="15"/>
  <c r="G164" i="15"/>
  <c r="O163" i="15"/>
  <c r="Q163" i="15"/>
  <c r="W163" i="15"/>
  <c r="G163" i="15"/>
  <c r="O162" i="15"/>
  <c r="Q162" i="15" s="1"/>
  <c r="W162" i="15" s="1"/>
  <c r="G162" i="15"/>
  <c r="P161" i="15"/>
  <c r="O161" i="15"/>
  <c r="G161" i="15"/>
  <c r="P160" i="15"/>
  <c r="O160" i="15"/>
  <c r="G160" i="15"/>
  <c r="W159" i="15"/>
  <c r="G159" i="15"/>
  <c r="O158" i="15"/>
  <c r="Q158" i="15" s="1"/>
  <c r="V158" i="15" s="1"/>
  <c r="G158" i="15"/>
  <c r="O157" i="15"/>
  <c r="Q157" i="15"/>
  <c r="U157" i="15"/>
  <c r="G157" i="15"/>
  <c r="O156" i="15"/>
  <c r="Q156" i="15"/>
  <c r="V156" i="15"/>
  <c r="G156" i="15"/>
  <c r="O155" i="15"/>
  <c r="Q155" i="15" s="1"/>
  <c r="V155" i="15" s="1"/>
  <c r="G155" i="15"/>
  <c r="P154" i="15"/>
  <c r="O154" i="15"/>
  <c r="G154" i="15"/>
  <c r="P153" i="15"/>
  <c r="O153" i="15"/>
  <c r="G153" i="15"/>
  <c r="V152" i="15"/>
  <c r="G152" i="15"/>
  <c r="O151" i="15"/>
  <c r="Q151" i="15" s="1"/>
  <c r="V151" i="15" s="1"/>
  <c r="G151" i="15"/>
  <c r="O150" i="15"/>
  <c r="Q150" i="15"/>
  <c r="V150" i="15"/>
  <c r="G150" i="15"/>
  <c r="O149" i="15"/>
  <c r="Q149" i="15"/>
  <c r="V149" i="15"/>
  <c r="G149" i="15"/>
  <c r="P148" i="15"/>
  <c r="O148" i="15"/>
  <c r="G148" i="15"/>
  <c r="P147" i="15"/>
  <c r="Q147" i="15" s="1"/>
  <c r="V147" i="15" s="1"/>
  <c r="O147" i="15"/>
  <c r="G147" i="15"/>
  <c r="V146" i="15"/>
  <c r="G146" i="15"/>
  <c r="O145" i="15"/>
  <c r="Q145" i="15"/>
  <c r="U145" i="15"/>
  <c r="G145" i="15"/>
  <c r="O144" i="15"/>
  <c r="Q144" i="15"/>
  <c r="U144" i="15" s="1"/>
  <c r="G144" i="15"/>
  <c r="O143" i="15"/>
  <c r="Q143" i="15"/>
  <c r="U143" i="15" s="1"/>
  <c r="G143" i="15"/>
  <c r="O142" i="15"/>
  <c r="Q142" i="15"/>
  <c r="U142" i="15"/>
  <c r="G142" i="15"/>
  <c r="F137" i="15" s="1"/>
  <c r="G137" i="15" s="1"/>
  <c r="O141" i="15"/>
  <c r="Q141" i="15" s="1"/>
  <c r="U141" i="15" s="1"/>
  <c r="G141" i="15"/>
  <c r="O140" i="15"/>
  <c r="Q140" i="15"/>
  <c r="U140" i="15"/>
  <c r="G140" i="15"/>
  <c r="P139" i="15"/>
  <c r="O139" i="15"/>
  <c r="G139" i="15"/>
  <c r="P138" i="15"/>
  <c r="O138" i="15"/>
  <c r="Q138" i="15"/>
  <c r="G138" i="15"/>
  <c r="U137" i="15"/>
  <c r="Q136" i="15"/>
  <c r="X136" i="15"/>
  <c r="E136" i="15"/>
  <c r="G136" i="15" s="1"/>
  <c r="R134" i="15"/>
  <c r="R133" i="15"/>
  <c r="Q132" i="15"/>
  <c r="V132" i="15" s="1"/>
  <c r="G132" i="15"/>
  <c r="Q130" i="15"/>
  <c r="U130" i="15" s="1"/>
  <c r="G130" i="15"/>
  <c r="Q128" i="15"/>
  <c r="R126" i="15" s="1"/>
  <c r="U128" i="15"/>
  <c r="G128" i="15"/>
  <c r="Q127" i="15"/>
  <c r="U127" i="15" s="1"/>
  <c r="G127" i="15"/>
  <c r="Q125" i="15"/>
  <c r="V125" i="15"/>
  <c r="G125" i="15"/>
  <c r="Q124" i="15"/>
  <c r="V124" i="15"/>
  <c r="G124" i="15"/>
  <c r="Q123" i="15"/>
  <c r="G123" i="15"/>
  <c r="Q121" i="15"/>
  <c r="G121" i="15"/>
  <c r="Q120" i="15"/>
  <c r="U120" i="15" s="1"/>
  <c r="G120" i="15"/>
  <c r="G110" i="15"/>
  <c r="G111" i="15" s="1"/>
  <c r="F111" i="15"/>
  <c r="Q110" i="15"/>
  <c r="Q109" i="15"/>
  <c r="G109" i="15"/>
  <c r="R107" i="15"/>
  <c r="Q105" i="15"/>
  <c r="V105" i="15" s="1"/>
  <c r="G105" i="15"/>
  <c r="Q104" i="15"/>
  <c r="V104" i="15"/>
  <c r="G104" i="15"/>
  <c r="Q103" i="15"/>
  <c r="V103" i="15" s="1"/>
  <c r="G103" i="15"/>
  <c r="Q102" i="15"/>
  <c r="U102" i="15"/>
  <c r="G102" i="15"/>
  <c r="Q101" i="15"/>
  <c r="U101" i="15" s="1"/>
  <c r="G101" i="15"/>
  <c r="Q100" i="15"/>
  <c r="U100" i="15"/>
  <c r="G100" i="15"/>
  <c r="Q99" i="15"/>
  <c r="U99" i="15" s="1"/>
  <c r="G99" i="15"/>
  <c r="Q98" i="15"/>
  <c r="U98" i="15"/>
  <c r="G98" i="15"/>
  <c r="Q97" i="15"/>
  <c r="U97" i="15" s="1"/>
  <c r="G97" i="15"/>
  <c r="Q96" i="15"/>
  <c r="U96" i="15"/>
  <c r="G96" i="15"/>
  <c r="Q95" i="15"/>
  <c r="V95" i="15" s="1"/>
  <c r="G95" i="15"/>
  <c r="Q94" i="15"/>
  <c r="V94" i="15"/>
  <c r="G94" i="15"/>
  <c r="Q93" i="15"/>
  <c r="V93" i="15" s="1"/>
  <c r="G93" i="15"/>
  <c r="Q92" i="15"/>
  <c r="V92" i="15" s="1"/>
  <c r="G92" i="15"/>
  <c r="Q91" i="15"/>
  <c r="V91" i="15" s="1"/>
  <c r="G91" i="15"/>
  <c r="Q90" i="15"/>
  <c r="G90" i="15"/>
  <c r="Q89" i="15"/>
  <c r="V89" i="15" s="1"/>
  <c r="G89" i="15"/>
  <c r="Q88" i="15"/>
  <c r="V88" i="15" s="1"/>
  <c r="G88" i="15"/>
  <c r="AB87" i="15"/>
  <c r="AA87" i="15"/>
  <c r="Z87" i="15"/>
  <c r="Y87" i="15"/>
  <c r="X87" i="15"/>
  <c r="W87" i="15"/>
  <c r="T87" i="15"/>
  <c r="S87" i="15"/>
  <c r="Q86" i="15"/>
  <c r="AA86" i="15"/>
  <c r="G86" i="15"/>
  <c r="Q85" i="15"/>
  <c r="AA85" i="15"/>
  <c r="G85" i="15"/>
  <c r="Q84" i="15"/>
  <c r="W84" i="15" s="1"/>
  <c r="G84" i="15"/>
  <c r="Q83" i="15"/>
  <c r="W83" i="15"/>
  <c r="G83" i="15"/>
  <c r="Q82" i="15"/>
  <c r="W82" i="15"/>
  <c r="G82" i="15"/>
  <c r="Q81" i="15"/>
  <c r="W81" i="15"/>
  <c r="G81" i="15"/>
  <c r="Q80" i="15"/>
  <c r="W80" i="15" s="1"/>
  <c r="G80" i="15"/>
  <c r="Q79" i="15"/>
  <c r="W79" i="15"/>
  <c r="G79" i="15"/>
  <c r="Q78" i="15"/>
  <c r="W78" i="15"/>
  <c r="G78" i="15"/>
  <c r="Q77" i="15"/>
  <c r="U77" i="15"/>
  <c r="G77" i="15"/>
  <c r="Q76" i="15"/>
  <c r="U76" i="15"/>
  <c r="G76" i="15"/>
  <c r="Q75" i="15"/>
  <c r="U75" i="15"/>
  <c r="G75" i="15"/>
  <c r="Q74" i="15"/>
  <c r="U74" i="15"/>
  <c r="G74" i="15"/>
  <c r="Q73" i="15"/>
  <c r="U73" i="15"/>
  <c r="G73" i="15"/>
  <c r="Q72" i="15"/>
  <c r="U72" i="15"/>
  <c r="G72" i="15"/>
  <c r="Q71" i="15"/>
  <c r="U71" i="15"/>
  <c r="G71" i="15"/>
  <c r="Q70" i="15"/>
  <c r="G70" i="15"/>
  <c r="Q69" i="15"/>
  <c r="U69" i="15"/>
  <c r="G69" i="15"/>
  <c r="AB68" i="15"/>
  <c r="Z68" i="15"/>
  <c r="Y68" i="15"/>
  <c r="X68" i="15"/>
  <c r="V68" i="15"/>
  <c r="T68" i="15"/>
  <c r="S68" i="15"/>
  <c r="Q67" i="15"/>
  <c r="Y67" i="15"/>
  <c r="G67" i="15"/>
  <c r="Q66" i="15"/>
  <c r="Y66" i="15"/>
  <c r="G66" i="15"/>
  <c r="Q65" i="15"/>
  <c r="X65" i="15"/>
  <c r="G65" i="15"/>
  <c r="Q64" i="15"/>
  <c r="X64" i="15"/>
  <c r="G64" i="15"/>
  <c r="Q63" i="15"/>
  <c r="X63" i="15"/>
  <c r="G63" i="15"/>
  <c r="Q62" i="15"/>
  <c r="X62" i="15"/>
  <c r="G62" i="15"/>
  <c r="Q61" i="15"/>
  <c r="X61" i="15"/>
  <c r="G61" i="15"/>
  <c r="Q60" i="15"/>
  <c r="X60" i="15"/>
  <c r="G60" i="15"/>
  <c r="Q59" i="15"/>
  <c r="X59" i="15"/>
  <c r="G59" i="15"/>
  <c r="Q58" i="15"/>
  <c r="X58" i="15"/>
  <c r="G58" i="15"/>
  <c r="Q57" i="15"/>
  <c r="X57" i="15"/>
  <c r="G57" i="15"/>
  <c r="Q56" i="15"/>
  <c r="X56" i="15"/>
  <c r="G56" i="15"/>
  <c r="Q55" i="15"/>
  <c r="X55" i="15"/>
  <c r="G55" i="15"/>
  <c r="Q54" i="15"/>
  <c r="X54" i="15"/>
  <c r="G54" i="15"/>
  <c r="Q53" i="15"/>
  <c r="G53" i="15"/>
  <c r="Q52" i="15"/>
  <c r="G52" i="15"/>
  <c r="Q51" i="15"/>
  <c r="G51" i="15"/>
  <c r="Q50" i="15"/>
  <c r="G50" i="15"/>
  <c r="AB49" i="15"/>
  <c r="AA49" i="15"/>
  <c r="Z49" i="15"/>
  <c r="W49" i="15"/>
  <c r="V49" i="15"/>
  <c r="U49" i="15"/>
  <c r="T49" i="15"/>
  <c r="S49" i="15"/>
  <c r="Q48" i="15"/>
  <c r="W48" i="15" s="1"/>
  <c r="G48" i="15"/>
  <c r="Q47" i="15"/>
  <c r="W47" i="15" s="1"/>
  <c r="G47" i="15"/>
  <c r="Q46" i="15"/>
  <c r="G46" i="15"/>
  <c r="Q45" i="15"/>
  <c r="U45" i="15"/>
  <c r="G45" i="15"/>
  <c r="U44" i="15"/>
  <c r="G44" i="15"/>
  <c r="U43" i="15"/>
  <c r="G43" i="15"/>
  <c r="U42" i="15"/>
  <c r="G42" i="15"/>
  <c r="U41" i="15"/>
  <c r="G41" i="15"/>
  <c r="U40" i="15"/>
  <c r="G40" i="15"/>
  <c r="U39" i="15"/>
  <c r="G39" i="15"/>
  <c r="U38" i="15"/>
  <c r="G38" i="15"/>
  <c r="AB37" i="15"/>
  <c r="AA37" i="15"/>
  <c r="Z37" i="15"/>
  <c r="Y37" i="15"/>
  <c r="X37" i="15"/>
  <c r="V37" i="15"/>
  <c r="T37" i="15"/>
  <c r="S37" i="15"/>
  <c r="Q36" i="15"/>
  <c r="U36" i="15"/>
  <c r="G36" i="15"/>
  <c r="Q35" i="15"/>
  <c r="U35" i="15" s="1"/>
  <c r="G35" i="15"/>
  <c r="Q34" i="15"/>
  <c r="U34" i="15" s="1"/>
  <c r="G34" i="15"/>
  <c r="Q33" i="15"/>
  <c r="U33" i="15"/>
  <c r="G33" i="15"/>
  <c r="Q32" i="15"/>
  <c r="U32" i="15"/>
  <c r="G32" i="15"/>
  <c r="Q31" i="15"/>
  <c r="U31" i="15" s="1"/>
  <c r="G31" i="15"/>
  <c r="Q30" i="15"/>
  <c r="U30" i="15" s="1"/>
  <c r="G30" i="15"/>
  <c r="Q29" i="15"/>
  <c r="G29" i="15"/>
  <c r="AB28" i="15"/>
  <c r="AA28" i="15"/>
  <c r="Z28" i="15"/>
  <c r="Y28" i="15"/>
  <c r="X28" i="15"/>
  <c r="W28" i="15"/>
  <c r="V28" i="15"/>
  <c r="T28" i="15"/>
  <c r="T27" i="15" s="1"/>
  <c r="S28" i="15"/>
  <c r="R27" i="15"/>
  <c r="R7" i="15"/>
  <c r="R26" i="12"/>
  <c r="Q24" i="12"/>
  <c r="V24" i="12"/>
  <c r="Z24" i="12"/>
  <c r="E24" i="12"/>
  <c r="F24" i="12" s="1"/>
  <c r="Q23" i="12"/>
  <c r="V23" i="12"/>
  <c r="Z23" i="12" s="1"/>
  <c r="E23" i="12"/>
  <c r="F23" i="12"/>
  <c r="Q22" i="12"/>
  <c r="V22" i="12" s="1"/>
  <c r="Z22" i="12" s="1"/>
  <c r="E22" i="12"/>
  <c r="F22" i="12"/>
  <c r="Q21" i="12"/>
  <c r="V21" i="12" s="1"/>
  <c r="Z21" i="12" s="1"/>
  <c r="F21" i="12"/>
  <c r="Q20" i="12"/>
  <c r="V20" i="12" s="1"/>
  <c r="Z20" i="12" s="1"/>
  <c r="E20" i="12"/>
  <c r="F20" i="12" s="1"/>
  <c r="Q19" i="12"/>
  <c r="V19" i="12"/>
  <c r="Z19" i="12"/>
  <c r="E19" i="12"/>
  <c r="F19" i="12" s="1"/>
  <c r="Z18" i="12"/>
  <c r="Q18" i="12"/>
  <c r="F18" i="12"/>
  <c r="Q17" i="12"/>
  <c r="E17" i="12"/>
  <c r="F17" i="12"/>
  <c r="Q16" i="12"/>
  <c r="W16" i="12"/>
  <c r="Z16" i="12"/>
  <c r="F16" i="12"/>
  <c r="Q15" i="12"/>
  <c r="V15" i="12" s="1"/>
  <c r="Z15" i="12" s="1"/>
  <c r="F15" i="12"/>
  <c r="Q14" i="12"/>
  <c r="E14" i="12"/>
  <c r="F14" i="12"/>
  <c r="Z13" i="12"/>
  <c r="Z12" i="12"/>
  <c r="Q11" i="12"/>
  <c r="T11" i="12"/>
  <c r="Z11" i="12"/>
  <c r="F11" i="12"/>
  <c r="Q10" i="12"/>
  <c r="T10" i="12" s="1"/>
  <c r="Z10" i="12" s="1"/>
  <c r="E10" i="12"/>
  <c r="F10" i="12" s="1"/>
  <c r="R8" i="12"/>
  <c r="Q161" i="11"/>
  <c r="R152" i="11"/>
  <c r="R133" i="11" s="1"/>
  <c r="R120" i="11"/>
  <c r="R111" i="11"/>
  <c r="R102" i="11"/>
  <c r="R92" i="11"/>
  <c r="O91" i="11"/>
  <c r="Q91" i="11"/>
  <c r="X91" i="11" s="1"/>
  <c r="G91" i="11"/>
  <c r="O90" i="11"/>
  <c r="Q90" i="11"/>
  <c r="U90" i="11" s="1"/>
  <c r="G90" i="11"/>
  <c r="O89" i="11"/>
  <c r="Q89" i="11"/>
  <c r="X89" i="11" s="1"/>
  <c r="G89" i="11"/>
  <c r="X88" i="11"/>
  <c r="G88" i="11"/>
  <c r="O87" i="11"/>
  <c r="Q87" i="11"/>
  <c r="W87" i="11"/>
  <c r="G87" i="11"/>
  <c r="O86" i="11"/>
  <c r="Q86" i="11" s="1"/>
  <c r="U86" i="11" s="1"/>
  <c r="G86" i="11"/>
  <c r="O85" i="11"/>
  <c r="Q85" i="11" s="1"/>
  <c r="W85" i="11" s="1"/>
  <c r="G85" i="11"/>
  <c r="O84" i="11"/>
  <c r="Q84" i="11"/>
  <c r="W84" i="11"/>
  <c r="G84" i="11"/>
  <c r="P83" i="11"/>
  <c r="O83" i="11"/>
  <c r="Q83" i="11"/>
  <c r="W83" i="11"/>
  <c r="G83" i="11"/>
  <c r="P82" i="11"/>
  <c r="O82" i="11"/>
  <c r="G82" i="11"/>
  <c r="W81" i="11"/>
  <c r="G81" i="11"/>
  <c r="O80" i="11"/>
  <c r="Q80" i="11"/>
  <c r="V80" i="11" s="1"/>
  <c r="G80" i="11"/>
  <c r="O79" i="11"/>
  <c r="Q79" i="11"/>
  <c r="U79" i="11"/>
  <c r="G79" i="11"/>
  <c r="O78" i="11"/>
  <c r="Q78" i="11"/>
  <c r="V78" i="11" s="1"/>
  <c r="G78" i="11"/>
  <c r="O77" i="11"/>
  <c r="Q77" i="11"/>
  <c r="V77" i="11" s="1"/>
  <c r="G77" i="11"/>
  <c r="P76" i="11"/>
  <c r="O76" i="11"/>
  <c r="G76" i="11"/>
  <c r="P75" i="11"/>
  <c r="Q75" i="11" s="1"/>
  <c r="V75" i="11" s="1"/>
  <c r="O75" i="11"/>
  <c r="G75" i="11"/>
  <c r="V74" i="11"/>
  <c r="G74" i="11"/>
  <c r="O73" i="11"/>
  <c r="Q73" i="11" s="1"/>
  <c r="V73" i="11" s="1"/>
  <c r="G73" i="11"/>
  <c r="O72" i="11"/>
  <c r="Q72" i="11" s="1"/>
  <c r="V72" i="11" s="1"/>
  <c r="G72" i="11"/>
  <c r="O71" i="11"/>
  <c r="Q71" i="11"/>
  <c r="V71" i="11"/>
  <c r="G71" i="11"/>
  <c r="P70" i="11"/>
  <c r="O70" i="11"/>
  <c r="G70" i="11"/>
  <c r="P69" i="11"/>
  <c r="O69" i="11"/>
  <c r="Q69" i="11" s="1"/>
  <c r="V69" i="11" s="1"/>
  <c r="G69" i="11"/>
  <c r="V68" i="11"/>
  <c r="G68" i="11"/>
  <c r="O67" i="11"/>
  <c r="Q67" i="11"/>
  <c r="U67" i="11" s="1"/>
  <c r="G67" i="11"/>
  <c r="O66" i="11"/>
  <c r="Q66" i="11"/>
  <c r="U66" i="11"/>
  <c r="G66" i="11"/>
  <c r="O65" i="11"/>
  <c r="Q65" i="11"/>
  <c r="U65" i="11" s="1"/>
  <c r="G65" i="11"/>
  <c r="O64" i="11"/>
  <c r="Q64" i="11"/>
  <c r="U64" i="11" s="1"/>
  <c r="G64" i="11"/>
  <c r="F59" i="11"/>
  <c r="G59" i="11"/>
  <c r="O63" i="11"/>
  <c r="Q63" i="11" s="1"/>
  <c r="U63" i="11" s="1"/>
  <c r="G63" i="11"/>
  <c r="O62" i="11"/>
  <c r="Q62" i="11"/>
  <c r="U62" i="11"/>
  <c r="G62" i="11"/>
  <c r="P61" i="11"/>
  <c r="O61" i="11"/>
  <c r="G61" i="11"/>
  <c r="P60" i="11"/>
  <c r="O60" i="11"/>
  <c r="Q60" i="11" s="1"/>
  <c r="U60" i="11" s="1"/>
  <c r="G60" i="11"/>
  <c r="U59" i="11"/>
  <c r="Q58" i="11"/>
  <c r="X58" i="11"/>
  <c r="E58" i="11"/>
  <c r="G58" i="11" s="1"/>
  <c r="R56" i="11"/>
  <c r="R46" i="11"/>
  <c r="R36" i="11"/>
  <c r="R27" i="11"/>
  <c r="R7" i="11"/>
  <c r="Q171" i="10"/>
  <c r="R162" i="10"/>
  <c r="R143" i="10" s="1"/>
  <c r="R130" i="10"/>
  <c r="R121" i="10"/>
  <c r="R112" i="10"/>
  <c r="R102" i="10"/>
  <c r="R93" i="10"/>
  <c r="R83" i="10"/>
  <c r="Q82" i="10"/>
  <c r="X82" i="10" s="1"/>
  <c r="Y82" i="10" s="1"/>
  <c r="Q81" i="10"/>
  <c r="Q79" i="10"/>
  <c r="Q77" i="10"/>
  <c r="Q76" i="10"/>
  <c r="Q75" i="10"/>
  <c r="Q74" i="10"/>
  <c r="A74" i="10"/>
  <c r="A75" i="10" s="1"/>
  <c r="A76" i="10" s="1"/>
  <c r="A77" i="10"/>
  <c r="Q73" i="10"/>
  <c r="Q72" i="10"/>
  <c r="Q71" i="10"/>
  <c r="Q70" i="10"/>
  <c r="Q69" i="10"/>
  <c r="Q68" i="10"/>
  <c r="Q66" i="10"/>
  <c r="G66" i="10"/>
  <c r="Q65" i="10"/>
  <c r="G65" i="10"/>
  <c r="Q64" i="10"/>
  <c r="G64" i="10"/>
  <c r="Q62" i="10"/>
  <c r="Q61" i="10"/>
  <c r="Q58" i="10"/>
  <c r="Q57" i="10"/>
  <c r="Q56" i="10"/>
  <c r="G56" i="10"/>
  <c r="Q55" i="10"/>
  <c r="G55" i="10"/>
  <c r="A55" i="10"/>
  <c r="Q54" i="10"/>
  <c r="G54" i="10"/>
  <c r="A54" i="10"/>
  <c r="Q53" i="10"/>
  <c r="G53" i="10"/>
  <c r="A53" i="10"/>
  <c r="Q52" i="10"/>
  <c r="Q51" i="10"/>
  <c r="E51" i="10"/>
  <c r="A51" i="10"/>
  <c r="Q50" i="10"/>
  <c r="Q49" i="10"/>
  <c r="E49" i="10"/>
  <c r="A49" i="10"/>
  <c r="Q48" i="10"/>
  <c r="Q46" i="10"/>
  <c r="Q45" i="10"/>
  <c r="Q44" i="10"/>
  <c r="A44" i="10"/>
  <c r="A46" i="10" s="1"/>
  <c r="Q43" i="10"/>
  <c r="X43" i="10"/>
  <c r="Z43" i="10"/>
  <c r="Q42" i="10"/>
  <c r="A42" i="10"/>
  <c r="Q41" i="10"/>
  <c r="Y41" i="10"/>
  <c r="V41" i="10"/>
  <c r="Q40" i="10"/>
  <c r="Q39" i="10"/>
  <c r="Z39" i="10"/>
  <c r="AA39" i="10" s="1"/>
  <c r="G38" i="10"/>
  <c r="F39" i="10"/>
  <c r="A39" i="10"/>
  <c r="A40" i="10" s="1"/>
  <c r="Q38" i="10"/>
  <c r="G39" i="10"/>
  <c r="R36" i="10"/>
  <c r="R27" i="10"/>
  <c r="R7" i="10"/>
  <c r="Q66" i="9"/>
  <c r="E66" i="9"/>
  <c r="G66" i="9"/>
  <c r="Z65" i="9"/>
  <c r="W65" i="9"/>
  <c r="E65" i="9"/>
  <c r="G65" i="9" s="1"/>
  <c r="Q64" i="9"/>
  <c r="O63" i="9"/>
  <c r="Q63" i="9"/>
  <c r="G63" i="9"/>
  <c r="O62" i="9"/>
  <c r="Q62" i="9" s="1"/>
  <c r="G62" i="9"/>
  <c r="O61" i="9"/>
  <c r="Q61" i="9" s="1"/>
  <c r="G61" i="9"/>
  <c r="O60" i="9"/>
  <c r="Q60" i="9" s="1"/>
  <c r="G60" i="9"/>
  <c r="O59" i="9"/>
  <c r="Q59" i="9"/>
  <c r="G59" i="9"/>
  <c r="Q58" i="9"/>
  <c r="Q57" i="9" s="1"/>
  <c r="Q56" i="9"/>
  <c r="G56" i="9"/>
  <c r="O55" i="9"/>
  <c r="Q55" i="9"/>
  <c r="G55" i="9"/>
  <c r="O54" i="9"/>
  <c r="Q54" i="9" s="1"/>
  <c r="G54" i="9"/>
  <c r="O53" i="9"/>
  <c r="Q53" i="9" s="1"/>
  <c r="G53" i="9"/>
  <c r="O52" i="9"/>
  <c r="Q52" i="9"/>
  <c r="G52" i="9"/>
  <c r="O51" i="9"/>
  <c r="Q51" i="9"/>
  <c r="G51" i="9"/>
  <c r="O50" i="9"/>
  <c r="Q50" i="9" s="1"/>
  <c r="G50" i="9"/>
  <c r="O48" i="9"/>
  <c r="Q48" i="9"/>
  <c r="G48" i="9"/>
  <c r="O47" i="9"/>
  <c r="Q47" i="9"/>
  <c r="G47" i="9"/>
  <c r="O46" i="9"/>
  <c r="Q46" i="9"/>
  <c r="G46" i="9"/>
  <c r="O45" i="9"/>
  <c r="Q45" i="9" s="1"/>
  <c r="G45" i="9"/>
  <c r="O44" i="9"/>
  <c r="Q44" i="9"/>
  <c r="G44" i="9"/>
  <c r="Q43" i="9"/>
  <c r="E43" i="9"/>
  <c r="G43" i="9"/>
  <c r="O42" i="9"/>
  <c r="Q42" i="9"/>
  <c r="G42" i="9"/>
  <c r="O41" i="9"/>
  <c r="Q41" i="9" s="1"/>
  <c r="G41" i="9"/>
  <c r="O40" i="9"/>
  <c r="G40" i="9"/>
  <c r="G39" i="9"/>
  <c r="Q38" i="9"/>
  <c r="X38" i="9"/>
  <c r="G38" i="9"/>
  <c r="O37" i="9"/>
  <c r="Q37" i="9"/>
  <c r="G37" i="9"/>
  <c r="O36" i="9"/>
  <c r="Q36" i="9" s="1"/>
  <c r="G36" i="9"/>
  <c r="O35" i="9"/>
  <c r="Q35" i="9"/>
  <c r="G35" i="9"/>
  <c r="O34" i="9"/>
  <c r="Q34" i="9"/>
  <c r="G34" i="9"/>
  <c r="O33" i="9"/>
  <c r="Q33" i="9"/>
  <c r="G33" i="9"/>
  <c r="Q32" i="9"/>
  <c r="W32" i="9" s="1"/>
  <c r="G32" i="9"/>
  <c r="G31" i="9"/>
  <c r="Q29" i="9"/>
  <c r="G29" i="9"/>
  <c r="G28" i="9"/>
  <c r="P27" i="9"/>
  <c r="O27" i="9"/>
  <c r="E27" i="9"/>
  <c r="G27" i="9"/>
  <c r="P26" i="9"/>
  <c r="O26" i="9"/>
  <c r="E26" i="9"/>
  <c r="G26" i="9"/>
  <c r="P25" i="9"/>
  <c r="O25" i="9"/>
  <c r="Q25" i="9" s="1"/>
  <c r="E25" i="9"/>
  <c r="G25" i="9"/>
  <c r="P24" i="9"/>
  <c r="O24" i="9"/>
  <c r="G24" i="9"/>
  <c r="P23" i="9"/>
  <c r="O23" i="9"/>
  <c r="Q23" i="9" s="1"/>
  <c r="G23" i="9"/>
  <c r="Q22" i="9"/>
  <c r="Q20" i="9" s="1"/>
  <c r="E22" i="9"/>
  <c r="G22" i="9" s="1"/>
  <c r="G21" i="9"/>
  <c r="Q19" i="9"/>
  <c r="W19" i="9" s="1"/>
  <c r="Q18" i="9"/>
  <c r="G18" i="9"/>
  <c r="Q17" i="9"/>
  <c r="E17" i="9"/>
  <c r="G17" i="9"/>
  <c r="Q16" i="9"/>
  <c r="E16" i="9"/>
  <c r="G16" i="9" s="1"/>
  <c r="Q15" i="9"/>
  <c r="E15" i="9"/>
  <c r="G15" i="9"/>
  <c r="Q14" i="9"/>
  <c r="E14" i="9"/>
  <c r="G14" i="9"/>
  <c r="Q13" i="9"/>
  <c r="G13" i="9"/>
  <c r="O12" i="9"/>
  <c r="G11" i="9"/>
  <c r="R9" i="9"/>
  <c r="R7" i="9"/>
  <c r="Q343" i="8"/>
  <c r="R334" i="8"/>
  <c r="R315" i="8" s="1"/>
  <c r="R302" i="8"/>
  <c r="R293" i="8"/>
  <c r="R284" i="8"/>
  <c r="R274" i="8"/>
  <c r="R265" i="8"/>
  <c r="R255" i="8"/>
  <c r="Q247" i="8"/>
  <c r="G247" i="8"/>
  <c r="R245" i="8"/>
  <c r="R236" i="8"/>
  <c r="O234" i="8"/>
  <c r="Q234" i="8" s="1"/>
  <c r="R234" i="8" s="1"/>
  <c r="O233" i="8"/>
  <c r="Q233" i="8"/>
  <c r="R233" i="8" s="1"/>
  <c r="O232" i="8"/>
  <c r="Q232" i="8"/>
  <c r="R232" i="8"/>
  <c r="G232" i="8"/>
  <c r="O231" i="8"/>
  <c r="Q231" i="8" s="1"/>
  <c r="R231" i="8" s="1"/>
  <c r="G231" i="8"/>
  <c r="O230" i="8"/>
  <c r="Q230" i="8"/>
  <c r="R230" i="8"/>
  <c r="G230" i="8"/>
  <c r="O229" i="8"/>
  <c r="Q229" i="8"/>
  <c r="R229" i="8"/>
  <c r="G229" i="8"/>
  <c r="O228" i="8"/>
  <c r="Q228" i="8" s="1"/>
  <c r="R228" i="8" s="1"/>
  <c r="G228" i="8"/>
  <c r="O227" i="8"/>
  <c r="Q227" i="8"/>
  <c r="R227" i="8"/>
  <c r="G227" i="8"/>
  <c r="O226" i="8"/>
  <c r="Q226" i="8"/>
  <c r="R226" i="8"/>
  <c r="G226" i="8"/>
  <c r="O225" i="8"/>
  <c r="Q225" i="8" s="1"/>
  <c r="R225" i="8" s="1"/>
  <c r="O224" i="8"/>
  <c r="Q224" i="8" s="1"/>
  <c r="R224" i="8" s="1"/>
  <c r="O223" i="8"/>
  <c r="Q223" i="8" s="1"/>
  <c r="R223" i="8" s="1"/>
  <c r="G223" i="8"/>
  <c r="O222" i="8"/>
  <c r="Q222" i="8" s="1"/>
  <c r="R222" i="8" s="1"/>
  <c r="G222" i="8"/>
  <c r="O221" i="8"/>
  <c r="Q221" i="8"/>
  <c r="R221" i="8" s="1"/>
  <c r="G221" i="8"/>
  <c r="O220" i="8"/>
  <c r="Q220" i="8" s="1"/>
  <c r="R220" i="8" s="1"/>
  <c r="G220" i="8"/>
  <c r="O219" i="8"/>
  <c r="Q219" i="8"/>
  <c r="R219" i="8" s="1"/>
  <c r="G219" i="8"/>
  <c r="O218" i="8"/>
  <c r="Q218" i="8"/>
  <c r="R218" i="8" s="1"/>
  <c r="G218" i="8"/>
  <c r="O217" i="8"/>
  <c r="Q217" i="8" s="1"/>
  <c r="R217" i="8" s="1"/>
  <c r="G217" i="8"/>
  <c r="O216" i="8"/>
  <c r="Q216" i="8"/>
  <c r="R216" i="8" s="1"/>
  <c r="O215" i="8"/>
  <c r="Q215" i="8" s="1"/>
  <c r="R215" i="8" s="1"/>
  <c r="G215" i="8"/>
  <c r="O214" i="8"/>
  <c r="Q214" i="8"/>
  <c r="R214" i="8" s="1"/>
  <c r="G214" i="8"/>
  <c r="O213" i="8"/>
  <c r="Q213" i="8"/>
  <c r="R213" i="8" s="1"/>
  <c r="G213" i="8"/>
  <c r="O212" i="8"/>
  <c r="Q212" i="8" s="1"/>
  <c r="R212" i="8" s="1"/>
  <c r="G212" i="8"/>
  <c r="O211" i="8"/>
  <c r="Q211" i="8"/>
  <c r="R211" i="8" s="1"/>
  <c r="G211" i="8"/>
  <c r="O210" i="8"/>
  <c r="Q210" i="8"/>
  <c r="R210" i="8"/>
  <c r="G210" i="8"/>
  <c r="O209" i="8"/>
  <c r="Q209" i="8" s="1"/>
  <c r="R209" i="8" s="1"/>
  <c r="G209" i="8"/>
  <c r="O208" i="8"/>
  <c r="Q208" i="8"/>
  <c r="R208" i="8" s="1"/>
  <c r="O207" i="8"/>
  <c r="Q207" i="8"/>
  <c r="R207" i="8"/>
  <c r="O206" i="8"/>
  <c r="Q206" i="8" s="1"/>
  <c r="R206" i="8" s="1"/>
  <c r="O205" i="8"/>
  <c r="Q205" i="8"/>
  <c r="R205" i="8" s="1"/>
  <c r="G205" i="8"/>
  <c r="O204" i="8"/>
  <c r="Q204" i="8" s="1"/>
  <c r="R204" i="8" s="1"/>
  <c r="G204" i="8"/>
  <c r="O203" i="8"/>
  <c r="Q203" i="8"/>
  <c r="R203" i="8" s="1"/>
  <c r="G203" i="8"/>
  <c r="O202" i="8"/>
  <c r="Q202" i="8" s="1"/>
  <c r="R202" i="8" s="1"/>
  <c r="G202" i="8"/>
  <c r="O201" i="8"/>
  <c r="Q201" i="8" s="1"/>
  <c r="R201" i="8" s="1"/>
  <c r="G201" i="8"/>
  <c r="O200" i="8"/>
  <c r="Q200" i="8"/>
  <c r="R200" i="8" s="1"/>
  <c r="G200" i="8"/>
  <c r="O199" i="8"/>
  <c r="Q199" i="8" s="1"/>
  <c r="R199" i="8" s="1"/>
  <c r="G199" i="8"/>
  <c r="O198" i="8"/>
  <c r="Q198" i="8" s="1"/>
  <c r="R198" i="8" s="1"/>
  <c r="O197" i="8"/>
  <c r="Q197" i="8"/>
  <c r="R197" i="8" s="1"/>
  <c r="G197" i="8"/>
  <c r="O196" i="8"/>
  <c r="Q196" i="8" s="1"/>
  <c r="R196" i="8" s="1"/>
  <c r="G196" i="8"/>
  <c r="O195" i="8"/>
  <c r="Q195" i="8"/>
  <c r="R195" i="8" s="1"/>
  <c r="G195" i="8"/>
  <c r="O194" i="8"/>
  <c r="Q194" i="8"/>
  <c r="R194" i="8" s="1"/>
  <c r="O193" i="8"/>
  <c r="Q193" i="8"/>
  <c r="R193" i="8" s="1"/>
  <c r="O192" i="8"/>
  <c r="Q192" i="8"/>
  <c r="R192" i="8"/>
  <c r="G192" i="8"/>
  <c r="O191" i="8"/>
  <c r="Q191" i="8"/>
  <c r="R191" i="8" s="1"/>
  <c r="G191" i="8"/>
  <c r="O190" i="8"/>
  <c r="Q190" i="8" s="1"/>
  <c r="R190" i="8" s="1"/>
  <c r="G190" i="8"/>
  <c r="O189" i="8"/>
  <c r="Q189" i="8"/>
  <c r="R189" i="8"/>
  <c r="G189" i="8"/>
  <c r="O188" i="8"/>
  <c r="Q188" i="8"/>
  <c r="R188" i="8" s="1"/>
  <c r="G188" i="8"/>
  <c r="O187" i="8"/>
  <c r="Q187" i="8" s="1"/>
  <c r="R187" i="8" s="1"/>
  <c r="G187" i="8"/>
  <c r="O186" i="8"/>
  <c r="G186" i="8"/>
  <c r="O185" i="8"/>
  <c r="Q185" i="8"/>
  <c r="R185" i="8" s="1"/>
  <c r="O184" i="8"/>
  <c r="Q184" i="8" s="1"/>
  <c r="R184" i="8"/>
  <c r="O183" i="8"/>
  <c r="Q183" i="8" s="1"/>
  <c r="R183" i="8" s="1"/>
  <c r="G183" i="8"/>
  <c r="O182" i="8"/>
  <c r="Q182" i="8"/>
  <c r="R182" i="8"/>
  <c r="G182" i="8"/>
  <c r="O181" i="8"/>
  <c r="Q181" i="8"/>
  <c r="R181" i="8" s="1"/>
  <c r="G181" i="8"/>
  <c r="O180" i="8"/>
  <c r="Q180" i="8" s="1"/>
  <c r="R180" i="8" s="1"/>
  <c r="G180" i="8"/>
  <c r="O179" i="8"/>
  <c r="Q179" i="8"/>
  <c r="R179" i="8"/>
  <c r="G179" i="8"/>
  <c r="O178" i="8"/>
  <c r="Q178" i="8"/>
  <c r="R178" i="8" s="1"/>
  <c r="G178" i="8"/>
  <c r="O177" i="8"/>
  <c r="Q177" i="8" s="1"/>
  <c r="R177" i="8" s="1"/>
  <c r="G177" i="8"/>
  <c r="O176" i="8"/>
  <c r="Q176" i="8"/>
  <c r="R176" i="8" s="1"/>
  <c r="O175" i="8"/>
  <c r="Q175" i="8" s="1"/>
  <c r="R175" i="8" s="1"/>
  <c r="O174" i="8"/>
  <c r="Q174" i="8"/>
  <c r="R174" i="8"/>
  <c r="G174" i="8"/>
  <c r="O173" i="8"/>
  <c r="Q173" i="8"/>
  <c r="R173" i="8" s="1"/>
  <c r="G173" i="8"/>
  <c r="O172" i="8"/>
  <c r="Q172" i="8"/>
  <c r="R172" i="8" s="1"/>
  <c r="G172" i="8"/>
  <c r="O171" i="8"/>
  <c r="Q171" i="8"/>
  <c r="R171" i="8"/>
  <c r="G171" i="8"/>
  <c r="O170" i="8"/>
  <c r="Q170" i="8"/>
  <c r="R170" i="8" s="1"/>
  <c r="G170" i="8"/>
  <c r="O169" i="8"/>
  <c r="Q169" i="8"/>
  <c r="R169" i="8" s="1"/>
  <c r="G169" i="8"/>
  <c r="O168" i="8"/>
  <c r="Q168" i="8"/>
  <c r="R168" i="8" s="1"/>
  <c r="G168" i="8"/>
  <c r="E166" i="8"/>
  <c r="E165" i="8"/>
  <c r="S164" i="8"/>
  <c r="R164" i="8"/>
  <c r="Q163" i="8"/>
  <c r="E163" i="8"/>
  <c r="P162" i="8"/>
  <c r="Q162" i="8" s="1"/>
  <c r="E162" i="8"/>
  <c r="Q161" i="8"/>
  <c r="E161" i="8"/>
  <c r="Q160" i="8"/>
  <c r="E160" i="8"/>
  <c r="Q159" i="8"/>
  <c r="E159" i="8"/>
  <c r="Q158" i="8"/>
  <c r="E158" i="8"/>
  <c r="Q157" i="8"/>
  <c r="E157" i="8"/>
  <c r="Q156" i="8"/>
  <c r="E156" i="8"/>
  <c r="Q155" i="8"/>
  <c r="E155" i="8"/>
  <c r="Q154" i="8"/>
  <c r="E154" i="8"/>
  <c r="O153" i="8"/>
  <c r="Q153" i="8" s="1"/>
  <c r="E153" i="8"/>
  <c r="O152" i="8"/>
  <c r="Q152" i="8"/>
  <c r="E152" i="8"/>
  <c r="Q151" i="8"/>
  <c r="E151" i="8"/>
  <c r="Q150" i="8"/>
  <c r="E150" i="8"/>
  <c r="Q149" i="8"/>
  <c r="E149" i="8"/>
  <c r="E148" i="8"/>
  <c r="Q147" i="8"/>
  <c r="G147" i="8"/>
  <c r="E147" i="8" s="1"/>
  <c r="Q146" i="8"/>
  <c r="G146" i="8"/>
  <c r="E146" i="8" s="1"/>
  <c r="Q145" i="8"/>
  <c r="G145" i="8"/>
  <c r="E145" i="8"/>
  <c r="Q144" i="8"/>
  <c r="G144" i="8"/>
  <c r="E144" i="8" s="1"/>
  <c r="Q143" i="8"/>
  <c r="G143" i="8"/>
  <c r="E143" i="8" s="1"/>
  <c r="Q142" i="8"/>
  <c r="G142" i="8"/>
  <c r="E142" i="8" s="1"/>
  <c r="Q141" i="8"/>
  <c r="G141" i="8"/>
  <c r="E141" i="8" s="1"/>
  <c r="Q140" i="8"/>
  <c r="G140" i="8"/>
  <c r="E140" i="8" s="1"/>
  <c r="Q139" i="8"/>
  <c r="G139" i="8"/>
  <c r="E139" i="8" s="1"/>
  <c r="Q138" i="8"/>
  <c r="G138" i="8"/>
  <c r="E138" i="8" s="1"/>
  <c r="G137" i="8"/>
  <c r="E137" i="8"/>
  <c r="Q136" i="8"/>
  <c r="G136" i="8"/>
  <c r="E136" i="8" s="1"/>
  <c r="Q135" i="8"/>
  <c r="G135" i="8"/>
  <c r="E135" i="8"/>
  <c r="O134" i="8"/>
  <c r="Q134" i="8"/>
  <c r="R133" i="8" s="1"/>
  <c r="G134" i="8"/>
  <c r="E134" i="8"/>
  <c r="G133" i="8"/>
  <c r="E133" i="8" s="1"/>
  <c r="Q132" i="8"/>
  <c r="Q131" i="8"/>
  <c r="E131" i="8"/>
  <c r="Q130" i="8"/>
  <c r="E130" i="8"/>
  <c r="Q129" i="8"/>
  <c r="E129" i="8"/>
  <c r="Q128" i="8"/>
  <c r="E128" i="8"/>
  <c r="Q127" i="8"/>
  <c r="E127" i="8"/>
  <c r="Q126" i="8"/>
  <c r="E126" i="8"/>
  <c r="O125" i="8"/>
  <c r="Q125" i="8" s="1"/>
  <c r="E125" i="8"/>
  <c r="O124" i="8"/>
  <c r="Q124" i="8" s="1"/>
  <c r="E124" i="8"/>
  <c r="Q123" i="8"/>
  <c r="E123" i="8"/>
  <c r="Q122" i="8"/>
  <c r="E122" i="8"/>
  <c r="Q121" i="8"/>
  <c r="E121" i="8"/>
  <c r="E120" i="8"/>
  <c r="Q119" i="8"/>
  <c r="G119" i="8"/>
  <c r="E119" i="8"/>
  <c r="Q118" i="8"/>
  <c r="G118" i="8"/>
  <c r="E118" i="8" s="1"/>
  <c r="Q117" i="8"/>
  <c r="G117" i="8"/>
  <c r="E117" i="8"/>
  <c r="Q116" i="8"/>
  <c r="G116" i="8"/>
  <c r="E116" i="8" s="1"/>
  <c r="Q115" i="8"/>
  <c r="G115" i="8"/>
  <c r="E115" i="8"/>
  <c r="Q114" i="8"/>
  <c r="G114" i="8"/>
  <c r="E114" i="8" s="1"/>
  <c r="Q113" i="8"/>
  <c r="G113" i="8"/>
  <c r="E113" i="8"/>
  <c r="Q112" i="8"/>
  <c r="G112" i="8"/>
  <c r="E112" i="8" s="1"/>
  <c r="A112" i="8"/>
  <c r="A113" i="8" s="1"/>
  <c r="Q111" i="8"/>
  <c r="G111" i="8"/>
  <c r="E111" i="8"/>
  <c r="G110" i="8"/>
  <c r="E110" i="8" s="1"/>
  <c r="Q109" i="8"/>
  <c r="Q108" i="8"/>
  <c r="Q107" i="8"/>
  <c r="Q106" i="8"/>
  <c r="Q105" i="8"/>
  <c r="A105" i="8"/>
  <c r="A106" i="8" s="1"/>
  <c r="A107" i="8" s="1"/>
  <c r="Q104" i="8"/>
  <c r="Q103" i="8"/>
  <c r="Q102" i="8"/>
  <c r="Q101" i="8"/>
  <c r="Q100" i="8"/>
  <c r="Q99" i="8"/>
  <c r="F99" i="8"/>
  <c r="E99" i="8" s="1"/>
  <c r="Q98" i="8"/>
  <c r="E98" i="8"/>
  <c r="E97" i="8"/>
  <c r="Q94" i="8"/>
  <c r="X94" i="8" s="1"/>
  <c r="G94" i="8"/>
  <c r="Q93" i="8"/>
  <c r="X93" i="8" s="1"/>
  <c r="G93" i="8"/>
  <c r="Q92" i="8"/>
  <c r="X92" i="8"/>
  <c r="G92" i="8"/>
  <c r="Q91" i="8"/>
  <c r="X91" i="8" s="1"/>
  <c r="G91" i="8"/>
  <c r="Q90" i="8"/>
  <c r="X90" i="8" s="1"/>
  <c r="G90" i="8"/>
  <c r="Q89" i="8"/>
  <c r="X89" i="8" s="1"/>
  <c r="G89" i="8"/>
  <c r="Q88" i="8"/>
  <c r="X88" i="8"/>
  <c r="G88" i="8"/>
  <c r="R87" i="8"/>
  <c r="Q87" i="8" s="1"/>
  <c r="G87" i="8"/>
  <c r="Q86" i="8"/>
  <c r="V86" i="8"/>
  <c r="G86" i="8"/>
  <c r="Q85" i="8"/>
  <c r="V85" i="8" s="1"/>
  <c r="G85" i="8"/>
  <c r="Q84" i="8"/>
  <c r="V84" i="8"/>
  <c r="G84" i="8"/>
  <c r="Q83" i="8"/>
  <c r="W83" i="8" s="1"/>
  <c r="G83" i="8"/>
  <c r="Q82" i="8"/>
  <c r="W82" i="8"/>
  <c r="G82" i="8"/>
  <c r="Q81" i="8"/>
  <c r="W81" i="8" s="1"/>
  <c r="G81" i="8"/>
  <c r="Q80" i="8"/>
  <c r="V80" i="8"/>
  <c r="G80" i="8"/>
  <c r="Q79" i="8"/>
  <c r="V79" i="8" s="1"/>
  <c r="G79" i="8"/>
  <c r="Q78" i="8"/>
  <c r="V78" i="8"/>
  <c r="G78" i="8"/>
  <c r="Q77" i="8"/>
  <c r="V77" i="8" s="1"/>
  <c r="G77" i="8"/>
  <c r="Q76" i="8"/>
  <c r="V76" i="8"/>
  <c r="G76" i="8"/>
  <c r="Q75" i="8"/>
  <c r="V75" i="8" s="1"/>
  <c r="G75" i="8"/>
  <c r="Q74" i="8"/>
  <c r="V74" i="8" s="1"/>
  <c r="G74" i="8"/>
  <c r="Q73" i="8"/>
  <c r="V73" i="8" s="1"/>
  <c r="G73" i="8"/>
  <c r="Q72" i="8"/>
  <c r="V72" i="8"/>
  <c r="G72" i="8"/>
  <c r="Q71" i="8"/>
  <c r="V71" i="8" s="1"/>
  <c r="G71" i="8"/>
  <c r="Q70" i="8"/>
  <c r="V70" i="8"/>
  <c r="G70" i="8"/>
  <c r="Q69" i="8"/>
  <c r="V69" i="8" s="1"/>
  <c r="G69" i="8"/>
  <c r="R68" i="8"/>
  <c r="Q68" i="8"/>
  <c r="G68" i="8"/>
  <c r="Q67" i="8"/>
  <c r="V67" i="8"/>
  <c r="G67" i="8"/>
  <c r="Q66" i="8"/>
  <c r="V66" i="8" s="1"/>
  <c r="G66" i="8"/>
  <c r="Q65" i="8"/>
  <c r="V65" i="8"/>
  <c r="G65" i="8"/>
  <c r="Q64" i="8"/>
  <c r="U64" i="8"/>
  <c r="G64" i="8"/>
  <c r="Q63" i="8"/>
  <c r="U63" i="8"/>
  <c r="G63" i="8"/>
  <c r="Q62" i="8"/>
  <c r="U62" i="8" s="1"/>
  <c r="G62" i="8"/>
  <c r="Q61" i="8"/>
  <c r="U61" i="8"/>
  <c r="G61" i="8"/>
  <c r="Q60" i="8"/>
  <c r="U60" i="8"/>
  <c r="G60" i="8"/>
  <c r="Q59" i="8"/>
  <c r="U59" i="8"/>
  <c r="G59" i="8"/>
  <c r="Q58" i="8"/>
  <c r="U58" i="8" s="1"/>
  <c r="G58" i="8"/>
  <c r="Q57" i="8"/>
  <c r="U57" i="8"/>
  <c r="G57" i="8"/>
  <c r="R56" i="8"/>
  <c r="Q56" i="8"/>
  <c r="G56" i="8"/>
  <c r="Q55" i="8"/>
  <c r="U55" i="8"/>
  <c r="G55" i="8"/>
  <c r="Q54" i="8"/>
  <c r="U54" i="8" s="1"/>
  <c r="G54" i="8"/>
  <c r="Q53" i="8"/>
  <c r="U53" i="8"/>
  <c r="G53" i="8"/>
  <c r="Q52" i="8"/>
  <c r="U52" i="8" s="1"/>
  <c r="G52" i="8"/>
  <c r="Q51" i="8"/>
  <c r="U51" i="8"/>
  <c r="G51" i="8"/>
  <c r="R50" i="8"/>
  <c r="Q50" i="8" s="1"/>
  <c r="G50" i="8"/>
  <c r="Q49" i="8"/>
  <c r="U49" i="8"/>
  <c r="G49" i="8"/>
  <c r="Q48" i="8"/>
  <c r="U48" i="8"/>
  <c r="G48" i="8"/>
  <c r="Q47" i="8"/>
  <c r="T47" i="8"/>
  <c r="G47" i="8"/>
  <c r="Q46" i="8"/>
  <c r="T46" i="8" s="1"/>
  <c r="G46" i="8"/>
  <c r="Q45" i="8"/>
  <c r="U45" i="8"/>
  <c r="G45" i="8"/>
  <c r="Q44" i="8"/>
  <c r="U44" i="8" s="1"/>
  <c r="G44" i="8"/>
  <c r="Q43" i="8"/>
  <c r="T43" i="8"/>
  <c r="G43" i="8"/>
  <c r="Q42" i="8"/>
  <c r="T42" i="8" s="1"/>
  <c r="G42" i="8"/>
  <c r="Q41" i="8"/>
  <c r="T41" i="8"/>
  <c r="G41" i="8"/>
  <c r="Q40" i="8"/>
  <c r="T40" i="8"/>
  <c r="G40" i="8"/>
  <c r="Q39" i="8"/>
  <c r="U39" i="8"/>
  <c r="G39" i="8"/>
  <c r="Q38" i="8"/>
  <c r="U38" i="8" s="1"/>
  <c r="G38" i="8"/>
  <c r="Q37" i="8"/>
  <c r="U37" i="8"/>
  <c r="G37" i="8"/>
  <c r="Q36" i="8"/>
  <c r="G36" i="8"/>
  <c r="Q35" i="8"/>
  <c r="G35" i="8"/>
  <c r="Q34" i="8"/>
  <c r="U34" i="8" s="1"/>
  <c r="G34" i="8"/>
  <c r="Q33" i="8"/>
  <c r="U33" i="8"/>
  <c r="G33" i="8"/>
  <c r="Q32" i="8"/>
  <c r="T32" i="8" s="1"/>
  <c r="G32" i="8"/>
  <c r="Q31" i="8"/>
  <c r="U31" i="8" s="1"/>
  <c r="G31" i="8"/>
  <c r="Q30" i="8"/>
  <c r="U30" i="8" s="1"/>
  <c r="G30" i="8"/>
  <c r="Q29" i="8"/>
  <c r="U29" i="8"/>
  <c r="G29" i="8"/>
  <c r="Q28" i="8"/>
  <c r="U28" i="8" s="1"/>
  <c r="G28" i="8"/>
  <c r="Q27" i="8"/>
  <c r="T27" i="8" s="1"/>
  <c r="G27" i="8"/>
  <c r="Q26" i="8"/>
  <c r="T26" i="8" s="1"/>
  <c r="G26" i="8"/>
  <c r="Q25" i="8"/>
  <c r="T25" i="8"/>
  <c r="G25" i="8"/>
  <c r="Q24" i="8"/>
  <c r="T24" i="8" s="1"/>
  <c r="G24" i="8"/>
  <c r="R23" i="8"/>
  <c r="Q23" i="8" s="1"/>
  <c r="G23" i="8"/>
  <c r="Q22" i="8"/>
  <c r="T22" i="8"/>
  <c r="G22" i="8"/>
  <c r="Q21" i="8"/>
  <c r="T21" i="8"/>
  <c r="G21" i="8"/>
  <c r="Q20" i="8"/>
  <c r="T20" i="8"/>
  <c r="G20" i="8"/>
  <c r="Q19" i="8"/>
  <c r="T19" i="8" s="1"/>
  <c r="G19" i="8"/>
  <c r="Q18" i="8"/>
  <c r="T18" i="8" s="1"/>
  <c r="G18" i="8"/>
  <c r="Q17" i="8"/>
  <c r="T17" i="8"/>
  <c r="G17" i="8"/>
  <c r="Q16" i="8"/>
  <c r="T16" i="8"/>
  <c r="G16" i="8"/>
  <c r="Q15" i="8"/>
  <c r="T15" i="8" s="1"/>
  <c r="G15" i="8"/>
  <c r="Q14" i="8"/>
  <c r="T14" i="8" s="1"/>
  <c r="G14" i="8"/>
  <c r="Q13" i="8"/>
  <c r="T13" i="8"/>
  <c r="G13" i="8"/>
  <c r="Q12" i="8"/>
  <c r="T12" i="8"/>
  <c r="G12" i="8"/>
  <c r="Q11" i="8"/>
  <c r="T11" i="8" s="1"/>
  <c r="G11" i="8"/>
  <c r="R10" i="8"/>
  <c r="G10" i="8"/>
  <c r="R163" i="7"/>
  <c r="R144" i="7"/>
  <c r="R131" i="7"/>
  <c r="R122" i="7"/>
  <c r="R121" i="7"/>
  <c r="Q120" i="7"/>
  <c r="Y120" i="7"/>
  <c r="E120" i="7"/>
  <c r="G120" i="7" s="1"/>
  <c r="Q119" i="7"/>
  <c r="X119" i="7" s="1"/>
  <c r="E119" i="7"/>
  <c r="G119" i="7"/>
  <c r="Q118" i="7"/>
  <c r="X118" i="7"/>
  <c r="E118" i="7"/>
  <c r="G118" i="7"/>
  <c r="Q117" i="7"/>
  <c r="X117" i="7"/>
  <c r="E117" i="7"/>
  <c r="G117" i="7" s="1"/>
  <c r="Q116" i="7"/>
  <c r="W116" i="7" s="1"/>
  <c r="E116" i="7"/>
  <c r="G116" i="7"/>
  <c r="P115" i="7"/>
  <c r="Q115" i="7"/>
  <c r="E115" i="7"/>
  <c r="G115" i="7"/>
  <c r="Q114" i="7"/>
  <c r="W114" i="7"/>
  <c r="E114" i="7"/>
  <c r="G114" i="7" s="1"/>
  <c r="Q113" i="7"/>
  <c r="X113" i="7" s="1"/>
  <c r="E113" i="7"/>
  <c r="G113" i="7"/>
  <c r="Q111" i="7"/>
  <c r="U111" i="7"/>
  <c r="E111" i="7"/>
  <c r="G111" i="7"/>
  <c r="P110" i="7"/>
  <c r="Q110" i="7"/>
  <c r="W110" i="7" s="1"/>
  <c r="E110" i="7"/>
  <c r="G110" i="7"/>
  <c r="Q109" i="7"/>
  <c r="W109" i="7" s="1"/>
  <c r="E109" i="7"/>
  <c r="G109" i="7" s="1"/>
  <c r="Q108" i="7"/>
  <c r="W108" i="7" s="1"/>
  <c r="E108" i="7"/>
  <c r="G108" i="7" s="1"/>
  <c r="Q107" i="7"/>
  <c r="W107" i="7"/>
  <c r="E107" i="7"/>
  <c r="G107" i="7"/>
  <c r="Q106" i="7"/>
  <c r="W106" i="7" s="1"/>
  <c r="E106" i="7"/>
  <c r="G106" i="7" s="1"/>
  <c r="Q105" i="7"/>
  <c r="W105" i="7" s="1"/>
  <c r="E105" i="7"/>
  <c r="G105" i="7" s="1"/>
  <c r="Q104" i="7"/>
  <c r="W104" i="7"/>
  <c r="E104" i="7"/>
  <c r="G104" i="7"/>
  <c r="Q103" i="7"/>
  <c r="U103" i="7" s="1"/>
  <c r="E103" i="7"/>
  <c r="G103" i="7" s="1"/>
  <c r="Q102" i="7"/>
  <c r="U102" i="7" s="1"/>
  <c r="E102" i="7"/>
  <c r="G102" i="7" s="1"/>
  <c r="Q101" i="7"/>
  <c r="U101" i="7" s="1"/>
  <c r="E101" i="7"/>
  <c r="G101" i="7"/>
  <c r="Q100" i="7"/>
  <c r="U100" i="7" s="1"/>
  <c r="E100" i="7"/>
  <c r="G100" i="7" s="1"/>
  <c r="Q99" i="7"/>
  <c r="U99" i="7" s="1"/>
  <c r="E99" i="7"/>
  <c r="G99" i="7" s="1"/>
  <c r="Q96" i="7"/>
  <c r="W96" i="7"/>
  <c r="E96" i="7"/>
  <c r="G96" i="7"/>
  <c r="Q95" i="7"/>
  <c r="W95" i="7" s="1"/>
  <c r="E95" i="7"/>
  <c r="G95" i="7"/>
  <c r="Q94" i="7"/>
  <c r="W94" i="7" s="1"/>
  <c r="E94" i="7"/>
  <c r="G94" i="7" s="1"/>
  <c r="Q93" i="7"/>
  <c r="W93" i="7"/>
  <c r="E93" i="7"/>
  <c r="G93" i="7"/>
  <c r="Q92" i="7"/>
  <c r="W92" i="7" s="1"/>
  <c r="E92" i="7"/>
  <c r="G92" i="7"/>
  <c r="Q90" i="7"/>
  <c r="W90" i="7" s="1"/>
  <c r="E90" i="7"/>
  <c r="G90" i="7" s="1"/>
  <c r="Q89" i="7"/>
  <c r="W89" i="7"/>
  <c r="E89" i="7"/>
  <c r="G89" i="7"/>
  <c r="P88" i="7"/>
  <c r="Q88" i="7" s="1"/>
  <c r="V88" i="7" s="1"/>
  <c r="E88" i="7"/>
  <c r="G88" i="7"/>
  <c r="Q87" i="7"/>
  <c r="V87" i="7" s="1"/>
  <c r="E87" i="7"/>
  <c r="G87" i="7"/>
  <c r="Q86" i="7"/>
  <c r="V86" i="7" s="1"/>
  <c r="E86" i="7"/>
  <c r="G86" i="7" s="1"/>
  <c r="Q85" i="7"/>
  <c r="V85" i="7" s="1"/>
  <c r="E85" i="7"/>
  <c r="G85" i="7"/>
  <c r="Q84" i="7"/>
  <c r="U84" i="7" s="1"/>
  <c r="E84" i="7"/>
  <c r="G84" i="7"/>
  <c r="P83" i="7"/>
  <c r="Q83" i="7" s="1"/>
  <c r="U83" i="7" s="1"/>
  <c r="E83" i="7"/>
  <c r="G83" i="7" s="1"/>
  <c r="Q82" i="7"/>
  <c r="U82" i="7"/>
  <c r="E82" i="7"/>
  <c r="G82" i="7" s="1"/>
  <c r="Q81" i="7"/>
  <c r="U81" i="7" s="1"/>
  <c r="E81" i="7"/>
  <c r="G81" i="7"/>
  <c r="Q80" i="7"/>
  <c r="U80" i="7"/>
  <c r="E80" i="7"/>
  <c r="G80" i="7"/>
  <c r="Q79" i="7"/>
  <c r="U79" i="7"/>
  <c r="E79" i="7"/>
  <c r="G79" i="7" s="1"/>
  <c r="Q78" i="7"/>
  <c r="U78" i="7" s="1"/>
  <c r="E78" i="7"/>
  <c r="G78" i="7" s="1"/>
  <c r="Q77" i="7"/>
  <c r="E77" i="7"/>
  <c r="G77" i="7" s="1"/>
  <c r="R75" i="7"/>
  <c r="R65" i="7"/>
  <c r="R56" i="7"/>
  <c r="R46" i="7"/>
  <c r="G38" i="7"/>
  <c r="G39" i="7" s="1"/>
  <c r="R36" i="7"/>
  <c r="R27" i="7"/>
  <c r="R7" i="7"/>
  <c r="Q140" i="13"/>
  <c r="R131" i="13"/>
  <c r="R112" i="13"/>
  <c r="R99" i="13"/>
  <c r="R90" i="13"/>
  <c r="R81" i="13"/>
  <c r="R71" i="13"/>
  <c r="R62" i="13"/>
  <c r="Q60" i="13"/>
  <c r="R59" i="13" s="1"/>
  <c r="G60" i="13"/>
  <c r="Q58" i="13"/>
  <c r="R57" i="13" s="1"/>
  <c r="G58" i="13"/>
  <c r="Q56" i="13"/>
  <c r="U56" i="13" s="1"/>
  <c r="G56" i="13"/>
  <c r="Q55" i="13"/>
  <c r="G55" i="13"/>
  <c r="Q53" i="13"/>
  <c r="V53" i="13"/>
  <c r="G53" i="13"/>
  <c r="Q52" i="13"/>
  <c r="G52" i="13"/>
  <c r="Q51" i="13"/>
  <c r="V51" i="13"/>
  <c r="G51" i="13"/>
  <c r="Q49" i="13"/>
  <c r="U49" i="13"/>
  <c r="G49" i="13"/>
  <c r="Q48" i="13"/>
  <c r="U48" i="13" s="1"/>
  <c r="G48" i="13"/>
  <c r="Q38" i="13"/>
  <c r="G38" i="13"/>
  <c r="R36" i="13"/>
  <c r="R27" i="13"/>
  <c r="R7" i="13"/>
  <c r="R154" i="6"/>
  <c r="Q153" i="6"/>
  <c r="X148" i="6"/>
  <c r="Q152" i="6"/>
  <c r="Q151" i="6"/>
  <c r="Q150" i="6"/>
  <c r="Q149" i="6"/>
  <c r="Q147" i="6"/>
  <c r="W144" i="6" s="1"/>
  <c r="Q146" i="6"/>
  <c r="Q145" i="6"/>
  <c r="V144" i="6"/>
  <c r="Q143" i="6"/>
  <c r="Q142" i="6"/>
  <c r="Q141" i="6"/>
  <c r="Q140" i="6"/>
  <c r="Q139" i="6"/>
  <c r="Q137" i="6"/>
  <c r="Q135" i="6"/>
  <c r="Q134" i="6"/>
  <c r="Q133" i="6" s="1"/>
  <c r="W133" i="6" s="1"/>
  <c r="Q132" i="6"/>
  <c r="Q131" i="6"/>
  <c r="Q130" i="6"/>
  <c r="Q129" i="6"/>
  <c r="Q127" i="6"/>
  <c r="X127" i="6" s="1"/>
  <c r="R125" i="6"/>
  <c r="R106" i="6"/>
  <c r="R93" i="6"/>
  <c r="R84" i="6"/>
  <c r="R75" i="6"/>
  <c r="R65" i="6"/>
  <c r="R56" i="6"/>
  <c r="R46" i="6"/>
  <c r="Q38" i="6"/>
  <c r="G38" i="6"/>
  <c r="F39" i="6"/>
  <c r="R36" i="6"/>
  <c r="R27" i="6"/>
  <c r="R7" i="6"/>
  <c r="Q168" i="5"/>
  <c r="R159" i="5"/>
  <c r="R140" i="5" s="1"/>
  <c r="Y127" i="5"/>
  <c r="X127" i="5"/>
  <c r="W127" i="5"/>
  <c r="U127" i="5"/>
  <c r="T127" i="5"/>
  <c r="S127" i="5"/>
  <c r="Q125" i="5"/>
  <c r="R125" i="5"/>
  <c r="G125" i="5"/>
  <c r="Q124" i="5"/>
  <c r="R124" i="5"/>
  <c r="V124" i="5" s="1"/>
  <c r="Q123" i="5"/>
  <c r="R123" i="5"/>
  <c r="V123" i="5" s="1"/>
  <c r="Q122" i="5"/>
  <c r="R122" i="5" s="1"/>
  <c r="G122" i="5"/>
  <c r="P121" i="5"/>
  <c r="Q121" i="5"/>
  <c r="R121" i="5" s="1"/>
  <c r="G121" i="5"/>
  <c r="Q120" i="5"/>
  <c r="R120" i="5" s="1"/>
  <c r="G120" i="5"/>
  <c r="R119" i="5"/>
  <c r="Q118" i="5"/>
  <c r="R118" i="5"/>
  <c r="G118" i="5"/>
  <c r="Q117" i="5"/>
  <c r="R117" i="5" s="1"/>
  <c r="G117" i="5"/>
  <c r="R116" i="5"/>
  <c r="Q115" i="5"/>
  <c r="R115" i="5"/>
  <c r="G115" i="5"/>
  <c r="R114" i="5"/>
  <c r="G114" i="5"/>
  <c r="Q113" i="5"/>
  <c r="R113" i="5"/>
  <c r="G113" i="5"/>
  <c r="Q112" i="5"/>
  <c r="R112" i="5" s="1"/>
  <c r="G112" i="5"/>
  <c r="Q111" i="5"/>
  <c r="R111" i="5" s="1"/>
  <c r="G111" i="5"/>
  <c r="Q110" i="5"/>
  <c r="R110" i="5"/>
  <c r="G110" i="5"/>
  <c r="Q109" i="5"/>
  <c r="R109" i="5"/>
  <c r="G109" i="5"/>
  <c r="Q108" i="5"/>
  <c r="R108" i="5" s="1"/>
  <c r="G108" i="5"/>
  <c r="Q107" i="5"/>
  <c r="R107" i="5" s="1"/>
  <c r="G107" i="5"/>
  <c r="R106" i="5"/>
  <c r="Q105" i="5"/>
  <c r="R105" i="5"/>
  <c r="G105" i="5"/>
  <c r="Q104" i="5"/>
  <c r="R104" i="5" s="1"/>
  <c r="G104" i="5"/>
  <c r="Q103" i="5"/>
  <c r="R103" i="5"/>
  <c r="G103" i="5"/>
  <c r="Q102" i="5"/>
  <c r="R102" i="5"/>
  <c r="G102" i="5"/>
  <c r="R101" i="5"/>
  <c r="Q100" i="5"/>
  <c r="R100" i="5" s="1"/>
  <c r="G100" i="5"/>
  <c r="R99" i="5"/>
  <c r="Q98" i="5"/>
  <c r="R98" i="5" s="1"/>
  <c r="G98" i="5"/>
  <c r="R97" i="5"/>
  <c r="Q96" i="5"/>
  <c r="R96" i="5"/>
  <c r="G96" i="5"/>
  <c r="Q95" i="5"/>
  <c r="R95" i="5"/>
  <c r="G95" i="5"/>
  <c r="Q94" i="5"/>
  <c r="R94" i="5" s="1"/>
  <c r="G94" i="5"/>
  <c r="Q93" i="5"/>
  <c r="R93" i="5"/>
  <c r="E93" i="5"/>
  <c r="G93" i="5" s="1"/>
  <c r="R92" i="5"/>
  <c r="R91" i="5"/>
  <c r="G91" i="5"/>
  <c r="Q90" i="5"/>
  <c r="R90" i="5" s="1"/>
  <c r="G90" i="5"/>
  <c r="R89" i="5"/>
  <c r="G89" i="5"/>
  <c r="Q88" i="5"/>
  <c r="R88" i="5"/>
  <c r="G88" i="5"/>
  <c r="R87" i="5"/>
  <c r="G87" i="5"/>
  <c r="R86" i="5"/>
  <c r="E86" i="5"/>
  <c r="G86" i="5"/>
  <c r="R65" i="5"/>
  <c r="R56" i="5"/>
  <c r="R46" i="5"/>
  <c r="Q38" i="5"/>
  <c r="G38" i="5"/>
  <c r="R36" i="5"/>
  <c r="R27" i="5"/>
  <c r="R7" i="5"/>
  <c r="Q206" i="3"/>
  <c r="R197" i="3"/>
  <c r="R178" i="3"/>
  <c r="R165" i="3"/>
  <c r="R156" i="3"/>
  <c r="R147" i="3"/>
  <c r="R137" i="3"/>
  <c r="R128" i="3"/>
  <c r="R118" i="3"/>
  <c r="G110" i="3"/>
  <c r="Q110" i="3"/>
  <c r="Q109" i="3"/>
  <c r="G109" i="3"/>
  <c r="R107" i="3"/>
  <c r="Q105" i="3"/>
  <c r="V105" i="3"/>
  <c r="G105" i="3"/>
  <c r="Q104" i="3"/>
  <c r="V104" i="3" s="1"/>
  <c r="G104" i="3"/>
  <c r="Q103" i="3"/>
  <c r="V103" i="3" s="1"/>
  <c r="G103" i="3"/>
  <c r="Q102" i="3"/>
  <c r="U102" i="3"/>
  <c r="G102" i="3"/>
  <c r="Q101" i="3"/>
  <c r="U101" i="3"/>
  <c r="G101" i="3"/>
  <c r="Q100" i="3"/>
  <c r="U100" i="3" s="1"/>
  <c r="G100" i="3"/>
  <c r="Q99" i="3"/>
  <c r="U99" i="3" s="1"/>
  <c r="G99" i="3"/>
  <c r="Q98" i="3"/>
  <c r="U98" i="3"/>
  <c r="G98" i="3"/>
  <c r="Q97" i="3"/>
  <c r="U97" i="3"/>
  <c r="G97" i="3"/>
  <c r="Q96" i="3"/>
  <c r="U96" i="3" s="1"/>
  <c r="G96" i="3"/>
  <c r="Q95" i="3"/>
  <c r="V95" i="3" s="1"/>
  <c r="G95" i="3"/>
  <c r="Q94" i="3"/>
  <c r="V94" i="3"/>
  <c r="G94" i="3"/>
  <c r="Q93" i="3"/>
  <c r="V93" i="3"/>
  <c r="G93" i="3"/>
  <c r="Q92" i="3"/>
  <c r="V92" i="3" s="1"/>
  <c r="G92" i="3"/>
  <c r="Q91" i="3"/>
  <c r="V91" i="3" s="1"/>
  <c r="G91" i="3"/>
  <c r="Q90" i="3"/>
  <c r="V90" i="3"/>
  <c r="G90" i="3"/>
  <c r="Q89" i="3"/>
  <c r="V89" i="3"/>
  <c r="G89" i="3"/>
  <c r="Q88" i="3"/>
  <c r="V88" i="3" s="1"/>
  <c r="G88" i="3"/>
  <c r="AB87" i="3"/>
  <c r="AA87" i="3"/>
  <c r="Z87" i="3"/>
  <c r="Y87" i="3"/>
  <c r="X87" i="3"/>
  <c r="W87" i="3"/>
  <c r="T87" i="3"/>
  <c r="S87" i="3"/>
  <c r="Q86" i="3"/>
  <c r="AA86" i="3"/>
  <c r="G86" i="3"/>
  <c r="Q85" i="3"/>
  <c r="AA85" i="3"/>
  <c r="G85" i="3"/>
  <c r="Q84" i="3"/>
  <c r="W84" i="3" s="1"/>
  <c r="G84" i="3"/>
  <c r="Q83" i="3"/>
  <c r="W83" i="3" s="1"/>
  <c r="G83" i="3"/>
  <c r="Q82" i="3"/>
  <c r="W82" i="3"/>
  <c r="G82" i="3"/>
  <c r="Q81" i="3"/>
  <c r="W81" i="3" s="1"/>
  <c r="G81" i="3"/>
  <c r="Q80" i="3"/>
  <c r="W80" i="3" s="1"/>
  <c r="G80" i="3"/>
  <c r="Q79" i="3"/>
  <c r="W79" i="3" s="1"/>
  <c r="G79" i="3"/>
  <c r="Q78" i="3"/>
  <c r="W78" i="3"/>
  <c r="G78" i="3"/>
  <c r="Q77" i="3"/>
  <c r="U77" i="3"/>
  <c r="G77" i="3"/>
  <c r="Q76" i="3"/>
  <c r="U76" i="3" s="1"/>
  <c r="G76" i="3"/>
  <c r="Q75" i="3"/>
  <c r="U75" i="3" s="1"/>
  <c r="G75" i="3"/>
  <c r="Q74" i="3"/>
  <c r="U74" i="3"/>
  <c r="G74" i="3"/>
  <c r="Q73" i="3"/>
  <c r="U73" i="3"/>
  <c r="G73" i="3"/>
  <c r="Q72" i="3"/>
  <c r="U72" i="3" s="1"/>
  <c r="G72" i="3"/>
  <c r="Q71" i="3"/>
  <c r="G71" i="3"/>
  <c r="Q70" i="3"/>
  <c r="U70" i="3" s="1"/>
  <c r="G70" i="3"/>
  <c r="Q69" i="3"/>
  <c r="U69" i="3"/>
  <c r="G69" i="3"/>
  <c r="AB68" i="3"/>
  <c r="Z68" i="3"/>
  <c r="Y68" i="3"/>
  <c r="X68" i="3"/>
  <c r="V68" i="3"/>
  <c r="T68" i="3"/>
  <c r="S68" i="3"/>
  <c r="Q67" i="3"/>
  <c r="Y67" i="3"/>
  <c r="G67" i="3"/>
  <c r="Q66" i="3"/>
  <c r="Y66" i="3"/>
  <c r="G66" i="3"/>
  <c r="Q65" i="3"/>
  <c r="X65" i="3" s="1"/>
  <c r="G65" i="3"/>
  <c r="Q64" i="3"/>
  <c r="X64" i="3" s="1"/>
  <c r="G64" i="3"/>
  <c r="Q63" i="3"/>
  <c r="X63" i="3"/>
  <c r="G63" i="3"/>
  <c r="Q62" i="3"/>
  <c r="X62" i="3"/>
  <c r="G62" i="3"/>
  <c r="Q61" i="3"/>
  <c r="X61" i="3" s="1"/>
  <c r="G61" i="3"/>
  <c r="Q60" i="3"/>
  <c r="X60" i="3" s="1"/>
  <c r="G60" i="3"/>
  <c r="Q59" i="3"/>
  <c r="X59" i="3"/>
  <c r="G59" i="3"/>
  <c r="Q58" i="3"/>
  <c r="X58" i="3"/>
  <c r="G58" i="3"/>
  <c r="Q57" i="3"/>
  <c r="X57" i="3" s="1"/>
  <c r="G57" i="3"/>
  <c r="Q56" i="3"/>
  <c r="X56" i="3" s="1"/>
  <c r="G56" i="3"/>
  <c r="Q55" i="3"/>
  <c r="G55" i="3"/>
  <c r="Q54" i="3"/>
  <c r="X54" i="3"/>
  <c r="G54" i="3"/>
  <c r="Q53" i="3"/>
  <c r="G53" i="3"/>
  <c r="Q52" i="3"/>
  <c r="G52" i="3"/>
  <c r="Q51" i="3"/>
  <c r="G51" i="3"/>
  <c r="Q50" i="3"/>
  <c r="G50" i="3"/>
  <c r="AB49" i="3"/>
  <c r="AA49" i="3"/>
  <c r="Z49" i="3"/>
  <c r="W49" i="3"/>
  <c r="V49" i="3"/>
  <c r="U49" i="3"/>
  <c r="T49" i="3"/>
  <c r="S49" i="3"/>
  <c r="Q48" i="3"/>
  <c r="W48" i="3" s="1"/>
  <c r="G48" i="3"/>
  <c r="Q47" i="3"/>
  <c r="W47" i="3"/>
  <c r="G47" i="3"/>
  <c r="Q46" i="3"/>
  <c r="U46" i="3"/>
  <c r="G46" i="3"/>
  <c r="Q45" i="3"/>
  <c r="U45" i="3" s="1"/>
  <c r="G45" i="3"/>
  <c r="U44" i="3"/>
  <c r="G44" i="3"/>
  <c r="U43" i="3"/>
  <c r="G43" i="3"/>
  <c r="U42" i="3"/>
  <c r="G42" i="3"/>
  <c r="U41" i="3"/>
  <c r="G41" i="3"/>
  <c r="U40" i="3"/>
  <c r="G40" i="3"/>
  <c r="U39" i="3"/>
  <c r="G39" i="3"/>
  <c r="U38" i="3"/>
  <c r="G38" i="3"/>
  <c r="AB37" i="3"/>
  <c r="AA37" i="3"/>
  <c r="Z37" i="3"/>
  <c r="Y37" i="3"/>
  <c r="X37" i="3"/>
  <c r="V37" i="3"/>
  <c r="T37" i="3"/>
  <c r="S37" i="3"/>
  <c r="Q36" i="3"/>
  <c r="U36" i="3"/>
  <c r="G36" i="3"/>
  <c r="Q35" i="3"/>
  <c r="U35" i="3"/>
  <c r="G35" i="3"/>
  <c r="Q34" i="3"/>
  <c r="U34" i="3" s="1"/>
  <c r="G34" i="3"/>
  <c r="Q33" i="3"/>
  <c r="U33" i="3" s="1"/>
  <c r="G33" i="3"/>
  <c r="Q32" i="3"/>
  <c r="U32" i="3"/>
  <c r="G32" i="3"/>
  <c r="Q31" i="3"/>
  <c r="U31" i="3"/>
  <c r="G31" i="3"/>
  <c r="Q30" i="3"/>
  <c r="G30" i="3"/>
  <c r="Q29" i="3"/>
  <c r="U29" i="3"/>
  <c r="G29" i="3"/>
  <c r="AB28" i="3"/>
  <c r="AA28" i="3"/>
  <c r="Z28" i="3"/>
  <c r="Y28" i="3"/>
  <c r="X28" i="3"/>
  <c r="W28" i="3"/>
  <c r="V28" i="3"/>
  <c r="T28" i="3"/>
  <c r="S28" i="3"/>
  <c r="R27" i="3"/>
  <c r="R7" i="3"/>
  <c r="I24" i="18"/>
  <c r="H20" i="18"/>
  <c r="H19" i="18"/>
  <c r="H18" i="18"/>
  <c r="H17" i="18"/>
  <c r="H16" i="18"/>
  <c r="D15" i="18"/>
  <c r="H15" i="18" s="1"/>
  <c r="H14" i="18"/>
  <c r="H13" i="18"/>
  <c r="H12" i="18"/>
  <c r="H11" i="18"/>
  <c r="H10" i="18"/>
  <c r="H9" i="18"/>
  <c r="H8" i="18"/>
  <c r="I7" i="18"/>
  <c r="Q31" i="19"/>
  <c r="Q29" i="19" s="1"/>
  <c r="AG29" i="19"/>
  <c r="AF29" i="19"/>
  <c r="AE29" i="19"/>
  <c r="AD29" i="19"/>
  <c r="AC29" i="19"/>
  <c r="AB29" i="19"/>
  <c r="AA29" i="19"/>
  <c r="Z29" i="19"/>
  <c r="Y29" i="19"/>
  <c r="X29" i="19"/>
  <c r="W29" i="19"/>
  <c r="V29" i="19"/>
  <c r="U29" i="19"/>
  <c r="T29" i="19"/>
  <c r="S29" i="19"/>
  <c r="Q28" i="19"/>
  <c r="Q27" i="19"/>
  <c r="G27" i="19"/>
  <c r="G26" i="19"/>
  <c r="Q25" i="19"/>
  <c r="G25" i="19"/>
  <c r="Q24" i="19"/>
  <c r="G24" i="19"/>
  <c r="Q23" i="19"/>
  <c r="G23" i="19"/>
  <c r="Q22" i="19"/>
  <c r="G22" i="19"/>
  <c r="Q21" i="19"/>
  <c r="G21" i="19"/>
  <c r="Q20" i="19"/>
  <c r="G20" i="19"/>
  <c r="Q19" i="19"/>
  <c r="G19" i="19"/>
  <c r="Q18" i="19"/>
  <c r="G18" i="19"/>
  <c r="Q17" i="19"/>
  <c r="G17" i="19"/>
  <c r="Q16" i="19"/>
  <c r="G16" i="19"/>
  <c r="Q15" i="19"/>
  <c r="G15" i="19"/>
  <c r="Q14" i="19"/>
  <c r="G14" i="19"/>
  <c r="Q13" i="19"/>
  <c r="G13" i="19"/>
  <c r="Q12" i="19"/>
  <c r="G12" i="19"/>
  <c r="Q11" i="19"/>
  <c r="G11" i="19"/>
  <c r="Y10" i="19"/>
  <c r="X10" i="19"/>
  <c r="W10" i="19"/>
  <c r="V10" i="19"/>
  <c r="U10" i="19"/>
  <c r="Q9" i="19"/>
  <c r="Q8" i="19"/>
  <c r="Y7" i="19"/>
  <c r="X7" i="19"/>
  <c r="X6" i="19"/>
  <c r="W7" i="19"/>
  <c r="V7" i="19"/>
  <c r="U7" i="19"/>
  <c r="AF6" i="19"/>
  <c r="AE6" i="19"/>
  <c r="AD6" i="19"/>
  <c r="AC6" i="19"/>
  <c r="AB6" i="19"/>
  <c r="AA6" i="19"/>
  <c r="Z6" i="19"/>
  <c r="T6" i="19"/>
  <c r="S6" i="19"/>
  <c r="Q717" i="32"/>
  <c r="W716" i="32"/>
  <c r="W701" i="32" s="1"/>
  <c r="V716" i="32"/>
  <c r="Q716" i="32"/>
  <c r="W715" i="32"/>
  <c r="V715" i="32"/>
  <c r="V701" i="32" s="1"/>
  <c r="Q715" i="32"/>
  <c r="W714" i="32"/>
  <c r="V714" i="32"/>
  <c r="Q714" i="32"/>
  <c r="W713" i="32"/>
  <c r="V713" i="32"/>
  <c r="Q713" i="32"/>
  <c r="Q712" i="32"/>
  <c r="Q710" i="32"/>
  <c r="Q709" i="32"/>
  <c r="Q708" i="32"/>
  <c r="Q707" i="32"/>
  <c r="Q706" i="32"/>
  <c r="Q705" i="32"/>
  <c r="Q704" i="32"/>
  <c r="Q702" i="32"/>
  <c r="Q703" i="32"/>
  <c r="AF701" i="32"/>
  <c r="AE701" i="32"/>
  <c r="AE688" i="32" s="1"/>
  <c r="AD701" i="32"/>
  <c r="AC701" i="32"/>
  <c r="AB701" i="32"/>
  <c r="AA701" i="32"/>
  <c r="Z701" i="32"/>
  <c r="Y701" i="32"/>
  <c r="Y689" i="32"/>
  <c r="Y688" i="32" s="1"/>
  <c r="X701" i="32"/>
  <c r="U701" i="32"/>
  <c r="U689" i="32"/>
  <c r="U688" i="32" s="1"/>
  <c r="T701" i="32"/>
  <c r="S701" i="32"/>
  <c r="Q698" i="32"/>
  <c r="Q697" i="32"/>
  <c r="Q696" i="32"/>
  <c r="Q694" i="32"/>
  <c r="Q693" i="32"/>
  <c r="Q692" i="32"/>
  <c r="Q690" i="32"/>
  <c r="Q691" i="32" s="1"/>
  <c r="AF689" i="32"/>
  <c r="AF688" i="32" s="1"/>
  <c r="AE689" i="32"/>
  <c r="AD689" i="32"/>
  <c r="AC689" i="32"/>
  <c r="AC688" i="32" s="1"/>
  <c r="AB689" i="32"/>
  <c r="AB688" i="32"/>
  <c r="AA689" i="32"/>
  <c r="AA688" i="32" s="1"/>
  <c r="Z689" i="32"/>
  <c r="X689" i="32"/>
  <c r="X688" i="32"/>
  <c r="W689" i="32"/>
  <c r="V689" i="32"/>
  <c r="T689" i="32"/>
  <c r="S689" i="32"/>
  <c r="S688" i="32" s="1"/>
  <c r="R688" i="32"/>
  <c r="R677" i="32" s="1"/>
  <c r="AF686" i="32"/>
  <c r="AE686" i="32"/>
  <c r="AD686" i="32"/>
  <c r="AC686" i="32"/>
  <c r="AB686" i="32"/>
  <c r="AA686" i="32"/>
  <c r="Z686" i="32"/>
  <c r="Z684" i="32"/>
  <c r="Z683" i="32"/>
  <c r="Y686" i="32"/>
  <c r="X686" i="32"/>
  <c r="W686" i="32"/>
  <c r="V686" i="32"/>
  <c r="V684" i="32"/>
  <c r="V683" i="32" s="1"/>
  <c r="U686" i="32"/>
  <c r="T686" i="32"/>
  <c r="T684" i="32"/>
  <c r="T683" i="32" s="1"/>
  <c r="S686" i="32"/>
  <c r="Q686" i="32"/>
  <c r="Q683" i="32" s="1"/>
  <c r="Q684" i="32"/>
  <c r="AF684" i="32"/>
  <c r="AF683" i="32" s="1"/>
  <c r="AE684" i="32"/>
  <c r="AD684" i="32"/>
  <c r="AC684" i="32"/>
  <c r="AC683" i="32"/>
  <c r="AB684" i="32"/>
  <c r="AA684" i="32"/>
  <c r="Y684" i="32"/>
  <c r="Y683" i="32"/>
  <c r="X684" i="32"/>
  <c r="X683" i="32" s="1"/>
  <c r="W684" i="32"/>
  <c r="U684" i="32"/>
  <c r="S684" i="32"/>
  <c r="AB683" i="32"/>
  <c r="AF681" i="32"/>
  <c r="AE681" i="32"/>
  <c r="AE679" i="32"/>
  <c r="AE678" i="32" s="1"/>
  <c r="AD681" i="32"/>
  <c r="AC681" i="32"/>
  <c r="AC678" i="32" s="1"/>
  <c r="AB681" i="32"/>
  <c r="AA681" i="32"/>
  <c r="AA679" i="32"/>
  <c r="AA678" i="32" s="1"/>
  <c r="Z681" i="32"/>
  <c r="Y681" i="32"/>
  <c r="X681" i="32"/>
  <c r="W681" i="32"/>
  <c r="W679" i="32"/>
  <c r="W678" i="32" s="1"/>
  <c r="V681" i="32"/>
  <c r="U681" i="32"/>
  <c r="U678" i="32" s="1"/>
  <c r="T681" i="32"/>
  <c r="S681" i="32"/>
  <c r="S679" i="32"/>
  <c r="S678" i="32" s="1"/>
  <c r="Q681" i="32"/>
  <c r="AF679" i="32"/>
  <c r="AD679" i="32"/>
  <c r="AC679" i="32"/>
  <c r="AB679" i="32"/>
  <c r="Z679" i="32"/>
  <c r="Y679" i="32"/>
  <c r="Y678" i="32"/>
  <c r="Y677" i="32" s="1"/>
  <c r="X679" i="32"/>
  <c r="V679" i="32"/>
  <c r="U679" i="32"/>
  <c r="T679" i="32"/>
  <c r="Q679" i="32"/>
  <c r="AG671" i="32"/>
  <c r="Q671" i="32"/>
  <c r="AG666" i="32"/>
  <c r="AF666" i="32"/>
  <c r="AE666" i="32"/>
  <c r="AD666" i="32"/>
  <c r="AC666" i="32"/>
  <c r="AB666" i="32"/>
  <c r="AA666" i="32"/>
  <c r="Z666" i="32"/>
  <c r="Y666" i="32"/>
  <c r="X666" i="32"/>
  <c r="W666" i="32"/>
  <c r="V666" i="32"/>
  <c r="U666" i="32"/>
  <c r="T666" i="32"/>
  <c r="S666" i="32"/>
  <c r="Q666" i="32"/>
  <c r="Q663" i="32"/>
  <c r="V663" i="32" s="1"/>
  <c r="F663" i="32"/>
  <c r="Q662" i="32"/>
  <c r="E662" i="32"/>
  <c r="F662" i="32" s="1"/>
  <c r="Q661" i="32"/>
  <c r="V661" i="32" s="1"/>
  <c r="F661" i="32"/>
  <c r="Q659" i="32"/>
  <c r="V659" i="32" s="1"/>
  <c r="E659" i="32"/>
  <c r="F659" i="32" s="1"/>
  <c r="Q658" i="32"/>
  <c r="V658" i="32"/>
  <c r="E658" i="32"/>
  <c r="F658" i="32"/>
  <c r="Q657" i="32"/>
  <c r="V657" i="32"/>
  <c r="E657" i="32"/>
  <c r="F657" i="32"/>
  <c r="Q656" i="32"/>
  <c r="W656" i="32" s="1"/>
  <c r="E656" i="32"/>
  <c r="F656" i="32" s="1"/>
  <c r="Q655" i="32"/>
  <c r="W655" i="32"/>
  <c r="E655" i="32"/>
  <c r="F655" i="32"/>
  <c r="Q653" i="32"/>
  <c r="V653" i="32"/>
  <c r="F653" i="32"/>
  <c r="Q652" i="32"/>
  <c r="E652" i="32"/>
  <c r="F652" i="32" s="1"/>
  <c r="AF651" i="32"/>
  <c r="AF645" i="32"/>
  <c r="AF644" i="32" s="1"/>
  <c r="AE651" i="32"/>
  <c r="AD651" i="32"/>
  <c r="AC651" i="32"/>
  <c r="AB651" i="32"/>
  <c r="AB645" i="32"/>
  <c r="AB644" i="32" s="1"/>
  <c r="AA651" i="32"/>
  <c r="Z651" i="32"/>
  <c r="Y651" i="32"/>
  <c r="X651" i="32"/>
  <c r="X645" i="32"/>
  <c r="X644" i="32" s="1"/>
  <c r="T651" i="32"/>
  <c r="S651" i="32"/>
  <c r="Q648" i="32"/>
  <c r="F648" i="32"/>
  <c r="Q646" i="32"/>
  <c r="E646" i="32"/>
  <c r="F646" i="32"/>
  <c r="AE645" i="32"/>
  <c r="AD645" i="32"/>
  <c r="AC645" i="32"/>
  <c r="AC644" i="32" s="1"/>
  <c r="AA645" i="32"/>
  <c r="Z645" i="32"/>
  <c r="Y645" i="32"/>
  <c r="Y644" i="32"/>
  <c r="W645" i="32"/>
  <c r="V645" i="32"/>
  <c r="U645" i="32"/>
  <c r="S645" i="32"/>
  <c r="R644" i="32"/>
  <c r="Q641" i="32"/>
  <c r="Q642" i="32"/>
  <c r="G641" i="32"/>
  <c r="Q639" i="32"/>
  <c r="Q640" i="32"/>
  <c r="G639" i="32"/>
  <c r="Q637" i="32"/>
  <c r="Q638" i="32" s="1"/>
  <c r="G637" i="32"/>
  <c r="Q635" i="32"/>
  <c r="Q636" i="32"/>
  <c r="G635" i="32"/>
  <c r="P633" i="32"/>
  <c r="Q633" i="32"/>
  <c r="G633" i="32"/>
  <c r="Q632" i="32"/>
  <c r="G632" i="32"/>
  <c r="AF631" i="32"/>
  <c r="AE631" i="32"/>
  <c r="AD631" i="32"/>
  <c r="AC631" i="32"/>
  <c r="AB631" i="32"/>
  <c r="AA631" i="32"/>
  <c r="Z631" i="32"/>
  <c r="Y631" i="32"/>
  <c r="X631" i="32"/>
  <c r="W631" i="32"/>
  <c r="V631" i="32"/>
  <c r="U631" i="32"/>
  <c r="T631" i="32"/>
  <c r="S631" i="32"/>
  <c r="Q628" i="32"/>
  <c r="Q629" i="32"/>
  <c r="G628" i="32"/>
  <c r="Q626" i="32"/>
  <c r="Q627" i="32"/>
  <c r="G626" i="32"/>
  <c r="AF625" i="32"/>
  <c r="AE625" i="32"/>
  <c r="AD625" i="32"/>
  <c r="AC625" i="32"/>
  <c r="AB625" i="32"/>
  <c r="AA625" i="32"/>
  <c r="Z625" i="32"/>
  <c r="Y625" i="32"/>
  <c r="X625" i="32"/>
  <c r="W625" i="32"/>
  <c r="V625" i="32"/>
  <c r="U625" i="32"/>
  <c r="T625" i="32"/>
  <c r="S625" i="32"/>
  <c r="Q622" i="32"/>
  <c r="G622" i="32"/>
  <c r="G621" i="32"/>
  <c r="Q620" i="32"/>
  <c r="G620" i="32"/>
  <c r="Q619" i="32"/>
  <c r="G619" i="32"/>
  <c r="Q617" i="32"/>
  <c r="Q618" i="32" s="1"/>
  <c r="G617" i="32"/>
  <c r="Q616" i="32"/>
  <c r="G616" i="32"/>
  <c r="Q614" i="32"/>
  <c r="G614" i="32"/>
  <c r="Q613" i="32"/>
  <c r="Q615" i="32"/>
  <c r="G613" i="32"/>
  <c r="Q611" i="32"/>
  <c r="G611" i="32"/>
  <c r="AF610" i="32"/>
  <c r="AE610" i="32"/>
  <c r="AD610" i="32"/>
  <c r="AC610" i="32"/>
  <c r="AB610" i="32"/>
  <c r="AA610" i="32"/>
  <c r="Z610" i="32"/>
  <c r="Y610" i="32"/>
  <c r="X610" i="32"/>
  <c r="W610" i="32"/>
  <c r="V610" i="32"/>
  <c r="U610" i="32"/>
  <c r="T610" i="32"/>
  <c r="S610" i="32"/>
  <c r="Q607" i="32"/>
  <c r="G607" i="32"/>
  <c r="Q606" i="32"/>
  <c r="G606" i="32"/>
  <c r="Q605" i="32"/>
  <c r="G605" i="32"/>
  <c r="Q604" i="32"/>
  <c r="Q609" i="32" s="1"/>
  <c r="G604" i="32"/>
  <c r="AF603" i="32"/>
  <c r="AE603" i="32"/>
  <c r="AD603" i="32"/>
  <c r="AC603" i="32"/>
  <c r="AB603" i="32"/>
  <c r="AA603" i="32"/>
  <c r="Z603" i="32"/>
  <c r="Y603" i="32"/>
  <c r="X603" i="32"/>
  <c r="W603" i="32"/>
  <c r="V603" i="32"/>
  <c r="U603" i="32"/>
  <c r="T603" i="32"/>
  <c r="S603" i="32"/>
  <c r="Q600" i="32"/>
  <c r="G600" i="32"/>
  <c r="AF599" i="32"/>
  <c r="AE599" i="32"/>
  <c r="AD599" i="32"/>
  <c r="AC599" i="32"/>
  <c r="AB599" i="32"/>
  <c r="AA599" i="32"/>
  <c r="Z599" i="32"/>
  <c r="Y599" i="32"/>
  <c r="X599" i="32"/>
  <c r="W599" i="32"/>
  <c r="V599" i="32"/>
  <c r="U599" i="32"/>
  <c r="T599" i="32"/>
  <c r="S599" i="32"/>
  <c r="Q596" i="32"/>
  <c r="G596" i="32"/>
  <c r="AF595" i="32"/>
  <c r="AE595" i="32"/>
  <c r="AD595" i="32"/>
  <c r="AC595" i="32"/>
  <c r="AB595" i="32"/>
  <c r="AA595" i="32"/>
  <c r="Z595" i="32"/>
  <c r="Y595" i="32"/>
  <c r="X595" i="32"/>
  <c r="W595" i="32"/>
  <c r="V595" i="32"/>
  <c r="U595" i="32"/>
  <c r="T595" i="32"/>
  <c r="S595" i="32"/>
  <c r="Q592" i="32"/>
  <c r="G592" i="32"/>
  <c r="Q591" i="32"/>
  <c r="G591" i="32"/>
  <c r="Q590" i="32"/>
  <c r="G590" i="32"/>
  <c r="Q588" i="32"/>
  <c r="Q589" i="32"/>
  <c r="E588" i="32"/>
  <c r="G588" i="32"/>
  <c r="AF587" i="32"/>
  <c r="AE587" i="32"/>
  <c r="AD587" i="32"/>
  <c r="AC587" i="32"/>
  <c r="AB587" i="32"/>
  <c r="AA587" i="32"/>
  <c r="Z587" i="32"/>
  <c r="Y587" i="32"/>
  <c r="X587" i="32"/>
  <c r="W587" i="32"/>
  <c r="V587" i="32"/>
  <c r="U587" i="32"/>
  <c r="T587" i="32"/>
  <c r="S587" i="32"/>
  <c r="Q584" i="32"/>
  <c r="G584" i="32"/>
  <c r="Q583" i="32"/>
  <c r="G583" i="32"/>
  <c r="E582" i="32"/>
  <c r="G582" i="32" s="1"/>
  <c r="AF581" i="32"/>
  <c r="AE581" i="32"/>
  <c r="AD581" i="32"/>
  <c r="AC581" i="32"/>
  <c r="AB581" i="32"/>
  <c r="AA581" i="32"/>
  <c r="Z581" i="32"/>
  <c r="Y581" i="32"/>
  <c r="X581" i="32"/>
  <c r="W581" i="32"/>
  <c r="V581" i="32"/>
  <c r="U581" i="32"/>
  <c r="T581" i="32"/>
  <c r="S581" i="32"/>
  <c r="S580" i="32"/>
  <c r="R580" i="32"/>
  <c r="Q577" i="32"/>
  <c r="Y577" i="32"/>
  <c r="E577" i="32"/>
  <c r="G577" i="32" s="1"/>
  <c r="Q576" i="32"/>
  <c r="X576" i="32" s="1"/>
  <c r="E576" i="32"/>
  <c r="G576" i="32" s="1"/>
  <c r="Q575" i="32"/>
  <c r="X575" i="32" s="1"/>
  <c r="E575" i="32"/>
  <c r="G575" i="32"/>
  <c r="Q574" i="32"/>
  <c r="X574" i="32"/>
  <c r="E574" i="32"/>
  <c r="G574" i="32" s="1"/>
  <c r="Q573" i="32"/>
  <c r="Y573" i="32" s="1"/>
  <c r="W573" i="32"/>
  <c r="E573" i="32"/>
  <c r="G573" i="32" s="1"/>
  <c r="P571" i="32"/>
  <c r="Q571" i="32" s="1"/>
  <c r="W571" i="32" s="1"/>
  <c r="E571" i="32"/>
  <c r="G571" i="32" s="1"/>
  <c r="Q570" i="32"/>
  <c r="Y570" i="32"/>
  <c r="E570" i="32"/>
  <c r="G570" i="32"/>
  <c r="Q569" i="32"/>
  <c r="X569" i="32"/>
  <c r="E569" i="32"/>
  <c r="G569" i="32"/>
  <c r="Q568" i="32"/>
  <c r="U568" i="32" s="1"/>
  <c r="E568" i="32"/>
  <c r="G568" i="32" s="1"/>
  <c r="P567" i="32"/>
  <c r="Q567" i="32"/>
  <c r="E567" i="32"/>
  <c r="G567" i="32"/>
  <c r="Q566" i="32"/>
  <c r="W566" i="32"/>
  <c r="E566" i="32"/>
  <c r="G566" i="32"/>
  <c r="Q565" i="32"/>
  <c r="W565" i="32" s="1"/>
  <c r="E565" i="32"/>
  <c r="G565" i="32" s="1"/>
  <c r="Q564" i="32"/>
  <c r="W564" i="32"/>
  <c r="E564" i="32"/>
  <c r="G564" i="32"/>
  <c r="Q563" i="32"/>
  <c r="W563" i="32"/>
  <c r="E563" i="32"/>
  <c r="G563" i="32"/>
  <c r="Q561" i="32"/>
  <c r="W561" i="32" s="1"/>
  <c r="E561" i="32"/>
  <c r="G561" i="32" s="1"/>
  <c r="Q560" i="32"/>
  <c r="E560" i="32"/>
  <c r="G560" i="32" s="1"/>
  <c r="Q558" i="32"/>
  <c r="Q559" i="32" s="1"/>
  <c r="E558" i="32"/>
  <c r="G558" i="32" s="1"/>
  <c r="Q556" i="32"/>
  <c r="Q557" i="32" s="1"/>
  <c r="E556" i="32"/>
  <c r="G556" i="32"/>
  <c r="Q554" i="32"/>
  <c r="E554" i="32"/>
  <c r="G554" i="32"/>
  <c r="Q552" i="32"/>
  <c r="Q553" i="32"/>
  <c r="E552" i="32"/>
  <c r="G552" i="32"/>
  <c r="Q550" i="32"/>
  <c r="U550" i="32"/>
  <c r="E550" i="32"/>
  <c r="G550" i="32" s="1"/>
  <c r="AF549" i="32"/>
  <c r="AE549" i="32"/>
  <c r="AD549" i="32"/>
  <c r="AC549" i="32"/>
  <c r="AB549" i="32"/>
  <c r="AA549" i="32"/>
  <c r="Z549" i="32"/>
  <c r="V549" i="32"/>
  <c r="T549" i="32"/>
  <c r="S549" i="32"/>
  <c r="Q546" i="32"/>
  <c r="W546" i="32" s="1"/>
  <c r="E546" i="32"/>
  <c r="G546" i="32" s="1"/>
  <c r="Q545" i="32"/>
  <c r="W545" i="32"/>
  <c r="E545" i="32"/>
  <c r="G545" i="32"/>
  <c r="Q543" i="32"/>
  <c r="W543" i="32"/>
  <c r="E543" i="32"/>
  <c r="G543" i="32"/>
  <c r="Q542" i="32"/>
  <c r="W542" i="32" s="1"/>
  <c r="E542" i="32"/>
  <c r="G542" i="32" s="1"/>
  <c r="Q541" i="32"/>
  <c r="E541" i="32"/>
  <c r="G541" i="32"/>
  <c r="AF540" i="32"/>
  <c r="AE540" i="32"/>
  <c r="AD540" i="32"/>
  <c r="AC540" i="32"/>
  <c r="AC522" i="32"/>
  <c r="AC521" i="32"/>
  <c r="AB540" i="32"/>
  <c r="AA540" i="32"/>
  <c r="Z540" i="32"/>
  <c r="Y540" i="32"/>
  <c r="X540" i="32"/>
  <c r="V540" i="32"/>
  <c r="U540" i="32"/>
  <c r="T540" i="32"/>
  <c r="T522" i="32"/>
  <c r="T521" i="32" s="1"/>
  <c r="S540" i="32"/>
  <c r="Q537" i="32"/>
  <c r="W537" i="32" s="1"/>
  <c r="W522" i="32" s="1"/>
  <c r="E537" i="32"/>
  <c r="G537" i="32" s="1"/>
  <c r="Q536" i="32"/>
  <c r="W536" i="32"/>
  <c r="E536" i="32"/>
  <c r="G536" i="32" s="1"/>
  <c r="Q535" i="32"/>
  <c r="E535" i="32"/>
  <c r="G535" i="32"/>
  <c r="Q533" i="32"/>
  <c r="V533" i="32" s="1"/>
  <c r="E533" i="32"/>
  <c r="G533" i="32" s="1"/>
  <c r="Q532" i="32"/>
  <c r="V532" i="32"/>
  <c r="E532" i="32"/>
  <c r="G532" i="32"/>
  <c r="Q531" i="32"/>
  <c r="U531" i="32"/>
  <c r="E531" i="32"/>
  <c r="G531" i="32"/>
  <c r="Q530" i="32"/>
  <c r="U530" i="32" s="1"/>
  <c r="E530" i="32"/>
  <c r="G530" i="32" s="1"/>
  <c r="P529" i="32"/>
  <c r="Q529" i="32"/>
  <c r="U529" i="32"/>
  <c r="E529" i="32"/>
  <c r="G529" i="32" s="1"/>
  <c r="Q528" i="32"/>
  <c r="U528" i="32" s="1"/>
  <c r="E528" i="32"/>
  <c r="G528" i="32" s="1"/>
  <c r="Q527" i="32"/>
  <c r="U527" i="32"/>
  <c r="E527" i="32"/>
  <c r="G527" i="32" s="1"/>
  <c r="Q526" i="32"/>
  <c r="U526" i="32"/>
  <c r="E526" i="32"/>
  <c r="G526" i="32" s="1"/>
  <c r="Q525" i="32"/>
  <c r="E525" i="32"/>
  <c r="G525" i="32"/>
  <c r="P523" i="32"/>
  <c r="Q523" i="32" s="1"/>
  <c r="U523" i="32" s="1"/>
  <c r="E523" i="32"/>
  <c r="G523" i="32"/>
  <c r="AF522" i="32"/>
  <c r="AE522" i="32"/>
  <c r="AD522" i="32"/>
  <c r="AB522" i="32"/>
  <c r="AA522" i="32"/>
  <c r="Z522" i="32"/>
  <c r="Z521" i="32" s="1"/>
  <c r="Y522" i="32"/>
  <c r="X522" i="32"/>
  <c r="S522" i="32"/>
  <c r="R521" i="32"/>
  <c r="Q517" i="32"/>
  <c r="Q519" i="32" s="1"/>
  <c r="E517" i="32"/>
  <c r="G517" i="32" s="1"/>
  <c r="W516" i="32"/>
  <c r="E516" i="32"/>
  <c r="G516" i="32"/>
  <c r="AF515" i="32"/>
  <c r="AE515" i="32"/>
  <c r="AD515" i="32"/>
  <c r="AC515" i="32"/>
  <c r="AB515" i="32"/>
  <c r="AA515" i="32"/>
  <c r="Z515" i="32"/>
  <c r="Y515" i="32"/>
  <c r="X515" i="32"/>
  <c r="W515" i="32"/>
  <c r="V515" i="32"/>
  <c r="U515" i="32"/>
  <c r="T515" i="32"/>
  <c r="S515" i="32"/>
  <c r="Q512" i="32"/>
  <c r="G512" i="32"/>
  <c r="Q511" i="32"/>
  <c r="G511" i="32"/>
  <c r="Q510" i="32"/>
  <c r="G510" i="32"/>
  <c r="Q508" i="32"/>
  <c r="G508" i="32"/>
  <c r="Q507" i="32"/>
  <c r="G507" i="32"/>
  <c r="AF506" i="32"/>
  <c r="AE506" i="32"/>
  <c r="AD506" i="32"/>
  <c r="AC506" i="32"/>
  <c r="AB506" i="32"/>
  <c r="AA506" i="32"/>
  <c r="Z506" i="32"/>
  <c r="Z458" i="32" s="1"/>
  <c r="Y506" i="32"/>
  <c r="X506" i="32"/>
  <c r="W506" i="32"/>
  <c r="V506" i="32"/>
  <c r="U506" i="32"/>
  <c r="T506" i="32"/>
  <c r="S506" i="32"/>
  <c r="Q503" i="32"/>
  <c r="G503" i="32"/>
  <c r="Q502" i="32"/>
  <c r="G502" i="32"/>
  <c r="Q501" i="32"/>
  <c r="G501" i="32"/>
  <c r="Q500" i="32"/>
  <c r="G500" i="32"/>
  <c r="Q498" i="32"/>
  <c r="G498" i="32"/>
  <c r="Q497" i="32"/>
  <c r="G497" i="32"/>
  <c r="AF496" i="32"/>
  <c r="AE496" i="32"/>
  <c r="AD496" i="32"/>
  <c r="AC496" i="32"/>
  <c r="AB496" i="32"/>
  <c r="AA496" i="32"/>
  <c r="Z496" i="32"/>
  <c r="Y496" i="32"/>
  <c r="X496" i="32"/>
  <c r="W496" i="32"/>
  <c r="V496" i="32"/>
  <c r="U496" i="32"/>
  <c r="T496" i="32"/>
  <c r="S496" i="32"/>
  <c r="Q493" i="32"/>
  <c r="G493" i="32"/>
  <c r="Q492" i="32"/>
  <c r="G492" i="32"/>
  <c r="Q491" i="32"/>
  <c r="G491" i="32"/>
  <c r="Q490" i="32"/>
  <c r="G490" i="32"/>
  <c r="Q489" i="32"/>
  <c r="G489" i="32"/>
  <c r="Q488" i="32"/>
  <c r="G488" i="32"/>
  <c r="Q487" i="32"/>
  <c r="G487" i="32"/>
  <c r="Q486" i="32"/>
  <c r="G486" i="32"/>
  <c r="Q484" i="32"/>
  <c r="G484" i="32"/>
  <c r="Q483" i="32"/>
  <c r="G483" i="32"/>
  <c r="Q482" i="32"/>
  <c r="G482" i="32"/>
  <c r="Q481" i="32"/>
  <c r="G481" i="32"/>
  <c r="Q480" i="32"/>
  <c r="Q485" i="32"/>
  <c r="G480" i="32"/>
  <c r="AF479" i="32"/>
  <c r="AE479" i="32"/>
  <c r="AD479" i="32"/>
  <c r="AC479" i="32"/>
  <c r="AB479" i="32"/>
  <c r="AA479" i="32"/>
  <c r="Z479" i="32"/>
  <c r="Y479" i="32"/>
  <c r="X479" i="32"/>
  <c r="W479" i="32"/>
  <c r="V479" i="32"/>
  <c r="U479" i="32"/>
  <c r="T479" i="32"/>
  <c r="S479" i="32"/>
  <c r="P476" i="32"/>
  <c r="Q476" i="32" s="1"/>
  <c r="E476" i="32"/>
  <c r="G476" i="32"/>
  <c r="P475" i="32"/>
  <c r="Q475" i="32"/>
  <c r="E475" i="32"/>
  <c r="G475" i="32"/>
  <c r="P474" i="32"/>
  <c r="Q474" i="32"/>
  <c r="G474" i="32"/>
  <c r="Q472" i="32"/>
  <c r="G472" i="32"/>
  <c r="P471" i="32"/>
  <c r="Q471" i="32" s="1"/>
  <c r="E471" i="32"/>
  <c r="G471" i="32" s="1"/>
  <c r="P470" i="32"/>
  <c r="Q470" i="32"/>
  <c r="Q473" i="32"/>
  <c r="G470" i="32"/>
  <c r="AF469" i="32"/>
  <c r="AE469" i="32"/>
  <c r="AD469" i="32"/>
  <c r="AD458" i="32" s="1"/>
  <c r="AD459" i="32"/>
  <c r="AC469" i="32"/>
  <c r="AB469" i="32"/>
  <c r="AA469" i="32"/>
  <c r="Z469" i="32"/>
  <c r="Z459" i="32"/>
  <c r="Y469" i="32"/>
  <c r="X469" i="32"/>
  <c r="W469" i="32"/>
  <c r="V469" i="32"/>
  <c r="V458" i="32" s="1"/>
  <c r="V459" i="32"/>
  <c r="U469" i="32"/>
  <c r="T469" i="32"/>
  <c r="S469" i="32"/>
  <c r="Q466" i="32"/>
  <c r="E466" i="32"/>
  <c r="G466" i="32"/>
  <c r="Q465" i="32"/>
  <c r="E465" i="32"/>
  <c r="G465" i="32"/>
  <c r="Q464" i="32"/>
  <c r="E464" i="32"/>
  <c r="G464" i="32"/>
  <c r="Q462" i="32"/>
  <c r="Q461" i="32"/>
  <c r="E461" i="32"/>
  <c r="G461" i="32"/>
  <c r="Q460" i="32"/>
  <c r="Q463" i="32"/>
  <c r="G460" i="32"/>
  <c r="AF459" i="32"/>
  <c r="AE459" i="32"/>
  <c r="AC459" i="32"/>
  <c r="AC458" i="32" s="1"/>
  <c r="AB459" i="32"/>
  <c r="AA459" i="32"/>
  <c r="AA458" i="32" s="1"/>
  <c r="Y459" i="32"/>
  <c r="Y423" i="32"/>
  <c r="Y422" i="32"/>
  <c r="X459" i="32"/>
  <c r="W459" i="32"/>
  <c r="U459" i="32"/>
  <c r="T459" i="32"/>
  <c r="S459" i="32"/>
  <c r="Q455" i="32"/>
  <c r="X455" i="32"/>
  <c r="G455" i="32"/>
  <c r="Q454" i="32"/>
  <c r="U454" i="32"/>
  <c r="G454" i="32"/>
  <c r="P453" i="32"/>
  <c r="Q453" i="32"/>
  <c r="X453" i="32"/>
  <c r="G453" i="32"/>
  <c r="P452" i="32"/>
  <c r="Q452" i="32" s="1"/>
  <c r="W452" i="32" s="1"/>
  <c r="G452" i="32"/>
  <c r="Q451" i="32"/>
  <c r="U451" i="32"/>
  <c r="G451" i="32"/>
  <c r="Q450" i="32"/>
  <c r="W450" i="32"/>
  <c r="G450" i="32"/>
  <c r="P449" i="32"/>
  <c r="Q449" i="32"/>
  <c r="W449" i="32"/>
  <c r="G449" i="32"/>
  <c r="P448" i="32"/>
  <c r="Q448" i="32"/>
  <c r="W448" i="32" s="1"/>
  <c r="G448" i="32"/>
  <c r="Q447" i="32"/>
  <c r="W447" i="32"/>
  <c r="G447" i="32"/>
  <c r="Q446" i="32"/>
  <c r="V446" i="32"/>
  <c r="G446" i="32"/>
  <c r="Q445" i="32"/>
  <c r="U445" i="32"/>
  <c r="G445" i="32"/>
  <c r="P444" i="32"/>
  <c r="Q444" i="32" s="1"/>
  <c r="V444" i="32" s="1"/>
  <c r="G444" i="32"/>
  <c r="P443" i="32"/>
  <c r="Q443" i="32"/>
  <c r="V443" i="32"/>
  <c r="G443" i="32"/>
  <c r="Q442" i="32"/>
  <c r="V442" i="32"/>
  <c r="G442" i="32"/>
  <c r="Q441" i="32"/>
  <c r="V441" i="32"/>
  <c r="G441" i="32"/>
  <c r="P440" i="32"/>
  <c r="Q440" i="32"/>
  <c r="V440" i="32" s="1"/>
  <c r="G440" i="32"/>
  <c r="P439" i="32"/>
  <c r="Q439" i="32"/>
  <c r="G439" i="32"/>
  <c r="Q437" i="32"/>
  <c r="V437" i="32"/>
  <c r="G437" i="32"/>
  <c r="Q436" i="32"/>
  <c r="V436" i="32" s="1"/>
  <c r="G436" i="32"/>
  <c r="Q435" i="32"/>
  <c r="V435" i="32"/>
  <c r="G435" i="32"/>
  <c r="Q434" i="32"/>
  <c r="U434" i="32"/>
  <c r="G434" i="32"/>
  <c r="Q433" i="32"/>
  <c r="U433" i="32"/>
  <c r="G433" i="32"/>
  <c r="Q432" i="32"/>
  <c r="U432" i="32" s="1"/>
  <c r="G432" i="32"/>
  <c r="Q431" i="32"/>
  <c r="U431" i="32"/>
  <c r="G431" i="32"/>
  <c r="Q430" i="32"/>
  <c r="U430" i="32"/>
  <c r="G430" i="32"/>
  <c r="Q429" i="32"/>
  <c r="U429" i="32"/>
  <c r="G429" i="32"/>
  <c r="Q427" i="32"/>
  <c r="U427" i="32" s="1"/>
  <c r="G427" i="32"/>
  <c r="Q426" i="32"/>
  <c r="G426" i="32"/>
  <c r="Q424" i="32"/>
  <c r="X424" i="32" s="1"/>
  <c r="Q425" i="32"/>
  <c r="E424" i="32"/>
  <c r="G424" i="32"/>
  <c r="AF423" i="32"/>
  <c r="AF422" i="32"/>
  <c r="AE423" i="32"/>
  <c r="AE422" i="32" s="1"/>
  <c r="AD423" i="32"/>
  <c r="AC423" i="32"/>
  <c r="AC422" i="32"/>
  <c r="AB423" i="32"/>
  <c r="AB422" i="32"/>
  <c r="AA423" i="32"/>
  <c r="AA422" i="32" s="1"/>
  <c r="Z423" i="32"/>
  <c r="T423" i="32"/>
  <c r="T422" i="32"/>
  <c r="S423" i="32"/>
  <c r="S422" i="32"/>
  <c r="AD422" i="32"/>
  <c r="Z422" i="32"/>
  <c r="R422" i="32"/>
  <c r="R421" i="32"/>
  <c r="Q418" i="32"/>
  <c r="G418" i="32"/>
  <c r="AF417" i="32"/>
  <c r="AE417" i="32"/>
  <c r="AD417" i="32"/>
  <c r="AC417" i="32"/>
  <c r="AB417" i="32"/>
  <c r="AA417" i="32"/>
  <c r="Z417" i="32"/>
  <c r="Y417" i="32"/>
  <c r="X417" i="32"/>
  <c r="W417" i="32"/>
  <c r="U417" i="32"/>
  <c r="T417" i="32"/>
  <c r="S417" i="32"/>
  <c r="Q414" i="32"/>
  <c r="U414" i="32"/>
  <c r="U413" i="32"/>
  <c r="G414" i="32"/>
  <c r="AF413" i="32"/>
  <c r="AE413" i="32"/>
  <c r="AD413" i="32"/>
  <c r="AC413" i="32"/>
  <c r="AB413" i="32"/>
  <c r="AA413" i="32"/>
  <c r="Z413" i="32"/>
  <c r="Y413" i="32"/>
  <c r="X413" i="32"/>
  <c r="W413" i="32"/>
  <c r="V413" i="32"/>
  <c r="T413" i="32"/>
  <c r="S413" i="32"/>
  <c r="Q410" i="32"/>
  <c r="Q411" i="32"/>
  <c r="G410" i="32"/>
  <c r="Q408" i="32"/>
  <c r="G408" i="32"/>
  <c r="AF407" i="32"/>
  <c r="AE407" i="32"/>
  <c r="AD407" i="32"/>
  <c r="AC407" i="32"/>
  <c r="AB407" i="32"/>
  <c r="AA407" i="32"/>
  <c r="Z407" i="32"/>
  <c r="Y407" i="32"/>
  <c r="X407" i="32"/>
  <c r="W407" i="32"/>
  <c r="V407" i="32"/>
  <c r="T407" i="32"/>
  <c r="S407" i="32"/>
  <c r="Q404" i="32"/>
  <c r="V404" i="32" s="1"/>
  <c r="G404" i="32"/>
  <c r="Q403" i="32"/>
  <c r="G403" i="32"/>
  <c r="Q401" i="32"/>
  <c r="G401" i="32"/>
  <c r="AF400" i="32"/>
  <c r="AE400" i="32"/>
  <c r="AE395" i="32"/>
  <c r="AE394" i="32" s="1"/>
  <c r="AD400" i="32"/>
  <c r="AC400" i="32"/>
  <c r="AB400" i="32"/>
  <c r="AA400" i="32"/>
  <c r="Z400" i="32"/>
  <c r="Y400" i="32"/>
  <c r="X400" i="32"/>
  <c r="W400" i="32"/>
  <c r="U400" i="32"/>
  <c r="T400" i="32"/>
  <c r="S400" i="32"/>
  <c r="Q397" i="32"/>
  <c r="U397" i="32"/>
  <c r="G397" i="32"/>
  <c r="Q396" i="32"/>
  <c r="G396" i="32"/>
  <c r="AF395" i="32"/>
  <c r="AD395" i="32"/>
  <c r="AC395" i="32"/>
  <c r="AB395" i="32"/>
  <c r="AA395" i="32"/>
  <c r="Z395" i="32"/>
  <c r="Y395" i="32"/>
  <c r="X395" i="32"/>
  <c r="W395" i="32"/>
  <c r="V395" i="32"/>
  <c r="T395" i="32"/>
  <c r="S395" i="32"/>
  <c r="Q391" i="32"/>
  <c r="X391" i="32"/>
  <c r="Q389" i="32"/>
  <c r="AF388" i="32"/>
  <c r="AE388" i="32"/>
  <c r="AD388" i="32"/>
  <c r="AC388" i="32"/>
  <c r="AB388" i="32"/>
  <c r="AA388" i="32"/>
  <c r="Z388" i="32"/>
  <c r="W388" i="32"/>
  <c r="V388" i="32"/>
  <c r="U388" i="32"/>
  <c r="T388" i="32"/>
  <c r="S388" i="32"/>
  <c r="Q385" i="32"/>
  <c r="Q384" i="32"/>
  <c r="Q383" i="32"/>
  <c r="Q382" i="32"/>
  <c r="Q380" i="32"/>
  <c r="Q379" i="32"/>
  <c r="Q378" i="32"/>
  <c r="Q377" i="32"/>
  <c r="Q376" i="32"/>
  <c r="Q375" i="32"/>
  <c r="Q374" i="32"/>
  <c r="Q373" i="32"/>
  <c r="G373" i="32"/>
  <c r="Q372" i="32"/>
  <c r="Q370" i="32"/>
  <c r="G370" i="32"/>
  <c r="Q369" i="32"/>
  <c r="U369" i="32"/>
  <c r="U366" i="32"/>
  <c r="G369" i="32"/>
  <c r="Q367" i="32"/>
  <c r="AF366" i="32"/>
  <c r="AE366" i="32"/>
  <c r="AD366" i="32"/>
  <c r="AC366" i="32"/>
  <c r="AB366" i="32"/>
  <c r="AA366" i="32"/>
  <c r="Z366" i="32"/>
  <c r="Y366" i="32"/>
  <c r="X366" i="32"/>
  <c r="W366" i="32"/>
  <c r="V366" i="32"/>
  <c r="S366" i="32"/>
  <c r="Q363" i="32"/>
  <c r="Q362" i="32"/>
  <c r="Q364" i="32"/>
  <c r="G362" i="32"/>
  <c r="A362" i="32"/>
  <c r="Q360" i="32"/>
  <c r="Q359" i="32"/>
  <c r="G359" i="32"/>
  <c r="A359" i="32"/>
  <c r="Q358" i="32"/>
  <c r="Q361" i="32" s="1"/>
  <c r="Q357" i="32"/>
  <c r="Q356" i="32"/>
  <c r="Q354" i="32"/>
  <c r="E354" i="32"/>
  <c r="Q353" i="32"/>
  <c r="E353" i="32"/>
  <c r="A353" i="32"/>
  <c r="A354" i="32"/>
  <c r="Q351" i="32"/>
  <c r="G351" i="32"/>
  <c r="Q350" i="32"/>
  <c r="G350" i="32"/>
  <c r="A350" i="32"/>
  <c r="AF349" i="32"/>
  <c r="AE349" i="32"/>
  <c r="AD349" i="32"/>
  <c r="AC349" i="32"/>
  <c r="AB349" i="32"/>
  <c r="AA349" i="32"/>
  <c r="Z349" i="32"/>
  <c r="Y349" i="32"/>
  <c r="X349" i="32"/>
  <c r="W349" i="32"/>
  <c r="V349" i="32"/>
  <c r="U349" i="32"/>
  <c r="T349" i="32"/>
  <c r="S349" i="32"/>
  <c r="Q346" i="32"/>
  <c r="Q347" i="32"/>
  <c r="Q344" i="32"/>
  <c r="Q343" i="32"/>
  <c r="Q342" i="32"/>
  <c r="Q341" i="32"/>
  <c r="A341" i="32"/>
  <c r="A342" i="32"/>
  <c r="A344" i="32" s="1"/>
  <c r="A346" i="32" s="1"/>
  <c r="Q340" i="32"/>
  <c r="G340" i="32"/>
  <c r="Q338" i="32"/>
  <c r="Q337" i="32"/>
  <c r="Q336" i="32"/>
  <c r="G336" i="32"/>
  <c r="F336" i="32"/>
  <c r="A336" i="32"/>
  <c r="AF335" i="32"/>
  <c r="AE335" i="32"/>
  <c r="AD335" i="32"/>
  <c r="AC335" i="32"/>
  <c r="AB335" i="32"/>
  <c r="AA335" i="32"/>
  <c r="Z335" i="32"/>
  <c r="Y335" i="32"/>
  <c r="X335" i="32"/>
  <c r="W335" i="32"/>
  <c r="V335" i="32"/>
  <c r="U335" i="32"/>
  <c r="T335" i="32"/>
  <c r="S335" i="32"/>
  <c r="R334" i="32"/>
  <c r="Q331" i="32"/>
  <c r="V331" i="32"/>
  <c r="G331" i="32"/>
  <c r="Q330" i="32"/>
  <c r="V330" i="32"/>
  <c r="G330" i="32"/>
  <c r="Q329" i="32"/>
  <c r="V329" i="32"/>
  <c r="G329" i="32"/>
  <c r="Q328" i="32"/>
  <c r="U328" i="32"/>
  <c r="G328" i="32"/>
  <c r="Q327" i="32"/>
  <c r="U327" i="32"/>
  <c r="G327" i="32"/>
  <c r="Q326" i="32"/>
  <c r="U326" i="32"/>
  <c r="G326" i="32"/>
  <c r="Q325" i="32"/>
  <c r="U325" i="32"/>
  <c r="G325" i="32"/>
  <c r="Q323" i="32"/>
  <c r="U323" i="32"/>
  <c r="G323" i="32"/>
  <c r="Q322" i="32"/>
  <c r="U322" i="32"/>
  <c r="G322" i="32"/>
  <c r="Q321" i="32"/>
  <c r="U321" i="32"/>
  <c r="G321" i="32"/>
  <c r="Q320" i="32"/>
  <c r="V320" i="32"/>
  <c r="G320" i="32"/>
  <c r="Q319" i="32"/>
  <c r="V319" i="32"/>
  <c r="G319" i="32"/>
  <c r="Q318" i="32"/>
  <c r="V318" i="32"/>
  <c r="G318" i="32"/>
  <c r="Q317" i="32"/>
  <c r="G317" i="32"/>
  <c r="Q316" i="32"/>
  <c r="V316" i="32"/>
  <c r="G316" i="32"/>
  <c r="Q314" i="32"/>
  <c r="V314" i="32"/>
  <c r="G314" i="32"/>
  <c r="Q313" i="32"/>
  <c r="V313" i="32" s="1"/>
  <c r="G313" i="32"/>
  <c r="Q312" i="32"/>
  <c r="V312" i="32"/>
  <c r="G312" i="32"/>
  <c r="AF311" i="32"/>
  <c r="AE311" i="32"/>
  <c r="AD311" i="32"/>
  <c r="AC311" i="32"/>
  <c r="AB311" i="32"/>
  <c r="AA311" i="32"/>
  <c r="Z311" i="32"/>
  <c r="Y311" i="32"/>
  <c r="X311" i="32"/>
  <c r="W311" i="32"/>
  <c r="T311" i="32"/>
  <c r="S311" i="32"/>
  <c r="Q308" i="32"/>
  <c r="AA308" i="32"/>
  <c r="G308" i="32"/>
  <c r="Q307" i="32"/>
  <c r="AA307" i="32"/>
  <c r="G307" i="32"/>
  <c r="Q306" i="32"/>
  <c r="W306" i="32" s="1"/>
  <c r="G306" i="32"/>
  <c r="Q305" i="32"/>
  <c r="W305" i="32"/>
  <c r="G305" i="32"/>
  <c r="Q304" i="32"/>
  <c r="W304" i="32"/>
  <c r="G304" i="32"/>
  <c r="Q303" i="32"/>
  <c r="W303" i="32"/>
  <c r="G303" i="32"/>
  <c r="Q302" i="32"/>
  <c r="W302" i="32" s="1"/>
  <c r="G302" i="32"/>
  <c r="Q301" i="32"/>
  <c r="W301" i="32"/>
  <c r="G301" i="32"/>
  <c r="Q300" i="32"/>
  <c r="W300" i="32"/>
  <c r="G300" i="32"/>
  <c r="Q299" i="32"/>
  <c r="U299" i="32"/>
  <c r="G299" i="32"/>
  <c r="Q298" i="32"/>
  <c r="G298" i="32"/>
  <c r="Q296" i="32"/>
  <c r="U296" i="32"/>
  <c r="G296" i="32"/>
  <c r="Q295" i="32"/>
  <c r="U295" i="32"/>
  <c r="G295" i="32"/>
  <c r="Q294" i="32"/>
  <c r="U294" i="32" s="1"/>
  <c r="G294" i="32"/>
  <c r="Q293" i="32"/>
  <c r="U293" i="32" s="1"/>
  <c r="G293" i="32"/>
  <c r="Q292" i="32"/>
  <c r="G292" i="32"/>
  <c r="Q291" i="32"/>
  <c r="U291" i="32"/>
  <c r="G291" i="32"/>
  <c r="Q289" i="32"/>
  <c r="Q290" i="32" s="1"/>
  <c r="U289" i="32"/>
  <c r="G289" i="32"/>
  <c r="AF288" i="32"/>
  <c r="AE288" i="32"/>
  <c r="AD288" i="32"/>
  <c r="AC288" i="32"/>
  <c r="AB288" i="32"/>
  <c r="Z288" i="32"/>
  <c r="Y288" i="32"/>
  <c r="X288" i="32"/>
  <c r="V288" i="32"/>
  <c r="T288" i="32"/>
  <c r="S288" i="32"/>
  <c r="Q285" i="32"/>
  <c r="Y285" i="32"/>
  <c r="G285" i="32"/>
  <c r="Q284" i="32"/>
  <c r="Y284" i="32"/>
  <c r="G284" i="32"/>
  <c r="Q283" i="32"/>
  <c r="X283" i="32"/>
  <c r="G283" i="32"/>
  <c r="Q282" i="32"/>
  <c r="X282" i="32"/>
  <c r="G282" i="32"/>
  <c r="Q281" i="32"/>
  <c r="X281" i="32"/>
  <c r="G281" i="32"/>
  <c r="Q280" i="32"/>
  <c r="X280" i="32"/>
  <c r="G280" i="32"/>
  <c r="Q279" i="32"/>
  <c r="X279" i="32"/>
  <c r="G279" i="32"/>
  <c r="Q278" i="32"/>
  <c r="X278" i="32"/>
  <c r="G278" i="32"/>
  <c r="Q277" i="32"/>
  <c r="X277" i="32"/>
  <c r="G277" i="32"/>
  <c r="Q276" i="32"/>
  <c r="X276" i="32"/>
  <c r="G276" i="32"/>
  <c r="Q275" i="32"/>
  <c r="X275" i="32"/>
  <c r="G275" i="32"/>
  <c r="Q274" i="32"/>
  <c r="X274" i="32"/>
  <c r="G274" i="32"/>
  <c r="Q272" i="32"/>
  <c r="X272" i="32"/>
  <c r="G272" i="32"/>
  <c r="Q271" i="32"/>
  <c r="X271" i="32"/>
  <c r="G271" i="32"/>
  <c r="Q270" i="32"/>
  <c r="G270" i="32"/>
  <c r="Q268" i="32"/>
  <c r="Q269" i="32"/>
  <c r="G268" i="32"/>
  <c r="Q266" i="32"/>
  <c r="Q267" i="32" s="1"/>
  <c r="G266" i="32"/>
  <c r="Q264" i="32"/>
  <c r="Q265" i="32"/>
  <c r="G264" i="32"/>
  <c r="AF263" i="32"/>
  <c r="AE263" i="32"/>
  <c r="AD263" i="32"/>
  <c r="AC263" i="32"/>
  <c r="AB263" i="32"/>
  <c r="AA263" i="32"/>
  <c r="Z263" i="32"/>
  <c r="W263" i="32"/>
  <c r="V263" i="32"/>
  <c r="U263" i="32"/>
  <c r="T263" i="32"/>
  <c r="S263" i="32"/>
  <c r="Q261" i="32"/>
  <c r="W260" i="32"/>
  <c r="G260" i="32"/>
  <c r="W259" i="32"/>
  <c r="G259" i="32"/>
  <c r="Q257" i="32"/>
  <c r="G257" i="32"/>
  <c r="U256" i="32"/>
  <c r="G256" i="32"/>
  <c r="U255" i="32"/>
  <c r="G255" i="32"/>
  <c r="U254" i="32"/>
  <c r="G254" i="32"/>
  <c r="U253" i="32"/>
  <c r="G253" i="32"/>
  <c r="U252" i="32"/>
  <c r="G252" i="32"/>
  <c r="Q250" i="32"/>
  <c r="Q251" i="32" s="1"/>
  <c r="U250" i="32"/>
  <c r="G250" i="32"/>
  <c r="Q248" i="32"/>
  <c r="U248" i="32"/>
  <c r="G248" i="32"/>
  <c r="Q247" i="32"/>
  <c r="G247" i="32"/>
  <c r="AF246" i="32"/>
  <c r="AE246" i="32"/>
  <c r="AD246" i="32"/>
  <c r="AC246" i="32"/>
  <c r="AB246" i="32"/>
  <c r="AA246" i="32"/>
  <c r="Z246" i="32"/>
  <c r="Y246" i="32"/>
  <c r="X246" i="32"/>
  <c r="V246" i="32"/>
  <c r="T246" i="32"/>
  <c r="S246" i="32"/>
  <c r="Q243" i="32"/>
  <c r="U243" i="32"/>
  <c r="G243" i="32"/>
  <c r="Q242" i="32"/>
  <c r="U242" i="32"/>
  <c r="G242" i="32"/>
  <c r="Q241" i="32"/>
  <c r="U241" i="32" s="1"/>
  <c r="G241" i="32"/>
  <c r="Q240" i="32"/>
  <c r="U240" i="32"/>
  <c r="G240" i="32"/>
  <c r="Q239" i="32"/>
  <c r="G239" i="32"/>
  <c r="Q237" i="32"/>
  <c r="U237" i="32" s="1"/>
  <c r="G237" i="32"/>
  <c r="Q236" i="32"/>
  <c r="G236" i="32"/>
  <c r="Q234" i="32"/>
  <c r="G234" i="32"/>
  <c r="AF233" i="32"/>
  <c r="AE233" i="32"/>
  <c r="AD233" i="32"/>
  <c r="AC233" i="32"/>
  <c r="AB233" i="32"/>
  <c r="AA233" i="32"/>
  <c r="Z233" i="32"/>
  <c r="Y233" i="32"/>
  <c r="X233" i="32"/>
  <c r="W233" i="32"/>
  <c r="V233" i="32"/>
  <c r="T233" i="32"/>
  <c r="S233" i="32"/>
  <c r="R232" i="32"/>
  <c r="Q228" i="32"/>
  <c r="G228" i="32"/>
  <c r="Q227" i="32"/>
  <c r="G227" i="32"/>
  <c r="Q226" i="32"/>
  <c r="G226" i="32"/>
  <c r="Q225" i="32"/>
  <c r="G225" i="32"/>
  <c r="Q224" i="32"/>
  <c r="G224" i="32"/>
  <c r="Q223" i="32"/>
  <c r="G223" i="32"/>
  <c r="Q222" i="32"/>
  <c r="G222" i="32"/>
  <c r="Q221" i="32"/>
  <c r="G221" i="32"/>
  <c r="Q220" i="32"/>
  <c r="G220" i="32"/>
  <c r="Q219" i="32"/>
  <c r="G219" i="32"/>
  <c r="Q218" i="32"/>
  <c r="G218" i="32"/>
  <c r="Q217" i="32"/>
  <c r="G217" i="32"/>
  <c r="Q216" i="32"/>
  <c r="G216" i="32"/>
  <c r="Q215" i="32"/>
  <c r="G215" i="32"/>
  <c r="Q214" i="32"/>
  <c r="G214" i="32"/>
  <c r="Q213" i="32"/>
  <c r="G213" i="32"/>
  <c r="Q212" i="32"/>
  <c r="G212" i="32"/>
  <c r="Q211" i="32"/>
  <c r="G211" i="32"/>
  <c r="Q210" i="32"/>
  <c r="G210" i="32"/>
  <c r="Q209" i="32"/>
  <c r="G209" i="32"/>
  <c r="Q208" i="32"/>
  <c r="G208" i="32"/>
  <c r="Q207" i="32"/>
  <c r="G207" i="32"/>
  <c r="Q206" i="32"/>
  <c r="G206" i="32"/>
  <c r="Q205" i="32"/>
  <c r="G205" i="32"/>
  <c r="Q204" i="32"/>
  <c r="G204" i="32"/>
  <c r="Q203" i="32"/>
  <c r="G203" i="32"/>
  <c r="Q202" i="32"/>
  <c r="G202" i="32"/>
  <c r="Q201" i="32"/>
  <c r="G201" i="32"/>
  <c r="Q200" i="32"/>
  <c r="G200" i="32"/>
  <c r="Q199" i="32"/>
  <c r="G199" i="32"/>
  <c r="Q198" i="32"/>
  <c r="G198" i="32"/>
  <c r="Q197" i="32"/>
  <c r="G197" i="32"/>
  <c r="Q196" i="32"/>
  <c r="G196" i="32"/>
  <c r="Q195" i="32"/>
  <c r="G195" i="32"/>
  <c r="Q194" i="32"/>
  <c r="G194" i="32"/>
  <c r="Q193" i="32"/>
  <c r="G193" i="32"/>
  <c r="Q192" i="32"/>
  <c r="G192" i="32"/>
  <c r="Q191" i="32"/>
  <c r="G191" i="32"/>
  <c r="Q190" i="32"/>
  <c r="G190" i="32"/>
  <c r="Q189" i="32"/>
  <c r="G189" i="32"/>
  <c r="Q188" i="32"/>
  <c r="G188" i="32"/>
  <c r="Q187" i="32"/>
  <c r="G187" i="32"/>
  <c r="Q186" i="32"/>
  <c r="G186" i="32"/>
  <c r="Q185" i="32"/>
  <c r="G185" i="32"/>
  <c r="Q184" i="32"/>
  <c r="G184" i="32"/>
  <c r="Q183" i="32"/>
  <c r="G183" i="32"/>
  <c r="Q182" i="32"/>
  <c r="G182" i="32"/>
  <c r="Q181" i="32"/>
  <c r="G181" i="32"/>
  <c r="Q180" i="32"/>
  <c r="G180" i="32"/>
  <c r="Q178" i="32"/>
  <c r="Q177" i="32"/>
  <c r="Q176" i="32"/>
  <c r="Q175" i="32"/>
  <c r="Q174" i="32"/>
  <c r="Q173" i="32"/>
  <c r="Q172" i="32"/>
  <c r="Q171" i="32"/>
  <c r="Q170" i="32"/>
  <c r="Q169" i="32"/>
  <c r="G169" i="32"/>
  <c r="Q168" i="32"/>
  <c r="G168" i="32"/>
  <c r="Q167" i="32"/>
  <c r="G167" i="32"/>
  <c r="Q166" i="32"/>
  <c r="Q165" i="32"/>
  <c r="Q164" i="32"/>
  <c r="Q163" i="32"/>
  <c r="Q162" i="32"/>
  <c r="Q161" i="32"/>
  <c r="AF160" i="32"/>
  <c r="AE160" i="32"/>
  <c r="AD160" i="32"/>
  <c r="AC160" i="32"/>
  <c r="AB160" i="32"/>
  <c r="AB93" i="32"/>
  <c r="AB92" i="32"/>
  <c r="AA160" i="32"/>
  <c r="AA93" i="32"/>
  <c r="AA92" i="32" s="1"/>
  <c r="Z160" i="32"/>
  <c r="Y160" i="32"/>
  <c r="X160" i="32"/>
  <c r="X93" i="32"/>
  <c r="X92" i="32"/>
  <c r="W160" i="32"/>
  <c r="W92" i="32" s="1"/>
  <c r="W93" i="32"/>
  <c r="V160" i="32"/>
  <c r="U160" i="32"/>
  <c r="T160" i="32"/>
  <c r="T93" i="32"/>
  <c r="T92" i="32" s="1"/>
  <c r="S160" i="32"/>
  <c r="S93" i="32"/>
  <c r="S92" i="32"/>
  <c r="Q157" i="32"/>
  <c r="E157" i="32"/>
  <c r="Q156" i="32"/>
  <c r="E156" i="32"/>
  <c r="Q155" i="32"/>
  <c r="E155" i="32"/>
  <c r="Q154" i="32"/>
  <c r="E154" i="32"/>
  <c r="Q153" i="32"/>
  <c r="E153" i="32"/>
  <c r="Q152" i="32"/>
  <c r="E152" i="32"/>
  <c r="Q151" i="32"/>
  <c r="E151" i="32"/>
  <c r="Q150" i="32"/>
  <c r="E150" i="32"/>
  <c r="Q149" i="32"/>
  <c r="E149" i="32"/>
  <c r="Q148" i="32"/>
  <c r="G148" i="32"/>
  <c r="E148" i="32" s="1"/>
  <c r="Q147" i="32"/>
  <c r="G147" i="32"/>
  <c r="E147" i="32"/>
  <c r="Q146" i="32"/>
  <c r="G146" i="32"/>
  <c r="E146" i="32" s="1"/>
  <c r="Q145" i="32"/>
  <c r="G145" i="32"/>
  <c r="E145" i="32" s="1"/>
  <c r="Q144" i="32"/>
  <c r="G144" i="32"/>
  <c r="E144" i="32" s="1"/>
  <c r="Q143" i="32"/>
  <c r="G143" i="32"/>
  <c r="E143" i="32"/>
  <c r="Q142" i="32"/>
  <c r="G142" i="32"/>
  <c r="E142" i="32" s="1"/>
  <c r="Q141" i="32"/>
  <c r="E141" i="32"/>
  <c r="Q140" i="32"/>
  <c r="E140" i="32"/>
  <c r="Q139" i="32"/>
  <c r="E139" i="32"/>
  <c r="Q138" i="32"/>
  <c r="E138" i="32"/>
  <c r="Q137" i="32"/>
  <c r="E137" i="32"/>
  <c r="Q136" i="32"/>
  <c r="E136" i="32"/>
  <c r="Q135" i="32"/>
  <c r="E135" i="32"/>
  <c r="Q134" i="32"/>
  <c r="E134" i="32"/>
  <c r="Q133" i="32"/>
  <c r="E133" i="32"/>
  <c r="Q132" i="32"/>
  <c r="G132" i="32"/>
  <c r="E132" i="32"/>
  <c r="Q131" i="32"/>
  <c r="G131" i="32"/>
  <c r="E131" i="32" s="1"/>
  <c r="Q130" i="32"/>
  <c r="G130" i="32"/>
  <c r="E130" i="32" s="1"/>
  <c r="Q129" i="32"/>
  <c r="G129" i="32"/>
  <c r="E129" i="32" s="1"/>
  <c r="Q128" i="32"/>
  <c r="G128" i="32"/>
  <c r="E128" i="32"/>
  <c r="Q127" i="32"/>
  <c r="G127" i="32"/>
  <c r="E127" i="32" s="1"/>
  <c r="Q126" i="32"/>
  <c r="G126" i="32"/>
  <c r="E126" i="32" s="1"/>
  <c r="A126" i="32"/>
  <c r="A128" i="32" s="1"/>
  <c r="A129" i="32" s="1"/>
  <c r="A130" i="32" s="1"/>
  <c r="A131" i="32" s="1"/>
  <c r="A132" i="32" s="1"/>
  <c r="Q125" i="32"/>
  <c r="G125" i="32"/>
  <c r="E125" i="32" s="1"/>
  <c r="Q124" i="32"/>
  <c r="Q123" i="32"/>
  <c r="Q122" i="32"/>
  <c r="Q121" i="32"/>
  <c r="Q120" i="32"/>
  <c r="A120" i="32"/>
  <c r="A121" i="32"/>
  <c r="A122" i="32"/>
  <c r="Q119" i="32"/>
  <c r="Q118" i="32"/>
  <c r="Q117" i="32"/>
  <c r="F117" i="32"/>
  <c r="Q116" i="32"/>
  <c r="E116" i="32"/>
  <c r="E114" i="32"/>
  <c r="E113" i="32"/>
  <c r="Q112" i="32"/>
  <c r="E112" i="32"/>
  <c r="P111" i="32"/>
  <c r="Q111" i="32"/>
  <c r="E111" i="32"/>
  <c r="Q110" i="32"/>
  <c r="E110" i="32"/>
  <c r="Q109" i="32"/>
  <c r="E109" i="32"/>
  <c r="Q108" i="32"/>
  <c r="E108" i="32"/>
  <c r="Q107" i="32"/>
  <c r="E107" i="32"/>
  <c r="Q106" i="32"/>
  <c r="G106" i="32"/>
  <c r="E106" i="32"/>
  <c r="Q105" i="32"/>
  <c r="G105" i="32"/>
  <c r="E105" i="32"/>
  <c r="Q104" i="32"/>
  <c r="G104" i="32"/>
  <c r="E104" i="32"/>
  <c r="Q103" i="32"/>
  <c r="G103" i="32"/>
  <c r="E103" i="32" s="1"/>
  <c r="Q102" i="32"/>
  <c r="G102" i="32"/>
  <c r="E102" i="32"/>
  <c r="Q101" i="32"/>
  <c r="G101" i="32"/>
  <c r="E101" i="32"/>
  <c r="Q100" i="32"/>
  <c r="Q99" i="32"/>
  <c r="E99" i="32"/>
  <c r="Q98" i="32"/>
  <c r="E98" i="32"/>
  <c r="Q97" i="32"/>
  <c r="G97" i="32"/>
  <c r="E97" i="32"/>
  <c r="A97" i="32"/>
  <c r="Q96" i="32"/>
  <c r="Q95" i="32"/>
  <c r="Q94" i="32"/>
  <c r="F94" i="32"/>
  <c r="AF93" i="32"/>
  <c r="AE93" i="32"/>
  <c r="AE92" i="32" s="1"/>
  <c r="AD93" i="32"/>
  <c r="AD92" i="32" s="1"/>
  <c r="AC93" i="32"/>
  <c r="Z93" i="32"/>
  <c r="Z92" i="32"/>
  <c r="Y93" i="32"/>
  <c r="Y92" i="32"/>
  <c r="V93" i="32"/>
  <c r="V92" i="32" s="1"/>
  <c r="U93" i="32"/>
  <c r="U92" i="32" s="1"/>
  <c r="AF92" i="32"/>
  <c r="Q89" i="32"/>
  <c r="X89" i="32" s="1"/>
  <c r="G89" i="32"/>
  <c r="Q88" i="32"/>
  <c r="X88" i="32"/>
  <c r="G88" i="32"/>
  <c r="Q87" i="32"/>
  <c r="X87" i="32" s="1"/>
  <c r="G87" i="32"/>
  <c r="Q86" i="32"/>
  <c r="X86" i="32" s="1"/>
  <c r="G86" i="32"/>
  <c r="Q85" i="32"/>
  <c r="X85" i="32" s="1"/>
  <c r="G85" i="32"/>
  <c r="Q84" i="32"/>
  <c r="X84" i="32"/>
  <c r="G84" i="32"/>
  <c r="Q83" i="32"/>
  <c r="X83" i="32" s="1"/>
  <c r="G83" i="32"/>
  <c r="Q82" i="32"/>
  <c r="V82" i="32" s="1"/>
  <c r="G82" i="32"/>
  <c r="Q81" i="32"/>
  <c r="V81" i="32" s="1"/>
  <c r="G81" i="32"/>
  <c r="Q80" i="32"/>
  <c r="V80" i="32"/>
  <c r="G80" i="32"/>
  <c r="Q79" i="32"/>
  <c r="W79" i="32" s="1"/>
  <c r="G79" i="32"/>
  <c r="Q78" i="32"/>
  <c r="W78" i="32" s="1"/>
  <c r="G78" i="32"/>
  <c r="Q77" i="32"/>
  <c r="W77" i="32" s="1"/>
  <c r="G77" i="32"/>
  <c r="Q76" i="32"/>
  <c r="V76" i="32"/>
  <c r="G76" i="32"/>
  <c r="Q75" i="32"/>
  <c r="V75" i="32" s="1"/>
  <c r="G75" i="32"/>
  <c r="Q74" i="32"/>
  <c r="V74" i="32" s="1"/>
  <c r="G74" i="32"/>
  <c r="Q73" i="32"/>
  <c r="V73" i="32" s="1"/>
  <c r="G73" i="32"/>
  <c r="Q72" i="32"/>
  <c r="V72" i="32"/>
  <c r="G72" i="32"/>
  <c r="Q71" i="32"/>
  <c r="V71" i="32" s="1"/>
  <c r="G71" i="32"/>
  <c r="Q70" i="32"/>
  <c r="V70" i="32" s="1"/>
  <c r="G70" i="32"/>
  <c r="Q69" i="32"/>
  <c r="V69" i="32" s="1"/>
  <c r="G69" i="32"/>
  <c r="Q68" i="32"/>
  <c r="V68" i="32"/>
  <c r="G68" i="32"/>
  <c r="Q67" i="32"/>
  <c r="V67" i="32" s="1"/>
  <c r="G67" i="32"/>
  <c r="Q66" i="32"/>
  <c r="V66" i="32" s="1"/>
  <c r="G66" i="32"/>
  <c r="Q65" i="32"/>
  <c r="V65" i="32" s="1"/>
  <c r="G65" i="32"/>
  <c r="Q64" i="32"/>
  <c r="V64" i="32"/>
  <c r="G64" i="32"/>
  <c r="Q63" i="32"/>
  <c r="V63" i="32" s="1"/>
  <c r="G63" i="32"/>
  <c r="Q62" i="32"/>
  <c r="V62" i="32" s="1"/>
  <c r="G62" i="32"/>
  <c r="Q61" i="32"/>
  <c r="U61" i="32" s="1"/>
  <c r="G61" i="32"/>
  <c r="Q60" i="32"/>
  <c r="U60" i="32"/>
  <c r="G60" i="32"/>
  <c r="Q59" i="32"/>
  <c r="U59" i="32" s="1"/>
  <c r="G59" i="32"/>
  <c r="Q58" i="32"/>
  <c r="U58" i="32" s="1"/>
  <c r="G58" i="32"/>
  <c r="Q57" i="32"/>
  <c r="U57" i="32" s="1"/>
  <c r="G57" i="32"/>
  <c r="Q56" i="32"/>
  <c r="U56" i="32"/>
  <c r="G56" i="32"/>
  <c r="Q55" i="32"/>
  <c r="U55" i="32" s="1"/>
  <c r="G55" i="32"/>
  <c r="Q54" i="32"/>
  <c r="U54" i="32" s="1"/>
  <c r="G54" i="32"/>
  <c r="Q53" i="32"/>
  <c r="U53" i="32" s="1"/>
  <c r="G53" i="32"/>
  <c r="Q52" i="32"/>
  <c r="U52" i="32"/>
  <c r="G52" i="32"/>
  <c r="Q51" i="32"/>
  <c r="U51" i="32" s="1"/>
  <c r="G51" i="32"/>
  <c r="Q50" i="32"/>
  <c r="U50" i="32" s="1"/>
  <c r="G50" i="32"/>
  <c r="Q49" i="32"/>
  <c r="U49" i="32" s="1"/>
  <c r="G49" i="32"/>
  <c r="Q48" i="32"/>
  <c r="U48" i="32"/>
  <c r="G48" i="32"/>
  <c r="Q47" i="32"/>
  <c r="U47" i="32" s="1"/>
  <c r="G47" i="32"/>
  <c r="Q46" i="32"/>
  <c r="T46" i="32" s="1"/>
  <c r="G46" i="32"/>
  <c r="Q45" i="32"/>
  <c r="T45" i="32" s="1"/>
  <c r="G45" i="32"/>
  <c r="Q44" i="32"/>
  <c r="U44" i="32"/>
  <c r="G44" i="32"/>
  <c r="Q43" i="32"/>
  <c r="U43" i="32" s="1"/>
  <c r="G43" i="32"/>
  <c r="Q42" i="32"/>
  <c r="T42" i="32" s="1"/>
  <c r="G42" i="32"/>
  <c r="Q41" i="32"/>
  <c r="T41" i="32" s="1"/>
  <c r="G41" i="32"/>
  <c r="Q40" i="32"/>
  <c r="T40" i="32"/>
  <c r="G40" i="32"/>
  <c r="Q39" i="32"/>
  <c r="T39" i="32" s="1"/>
  <c r="G39" i="32"/>
  <c r="Q38" i="32"/>
  <c r="U38" i="32" s="1"/>
  <c r="G38" i="32"/>
  <c r="Q37" i="32"/>
  <c r="U37" i="32" s="1"/>
  <c r="G37" i="32"/>
  <c r="Q36" i="32"/>
  <c r="U36" i="32"/>
  <c r="G36" i="32"/>
  <c r="Q35" i="32"/>
  <c r="U35" i="32" s="1"/>
  <c r="G35" i="32"/>
  <c r="Q34" i="32"/>
  <c r="U34" i="32" s="1"/>
  <c r="G34" i="32"/>
  <c r="Q33" i="32"/>
  <c r="U33" i="32" s="1"/>
  <c r="G33" i="32"/>
  <c r="Q32" i="32"/>
  <c r="U32" i="32"/>
  <c r="G32" i="32"/>
  <c r="Q31" i="32"/>
  <c r="T31" i="32" s="1"/>
  <c r="G31" i="32"/>
  <c r="Q30" i="32"/>
  <c r="U30" i="32" s="1"/>
  <c r="G30" i="32"/>
  <c r="Q29" i="32"/>
  <c r="U29" i="32" s="1"/>
  <c r="G29" i="32"/>
  <c r="Q28" i="32"/>
  <c r="U28" i="32"/>
  <c r="G28" i="32"/>
  <c r="Q27" i="32"/>
  <c r="U27" i="32" s="1"/>
  <c r="G27" i="32"/>
  <c r="Q26" i="32"/>
  <c r="T26" i="32" s="1"/>
  <c r="G26" i="32"/>
  <c r="Q25" i="32"/>
  <c r="T25" i="32" s="1"/>
  <c r="G25" i="32"/>
  <c r="Q24" i="32"/>
  <c r="T24" i="32"/>
  <c r="G24" i="32"/>
  <c r="Q23" i="32"/>
  <c r="T23" i="32" s="1"/>
  <c r="G23" i="32"/>
  <c r="Q22" i="32"/>
  <c r="T22" i="32" s="1"/>
  <c r="G22" i="32"/>
  <c r="Q20" i="32"/>
  <c r="T20" i="32" s="1"/>
  <c r="G20" i="32"/>
  <c r="Q19" i="32"/>
  <c r="T19" i="32"/>
  <c r="G19" i="32"/>
  <c r="Q18" i="32"/>
  <c r="T18" i="32" s="1"/>
  <c r="G18" i="32"/>
  <c r="Q17" i="32"/>
  <c r="T17" i="32" s="1"/>
  <c r="G17" i="32"/>
  <c r="Q16" i="32"/>
  <c r="T16" i="32" s="1"/>
  <c r="G16" i="32"/>
  <c r="Q15" i="32"/>
  <c r="T15" i="32"/>
  <c r="G15" i="32"/>
  <c r="Q14" i="32"/>
  <c r="T14" i="32" s="1"/>
  <c r="G14" i="32"/>
  <c r="Q13" i="32"/>
  <c r="T13" i="32" s="1"/>
  <c r="G13" i="32"/>
  <c r="Q12" i="32"/>
  <c r="T12" i="32" s="1"/>
  <c r="G12" i="32"/>
  <c r="Q11" i="32"/>
  <c r="T11" i="32"/>
  <c r="G11" i="32"/>
  <c r="Q10" i="32"/>
  <c r="T10" i="32" s="1"/>
  <c r="G10" i="32"/>
  <c r="AF9" i="32"/>
  <c r="AF8" i="32" s="1"/>
  <c r="AE9" i="32"/>
  <c r="AE8" i="32" s="1"/>
  <c r="AD9" i="32"/>
  <c r="AD8" i="32" s="1"/>
  <c r="AC9" i="32"/>
  <c r="AB9" i="32"/>
  <c r="AB8" i="32" s="1"/>
  <c r="AA9" i="32"/>
  <c r="AA8" i="32"/>
  <c r="Z9" i="32"/>
  <c r="Z8" i="32"/>
  <c r="Y9" i="32"/>
  <c r="S9" i="32"/>
  <c r="S8" i="32" s="1"/>
  <c r="AC8" i="32"/>
  <c r="Y8" i="32"/>
  <c r="Y7" i="32"/>
  <c r="R8" i="32"/>
  <c r="R7" i="32"/>
  <c r="AG599" i="47"/>
  <c r="Q599" i="47"/>
  <c r="AG598" i="47"/>
  <c r="Q598" i="47"/>
  <c r="AG597" i="47"/>
  <c r="Q597" i="47"/>
  <c r="AG596" i="47"/>
  <c r="Q596" i="47"/>
  <c r="AG595" i="47"/>
  <c r="Q595" i="47"/>
  <c r="AG594" i="47"/>
  <c r="Q594" i="47"/>
  <c r="AG593" i="47"/>
  <c r="Q593" i="47"/>
  <c r="AG592" i="47"/>
  <c r="Q592" i="47"/>
  <c r="AG591" i="47"/>
  <c r="Q591" i="47"/>
  <c r="AG590" i="47"/>
  <c r="Q590" i="47"/>
  <c r="AG589" i="47"/>
  <c r="Q589" i="47"/>
  <c r="AG588" i="47"/>
  <c r="Q588" i="47"/>
  <c r="AG587" i="47"/>
  <c r="Q587" i="47"/>
  <c r="Q586" i="47"/>
  <c r="Q585" i="47" s="1"/>
  <c r="AG586" i="47"/>
  <c r="AF585" i="47"/>
  <c r="AE585" i="47"/>
  <c r="AD585" i="47"/>
  <c r="AD576" i="47" s="1"/>
  <c r="AC585" i="47"/>
  <c r="AB585" i="47"/>
  <c r="AB576" i="47" s="1"/>
  <c r="AA585" i="47"/>
  <c r="AA576" i="47" s="1"/>
  <c r="Z585" i="47"/>
  <c r="Y585" i="47"/>
  <c r="X585" i="47"/>
  <c r="W585" i="47"/>
  <c r="V585" i="47"/>
  <c r="U585" i="47"/>
  <c r="T585" i="47"/>
  <c r="S585" i="47"/>
  <c r="AG584" i="47"/>
  <c r="Q584" i="47"/>
  <c r="AG583" i="47"/>
  <c r="Q583" i="47"/>
  <c r="AG582" i="47"/>
  <c r="Q582" i="47"/>
  <c r="AG581" i="47"/>
  <c r="Q581" i="47"/>
  <c r="AG580" i="47"/>
  <c r="Q580" i="47"/>
  <c r="AG579" i="47"/>
  <c r="Q579" i="47"/>
  <c r="AG578" i="47"/>
  <c r="Q578" i="47"/>
  <c r="AF577" i="47"/>
  <c r="AF576" i="47" s="1"/>
  <c r="AE577" i="47"/>
  <c r="AE576" i="47" s="1"/>
  <c r="AD577" i="47"/>
  <c r="AC577" i="47"/>
  <c r="AC576" i="47" s="1"/>
  <c r="AB577" i="47"/>
  <c r="AA577" i="47"/>
  <c r="Z577" i="47"/>
  <c r="Z576" i="47"/>
  <c r="Y577" i="47"/>
  <c r="Y576" i="47"/>
  <c r="X577" i="47"/>
  <c r="X576" i="47" s="1"/>
  <c r="W577" i="47"/>
  <c r="W576" i="47"/>
  <c r="V577" i="47"/>
  <c r="V576" i="47" s="1"/>
  <c r="U577" i="47"/>
  <c r="U576" i="47" s="1"/>
  <c r="T577" i="47"/>
  <c r="S577" i="47"/>
  <c r="T576" i="47"/>
  <c r="R576" i="47"/>
  <c r="R565" i="47"/>
  <c r="AG575" i="47"/>
  <c r="AF574" i="47"/>
  <c r="AE574" i="47"/>
  <c r="AD574" i="47"/>
  <c r="AC574" i="47"/>
  <c r="AC571" i="47" s="1"/>
  <c r="AB574" i="47"/>
  <c r="AA574" i="47"/>
  <c r="Z574" i="47"/>
  <c r="Y574" i="47"/>
  <c r="Y571" i="47" s="1"/>
  <c r="Y565" i="47" s="1"/>
  <c r="X574" i="47"/>
  <c r="W574" i="47"/>
  <c r="V574" i="47"/>
  <c r="U574" i="47"/>
  <c r="T574" i="47"/>
  <c r="S574" i="47"/>
  <c r="Q574" i="47"/>
  <c r="AG573" i="47"/>
  <c r="AF572" i="47"/>
  <c r="AE572" i="47"/>
  <c r="AE571" i="47"/>
  <c r="AD572" i="47"/>
  <c r="AC572" i="47"/>
  <c r="AB572" i="47"/>
  <c r="AA572" i="47"/>
  <c r="AA571" i="47" s="1"/>
  <c r="Z572" i="47"/>
  <c r="Y572" i="47"/>
  <c r="X572" i="47"/>
  <c r="W572" i="47"/>
  <c r="W571" i="47"/>
  <c r="V572" i="47"/>
  <c r="U572" i="47"/>
  <c r="U571" i="47" s="1"/>
  <c r="T572" i="47"/>
  <c r="S572" i="47"/>
  <c r="S571" i="47"/>
  <c r="Q572" i="47"/>
  <c r="Y567" i="47"/>
  <c r="Y569" i="47"/>
  <c r="Y566" i="47"/>
  <c r="AG570" i="47"/>
  <c r="AF569" i="47"/>
  <c r="AE569" i="47"/>
  <c r="AD569" i="47"/>
  <c r="AC569" i="47"/>
  <c r="AB569" i="47"/>
  <c r="AA569" i="47"/>
  <c r="Z569" i="47"/>
  <c r="X569" i="47"/>
  <c r="W569" i="47"/>
  <c r="W566" i="47" s="1"/>
  <c r="V569" i="47"/>
  <c r="U569" i="47"/>
  <c r="T569" i="47"/>
  <c r="S569" i="47"/>
  <c r="Q569" i="47"/>
  <c r="AG568" i="47"/>
  <c r="AF567" i="47"/>
  <c r="AE567" i="47"/>
  <c r="AE566" i="47" s="1"/>
  <c r="AD567" i="47"/>
  <c r="AC567" i="47"/>
  <c r="AC566" i="47"/>
  <c r="AB567" i="47"/>
  <c r="AA567" i="47"/>
  <c r="AA566" i="47"/>
  <c r="Z567" i="47"/>
  <c r="X567" i="47"/>
  <c r="W567" i="47"/>
  <c r="V567" i="47"/>
  <c r="U567" i="47"/>
  <c r="U566" i="47" s="1"/>
  <c r="T567" i="47"/>
  <c r="S567" i="47"/>
  <c r="Q567" i="47"/>
  <c r="AG564" i="47"/>
  <c r="AG560" i="47"/>
  <c r="Q560" i="47"/>
  <c r="Q559" i="47" s="1"/>
  <c r="Q558" i="47" s="1"/>
  <c r="AF559" i="47"/>
  <c r="AF558" i="47"/>
  <c r="AE559" i="47"/>
  <c r="AE558" i="47" s="1"/>
  <c r="AD559" i="47"/>
  <c r="AD558" i="47" s="1"/>
  <c r="AC559" i="47"/>
  <c r="AB559" i="47"/>
  <c r="AB558" i="47" s="1"/>
  <c r="AA559" i="47"/>
  <c r="AA558" i="47"/>
  <c r="Z559" i="47"/>
  <c r="Z558" i="47" s="1"/>
  <c r="Y559" i="47"/>
  <c r="Y558" i="47"/>
  <c r="X559" i="47"/>
  <c r="X558" i="47"/>
  <c r="W559" i="47"/>
  <c r="W558" i="47" s="1"/>
  <c r="V559" i="47"/>
  <c r="V558" i="47" s="1"/>
  <c r="U559" i="47"/>
  <c r="U558" i="47" s="1"/>
  <c r="T559" i="47"/>
  <c r="T558" i="47"/>
  <c r="S559" i="47"/>
  <c r="AC558" i="47"/>
  <c r="AG557" i="47"/>
  <c r="Q557" i="47"/>
  <c r="AG556" i="47"/>
  <c r="Q556" i="47"/>
  <c r="G556" i="47"/>
  <c r="AG555" i="47"/>
  <c r="G555" i="47"/>
  <c r="AG554" i="47"/>
  <c r="Q554" i="47"/>
  <c r="G554" i="47"/>
  <c r="AG553" i="47"/>
  <c r="Q553" i="47"/>
  <c r="G553" i="47"/>
  <c r="AG552" i="47"/>
  <c r="Q552" i="47"/>
  <c r="G552" i="47"/>
  <c r="AG551" i="47"/>
  <c r="Q551" i="47"/>
  <c r="G551" i="47"/>
  <c r="AG550" i="47"/>
  <c r="Q550" i="47"/>
  <c r="G550" i="47"/>
  <c r="AG549" i="47"/>
  <c r="Q549" i="47"/>
  <c r="G549" i="47"/>
  <c r="AG548" i="47"/>
  <c r="Q548" i="47"/>
  <c r="G548" i="47"/>
  <c r="AG547" i="47"/>
  <c r="Q547" i="47"/>
  <c r="G547" i="47"/>
  <c r="AG546" i="47"/>
  <c r="Q546" i="47"/>
  <c r="G546" i="47"/>
  <c r="AG545" i="47"/>
  <c r="Q545" i="47"/>
  <c r="G545" i="47"/>
  <c r="AG544" i="47"/>
  <c r="Q544" i="47"/>
  <c r="G544" i="47"/>
  <c r="AG543" i="47"/>
  <c r="Q543" i="47"/>
  <c r="G543" i="47"/>
  <c r="AG542" i="47"/>
  <c r="Q542" i="47"/>
  <c r="G542" i="47"/>
  <c r="AG541" i="47"/>
  <c r="Q541" i="47"/>
  <c r="G541" i="47"/>
  <c r="AG540" i="47"/>
  <c r="Q540" i="47"/>
  <c r="G540" i="47"/>
  <c r="Y539" i="47"/>
  <c r="X539" i="47"/>
  <c r="X536" i="47"/>
  <c r="X535" i="47" s="1"/>
  <c r="W539" i="47"/>
  <c r="V539" i="47"/>
  <c r="U539" i="47"/>
  <c r="AG538" i="47"/>
  <c r="Q538" i="47"/>
  <c r="AG537" i="47"/>
  <c r="Q537" i="47"/>
  <c r="Q536" i="47" s="1"/>
  <c r="Y536" i="47"/>
  <c r="W536" i="47"/>
  <c r="V536" i="47"/>
  <c r="V535" i="47" s="1"/>
  <c r="U536" i="47"/>
  <c r="AF535" i="47"/>
  <c r="AE535" i="47"/>
  <c r="AD535" i="47"/>
  <c r="AC535" i="47"/>
  <c r="AB535" i="47"/>
  <c r="AA535" i="47"/>
  <c r="Z535" i="47"/>
  <c r="T535" i="47"/>
  <c r="S535" i="47"/>
  <c r="R535" i="47"/>
  <c r="AG534" i="47"/>
  <c r="Q534" i="47"/>
  <c r="E534" i="47"/>
  <c r="F534" i="47" s="1"/>
  <c r="AG533" i="47"/>
  <c r="Q533" i="47"/>
  <c r="E533" i="47"/>
  <c r="F533" i="47"/>
  <c r="AG532" i="47"/>
  <c r="Q532" i="47"/>
  <c r="E532" i="47"/>
  <c r="F532" i="47"/>
  <c r="AG531" i="47"/>
  <c r="Q531" i="47"/>
  <c r="F531" i="47"/>
  <c r="AG530" i="47"/>
  <c r="Q530" i="47"/>
  <c r="E530" i="47"/>
  <c r="F530" i="47"/>
  <c r="AG529" i="47"/>
  <c r="Q529" i="47"/>
  <c r="E529" i="47"/>
  <c r="F529" i="47"/>
  <c r="AG528" i="47"/>
  <c r="Q528" i="47"/>
  <c r="E528" i="47"/>
  <c r="F528" i="47"/>
  <c r="AG527" i="47"/>
  <c r="Q527" i="47"/>
  <c r="F527" i="47"/>
  <c r="AG526" i="47"/>
  <c r="Q526" i="47"/>
  <c r="F526" i="47"/>
  <c r="AG525" i="47"/>
  <c r="Q525" i="47"/>
  <c r="E525" i="47"/>
  <c r="F525" i="47" s="1"/>
  <c r="AF524" i="47"/>
  <c r="AE524" i="47"/>
  <c r="AD524" i="47"/>
  <c r="AC524" i="47"/>
  <c r="AB524" i="47"/>
  <c r="AA524" i="47"/>
  <c r="Z524" i="47"/>
  <c r="Y524" i="47"/>
  <c r="X524" i="47"/>
  <c r="W524" i="47"/>
  <c r="V524" i="47"/>
  <c r="U524" i="47"/>
  <c r="T524" i="47"/>
  <c r="S524" i="47"/>
  <c r="AG523" i="47"/>
  <c r="Q523" i="47"/>
  <c r="F523" i="47"/>
  <c r="AG522" i="47"/>
  <c r="Q522" i="47"/>
  <c r="Q521" i="47" s="1"/>
  <c r="E522" i="47"/>
  <c r="F522" i="47"/>
  <c r="AF521" i="47"/>
  <c r="AF520" i="47"/>
  <c r="AE521" i="47"/>
  <c r="AD521" i="47"/>
  <c r="AC521" i="47"/>
  <c r="AC520" i="47"/>
  <c r="AB521" i="47"/>
  <c r="AB520" i="47" s="1"/>
  <c r="AA521" i="47"/>
  <c r="Z521" i="47"/>
  <c r="Y521" i="47"/>
  <c r="Y520" i="47" s="1"/>
  <c r="X521" i="47"/>
  <c r="X520" i="47" s="1"/>
  <c r="W521" i="47"/>
  <c r="V521" i="47"/>
  <c r="U521" i="47"/>
  <c r="T521" i="47"/>
  <c r="T520" i="47"/>
  <c r="S521" i="47"/>
  <c r="U520" i="47"/>
  <c r="R520" i="47"/>
  <c r="AG519" i="47"/>
  <c r="Q519" i="47"/>
  <c r="G519" i="47"/>
  <c r="AG518" i="47"/>
  <c r="Q518" i="47"/>
  <c r="G518" i="47"/>
  <c r="AG517" i="47"/>
  <c r="Q517" i="47"/>
  <c r="G517" i="47"/>
  <c r="AG516" i="47"/>
  <c r="Q516" i="47"/>
  <c r="G516" i="47"/>
  <c r="AG515" i="47"/>
  <c r="P515" i="47"/>
  <c r="Q515" i="47"/>
  <c r="G515" i="47"/>
  <c r="AG514" i="47"/>
  <c r="Q514" i="47"/>
  <c r="G514" i="47"/>
  <c r="AF513" i="47"/>
  <c r="AE513" i="47"/>
  <c r="AD513" i="47"/>
  <c r="AC513" i="47"/>
  <c r="AB513" i="47"/>
  <c r="AA513" i="47"/>
  <c r="Z513" i="47"/>
  <c r="Y513" i="47"/>
  <c r="X513" i="47"/>
  <c r="W513" i="47"/>
  <c r="V513" i="47"/>
  <c r="U513" i="47"/>
  <c r="T513" i="47"/>
  <c r="S513" i="47"/>
  <c r="AG512" i="47"/>
  <c r="Q512" i="47"/>
  <c r="G512" i="47"/>
  <c r="AG511" i="47"/>
  <c r="Q511" i="47"/>
  <c r="G511" i="47"/>
  <c r="AF510" i="47"/>
  <c r="AE510" i="47"/>
  <c r="AD510" i="47"/>
  <c r="AC510" i="47"/>
  <c r="AB510" i="47"/>
  <c r="AA510" i="47"/>
  <c r="Z510" i="47"/>
  <c r="Y510" i="47"/>
  <c r="X510" i="47"/>
  <c r="W510" i="47"/>
  <c r="V510" i="47"/>
  <c r="U510" i="47"/>
  <c r="T510" i="47"/>
  <c r="S510" i="47"/>
  <c r="AG509" i="47"/>
  <c r="Q509" i="47"/>
  <c r="G509" i="47"/>
  <c r="AG508" i="47"/>
  <c r="G508" i="47"/>
  <c r="AG507" i="47"/>
  <c r="Q507" i="47"/>
  <c r="G507" i="47"/>
  <c r="AG506" i="47"/>
  <c r="Q506" i="47"/>
  <c r="G506" i="47"/>
  <c r="AG505" i="47"/>
  <c r="Q505" i="47"/>
  <c r="G505" i="47"/>
  <c r="AG504" i="47"/>
  <c r="Q504" i="47"/>
  <c r="G504" i="47"/>
  <c r="AG503" i="47"/>
  <c r="Q503" i="47"/>
  <c r="G503" i="47"/>
  <c r="AG502" i="47"/>
  <c r="Q502" i="47"/>
  <c r="G502" i="47"/>
  <c r="AG501" i="47"/>
  <c r="Q501" i="47"/>
  <c r="G501" i="47"/>
  <c r="AF500" i="47"/>
  <c r="AE500" i="47"/>
  <c r="AD500" i="47"/>
  <c r="AC500" i="47"/>
  <c r="AB500" i="47"/>
  <c r="AA500" i="47"/>
  <c r="Z500" i="47"/>
  <c r="Y500" i="47"/>
  <c r="X500" i="47"/>
  <c r="W500" i="47"/>
  <c r="V500" i="47"/>
  <c r="U500" i="47"/>
  <c r="T500" i="47"/>
  <c r="S500" i="47"/>
  <c r="AG499" i="47"/>
  <c r="Q499" i="47"/>
  <c r="G499" i="47"/>
  <c r="AG498" i="47"/>
  <c r="Q498" i="47"/>
  <c r="G498" i="47"/>
  <c r="AG497" i="47"/>
  <c r="Q497" i="47"/>
  <c r="G497" i="47"/>
  <c r="AG496" i="47"/>
  <c r="Q496" i="47"/>
  <c r="G496" i="47"/>
  <c r="AF495" i="47"/>
  <c r="AE495" i="47"/>
  <c r="AD495" i="47"/>
  <c r="AC495" i="47"/>
  <c r="AB495" i="47"/>
  <c r="AA495" i="47"/>
  <c r="Z495" i="47"/>
  <c r="Y495" i="47"/>
  <c r="X495" i="47"/>
  <c r="W495" i="47"/>
  <c r="V495" i="47"/>
  <c r="U495" i="47"/>
  <c r="T495" i="47"/>
  <c r="S495" i="47"/>
  <c r="AG494" i="47"/>
  <c r="Q494" i="47"/>
  <c r="Q493" i="47"/>
  <c r="G494" i="47"/>
  <c r="AF493" i="47"/>
  <c r="AE493" i="47"/>
  <c r="AD493" i="47"/>
  <c r="AC493" i="47"/>
  <c r="AB493" i="47"/>
  <c r="AA493" i="47"/>
  <c r="Z493" i="47"/>
  <c r="Y493" i="47"/>
  <c r="X493" i="47"/>
  <c r="W493" i="47"/>
  <c r="V493" i="47"/>
  <c r="U493" i="47"/>
  <c r="T493" i="47"/>
  <c r="S493" i="47"/>
  <c r="AG492" i="47"/>
  <c r="Q492" i="47"/>
  <c r="Q491" i="47"/>
  <c r="G492" i="47"/>
  <c r="AF491" i="47"/>
  <c r="AE491" i="47"/>
  <c r="AD491" i="47"/>
  <c r="AC491" i="47"/>
  <c r="AB491" i="47"/>
  <c r="AA491" i="47"/>
  <c r="Z491" i="47"/>
  <c r="Y491" i="47"/>
  <c r="X491" i="47"/>
  <c r="W491" i="47"/>
  <c r="V491" i="47"/>
  <c r="U491" i="47"/>
  <c r="T491" i="47"/>
  <c r="S491" i="47"/>
  <c r="AG490" i="47"/>
  <c r="Q490" i="47"/>
  <c r="G490" i="47"/>
  <c r="AG489" i="47"/>
  <c r="Q489" i="47"/>
  <c r="G489" i="47"/>
  <c r="AG488" i="47"/>
  <c r="Q488" i="47"/>
  <c r="G488" i="47"/>
  <c r="AG487" i="47"/>
  <c r="Q487" i="47"/>
  <c r="E487" i="47"/>
  <c r="G487" i="47" s="1"/>
  <c r="AF486" i="47"/>
  <c r="AE486" i="47"/>
  <c r="AD486" i="47"/>
  <c r="AC486" i="47"/>
  <c r="AB486" i="47"/>
  <c r="AA486" i="47"/>
  <c r="Z486" i="47"/>
  <c r="Z482" i="47"/>
  <c r="Z481" i="47" s="1"/>
  <c r="Y486" i="47"/>
  <c r="X486" i="47"/>
  <c r="W486" i="47"/>
  <c r="V486" i="47"/>
  <c r="U486" i="47"/>
  <c r="T486" i="47"/>
  <c r="S486" i="47"/>
  <c r="AG485" i="47"/>
  <c r="Q485" i="47"/>
  <c r="G485" i="47"/>
  <c r="AG484" i="47"/>
  <c r="Q484" i="47"/>
  <c r="G484" i="47"/>
  <c r="AG483" i="47"/>
  <c r="E483" i="47"/>
  <c r="G483" i="47" s="1"/>
  <c r="AF482" i="47"/>
  <c r="AE482" i="47"/>
  <c r="AD482" i="47"/>
  <c r="AC482" i="47"/>
  <c r="AB482" i="47"/>
  <c r="AA482" i="47"/>
  <c r="Y482" i="47"/>
  <c r="X482" i="47"/>
  <c r="W482" i="47"/>
  <c r="V482" i="47"/>
  <c r="U482" i="47"/>
  <c r="T482" i="47"/>
  <c r="S482" i="47"/>
  <c r="R481" i="47"/>
  <c r="AG480" i="47"/>
  <c r="Q480" i="47"/>
  <c r="E480" i="47"/>
  <c r="G480" i="47" s="1"/>
  <c r="AG479" i="47"/>
  <c r="Q479" i="47"/>
  <c r="E479" i="47"/>
  <c r="G479" i="47"/>
  <c r="AG478" i="47"/>
  <c r="Q478" i="47"/>
  <c r="E478" i="47"/>
  <c r="G478" i="47"/>
  <c r="AG477" i="47"/>
  <c r="Q477" i="47"/>
  <c r="E477" i="47"/>
  <c r="G477" i="47"/>
  <c r="AG476" i="47"/>
  <c r="Q476" i="47"/>
  <c r="E476" i="47"/>
  <c r="G476" i="47"/>
  <c r="AG475" i="47"/>
  <c r="P475" i="47"/>
  <c r="Q475" i="47"/>
  <c r="E475" i="47"/>
  <c r="G475" i="47" s="1"/>
  <c r="AG474" i="47"/>
  <c r="Q474" i="47"/>
  <c r="E474" i="47"/>
  <c r="G474" i="47"/>
  <c r="AG473" i="47"/>
  <c r="Q473" i="47"/>
  <c r="E473" i="47"/>
  <c r="G473" i="47" s="1"/>
  <c r="AG472" i="47"/>
  <c r="Q472" i="47"/>
  <c r="E472" i="47"/>
  <c r="G472" i="47" s="1"/>
  <c r="AG471" i="47"/>
  <c r="P471" i="47"/>
  <c r="Q471" i="47"/>
  <c r="E471" i="47"/>
  <c r="G471" i="47"/>
  <c r="AG470" i="47"/>
  <c r="Q470" i="47"/>
  <c r="E470" i="47"/>
  <c r="G470" i="47"/>
  <c r="AG469" i="47"/>
  <c r="Q469" i="47"/>
  <c r="E469" i="47"/>
  <c r="G469" i="47"/>
  <c r="AG468" i="47"/>
  <c r="Q468" i="47"/>
  <c r="E468" i="47"/>
  <c r="G468" i="47"/>
  <c r="AG467" i="47"/>
  <c r="Q467" i="47"/>
  <c r="E467" i="47"/>
  <c r="G467" i="47"/>
  <c r="AG466" i="47"/>
  <c r="Q466" i="47"/>
  <c r="E466" i="47"/>
  <c r="G466" i="47"/>
  <c r="AG465" i="47"/>
  <c r="Q465" i="47"/>
  <c r="E465" i="47"/>
  <c r="G465" i="47"/>
  <c r="AG464" i="47"/>
  <c r="Q464" i="47"/>
  <c r="E464" i="47"/>
  <c r="G464" i="47"/>
  <c r="AG463" i="47"/>
  <c r="Q463" i="47"/>
  <c r="E463" i="47"/>
  <c r="G463" i="47"/>
  <c r="AG462" i="47"/>
  <c r="Q462" i="47"/>
  <c r="E462" i="47"/>
  <c r="G462" i="47"/>
  <c r="AG461" i="47"/>
  <c r="Q461" i="47"/>
  <c r="E461" i="47"/>
  <c r="G461" i="47"/>
  <c r="AG460" i="47"/>
  <c r="Q460" i="47"/>
  <c r="E460" i="47"/>
  <c r="G460" i="47"/>
  <c r="AF459" i="47"/>
  <c r="AE459" i="47"/>
  <c r="AD459" i="47"/>
  <c r="AC459" i="47"/>
  <c r="AB459" i="47"/>
  <c r="AA459" i="47"/>
  <c r="Z459" i="47"/>
  <c r="Y459" i="47"/>
  <c r="X459" i="47"/>
  <c r="W459" i="47"/>
  <c r="W439" i="47"/>
  <c r="W453" i="47"/>
  <c r="V459" i="47"/>
  <c r="U459" i="47"/>
  <c r="T459" i="47"/>
  <c r="S459" i="47"/>
  <c r="AG458" i="47"/>
  <c r="Q458" i="47"/>
  <c r="E458" i="47"/>
  <c r="G458" i="47"/>
  <c r="AG457" i="47"/>
  <c r="Q457" i="47"/>
  <c r="E457" i="47"/>
  <c r="G457" i="47" s="1"/>
  <c r="AG456" i="47"/>
  <c r="Q456" i="47"/>
  <c r="E456" i="47"/>
  <c r="G456" i="47" s="1"/>
  <c r="AG455" i="47"/>
  <c r="Q455" i="47"/>
  <c r="E455" i="47"/>
  <c r="G455" i="47"/>
  <c r="AG454" i="47"/>
  <c r="Q454" i="47"/>
  <c r="E454" i="47"/>
  <c r="G454" i="47" s="1"/>
  <c r="AF453" i="47"/>
  <c r="AE453" i="47"/>
  <c r="AD453" i="47"/>
  <c r="AC453" i="47"/>
  <c r="AB453" i="47"/>
  <c r="AA453" i="47"/>
  <c r="Z453" i="47"/>
  <c r="Y453" i="47"/>
  <c r="X453" i="47"/>
  <c r="V453" i="47"/>
  <c r="U453" i="47"/>
  <c r="T453" i="47"/>
  <c r="S453" i="47"/>
  <c r="AG452" i="47"/>
  <c r="Q452" i="47"/>
  <c r="E452" i="47"/>
  <c r="G452" i="47"/>
  <c r="AG451" i="47"/>
  <c r="Q451" i="47"/>
  <c r="E451" i="47"/>
  <c r="G451" i="47"/>
  <c r="AG450" i="47"/>
  <c r="P450" i="47"/>
  <c r="Q450" i="47" s="1"/>
  <c r="E450" i="47"/>
  <c r="G450" i="47" s="1"/>
  <c r="AG449" i="47"/>
  <c r="Q449" i="47"/>
  <c r="E449" i="47"/>
  <c r="G449" i="47" s="1"/>
  <c r="AG448" i="47"/>
  <c r="Q448" i="47"/>
  <c r="E448" i="47"/>
  <c r="G448" i="47" s="1"/>
  <c r="AG447" i="47"/>
  <c r="Q447" i="47"/>
  <c r="E447" i="47"/>
  <c r="G447" i="47"/>
  <c r="AG446" i="47"/>
  <c r="P446" i="47"/>
  <c r="Q446" i="47"/>
  <c r="E446" i="47"/>
  <c r="G446" i="47"/>
  <c r="AG445" i="47"/>
  <c r="Q445" i="47"/>
  <c r="E445" i="47"/>
  <c r="G445" i="47"/>
  <c r="AG444" i="47"/>
  <c r="Q444" i="47"/>
  <c r="E444" i="47"/>
  <c r="G444" i="47"/>
  <c r="AG443" i="47"/>
  <c r="Q443" i="47"/>
  <c r="E443" i="47"/>
  <c r="G443" i="47"/>
  <c r="AG442" i="47"/>
  <c r="Q442" i="47"/>
  <c r="Q439" i="47" s="1"/>
  <c r="E442" i="47"/>
  <c r="G442" i="47"/>
  <c r="AG441" i="47"/>
  <c r="Q441" i="47"/>
  <c r="Q440" i="47"/>
  <c r="E441" i="47"/>
  <c r="G441" i="47"/>
  <c r="AG440" i="47"/>
  <c r="E440" i="47"/>
  <c r="G440" i="47"/>
  <c r="AF439" i="47"/>
  <c r="AE439" i="47"/>
  <c r="AD439" i="47"/>
  <c r="AD438" i="47" s="1"/>
  <c r="AC439" i="47"/>
  <c r="AB439" i="47"/>
  <c r="AA439" i="47"/>
  <c r="Z439" i="47"/>
  <c r="Z438" i="47"/>
  <c r="Y439" i="47"/>
  <c r="X439" i="47"/>
  <c r="V439" i="47"/>
  <c r="V438" i="47" s="1"/>
  <c r="U439" i="47"/>
  <c r="T439" i="47"/>
  <c r="S439" i="47"/>
  <c r="R438" i="47"/>
  <c r="AG436" i="47"/>
  <c r="Q436" i="47"/>
  <c r="Q434" i="47" s="1"/>
  <c r="E436" i="47"/>
  <c r="G436" i="47" s="1"/>
  <c r="AG435" i="47"/>
  <c r="E435" i="47"/>
  <c r="G435" i="47"/>
  <c r="AF434" i="47"/>
  <c r="AE434" i="47"/>
  <c r="AD434" i="47"/>
  <c r="AC434" i="47"/>
  <c r="AB434" i="47"/>
  <c r="AA434" i="47"/>
  <c r="Z434" i="47"/>
  <c r="Y434" i="47"/>
  <c r="X434" i="47"/>
  <c r="W434" i="47"/>
  <c r="V434" i="47"/>
  <c r="U434" i="47"/>
  <c r="T434" i="47"/>
  <c r="S434" i="47"/>
  <c r="AG434" i="47" s="1"/>
  <c r="AG433" i="47"/>
  <c r="Q433" i="47"/>
  <c r="G433" i="47"/>
  <c r="AG432" i="47"/>
  <c r="Q432" i="47"/>
  <c r="G432" i="47"/>
  <c r="AG431" i="47"/>
  <c r="Q431" i="47"/>
  <c r="G431" i="47"/>
  <c r="AG430" i="47"/>
  <c r="Q430" i="47"/>
  <c r="G430" i="47"/>
  <c r="AG429" i="47"/>
  <c r="Q429" i="47"/>
  <c r="G429" i="47"/>
  <c r="AF428" i="47"/>
  <c r="AE428" i="47"/>
  <c r="AD428" i="47"/>
  <c r="AC428" i="47"/>
  <c r="AB428" i="47"/>
  <c r="AA428" i="47"/>
  <c r="Z428" i="47"/>
  <c r="Y428" i="47"/>
  <c r="X428" i="47"/>
  <c r="W428" i="47"/>
  <c r="V428" i="47"/>
  <c r="U428" i="47"/>
  <c r="S428" i="47"/>
  <c r="T428" i="47"/>
  <c r="AG428" i="47" s="1"/>
  <c r="AG427" i="47"/>
  <c r="Q427" i="47"/>
  <c r="G427" i="47"/>
  <c r="AG426" i="47"/>
  <c r="Q426" i="47"/>
  <c r="G426" i="47"/>
  <c r="AG425" i="47"/>
  <c r="Q425" i="47"/>
  <c r="G425" i="47"/>
  <c r="AG424" i="47"/>
  <c r="Q424" i="47"/>
  <c r="G424" i="47"/>
  <c r="AG423" i="47"/>
  <c r="Q423" i="47"/>
  <c r="G423" i="47"/>
  <c r="AG422" i="47"/>
  <c r="Q422" i="47"/>
  <c r="G422" i="47"/>
  <c r="AF421" i="47"/>
  <c r="AE421" i="47"/>
  <c r="AD421" i="47"/>
  <c r="AC421" i="47"/>
  <c r="AC393" i="47"/>
  <c r="AC400" i="47"/>
  <c r="AC407" i="47"/>
  <c r="AC392" i="47"/>
  <c r="AB421" i="47"/>
  <c r="AA421" i="47"/>
  <c r="Z421" i="47"/>
  <c r="Y421" i="47"/>
  <c r="X421" i="47"/>
  <c r="W421" i="47"/>
  <c r="V421" i="47"/>
  <c r="U421" i="47"/>
  <c r="T421" i="47"/>
  <c r="S421" i="47"/>
  <c r="AG420" i="47"/>
  <c r="Q420" i="47"/>
  <c r="G420" i="47"/>
  <c r="AG419" i="47"/>
  <c r="Q419" i="47"/>
  <c r="G419" i="47"/>
  <c r="AG418" i="47"/>
  <c r="Q418" i="47"/>
  <c r="G418" i="47"/>
  <c r="AG417" i="47"/>
  <c r="Q417" i="47"/>
  <c r="G417" i="47"/>
  <c r="AG416" i="47"/>
  <c r="Q416" i="47"/>
  <c r="G416" i="47"/>
  <c r="AG415" i="47"/>
  <c r="Q415" i="47"/>
  <c r="G415" i="47"/>
  <c r="AG414" i="47"/>
  <c r="Q414" i="47"/>
  <c r="G414" i="47"/>
  <c r="AG413" i="47"/>
  <c r="Q413" i="47"/>
  <c r="G413" i="47"/>
  <c r="AG412" i="47"/>
  <c r="Q412" i="47"/>
  <c r="G412" i="47"/>
  <c r="AG411" i="47"/>
  <c r="Q411" i="47"/>
  <c r="G411" i="47"/>
  <c r="AG410" i="47"/>
  <c r="Q410" i="47"/>
  <c r="G410" i="47"/>
  <c r="AG409" i="47"/>
  <c r="Q409" i="47"/>
  <c r="G409" i="47"/>
  <c r="AG408" i="47"/>
  <c r="Q408" i="47"/>
  <c r="Q407" i="47" s="1"/>
  <c r="G408" i="47"/>
  <c r="AF407" i="47"/>
  <c r="AE407" i="47"/>
  <c r="AD407" i="47"/>
  <c r="AD393" i="47"/>
  <c r="AD392" i="47" s="1"/>
  <c r="AD400" i="47"/>
  <c r="AB407" i="47"/>
  <c r="AA407" i="47"/>
  <c r="Z407" i="47"/>
  <c r="Z393" i="47"/>
  <c r="Z400" i="47"/>
  <c r="Z392" i="47"/>
  <c r="Z362" i="47"/>
  <c r="Z361" i="47" s="1"/>
  <c r="Y407" i="47"/>
  <c r="X407" i="47"/>
  <c r="W407" i="47"/>
  <c r="V407" i="47"/>
  <c r="V393" i="47"/>
  <c r="V392" i="47" s="1"/>
  <c r="V400" i="47"/>
  <c r="U407" i="47"/>
  <c r="T407" i="47"/>
  <c r="T392" i="47" s="1"/>
  <c r="S407" i="47"/>
  <c r="AG406" i="47"/>
  <c r="Q406" i="47"/>
  <c r="G406" i="47"/>
  <c r="AG405" i="47"/>
  <c r="P405" i="47"/>
  <c r="Q405" i="47"/>
  <c r="E405" i="47"/>
  <c r="G405" i="47"/>
  <c r="AG404" i="47"/>
  <c r="P404" i="47"/>
  <c r="Q404" i="47" s="1"/>
  <c r="E404" i="47"/>
  <c r="G404" i="47" s="1"/>
  <c r="AG403" i="47"/>
  <c r="P403" i="47"/>
  <c r="Q403" i="47"/>
  <c r="E403" i="47"/>
  <c r="G403" i="47"/>
  <c r="AG402" i="47"/>
  <c r="P402" i="47"/>
  <c r="Q402" i="47"/>
  <c r="G402" i="47"/>
  <c r="AG401" i="47"/>
  <c r="P401" i="47"/>
  <c r="Q401" i="47" s="1"/>
  <c r="G401" i="47"/>
  <c r="AF400" i="47"/>
  <c r="AF393" i="47"/>
  <c r="AF392" i="47" s="1"/>
  <c r="AF362" i="47"/>
  <c r="AF361" i="47" s="1"/>
  <c r="AF360" i="47" s="1"/>
  <c r="AE400" i="47"/>
  <c r="AB400" i="47"/>
  <c r="AB393" i="47"/>
  <c r="AB392" i="47" s="1"/>
  <c r="AB362" i="47"/>
  <c r="AB361" i="47"/>
  <c r="AB360" i="47" s="1"/>
  <c r="AA400" i="47"/>
  <c r="Y400" i="47"/>
  <c r="X400" i="47"/>
  <c r="X393" i="47"/>
  <c r="X392" i="47" s="1"/>
  <c r="X362" i="47"/>
  <c r="X361" i="47"/>
  <c r="X360" i="47" s="1"/>
  <c r="W400" i="47"/>
  <c r="U400" i="47"/>
  <c r="T400" i="47"/>
  <c r="T393" i="47"/>
  <c r="T362" i="47"/>
  <c r="T361" i="47" s="1"/>
  <c r="S400" i="47"/>
  <c r="AG399" i="47"/>
  <c r="Q399" i="47"/>
  <c r="AG398" i="47"/>
  <c r="Q398" i="47"/>
  <c r="E398" i="47"/>
  <c r="G398" i="47"/>
  <c r="AG397" i="47"/>
  <c r="Q397" i="47"/>
  <c r="E397" i="47"/>
  <c r="G397" i="47"/>
  <c r="AG396" i="47"/>
  <c r="Q396" i="47"/>
  <c r="E396" i="47"/>
  <c r="G396" i="47"/>
  <c r="AG395" i="47"/>
  <c r="Q395" i="47"/>
  <c r="E395" i="47"/>
  <c r="G395" i="47"/>
  <c r="AG394" i="47"/>
  <c r="Q394" i="47"/>
  <c r="G394" i="47"/>
  <c r="AE393" i="47"/>
  <c r="AA393" i="47"/>
  <c r="Y393" i="47"/>
  <c r="W393" i="47"/>
  <c r="U393" i="47"/>
  <c r="S393" i="47"/>
  <c r="AG391" i="47"/>
  <c r="Q391" i="47"/>
  <c r="G391" i="47"/>
  <c r="AG390" i="47"/>
  <c r="Q390" i="47"/>
  <c r="G390" i="47"/>
  <c r="AG389" i="47"/>
  <c r="Q389" i="47"/>
  <c r="G389" i="47"/>
  <c r="AG388" i="47"/>
  <c r="Q388" i="47"/>
  <c r="G388" i="47"/>
  <c r="AG387" i="47"/>
  <c r="Q387" i="47"/>
  <c r="G387" i="47"/>
  <c r="AG386" i="47"/>
  <c r="Q386" i="47"/>
  <c r="G386" i="47"/>
  <c r="AG385" i="47"/>
  <c r="Q385" i="47"/>
  <c r="G385" i="47"/>
  <c r="AG384" i="47"/>
  <c r="P384" i="47"/>
  <c r="Q384" i="47" s="1"/>
  <c r="G384" i="47"/>
  <c r="AG383" i="47"/>
  <c r="P383" i="47"/>
  <c r="Q383" i="47"/>
  <c r="G383" i="47"/>
  <c r="AG382" i="47"/>
  <c r="Q382" i="47"/>
  <c r="G382" i="47"/>
  <c r="AG381" i="47"/>
  <c r="Q381" i="47"/>
  <c r="G381" i="47"/>
  <c r="AG380" i="47"/>
  <c r="Q380" i="47"/>
  <c r="G380" i="47"/>
  <c r="AG379" i="47"/>
  <c r="Q379" i="47"/>
  <c r="G379" i="47"/>
  <c r="AG378" i="47"/>
  <c r="P378" i="47"/>
  <c r="Q378" i="47" s="1"/>
  <c r="G378" i="47"/>
  <c r="AG377" i="47"/>
  <c r="P377" i="47"/>
  <c r="Q377" i="47" s="1"/>
  <c r="G377" i="47"/>
  <c r="AG376" i="47"/>
  <c r="Q376" i="47"/>
  <c r="G376" i="47"/>
  <c r="AG375" i="47"/>
  <c r="Q375" i="47"/>
  <c r="G375" i="47"/>
  <c r="AG374" i="47"/>
  <c r="Q374" i="47"/>
  <c r="G374" i="47"/>
  <c r="AG373" i="47"/>
  <c r="P373" i="47"/>
  <c r="Q373" i="47" s="1"/>
  <c r="G373" i="47"/>
  <c r="AG372" i="47"/>
  <c r="P372" i="47"/>
  <c r="Q372" i="47" s="1"/>
  <c r="G372" i="47"/>
  <c r="AG371" i="47"/>
  <c r="Q371" i="47"/>
  <c r="G371" i="47"/>
  <c r="AG370" i="47"/>
  <c r="Q370" i="47"/>
  <c r="G370" i="47"/>
  <c r="AG369" i="47"/>
  <c r="Q369" i="47"/>
  <c r="G369" i="47"/>
  <c r="AG368" i="47"/>
  <c r="Q368" i="47"/>
  <c r="G368" i="47"/>
  <c r="AG367" i="47"/>
  <c r="Q367" i="47"/>
  <c r="G367" i="47"/>
  <c r="AG366" i="47"/>
  <c r="Q366" i="47"/>
  <c r="G366" i="47"/>
  <c r="AG365" i="47"/>
  <c r="P365" i="47"/>
  <c r="Q365" i="47"/>
  <c r="G365" i="47"/>
  <c r="AG364" i="47"/>
  <c r="P364" i="47"/>
  <c r="Q364" i="47"/>
  <c r="G364" i="47"/>
  <c r="AG363" i="47"/>
  <c r="Q363" i="47"/>
  <c r="E363" i="47"/>
  <c r="G363" i="47" s="1"/>
  <c r="AE362" i="47"/>
  <c r="AD362" i="47"/>
  <c r="AC362" i="47"/>
  <c r="AC361" i="47" s="1"/>
  <c r="AC360" i="47" s="1"/>
  <c r="AA362" i="47"/>
  <c r="Y362" i="47"/>
  <c r="Y361" i="47" s="1"/>
  <c r="W362" i="47"/>
  <c r="V362" i="47"/>
  <c r="V361" i="47" s="1"/>
  <c r="U362" i="47"/>
  <c r="S362" i="47"/>
  <c r="S361" i="47" s="1"/>
  <c r="AE361" i="47"/>
  <c r="AD361" i="47"/>
  <c r="AA361" i="47"/>
  <c r="W361" i="47"/>
  <c r="R361" i="47"/>
  <c r="R360" i="47" s="1"/>
  <c r="AG359" i="47"/>
  <c r="Q359" i="47"/>
  <c r="Q358" i="47" s="1"/>
  <c r="G359" i="47"/>
  <c r="AF358" i="47"/>
  <c r="AE358" i="47"/>
  <c r="AD358" i="47"/>
  <c r="AC358" i="47"/>
  <c r="AB358" i="47"/>
  <c r="AA358" i="47"/>
  <c r="Z358" i="47"/>
  <c r="Y358" i="47"/>
  <c r="X358" i="47"/>
  <c r="W358" i="47"/>
  <c r="V358" i="47"/>
  <c r="U358" i="47"/>
  <c r="T358" i="47"/>
  <c r="S358" i="47"/>
  <c r="AG357" i="47"/>
  <c r="Q357" i="47"/>
  <c r="Q356" i="47" s="1"/>
  <c r="G357" i="47"/>
  <c r="AF356" i="47"/>
  <c r="AE356" i="47"/>
  <c r="AD356" i="47"/>
  <c r="AC356" i="47"/>
  <c r="AB356" i="47"/>
  <c r="AA356" i="47"/>
  <c r="Z356" i="47"/>
  <c r="Y356" i="47"/>
  <c r="X356" i="47"/>
  <c r="W356" i="47"/>
  <c r="V356" i="47"/>
  <c r="U356" i="47"/>
  <c r="T356" i="47"/>
  <c r="S356" i="47"/>
  <c r="AG355" i="47"/>
  <c r="Q355" i="47"/>
  <c r="Q354" i="47"/>
  <c r="Q353" i="47" s="1"/>
  <c r="G355" i="47"/>
  <c r="AG354" i="47"/>
  <c r="G354" i="47"/>
  <c r="AF353" i="47"/>
  <c r="AE353" i="47"/>
  <c r="AD353" i="47"/>
  <c r="AC353" i="47"/>
  <c r="AB353" i="47"/>
  <c r="AA353" i="47"/>
  <c r="Z353" i="47"/>
  <c r="Y353" i="47"/>
  <c r="Y346" i="47"/>
  <c r="Y345" i="47" s="1"/>
  <c r="Y349" i="47"/>
  <c r="X353" i="47"/>
  <c r="W353" i="47"/>
  <c r="V353" i="47"/>
  <c r="U353" i="47"/>
  <c r="T353" i="47"/>
  <c r="S353" i="47"/>
  <c r="AG352" i="47"/>
  <c r="Q352" i="47"/>
  <c r="G352" i="47"/>
  <c r="AG351" i="47"/>
  <c r="Q351" i="47"/>
  <c r="G351" i="47"/>
  <c r="AG350" i="47"/>
  <c r="Q350" i="47"/>
  <c r="G350" i="47"/>
  <c r="AF349" i="47"/>
  <c r="AE349" i="47"/>
  <c r="AD349" i="47"/>
  <c r="AC349" i="47"/>
  <c r="AB349" i="47"/>
  <c r="AA349" i="47"/>
  <c r="Z349" i="47"/>
  <c r="X349" i="47"/>
  <c r="W349" i="47"/>
  <c r="V349" i="47"/>
  <c r="U349" i="47"/>
  <c r="T349" i="47"/>
  <c r="S349" i="47"/>
  <c r="AG348" i="47"/>
  <c r="Q348" i="47"/>
  <c r="Q347" i="47"/>
  <c r="Q346" i="47"/>
  <c r="G348" i="47"/>
  <c r="AG347" i="47"/>
  <c r="G347" i="47"/>
  <c r="AF346" i="47"/>
  <c r="AE346" i="47"/>
  <c r="AD346" i="47"/>
  <c r="AC346" i="47"/>
  <c r="AB346" i="47"/>
  <c r="AA346" i="47"/>
  <c r="Z346" i="47"/>
  <c r="X346" i="47"/>
  <c r="W346" i="47"/>
  <c r="V346" i="47"/>
  <c r="U346" i="47"/>
  <c r="T346" i="47"/>
  <c r="S346" i="47"/>
  <c r="AG344" i="47"/>
  <c r="Q344" i="47"/>
  <c r="AG343" i="47"/>
  <c r="Q343" i="47"/>
  <c r="AF342" i="47"/>
  <c r="AE342" i="47"/>
  <c r="AD342" i="47"/>
  <c r="AC342" i="47"/>
  <c r="AB342" i="47"/>
  <c r="AA342" i="47"/>
  <c r="Z342" i="47"/>
  <c r="Y342" i="47"/>
  <c r="X342" i="47"/>
  <c r="W342" i="47"/>
  <c r="V342" i="47"/>
  <c r="U342" i="47"/>
  <c r="T342" i="47"/>
  <c r="S342" i="47"/>
  <c r="Q342" i="47"/>
  <c r="AG341" i="47"/>
  <c r="Q341" i="47"/>
  <c r="AG340" i="47"/>
  <c r="Q340" i="47"/>
  <c r="AG339" i="47"/>
  <c r="Q339" i="47"/>
  <c r="AG338" i="47"/>
  <c r="Q338" i="47"/>
  <c r="AG337" i="47"/>
  <c r="Q337" i="47"/>
  <c r="AG336" i="47"/>
  <c r="Q336" i="47"/>
  <c r="AG335" i="47"/>
  <c r="Q335" i="47"/>
  <c r="AG334" i="47"/>
  <c r="Q334" i="47"/>
  <c r="AG333" i="47"/>
  <c r="Q333" i="47"/>
  <c r="AG332" i="47"/>
  <c r="Q332" i="47"/>
  <c r="AG331" i="47"/>
  <c r="Q331" i="47"/>
  <c r="AG330" i="47"/>
  <c r="Q330" i="47"/>
  <c r="G330" i="47"/>
  <c r="AG329" i="47"/>
  <c r="Q329" i="47"/>
  <c r="G329" i="47"/>
  <c r="AG328" i="47"/>
  <c r="Q328" i="47"/>
  <c r="G328" i="47"/>
  <c r="AG327" i="47"/>
  <c r="Q327" i="47"/>
  <c r="AG326" i="47"/>
  <c r="Q326" i="47"/>
  <c r="AF325" i="47"/>
  <c r="AE325" i="47"/>
  <c r="AD325" i="47"/>
  <c r="AC325" i="47"/>
  <c r="AB325" i="47"/>
  <c r="AA325" i="47"/>
  <c r="Z325" i="47"/>
  <c r="Y325" i="47"/>
  <c r="X325" i="47"/>
  <c r="W325" i="47"/>
  <c r="V325" i="47"/>
  <c r="U325" i="47"/>
  <c r="T325" i="47"/>
  <c r="S325" i="47"/>
  <c r="AG325" i="47"/>
  <c r="AG324" i="47"/>
  <c r="Q324" i="47"/>
  <c r="AG323" i="47"/>
  <c r="Q323" i="47"/>
  <c r="AG322" i="47"/>
  <c r="Q322" i="47"/>
  <c r="G322" i="47"/>
  <c r="AG321" i="47"/>
  <c r="Q321" i="47"/>
  <c r="G321" i="47"/>
  <c r="AG320" i="47"/>
  <c r="Q320" i="47"/>
  <c r="G320" i="47"/>
  <c r="AG319" i="47"/>
  <c r="Q319" i="47"/>
  <c r="G319" i="47"/>
  <c r="AG318" i="47"/>
  <c r="Q318" i="47"/>
  <c r="AG317" i="47"/>
  <c r="Q317" i="47"/>
  <c r="E317" i="47"/>
  <c r="AG316" i="47"/>
  <c r="Q316" i="47"/>
  <c r="AG315" i="47"/>
  <c r="Q315" i="47"/>
  <c r="E315" i="47"/>
  <c r="AG314" i="47"/>
  <c r="Q314" i="47"/>
  <c r="AF313" i="47"/>
  <c r="AE313" i="47"/>
  <c r="AD313" i="47"/>
  <c r="AC313" i="47"/>
  <c r="AC303" i="47"/>
  <c r="AC302" i="47" s="1"/>
  <c r="AB313" i="47"/>
  <c r="AA313" i="47"/>
  <c r="Z313" i="47"/>
  <c r="Z303" i="47"/>
  <c r="Z302" i="47" s="1"/>
  <c r="Y313" i="47"/>
  <c r="Y303" i="47"/>
  <c r="Y302" i="47" s="1"/>
  <c r="X313" i="47"/>
  <c r="W313" i="47"/>
  <c r="V313" i="47"/>
  <c r="V303" i="47"/>
  <c r="V302" i="47"/>
  <c r="U313" i="47"/>
  <c r="U303" i="47"/>
  <c r="T313" i="47"/>
  <c r="S313" i="47"/>
  <c r="AG312" i="47"/>
  <c r="Q312" i="47"/>
  <c r="AG311" i="47"/>
  <c r="Q311" i="47"/>
  <c r="AG310" i="47"/>
  <c r="Q310" i="47"/>
  <c r="AG309" i="47"/>
  <c r="Q309" i="47"/>
  <c r="AG308" i="47"/>
  <c r="Q308" i="47"/>
  <c r="AG307" i="47"/>
  <c r="Q307" i="47"/>
  <c r="AG306" i="47"/>
  <c r="Q306" i="47"/>
  <c r="AG305" i="47"/>
  <c r="Q305" i="47"/>
  <c r="G304" i="47"/>
  <c r="F305" i="47" s="1"/>
  <c r="AG304" i="47"/>
  <c r="Q304" i="47"/>
  <c r="G305" i="47"/>
  <c r="AF303" i="47"/>
  <c r="AE303" i="47"/>
  <c r="AE302" i="47" s="1"/>
  <c r="AD303" i="47"/>
  <c r="AB303" i="47"/>
  <c r="AA303" i="47"/>
  <c r="AA302" i="47" s="1"/>
  <c r="X303" i="47"/>
  <c r="W303" i="47"/>
  <c r="W302" i="47"/>
  <c r="T303" i="47"/>
  <c r="S303" i="47"/>
  <c r="S302" i="47" s="1"/>
  <c r="R302" i="47"/>
  <c r="AG301" i="47"/>
  <c r="Q301" i="47"/>
  <c r="G301" i="47"/>
  <c r="AG300" i="47"/>
  <c r="Q300" i="47"/>
  <c r="G300" i="47"/>
  <c r="AG299" i="47"/>
  <c r="Q299" i="47"/>
  <c r="G299" i="47"/>
  <c r="AG298" i="47"/>
  <c r="Q298" i="47"/>
  <c r="G298" i="47"/>
  <c r="AG297" i="47"/>
  <c r="Q297" i="47"/>
  <c r="G297" i="47"/>
  <c r="AG296" i="47"/>
  <c r="Q296" i="47"/>
  <c r="G296" i="47"/>
  <c r="AG295" i="47"/>
  <c r="Q295" i="47"/>
  <c r="G295" i="47"/>
  <c r="AG294" i="47"/>
  <c r="Q294" i="47"/>
  <c r="G294" i="47"/>
  <c r="AG293" i="47"/>
  <c r="Q293" i="47"/>
  <c r="G293" i="47"/>
  <c r="AG292" i="47"/>
  <c r="Q292" i="47"/>
  <c r="G292" i="47"/>
  <c r="AG291" i="47"/>
  <c r="Q291" i="47"/>
  <c r="G291" i="47"/>
  <c r="AG290" i="47"/>
  <c r="Q290" i="47"/>
  <c r="G290" i="47"/>
  <c r="AG289" i="47"/>
  <c r="Q289" i="47"/>
  <c r="G289" i="47"/>
  <c r="AG288" i="47"/>
  <c r="Q288" i="47"/>
  <c r="G288" i="47"/>
  <c r="AG287" i="47"/>
  <c r="Q287" i="47"/>
  <c r="G287" i="47"/>
  <c r="AG286" i="47"/>
  <c r="Q286" i="47"/>
  <c r="G286" i="47"/>
  <c r="AG285" i="47"/>
  <c r="Q285" i="47"/>
  <c r="G285" i="47"/>
  <c r="AG284" i="47"/>
  <c r="Q284" i="47"/>
  <c r="G284" i="47"/>
  <c r="AF283" i="47"/>
  <c r="AE283" i="47"/>
  <c r="AD283" i="47"/>
  <c r="AC283" i="47"/>
  <c r="AB283" i="47"/>
  <c r="AA283" i="47"/>
  <c r="Z283" i="47"/>
  <c r="Y283" i="47"/>
  <c r="X283" i="47"/>
  <c r="W283" i="47"/>
  <c r="V283" i="47"/>
  <c r="U283" i="47"/>
  <c r="T283" i="47"/>
  <c r="S283" i="47"/>
  <c r="AG282" i="47"/>
  <c r="Q282" i="47"/>
  <c r="G282" i="47"/>
  <c r="AG281" i="47"/>
  <c r="Q281" i="47"/>
  <c r="G281" i="47"/>
  <c r="AG280" i="47"/>
  <c r="Q280" i="47"/>
  <c r="G280" i="47"/>
  <c r="AG279" i="47"/>
  <c r="Q279" i="47"/>
  <c r="G279" i="47"/>
  <c r="AG278" i="47"/>
  <c r="Q278" i="47"/>
  <c r="G278" i="47"/>
  <c r="AG277" i="47"/>
  <c r="Q277" i="47"/>
  <c r="G277" i="47"/>
  <c r="AG276" i="47"/>
  <c r="Q276" i="47"/>
  <c r="G276" i="47"/>
  <c r="AG275" i="47"/>
  <c r="Q275" i="47"/>
  <c r="G275" i="47"/>
  <c r="AG274" i="47"/>
  <c r="Q274" i="47"/>
  <c r="G274" i="47"/>
  <c r="AG273" i="47"/>
  <c r="Q273" i="47"/>
  <c r="G273" i="47"/>
  <c r="AG272" i="47"/>
  <c r="Q272" i="47"/>
  <c r="G272" i="47"/>
  <c r="AG271" i="47"/>
  <c r="Q271" i="47"/>
  <c r="G271" i="47"/>
  <c r="AG270" i="47"/>
  <c r="Q270" i="47"/>
  <c r="G270" i="47"/>
  <c r="AG269" i="47"/>
  <c r="Q269" i="47"/>
  <c r="G269" i="47"/>
  <c r="AG268" i="47"/>
  <c r="Q268" i="47"/>
  <c r="G268" i="47"/>
  <c r="AG267" i="47"/>
  <c r="Q267" i="47"/>
  <c r="G267" i="47"/>
  <c r="AG266" i="47"/>
  <c r="Q266" i="47"/>
  <c r="G266" i="47"/>
  <c r="AG265" i="47"/>
  <c r="Q265" i="47"/>
  <c r="G265" i="47"/>
  <c r="AF264" i="47"/>
  <c r="AE264" i="47"/>
  <c r="AD264" i="47"/>
  <c r="AC264" i="47"/>
  <c r="AB264" i="47"/>
  <c r="AA264" i="47"/>
  <c r="Z264" i="47"/>
  <c r="Y264" i="47"/>
  <c r="X264" i="47"/>
  <c r="W264" i="47"/>
  <c r="V264" i="47"/>
  <c r="U264" i="47"/>
  <c r="T264" i="47"/>
  <c r="S264" i="47"/>
  <c r="Q264" i="47"/>
  <c r="AG263" i="47"/>
  <c r="Q263" i="47"/>
  <c r="G263" i="47"/>
  <c r="AG262" i="47"/>
  <c r="Q262" i="47"/>
  <c r="G262" i="47"/>
  <c r="AG261" i="47"/>
  <c r="Q261" i="47"/>
  <c r="G261" i="47"/>
  <c r="AG260" i="47"/>
  <c r="Q260" i="47"/>
  <c r="G260" i="47"/>
  <c r="AG259" i="47"/>
  <c r="Q259" i="47"/>
  <c r="G259" i="47"/>
  <c r="AG258" i="47"/>
  <c r="Q258" i="47"/>
  <c r="G258" i="47"/>
  <c r="AG257" i="47"/>
  <c r="Q257" i="47"/>
  <c r="G257" i="47"/>
  <c r="AG256" i="47"/>
  <c r="Q256" i="47"/>
  <c r="G256" i="47"/>
  <c r="AG255" i="47"/>
  <c r="Q255" i="47"/>
  <c r="G255" i="47"/>
  <c r="AG254" i="47"/>
  <c r="Q254" i="47"/>
  <c r="G254" i="47"/>
  <c r="AG253" i="47"/>
  <c r="Q253" i="47"/>
  <c r="G253" i="47"/>
  <c r="AG252" i="47"/>
  <c r="Q252" i="47"/>
  <c r="G252" i="47"/>
  <c r="AG251" i="47"/>
  <c r="Q251" i="47"/>
  <c r="G251" i="47"/>
  <c r="AG250" i="47"/>
  <c r="Q250" i="47"/>
  <c r="G250" i="47"/>
  <c r="AG249" i="47"/>
  <c r="Q249" i="47"/>
  <c r="Q246" i="47"/>
  <c r="Q247" i="47"/>
  <c r="Q245" i="47" s="1"/>
  <c r="Q248" i="47"/>
  <c r="G249" i="47"/>
  <c r="AG248" i="47"/>
  <c r="G248" i="47"/>
  <c r="AG247" i="47"/>
  <c r="G247" i="47"/>
  <c r="AG246" i="47"/>
  <c r="G246" i="47"/>
  <c r="AF245" i="47"/>
  <c r="AE245" i="47"/>
  <c r="AD245" i="47"/>
  <c r="AC245" i="47"/>
  <c r="AB245" i="47"/>
  <c r="AA245" i="47"/>
  <c r="Z245" i="47"/>
  <c r="Y245" i="47"/>
  <c r="X245" i="47"/>
  <c r="AG245" i="47" s="1"/>
  <c r="W245" i="47"/>
  <c r="V245" i="47"/>
  <c r="U245" i="47"/>
  <c r="T245" i="47"/>
  <c r="S245" i="47"/>
  <c r="AG244" i="47"/>
  <c r="Q244" i="47"/>
  <c r="G244" i="47"/>
  <c r="AG243" i="47"/>
  <c r="Q243" i="47"/>
  <c r="G243" i="47"/>
  <c r="AG242" i="47"/>
  <c r="Q242" i="47"/>
  <c r="G242" i="47"/>
  <c r="AG241" i="47"/>
  <c r="Q241" i="47"/>
  <c r="G241" i="47"/>
  <c r="AG240" i="47"/>
  <c r="G240" i="47"/>
  <c r="AG239" i="47"/>
  <c r="G239" i="47"/>
  <c r="AG238" i="47"/>
  <c r="G238" i="47"/>
  <c r="AG237" i="47"/>
  <c r="G237" i="47"/>
  <c r="AG236" i="47"/>
  <c r="G236" i="47"/>
  <c r="AG235" i="47"/>
  <c r="G235" i="47"/>
  <c r="AG234" i="47"/>
  <c r="G234" i="47"/>
  <c r="AF233" i="47"/>
  <c r="AE233" i="47"/>
  <c r="AD233" i="47"/>
  <c r="AC233" i="47"/>
  <c r="AC223" i="47" s="1"/>
  <c r="AB233" i="47"/>
  <c r="AA233" i="47"/>
  <c r="AA224" i="47"/>
  <c r="AA223" i="47"/>
  <c r="Z233" i="47"/>
  <c r="Y233" i="47"/>
  <c r="X233" i="47"/>
  <c r="W233" i="47"/>
  <c r="W224" i="47"/>
  <c r="W223" i="47" s="1"/>
  <c r="V233" i="47"/>
  <c r="V224" i="47"/>
  <c r="V223" i="47" s="1"/>
  <c r="U233" i="47"/>
  <c r="T233" i="47"/>
  <c r="S233" i="47"/>
  <c r="AG232" i="47"/>
  <c r="Q232" i="47"/>
  <c r="G232" i="47"/>
  <c r="AG231" i="47"/>
  <c r="Q231" i="47"/>
  <c r="G231" i="47"/>
  <c r="AG230" i="47"/>
  <c r="Q230" i="47"/>
  <c r="G230" i="47"/>
  <c r="AG229" i="47"/>
  <c r="Q229" i="47"/>
  <c r="G229" i="47"/>
  <c r="AG228" i="47"/>
  <c r="Q228" i="47"/>
  <c r="G228" i="47"/>
  <c r="AG227" i="47"/>
  <c r="Q227" i="47"/>
  <c r="G227" i="47"/>
  <c r="AG226" i="47"/>
  <c r="Q226" i="47"/>
  <c r="G226" i="47"/>
  <c r="AG225" i="47"/>
  <c r="Q225" i="47"/>
  <c r="G225" i="47"/>
  <c r="AF224" i="47"/>
  <c r="AE224" i="47"/>
  <c r="AD224" i="47"/>
  <c r="AC224" i="47"/>
  <c r="AB224" i="47"/>
  <c r="Z224" i="47"/>
  <c r="Y224" i="47"/>
  <c r="Y223" i="47" s="1"/>
  <c r="X224" i="47"/>
  <c r="U224" i="47"/>
  <c r="U223" i="47" s="1"/>
  <c r="T224" i="47"/>
  <c r="S224" i="47"/>
  <c r="R223" i="47"/>
  <c r="AG221" i="47"/>
  <c r="Q221" i="47"/>
  <c r="AG220" i="47"/>
  <c r="Q220" i="47"/>
  <c r="AG219" i="47"/>
  <c r="Q219" i="47"/>
  <c r="G219" i="47"/>
  <c r="AG218" i="47"/>
  <c r="Q218" i="47"/>
  <c r="G218" i="47"/>
  <c r="AG217" i="47"/>
  <c r="Q217" i="47"/>
  <c r="G217" i="47"/>
  <c r="AG216" i="47"/>
  <c r="Q216" i="47"/>
  <c r="G216" i="47"/>
  <c r="AG215" i="47"/>
  <c r="Q215" i="47"/>
  <c r="G215" i="47"/>
  <c r="AG214" i="47"/>
  <c r="Q214" i="47"/>
  <c r="G214" i="47"/>
  <c r="AG213" i="47"/>
  <c r="Q213" i="47"/>
  <c r="G213" i="47"/>
  <c r="AG212" i="47"/>
  <c r="Q212" i="47"/>
  <c r="AG211" i="47"/>
  <c r="Q211" i="47"/>
  <c r="AG210" i="47"/>
  <c r="Q210" i="47"/>
  <c r="G210" i="47"/>
  <c r="AG209" i="47"/>
  <c r="Q209" i="47"/>
  <c r="G209" i="47"/>
  <c r="AG208" i="47"/>
  <c r="Q208" i="47"/>
  <c r="G208" i="47"/>
  <c r="AG207" i="47"/>
  <c r="Q207" i="47"/>
  <c r="G207" i="47"/>
  <c r="AG206" i="47"/>
  <c r="Q206" i="47"/>
  <c r="G206" i="47"/>
  <c r="AG205" i="47"/>
  <c r="Q205" i="47"/>
  <c r="G205" i="47"/>
  <c r="AG204" i="47"/>
  <c r="Q204" i="47"/>
  <c r="G204" i="47"/>
  <c r="AG203" i="47"/>
  <c r="Q203" i="47"/>
  <c r="AG202" i="47"/>
  <c r="Q202" i="47"/>
  <c r="G202" i="47"/>
  <c r="AG201" i="47"/>
  <c r="Q201" i="47"/>
  <c r="G201" i="47"/>
  <c r="AG200" i="47"/>
  <c r="Q200" i="47"/>
  <c r="G200" i="47"/>
  <c r="AG199" i="47"/>
  <c r="Q199" i="47"/>
  <c r="G199" i="47"/>
  <c r="AG198" i="47"/>
  <c r="Q198" i="47"/>
  <c r="G198" i="47"/>
  <c r="AG197" i="47"/>
  <c r="Q197" i="47"/>
  <c r="G197" i="47"/>
  <c r="AG196" i="47"/>
  <c r="Q196" i="47"/>
  <c r="G196" i="47"/>
  <c r="AG195" i="47"/>
  <c r="Q195" i="47"/>
  <c r="AG194" i="47"/>
  <c r="Q194" i="47"/>
  <c r="AG193" i="47"/>
  <c r="Q193" i="47"/>
  <c r="AG192" i="47"/>
  <c r="Q192" i="47"/>
  <c r="G192" i="47"/>
  <c r="AG191" i="47"/>
  <c r="Q191" i="47"/>
  <c r="G191" i="47"/>
  <c r="AG190" i="47"/>
  <c r="Q190" i="47"/>
  <c r="G190" i="47"/>
  <c r="AG189" i="47"/>
  <c r="Q189" i="47"/>
  <c r="G189" i="47"/>
  <c r="AG188" i="47"/>
  <c r="Q188" i="47"/>
  <c r="G188" i="47"/>
  <c r="AG187" i="47"/>
  <c r="Q187" i="47"/>
  <c r="G187" i="47"/>
  <c r="AG186" i="47"/>
  <c r="Q186" i="47"/>
  <c r="G186" i="47"/>
  <c r="AG185" i="47"/>
  <c r="Q185" i="47"/>
  <c r="AG184" i="47"/>
  <c r="Q184" i="47"/>
  <c r="G184" i="47"/>
  <c r="AG183" i="47"/>
  <c r="Q183" i="47"/>
  <c r="G183" i="47"/>
  <c r="AG182" i="47"/>
  <c r="Q182" i="47"/>
  <c r="G182" i="47"/>
  <c r="AG181" i="47"/>
  <c r="Q181" i="47"/>
  <c r="AG180" i="47"/>
  <c r="Q180" i="47"/>
  <c r="AG179" i="47"/>
  <c r="Q179" i="47"/>
  <c r="G179" i="47"/>
  <c r="AG178" i="47"/>
  <c r="Q178" i="47"/>
  <c r="G178" i="47"/>
  <c r="AG177" i="47"/>
  <c r="Q177" i="47"/>
  <c r="G177" i="47"/>
  <c r="AG176" i="47"/>
  <c r="Q176" i="47"/>
  <c r="G176" i="47"/>
  <c r="AG175" i="47"/>
  <c r="Q175" i="47"/>
  <c r="G175" i="47"/>
  <c r="AG174" i="47"/>
  <c r="Q174" i="47"/>
  <c r="G174" i="47"/>
  <c r="AG173" i="47"/>
  <c r="Q173" i="47"/>
  <c r="G173" i="47"/>
  <c r="AG172" i="47"/>
  <c r="Q172" i="47"/>
  <c r="AG171" i="47"/>
  <c r="Q171" i="47"/>
  <c r="AG170" i="47"/>
  <c r="Q170" i="47"/>
  <c r="G170" i="47"/>
  <c r="AG169" i="47"/>
  <c r="Q169" i="47"/>
  <c r="G169" i="47"/>
  <c r="AG168" i="47"/>
  <c r="Q168" i="47"/>
  <c r="G168" i="47"/>
  <c r="AG167" i="47"/>
  <c r="Q167" i="47"/>
  <c r="G167" i="47"/>
  <c r="AG166" i="47"/>
  <c r="Q166" i="47"/>
  <c r="G166" i="47"/>
  <c r="AG165" i="47"/>
  <c r="Q165" i="47"/>
  <c r="G165" i="47"/>
  <c r="AG164" i="47"/>
  <c r="Q164" i="47"/>
  <c r="G164" i="47"/>
  <c r="AG163" i="47"/>
  <c r="Q163" i="47"/>
  <c r="AG162" i="47"/>
  <c r="Q162" i="47"/>
  <c r="AG161" i="47"/>
  <c r="Q161" i="47"/>
  <c r="G161" i="47"/>
  <c r="AG160" i="47"/>
  <c r="Q160" i="47"/>
  <c r="G160" i="47"/>
  <c r="AG159" i="47"/>
  <c r="Q159" i="47"/>
  <c r="G159" i="47"/>
  <c r="AG158" i="47"/>
  <c r="Q158" i="47"/>
  <c r="G158" i="47"/>
  <c r="AG157" i="47"/>
  <c r="Q157" i="47"/>
  <c r="G157" i="47"/>
  <c r="AG156" i="47"/>
  <c r="Q156" i="47"/>
  <c r="G156" i="47"/>
  <c r="AG155" i="47"/>
  <c r="Q155" i="47"/>
  <c r="G155" i="47"/>
  <c r="AF154" i="47"/>
  <c r="AE154" i="47"/>
  <c r="AD154" i="47"/>
  <c r="AC154" i="47"/>
  <c r="AB154" i="47"/>
  <c r="AA154" i="47"/>
  <c r="Z154" i="47"/>
  <c r="Y154" i="47"/>
  <c r="X154" i="47"/>
  <c r="W154" i="47"/>
  <c r="V154" i="47"/>
  <c r="U154" i="47"/>
  <c r="T154" i="47"/>
  <c r="S154" i="47"/>
  <c r="AG153" i="47"/>
  <c r="E153" i="47"/>
  <c r="AG152" i="47"/>
  <c r="E152" i="47"/>
  <c r="AG151" i="47"/>
  <c r="Q151" i="47"/>
  <c r="E151" i="47"/>
  <c r="AG150" i="47"/>
  <c r="P150" i="47"/>
  <c r="Q150" i="47" s="1"/>
  <c r="E150" i="47"/>
  <c r="AG149" i="47"/>
  <c r="Q149" i="47"/>
  <c r="E149" i="47"/>
  <c r="AG148" i="47"/>
  <c r="Q148" i="47"/>
  <c r="E148" i="47"/>
  <c r="AG147" i="47"/>
  <c r="Q147" i="47"/>
  <c r="E147" i="47"/>
  <c r="AG146" i="47"/>
  <c r="Q146" i="47"/>
  <c r="E146" i="47"/>
  <c r="AG145" i="47"/>
  <c r="Q145" i="47"/>
  <c r="E145" i="47"/>
  <c r="AG144" i="47"/>
  <c r="Q144" i="47"/>
  <c r="E144" i="47"/>
  <c r="AG143" i="47"/>
  <c r="Q143" i="47"/>
  <c r="E143" i="47"/>
  <c r="AG142" i="47"/>
  <c r="Q142" i="47"/>
  <c r="E142" i="47"/>
  <c r="AG141" i="47"/>
  <c r="Q141" i="47"/>
  <c r="E141" i="47"/>
  <c r="AG140" i="47"/>
  <c r="Q140" i="47"/>
  <c r="E140" i="47"/>
  <c r="AG139" i="47"/>
  <c r="Q139" i="47"/>
  <c r="E139" i="47"/>
  <c r="AG138" i="47"/>
  <c r="Q138" i="47"/>
  <c r="E138" i="47"/>
  <c r="AG137" i="47"/>
  <c r="Q137" i="47"/>
  <c r="E137" i="47"/>
  <c r="AG136" i="47"/>
  <c r="Q136" i="47"/>
  <c r="G136" i="47"/>
  <c r="E136" i="47" s="1"/>
  <c r="AG135" i="47"/>
  <c r="Q135" i="47"/>
  <c r="G135" i="47"/>
  <c r="E135" i="47" s="1"/>
  <c r="AG134" i="47"/>
  <c r="Q134" i="47"/>
  <c r="G134" i="47"/>
  <c r="E134" i="47" s="1"/>
  <c r="AG133" i="47"/>
  <c r="Q133" i="47"/>
  <c r="G133" i="47"/>
  <c r="E133" i="47" s="1"/>
  <c r="AG132" i="47"/>
  <c r="Q132" i="47"/>
  <c r="G132" i="47"/>
  <c r="E132" i="47" s="1"/>
  <c r="AG131" i="47"/>
  <c r="Q131" i="47"/>
  <c r="G131" i="47"/>
  <c r="E131" i="47" s="1"/>
  <c r="AG130" i="47"/>
  <c r="Q130" i="47"/>
  <c r="G130" i="47"/>
  <c r="E130" i="47" s="1"/>
  <c r="AG129" i="47"/>
  <c r="Q129" i="47"/>
  <c r="G129" i="47"/>
  <c r="E129" i="47" s="1"/>
  <c r="AG128" i="47"/>
  <c r="Q128" i="47"/>
  <c r="G128" i="47"/>
  <c r="E128" i="47" s="1"/>
  <c r="AG127" i="47"/>
  <c r="Q127" i="47"/>
  <c r="G127" i="47"/>
  <c r="E127" i="47" s="1"/>
  <c r="AG126" i="47"/>
  <c r="Q126" i="47"/>
  <c r="G126" i="47"/>
  <c r="E126" i="47" s="1"/>
  <c r="AG125" i="47"/>
  <c r="Q125" i="47"/>
  <c r="G125" i="47"/>
  <c r="E125" i="47" s="1"/>
  <c r="AG124" i="47"/>
  <c r="Q124" i="47"/>
  <c r="G124" i="47"/>
  <c r="E124" i="47" s="1"/>
  <c r="AG123" i="47"/>
  <c r="Q123" i="47"/>
  <c r="AG122" i="47"/>
  <c r="Q122" i="47"/>
  <c r="E122" i="47"/>
  <c r="AG121" i="47"/>
  <c r="Q121" i="47"/>
  <c r="E121" i="47"/>
  <c r="AG120" i="47"/>
  <c r="Q120" i="47"/>
  <c r="E120" i="47"/>
  <c r="AG119" i="47"/>
  <c r="Q119" i="47"/>
  <c r="E119" i="47"/>
  <c r="AG118" i="47"/>
  <c r="Q118" i="47"/>
  <c r="E118" i="47"/>
  <c r="AG117" i="47"/>
  <c r="Q117" i="47"/>
  <c r="E117" i="47"/>
  <c r="AG116" i="47"/>
  <c r="Q116" i="47"/>
  <c r="E116" i="47"/>
  <c r="AG115" i="47"/>
  <c r="Q115" i="47"/>
  <c r="E115" i="47"/>
  <c r="AG114" i="47"/>
  <c r="Q114" i="47"/>
  <c r="E114" i="47"/>
  <c r="AG113" i="47"/>
  <c r="Q113" i="47"/>
  <c r="E113" i="47"/>
  <c r="AG112" i="47"/>
  <c r="Q112" i="47"/>
  <c r="E112" i="47"/>
  <c r="AG111" i="47"/>
  <c r="Q111" i="47"/>
  <c r="G111" i="47"/>
  <c r="E111" i="47" s="1"/>
  <c r="AG110" i="47"/>
  <c r="Q110" i="47"/>
  <c r="G110" i="47"/>
  <c r="E110" i="47" s="1"/>
  <c r="AG109" i="47"/>
  <c r="Q109" i="47"/>
  <c r="G109" i="47"/>
  <c r="E109" i="47"/>
  <c r="AG108" i="47"/>
  <c r="Q108" i="47"/>
  <c r="G108" i="47"/>
  <c r="E108" i="47" s="1"/>
  <c r="AG107" i="47"/>
  <c r="Q107" i="47"/>
  <c r="G107" i="47"/>
  <c r="E107" i="47" s="1"/>
  <c r="AG106" i="47"/>
  <c r="Q106" i="47"/>
  <c r="G106" i="47"/>
  <c r="E106" i="47"/>
  <c r="AG105" i="47"/>
  <c r="Q105" i="47"/>
  <c r="G105" i="47"/>
  <c r="E105" i="47" s="1"/>
  <c r="AG104" i="47"/>
  <c r="Q104" i="47"/>
  <c r="G104" i="47"/>
  <c r="E104" i="47" s="1"/>
  <c r="AG103" i="47"/>
  <c r="Q103" i="47"/>
  <c r="G103" i="47"/>
  <c r="E103" i="47"/>
  <c r="AG102" i="47"/>
  <c r="Q102" i="47"/>
  <c r="AG101" i="47"/>
  <c r="Q101" i="47"/>
  <c r="AG100" i="47"/>
  <c r="Q100" i="47"/>
  <c r="AG99" i="47"/>
  <c r="Q99" i="47"/>
  <c r="AG98" i="47"/>
  <c r="Q98" i="47"/>
  <c r="AG97" i="47"/>
  <c r="Q97" i="47"/>
  <c r="AG96" i="47"/>
  <c r="Q96" i="47"/>
  <c r="AG95" i="47"/>
  <c r="Q95" i="47"/>
  <c r="AG94" i="47"/>
  <c r="Q94" i="47"/>
  <c r="AG93" i="47"/>
  <c r="Q93" i="47"/>
  <c r="AG92" i="47"/>
  <c r="Q92" i="47"/>
  <c r="F92" i="47"/>
  <c r="F93" i="47"/>
  <c r="AG91" i="47"/>
  <c r="Q91" i="47"/>
  <c r="E91" i="47"/>
  <c r="AF90" i="47"/>
  <c r="AF89" i="47" s="1"/>
  <c r="AE90" i="47"/>
  <c r="AD90" i="47"/>
  <c r="AD89" i="47" s="1"/>
  <c r="AC90" i="47"/>
  <c r="AC89" i="47" s="1"/>
  <c r="AB90" i="47"/>
  <c r="AA90" i="47"/>
  <c r="Z90" i="47"/>
  <c r="Z89" i="47" s="1"/>
  <c r="Y90" i="47"/>
  <c r="Y89" i="47" s="1"/>
  <c r="X90" i="47"/>
  <c r="X89" i="47" s="1"/>
  <c r="W90" i="47"/>
  <c r="V90" i="47"/>
  <c r="V89" i="47" s="1"/>
  <c r="U90" i="47"/>
  <c r="U89" i="47" s="1"/>
  <c r="T90" i="47"/>
  <c r="S90" i="47"/>
  <c r="AB89" i="47"/>
  <c r="T89" i="47"/>
  <c r="AG88" i="47"/>
  <c r="Q88" i="47"/>
  <c r="G88" i="47"/>
  <c r="AG87" i="47"/>
  <c r="Q87" i="47"/>
  <c r="G87" i="47"/>
  <c r="AG86" i="47"/>
  <c r="Q86" i="47"/>
  <c r="G86" i="47"/>
  <c r="AG85" i="47"/>
  <c r="Q85" i="47"/>
  <c r="G85" i="47"/>
  <c r="AG84" i="47"/>
  <c r="Q84" i="47"/>
  <c r="G84" i="47"/>
  <c r="AG83" i="47"/>
  <c r="Q83" i="47"/>
  <c r="G83" i="47"/>
  <c r="AG82" i="47"/>
  <c r="Q82" i="47"/>
  <c r="G82" i="47"/>
  <c r="AG81" i="47"/>
  <c r="Q81" i="47"/>
  <c r="G81" i="47"/>
  <c r="AG80" i="47"/>
  <c r="Q80" i="47"/>
  <c r="G80" i="47"/>
  <c r="AG79" i="47"/>
  <c r="Q79" i="47"/>
  <c r="G79" i="47"/>
  <c r="AG78" i="47"/>
  <c r="Q78" i="47"/>
  <c r="G78" i="47"/>
  <c r="AG77" i="47"/>
  <c r="Q77" i="47"/>
  <c r="G77" i="47"/>
  <c r="AG76" i="47"/>
  <c r="Q76" i="47"/>
  <c r="G76" i="47"/>
  <c r="AG75" i="47"/>
  <c r="Q75" i="47"/>
  <c r="G75" i="47"/>
  <c r="AG74" i="47"/>
  <c r="Q74" i="47"/>
  <c r="G74" i="47"/>
  <c r="AG73" i="47"/>
  <c r="Q73" i="47"/>
  <c r="G73" i="47"/>
  <c r="AG72" i="47"/>
  <c r="Q72" i="47"/>
  <c r="G72" i="47"/>
  <c r="AG71" i="47"/>
  <c r="Q71" i="47"/>
  <c r="G71" i="47"/>
  <c r="AG70" i="47"/>
  <c r="Q70" i="47"/>
  <c r="G70" i="47"/>
  <c r="AG69" i="47"/>
  <c r="Q69" i="47"/>
  <c r="G69" i="47"/>
  <c r="AG68" i="47"/>
  <c r="Q68" i="47"/>
  <c r="G68" i="47"/>
  <c r="AG67" i="47"/>
  <c r="Q67" i="47"/>
  <c r="G67" i="47"/>
  <c r="AG66" i="47"/>
  <c r="Q66" i="47"/>
  <c r="G66" i="47"/>
  <c r="AG65" i="47"/>
  <c r="Q65" i="47"/>
  <c r="G65" i="47"/>
  <c r="AG64" i="47"/>
  <c r="Q64" i="47"/>
  <c r="G64" i="47"/>
  <c r="AG63" i="47"/>
  <c r="Q63" i="47"/>
  <c r="G63" i="47"/>
  <c r="AG62" i="47"/>
  <c r="Q62" i="47"/>
  <c r="G62" i="47"/>
  <c r="AG61" i="47"/>
  <c r="Q61" i="47"/>
  <c r="G61" i="47"/>
  <c r="AG60" i="47"/>
  <c r="Q60" i="47"/>
  <c r="G60" i="47"/>
  <c r="AG59" i="47"/>
  <c r="Q59" i="47"/>
  <c r="G59" i="47"/>
  <c r="AG58" i="47"/>
  <c r="Q58" i="47"/>
  <c r="G58" i="47"/>
  <c r="AG57" i="47"/>
  <c r="Q57" i="47"/>
  <c r="G57" i="47"/>
  <c r="AG56" i="47"/>
  <c r="Q56" i="47"/>
  <c r="G56" i="47"/>
  <c r="AG55" i="47"/>
  <c r="Q55" i="47"/>
  <c r="G55" i="47"/>
  <c r="AG54" i="47"/>
  <c r="Q54" i="47"/>
  <c r="G54" i="47"/>
  <c r="AG53" i="47"/>
  <c r="Q53" i="47"/>
  <c r="G53" i="47"/>
  <c r="AG52" i="47"/>
  <c r="Q52" i="47"/>
  <c r="G52" i="47"/>
  <c r="AG51" i="47"/>
  <c r="Q51" i="47"/>
  <c r="G51" i="47"/>
  <c r="AG50" i="47"/>
  <c r="Q50" i="47"/>
  <c r="G50" i="47"/>
  <c r="AG49" i="47"/>
  <c r="Q49" i="47"/>
  <c r="G49" i="47"/>
  <c r="AG48" i="47"/>
  <c r="Q48" i="47"/>
  <c r="G48" i="47"/>
  <c r="AG47" i="47"/>
  <c r="Q47" i="47"/>
  <c r="G47" i="47"/>
  <c r="AG46" i="47"/>
  <c r="Q46" i="47"/>
  <c r="G46" i="47"/>
  <c r="AG45" i="47"/>
  <c r="Q45" i="47"/>
  <c r="G45" i="47"/>
  <c r="AG44" i="47"/>
  <c r="Q44" i="47"/>
  <c r="G44" i="47"/>
  <c r="AG43" i="47"/>
  <c r="Q43" i="47"/>
  <c r="G43" i="47"/>
  <c r="AG42" i="47"/>
  <c r="Q42" i="47"/>
  <c r="G42" i="47"/>
  <c r="AG41" i="47"/>
  <c r="Q41" i="47"/>
  <c r="G41" i="47"/>
  <c r="AG40" i="47"/>
  <c r="Q40" i="47"/>
  <c r="G40" i="47"/>
  <c r="AG39" i="47"/>
  <c r="Q39" i="47"/>
  <c r="G39" i="47"/>
  <c r="AG38" i="47"/>
  <c r="Q38" i="47"/>
  <c r="G38" i="47"/>
  <c r="AG37" i="47"/>
  <c r="Q37" i="47"/>
  <c r="G37" i="47"/>
  <c r="AG36" i="47"/>
  <c r="Q36" i="47"/>
  <c r="G36" i="47"/>
  <c r="AG35" i="47"/>
  <c r="Q35" i="47"/>
  <c r="G35" i="47"/>
  <c r="AG34" i="47"/>
  <c r="Q34" i="47"/>
  <c r="G34" i="47"/>
  <c r="AG33" i="47"/>
  <c r="Q33" i="47"/>
  <c r="G33" i="47"/>
  <c r="AG32" i="47"/>
  <c r="Q32" i="47"/>
  <c r="G32" i="47"/>
  <c r="AG31" i="47"/>
  <c r="Q31" i="47"/>
  <c r="G31" i="47"/>
  <c r="AG30" i="47"/>
  <c r="Q30" i="47"/>
  <c r="G30" i="47"/>
  <c r="AG29" i="47"/>
  <c r="Q29" i="47"/>
  <c r="G29" i="47"/>
  <c r="AG28" i="47"/>
  <c r="Q28" i="47"/>
  <c r="G28" i="47"/>
  <c r="AG27" i="47"/>
  <c r="Q27" i="47"/>
  <c r="G27" i="47"/>
  <c r="AG26" i="47"/>
  <c r="Q26" i="47"/>
  <c r="G26" i="47"/>
  <c r="AG25" i="47"/>
  <c r="Q25" i="47"/>
  <c r="G25" i="47"/>
  <c r="AG24" i="47"/>
  <c r="Q24" i="47"/>
  <c r="G24" i="47"/>
  <c r="AG23" i="47"/>
  <c r="Q23" i="47"/>
  <c r="G23" i="47"/>
  <c r="AG22" i="47"/>
  <c r="Q22" i="47"/>
  <c r="G22" i="47"/>
  <c r="AG21" i="47"/>
  <c r="Q21" i="47"/>
  <c r="G21" i="47"/>
  <c r="AG20" i="47"/>
  <c r="Q20" i="47"/>
  <c r="G20" i="47"/>
  <c r="AG19" i="47"/>
  <c r="Q19" i="47"/>
  <c r="G19" i="47"/>
  <c r="AG18" i="47"/>
  <c r="Q18" i="47"/>
  <c r="G18" i="47"/>
  <c r="AG17" i="47"/>
  <c r="Q17" i="47"/>
  <c r="G17" i="47"/>
  <c r="AG16" i="47"/>
  <c r="Q16" i="47"/>
  <c r="G16" i="47"/>
  <c r="AG15" i="47"/>
  <c r="Q15" i="47"/>
  <c r="G15" i="47"/>
  <c r="AG14" i="47"/>
  <c r="Q14" i="47"/>
  <c r="G14" i="47"/>
  <c r="AG13" i="47"/>
  <c r="Q13" i="47"/>
  <c r="G13" i="47"/>
  <c r="AG12" i="47"/>
  <c r="Q12" i="47"/>
  <c r="G12" i="47"/>
  <c r="AG11" i="47"/>
  <c r="Q11" i="47"/>
  <c r="G11" i="47"/>
  <c r="AG10" i="47"/>
  <c r="Q10" i="47"/>
  <c r="G10" i="47"/>
  <c r="AF9" i="47"/>
  <c r="AF8" i="47" s="1"/>
  <c r="AE9" i="47"/>
  <c r="AE8" i="47" s="1"/>
  <c r="AD9" i="47"/>
  <c r="AD8" i="47" s="1"/>
  <c r="AC9" i="47"/>
  <c r="AB9" i="47"/>
  <c r="AB8" i="47"/>
  <c r="AB7" i="47" s="1"/>
  <c r="AA9" i="47"/>
  <c r="AA8" i="47"/>
  <c r="Z9" i="47"/>
  <c r="Z8" i="47" s="1"/>
  <c r="Y9" i="47"/>
  <c r="Y8" i="47" s="1"/>
  <c r="X9" i="47"/>
  <c r="X8" i="47" s="1"/>
  <c r="W9" i="47"/>
  <c r="W8" i="47"/>
  <c r="V9" i="47"/>
  <c r="V8" i="47" s="1"/>
  <c r="U9" i="47"/>
  <c r="T9" i="47"/>
  <c r="T8" i="47" s="1"/>
  <c r="T7" i="47" s="1"/>
  <c r="S9" i="47"/>
  <c r="S8" i="47"/>
  <c r="AC8" i="47"/>
  <c r="U8" i="47"/>
  <c r="R8" i="47"/>
  <c r="Q8" i="47"/>
  <c r="R7" i="47"/>
  <c r="AG672" i="48"/>
  <c r="Q672" i="48"/>
  <c r="AG671" i="48"/>
  <c r="Q671" i="48"/>
  <c r="AG670" i="48"/>
  <c r="Q670" i="48"/>
  <c r="AG669" i="48"/>
  <c r="Q669" i="48"/>
  <c r="AG668" i="48"/>
  <c r="Q668" i="48"/>
  <c r="AG666" i="48"/>
  <c r="Q666" i="48"/>
  <c r="AG665" i="48"/>
  <c r="Q665" i="48"/>
  <c r="AG664" i="48"/>
  <c r="Q664" i="48"/>
  <c r="AG662" i="48"/>
  <c r="Q662" i="48"/>
  <c r="AG661" i="48"/>
  <c r="Q661" i="48"/>
  <c r="AG660" i="48"/>
  <c r="Q660" i="48"/>
  <c r="AG659" i="48"/>
  <c r="Q659" i="48"/>
  <c r="AG658" i="48"/>
  <c r="Q658" i="48"/>
  <c r="AG656" i="48"/>
  <c r="Q656" i="48"/>
  <c r="AF655" i="48"/>
  <c r="AE655" i="48"/>
  <c r="AD655" i="48"/>
  <c r="AC655" i="48"/>
  <c r="AB655" i="48"/>
  <c r="AA655" i="48"/>
  <c r="Z655" i="48"/>
  <c r="Y655" i="48"/>
  <c r="X655" i="48"/>
  <c r="W655" i="48"/>
  <c r="V655" i="48"/>
  <c r="U655" i="48"/>
  <c r="T655" i="48"/>
  <c r="S655" i="48"/>
  <c r="AG654" i="48"/>
  <c r="Q654" i="48"/>
  <c r="AG653" i="48"/>
  <c r="Q653" i="48"/>
  <c r="AG651" i="48"/>
  <c r="Q651" i="48"/>
  <c r="AG650" i="48"/>
  <c r="Q650" i="48"/>
  <c r="AG649" i="48"/>
  <c r="Q649" i="48"/>
  <c r="AG648" i="48"/>
  <c r="Q648" i="48"/>
  <c r="Q645" i="48" s="1"/>
  <c r="AG646" i="48"/>
  <c r="Q646" i="48"/>
  <c r="AF645" i="48"/>
  <c r="AF644" i="48" s="1"/>
  <c r="AE645" i="48"/>
  <c r="AD645" i="48"/>
  <c r="AC645" i="48"/>
  <c r="AC644" i="48"/>
  <c r="AB645" i="48"/>
  <c r="AA645" i="48"/>
  <c r="Z645" i="48"/>
  <c r="Z644" i="48" s="1"/>
  <c r="Y645" i="48"/>
  <c r="Y644" i="48" s="1"/>
  <c r="X645" i="48"/>
  <c r="X644" i="48" s="1"/>
  <c r="W645" i="48"/>
  <c r="V645" i="48"/>
  <c r="U645" i="48"/>
  <c r="S645" i="48"/>
  <c r="T645" i="48"/>
  <c r="T644" i="48"/>
  <c r="AD644" i="48"/>
  <c r="R644" i="48"/>
  <c r="R633" i="48"/>
  <c r="AG643" i="48"/>
  <c r="AF642" i="48"/>
  <c r="AE642" i="48"/>
  <c r="AD642" i="48"/>
  <c r="AC642" i="48"/>
  <c r="AB642" i="48"/>
  <c r="AA642" i="48"/>
  <c r="Z642" i="48"/>
  <c r="Y642" i="48"/>
  <c r="X642" i="48"/>
  <c r="W642" i="48"/>
  <c r="V642" i="48"/>
  <c r="U642" i="48"/>
  <c r="T642" i="48"/>
  <c r="S642" i="48"/>
  <c r="Q642" i="48"/>
  <c r="AG641" i="48"/>
  <c r="AF640" i="48"/>
  <c r="AF639" i="48" s="1"/>
  <c r="AE640" i="48"/>
  <c r="AD640" i="48"/>
  <c r="AD639" i="48"/>
  <c r="AC640" i="48"/>
  <c r="AB640" i="48"/>
  <c r="AB639" i="48"/>
  <c r="AA640" i="48"/>
  <c r="Z640" i="48"/>
  <c r="Z639" i="48" s="1"/>
  <c r="Y640" i="48"/>
  <c r="X640" i="48"/>
  <c r="W640" i="48"/>
  <c r="V640" i="48"/>
  <c r="V639" i="48"/>
  <c r="U640" i="48"/>
  <c r="T640" i="48"/>
  <c r="T639" i="48" s="1"/>
  <c r="S640" i="48"/>
  <c r="Q640" i="48"/>
  <c r="Q639" i="48"/>
  <c r="X639" i="48"/>
  <c r="AG638" i="48"/>
  <c r="AF637" i="48"/>
  <c r="AE637" i="48"/>
  <c r="AD637" i="48"/>
  <c r="AC637" i="48"/>
  <c r="AB637" i="48"/>
  <c r="AA637" i="48"/>
  <c r="Z637" i="48"/>
  <c r="Z634" i="48" s="1"/>
  <c r="Y637" i="48"/>
  <c r="X637" i="48"/>
  <c r="W637" i="48"/>
  <c r="V637" i="48"/>
  <c r="U637" i="48"/>
  <c r="T637" i="48"/>
  <c r="S637" i="48"/>
  <c r="Q637" i="48"/>
  <c r="AG636" i="48"/>
  <c r="AF635" i="48"/>
  <c r="AF634" i="48" s="1"/>
  <c r="AE635" i="48"/>
  <c r="AD635" i="48"/>
  <c r="AD634" i="48" s="1"/>
  <c r="AC635" i="48"/>
  <c r="AB635" i="48"/>
  <c r="AB634" i="48"/>
  <c r="AA635" i="48"/>
  <c r="Z635" i="48"/>
  <c r="Y635" i="48"/>
  <c r="X635" i="48"/>
  <c r="X634" i="48"/>
  <c r="W635" i="48"/>
  <c r="V635" i="48"/>
  <c r="U635" i="48"/>
  <c r="T635" i="48"/>
  <c r="T634" i="48"/>
  <c r="S635" i="48"/>
  <c r="Q635" i="48"/>
  <c r="V634" i="48"/>
  <c r="Q634" i="48"/>
  <c r="AG632" i="48"/>
  <c r="AG628" i="48"/>
  <c r="Q628" i="48"/>
  <c r="AF627" i="48"/>
  <c r="AE627" i="48"/>
  <c r="AE626" i="48" s="1"/>
  <c r="AD627" i="48"/>
  <c r="AD626" i="48" s="1"/>
  <c r="AC627" i="48"/>
  <c r="AC626" i="48"/>
  <c r="AB627" i="48"/>
  <c r="AB626" i="48" s="1"/>
  <c r="AA627" i="48"/>
  <c r="AA626" i="48" s="1"/>
  <c r="Z627" i="48"/>
  <c r="Z626" i="48"/>
  <c r="Y627" i="48"/>
  <c r="Y626" i="48"/>
  <c r="X627" i="48"/>
  <c r="W627" i="48"/>
  <c r="W626" i="48" s="1"/>
  <c r="V627" i="48"/>
  <c r="V626" i="48"/>
  <c r="U627" i="48"/>
  <c r="U626" i="48"/>
  <c r="T627" i="48"/>
  <c r="T626" i="48" s="1"/>
  <c r="S627" i="48"/>
  <c r="Q627" i="48"/>
  <c r="Q626" i="48" s="1"/>
  <c r="AF626" i="48"/>
  <c r="X626" i="48"/>
  <c r="AG625" i="48"/>
  <c r="Q625" i="48"/>
  <c r="AG624" i="48"/>
  <c r="Q624" i="48"/>
  <c r="G624" i="48"/>
  <c r="AG623" i="48"/>
  <c r="G623" i="48"/>
  <c r="AG622" i="48"/>
  <c r="Q622" i="48"/>
  <c r="G622" i="48"/>
  <c r="AG621" i="48"/>
  <c r="Q621" i="48"/>
  <c r="G621" i="48"/>
  <c r="AG620" i="48"/>
  <c r="Q620" i="48"/>
  <c r="G620" i="48"/>
  <c r="AG619" i="48"/>
  <c r="Q619" i="48"/>
  <c r="G619" i="48"/>
  <c r="AG618" i="48"/>
  <c r="Q618" i="48"/>
  <c r="G618" i="48"/>
  <c r="AG617" i="48"/>
  <c r="Q617" i="48"/>
  <c r="G617" i="48"/>
  <c r="AG616" i="48"/>
  <c r="Q616" i="48"/>
  <c r="G616" i="48"/>
  <c r="AG615" i="48"/>
  <c r="Q615" i="48"/>
  <c r="G615" i="48"/>
  <c r="AG614" i="48"/>
  <c r="Q614" i="48"/>
  <c r="G614" i="48"/>
  <c r="AG613" i="48"/>
  <c r="Q613" i="48"/>
  <c r="G613" i="48"/>
  <c r="AG612" i="48"/>
  <c r="Q612" i="48"/>
  <c r="Q606" i="48" s="1"/>
  <c r="G612" i="48"/>
  <c r="AG611" i="48"/>
  <c r="Q611" i="48"/>
  <c r="G611" i="48"/>
  <c r="AG610" i="48"/>
  <c r="Q610" i="48"/>
  <c r="G610" i="48"/>
  <c r="AG609" i="48"/>
  <c r="Q609" i="48"/>
  <c r="Q608" i="48"/>
  <c r="G609" i="48"/>
  <c r="AG608" i="48"/>
  <c r="G608" i="48"/>
  <c r="G607" i="48"/>
  <c r="Y606" i="48"/>
  <c r="X606" i="48"/>
  <c r="W606" i="48"/>
  <c r="V606" i="48"/>
  <c r="U606" i="48"/>
  <c r="AG605" i="48"/>
  <c r="Q605" i="48"/>
  <c r="AG604" i="48"/>
  <c r="Q604" i="48"/>
  <c r="Y603" i="48"/>
  <c r="X603" i="48"/>
  <c r="W603" i="48"/>
  <c r="V603" i="48"/>
  <c r="U603" i="48"/>
  <c r="AF602" i="48"/>
  <c r="AE602" i="48"/>
  <c r="AD602" i="48"/>
  <c r="AC602" i="48"/>
  <c r="AB602" i="48"/>
  <c r="AA602" i="48"/>
  <c r="Z602" i="48"/>
  <c r="U602" i="48"/>
  <c r="T602" i="48"/>
  <c r="S602" i="48"/>
  <c r="R602" i="48"/>
  <c r="AG601" i="48"/>
  <c r="Q601" i="48"/>
  <c r="E601" i="48"/>
  <c r="F601" i="48"/>
  <c r="AG600" i="48"/>
  <c r="Q600" i="48"/>
  <c r="E600" i="48"/>
  <c r="F600" i="48"/>
  <c r="AG599" i="48"/>
  <c r="Q599" i="48"/>
  <c r="E599" i="48"/>
  <c r="F599" i="48"/>
  <c r="AG598" i="48"/>
  <c r="Q598" i="48"/>
  <c r="F598" i="48"/>
  <c r="AG597" i="48"/>
  <c r="Q597" i="48"/>
  <c r="E597" i="48"/>
  <c r="F597" i="48"/>
  <c r="AG596" i="48"/>
  <c r="Q596" i="48"/>
  <c r="Q590" i="48"/>
  <c r="Q591" i="48"/>
  <c r="Q593" i="48"/>
  <c r="Q594" i="48"/>
  <c r="E596" i="48"/>
  <c r="F596" i="48"/>
  <c r="E595" i="48"/>
  <c r="F595" i="48"/>
  <c r="AG594" i="48"/>
  <c r="E594" i="48"/>
  <c r="F594" i="48"/>
  <c r="AG593" i="48"/>
  <c r="F593" i="48"/>
  <c r="F592" i="48"/>
  <c r="AG591" i="48"/>
  <c r="F591" i="48"/>
  <c r="AG590" i="48"/>
  <c r="E590" i="48"/>
  <c r="F590" i="48" s="1"/>
  <c r="AF589" i="48"/>
  <c r="AE589" i="48"/>
  <c r="AD589" i="48"/>
  <c r="AC589" i="48"/>
  <c r="AB589" i="48"/>
  <c r="AA589" i="48"/>
  <c r="AA586" i="48"/>
  <c r="AA585" i="48" s="1"/>
  <c r="Z589" i="48"/>
  <c r="Y589" i="48"/>
  <c r="X589" i="48"/>
  <c r="W589" i="48"/>
  <c r="V589" i="48"/>
  <c r="U589" i="48"/>
  <c r="U585" i="48" s="1"/>
  <c r="T589" i="48"/>
  <c r="S589" i="48"/>
  <c r="AG588" i="48"/>
  <c r="Q588" i="48"/>
  <c r="F588" i="48"/>
  <c r="AG587" i="48"/>
  <c r="Q587" i="48"/>
  <c r="E587" i="48"/>
  <c r="F587" i="48"/>
  <c r="AF586" i="48"/>
  <c r="AE586" i="48"/>
  <c r="AE585" i="48"/>
  <c r="AD586" i="48"/>
  <c r="AC586" i="48"/>
  <c r="AC585" i="48" s="1"/>
  <c r="AB586" i="48"/>
  <c r="Z586" i="48"/>
  <c r="Y586" i="48"/>
  <c r="Y585" i="48" s="1"/>
  <c r="X586" i="48"/>
  <c r="W586" i="48"/>
  <c r="V586" i="48"/>
  <c r="U586" i="48"/>
  <c r="T586" i="48"/>
  <c r="S586" i="48"/>
  <c r="W585" i="48"/>
  <c r="R585" i="48"/>
  <c r="AG584" i="48"/>
  <c r="Q584" i="48"/>
  <c r="G584" i="48"/>
  <c r="AG583" i="48"/>
  <c r="Q583" i="48"/>
  <c r="G583" i="48"/>
  <c r="AG582" i="48"/>
  <c r="Q582" i="48"/>
  <c r="G582" i="48"/>
  <c r="AG581" i="48"/>
  <c r="Q581" i="48"/>
  <c r="G581" i="48"/>
  <c r="AG580" i="48"/>
  <c r="P580" i="48"/>
  <c r="Q580" i="48"/>
  <c r="G580" i="48"/>
  <c r="AG579" i="48"/>
  <c r="Q579" i="48"/>
  <c r="G579" i="48"/>
  <c r="AF578" i="48"/>
  <c r="AE578" i="48"/>
  <c r="AD578" i="48"/>
  <c r="AC578" i="48"/>
  <c r="AB578" i="48"/>
  <c r="AA578" i="48"/>
  <c r="Z578" i="48"/>
  <c r="Y578" i="48"/>
  <c r="X578" i="48"/>
  <c r="W578" i="48"/>
  <c r="V578" i="48"/>
  <c r="U578" i="48"/>
  <c r="T578" i="48"/>
  <c r="S578" i="48"/>
  <c r="AG577" i="48"/>
  <c r="Q577" i="48"/>
  <c r="G577" i="48"/>
  <c r="AG576" i="48"/>
  <c r="Q576" i="48"/>
  <c r="Q575" i="48"/>
  <c r="G576" i="48"/>
  <c r="AF575" i="48"/>
  <c r="AE575" i="48"/>
  <c r="AD575" i="48"/>
  <c r="AC575" i="48"/>
  <c r="AB575" i="48"/>
  <c r="AA575" i="48"/>
  <c r="Z575" i="48"/>
  <c r="Y575" i="48"/>
  <c r="X575" i="48"/>
  <c r="W575" i="48"/>
  <c r="V575" i="48"/>
  <c r="U575" i="48"/>
  <c r="T575" i="48"/>
  <c r="S575" i="48"/>
  <c r="AG574" i="48"/>
  <c r="Q574" i="48"/>
  <c r="G574" i="48"/>
  <c r="AG573" i="48"/>
  <c r="G573" i="48"/>
  <c r="AG572" i="48"/>
  <c r="Q572" i="48"/>
  <c r="G572" i="48"/>
  <c r="AG571" i="48"/>
  <c r="Q571" i="48"/>
  <c r="G571" i="48"/>
  <c r="AG570" i="48"/>
  <c r="Q570" i="48"/>
  <c r="G570" i="48"/>
  <c r="G569" i="48"/>
  <c r="AG568" i="48"/>
  <c r="Q568" i="48"/>
  <c r="G568" i="48"/>
  <c r="AG567" i="48"/>
  <c r="Q567" i="48"/>
  <c r="G567" i="48"/>
  <c r="AG566" i="48"/>
  <c r="Q566" i="48"/>
  <c r="G566" i="48"/>
  <c r="G565" i="48"/>
  <c r="AG564" i="48"/>
  <c r="Q564" i="48"/>
  <c r="G564" i="48"/>
  <c r="AF563" i="48"/>
  <c r="AE563" i="48"/>
  <c r="AD563" i="48"/>
  <c r="AC563" i="48"/>
  <c r="AB563" i="48"/>
  <c r="AA563" i="48"/>
  <c r="Z563" i="48"/>
  <c r="Y563" i="48"/>
  <c r="X563" i="48"/>
  <c r="W563" i="48"/>
  <c r="V563" i="48"/>
  <c r="U563" i="48"/>
  <c r="T563" i="48"/>
  <c r="S563" i="48"/>
  <c r="AG562" i="48"/>
  <c r="Q562" i="48"/>
  <c r="G562" i="48"/>
  <c r="AG561" i="48"/>
  <c r="Q561" i="48"/>
  <c r="G561" i="48"/>
  <c r="AG560" i="48"/>
  <c r="Q560" i="48"/>
  <c r="G560" i="48"/>
  <c r="AG559" i="48"/>
  <c r="Q559" i="48"/>
  <c r="G559" i="48"/>
  <c r="AF558" i="48"/>
  <c r="AE558" i="48"/>
  <c r="AD558" i="48"/>
  <c r="AC558" i="48"/>
  <c r="AB558" i="48"/>
  <c r="AA558" i="48"/>
  <c r="Z558" i="48"/>
  <c r="Y558" i="48"/>
  <c r="X558" i="48"/>
  <c r="W558" i="48"/>
  <c r="V558" i="48"/>
  <c r="U558" i="48"/>
  <c r="T558" i="48"/>
  <c r="S558" i="48"/>
  <c r="AG557" i="48"/>
  <c r="Q557" i="48"/>
  <c r="G557" i="48"/>
  <c r="AF556" i="48"/>
  <c r="AE556" i="48"/>
  <c r="AD556" i="48"/>
  <c r="AC556" i="48"/>
  <c r="AB556" i="48"/>
  <c r="AA556" i="48"/>
  <c r="Z556" i="48"/>
  <c r="Y556" i="48"/>
  <c r="X556" i="48"/>
  <c r="W556" i="48"/>
  <c r="V556" i="48"/>
  <c r="U556" i="48"/>
  <c r="T556" i="48"/>
  <c r="S556" i="48"/>
  <c r="Q556" i="48"/>
  <c r="AG555" i="48"/>
  <c r="Q555" i="48"/>
  <c r="Q554" i="48" s="1"/>
  <c r="G555" i="48"/>
  <c r="AF554" i="48"/>
  <c r="AE554" i="48"/>
  <c r="AD554" i="48"/>
  <c r="AC554" i="48"/>
  <c r="AB554" i="48"/>
  <c r="AA554" i="48"/>
  <c r="Z554" i="48"/>
  <c r="Y554" i="48"/>
  <c r="X554" i="48"/>
  <c r="W554" i="48"/>
  <c r="W544" i="48" s="1"/>
  <c r="V554" i="48"/>
  <c r="U554" i="48"/>
  <c r="T554" i="48"/>
  <c r="S554" i="48"/>
  <c r="AG553" i="48"/>
  <c r="Q553" i="48"/>
  <c r="G553" i="48"/>
  <c r="AG552" i="48"/>
  <c r="Q552" i="48"/>
  <c r="G552" i="48"/>
  <c r="AG551" i="48"/>
  <c r="Q551" i="48"/>
  <c r="G551" i="48"/>
  <c r="AG550" i="48"/>
  <c r="Q550" i="48"/>
  <c r="E550" i="48"/>
  <c r="G550" i="48"/>
  <c r="AF549" i="48"/>
  <c r="AE549" i="48"/>
  <c r="AD549" i="48"/>
  <c r="AC549" i="48"/>
  <c r="AB549" i="48"/>
  <c r="AA549" i="48"/>
  <c r="Z549" i="48"/>
  <c r="Y549" i="48"/>
  <c r="X549" i="48"/>
  <c r="W549" i="48"/>
  <c r="V549" i="48"/>
  <c r="U549" i="48"/>
  <c r="T549" i="48"/>
  <c r="S549" i="48"/>
  <c r="AG548" i="48"/>
  <c r="Q548" i="48"/>
  <c r="G548" i="48"/>
  <c r="AG547" i="48"/>
  <c r="Q547" i="48"/>
  <c r="G547" i="48"/>
  <c r="AG546" i="48"/>
  <c r="E546" i="48"/>
  <c r="G546" i="48" s="1"/>
  <c r="AF545" i="48"/>
  <c r="AE545" i="48"/>
  <c r="AD545" i="48"/>
  <c r="AC545" i="48"/>
  <c r="AB545" i="48"/>
  <c r="AA545" i="48"/>
  <c r="Z545" i="48"/>
  <c r="Y545" i="48"/>
  <c r="X545" i="48"/>
  <c r="W545" i="48"/>
  <c r="V545" i="48"/>
  <c r="U545" i="48"/>
  <c r="T545" i="48"/>
  <c r="S545" i="48"/>
  <c r="R544" i="48"/>
  <c r="AG543" i="48"/>
  <c r="Q543" i="48"/>
  <c r="E543" i="48"/>
  <c r="G543" i="48"/>
  <c r="AG542" i="48"/>
  <c r="Q542" i="48"/>
  <c r="E542" i="48"/>
  <c r="G542" i="48"/>
  <c r="AG541" i="48"/>
  <c r="Q541" i="48"/>
  <c r="E541" i="48"/>
  <c r="G541" i="48" s="1"/>
  <c r="AG540" i="48"/>
  <c r="Q540" i="48"/>
  <c r="E540" i="48"/>
  <c r="G540" i="48"/>
  <c r="AG539" i="48"/>
  <c r="Q539" i="48"/>
  <c r="E539" i="48"/>
  <c r="G539" i="48"/>
  <c r="AG538" i="48"/>
  <c r="P538" i="48"/>
  <c r="Q538" i="48"/>
  <c r="E538" i="48"/>
  <c r="G538" i="48" s="1"/>
  <c r="AG537" i="48"/>
  <c r="Q537" i="48"/>
  <c r="E537" i="48"/>
  <c r="G537" i="48" s="1"/>
  <c r="AG536" i="48"/>
  <c r="Q536" i="48"/>
  <c r="E536" i="48"/>
  <c r="G536" i="48" s="1"/>
  <c r="E535" i="48"/>
  <c r="G535" i="48"/>
  <c r="AG534" i="48"/>
  <c r="Q534" i="48"/>
  <c r="E534" i="48"/>
  <c r="G534" i="48"/>
  <c r="AG533" i="48"/>
  <c r="P533" i="48"/>
  <c r="Q533" i="48" s="1"/>
  <c r="E533" i="48"/>
  <c r="G533" i="48"/>
  <c r="AG532" i="48"/>
  <c r="Q532" i="48"/>
  <c r="E532" i="48"/>
  <c r="G532" i="48" s="1"/>
  <c r="AG531" i="48"/>
  <c r="Q531" i="48"/>
  <c r="E531" i="48"/>
  <c r="G531" i="48"/>
  <c r="AG530" i="48"/>
  <c r="Q530" i="48"/>
  <c r="E530" i="48"/>
  <c r="G530" i="48"/>
  <c r="AG529" i="48"/>
  <c r="Q529" i="48"/>
  <c r="E529" i="48"/>
  <c r="G529" i="48"/>
  <c r="AG528" i="48"/>
  <c r="Q528" i="48"/>
  <c r="E528" i="48"/>
  <c r="G528" i="48"/>
  <c r="AG527" i="48"/>
  <c r="Q527" i="48"/>
  <c r="E527" i="48"/>
  <c r="G527" i="48"/>
  <c r="AG526" i="48"/>
  <c r="Q526" i="48"/>
  <c r="E526" i="48"/>
  <c r="G526" i="48" s="1"/>
  <c r="AG525" i="48"/>
  <c r="Q525" i="48"/>
  <c r="E525" i="48"/>
  <c r="G525" i="48"/>
  <c r="AG524" i="48"/>
  <c r="Q524" i="48"/>
  <c r="E524" i="48"/>
  <c r="G524" i="48"/>
  <c r="AG523" i="48"/>
  <c r="Q523" i="48"/>
  <c r="E523" i="48"/>
  <c r="G523" i="48"/>
  <c r="AG522" i="48"/>
  <c r="Q522" i="48"/>
  <c r="E522" i="48"/>
  <c r="G522" i="48"/>
  <c r="E521" i="48"/>
  <c r="G521" i="48" s="1"/>
  <c r="AF520" i="48"/>
  <c r="AE520" i="48"/>
  <c r="AD520" i="48"/>
  <c r="AC520" i="48"/>
  <c r="AB520" i="48"/>
  <c r="AA520" i="48"/>
  <c r="Z520" i="48"/>
  <c r="Y520" i="48"/>
  <c r="X520" i="48"/>
  <c r="W520" i="48"/>
  <c r="W494" i="48" s="1"/>
  <c r="V520" i="48"/>
  <c r="U520" i="48"/>
  <c r="T520" i="48"/>
  <c r="S520" i="48"/>
  <c r="AG519" i="48"/>
  <c r="Q519" i="48"/>
  <c r="E519" i="48"/>
  <c r="G519" i="48"/>
  <c r="AG518" i="48"/>
  <c r="Q518" i="48"/>
  <c r="E518" i="48"/>
  <c r="G518" i="48"/>
  <c r="AG517" i="48"/>
  <c r="Q517" i="48"/>
  <c r="E517" i="48"/>
  <c r="G517" i="48"/>
  <c r="E516" i="48"/>
  <c r="G516" i="48" s="1"/>
  <c r="AG515" i="48"/>
  <c r="Q515" i="48"/>
  <c r="E515" i="48"/>
  <c r="G515" i="48"/>
  <c r="AG514" i="48"/>
  <c r="Q514" i="48"/>
  <c r="E514" i="48"/>
  <c r="G514" i="48" s="1"/>
  <c r="E513" i="48"/>
  <c r="G513" i="48"/>
  <c r="AF512" i="48"/>
  <c r="AE512" i="48"/>
  <c r="AD512" i="48"/>
  <c r="AC512" i="48"/>
  <c r="AB512" i="48"/>
  <c r="AA512" i="48"/>
  <c r="Z512" i="48"/>
  <c r="Y512" i="48"/>
  <c r="X512" i="48"/>
  <c r="W512" i="48"/>
  <c r="V512" i="48"/>
  <c r="U512" i="48"/>
  <c r="T512" i="48"/>
  <c r="S512" i="48"/>
  <c r="AG511" i="48"/>
  <c r="Q511" i="48"/>
  <c r="E511" i="48"/>
  <c r="G511" i="48"/>
  <c r="AG510" i="48"/>
  <c r="Q510" i="48"/>
  <c r="E510" i="48"/>
  <c r="G510" i="48"/>
  <c r="E509" i="48"/>
  <c r="G509" i="48"/>
  <c r="AG508" i="48"/>
  <c r="P508" i="48"/>
  <c r="Q508" i="48" s="1"/>
  <c r="E508" i="48"/>
  <c r="G508" i="48" s="1"/>
  <c r="AG507" i="48"/>
  <c r="Q507" i="48"/>
  <c r="E507" i="48"/>
  <c r="G507" i="48" s="1"/>
  <c r="AG506" i="48"/>
  <c r="Q506" i="48"/>
  <c r="E506" i="48"/>
  <c r="G506" i="48" s="1"/>
  <c r="AG505" i="48"/>
  <c r="Q505" i="48"/>
  <c r="E505" i="48"/>
  <c r="G505" i="48" s="1"/>
  <c r="AG504" i="48"/>
  <c r="P504" i="48"/>
  <c r="Q504" i="48"/>
  <c r="E504" i="48"/>
  <c r="G504" i="48" s="1"/>
  <c r="AG503" i="48"/>
  <c r="Q503" i="48"/>
  <c r="E503" i="48"/>
  <c r="G503" i="48" s="1"/>
  <c r="AG502" i="48"/>
  <c r="Q502" i="48"/>
  <c r="E502" i="48"/>
  <c r="G502" i="48"/>
  <c r="E501" i="48"/>
  <c r="G501" i="48"/>
  <c r="AG500" i="48"/>
  <c r="Q500" i="48"/>
  <c r="E500" i="48"/>
  <c r="G500" i="48"/>
  <c r="AG499" i="48"/>
  <c r="Q499" i="48"/>
  <c r="E499" i="48"/>
  <c r="G499" i="48" s="1"/>
  <c r="AG498" i="48"/>
  <c r="Q498" i="48"/>
  <c r="E498" i="48"/>
  <c r="G498" i="48"/>
  <c r="AG497" i="48"/>
  <c r="Q497" i="48"/>
  <c r="E497" i="48"/>
  <c r="G497" i="48" s="1"/>
  <c r="E496" i="48"/>
  <c r="G496" i="48" s="1"/>
  <c r="AF495" i="48"/>
  <c r="AF494" i="48" s="1"/>
  <c r="AE495" i="48"/>
  <c r="AD495" i="48"/>
  <c r="AC495" i="48"/>
  <c r="AC494" i="48"/>
  <c r="AB495" i="48"/>
  <c r="AA495" i="48"/>
  <c r="Z495" i="48"/>
  <c r="Y495" i="48"/>
  <c r="X495" i="48"/>
  <c r="X494" i="48" s="1"/>
  <c r="W495" i="48"/>
  <c r="V495" i="48"/>
  <c r="U495" i="48"/>
  <c r="U494" i="48" s="1"/>
  <c r="T495" i="48"/>
  <c r="T494" i="48" s="1"/>
  <c r="S495" i="48"/>
  <c r="S494" i="48" s="1"/>
  <c r="AE494" i="48"/>
  <c r="AB494" i="48"/>
  <c r="AA494" i="48"/>
  <c r="R494" i="48"/>
  <c r="AG492" i="48"/>
  <c r="Q492" i="48"/>
  <c r="E492" i="48"/>
  <c r="G492" i="48"/>
  <c r="AG491" i="48"/>
  <c r="E491" i="48"/>
  <c r="G491" i="48"/>
  <c r="AF490" i="48"/>
  <c r="AE490" i="48"/>
  <c r="AD490" i="48"/>
  <c r="AC490" i="48"/>
  <c r="AB490" i="48"/>
  <c r="AA490" i="48"/>
  <c r="Z490" i="48"/>
  <c r="Y490" i="48"/>
  <c r="X490" i="48"/>
  <c r="W490" i="48"/>
  <c r="V490" i="48"/>
  <c r="U490" i="48"/>
  <c r="T490" i="48"/>
  <c r="S490" i="48"/>
  <c r="Q490" i="48"/>
  <c r="AG489" i="48"/>
  <c r="Q489" i="48"/>
  <c r="G489" i="48"/>
  <c r="AG488" i="48"/>
  <c r="Q488" i="48"/>
  <c r="G488" i="48"/>
  <c r="AG487" i="48"/>
  <c r="Q487" i="48"/>
  <c r="G487" i="48"/>
  <c r="AG486" i="48"/>
  <c r="Q486" i="48"/>
  <c r="G486" i="48"/>
  <c r="AG485" i="48"/>
  <c r="Q485" i="48"/>
  <c r="G485" i="48"/>
  <c r="G484" i="48"/>
  <c r="AF483" i="48"/>
  <c r="AE483" i="48"/>
  <c r="AD483" i="48"/>
  <c r="AC483" i="48"/>
  <c r="AB483" i="48"/>
  <c r="AA483" i="48"/>
  <c r="Z483" i="48"/>
  <c r="Y483" i="48"/>
  <c r="X483" i="48"/>
  <c r="W483" i="48"/>
  <c r="V483" i="48"/>
  <c r="U483" i="48"/>
  <c r="T483" i="48"/>
  <c r="S483" i="48"/>
  <c r="AG482" i="48"/>
  <c r="Q482" i="48"/>
  <c r="G482" i="48"/>
  <c r="AG481" i="48"/>
  <c r="Q481" i="48"/>
  <c r="G481" i="48"/>
  <c r="AG480" i="48"/>
  <c r="Q480" i="48"/>
  <c r="G480" i="48"/>
  <c r="AG479" i="48"/>
  <c r="Q479" i="48"/>
  <c r="G479" i="48"/>
  <c r="AG478" i="48"/>
  <c r="Q478" i="48"/>
  <c r="Q477" i="48"/>
  <c r="Q475" i="48"/>
  <c r="G478" i="48"/>
  <c r="AG477" i="48"/>
  <c r="G477" i="48"/>
  <c r="G476" i="48"/>
  <c r="AF475" i="48"/>
  <c r="AE475" i="48"/>
  <c r="AD475" i="48"/>
  <c r="AC475" i="48"/>
  <c r="AB475" i="48"/>
  <c r="AA475" i="48"/>
  <c r="Z475" i="48"/>
  <c r="Y475" i="48"/>
  <c r="X475" i="48"/>
  <c r="W475" i="48"/>
  <c r="V475" i="48"/>
  <c r="U475" i="48"/>
  <c r="T475" i="48"/>
  <c r="S475" i="48"/>
  <c r="AG474" i="48"/>
  <c r="Q474" i="48"/>
  <c r="G474" i="48"/>
  <c r="AG473" i="48"/>
  <c r="Q473" i="48"/>
  <c r="G473" i="48"/>
  <c r="AG472" i="48"/>
  <c r="Q472" i="48"/>
  <c r="G472" i="48"/>
  <c r="AG471" i="48"/>
  <c r="Q471" i="48"/>
  <c r="G471" i="48"/>
  <c r="G470" i="48"/>
  <c r="AG469" i="48"/>
  <c r="Q469" i="48"/>
  <c r="G469" i="48"/>
  <c r="AG468" i="48"/>
  <c r="Q468" i="48"/>
  <c r="G468" i="48"/>
  <c r="AG467" i="48"/>
  <c r="Q467" i="48"/>
  <c r="G467" i="48"/>
  <c r="G466" i="48"/>
  <c r="AG465" i="48"/>
  <c r="Q465" i="48"/>
  <c r="G465" i="48"/>
  <c r="AG464" i="48"/>
  <c r="Q464" i="48"/>
  <c r="G464" i="48"/>
  <c r="AG463" i="48"/>
  <c r="Q463" i="48"/>
  <c r="G463" i="48"/>
  <c r="AG462" i="48"/>
  <c r="Q462" i="48"/>
  <c r="G462" i="48"/>
  <c r="AG461" i="48"/>
  <c r="Q461" i="48"/>
  <c r="G461" i="48"/>
  <c r="AG460" i="48"/>
  <c r="Q460" i="48"/>
  <c r="G460" i="48"/>
  <c r="G459" i="48"/>
  <c r="AF458" i="48"/>
  <c r="AE458" i="48"/>
  <c r="AD458" i="48"/>
  <c r="AC458" i="48"/>
  <c r="AB458" i="48"/>
  <c r="AA458" i="48"/>
  <c r="Z458" i="48"/>
  <c r="Y458" i="48"/>
  <c r="X458" i="48"/>
  <c r="W458" i="48"/>
  <c r="V458" i="48"/>
  <c r="U458" i="48"/>
  <c r="T458" i="48"/>
  <c r="S458" i="48"/>
  <c r="AG457" i="48"/>
  <c r="Q457" i="48"/>
  <c r="G457" i="48"/>
  <c r="AG456" i="48"/>
  <c r="P456" i="48"/>
  <c r="Q456" i="48"/>
  <c r="E456" i="48"/>
  <c r="G456" i="48" s="1"/>
  <c r="AG455" i="48"/>
  <c r="P455" i="48"/>
  <c r="Q455" i="48" s="1"/>
  <c r="E455" i="48"/>
  <c r="G455" i="48" s="1"/>
  <c r="AG454" i="48"/>
  <c r="P454" i="48"/>
  <c r="Q454" i="48"/>
  <c r="E454" i="48"/>
  <c r="G454" i="48"/>
  <c r="AG453" i="48"/>
  <c r="P453" i="48"/>
  <c r="Q453" i="48"/>
  <c r="G453" i="48"/>
  <c r="AG452" i="48"/>
  <c r="P452" i="48"/>
  <c r="Q452" i="48" s="1"/>
  <c r="G452" i="48"/>
  <c r="G451" i="48"/>
  <c r="AF449" i="48"/>
  <c r="AE449" i="48"/>
  <c r="AD449" i="48"/>
  <c r="AC449" i="48"/>
  <c r="AB449" i="48"/>
  <c r="AA449" i="48"/>
  <c r="Z449" i="48"/>
  <c r="Y449" i="48"/>
  <c r="X449" i="48"/>
  <c r="W449" i="48"/>
  <c r="V449" i="48"/>
  <c r="U449" i="48"/>
  <c r="T449" i="48"/>
  <c r="S449" i="48"/>
  <c r="AG449" i="48"/>
  <c r="AG448" i="48"/>
  <c r="Q448" i="48"/>
  <c r="AG447" i="48"/>
  <c r="Q447" i="48"/>
  <c r="E447" i="48"/>
  <c r="G447" i="48" s="1"/>
  <c r="AG446" i="48"/>
  <c r="Q446" i="48"/>
  <c r="E446" i="48"/>
  <c r="G446" i="48"/>
  <c r="AG445" i="48"/>
  <c r="Q445" i="48"/>
  <c r="E445" i="48"/>
  <c r="G445" i="48" s="1"/>
  <c r="AG444" i="48"/>
  <c r="Q444" i="48"/>
  <c r="Q441" i="48" s="1"/>
  <c r="E444" i="48"/>
  <c r="G444" i="48" s="1"/>
  <c r="AG443" i="48"/>
  <c r="Q443" i="48"/>
  <c r="G443" i="48"/>
  <c r="G442" i="48"/>
  <c r="AF441" i="48"/>
  <c r="AE441" i="48"/>
  <c r="AD441" i="48"/>
  <c r="AC441" i="48"/>
  <c r="AB441" i="48"/>
  <c r="AA441" i="48"/>
  <c r="Z441" i="48"/>
  <c r="Y441" i="48"/>
  <c r="X441" i="48"/>
  <c r="W441" i="48"/>
  <c r="V441" i="48"/>
  <c r="U441" i="48"/>
  <c r="T441" i="48"/>
  <c r="S441" i="48"/>
  <c r="AG439" i="48"/>
  <c r="Q439" i="48"/>
  <c r="G439" i="48"/>
  <c r="AG438" i="48"/>
  <c r="Q438" i="48"/>
  <c r="G438" i="48"/>
  <c r="AG437" i="48"/>
  <c r="Q437" i="48"/>
  <c r="G437" i="48"/>
  <c r="G436" i="48"/>
  <c r="AG435" i="48"/>
  <c r="Q435" i="48"/>
  <c r="G435" i="48"/>
  <c r="AG434" i="48"/>
  <c r="Q434" i="48"/>
  <c r="G434" i="48"/>
  <c r="AG433" i="48"/>
  <c r="Q433" i="48"/>
  <c r="G433" i="48"/>
  <c r="AG432" i="48"/>
  <c r="Q432" i="48"/>
  <c r="G432" i="48"/>
  <c r="AG431" i="48"/>
  <c r="P431" i="48"/>
  <c r="Q431" i="48" s="1"/>
  <c r="G431" i="48"/>
  <c r="AG430" i="48"/>
  <c r="P430" i="48"/>
  <c r="Q430" i="48" s="1"/>
  <c r="G430" i="48"/>
  <c r="G429" i="48"/>
  <c r="AG428" i="48"/>
  <c r="Q428" i="48"/>
  <c r="G428" i="48"/>
  <c r="AG427" i="48"/>
  <c r="Q427" i="48"/>
  <c r="G427" i="48"/>
  <c r="AG426" i="48"/>
  <c r="Q426" i="48"/>
  <c r="G426" i="48"/>
  <c r="AG425" i="48"/>
  <c r="Q425" i="48"/>
  <c r="G425" i="48"/>
  <c r="AG424" i="48"/>
  <c r="P424" i="48"/>
  <c r="Q424" i="48" s="1"/>
  <c r="G424" i="48"/>
  <c r="AG423" i="48"/>
  <c r="P423" i="48"/>
  <c r="Q423" i="48"/>
  <c r="G423" i="48"/>
  <c r="G422" i="48"/>
  <c r="AG421" i="48"/>
  <c r="Q421" i="48"/>
  <c r="G421" i="48"/>
  <c r="AG420" i="48"/>
  <c r="Q420" i="48"/>
  <c r="G420" i="48"/>
  <c r="AG419" i="48"/>
  <c r="Q419" i="48"/>
  <c r="G419" i="48"/>
  <c r="AG418" i="48"/>
  <c r="P418" i="48"/>
  <c r="Q418" i="48" s="1"/>
  <c r="G418" i="48"/>
  <c r="AG417" i="48"/>
  <c r="P417" i="48"/>
  <c r="Q417" i="48" s="1"/>
  <c r="G417" i="48"/>
  <c r="G416" i="48"/>
  <c r="AG415" i="48"/>
  <c r="Q415" i="48"/>
  <c r="G415" i="48"/>
  <c r="AG414" i="48"/>
  <c r="Q414" i="48"/>
  <c r="G414" i="48"/>
  <c r="AG413" i="48"/>
  <c r="Q413" i="48"/>
  <c r="G413" i="48"/>
  <c r="AG412" i="48"/>
  <c r="Q412" i="48"/>
  <c r="G412" i="48"/>
  <c r="AG411" i="48"/>
  <c r="Q411" i="48"/>
  <c r="G411" i="48"/>
  <c r="AG410" i="48"/>
  <c r="Q410" i="48"/>
  <c r="G410" i="48"/>
  <c r="AG409" i="48"/>
  <c r="P409" i="48"/>
  <c r="Q409" i="48"/>
  <c r="G409" i="48"/>
  <c r="AG408" i="48"/>
  <c r="P408" i="48"/>
  <c r="Q408" i="48"/>
  <c r="G408" i="48"/>
  <c r="G407" i="48"/>
  <c r="AG406" i="48"/>
  <c r="Q406" i="48"/>
  <c r="E406" i="48"/>
  <c r="G406" i="48"/>
  <c r="AF405" i="48"/>
  <c r="AF404" i="48"/>
  <c r="AE405" i="48"/>
  <c r="AE404" i="48" s="1"/>
  <c r="AD405" i="48"/>
  <c r="AD404" i="48"/>
  <c r="AC405" i="48"/>
  <c r="AC404" i="48" s="1"/>
  <c r="AB405" i="48"/>
  <c r="AA405" i="48"/>
  <c r="AA404" i="48" s="1"/>
  <c r="Z405" i="48"/>
  <c r="Z404" i="48" s="1"/>
  <c r="Y405" i="48"/>
  <c r="X405" i="48"/>
  <c r="X404" i="48" s="1"/>
  <c r="W405" i="48"/>
  <c r="W404" i="48" s="1"/>
  <c r="V405" i="48"/>
  <c r="V404" i="48" s="1"/>
  <c r="U405" i="48"/>
  <c r="T405" i="48"/>
  <c r="T404" i="48" s="1"/>
  <c r="S405" i="48"/>
  <c r="AB404" i="48"/>
  <c r="Y404" i="48"/>
  <c r="U404" i="48"/>
  <c r="R404" i="48"/>
  <c r="R403" i="48" s="1"/>
  <c r="AG402" i="48"/>
  <c r="Q402" i="48"/>
  <c r="G402" i="48"/>
  <c r="AF401" i="48"/>
  <c r="AF388" i="48"/>
  <c r="AF391" i="48"/>
  <c r="AF396" i="48"/>
  <c r="AF399" i="48"/>
  <c r="AF387" i="48"/>
  <c r="AE401" i="48"/>
  <c r="AD401" i="48"/>
  <c r="AC401" i="48"/>
  <c r="AC388" i="48"/>
  <c r="AC387" i="48" s="1"/>
  <c r="AC391" i="48"/>
  <c r="AC396" i="48"/>
  <c r="AC399" i="48"/>
  <c r="AB401" i="48"/>
  <c r="AB388" i="48"/>
  <c r="AB391" i="48"/>
  <c r="AB396" i="48"/>
  <c r="AB387" i="48" s="1"/>
  <c r="AB399" i="48"/>
  <c r="AA401" i="48"/>
  <c r="Z401" i="48"/>
  <c r="Y401" i="48"/>
  <c r="X401" i="48"/>
  <c r="X388" i="48"/>
  <c r="X387" i="48" s="1"/>
  <c r="X391" i="48"/>
  <c r="X396" i="48"/>
  <c r="X399" i="48"/>
  <c r="W401" i="48"/>
  <c r="V401" i="48"/>
  <c r="U401" i="48"/>
  <c r="U388" i="48"/>
  <c r="U391" i="48"/>
  <c r="U387" i="48" s="1"/>
  <c r="U396" i="48"/>
  <c r="U399" i="48"/>
  <c r="T401" i="48"/>
  <c r="T388" i="48"/>
  <c r="T387" i="48" s="1"/>
  <c r="T391" i="48"/>
  <c r="T396" i="48"/>
  <c r="T399" i="48"/>
  <c r="S401" i="48"/>
  <c r="Q401" i="48"/>
  <c r="AG400" i="48"/>
  <c r="Q400" i="48"/>
  <c r="Q399" i="48" s="1"/>
  <c r="G400" i="48"/>
  <c r="AE399" i="48"/>
  <c r="AD399" i="48"/>
  <c r="AA399" i="48"/>
  <c r="Z399" i="48"/>
  <c r="Y399" i="48"/>
  <c r="W399" i="48"/>
  <c r="V399" i="48"/>
  <c r="S399" i="48"/>
  <c r="AG398" i="48"/>
  <c r="Q398" i="48"/>
  <c r="G398" i="48"/>
  <c r="AG397" i="48"/>
  <c r="Q397" i="48"/>
  <c r="Q396" i="48" s="1"/>
  <c r="G397" i="48"/>
  <c r="AE396" i="48"/>
  <c r="AD396" i="48"/>
  <c r="AA396" i="48"/>
  <c r="Z396" i="48"/>
  <c r="Y396" i="48"/>
  <c r="W396" i="48"/>
  <c r="V396" i="48"/>
  <c r="S396" i="48"/>
  <c r="AG395" i="48"/>
  <c r="Q395" i="48"/>
  <c r="G395" i="48"/>
  <c r="AG394" i="48"/>
  <c r="Q394" i="48"/>
  <c r="G394" i="48"/>
  <c r="G393" i="48"/>
  <c r="AG392" i="48"/>
  <c r="Q392" i="48"/>
  <c r="Q391" i="48"/>
  <c r="G392" i="48"/>
  <c r="AE391" i="48"/>
  <c r="AD391" i="48"/>
  <c r="AA391" i="48"/>
  <c r="Z391" i="48"/>
  <c r="Y391" i="48"/>
  <c r="W391" i="48"/>
  <c r="V391" i="48"/>
  <c r="S391" i="48"/>
  <c r="AG390" i="48"/>
  <c r="Q390" i="48"/>
  <c r="G390" i="48"/>
  <c r="AG389" i="48"/>
  <c r="Q389" i="48"/>
  <c r="Q388" i="48"/>
  <c r="G389" i="48"/>
  <c r="AE388" i="48"/>
  <c r="AD388" i="48"/>
  <c r="AA388" i="48"/>
  <c r="Z388" i="48"/>
  <c r="Y388" i="48"/>
  <c r="W388" i="48"/>
  <c r="V388" i="48"/>
  <c r="S388" i="48"/>
  <c r="AG386" i="48"/>
  <c r="Q386" i="48"/>
  <c r="AG385" i="48"/>
  <c r="Q385" i="48"/>
  <c r="AF383" i="48"/>
  <c r="AE383" i="48"/>
  <c r="AD383" i="48"/>
  <c r="AC383" i="48"/>
  <c r="AB383" i="48"/>
  <c r="AA383" i="48"/>
  <c r="Z383" i="48"/>
  <c r="Y383" i="48"/>
  <c r="X383" i="48"/>
  <c r="W383" i="48"/>
  <c r="V383" i="48"/>
  <c r="U383" i="48"/>
  <c r="T383" i="48"/>
  <c r="S383" i="48"/>
  <c r="S333" i="48"/>
  <c r="S332" i="48" s="1"/>
  <c r="S347" i="48"/>
  <c r="S363" i="48"/>
  <c r="AG382" i="48"/>
  <c r="Q382" i="48"/>
  <c r="AG381" i="48"/>
  <c r="Q381" i="48"/>
  <c r="AG380" i="48"/>
  <c r="Q380" i="48"/>
  <c r="AG379" i="48"/>
  <c r="Q379" i="48"/>
  <c r="AG378" i="48"/>
  <c r="Q378" i="48"/>
  <c r="AG377" i="48"/>
  <c r="Q377" i="48"/>
  <c r="AG376" i="48"/>
  <c r="Q376" i="48"/>
  <c r="AG375" i="48"/>
  <c r="Q375" i="48"/>
  <c r="AG374" i="48"/>
  <c r="Q374" i="48"/>
  <c r="AG373" i="48"/>
  <c r="Q373" i="48"/>
  <c r="AG372" i="48"/>
  <c r="Q372" i="48"/>
  <c r="AG370" i="48"/>
  <c r="Q370" i="48"/>
  <c r="G370" i="48"/>
  <c r="AG369" i="48"/>
  <c r="Q369" i="48"/>
  <c r="G369" i="48"/>
  <c r="AG368" i="48"/>
  <c r="Q368" i="48"/>
  <c r="G368" i="48"/>
  <c r="G367" i="48"/>
  <c r="AG366" i="48"/>
  <c r="Q366" i="48"/>
  <c r="AG365" i="48"/>
  <c r="Q365" i="48"/>
  <c r="AF363" i="48"/>
  <c r="AE363" i="48"/>
  <c r="AD363" i="48"/>
  <c r="AC363" i="48"/>
  <c r="AB363" i="48"/>
  <c r="AA363" i="48"/>
  <c r="Z363" i="48"/>
  <c r="Y363" i="48"/>
  <c r="X363" i="48"/>
  <c r="W363" i="48"/>
  <c r="V363" i="48"/>
  <c r="U363" i="48"/>
  <c r="T363" i="48"/>
  <c r="AG362" i="48"/>
  <c r="Q362" i="48"/>
  <c r="AG361" i="48"/>
  <c r="Q361" i="48"/>
  <c r="AG360" i="48"/>
  <c r="Q360" i="48"/>
  <c r="G360" i="48"/>
  <c r="G359" i="48"/>
  <c r="AG358" i="48"/>
  <c r="Q358" i="48"/>
  <c r="G358" i="48"/>
  <c r="AG357" i="48"/>
  <c r="Q357" i="48"/>
  <c r="G357" i="48"/>
  <c r="AG356" i="48"/>
  <c r="Q356" i="48"/>
  <c r="G356" i="48"/>
  <c r="AG355" i="48"/>
  <c r="Q355" i="48"/>
  <c r="AG353" i="48"/>
  <c r="Q353" i="48"/>
  <c r="E353" i="48"/>
  <c r="AG352" i="48"/>
  <c r="Q352" i="48"/>
  <c r="AG350" i="48"/>
  <c r="Q350" i="48"/>
  <c r="E350" i="48"/>
  <c r="AG349" i="48"/>
  <c r="Q349" i="48"/>
  <c r="AF347" i="48"/>
  <c r="AE347" i="48"/>
  <c r="AD347" i="48"/>
  <c r="AC347" i="48"/>
  <c r="AB347" i="48"/>
  <c r="AA347" i="48"/>
  <c r="Z347" i="48"/>
  <c r="Y347" i="48"/>
  <c r="X347" i="48"/>
  <c r="W347" i="48"/>
  <c r="V347" i="48"/>
  <c r="U347" i="48"/>
  <c r="T347" i="48"/>
  <c r="AG346" i="48"/>
  <c r="Q346" i="48"/>
  <c r="AG345" i="48"/>
  <c r="Q345" i="48"/>
  <c r="AG344" i="48"/>
  <c r="Q344" i="48"/>
  <c r="AG342" i="48"/>
  <c r="Q342" i="48"/>
  <c r="AG341" i="48"/>
  <c r="Q341" i="48"/>
  <c r="AG339" i="48"/>
  <c r="Q339" i="48"/>
  <c r="AG338" i="48"/>
  <c r="Q338" i="48"/>
  <c r="AG336" i="48"/>
  <c r="Q336" i="48"/>
  <c r="AG335" i="48"/>
  <c r="Q335" i="48"/>
  <c r="G335" i="48"/>
  <c r="G336" i="48" s="1"/>
  <c r="G334" i="48"/>
  <c r="AF333" i="48"/>
  <c r="AE333" i="48"/>
  <c r="AD333" i="48"/>
  <c r="AD332" i="48" s="1"/>
  <c r="AC333" i="48"/>
  <c r="AB333" i="48"/>
  <c r="AA333" i="48"/>
  <c r="Z333" i="48"/>
  <c r="Z332" i="48" s="1"/>
  <c r="Y333" i="48"/>
  <c r="X333" i="48"/>
  <c r="W333" i="48"/>
  <c r="V333" i="48"/>
  <c r="V332" i="48"/>
  <c r="U333" i="48"/>
  <c r="T333" i="48"/>
  <c r="R332" i="48"/>
  <c r="AG331" i="48"/>
  <c r="Q331" i="48"/>
  <c r="G331" i="48"/>
  <c r="AG330" i="48"/>
  <c r="Q330" i="48"/>
  <c r="G330" i="48"/>
  <c r="AG329" i="48"/>
  <c r="Q329" i="48"/>
  <c r="G329" i="48"/>
  <c r="AG328" i="48"/>
  <c r="Q328" i="48"/>
  <c r="G328" i="48"/>
  <c r="AG327" i="48"/>
  <c r="Q327" i="48"/>
  <c r="G327" i="48"/>
  <c r="AG326" i="48"/>
  <c r="Q326" i="48"/>
  <c r="G326" i="48"/>
  <c r="AG325" i="48"/>
  <c r="Q325" i="48"/>
  <c r="G325" i="48"/>
  <c r="AG324" i="48"/>
  <c r="Q324" i="48"/>
  <c r="G324" i="48"/>
  <c r="AG323" i="48"/>
  <c r="Q323" i="48"/>
  <c r="G323" i="48"/>
  <c r="AG322" i="48"/>
  <c r="Q322" i="48"/>
  <c r="G322" i="48"/>
  <c r="G321" i="48"/>
  <c r="AG320" i="48"/>
  <c r="Q320" i="48"/>
  <c r="G320" i="48"/>
  <c r="AG319" i="48"/>
  <c r="Q319" i="48"/>
  <c r="G319" i="48"/>
  <c r="AG318" i="48"/>
  <c r="Q318" i="48"/>
  <c r="G318" i="48"/>
  <c r="AG317" i="48"/>
  <c r="Q317" i="48"/>
  <c r="G317" i="48"/>
  <c r="AG316" i="48"/>
  <c r="Q316" i="48"/>
  <c r="G316" i="48"/>
  <c r="AG315" i="48"/>
  <c r="Q315" i="48"/>
  <c r="G315" i="48"/>
  <c r="AG314" i="48"/>
  <c r="Q314" i="48"/>
  <c r="G314" i="48"/>
  <c r="AG313" i="48"/>
  <c r="Q313" i="48"/>
  <c r="G313" i="48"/>
  <c r="G312" i="48"/>
  <c r="AF311" i="48"/>
  <c r="AE311" i="48"/>
  <c r="AD311" i="48"/>
  <c r="AC311" i="48"/>
  <c r="AB311" i="48"/>
  <c r="AA311" i="48"/>
  <c r="Z311" i="48"/>
  <c r="Y311" i="48"/>
  <c r="X311" i="48"/>
  <c r="W311" i="48"/>
  <c r="V311" i="48"/>
  <c r="U311" i="48"/>
  <c r="T311" i="48"/>
  <c r="S311" i="48"/>
  <c r="AG310" i="48"/>
  <c r="Q310" i="48"/>
  <c r="G310" i="48"/>
  <c r="AG309" i="48"/>
  <c r="Q309" i="48"/>
  <c r="G309" i="48"/>
  <c r="G308" i="48"/>
  <c r="AG307" i="48"/>
  <c r="Q307" i="48"/>
  <c r="G307" i="48"/>
  <c r="AG306" i="48"/>
  <c r="Q306" i="48"/>
  <c r="G306" i="48"/>
  <c r="AG305" i="48"/>
  <c r="Q305" i="48"/>
  <c r="G305" i="48"/>
  <c r="AG304" i="48"/>
  <c r="Q304" i="48"/>
  <c r="G304" i="48"/>
  <c r="AG303" i="48"/>
  <c r="Q303" i="48"/>
  <c r="G303" i="48"/>
  <c r="AG302" i="48"/>
  <c r="Q302" i="48"/>
  <c r="G302" i="48"/>
  <c r="AG301" i="48"/>
  <c r="Q301" i="48"/>
  <c r="G301" i="48"/>
  <c r="G300" i="48"/>
  <c r="AG299" i="48"/>
  <c r="Q299" i="48"/>
  <c r="G299" i="48"/>
  <c r="AG298" i="48"/>
  <c r="Q298" i="48"/>
  <c r="G298" i="48"/>
  <c r="AG297" i="48"/>
  <c r="Q297" i="48"/>
  <c r="G297" i="48"/>
  <c r="AG296" i="48"/>
  <c r="Q296" i="48"/>
  <c r="G296" i="48"/>
  <c r="AG295" i="48"/>
  <c r="Q295" i="48"/>
  <c r="G295" i="48"/>
  <c r="AG294" i="48"/>
  <c r="Q294" i="48"/>
  <c r="G294" i="48"/>
  <c r="AG293" i="48"/>
  <c r="Q293" i="48"/>
  <c r="G293" i="48"/>
  <c r="AG292" i="48"/>
  <c r="Q292" i="48"/>
  <c r="G292" i="48"/>
  <c r="AG291" i="48"/>
  <c r="Q291" i="48"/>
  <c r="G291" i="48"/>
  <c r="G290" i="48"/>
  <c r="AF289" i="48"/>
  <c r="AE289" i="48"/>
  <c r="AD289" i="48"/>
  <c r="AC289" i="48"/>
  <c r="AB289" i="48"/>
  <c r="AA289" i="48"/>
  <c r="Z289" i="48"/>
  <c r="Y289" i="48"/>
  <c r="X289" i="48"/>
  <c r="W289" i="48"/>
  <c r="V289" i="48"/>
  <c r="U289" i="48"/>
  <c r="T289" i="48"/>
  <c r="S289" i="48"/>
  <c r="AG288" i="48"/>
  <c r="Q288" i="48"/>
  <c r="G288" i="48"/>
  <c r="AG287" i="48"/>
  <c r="Q287" i="48"/>
  <c r="G287" i="48"/>
  <c r="AG286" i="48"/>
  <c r="Q286" i="48"/>
  <c r="G286" i="48"/>
  <c r="AG285" i="48"/>
  <c r="Q285" i="48"/>
  <c r="G285" i="48"/>
  <c r="AG284" i="48"/>
  <c r="Q284" i="48"/>
  <c r="G284" i="48"/>
  <c r="AG283" i="48"/>
  <c r="Q283" i="48"/>
  <c r="G283" i="48"/>
  <c r="AG282" i="48"/>
  <c r="Q282" i="48"/>
  <c r="G282" i="48"/>
  <c r="AG281" i="48"/>
  <c r="Q281" i="48"/>
  <c r="G281" i="48"/>
  <c r="AG280" i="48"/>
  <c r="Q280" i="48"/>
  <c r="G280" i="48"/>
  <c r="AG279" i="48"/>
  <c r="Q279" i="48"/>
  <c r="G279" i="48"/>
  <c r="G278" i="48"/>
  <c r="AG277" i="48"/>
  <c r="Q277" i="48"/>
  <c r="G277" i="48"/>
  <c r="AG276" i="48"/>
  <c r="Q276" i="48"/>
  <c r="G276" i="48"/>
  <c r="AG275" i="48"/>
  <c r="Q275" i="48"/>
  <c r="G275" i="48"/>
  <c r="AG274" i="48"/>
  <c r="Q274" i="48"/>
  <c r="G274" i="48"/>
  <c r="G273" i="48"/>
  <c r="AG272" i="48"/>
  <c r="Q272" i="48"/>
  <c r="G272" i="48"/>
  <c r="AG271" i="48"/>
  <c r="Q271" i="48"/>
  <c r="G271" i="48"/>
  <c r="AG270" i="48"/>
  <c r="Q270" i="48"/>
  <c r="G270" i="48"/>
  <c r="AG269" i="48"/>
  <c r="Q269" i="48"/>
  <c r="G269" i="48"/>
  <c r="G268" i="48"/>
  <c r="AF267" i="48"/>
  <c r="AE267" i="48"/>
  <c r="AD267" i="48"/>
  <c r="AC267" i="48"/>
  <c r="AB267" i="48"/>
  <c r="AA267" i="48"/>
  <c r="Z267" i="48"/>
  <c r="Y267" i="48"/>
  <c r="X267" i="48"/>
  <c r="W267" i="48"/>
  <c r="V267" i="48"/>
  <c r="U267" i="48"/>
  <c r="U244" i="48"/>
  <c r="U243" i="48" s="1"/>
  <c r="U254" i="48"/>
  <c r="T267" i="48"/>
  <c r="S267" i="48"/>
  <c r="AG266" i="48"/>
  <c r="Q266" i="48"/>
  <c r="G266" i="48"/>
  <c r="AG265" i="48"/>
  <c r="Q265" i="48"/>
  <c r="G265" i="48"/>
  <c r="AG264" i="48"/>
  <c r="Q264" i="48"/>
  <c r="G264" i="48"/>
  <c r="AG263" i="48"/>
  <c r="Q263" i="48"/>
  <c r="G263" i="48"/>
  <c r="AG262" i="48"/>
  <c r="G262" i="48"/>
  <c r="AG261" i="48"/>
  <c r="G261" i="48"/>
  <c r="AG260" i="48"/>
  <c r="G260" i="48"/>
  <c r="AG259" i="48"/>
  <c r="G259" i="48"/>
  <c r="AG258" i="48"/>
  <c r="G258" i="48"/>
  <c r="AG257" i="48"/>
  <c r="G257" i="48"/>
  <c r="AG256" i="48"/>
  <c r="G256" i="48"/>
  <c r="G255" i="48"/>
  <c r="AF254" i="48"/>
  <c r="AE254" i="48"/>
  <c r="AD254" i="48"/>
  <c r="AD243" i="48" s="1"/>
  <c r="AC254" i="48"/>
  <c r="AB254" i="48"/>
  <c r="AA254" i="48"/>
  <c r="Z254" i="48"/>
  <c r="Y254" i="48"/>
  <c r="X254" i="48"/>
  <c r="W254" i="48"/>
  <c r="V254" i="48"/>
  <c r="T254" i="48"/>
  <c r="S254" i="48"/>
  <c r="Q254" i="48"/>
  <c r="AG253" i="48"/>
  <c r="Q253" i="48"/>
  <c r="G253" i="48"/>
  <c r="AG252" i="48"/>
  <c r="Q252" i="48"/>
  <c r="G252" i="48"/>
  <c r="AG251" i="48"/>
  <c r="Q251" i="48"/>
  <c r="G251" i="48"/>
  <c r="AG250" i="48"/>
  <c r="Q250" i="48"/>
  <c r="G250" i="48"/>
  <c r="AG249" i="48"/>
  <c r="Q249" i="48"/>
  <c r="G249" i="48"/>
  <c r="AG248" i="48"/>
  <c r="Q248" i="48"/>
  <c r="G248" i="48"/>
  <c r="AG247" i="48"/>
  <c r="Q247" i="48"/>
  <c r="Q246" i="48"/>
  <c r="Q244" i="48" s="1"/>
  <c r="G247" i="48"/>
  <c r="AG246" i="48"/>
  <c r="G246" i="48"/>
  <c r="G245" i="48"/>
  <c r="AF244" i="48"/>
  <c r="AE244" i="48"/>
  <c r="AD244" i="48"/>
  <c r="AC244" i="48"/>
  <c r="AB244" i="48"/>
  <c r="AA244" i="48"/>
  <c r="Z244" i="48"/>
  <c r="Z243" i="48" s="1"/>
  <c r="Y244" i="48"/>
  <c r="X244" i="48"/>
  <c r="W244" i="48"/>
  <c r="V244" i="48"/>
  <c r="T244" i="48"/>
  <c r="S244" i="48"/>
  <c r="AE243" i="48"/>
  <c r="R243" i="48"/>
  <c r="R242" i="48" s="1"/>
  <c r="AG241" i="48"/>
  <c r="Q241" i="48"/>
  <c r="AG240" i="48"/>
  <c r="Q240" i="48"/>
  <c r="AG239" i="48"/>
  <c r="Q239" i="48"/>
  <c r="G239" i="48"/>
  <c r="AG238" i="48"/>
  <c r="Q238" i="48"/>
  <c r="G238" i="48"/>
  <c r="AG237" i="48"/>
  <c r="Q237" i="48"/>
  <c r="G237" i="48"/>
  <c r="AG236" i="48"/>
  <c r="Q236" i="48"/>
  <c r="G236" i="48"/>
  <c r="AG235" i="48"/>
  <c r="Q235" i="48"/>
  <c r="G235" i="48"/>
  <c r="AG234" i="48"/>
  <c r="Q234" i="48"/>
  <c r="G234" i="48"/>
  <c r="AG233" i="48"/>
  <c r="Q233" i="48"/>
  <c r="G233" i="48"/>
  <c r="G232" i="48"/>
  <c r="AG231" i="48"/>
  <c r="Q231" i="48"/>
  <c r="AG230" i="48"/>
  <c r="Q230" i="48"/>
  <c r="AG229" i="48"/>
  <c r="Q229" i="48"/>
  <c r="G229" i="48"/>
  <c r="AG228" i="48"/>
  <c r="Q228" i="48"/>
  <c r="G228" i="48"/>
  <c r="AG227" i="48"/>
  <c r="Q227" i="48"/>
  <c r="G227" i="48"/>
  <c r="AG226" i="48"/>
  <c r="Q226" i="48"/>
  <c r="G226" i="48"/>
  <c r="AG225" i="48"/>
  <c r="Q225" i="48"/>
  <c r="G225" i="48"/>
  <c r="AG224" i="48"/>
  <c r="Q224" i="48"/>
  <c r="G224" i="48"/>
  <c r="AG223" i="48"/>
  <c r="Q223" i="48"/>
  <c r="G223" i="48"/>
  <c r="G222" i="48"/>
  <c r="AG221" i="48"/>
  <c r="Q221" i="48"/>
  <c r="AG220" i="48"/>
  <c r="Q220" i="48"/>
  <c r="G220" i="48"/>
  <c r="AG219" i="48"/>
  <c r="Q219" i="48"/>
  <c r="G219" i="48"/>
  <c r="AG218" i="48"/>
  <c r="Q218" i="48"/>
  <c r="G218" i="48"/>
  <c r="AG217" i="48"/>
  <c r="Q217" i="48"/>
  <c r="G217" i="48"/>
  <c r="AG216" i="48"/>
  <c r="Q216" i="48"/>
  <c r="G216" i="48"/>
  <c r="AG215" i="48"/>
  <c r="Q215" i="48"/>
  <c r="G215" i="48"/>
  <c r="AG214" i="48"/>
  <c r="Q214" i="48"/>
  <c r="G214" i="48"/>
  <c r="G213" i="48"/>
  <c r="AG212" i="48"/>
  <c r="Q212" i="48"/>
  <c r="AG211" i="48"/>
  <c r="Q211" i="48"/>
  <c r="AG210" i="48"/>
  <c r="Q210" i="48"/>
  <c r="AG209" i="48"/>
  <c r="Q209" i="48"/>
  <c r="G209" i="48"/>
  <c r="AG208" i="48"/>
  <c r="Q208" i="48"/>
  <c r="G208" i="48"/>
  <c r="AG207" i="48"/>
  <c r="Q207" i="48"/>
  <c r="G207" i="48"/>
  <c r="AG206" i="48"/>
  <c r="Q206" i="48"/>
  <c r="G206" i="48"/>
  <c r="AG205" i="48"/>
  <c r="Q205" i="48"/>
  <c r="G205" i="48"/>
  <c r="AG204" i="48"/>
  <c r="Q204" i="48"/>
  <c r="G204" i="48"/>
  <c r="AG203" i="48"/>
  <c r="Q203" i="48"/>
  <c r="G203" i="48"/>
  <c r="G202" i="48"/>
  <c r="AG201" i="48"/>
  <c r="Q201" i="48"/>
  <c r="AG200" i="48"/>
  <c r="Q200" i="48"/>
  <c r="G200" i="48"/>
  <c r="AG199" i="48"/>
  <c r="Q199" i="48"/>
  <c r="G199" i="48"/>
  <c r="AG198" i="48"/>
  <c r="Q198" i="48"/>
  <c r="G198" i="48"/>
  <c r="G197" i="48"/>
  <c r="AG196" i="48"/>
  <c r="Q196" i="48"/>
  <c r="AG195" i="48"/>
  <c r="Q195" i="48"/>
  <c r="AG194" i="48"/>
  <c r="Q194" i="48"/>
  <c r="G194" i="48"/>
  <c r="AG193" i="48"/>
  <c r="Q193" i="48"/>
  <c r="G193" i="48"/>
  <c r="AG192" i="48"/>
  <c r="Q192" i="48"/>
  <c r="G192" i="48"/>
  <c r="AG191" i="48"/>
  <c r="Q191" i="48"/>
  <c r="G191" i="48"/>
  <c r="AG190" i="48"/>
  <c r="Q190" i="48"/>
  <c r="G190" i="48"/>
  <c r="AG189" i="48"/>
  <c r="Q189" i="48"/>
  <c r="G189" i="48"/>
  <c r="AG188" i="48"/>
  <c r="Q188" i="48"/>
  <c r="G188" i="48"/>
  <c r="G187" i="48"/>
  <c r="AG186" i="48"/>
  <c r="Q186" i="48"/>
  <c r="AG185" i="48"/>
  <c r="Q185" i="48"/>
  <c r="AG184" i="48"/>
  <c r="Q184" i="48"/>
  <c r="G184" i="48"/>
  <c r="AG183" i="48"/>
  <c r="Q183" i="48"/>
  <c r="G183" i="48"/>
  <c r="AG182" i="48"/>
  <c r="Q182" i="48"/>
  <c r="G182" i="48"/>
  <c r="AG181" i="48"/>
  <c r="Q181" i="48"/>
  <c r="G181" i="48"/>
  <c r="AG180" i="48"/>
  <c r="Q180" i="48"/>
  <c r="G180" i="48"/>
  <c r="AG179" i="48"/>
  <c r="Q179" i="48"/>
  <c r="G179" i="48"/>
  <c r="AG178" i="48"/>
  <c r="Q178" i="48"/>
  <c r="G178" i="48"/>
  <c r="G177" i="48"/>
  <c r="AG176" i="48"/>
  <c r="Q176" i="48"/>
  <c r="AG175" i="48"/>
  <c r="Q175" i="48"/>
  <c r="AG174" i="48"/>
  <c r="Q174" i="48"/>
  <c r="G174" i="48"/>
  <c r="AG173" i="48"/>
  <c r="Q173" i="48"/>
  <c r="G173" i="48"/>
  <c r="AG172" i="48"/>
  <c r="Q172" i="48"/>
  <c r="G172" i="48"/>
  <c r="AG171" i="48"/>
  <c r="Q171" i="48"/>
  <c r="G171" i="48"/>
  <c r="AG170" i="48"/>
  <c r="Q170" i="48"/>
  <c r="G170" i="48"/>
  <c r="AG169" i="48"/>
  <c r="Q169" i="48"/>
  <c r="G169" i="48"/>
  <c r="AG168" i="48"/>
  <c r="Q168" i="48"/>
  <c r="G168" i="48"/>
  <c r="G167" i="48"/>
  <c r="AF166" i="48"/>
  <c r="AE166" i="48"/>
  <c r="AD166" i="48"/>
  <c r="AC166" i="48"/>
  <c r="AB166" i="48"/>
  <c r="AA166" i="48"/>
  <c r="Z166" i="48"/>
  <c r="Y166" i="48"/>
  <c r="X166" i="48"/>
  <c r="W166" i="48"/>
  <c r="V166" i="48"/>
  <c r="U166" i="48"/>
  <c r="T166" i="48"/>
  <c r="S166" i="48"/>
  <c r="AG165" i="48"/>
  <c r="E165" i="48"/>
  <c r="AG164" i="48"/>
  <c r="E164" i="48"/>
  <c r="AG163" i="48"/>
  <c r="Q163" i="48"/>
  <c r="E163" i="48"/>
  <c r="AG162" i="48"/>
  <c r="P162" i="48"/>
  <c r="Q162" i="48" s="1"/>
  <c r="E162" i="48"/>
  <c r="AG161" i="48"/>
  <c r="Q161" i="48"/>
  <c r="E161" i="48"/>
  <c r="AG160" i="48"/>
  <c r="Q160" i="48"/>
  <c r="E160" i="48"/>
  <c r="AG159" i="48"/>
  <c r="Q159" i="48"/>
  <c r="E159" i="48"/>
  <c r="AG158" i="48"/>
  <c r="Q158" i="48"/>
  <c r="E158" i="48"/>
  <c r="AG157" i="48"/>
  <c r="Q157" i="48"/>
  <c r="E157" i="48"/>
  <c r="AG156" i="48"/>
  <c r="Q156" i="48"/>
  <c r="E156" i="48"/>
  <c r="AG155" i="48"/>
  <c r="Q155" i="48"/>
  <c r="E155" i="48"/>
  <c r="AG154" i="48"/>
  <c r="Q154" i="48"/>
  <c r="E154" i="48"/>
  <c r="AG153" i="48"/>
  <c r="Q153" i="48"/>
  <c r="E153" i="48"/>
  <c r="AG152" i="48"/>
  <c r="Q152" i="48"/>
  <c r="E152" i="48"/>
  <c r="AG151" i="48"/>
  <c r="Q151" i="48"/>
  <c r="E151" i="48"/>
  <c r="AG150" i="48"/>
  <c r="Q150" i="48"/>
  <c r="E150" i="48"/>
  <c r="AG149" i="48"/>
  <c r="Q149" i="48"/>
  <c r="E149" i="48"/>
  <c r="E148" i="48"/>
  <c r="AG147" i="48"/>
  <c r="Q147" i="48"/>
  <c r="G147" i="48"/>
  <c r="E147" i="48" s="1"/>
  <c r="AG146" i="48"/>
  <c r="Q146" i="48"/>
  <c r="G146" i="48"/>
  <c r="E146" i="48"/>
  <c r="AG145" i="48"/>
  <c r="Q145" i="48"/>
  <c r="G145" i="48"/>
  <c r="E145" i="48"/>
  <c r="AG144" i="48"/>
  <c r="Q144" i="48"/>
  <c r="G144" i="48"/>
  <c r="E144" i="48" s="1"/>
  <c r="AG143" i="48"/>
  <c r="Q143" i="48"/>
  <c r="G143" i="48"/>
  <c r="E143" i="48"/>
  <c r="AG142" i="48"/>
  <c r="Q142" i="48"/>
  <c r="G142" i="48"/>
  <c r="E142" i="48" s="1"/>
  <c r="AG141" i="48"/>
  <c r="Q141" i="48"/>
  <c r="G141" i="48"/>
  <c r="E141" i="48" s="1"/>
  <c r="AG140" i="48"/>
  <c r="Q140" i="48"/>
  <c r="G140" i="48"/>
  <c r="E140" i="48"/>
  <c r="AG139" i="48"/>
  <c r="Q139" i="48"/>
  <c r="G139" i="48"/>
  <c r="E139" i="48" s="1"/>
  <c r="AG138" i="48"/>
  <c r="Q138" i="48"/>
  <c r="G138" i="48"/>
  <c r="E138" i="48" s="1"/>
  <c r="G137" i="48"/>
  <c r="E137" i="48" s="1"/>
  <c r="AG136" i="48"/>
  <c r="Q136" i="48"/>
  <c r="G136" i="48"/>
  <c r="E136" i="48" s="1"/>
  <c r="AG135" i="48"/>
  <c r="Q135" i="48"/>
  <c r="G135" i="48"/>
  <c r="E135" i="48" s="1"/>
  <c r="AG134" i="48"/>
  <c r="Q134" i="48"/>
  <c r="G134" i="48"/>
  <c r="E134" i="48" s="1"/>
  <c r="G133" i="48"/>
  <c r="E133" i="48"/>
  <c r="AG132" i="48"/>
  <c r="Q132" i="48"/>
  <c r="AG131" i="48"/>
  <c r="Q131" i="48"/>
  <c r="E131" i="48"/>
  <c r="AG130" i="48"/>
  <c r="Q130" i="48"/>
  <c r="E130" i="48"/>
  <c r="AG129" i="48"/>
  <c r="Q129" i="48"/>
  <c r="E129" i="48"/>
  <c r="AG128" i="48"/>
  <c r="Q128" i="48"/>
  <c r="E128" i="48"/>
  <c r="AG127" i="48"/>
  <c r="Q127" i="48"/>
  <c r="E127" i="48"/>
  <c r="AG126" i="48"/>
  <c r="Q126" i="48"/>
  <c r="E126" i="48"/>
  <c r="AG125" i="48"/>
  <c r="Q125" i="48"/>
  <c r="E125" i="48"/>
  <c r="AG124" i="48"/>
  <c r="Q124" i="48"/>
  <c r="E124" i="48"/>
  <c r="AG123" i="48"/>
  <c r="Q123" i="48"/>
  <c r="E123" i="48"/>
  <c r="AG122" i="48"/>
  <c r="Q122" i="48"/>
  <c r="E122" i="48"/>
  <c r="AG121" i="48"/>
  <c r="Q121" i="48"/>
  <c r="E121" i="48"/>
  <c r="E120" i="48"/>
  <c r="AG119" i="48"/>
  <c r="Q119" i="48"/>
  <c r="G119" i="48"/>
  <c r="E119" i="48" s="1"/>
  <c r="AG118" i="48"/>
  <c r="Q118" i="48"/>
  <c r="G118" i="48"/>
  <c r="E118" i="48" s="1"/>
  <c r="AG117" i="48"/>
  <c r="Q117" i="48"/>
  <c r="G117" i="48"/>
  <c r="E117" i="48"/>
  <c r="AG116" i="48"/>
  <c r="Q116" i="48"/>
  <c r="G116" i="48"/>
  <c r="E116" i="48" s="1"/>
  <c r="AG115" i="48"/>
  <c r="Q115" i="48"/>
  <c r="G115" i="48"/>
  <c r="E115" i="48" s="1"/>
  <c r="AG114" i="48"/>
  <c r="Q114" i="48"/>
  <c r="G114" i="48"/>
  <c r="E114" i="48"/>
  <c r="AG113" i="48"/>
  <c r="Q113" i="48"/>
  <c r="G113" i="48"/>
  <c r="E113" i="48" s="1"/>
  <c r="AG112" i="48"/>
  <c r="Q112" i="48"/>
  <c r="G112" i="48"/>
  <c r="E112" i="48" s="1"/>
  <c r="AG111" i="48"/>
  <c r="Q111" i="48"/>
  <c r="G111" i="48"/>
  <c r="E111" i="48"/>
  <c r="G110" i="48"/>
  <c r="E110" i="48" s="1"/>
  <c r="AG109" i="48"/>
  <c r="Q109" i="48"/>
  <c r="AG108" i="48"/>
  <c r="Q108" i="48"/>
  <c r="AG107" i="48"/>
  <c r="Q107" i="48"/>
  <c r="AG106" i="48"/>
  <c r="Q106" i="48"/>
  <c r="AG105" i="48"/>
  <c r="Q105" i="48"/>
  <c r="AG104" i="48"/>
  <c r="Q104" i="48"/>
  <c r="AG103" i="48"/>
  <c r="Q103" i="48"/>
  <c r="AG102" i="48"/>
  <c r="Q102" i="48"/>
  <c r="AG101" i="48"/>
  <c r="Q101" i="48"/>
  <c r="AG100" i="48"/>
  <c r="Q100" i="48"/>
  <c r="AG99" i="48"/>
  <c r="Q99" i="48"/>
  <c r="F99" i="48"/>
  <c r="F100" i="48" s="1"/>
  <c r="AG98" i="48"/>
  <c r="Q98" i="48"/>
  <c r="E98" i="48"/>
  <c r="E97" i="48"/>
  <c r="AF96" i="48"/>
  <c r="AF95" i="48" s="1"/>
  <c r="AE96" i="48"/>
  <c r="AD96" i="48"/>
  <c r="AC96" i="48"/>
  <c r="AB96" i="48"/>
  <c r="AB95" i="48"/>
  <c r="AA96" i="48"/>
  <c r="Z96" i="48"/>
  <c r="Y96" i="48"/>
  <c r="Y95" i="48"/>
  <c r="X96" i="48"/>
  <c r="X95" i="48"/>
  <c r="W96" i="48"/>
  <c r="V96" i="48"/>
  <c r="V95" i="48" s="1"/>
  <c r="U96" i="48"/>
  <c r="U95" i="48" s="1"/>
  <c r="T96" i="48"/>
  <c r="T95" i="48"/>
  <c r="S96" i="48"/>
  <c r="AD95" i="48"/>
  <c r="AC95" i="48"/>
  <c r="Z95" i="48"/>
  <c r="AG94" i="48"/>
  <c r="Q94" i="48"/>
  <c r="G94" i="48"/>
  <c r="AG93" i="48"/>
  <c r="Q93" i="48"/>
  <c r="G93" i="48"/>
  <c r="AG92" i="48"/>
  <c r="Q92" i="48"/>
  <c r="G92" i="48"/>
  <c r="AG91" i="48"/>
  <c r="Q91" i="48"/>
  <c r="G91" i="48"/>
  <c r="AG90" i="48"/>
  <c r="Q90" i="48"/>
  <c r="G90" i="48"/>
  <c r="AG89" i="48"/>
  <c r="Q89" i="48"/>
  <c r="G89" i="48"/>
  <c r="AG88" i="48"/>
  <c r="Q88" i="48"/>
  <c r="G88" i="48"/>
  <c r="G87" i="48"/>
  <c r="AG86" i="48"/>
  <c r="Q86" i="48"/>
  <c r="G86" i="48"/>
  <c r="AG85" i="48"/>
  <c r="Q85" i="48"/>
  <c r="G85" i="48"/>
  <c r="AG84" i="48"/>
  <c r="Q84" i="48"/>
  <c r="G84" i="48"/>
  <c r="AG83" i="48"/>
  <c r="Q83" i="48"/>
  <c r="G83" i="48"/>
  <c r="AG82" i="48"/>
  <c r="Q82" i="48"/>
  <c r="G82" i="48"/>
  <c r="AG81" i="48"/>
  <c r="Q81" i="48"/>
  <c r="G81" i="48"/>
  <c r="AG80" i="48"/>
  <c r="Q80" i="48"/>
  <c r="G80" i="48"/>
  <c r="AG79" i="48"/>
  <c r="Q79" i="48"/>
  <c r="G79" i="48"/>
  <c r="AG78" i="48"/>
  <c r="Q78" i="48"/>
  <c r="G78" i="48"/>
  <c r="AG77" i="48"/>
  <c r="Q77" i="48"/>
  <c r="G77" i="48"/>
  <c r="AG76" i="48"/>
  <c r="Q76" i="48"/>
  <c r="G76" i="48"/>
  <c r="AG75" i="48"/>
  <c r="Q75" i="48"/>
  <c r="G75" i="48"/>
  <c r="AG74" i="48"/>
  <c r="Q74" i="48"/>
  <c r="G74" i="48"/>
  <c r="AG73" i="48"/>
  <c r="Q73" i="48"/>
  <c r="G73" i="48"/>
  <c r="AG72" i="48"/>
  <c r="Q72" i="48"/>
  <c r="G72" i="48"/>
  <c r="AG71" i="48"/>
  <c r="Q71" i="48"/>
  <c r="G71" i="48"/>
  <c r="AG70" i="48"/>
  <c r="Q70" i="48"/>
  <c r="G70" i="48"/>
  <c r="AG69" i="48"/>
  <c r="Q69" i="48"/>
  <c r="G69" i="48"/>
  <c r="G68" i="48"/>
  <c r="AG67" i="48"/>
  <c r="Q67" i="48"/>
  <c r="G67" i="48"/>
  <c r="AG66" i="48"/>
  <c r="Q66" i="48"/>
  <c r="G66" i="48"/>
  <c r="AG65" i="48"/>
  <c r="Q65" i="48"/>
  <c r="G65" i="48"/>
  <c r="AG64" i="48"/>
  <c r="Q64" i="48"/>
  <c r="G64" i="48"/>
  <c r="AG63" i="48"/>
  <c r="Q63" i="48"/>
  <c r="G63" i="48"/>
  <c r="AG62" i="48"/>
  <c r="Q62" i="48"/>
  <c r="G62" i="48"/>
  <c r="AG61" i="48"/>
  <c r="Q61" i="48"/>
  <c r="G61" i="48"/>
  <c r="AG60" i="48"/>
  <c r="Q60" i="48"/>
  <c r="G60" i="48"/>
  <c r="AG59" i="48"/>
  <c r="Q59" i="48"/>
  <c r="G59" i="48"/>
  <c r="AG58" i="48"/>
  <c r="Q58" i="48"/>
  <c r="G58" i="48"/>
  <c r="AG57" i="48"/>
  <c r="Q57" i="48"/>
  <c r="G57" i="48"/>
  <c r="AG55" i="48"/>
  <c r="Q55" i="48"/>
  <c r="G55" i="48"/>
  <c r="AG54" i="48"/>
  <c r="Q54" i="48"/>
  <c r="G54" i="48"/>
  <c r="AG53" i="48"/>
  <c r="Q53" i="48"/>
  <c r="G53" i="48"/>
  <c r="AG52" i="48"/>
  <c r="Q52" i="48"/>
  <c r="G52" i="48"/>
  <c r="AG51" i="48"/>
  <c r="Q51" i="48"/>
  <c r="G51" i="48"/>
  <c r="G50" i="48"/>
  <c r="AG49" i="48"/>
  <c r="Q49" i="48"/>
  <c r="G49" i="48"/>
  <c r="AG48" i="48"/>
  <c r="Q48" i="48"/>
  <c r="G48" i="48"/>
  <c r="AG47" i="48"/>
  <c r="Q47" i="48"/>
  <c r="G47" i="48"/>
  <c r="AG46" i="48"/>
  <c r="Q46" i="48"/>
  <c r="G46" i="48"/>
  <c r="AG45" i="48"/>
  <c r="Q45" i="48"/>
  <c r="G45" i="48"/>
  <c r="AG44" i="48"/>
  <c r="Q44" i="48"/>
  <c r="G44" i="48"/>
  <c r="AG43" i="48"/>
  <c r="Q43" i="48"/>
  <c r="G43" i="48"/>
  <c r="AG42" i="48"/>
  <c r="Q42" i="48"/>
  <c r="G42" i="48"/>
  <c r="AG41" i="48"/>
  <c r="Q41" i="48"/>
  <c r="G41" i="48"/>
  <c r="AG40" i="48"/>
  <c r="Q40" i="48"/>
  <c r="G40" i="48"/>
  <c r="AG39" i="48"/>
  <c r="Q39" i="48"/>
  <c r="G39" i="48"/>
  <c r="AG38" i="48"/>
  <c r="Q38" i="48"/>
  <c r="G38" i="48"/>
  <c r="AG37" i="48"/>
  <c r="Q37" i="48"/>
  <c r="G37" i="48"/>
  <c r="AG36" i="48"/>
  <c r="Q36" i="48"/>
  <c r="G36" i="48"/>
  <c r="AG35" i="48"/>
  <c r="Q35" i="48"/>
  <c r="G35" i="48"/>
  <c r="AG34" i="48"/>
  <c r="Q34" i="48"/>
  <c r="G34" i="48"/>
  <c r="AG33" i="48"/>
  <c r="Q33" i="48"/>
  <c r="G33" i="48"/>
  <c r="AG32" i="48"/>
  <c r="Q32" i="48"/>
  <c r="G32" i="48"/>
  <c r="AG31" i="48"/>
  <c r="Q31" i="48"/>
  <c r="G31" i="48"/>
  <c r="AG30" i="48"/>
  <c r="Q30" i="48"/>
  <c r="G30" i="48"/>
  <c r="AG29" i="48"/>
  <c r="Q29" i="48"/>
  <c r="G29" i="48"/>
  <c r="AG28" i="48"/>
  <c r="Q28" i="48"/>
  <c r="G28" i="48"/>
  <c r="AG27" i="48"/>
  <c r="Q27" i="48"/>
  <c r="G27" i="48"/>
  <c r="AG26" i="48"/>
  <c r="Q26" i="48"/>
  <c r="G26" i="48"/>
  <c r="AG25" i="48"/>
  <c r="Q25" i="48"/>
  <c r="G25" i="48"/>
  <c r="AG24" i="48"/>
  <c r="Q24" i="48"/>
  <c r="G24" i="48"/>
  <c r="G23" i="48"/>
  <c r="AG22" i="48"/>
  <c r="Q22" i="48"/>
  <c r="G22" i="48"/>
  <c r="AG21" i="48"/>
  <c r="Q21" i="48"/>
  <c r="G21" i="48"/>
  <c r="AG20" i="48"/>
  <c r="Q20" i="48"/>
  <c r="G20" i="48"/>
  <c r="AG19" i="48"/>
  <c r="Q19" i="48"/>
  <c r="G19" i="48"/>
  <c r="AG18" i="48"/>
  <c r="Q18" i="48"/>
  <c r="G18" i="48"/>
  <c r="AG17" i="48"/>
  <c r="Q17" i="48"/>
  <c r="G17" i="48"/>
  <c r="AG16" i="48"/>
  <c r="Q16" i="48"/>
  <c r="G16" i="48"/>
  <c r="AG15" i="48"/>
  <c r="Q15" i="48"/>
  <c r="G15" i="48"/>
  <c r="AG14" i="48"/>
  <c r="Q14" i="48"/>
  <c r="G14" i="48"/>
  <c r="AG13" i="48"/>
  <c r="Q13" i="48"/>
  <c r="G13" i="48"/>
  <c r="AG12" i="48"/>
  <c r="Q12" i="48"/>
  <c r="G12" i="48"/>
  <c r="AG11" i="48"/>
  <c r="Q11" i="48"/>
  <c r="G11" i="48"/>
  <c r="G10" i="48"/>
  <c r="AF9" i="48"/>
  <c r="AE9" i="48"/>
  <c r="AE8" i="48" s="1"/>
  <c r="AD9" i="48"/>
  <c r="AD8" i="48"/>
  <c r="AD7" i="48" s="1"/>
  <c r="AC9" i="48"/>
  <c r="AC8" i="48" s="1"/>
  <c r="AB9" i="48"/>
  <c r="AB8" i="48" s="1"/>
  <c r="AA9" i="48"/>
  <c r="AA8" i="48" s="1"/>
  <c r="Z9" i="48"/>
  <c r="Z8" i="48" s="1"/>
  <c r="Z7" i="48" s="1"/>
  <c r="Y9" i="48"/>
  <c r="X9" i="48"/>
  <c r="W9" i="48"/>
  <c r="W8" i="48"/>
  <c r="V9" i="48"/>
  <c r="V8" i="48" s="1"/>
  <c r="U9" i="48"/>
  <c r="U8" i="48" s="1"/>
  <c r="T9" i="48"/>
  <c r="S9" i="48"/>
  <c r="S8" i="48" s="1"/>
  <c r="AF8" i="48"/>
  <c r="Y8" i="48"/>
  <c r="X8" i="48"/>
  <c r="T8" i="48"/>
  <c r="R8" i="48"/>
  <c r="Q8" i="48"/>
  <c r="R7" i="48"/>
  <c r="C11" i="44"/>
  <c r="B239" i="50"/>
  <c r="B238" i="50"/>
  <c r="B237" i="50" s="1"/>
  <c r="E237" i="50"/>
  <c r="B235" i="50"/>
  <c r="B234" i="50"/>
  <c r="B233" i="50"/>
  <c r="B232" i="50"/>
  <c r="E232" i="50"/>
  <c r="B214" i="50"/>
  <c r="B213" i="50" s="1"/>
  <c r="E213" i="50"/>
  <c r="B211" i="50"/>
  <c r="B210" i="50"/>
  <c r="B209" i="50"/>
  <c r="B208" i="50"/>
  <c r="B207" i="50"/>
  <c r="B206" i="50"/>
  <c r="B205" i="50"/>
  <c r="E205" i="50"/>
  <c r="B203" i="50"/>
  <c r="B202" i="50"/>
  <c r="B201" i="50" s="1"/>
  <c r="E201" i="50"/>
  <c r="B198" i="50"/>
  <c r="B197" i="50"/>
  <c r="B194" i="50"/>
  <c r="B193" i="50"/>
  <c r="B192" i="50" s="1"/>
  <c r="E192" i="50"/>
  <c r="B190" i="50"/>
  <c r="B189" i="50" s="1"/>
  <c r="E189" i="50"/>
  <c r="B187" i="50"/>
  <c r="B184" i="50"/>
  <c r="B183" i="50" s="1"/>
  <c r="E183" i="50"/>
  <c r="B180" i="50"/>
  <c r="B179" i="50"/>
  <c r="B178" i="50"/>
  <c r="E178" i="50"/>
  <c r="B176" i="50"/>
  <c r="B175" i="50"/>
  <c r="B174" i="50"/>
  <c r="B173" i="50"/>
  <c r="B172" i="50"/>
  <c r="B171" i="50" s="1"/>
  <c r="E171" i="50"/>
  <c r="B168" i="50"/>
  <c r="B167" i="50"/>
  <c r="B166" i="50"/>
  <c r="B165" i="50"/>
  <c r="B164" i="50" s="1"/>
  <c r="E164" i="50"/>
  <c r="B162" i="50"/>
  <c r="B161" i="50" s="1"/>
  <c r="E161" i="50"/>
  <c r="B159" i="50"/>
  <c r="B158" i="50" s="1"/>
  <c r="E158" i="50"/>
  <c r="B155" i="50"/>
  <c r="B154" i="50"/>
  <c r="B153" i="50"/>
  <c r="B152" i="50"/>
  <c r="B151" i="50" s="1"/>
  <c r="E151" i="50"/>
  <c r="B149" i="50"/>
  <c r="B148" i="50"/>
  <c r="B147" i="50"/>
  <c r="B146" i="50" s="1"/>
  <c r="E146" i="50"/>
  <c r="B144" i="50"/>
  <c r="B143" i="50"/>
  <c r="B142" i="50"/>
  <c r="E142" i="50"/>
  <c r="E137" i="50"/>
  <c r="B137" i="50"/>
  <c r="B135" i="50"/>
  <c r="B134" i="50"/>
  <c r="B133" i="50"/>
  <c r="B132" i="50"/>
  <c r="B131" i="50"/>
  <c r="B130" i="50"/>
  <c r="B129" i="50"/>
  <c r="B128" i="50"/>
  <c r="B127" i="50" s="1"/>
  <c r="E127" i="50"/>
  <c r="E123" i="50"/>
  <c r="B123" i="50"/>
  <c r="B121" i="50"/>
  <c r="B120" i="50"/>
  <c r="B119" i="50"/>
  <c r="B118" i="50" s="1"/>
  <c r="F118" i="50" s="1"/>
  <c r="E118" i="50"/>
  <c r="E114" i="50"/>
  <c r="B114" i="50"/>
  <c r="B112" i="50"/>
  <c r="B111" i="50"/>
  <c r="B110" i="50"/>
  <c r="E110" i="50"/>
  <c r="B106" i="50"/>
  <c r="B105" i="50"/>
  <c r="B104" i="50"/>
  <c r="B103" i="50"/>
  <c r="B102" i="50"/>
  <c r="B101" i="50" s="1"/>
  <c r="E101" i="50"/>
  <c r="E97" i="50"/>
  <c r="E92" i="50"/>
  <c r="C92" i="50"/>
  <c r="E88" i="50"/>
  <c r="C88" i="50"/>
  <c r="E84" i="50"/>
  <c r="C84" i="50"/>
  <c r="E82" i="50"/>
  <c r="C82" i="50"/>
  <c r="E76" i="50"/>
  <c r="C76" i="50"/>
  <c r="E70" i="50"/>
  <c r="C70" i="50"/>
  <c r="C63" i="50"/>
  <c r="F63" i="50" s="1"/>
  <c r="A61" i="50"/>
  <c r="A60" i="50"/>
  <c r="A59" i="50"/>
  <c r="A58" i="50"/>
  <c r="A57" i="50"/>
  <c r="E56" i="50"/>
  <c r="C56" i="50"/>
  <c r="E51" i="50"/>
  <c r="C51" i="50"/>
  <c r="E43" i="50"/>
  <c r="C43" i="50"/>
  <c r="C36" i="50"/>
  <c r="C32" i="50"/>
  <c r="C20" i="50"/>
  <c r="A10" i="50"/>
  <c r="C9" i="50"/>
  <c r="G9" i="50"/>
  <c r="E1" i="50"/>
  <c r="G1" i="50" s="1"/>
  <c r="C1" i="50"/>
  <c r="AG676" i="46"/>
  <c r="Q676" i="46"/>
  <c r="AG675" i="46"/>
  <c r="Q675" i="46"/>
  <c r="AG674" i="46"/>
  <c r="Q674" i="46"/>
  <c r="AG673" i="46"/>
  <c r="Q673" i="46"/>
  <c r="AG672" i="46"/>
  <c r="Q672" i="46"/>
  <c r="AG670" i="46"/>
  <c r="Q670" i="46"/>
  <c r="AG669" i="46"/>
  <c r="Q669" i="46"/>
  <c r="AG668" i="46"/>
  <c r="Q668" i="46"/>
  <c r="AG666" i="46"/>
  <c r="Q666" i="46"/>
  <c r="AG665" i="46"/>
  <c r="Q665" i="46"/>
  <c r="AG664" i="46"/>
  <c r="Q664" i="46"/>
  <c r="AG663" i="46"/>
  <c r="Q663" i="46"/>
  <c r="AG662" i="46"/>
  <c r="Q662" i="46"/>
  <c r="AG660" i="46"/>
  <c r="Q660" i="46"/>
  <c r="AF659" i="46"/>
  <c r="AE659" i="46"/>
  <c r="AD659" i="46"/>
  <c r="AC659" i="46"/>
  <c r="AC648" i="46" s="1"/>
  <c r="AB659" i="46"/>
  <c r="AA659" i="46"/>
  <c r="AA648" i="46" s="1"/>
  <c r="Z659" i="46"/>
  <c r="Y659" i="46"/>
  <c r="X659" i="46"/>
  <c r="W659" i="46"/>
  <c r="V659" i="46"/>
  <c r="U659" i="46"/>
  <c r="T659" i="46"/>
  <c r="S659" i="46"/>
  <c r="AG658" i="46"/>
  <c r="Q658" i="46"/>
  <c r="AG657" i="46"/>
  <c r="Q657" i="46"/>
  <c r="AG655" i="46"/>
  <c r="Q655" i="46"/>
  <c r="AG654" i="46"/>
  <c r="Q654" i="46"/>
  <c r="AG653" i="46"/>
  <c r="Q653" i="46"/>
  <c r="AG652" i="46"/>
  <c r="Q652" i="46"/>
  <c r="AG650" i="46"/>
  <c r="Q650" i="46"/>
  <c r="Q649" i="46" s="1"/>
  <c r="AF649" i="46"/>
  <c r="AE649" i="46"/>
  <c r="AD649" i="46"/>
  <c r="AD648" i="46" s="1"/>
  <c r="AC649" i="46"/>
  <c r="AB649" i="46"/>
  <c r="AA649" i="46"/>
  <c r="Z649" i="46"/>
  <c r="Z648" i="46" s="1"/>
  <c r="Y649" i="46"/>
  <c r="Y648" i="46"/>
  <c r="X649" i="46"/>
  <c r="W649" i="46"/>
  <c r="W648" i="46" s="1"/>
  <c r="V649" i="46"/>
  <c r="U649" i="46"/>
  <c r="U648" i="46" s="1"/>
  <c r="T649" i="46"/>
  <c r="S649" i="46"/>
  <c r="AE648" i="46"/>
  <c r="V648" i="46"/>
  <c r="S648" i="46"/>
  <c r="R648" i="46"/>
  <c r="R637" i="46" s="1"/>
  <c r="AG647" i="46"/>
  <c r="AF646" i="46"/>
  <c r="AE646" i="46"/>
  <c r="AD646" i="46"/>
  <c r="AC646" i="46"/>
  <c r="AB646" i="46"/>
  <c r="AA646" i="46"/>
  <c r="Z646" i="46"/>
  <c r="Y646" i="46"/>
  <c r="X646" i="46"/>
  <c r="W646" i="46"/>
  <c r="W643" i="46" s="1"/>
  <c r="V646" i="46"/>
  <c r="U646" i="46"/>
  <c r="T646" i="46"/>
  <c r="S646" i="46"/>
  <c r="Q646" i="46"/>
  <c r="AG645" i="46"/>
  <c r="AF644" i="46"/>
  <c r="AE644" i="46"/>
  <c r="AE643" i="46" s="1"/>
  <c r="AD644" i="46"/>
  <c r="AD643" i="46" s="1"/>
  <c r="AC644" i="46"/>
  <c r="AB644" i="46"/>
  <c r="AA644" i="46"/>
  <c r="AA643" i="46" s="1"/>
  <c r="Z644" i="46"/>
  <c r="Z643" i="46"/>
  <c r="Y644" i="46"/>
  <c r="Y643" i="46"/>
  <c r="X644" i="46"/>
  <c r="W644" i="46"/>
  <c r="V644" i="46"/>
  <c r="V643" i="46" s="1"/>
  <c r="U644" i="46"/>
  <c r="U643" i="46" s="1"/>
  <c r="T644" i="46"/>
  <c r="S644" i="46"/>
  <c r="S643" i="46" s="1"/>
  <c r="Q644" i="46"/>
  <c r="Q643" i="46" s="1"/>
  <c r="AC643" i="46"/>
  <c r="AG642" i="46"/>
  <c r="AF641" i="46"/>
  <c r="AF638" i="46" s="1"/>
  <c r="AE641" i="46"/>
  <c r="AE638" i="46" s="1"/>
  <c r="AE637" i="46" s="1"/>
  <c r="AD641" i="46"/>
  <c r="AC641" i="46"/>
  <c r="AB641" i="46"/>
  <c r="AA641" i="46"/>
  <c r="Z641" i="46"/>
  <c r="Y641" i="46"/>
  <c r="X641" i="46"/>
  <c r="W641" i="46"/>
  <c r="V641" i="46"/>
  <c r="U641" i="46"/>
  <c r="T641" i="46"/>
  <c r="T638" i="46" s="1"/>
  <c r="S641" i="46"/>
  <c r="Q641" i="46"/>
  <c r="AG640" i="46"/>
  <c r="AF639" i="46"/>
  <c r="AE639" i="46"/>
  <c r="AD639" i="46"/>
  <c r="AC639" i="46"/>
  <c r="AC638" i="46"/>
  <c r="AB639" i="46"/>
  <c r="AA639" i="46"/>
  <c r="Z639" i="46"/>
  <c r="Y639" i="46"/>
  <c r="Y638" i="46"/>
  <c r="X639" i="46"/>
  <c r="W639" i="46"/>
  <c r="W638" i="46" s="1"/>
  <c r="V639" i="46"/>
  <c r="U639" i="46"/>
  <c r="U638" i="46" s="1"/>
  <c r="T639" i="46"/>
  <c r="S639" i="46"/>
  <c r="Q639" i="46"/>
  <c r="AB638" i="46"/>
  <c r="AA638" i="46"/>
  <c r="X638" i="46"/>
  <c r="AG636" i="46"/>
  <c r="AG632" i="46"/>
  <c r="Q632" i="46"/>
  <c r="AF631" i="46"/>
  <c r="AF630" i="46" s="1"/>
  <c r="AE631" i="46"/>
  <c r="AE630" i="46" s="1"/>
  <c r="AD631" i="46"/>
  <c r="AD630" i="46"/>
  <c r="AC631" i="46"/>
  <c r="AC630" i="46" s="1"/>
  <c r="AB631" i="46"/>
  <c r="AA631" i="46"/>
  <c r="AA630" i="46"/>
  <c r="Z631" i="46"/>
  <c r="Z630" i="46" s="1"/>
  <c r="Y631" i="46"/>
  <c r="Y630" i="46"/>
  <c r="X631" i="46"/>
  <c r="X630" i="46" s="1"/>
  <c r="W631" i="46"/>
  <c r="W630" i="46"/>
  <c r="V631" i="46"/>
  <c r="V630" i="46"/>
  <c r="U631" i="46"/>
  <c r="U630" i="46" s="1"/>
  <c r="T631" i="46"/>
  <c r="S631" i="46"/>
  <c r="Q631" i="46"/>
  <c r="Q630" i="46"/>
  <c r="AB630" i="46"/>
  <c r="T630" i="46"/>
  <c r="AG629" i="46"/>
  <c r="Q629" i="46"/>
  <c r="AG628" i="46"/>
  <c r="Q628" i="46"/>
  <c r="G628" i="46"/>
  <c r="AG627" i="46"/>
  <c r="G627" i="46"/>
  <c r="AG626" i="46"/>
  <c r="Q626" i="46"/>
  <c r="G626" i="46"/>
  <c r="AG625" i="46"/>
  <c r="Q625" i="46"/>
  <c r="G625" i="46"/>
  <c r="AG624" i="46"/>
  <c r="Q624" i="46"/>
  <c r="G624" i="46"/>
  <c r="AG623" i="46"/>
  <c r="Q623" i="46"/>
  <c r="G623" i="46"/>
  <c r="AG622" i="46"/>
  <c r="Q622" i="46"/>
  <c r="G622" i="46"/>
  <c r="AG621" i="46"/>
  <c r="Q621" i="46"/>
  <c r="G621" i="46"/>
  <c r="AG620" i="46"/>
  <c r="Q620" i="46"/>
  <c r="G620" i="46"/>
  <c r="AG619" i="46"/>
  <c r="Q619" i="46"/>
  <c r="G619" i="46"/>
  <c r="AG618" i="46"/>
  <c r="Q618" i="46"/>
  <c r="G618" i="46"/>
  <c r="AG617" i="46"/>
  <c r="Q617" i="46"/>
  <c r="G617" i="46"/>
  <c r="AG616" i="46"/>
  <c r="Q616" i="46"/>
  <c r="G616" i="46"/>
  <c r="AG615" i="46"/>
  <c r="Q615" i="46"/>
  <c r="G615" i="46"/>
  <c r="AG614" i="46"/>
  <c r="Q614" i="46"/>
  <c r="G614" i="46"/>
  <c r="AG613" i="46"/>
  <c r="Q613" i="46"/>
  <c r="G613" i="46"/>
  <c r="AG612" i="46"/>
  <c r="Q612" i="46"/>
  <c r="G612" i="46"/>
  <c r="G611" i="46"/>
  <c r="Y610" i="46"/>
  <c r="Y606" i="46" s="1"/>
  <c r="X610" i="46"/>
  <c r="W610" i="46"/>
  <c r="V610" i="46"/>
  <c r="U610" i="46"/>
  <c r="AG609" i="46"/>
  <c r="Q609" i="46"/>
  <c r="AG608" i="46"/>
  <c r="Q608" i="46"/>
  <c r="Y607" i="46"/>
  <c r="X607" i="46"/>
  <c r="W607" i="46"/>
  <c r="V607" i="46"/>
  <c r="U607" i="46"/>
  <c r="AF606" i="46"/>
  <c r="AE606" i="46"/>
  <c r="AD606" i="46"/>
  <c r="AC606" i="46"/>
  <c r="AB606" i="46"/>
  <c r="AA606" i="46"/>
  <c r="Z606" i="46"/>
  <c r="T606" i="46"/>
  <c r="S606" i="46"/>
  <c r="R606" i="46"/>
  <c r="AG605" i="46"/>
  <c r="Q605" i="46"/>
  <c r="E605" i="46"/>
  <c r="F605" i="46" s="1"/>
  <c r="AG604" i="46"/>
  <c r="Q604" i="46"/>
  <c r="E604" i="46"/>
  <c r="F604" i="46" s="1"/>
  <c r="AG603" i="46"/>
  <c r="Q603" i="46"/>
  <c r="E603" i="46"/>
  <c r="F603" i="46"/>
  <c r="AG602" i="46"/>
  <c r="Q602" i="46"/>
  <c r="F602" i="46"/>
  <c r="AG601" i="46"/>
  <c r="Q601" i="46"/>
  <c r="E601" i="46"/>
  <c r="F601" i="46" s="1"/>
  <c r="AG600" i="46"/>
  <c r="Q600" i="46"/>
  <c r="E600" i="46"/>
  <c r="F600" i="46" s="1"/>
  <c r="E599" i="46"/>
  <c r="F599" i="46"/>
  <c r="AG598" i="46"/>
  <c r="Q598" i="46"/>
  <c r="E598" i="46"/>
  <c r="F598" i="46"/>
  <c r="AG597" i="46"/>
  <c r="Q597" i="46"/>
  <c r="Q593" i="46" s="1"/>
  <c r="Q588" i="46" s="1"/>
  <c r="F597" i="46"/>
  <c r="F596" i="46"/>
  <c r="AG595" i="46"/>
  <c r="Q595" i="46"/>
  <c r="F595" i="46"/>
  <c r="AG594" i="46"/>
  <c r="Q594" i="46"/>
  <c r="E594" i="46"/>
  <c r="F594" i="46"/>
  <c r="AF593" i="46"/>
  <c r="AE593" i="46"/>
  <c r="AD593" i="46"/>
  <c r="AD588" i="46" s="1"/>
  <c r="AD495" i="46" s="1"/>
  <c r="AC593" i="46"/>
  <c r="AC588" i="46" s="1"/>
  <c r="AB593" i="46"/>
  <c r="AA593" i="46"/>
  <c r="Z593" i="46"/>
  <c r="Y593" i="46"/>
  <c r="X593" i="46"/>
  <c r="W593" i="46"/>
  <c r="W588" i="46" s="1"/>
  <c r="V593" i="46"/>
  <c r="U593" i="46"/>
  <c r="T593" i="46"/>
  <c r="S593" i="46"/>
  <c r="AG592" i="46"/>
  <c r="Q592" i="46"/>
  <c r="Q589" i="46" s="1"/>
  <c r="Q591" i="46"/>
  <c r="F592" i="46"/>
  <c r="AG591" i="46"/>
  <c r="E591" i="46"/>
  <c r="F591" i="46"/>
  <c r="E590" i="46"/>
  <c r="F590" i="46"/>
  <c r="AF589" i="46"/>
  <c r="AE589" i="46"/>
  <c r="AE588" i="46"/>
  <c r="AD589" i="46"/>
  <c r="AC589" i="46"/>
  <c r="AB589" i="46"/>
  <c r="AA589" i="46"/>
  <c r="AA588" i="46" s="1"/>
  <c r="Z589" i="46"/>
  <c r="Y589" i="46"/>
  <c r="Y588" i="46" s="1"/>
  <c r="X589" i="46"/>
  <c r="W589" i="46"/>
  <c r="V589" i="46"/>
  <c r="U589" i="46"/>
  <c r="T589" i="46"/>
  <c r="T588" i="46" s="1"/>
  <c r="S589" i="46"/>
  <c r="S588" i="46" s="1"/>
  <c r="U588" i="46"/>
  <c r="R588" i="46"/>
  <c r="AG587" i="46"/>
  <c r="Q587" i="46"/>
  <c r="G587" i="46"/>
  <c r="AG586" i="46"/>
  <c r="Q586" i="46"/>
  <c r="G586" i="46"/>
  <c r="AG585" i="46"/>
  <c r="Q585" i="46"/>
  <c r="G585" i="46"/>
  <c r="AG584" i="46"/>
  <c r="Q584" i="46"/>
  <c r="G584" i="46"/>
  <c r="G583" i="46"/>
  <c r="AG582" i="46"/>
  <c r="P582" i="46"/>
  <c r="Q582" i="46" s="1"/>
  <c r="G582" i="46"/>
  <c r="AG581" i="46"/>
  <c r="Q581" i="46"/>
  <c r="G581" i="46"/>
  <c r="AF580" i="46"/>
  <c r="AE580" i="46"/>
  <c r="AD580" i="46"/>
  <c r="AC580" i="46"/>
  <c r="AB580" i="46"/>
  <c r="AA580" i="46"/>
  <c r="Z580" i="46"/>
  <c r="Y580" i="46"/>
  <c r="X580" i="46"/>
  <c r="W580" i="46"/>
  <c r="V580" i="46"/>
  <c r="U580" i="46"/>
  <c r="T580" i="46"/>
  <c r="S580" i="46"/>
  <c r="AG579" i="46"/>
  <c r="Q579" i="46"/>
  <c r="Q577" i="46" s="1"/>
  <c r="G579" i="46"/>
  <c r="AG578" i="46"/>
  <c r="Q578" i="46"/>
  <c r="G578" i="46"/>
  <c r="AF577" i="46"/>
  <c r="AE577" i="46"/>
  <c r="AD577" i="46"/>
  <c r="AC577" i="46"/>
  <c r="AB577" i="46"/>
  <c r="AA577" i="46"/>
  <c r="Z577" i="46"/>
  <c r="Y577" i="46"/>
  <c r="X577" i="46"/>
  <c r="W577" i="46"/>
  <c r="V577" i="46"/>
  <c r="U577" i="46"/>
  <c r="T577" i="46"/>
  <c r="S577" i="46"/>
  <c r="AG576" i="46"/>
  <c r="Q576" i="46"/>
  <c r="G576" i="46"/>
  <c r="AG575" i="46"/>
  <c r="G575" i="46"/>
  <c r="AG574" i="46"/>
  <c r="Q574" i="46"/>
  <c r="G574" i="46"/>
  <c r="AG573" i="46"/>
  <c r="Q573" i="46"/>
  <c r="G573" i="46"/>
  <c r="AG572" i="46"/>
  <c r="Q572" i="46"/>
  <c r="G572" i="46"/>
  <c r="G571" i="46"/>
  <c r="AG570" i="46"/>
  <c r="Q570" i="46"/>
  <c r="G570" i="46"/>
  <c r="AG569" i="46"/>
  <c r="Q569" i="46"/>
  <c r="G569" i="46"/>
  <c r="AG568" i="46"/>
  <c r="Q568" i="46"/>
  <c r="G568" i="46"/>
  <c r="G567" i="46"/>
  <c r="AG566" i="46"/>
  <c r="Q566" i="46"/>
  <c r="G566" i="46"/>
  <c r="AF565" i="46"/>
  <c r="AE565" i="46"/>
  <c r="AE546" i="46" s="1"/>
  <c r="AE495" i="46" s="1"/>
  <c r="AD565" i="46"/>
  <c r="AC565" i="46"/>
  <c r="AB565" i="46"/>
  <c r="AA565" i="46"/>
  <c r="Z565" i="46"/>
  <c r="Y565" i="46"/>
  <c r="X565" i="46"/>
  <c r="W565" i="46"/>
  <c r="V565" i="46"/>
  <c r="U565" i="46"/>
  <c r="T565" i="46"/>
  <c r="S565" i="46"/>
  <c r="AG564" i="46"/>
  <c r="Q564" i="46"/>
  <c r="G564" i="46"/>
  <c r="AG563" i="46"/>
  <c r="Q563" i="46"/>
  <c r="G563" i="46"/>
  <c r="AG562" i="46"/>
  <c r="Q562" i="46"/>
  <c r="G562" i="46"/>
  <c r="AG561" i="46"/>
  <c r="Q561" i="46"/>
  <c r="G561" i="46"/>
  <c r="AF560" i="46"/>
  <c r="AE560" i="46"/>
  <c r="AD560" i="46"/>
  <c r="AC560" i="46"/>
  <c r="AB560" i="46"/>
  <c r="AA560" i="46"/>
  <c r="Z560" i="46"/>
  <c r="Y560" i="46"/>
  <c r="X560" i="46"/>
  <c r="W560" i="46"/>
  <c r="V560" i="46"/>
  <c r="U560" i="46"/>
  <c r="U546" i="46" s="1"/>
  <c r="T560" i="46"/>
  <c r="S560" i="46"/>
  <c r="AG559" i="46"/>
  <c r="Q559" i="46"/>
  <c r="Q558" i="46"/>
  <c r="G559" i="46"/>
  <c r="AF558" i="46"/>
  <c r="AE558" i="46"/>
  <c r="AD558" i="46"/>
  <c r="AC558" i="46"/>
  <c r="AB558" i="46"/>
  <c r="AA558" i="46"/>
  <c r="Z558" i="46"/>
  <c r="Y558" i="46"/>
  <c r="X558" i="46"/>
  <c r="W558" i="46"/>
  <c r="V558" i="46"/>
  <c r="U558" i="46"/>
  <c r="T558" i="46"/>
  <c r="S558" i="46"/>
  <c r="AG557" i="46"/>
  <c r="Q557" i="46"/>
  <c r="Q556" i="46" s="1"/>
  <c r="G557" i="46"/>
  <c r="AF556" i="46"/>
  <c r="AF546" i="46" s="1"/>
  <c r="AF495" i="46" s="1"/>
  <c r="AE556" i="46"/>
  <c r="AD556" i="46"/>
  <c r="AC556" i="46"/>
  <c r="AB556" i="46"/>
  <c r="AA556" i="46"/>
  <c r="Z556" i="46"/>
  <c r="Y556" i="46"/>
  <c r="X556" i="46"/>
  <c r="W556" i="46"/>
  <c r="V556" i="46"/>
  <c r="U556" i="46"/>
  <c r="T556" i="46"/>
  <c r="AG556" i="46" s="1"/>
  <c r="S556" i="46"/>
  <c r="AG555" i="46"/>
  <c r="Q555" i="46"/>
  <c r="G555" i="46"/>
  <c r="AG554" i="46"/>
  <c r="Q554" i="46"/>
  <c r="G554" i="46"/>
  <c r="AG553" i="46"/>
  <c r="Q553" i="46"/>
  <c r="G553" i="46"/>
  <c r="AG552" i="46"/>
  <c r="Q552" i="46"/>
  <c r="E552" i="46"/>
  <c r="G552" i="46"/>
  <c r="AF551" i="46"/>
  <c r="AE551" i="46"/>
  <c r="AD551" i="46"/>
  <c r="AC551" i="46"/>
  <c r="AB551" i="46"/>
  <c r="AA551" i="46"/>
  <c r="Z551" i="46"/>
  <c r="Y551" i="46"/>
  <c r="X551" i="46"/>
  <c r="W551" i="46"/>
  <c r="V551" i="46"/>
  <c r="U551" i="46"/>
  <c r="T551" i="46"/>
  <c r="S551" i="46"/>
  <c r="AG550" i="46"/>
  <c r="Q550" i="46"/>
  <c r="G550" i="46"/>
  <c r="AG549" i="46"/>
  <c r="Q549" i="46"/>
  <c r="G549" i="46"/>
  <c r="AG548" i="46"/>
  <c r="E548" i="46"/>
  <c r="G548" i="46"/>
  <c r="AF547" i="46"/>
  <c r="AE547" i="46"/>
  <c r="AD547" i="46"/>
  <c r="AD546" i="46" s="1"/>
  <c r="AC547" i="46"/>
  <c r="AB547" i="46"/>
  <c r="AA547" i="46"/>
  <c r="Z547" i="46"/>
  <c r="Z546" i="46" s="1"/>
  <c r="Y547" i="46"/>
  <c r="X547" i="46"/>
  <c r="W547" i="46"/>
  <c r="V547" i="46"/>
  <c r="U547" i="46"/>
  <c r="T547" i="46"/>
  <c r="S547" i="46"/>
  <c r="R546" i="46"/>
  <c r="AG545" i="46"/>
  <c r="Q545" i="46"/>
  <c r="E545" i="46"/>
  <c r="G545" i="46" s="1"/>
  <c r="AG544" i="46"/>
  <c r="Q544" i="46"/>
  <c r="E544" i="46"/>
  <c r="G544" i="46"/>
  <c r="AG543" i="46"/>
  <c r="Q543" i="46"/>
  <c r="E543" i="46"/>
  <c r="G543" i="46" s="1"/>
  <c r="AG542" i="46"/>
  <c r="Q542" i="46"/>
  <c r="E542" i="46"/>
  <c r="G542" i="46" s="1"/>
  <c r="AG541" i="46"/>
  <c r="Q541" i="46"/>
  <c r="E541" i="46"/>
  <c r="G541" i="46"/>
  <c r="AG540" i="46"/>
  <c r="P540" i="46"/>
  <c r="Q540" i="46"/>
  <c r="E540" i="46"/>
  <c r="G540" i="46" s="1"/>
  <c r="AG539" i="46"/>
  <c r="Q539" i="46"/>
  <c r="E539" i="46"/>
  <c r="G539" i="46"/>
  <c r="AG538" i="46"/>
  <c r="Q538" i="46"/>
  <c r="E538" i="46"/>
  <c r="G538" i="46"/>
  <c r="E537" i="46"/>
  <c r="G537" i="46"/>
  <c r="AG536" i="46"/>
  <c r="Q536" i="46"/>
  <c r="E536" i="46"/>
  <c r="G536" i="46"/>
  <c r="AG535" i="46"/>
  <c r="P535" i="46"/>
  <c r="Q535" i="46"/>
  <c r="E535" i="46"/>
  <c r="G535" i="46"/>
  <c r="AG534" i="46"/>
  <c r="Q534" i="46"/>
  <c r="E534" i="46"/>
  <c r="G534" i="46" s="1"/>
  <c r="AG533" i="46"/>
  <c r="Q533" i="46"/>
  <c r="E533" i="46"/>
  <c r="G533" i="46" s="1"/>
  <c r="AG532" i="46"/>
  <c r="Q532" i="46"/>
  <c r="E532" i="46"/>
  <c r="G532" i="46"/>
  <c r="AG531" i="46"/>
  <c r="Q531" i="46"/>
  <c r="E531" i="46"/>
  <c r="G531" i="46" s="1"/>
  <c r="AG530" i="46"/>
  <c r="Q530" i="46"/>
  <c r="E530" i="46"/>
  <c r="G530" i="46" s="1"/>
  <c r="AG529" i="46"/>
  <c r="Q529" i="46"/>
  <c r="E529" i="46"/>
  <c r="G529" i="46"/>
  <c r="AG528" i="46"/>
  <c r="Q528" i="46"/>
  <c r="E528" i="46"/>
  <c r="G528" i="46" s="1"/>
  <c r="AG527" i="46"/>
  <c r="Q527" i="46"/>
  <c r="E527" i="46"/>
  <c r="G527" i="46" s="1"/>
  <c r="AG526" i="46"/>
  <c r="Q526" i="46"/>
  <c r="E526" i="46"/>
  <c r="G526" i="46"/>
  <c r="AG525" i="46"/>
  <c r="Q525" i="46"/>
  <c r="E525" i="46"/>
  <c r="G525" i="46" s="1"/>
  <c r="AG524" i="46"/>
  <c r="Q524" i="46"/>
  <c r="E524" i="46"/>
  <c r="G524" i="46" s="1"/>
  <c r="E523" i="46"/>
  <c r="G523" i="46"/>
  <c r="AF522" i="46"/>
  <c r="AE522" i="46"/>
  <c r="AD522" i="46"/>
  <c r="AD497" i="46"/>
  <c r="AD514" i="46"/>
  <c r="AD496" i="46" s="1"/>
  <c r="AC522" i="46"/>
  <c r="AB522" i="46"/>
  <c r="AA522" i="46"/>
  <c r="Z522" i="46"/>
  <c r="Y522" i="46"/>
  <c r="X522" i="46"/>
  <c r="W522" i="46"/>
  <c r="V522" i="46"/>
  <c r="U522" i="46"/>
  <c r="T522" i="46"/>
  <c r="S522" i="46"/>
  <c r="AG521" i="46"/>
  <c r="Q521" i="46"/>
  <c r="E521" i="46"/>
  <c r="G521" i="46"/>
  <c r="AG520" i="46"/>
  <c r="Q520" i="46"/>
  <c r="E520" i="46"/>
  <c r="G520" i="46" s="1"/>
  <c r="AG519" i="46"/>
  <c r="Q519" i="46"/>
  <c r="E519" i="46"/>
  <c r="G519" i="46"/>
  <c r="E518" i="46"/>
  <c r="G518" i="46" s="1"/>
  <c r="AG517" i="46"/>
  <c r="Q517" i="46"/>
  <c r="E517" i="46"/>
  <c r="G517" i="46"/>
  <c r="AG516" i="46"/>
  <c r="Q516" i="46"/>
  <c r="E516" i="46"/>
  <c r="G516" i="46"/>
  <c r="E515" i="46"/>
  <c r="G515" i="46"/>
  <c r="AF514" i="46"/>
  <c r="AE514" i="46"/>
  <c r="AC514" i="46"/>
  <c r="AB514" i="46"/>
  <c r="AA514" i="46"/>
  <c r="AA496" i="46" s="1"/>
  <c r="Z514" i="46"/>
  <c r="Y514" i="46"/>
  <c r="X514" i="46"/>
  <c r="W514" i="46"/>
  <c r="V514" i="46"/>
  <c r="U514" i="46"/>
  <c r="T514" i="46"/>
  <c r="S514" i="46"/>
  <c r="AG513" i="46"/>
  <c r="Q513" i="46"/>
  <c r="E513" i="46"/>
  <c r="G513" i="46" s="1"/>
  <c r="AG512" i="46"/>
  <c r="Q512" i="46"/>
  <c r="E512" i="46"/>
  <c r="G512" i="46"/>
  <c r="E511" i="46"/>
  <c r="G511" i="46" s="1"/>
  <c r="AG510" i="46"/>
  <c r="P510" i="46"/>
  <c r="Q510" i="46" s="1"/>
  <c r="E510" i="46"/>
  <c r="G510" i="46"/>
  <c r="AG509" i="46"/>
  <c r="Q509" i="46"/>
  <c r="E509" i="46"/>
  <c r="G509" i="46" s="1"/>
  <c r="AG508" i="46"/>
  <c r="Q508" i="46"/>
  <c r="E508" i="46"/>
  <c r="G508" i="46"/>
  <c r="AG507" i="46"/>
  <c r="Q507" i="46"/>
  <c r="E507" i="46"/>
  <c r="G507" i="46"/>
  <c r="AG506" i="46"/>
  <c r="P506" i="46"/>
  <c r="Q506" i="46"/>
  <c r="E506" i="46"/>
  <c r="G506" i="46"/>
  <c r="AG505" i="46"/>
  <c r="Q505" i="46"/>
  <c r="E505" i="46"/>
  <c r="G505" i="46" s="1"/>
  <c r="AG504" i="46"/>
  <c r="Q504" i="46"/>
  <c r="E504" i="46"/>
  <c r="G504" i="46" s="1"/>
  <c r="E503" i="46"/>
  <c r="G503" i="46"/>
  <c r="AG502" i="46"/>
  <c r="Q502" i="46"/>
  <c r="E502" i="46"/>
  <c r="G502" i="46" s="1"/>
  <c r="AG501" i="46"/>
  <c r="Q501" i="46"/>
  <c r="E501" i="46"/>
  <c r="G501" i="46"/>
  <c r="AG500" i="46"/>
  <c r="Q500" i="46"/>
  <c r="E500" i="46"/>
  <c r="G500" i="46"/>
  <c r="AG499" i="46"/>
  <c r="Q499" i="46"/>
  <c r="E499" i="46"/>
  <c r="G499" i="46" s="1"/>
  <c r="E498" i="46"/>
  <c r="G498" i="46" s="1"/>
  <c r="AF497" i="46"/>
  <c r="AF496" i="46"/>
  <c r="AE497" i="46"/>
  <c r="AE496" i="46" s="1"/>
  <c r="AC497" i="46"/>
  <c r="AB497" i="46"/>
  <c r="AB496" i="46" s="1"/>
  <c r="AA497" i="46"/>
  <c r="Z497" i="46"/>
  <c r="Y497" i="46"/>
  <c r="X497" i="46"/>
  <c r="W497" i="46"/>
  <c r="V497" i="46"/>
  <c r="V496" i="46" s="1"/>
  <c r="U497" i="46"/>
  <c r="T497" i="46"/>
  <c r="S497" i="46"/>
  <c r="R496" i="46"/>
  <c r="AG494" i="46"/>
  <c r="Q494" i="46"/>
  <c r="Q492" i="46" s="1"/>
  <c r="E494" i="46"/>
  <c r="G494" i="46"/>
  <c r="AG493" i="46"/>
  <c r="E493" i="46"/>
  <c r="G493" i="46"/>
  <c r="AF492" i="46"/>
  <c r="AE492" i="46"/>
  <c r="AD492" i="46"/>
  <c r="AC492" i="46"/>
  <c r="AB492" i="46"/>
  <c r="AA492" i="46"/>
  <c r="Z492" i="46"/>
  <c r="Y492" i="46"/>
  <c r="X492" i="46"/>
  <c r="W492" i="46"/>
  <c r="V492" i="46"/>
  <c r="U492" i="46"/>
  <c r="T492" i="46"/>
  <c r="S492" i="46"/>
  <c r="AG491" i="46"/>
  <c r="Q491" i="46"/>
  <c r="G491" i="46"/>
  <c r="AG490" i="46"/>
  <c r="Q490" i="46"/>
  <c r="G490" i="46"/>
  <c r="AG489" i="46"/>
  <c r="Q489" i="46"/>
  <c r="G489" i="46"/>
  <c r="AG488" i="46"/>
  <c r="Q488" i="46"/>
  <c r="G488" i="46"/>
  <c r="AG487" i="46"/>
  <c r="Q487" i="46"/>
  <c r="G487" i="46"/>
  <c r="G486" i="46"/>
  <c r="AF485" i="46"/>
  <c r="AE485" i="46"/>
  <c r="AD485" i="46"/>
  <c r="AC485" i="46"/>
  <c r="AB485" i="46"/>
  <c r="AA485" i="46"/>
  <c r="Z485" i="46"/>
  <c r="Y485" i="46"/>
  <c r="X485" i="46"/>
  <c r="W485" i="46"/>
  <c r="V485" i="46"/>
  <c r="U485" i="46"/>
  <c r="T485" i="46"/>
  <c r="S485" i="46"/>
  <c r="AG484" i="46"/>
  <c r="Q484" i="46"/>
  <c r="G484" i="46"/>
  <c r="AG483" i="46"/>
  <c r="Q483" i="46"/>
  <c r="G483" i="46"/>
  <c r="AG482" i="46"/>
  <c r="Q482" i="46"/>
  <c r="G482" i="46"/>
  <c r="AG481" i="46"/>
  <c r="Q481" i="46"/>
  <c r="G481" i="46"/>
  <c r="AG480" i="46"/>
  <c r="Q480" i="46"/>
  <c r="G480" i="46"/>
  <c r="AG479" i="46"/>
  <c r="Q479" i="46"/>
  <c r="G479" i="46"/>
  <c r="G478" i="46"/>
  <c r="AF477" i="46"/>
  <c r="AE477" i="46"/>
  <c r="AD477" i="46"/>
  <c r="AC477" i="46"/>
  <c r="AB477" i="46"/>
  <c r="AA477" i="46"/>
  <c r="Z477" i="46"/>
  <c r="Y477" i="46"/>
  <c r="X477" i="46"/>
  <c r="W477" i="46"/>
  <c r="V477" i="46"/>
  <c r="U477" i="46"/>
  <c r="T477" i="46"/>
  <c r="S477" i="46"/>
  <c r="AG476" i="46"/>
  <c r="Q476" i="46"/>
  <c r="G476" i="46"/>
  <c r="AG475" i="46"/>
  <c r="Q475" i="46"/>
  <c r="G475" i="46"/>
  <c r="AG474" i="46"/>
  <c r="Q474" i="46"/>
  <c r="G474" i="46"/>
  <c r="AG473" i="46"/>
  <c r="Q473" i="46"/>
  <c r="G473" i="46"/>
  <c r="G472" i="46"/>
  <c r="AG471" i="46"/>
  <c r="Q471" i="46"/>
  <c r="G471" i="46"/>
  <c r="AG470" i="46"/>
  <c r="Q470" i="46"/>
  <c r="G470" i="46"/>
  <c r="AG469" i="46"/>
  <c r="Q469" i="46"/>
  <c r="G469" i="46"/>
  <c r="G468" i="46"/>
  <c r="AG467" i="46"/>
  <c r="Q467" i="46"/>
  <c r="G467" i="46"/>
  <c r="AG466" i="46"/>
  <c r="Q466" i="46"/>
  <c r="G466" i="46"/>
  <c r="AG465" i="46"/>
  <c r="Q465" i="46"/>
  <c r="G465" i="46"/>
  <c r="AG464" i="46"/>
  <c r="Q464" i="46"/>
  <c r="G464" i="46"/>
  <c r="AG463" i="46"/>
  <c r="Q463" i="46"/>
  <c r="G463" i="46"/>
  <c r="AG462" i="46"/>
  <c r="Q462" i="46"/>
  <c r="G462" i="46"/>
  <c r="G461" i="46"/>
  <c r="AF460" i="46"/>
  <c r="AF442" i="46" s="1"/>
  <c r="AF443" i="46"/>
  <c r="AF451" i="46"/>
  <c r="AF407" i="46"/>
  <c r="AF406" i="46"/>
  <c r="AE460" i="46"/>
  <c r="AD460" i="46"/>
  <c r="AC460" i="46"/>
  <c r="AB460" i="46"/>
  <c r="AA460" i="46"/>
  <c r="Z460" i="46"/>
  <c r="AG460" i="46" s="1"/>
  <c r="Y460" i="46"/>
  <c r="X460" i="46"/>
  <c r="W460" i="46"/>
  <c r="V460" i="46"/>
  <c r="U460" i="46"/>
  <c r="T460" i="46"/>
  <c r="S460" i="46"/>
  <c r="AG459" i="46"/>
  <c r="Q459" i="46"/>
  <c r="G459" i="46"/>
  <c r="AG458" i="46"/>
  <c r="P458" i="46"/>
  <c r="Q458" i="46" s="1"/>
  <c r="E458" i="46"/>
  <c r="G458" i="46"/>
  <c r="AG457" i="46"/>
  <c r="P457" i="46"/>
  <c r="Q457" i="46" s="1"/>
  <c r="E457" i="46"/>
  <c r="G457" i="46"/>
  <c r="AG456" i="46"/>
  <c r="P456" i="46"/>
  <c r="Q456" i="46"/>
  <c r="E456" i="46"/>
  <c r="G456" i="46" s="1"/>
  <c r="AG455" i="46"/>
  <c r="P455" i="46"/>
  <c r="Q455" i="46" s="1"/>
  <c r="G455" i="46"/>
  <c r="AG454" i="46"/>
  <c r="P454" i="46"/>
  <c r="Q454" i="46"/>
  <c r="G454" i="46"/>
  <c r="G453" i="46"/>
  <c r="AE451" i="46"/>
  <c r="AD451" i="46"/>
  <c r="AC451" i="46"/>
  <c r="AB451" i="46"/>
  <c r="AA451" i="46"/>
  <c r="Z451" i="46"/>
  <c r="Y451" i="46"/>
  <c r="X451" i="46"/>
  <c r="W451" i="46"/>
  <c r="V451" i="46"/>
  <c r="U451" i="46"/>
  <c r="T451" i="46"/>
  <c r="S451" i="46"/>
  <c r="AG450" i="46"/>
  <c r="Q450" i="46"/>
  <c r="AG449" i="46"/>
  <c r="Q449" i="46"/>
  <c r="E449" i="46"/>
  <c r="G449" i="46"/>
  <c r="AG448" i="46"/>
  <c r="Q448" i="46"/>
  <c r="E448" i="46"/>
  <c r="G448" i="46"/>
  <c r="AG447" i="46"/>
  <c r="Q447" i="46"/>
  <c r="E447" i="46"/>
  <c r="G447" i="46" s="1"/>
  <c r="AG446" i="46"/>
  <c r="Q446" i="46"/>
  <c r="E446" i="46"/>
  <c r="G446" i="46"/>
  <c r="AG445" i="46"/>
  <c r="Q445" i="46"/>
  <c r="G445" i="46"/>
  <c r="G444" i="46"/>
  <c r="AE443" i="46"/>
  <c r="AD443" i="46"/>
  <c r="AC443" i="46"/>
  <c r="AB443" i="46"/>
  <c r="AA443" i="46"/>
  <c r="Z443" i="46"/>
  <c r="Y443" i="46"/>
  <c r="X443" i="46"/>
  <c r="W443" i="46"/>
  <c r="V443" i="46"/>
  <c r="U443" i="46"/>
  <c r="T443" i="46"/>
  <c r="S443" i="46"/>
  <c r="AG441" i="46"/>
  <c r="Q441" i="46"/>
  <c r="G441" i="46"/>
  <c r="AG440" i="46"/>
  <c r="Q440" i="46"/>
  <c r="G440" i="46"/>
  <c r="AG439" i="46"/>
  <c r="Q439" i="46"/>
  <c r="G439" i="46"/>
  <c r="G438" i="46"/>
  <c r="AG437" i="46"/>
  <c r="Q437" i="46"/>
  <c r="G437" i="46"/>
  <c r="AG436" i="46"/>
  <c r="Q436" i="46"/>
  <c r="G436" i="46"/>
  <c r="AG435" i="46"/>
  <c r="Q435" i="46"/>
  <c r="G435" i="46"/>
  <c r="AG434" i="46"/>
  <c r="Q434" i="46"/>
  <c r="G434" i="46"/>
  <c r="AG433" i="46"/>
  <c r="P433" i="46"/>
  <c r="Q433" i="46"/>
  <c r="G433" i="46"/>
  <c r="AG432" i="46"/>
  <c r="P432" i="46"/>
  <c r="Q432" i="46"/>
  <c r="G432" i="46"/>
  <c r="G431" i="46"/>
  <c r="AG430" i="46"/>
  <c r="Q430" i="46"/>
  <c r="G430" i="46"/>
  <c r="AG429" i="46"/>
  <c r="Q429" i="46"/>
  <c r="G429" i="46"/>
  <c r="AG428" i="46"/>
  <c r="Q428" i="46"/>
  <c r="G428" i="46"/>
  <c r="AG427" i="46"/>
  <c r="Q427" i="46"/>
  <c r="G427" i="46"/>
  <c r="AG426" i="46"/>
  <c r="P426" i="46"/>
  <c r="Q426" i="46"/>
  <c r="G426" i="46"/>
  <c r="AG425" i="46"/>
  <c r="P425" i="46"/>
  <c r="Q425" i="46"/>
  <c r="G425" i="46"/>
  <c r="G424" i="46"/>
  <c r="AG423" i="46"/>
  <c r="Q423" i="46"/>
  <c r="G423" i="46"/>
  <c r="AG422" i="46"/>
  <c r="Q422" i="46"/>
  <c r="G422" i="46"/>
  <c r="AG421" i="46"/>
  <c r="Q421" i="46"/>
  <c r="G421" i="46"/>
  <c r="AG420" i="46"/>
  <c r="P420" i="46"/>
  <c r="Q420" i="46" s="1"/>
  <c r="G420" i="46"/>
  <c r="AG419" i="46"/>
  <c r="P419" i="46"/>
  <c r="Q419" i="46" s="1"/>
  <c r="G419" i="46"/>
  <c r="G418" i="46"/>
  <c r="AG417" i="46"/>
  <c r="Q417" i="46"/>
  <c r="G417" i="46"/>
  <c r="AG416" i="46"/>
  <c r="Q416" i="46"/>
  <c r="G416" i="46"/>
  <c r="AG415" i="46"/>
  <c r="Q415" i="46"/>
  <c r="G415" i="46"/>
  <c r="AG414" i="46"/>
  <c r="Q414" i="46"/>
  <c r="G414" i="46"/>
  <c r="AG413" i="46"/>
  <c r="Q413" i="46"/>
  <c r="G413" i="46"/>
  <c r="AG412" i="46"/>
  <c r="Q412" i="46"/>
  <c r="G412" i="46"/>
  <c r="AG411" i="46"/>
  <c r="P411" i="46"/>
  <c r="Q411" i="46"/>
  <c r="G411" i="46"/>
  <c r="AG410" i="46"/>
  <c r="P410" i="46"/>
  <c r="Q410" i="46"/>
  <c r="G410" i="46"/>
  <c r="G409" i="46"/>
  <c r="AG408" i="46"/>
  <c r="Q408" i="46"/>
  <c r="E408" i="46"/>
  <c r="G408" i="46"/>
  <c r="AE407" i="46"/>
  <c r="AD407" i="46"/>
  <c r="AD406" i="46" s="1"/>
  <c r="AC407" i="46"/>
  <c r="AC406" i="46" s="1"/>
  <c r="AB407" i="46"/>
  <c r="AB406" i="46"/>
  <c r="AA407" i="46"/>
  <c r="Z407" i="46"/>
  <c r="Y407" i="46"/>
  <c r="Y406" i="46" s="1"/>
  <c r="X407" i="46"/>
  <c r="X406" i="46"/>
  <c r="W407" i="46"/>
  <c r="W406" i="46" s="1"/>
  <c r="V407" i="46"/>
  <c r="V406" i="46" s="1"/>
  <c r="U407" i="46"/>
  <c r="T407" i="46"/>
  <c r="S407" i="46"/>
  <c r="S406" i="46" s="1"/>
  <c r="AE406" i="46"/>
  <c r="AA406" i="46"/>
  <c r="Z406" i="46"/>
  <c r="T406" i="46"/>
  <c r="R406" i="46"/>
  <c r="R405" i="46" s="1"/>
  <c r="AG404" i="46"/>
  <c r="Q404" i="46"/>
  <c r="Q403" i="46"/>
  <c r="G404" i="46"/>
  <c r="AF403" i="46"/>
  <c r="AE403" i="46"/>
  <c r="AD403" i="46"/>
  <c r="AD390" i="46"/>
  <c r="AD393" i="46"/>
  <c r="AD398" i="46"/>
  <c r="AD401" i="46"/>
  <c r="AC403" i="46"/>
  <c r="AB403" i="46"/>
  <c r="AA403" i="46"/>
  <c r="Z403" i="46"/>
  <c r="Z390" i="46"/>
  <c r="Z393" i="46"/>
  <c r="Z398" i="46"/>
  <c r="Z401" i="46"/>
  <c r="Y403" i="46"/>
  <c r="X403" i="46"/>
  <c r="W403" i="46"/>
  <c r="V403" i="46"/>
  <c r="V390" i="46"/>
  <c r="V393" i="46"/>
  <c r="V398" i="46"/>
  <c r="V401" i="46"/>
  <c r="V389" i="46"/>
  <c r="U403" i="46"/>
  <c r="T403" i="46"/>
  <c r="S403" i="46"/>
  <c r="AG402" i="46"/>
  <c r="Q402" i="46"/>
  <c r="Q401" i="46" s="1"/>
  <c r="G402" i="46"/>
  <c r="AF401" i="46"/>
  <c r="AE401" i="46"/>
  <c r="AC401" i="46"/>
  <c r="AB401" i="46"/>
  <c r="AA401" i="46"/>
  <c r="Y401" i="46"/>
  <c r="X401" i="46"/>
  <c r="W401" i="46"/>
  <c r="U401" i="46"/>
  <c r="T401" i="46"/>
  <c r="S401" i="46"/>
  <c r="AG400" i="46"/>
  <c r="Q400" i="46"/>
  <c r="G400" i="46"/>
  <c r="AG399" i="46"/>
  <c r="Q399" i="46"/>
  <c r="Q398" i="46"/>
  <c r="G399" i="46"/>
  <c r="AF398" i="46"/>
  <c r="AE398" i="46"/>
  <c r="AC398" i="46"/>
  <c r="AB398" i="46"/>
  <c r="AG398" i="46" s="1"/>
  <c r="AA398" i="46"/>
  <c r="Y398" i="46"/>
  <c r="X398" i="46"/>
  <c r="W398" i="46"/>
  <c r="U398" i="46"/>
  <c r="T398" i="46"/>
  <c r="S398" i="46"/>
  <c r="AG397" i="46"/>
  <c r="Q397" i="46"/>
  <c r="G397" i="46"/>
  <c r="AG396" i="46"/>
  <c r="Q396" i="46"/>
  <c r="G396" i="46"/>
  <c r="G395" i="46"/>
  <c r="AG394" i="46"/>
  <c r="Q394" i="46"/>
  <c r="G394" i="46"/>
  <c r="AF393" i="46"/>
  <c r="AE393" i="46"/>
  <c r="AC393" i="46"/>
  <c r="AB393" i="46"/>
  <c r="AA393" i="46"/>
  <c r="Y393" i="46"/>
  <c r="X393" i="46"/>
  <c r="W393" i="46"/>
  <c r="U393" i="46"/>
  <c r="T393" i="46"/>
  <c r="S393" i="46"/>
  <c r="S389" i="46" s="1"/>
  <c r="AG392" i="46"/>
  <c r="Q392" i="46"/>
  <c r="G392" i="46"/>
  <c r="AG391" i="46"/>
  <c r="Q391" i="46"/>
  <c r="Q390" i="46" s="1"/>
  <c r="G391" i="46"/>
  <c r="AF390" i="46"/>
  <c r="AE390" i="46"/>
  <c r="AC390" i="46"/>
  <c r="AB390" i="46"/>
  <c r="AA390" i="46"/>
  <c r="AA389" i="46"/>
  <c r="Y390" i="46"/>
  <c r="X390" i="46"/>
  <c r="W390" i="46"/>
  <c r="W389" i="46" s="1"/>
  <c r="U390" i="46"/>
  <c r="T390" i="46"/>
  <c r="S390" i="46"/>
  <c r="AG388" i="46"/>
  <c r="Q388" i="46"/>
  <c r="AG387" i="46"/>
  <c r="Q387" i="46"/>
  <c r="Q385" i="46" s="1"/>
  <c r="AF385" i="46"/>
  <c r="AE385" i="46"/>
  <c r="AD385" i="46"/>
  <c r="AC385" i="46"/>
  <c r="AB385" i="46"/>
  <c r="AA385" i="46"/>
  <c r="Z385" i="46"/>
  <c r="Y385" i="46"/>
  <c r="X385" i="46"/>
  <c r="W385" i="46"/>
  <c r="V385" i="46"/>
  <c r="U385" i="46"/>
  <c r="T385" i="46"/>
  <c r="S385" i="46"/>
  <c r="AG384" i="46"/>
  <c r="Q384" i="46"/>
  <c r="AG383" i="46"/>
  <c r="Q383" i="46"/>
  <c r="AG382" i="46"/>
  <c r="Q382" i="46"/>
  <c r="AG381" i="46"/>
  <c r="Q381" i="46"/>
  <c r="AG380" i="46"/>
  <c r="Q380" i="46"/>
  <c r="AG379" i="46"/>
  <c r="Q379" i="46"/>
  <c r="AG378" i="46"/>
  <c r="Q378" i="46"/>
  <c r="AG377" i="46"/>
  <c r="Q377" i="46"/>
  <c r="AG376" i="46"/>
  <c r="Q376" i="46"/>
  <c r="AG375" i="46"/>
  <c r="Q375" i="46"/>
  <c r="AG374" i="46"/>
  <c r="Q374" i="46"/>
  <c r="AG372" i="46"/>
  <c r="Q372" i="46"/>
  <c r="G372" i="46"/>
  <c r="AG371" i="46"/>
  <c r="Q371" i="46"/>
  <c r="G371" i="46"/>
  <c r="AG370" i="46"/>
  <c r="Q370" i="46"/>
  <c r="G370" i="46"/>
  <c r="G369" i="46"/>
  <c r="AG368" i="46"/>
  <c r="Q368" i="46"/>
  <c r="AG367" i="46"/>
  <c r="Q367" i="46"/>
  <c r="AF365" i="46"/>
  <c r="AE365" i="46"/>
  <c r="AD365" i="46"/>
  <c r="AC365" i="46"/>
  <c r="AB365" i="46"/>
  <c r="AA365" i="46"/>
  <c r="Z365" i="46"/>
  <c r="Y365" i="46"/>
  <c r="X365" i="46"/>
  <c r="W365" i="46"/>
  <c r="V365" i="46"/>
  <c r="U365" i="46"/>
  <c r="T365" i="46"/>
  <c r="S365" i="46"/>
  <c r="AG364" i="46"/>
  <c r="Q364" i="46"/>
  <c r="AG363" i="46"/>
  <c r="Q363" i="46"/>
  <c r="AG362" i="46"/>
  <c r="Q362" i="46"/>
  <c r="G362" i="46"/>
  <c r="G361" i="46"/>
  <c r="AG360" i="46"/>
  <c r="Q360" i="46"/>
  <c r="G360" i="46"/>
  <c r="AG359" i="46"/>
  <c r="Q359" i="46"/>
  <c r="G359" i="46"/>
  <c r="AG358" i="46"/>
  <c r="Q358" i="46"/>
  <c r="G358" i="46"/>
  <c r="AG357" i="46"/>
  <c r="Q357" i="46"/>
  <c r="AG355" i="46"/>
  <c r="Q355" i="46"/>
  <c r="E355" i="46"/>
  <c r="AG354" i="46"/>
  <c r="Q354" i="46"/>
  <c r="AG352" i="46"/>
  <c r="Q352" i="46"/>
  <c r="E352" i="46"/>
  <c r="AG351" i="46"/>
  <c r="Q351" i="46"/>
  <c r="AF349" i="46"/>
  <c r="AE349" i="46"/>
  <c r="AD349" i="46"/>
  <c r="AC349" i="46"/>
  <c r="AB349" i="46"/>
  <c r="AA349" i="46"/>
  <c r="Z349" i="46"/>
  <c r="Y349" i="46"/>
  <c r="X349" i="46"/>
  <c r="W349" i="46"/>
  <c r="V349" i="46"/>
  <c r="U349" i="46"/>
  <c r="T349" i="46"/>
  <c r="S349" i="46"/>
  <c r="AG348" i="46"/>
  <c r="Q348" i="46"/>
  <c r="AG347" i="46"/>
  <c r="Q347" i="46"/>
  <c r="AG346" i="46"/>
  <c r="Q346" i="46"/>
  <c r="AG344" i="46"/>
  <c r="Q344" i="46"/>
  <c r="AG343" i="46"/>
  <c r="Q343" i="46"/>
  <c r="AG341" i="46"/>
  <c r="Q341" i="46"/>
  <c r="AG340" i="46"/>
  <c r="Q340" i="46"/>
  <c r="AG338" i="46"/>
  <c r="Q338" i="46"/>
  <c r="AG337" i="46"/>
  <c r="Q337" i="46"/>
  <c r="G337" i="46"/>
  <c r="G336" i="46"/>
  <c r="AF335" i="46"/>
  <c r="AE335" i="46"/>
  <c r="AD335" i="46"/>
  <c r="AC335" i="46"/>
  <c r="AB335" i="46"/>
  <c r="AA335" i="46"/>
  <c r="Z335" i="46"/>
  <c r="Y335" i="46"/>
  <c r="X335" i="46"/>
  <c r="W335" i="46"/>
  <c r="V335" i="46"/>
  <c r="U335" i="46"/>
  <c r="T335" i="46"/>
  <c r="S335" i="46"/>
  <c r="R334" i="46"/>
  <c r="R244" i="46" s="1"/>
  <c r="AG333" i="46"/>
  <c r="Q333" i="46"/>
  <c r="G333" i="46"/>
  <c r="AG332" i="46"/>
  <c r="Q332" i="46"/>
  <c r="G332" i="46"/>
  <c r="AG331" i="46"/>
  <c r="Q331" i="46"/>
  <c r="G331" i="46"/>
  <c r="AG330" i="46"/>
  <c r="Q330" i="46"/>
  <c r="G330" i="46"/>
  <c r="AG329" i="46"/>
  <c r="Q329" i="46"/>
  <c r="G329" i="46"/>
  <c r="AG328" i="46"/>
  <c r="Q328" i="46"/>
  <c r="G328" i="46"/>
  <c r="AG327" i="46"/>
  <c r="Q327" i="46"/>
  <c r="G327" i="46"/>
  <c r="AG326" i="46"/>
  <c r="Q326" i="46"/>
  <c r="G326" i="46"/>
  <c r="AG325" i="46"/>
  <c r="Q325" i="46"/>
  <c r="G325" i="46"/>
  <c r="AG324" i="46"/>
  <c r="Q324" i="46"/>
  <c r="G324" i="46"/>
  <c r="G323" i="46"/>
  <c r="AG322" i="46"/>
  <c r="Q322" i="46"/>
  <c r="G322" i="46"/>
  <c r="AG321" i="46"/>
  <c r="Q321" i="46"/>
  <c r="G321" i="46"/>
  <c r="AG320" i="46"/>
  <c r="Q320" i="46"/>
  <c r="G320" i="46"/>
  <c r="AG319" i="46"/>
  <c r="Q319" i="46"/>
  <c r="G319" i="46"/>
  <c r="AG318" i="46"/>
  <c r="Q318" i="46"/>
  <c r="G318" i="46"/>
  <c r="AG317" i="46"/>
  <c r="Q317" i="46"/>
  <c r="Q313" i="46" s="1"/>
  <c r="G317" i="46"/>
  <c r="AG316" i="46"/>
  <c r="Q316" i="46"/>
  <c r="Q315" i="46"/>
  <c r="G316" i="46"/>
  <c r="AG315" i="46"/>
  <c r="G315" i="46"/>
  <c r="G314" i="46"/>
  <c r="AF313" i="46"/>
  <c r="AE313" i="46"/>
  <c r="AD313" i="46"/>
  <c r="AG313" i="46" s="1"/>
  <c r="AC313" i="46"/>
  <c r="AB313" i="46"/>
  <c r="AA313" i="46"/>
  <c r="Z313" i="46"/>
  <c r="Y313" i="46"/>
  <c r="X313" i="46"/>
  <c r="W313" i="46"/>
  <c r="V313" i="46"/>
  <c r="U313" i="46"/>
  <c r="T313" i="46"/>
  <c r="S313" i="46"/>
  <c r="AG312" i="46"/>
  <c r="Q312" i="46"/>
  <c r="G312" i="46"/>
  <c r="AG311" i="46"/>
  <c r="Q311" i="46"/>
  <c r="G311" i="46"/>
  <c r="G310" i="46"/>
  <c r="AG309" i="46"/>
  <c r="Q309" i="46"/>
  <c r="G309" i="46"/>
  <c r="AG308" i="46"/>
  <c r="Q308" i="46"/>
  <c r="G308" i="46"/>
  <c r="AG307" i="46"/>
  <c r="Q307" i="46"/>
  <c r="G307" i="46"/>
  <c r="AG306" i="46"/>
  <c r="Q306" i="46"/>
  <c r="G306" i="46"/>
  <c r="AG305" i="46"/>
  <c r="Q305" i="46"/>
  <c r="G305" i="46"/>
  <c r="AG304" i="46"/>
  <c r="Q304" i="46"/>
  <c r="G304" i="46"/>
  <c r="AG303" i="46"/>
  <c r="Q303" i="46"/>
  <c r="G303" i="46"/>
  <c r="G302" i="46"/>
  <c r="AG301" i="46"/>
  <c r="Q301" i="46"/>
  <c r="G301" i="46"/>
  <c r="AG300" i="46"/>
  <c r="Q300" i="46"/>
  <c r="G300" i="46"/>
  <c r="AG299" i="46"/>
  <c r="Q299" i="46"/>
  <c r="G299" i="46"/>
  <c r="AG298" i="46"/>
  <c r="Q298" i="46"/>
  <c r="G298" i="46"/>
  <c r="AG297" i="46"/>
  <c r="Q297" i="46"/>
  <c r="G297" i="46"/>
  <c r="AG296" i="46"/>
  <c r="Q296" i="46"/>
  <c r="G296" i="46"/>
  <c r="AG295" i="46"/>
  <c r="Q295" i="46"/>
  <c r="G295" i="46"/>
  <c r="AG294" i="46"/>
  <c r="Q294" i="46"/>
  <c r="G294" i="46"/>
  <c r="AG293" i="46"/>
  <c r="Q293" i="46"/>
  <c r="G293" i="46"/>
  <c r="G292" i="46"/>
  <c r="AF291" i="46"/>
  <c r="AE291" i="46"/>
  <c r="AD291" i="46"/>
  <c r="AC291" i="46"/>
  <c r="AG291" i="46" s="1"/>
  <c r="AB291" i="46"/>
  <c r="AA291" i="46"/>
  <c r="Z291" i="46"/>
  <c r="Y291" i="46"/>
  <c r="X291" i="46"/>
  <c r="W291" i="46"/>
  <c r="V291" i="46"/>
  <c r="U291" i="46"/>
  <c r="T291" i="46"/>
  <c r="S291" i="46"/>
  <c r="AG290" i="46"/>
  <c r="Q290" i="46"/>
  <c r="G290" i="46"/>
  <c r="AG289" i="46"/>
  <c r="Q289" i="46"/>
  <c r="G289" i="46"/>
  <c r="AG288" i="46"/>
  <c r="Q288" i="46"/>
  <c r="G288" i="46"/>
  <c r="AG287" i="46"/>
  <c r="Q287" i="46"/>
  <c r="G287" i="46"/>
  <c r="AG286" i="46"/>
  <c r="Q286" i="46"/>
  <c r="G286" i="46"/>
  <c r="AG285" i="46"/>
  <c r="Q285" i="46"/>
  <c r="G285" i="46"/>
  <c r="AG284" i="46"/>
  <c r="Q284" i="46"/>
  <c r="G284" i="46"/>
  <c r="AG283" i="46"/>
  <c r="Q283" i="46"/>
  <c r="G283" i="46"/>
  <c r="AG282" i="46"/>
  <c r="Q282" i="46"/>
  <c r="Q269" i="46" s="1"/>
  <c r="G282" i="46"/>
  <c r="AG281" i="46"/>
  <c r="Q281" i="46"/>
  <c r="G281" i="46"/>
  <c r="G280" i="46"/>
  <c r="AG279" i="46"/>
  <c r="Q279" i="46"/>
  <c r="G279" i="46"/>
  <c r="AG278" i="46"/>
  <c r="Q278" i="46"/>
  <c r="G278" i="46"/>
  <c r="AG277" i="46"/>
  <c r="Q277" i="46"/>
  <c r="G277" i="46"/>
  <c r="AG276" i="46"/>
  <c r="Q276" i="46"/>
  <c r="G276" i="46"/>
  <c r="G275" i="46"/>
  <c r="AG274" i="46"/>
  <c r="Q274" i="46"/>
  <c r="G274" i="46"/>
  <c r="AG273" i="46"/>
  <c r="Q273" i="46"/>
  <c r="G273" i="46"/>
  <c r="AG272" i="46"/>
  <c r="Q272" i="46"/>
  <c r="G272" i="46"/>
  <c r="AG271" i="46"/>
  <c r="Q271" i="46"/>
  <c r="G271" i="46"/>
  <c r="G270" i="46"/>
  <c r="AF269" i="46"/>
  <c r="AE269" i="46"/>
  <c r="AD269" i="46"/>
  <c r="AC269" i="46"/>
  <c r="AB269" i="46"/>
  <c r="AB245" i="46" s="1"/>
  <c r="AA269" i="46"/>
  <c r="Z269" i="46"/>
  <c r="Y269" i="46"/>
  <c r="X269" i="46"/>
  <c r="W269" i="46"/>
  <c r="V269" i="46"/>
  <c r="U269" i="46"/>
  <c r="T269" i="46"/>
  <c r="S269" i="46"/>
  <c r="AG268" i="46"/>
  <c r="Q268" i="46"/>
  <c r="G268" i="46"/>
  <c r="AG267" i="46"/>
  <c r="Q267" i="46"/>
  <c r="G267" i="46"/>
  <c r="AG266" i="46"/>
  <c r="Q266" i="46"/>
  <c r="G266" i="46"/>
  <c r="AG265" i="46"/>
  <c r="Q265" i="46"/>
  <c r="G265" i="46"/>
  <c r="AG264" i="46"/>
  <c r="G264" i="46"/>
  <c r="AG263" i="46"/>
  <c r="G263" i="46"/>
  <c r="AG262" i="46"/>
  <c r="G262" i="46"/>
  <c r="AG261" i="46"/>
  <c r="G261" i="46"/>
  <c r="AG260" i="46"/>
  <c r="G260" i="46"/>
  <c r="AG259" i="46"/>
  <c r="G259" i="46"/>
  <c r="AG258" i="46"/>
  <c r="G258" i="46"/>
  <c r="G257" i="46"/>
  <c r="AF256" i="46"/>
  <c r="AE256" i="46"/>
  <c r="AD256" i="46"/>
  <c r="AC256" i="46"/>
  <c r="AC246" i="46"/>
  <c r="AB256" i="46"/>
  <c r="AA256" i="46"/>
  <c r="Z256" i="46"/>
  <c r="Y256" i="46"/>
  <c r="Y246" i="46"/>
  <c r="Y245" i="46"/>
  <c r="X256" i="46"/>
  <c r="W256" i="46"/>
  <c r="V256" i="46"/>
  <c r="U256" i="46"/>
  <c r="T256" i="46"/>
  <c r="S256" i="46"/>
  <c r="AG255" i="46"/>
  <c r="Q255" i="46"/>
  <c r="G255" i="46"/>
  <c r="AG254" i="46"/>
  <c r="Q254" i="46"/>
  <c r="G254" i="46"/>
  <c r="AG253" i="46"/>
  <c r="Q253" i="46"/>
  <c r="G253" i="46"/>
  <c r="AG252" i="46"/>
  <c r="Q252" i="46"/>
  <c r="G252" i="46"/>
  <c r="AG251" i="46"/>
  <c r="Q251" i="46"/>
  <c r="G251" i="46"/>
  <c r="AG250" i="46"/>
  <c r="Q250" i="46"/>
  <c r="G250" i="46"/>
  <c r="AG249" i="46"/>
  <c r="Q249" i="46"/>
  <c r="G249" i="46"/>
  <c r="AG248" i="46"/>
  <c r="Q248" i="46"/>
  <c r="G248" i="46"/>
  <c r="G247" i="46"/>
  <c r="AF246" i="46"/>
  <c r="AE246" i="46"/>
  <c r="AD246" i="46"/>
  <c r="AB246" i="46"/>
  <c r="AA246" i="46"/>
  <c r="Z246" i="46"/>
  <c r="X246" i="46"/>
  <c r="W246" i="46"/>
  <c r="V246" i="46"/>
  <c r="U246" i="46"/>
  <c r="U245" i="46" s="1"/>
  <c r="T246" i="46"/>
  <c r="S246" i="46"/>
  <c r="R245" i="46"/>
  <c r="AG243" i="46"/>
  <c r="Q243" i="46"/>
  <c r="AG242" i="46"/>
  <c r="Q242" i="46"/>
  <c r="AG241" i="46"/>
  <c r="Q241" i="46"/>
  <c r="G241" i="46"/>
  <c r="AG240" i="46"/>
  <c r="Q240" i="46"/>
  <c r="G240" i="46"/>
  <c r="AG239" i="46"/>
  <c r="Q239" i="46"/>
  <c r="G239" i="46"/>
  <c r="AG238" i="46"/>
  <c r="Q238" i="46"/>
  <c r="G238" i="46"/>
  <c r="AG237" i="46"/>
  <c r="Q237" i="46"/>
  <c r="G237" i="46"/>
  <c r="AG236" i="46"/>
  <c r="Q236" i="46"/>
  <c r="G236" i="46"/>
  <c r="AG235" i="46"/>
  <c r="Q235" i="46"/>
  <c r="G235" i="46"/>
  <c r="G234" i="46"/>
  <c r="AG233" i="46"/>
  <c r="Q233" i="46"/>
  <c r="AG232" i="46"/>
  <c r="Q232" i="46"/>
  <c r="AG231" i="46"/>
  <c r="Q231" i="46"/>
  <c r="G231" i="46"/>
  <c r="AG230" i="46"/>
  <c r="Q230" i="46"/>
  <c r="G230" i="46"/>
  <c r="AG229" i="46"/>
  <c r="Q229" i="46"/>
  <c r="G229" i="46"/>
  <c r="AG228" i="46"/>
  <c r="Q228" i="46"/>
  <c r="G228" i="46"/>
  <c r="AG227" i="46"/>
  <c r="Q227" i="46"/>
  <c r="G227" i="46"/>
  <c r="AG226" i="46"/>
  <c r="Q226" i="46"/>
  <c r="G226" i="46"/>
  <c r="AG225" i="46"/>
  <c r="Q225" i="46"/>
  <c r="G225" i="46"/>
  <c r="G224" i="46"/>
  <c r="AG223" i="46"/>
  <c r="Q223" i="46"/>
  <c r="AG222" i="46"/>
  <c r="Q222" i="46"/>
  <c r="G222" i="46"/>
  <c r="AG221" i="46"/>
  <c r="Q221" i="46"/>
  <c r="G221" i="46"/>
  <c r="AG220" i="46"/>
  <c r="Q220" i="46"/>
  <c r="G220" i="46"/>
  <c r="AG219" i="46"/>
  <c r="Q219" i="46"/>
  <c r="G219" i="46"/>
  <c r="AG218" i="46"/>
  <c r="Q218" i="46"/>
  <c r="G218" i="46"/>
  <c r="AG217" i="46"/>
  <c r="Q217" i="46"/>
  <c r="G217" i="46"/>
  <c r="AG216" i="46"/>
  <c r="Q216" i="46"/>
  <c r="G216" i="46"/>
  <c r="G215" i="46"/>
  <c r="AG214" i="46"/>
  <c r="Q214" i="46"/>
  <c r="AG213" i="46"/>
  <c r="Q213" i="46"/>
  <c r="AG212" i="46"/>
  <c r="Q212" i="46"/>
  <c r="AG211" i="46"/>
  <c r="Q211" i="46"/>
  <c r="G211" i="46"/>
  <c r="AG210" i="46"/>
  <c r="Q210" i="46"/>
  <c r="G210" i="46"/>
  <c r="AG209" i="46"/>
  <c r="Q209" i="46"/>
  <c r="G209" i="46"/>
  <c r="AG208" i="46"/>
  <c r="Q208" i="46"/>
  <c r="G208" i="46"/>
  <c r="AG207" i="46"/>
  <c r="Q207" i="46"/>
  <c r="G207" i="46"/>
  <c r="AG206" i="46"/>
  <c r="Q206" i="46"/>
  <c r="G206" i="46"/>
  <c r="AG205" i="46"/>
  <c r="Q205" i="46"/>
  <c r="G205" i="46"/>
  <c r="G204" i="46"/>
  <c r="AG203" i="46"/>
  <c r="Q203" i="46"/>
  <c r="AG202" i="46"/>
  <c r="Q202" i="46"/>
  <c r="G202" i="46"/>
  <c r="AG201" i="46"/>
  <c r="Q201" i="46"/>
  <c r="G201" i="46"/>
  <c r="AG200" i="46"/>
  <c r="Q200" i="46"/>
  <c r="G200" i="46"/>
  <c r="G199" i="46"/>
  <c r="AG198" i="46"/>
  <c r="Q198" i="46"/>
  <c r="AG197" i="46"/>
  <c r="Q197" i="46"/>
  <c r="AG196" i="46"/>
  <c r="Q196" i="46"/>
  <c r="G196" i="46"/>
  <c r="AG195" i="46"/>
  <c r="Q195" i="46"/>
  <c r="G195" i="46"/>
  <c r="AG194" i="46"/>
  <c r="Q194" i="46"/>
  <c r="G194" i="46"/>
  <c r="AG193" i="46"/>
  <c r="Q193" i="46"/>
  <c r="G193" i="46"/>
  <c r="AG192" i="46"/>
  <c r="Q192" i="46"/>
  <c r="G192" i="46"/>
  <c r="AG191" i="46"/>
  <c r="Q191" i="46"/>
  <c r="G191" i="46"/>
  <c r="AG190" i="46"/>
  <c r="Q190" i="46"/>
  <c r="G190" i="46"/>
  <c r="G189" i="46"/>
  <c r="AG188" i="46"/>
  <c r="Q188" i="46"/>
  <c r="AG187" i="46"/>
  <c r="Q187" i="46"/>
  <c r="AG186" i="46"/>
  <c r="Q186" i="46"/>
  <c r="G186" i="46"/>
  <c r="AG185" i="46"/>
  <c r="Q185" i="46"/>
  <c r="G185" i="46"/>
  <c r="AG184" i="46"/>
  <c r="Q184" i="46"/>
  <c r="G184" i="46"/>
  <c r="AG183" i="46"/>
  <c r="Q183" i="46"/>
  <c r="G183" i="46"/>
  <c r="AG182" i="46"/>
  <c r="Q182" i="46"/>
  <c r="G182" i="46"/>
  <c r="AG181" i="46"/>
  <c r="Q181" i="46"/>
  <c r="G181" i="46"/>
  <c r="AG180" i="46"/>
  <c r="Q180" i="46"/>
  <c r="G180" i="46"/>
  <c r="G179" i="46"/>
  <c r="AG178" i="46"/>
  <c r="Q178" i="46"/>
  <c r="AG177" i="46"/>
  <c r="Q177" i="46"/>
  <c r="AG176" i="46"/>
  <c r="Q176" i="46"/>
  <c r="G176" i="46"/>
  <c r="AG175" i="46"/>
  <c r="Q175" i="46"/>
  <c r="G175" i="46"/>
  <c r="AG174" i="46"/>
  <c r="Q174" i="46"/>
  <c r="G174" i="46"/>
  <c r="AG173" i="46"/>
  <c r="Q173" i="46"/>
  <c r="G173" i="46"/>
  <c r="AG172" i="46"/>
  <c r="Q172" i="46"/>
  <c r="G172" i="46"/>
  <c r="AG171" i="46"/>
  <c r="Q171" i="46"/>
  <c r="G171" i="46"/>
  <c r="AG170" i="46"/>
  <c r="Q170" i="46"/>
  <c r="G170" i="46"/>
  <c r="G169" i="46"/>
  <c r="AF168" i="46"/>
  <c r="AE168" i="46"/>
  <c r="AD168" i="46"/>
  <c r="AC168" i="46"/>
  <c r="AB168" i="46"/>
  <c r="AA168" i="46"/>
  <c r="Z168" i="46"/>
  <c r="Y168" i="46"/>
  <c r="X168" i="46"/>
  <c r="W168" i="46"/>
  <c r="V168" i="46"/>
  <c r="U168" i="46"/>
  <c r="T168" i="46"/>
  <c r="T97" i="46" s="1"/>
  <c r="S168" i="46"/>
  <c r="AG167" i="46"/>
  <c r="E167" i="46"/>
  <c r="AG166" i="46"/>
  <c r="E166" i="46"/>
  <c r="AG165" i="46"/>
  <c r="Q165" i="46"/>
  <c r="E165" i="46"/>
  <c r="AG164" i="46"/>
  <c r="P164" i="46"/>
  <c r="Q164" i="46"/>
  <c r="E164" i="46"/>
  <c r="AG163" i="46"/>
  <c r="Q163" i="46"/>
  <c r="E163" i="46"/>
  <c r="AG162" i="46"/>
  <c r="Q162" i="46"/>
  <c r="E162" i="46"/>
  <c r="AG161" i="46"/>
  <c r="Q161" i="46"/>
  <c r="E161" i="46"/>
  <c r="AG160" i="46"/>
  <c r="Q160" i="46"/>
  <c r="E160" i="46"/>
  <c r="AG159" i="46"/>
  <c r="Q159" i="46"/>
  <c r="E159" i="46"/>
  <c r="AG158" i="46"/>
  <c r="Q158" i="46"/>
  <c r="E158" i="46"/>
  <c r="AG157" i="46"/>
  <c r="Q157" i="46"/>
  <c r="E157" i="46"/>
  <c r="AG156" i="46"/>
  <c r="Q156" i="46"/>
  <c r="E156" i="46"/>
  <c r="AG155" i="46"/>
  <c r="Q155" i="46"/>
  <c r="E155" i="46"/>
  <c r="AG154" i="46"/>
  <c r="Q154" i="46"/>
  <c r="E154" i="46"/>
  <c r="AG153" i="46"/>
  <c r="Q153" i="46"/>
  <c r="E153" i="46"/>
  <c r="AG152" i="46"/>
  <c r="Q152" i="46"/>
  <c r="E152" i="46"/>
  <c r="AG151" i="46"/>
  <c r="Q151" i="46"/>
  <c r="E151" i="46"/>
  <c r="E150" i="46"/>
  <c r="AG149" i="46"/>
  <c r="Q149" i="46"/>
  <c r="G149" i="46"/>
  <c r="E149" i="46"/>
  <c r="AG148" i="46"/>
  <c r="Q148" i="46"/>
  <c r="G148" i="46"/>
  <c r="E148" i="46"/>
  <c r="AG147" i="46"/>
  <c r="Q147" i="46"/>
  <c r="G147" i="46"/>
  <c r="E147" i="46" s="1"/>
  <c r="AG146" i="46"/>
  <c r="Q146" i="46"/>
  <c r="G146" i="46"/>
  <c r="E146" i="46"/>
  <c r="AG145" i="46"/>
  <c r="Q145" i="46"/>
  <c r="G145" i="46"/>
  <c r="E145" i="46"/>
  <c r="AG144" i="46"/>
  <c r="Q144" i="46"/>
  <c r="G144" i="46"/>
  <c r="E144" i="46" s="1"/>
  <c r="AG143" i="46"/>
  <c r="Q143" i="46"/>
  <c r="G143" i="46"/>
  <c r="E143" i="46"/>
  <c r="AG142" i="46"/>
  <c r="Q142" i="46"/>
  <c r="G142" i="46"/>
  <c r="E142" i="46"/>
  <c r="AG141" i="46"/>
  <c r="Q141" i="46"/>
  <c r="G141" i="46"/>
  <c r="E141" i="46" s="1"/>
  <c r="AG140" i="46"/>
  <c r="Q140" i="46"/>
  <c r="G140" i="46"/>
  <c r="E140" i="46"/>
  <c r="G139" i="46"/>
  <c r="E139" i="46" s="1"/>
  <c r="AG138" i="46"/>
  <c r="Q138" i="46"/>
  <c r="G138" i="46"/>
  <c r="E138" i="46" s="1"/>
  <c r="AG137" i="46"/>
  <c r="Q137" i="46"/>
  <c r="G137" i="46"/>
  <c r="E137" i="46" s="1"/>
  <c r="AG136" i="46"/>
  <c r="Q136" i="46"/>
  <c r="G136" i="46"/>
  <c r="E136" i="46" s="1"/>
  <c r="G135" i="46"/>
  <c r="E135" i="46"/>
  <c r="AG134" i="46"/>
  <c r="Q134" i="46"/>
  <c r="AG133" i="46"/>
  <c r="Q133" i="46"/>
  <c r="E133" i="46"/>
  <c r="AG132" i="46"/>
  <c r="Q132" i="46"/>
  <c r="E132" i="46"/>
  <c r="AG131" i="46"/>
  <c r="Q131" i="46"/>
  <c r="E131" i="46"/>
  <c r="AG130" i="46"/>
  <c r="Q130" i="46"/>
  <c r="E130" i="46"/>
  <c r="AG129" i="46"/>
  <c r="Q129" i="46"/>
  <c r="E129" i="46"/>
  <c r="AG128" i="46"/>
  <c r="Q128" i="46"/>
  <c r="E128" i="46"/>
  <c r="AG127" i="46"/>
  <c r="Q127" i="46"/>
  <c r="E127" i="46"/>
  <c r="AG126" i="46"/>
  <c r="Q126" i="46"/>
  <c r="E126" i="46"/>
  <c r="AG125" i="46"/>
  <c r="Q125" i="46"/>
  <c r="E125" i="46"/>
  <c r="AG124" i="46"/>
  <c r="Q124" i="46"/>
  <c r="E124" i="46"/>
  <c r="AG123" i="46"/>
  <c r="Q123" i="46"/>
  <c r="E123" i="46"/>
  <c r="E122" i="46"/>
  <c r="AG121" i="46"/>
  <c r="Q121" i="46"/>
  <c r="G121" i="46"/>
  <c r="E121" i="46" s="1"/>
  <c r="AG120" i="46"/>
  <c r="Q120" i="46"/>
  <c r="G120" i="46"/>
  <c r="E120" i="46"/>
  <c r="AG119" i="46"/>
  <c r="Q119" i="46"/>
  <c r="G119" i="46"/>
  <c r="E119" i="46"/>
  <c r="AG118" i="46"/>
  <c r="Q118" i="46"/>
  <c r="G118" i="46"/>
  <c r="E118" i="46" s="1"/>
  <c r="AG117" i="46"/>
  <c r="Q117" i="46"/>
  <c r="G117" i="46"/>
  <c r="E117" i="46"/>
  <c r="AG116" i="46"/>
  <c r="Q116" i="46"/>
  <c r="G116" i="46"/>
  <c r="E116" i="46"/>
  <c r="AG115" i="46"/>
  <c r="Q115" i="46"/>
  <c r="G115" i="46"/>
  <c r="E115" i="46" s="1"/>
  <c r="AG114" i="46"/>
  <c r="Q114" i="46"/>
  <c r="G114" i="46"/>
  <c r="E114" i="46"/>
  <c r="AG113" i="46"/>
  <c r="Q113" i="46"/>
  <c r="G113" i="46"/>
  <c r="E113" i="46"/>
  <c r="G112" i="46"/>
  <c r="E112" i="46" s="1"/>
  <c r="AG111" i="46"/>
  <c r="Q111" i="46"/>
  <c r="AG110" i="46"/>
  <c r="Q110" i="46"/>
  <c r="AG109" i="46"/>
  <c r="Q109" i="46"/>
  <c r="AG108" i="46"/>
  <c r="Q108" i="46"/>
  <c r="AG107" i="46"/>
  <c r="Q107" i="46"/>
  <c r="AG106" i="46"/>
  <c r="Q106" i="46"/>
  <c r="AG105" i="46"/>
  <c r="Q105" i="46"/>
  <c r="AG104" i="46"/>
  <c r="Q104" i="46"/>
  <c r="AG103" i="46"/>
  <c r="Q103" i="46"/>
  <c r="AG102" i="46"/>
  <c r="Q102" i="46"/>
  <c r="AG101" i="46"/>
  <c r="Q101" i="46"/>
  <c r="F101" i="46"/>
  <c r="F102" i="46" s="1"/>
  <c r="AG100" i="46"/>
  <c r="Q100" i="46"/>
  <c r="E100" i="46"/>
  <c r="E99" i="46"/>
  <c r="AF98" i="46"/>
  <c r="AE98" i="46"/>
  <c r="AE97" i="46" s="1"/>
  <c r="AE9" i="46" s="1"/>
  <c r="AD98" i="46"/>
  <c r="AD97" i="46"/>
  <c r="AC98" i="46"/>
  <c r="AB98" i="46"/>
  <c r="AB97" i="46" s="1"/>
  <c r="AA98" i="46"/>
  <c r="Z98" i="46"/>
  <c r="Z97" i="46" s="1"/>
  <c r="Y98" i="46"/>
  <c r="X98" i="46"/>
  <c r="X97" i="46" s="1"/>
  <c r="X9" i="46" s="1"/>
  <c r="W98" i="46"/>
  <c r="W97" i="46" s="1"/>
  <c r="V98" i="46"/>
  <c r="V97" i="46"/>
  <c r="U98" i="46"/>
  <c r="T98" i="46"/>
  <c r="S98" i="46"/>
  <c r="S97" i="46" s="1"/>
  <c r="AG96" i="46"/>
  <c r="Q96" i="46"/>
  <c r="G96" i="46"/>
  <c r="AG95" i="46"/>
  <c r="Q95" i="46"/>
  <c r="G95" i="46"/>
  <c r="AG94" i="46"/>
  <c r="Q94" i="46"/>
  <c r="G94" i="46"/>
  <c r="AG93" i="46"/>
  <c r="Q93" i="46"/>
  <c r="G93" i="46"/>
  <c r="AG92" i="46"/>
  <c r="Q92" i="46"/>
  <c r="G92" i="46"/>
  <c r="AG91" i="46"/>
  <c r="Q91" i="46"/>
  <c r="G91" i="46"/>
  <c r="AG90" i="46"/>
  <c r="Q90" i="46"/>
  <c r="G90" i="46"/>
  <c r="G89" i="46"/>
  <c r="AG88" i="46"/>
  <c r="Q88" i="46"/>
  <c r="G88" i="46"/>
  <c r="AG87" i="46"/>
  <c r="Q87" i="46"/>
  <c r="G87" i="46"/>
  <c r="AG86" i="46"/>
  <c r="Q86" i="46"/>
  <c r="G86" i="46"/>
  <c r="AG85" i="46"/>
  <c r="Q85" i="46"/>
  <c r="G85" i="46"/>
  <c r="AG84" i="46"/>
  <c r="Q84" i="46"/>
  <c r="G84" i="46"/>
  <c r="AG83" i="46"/>
  <c r="Q83" i="46"/>
  <c r="G83" i="46"/>
  <c r="AG82" i="46"/>
  <c r="Q82" i="46"/>
  <c r="G82" i="46"/>
  <c r="AG81" i="46"/>
  <c r="Q81" i="46"/>
  <c r="G81" i="46"/>
  <c r="AG80" i="46"/>
  <c r="Q80" i="46"/>
  <c r="G80" i="46"/>
  <c r="AG79" i="46"/>
  <c r="Q79" i="46"/>
  <c r="G79" i="46"/>
  <c r="AG78" i="46"/>
  <c r="Q78" i="46"/>
  <c r="G78" i="46"/>
  <c r="AG77" i="46"/>
  <c r="Q77" i="46"/>
  <c r="G77" i="46"/>
  <c r="AG76" i="46"/>
  <c r="Q76" i="46"/>
  <c r="G76" i="46"/>
  <c r="AG75" i="46"/>
  <c r="Q75" i="46"/>
  <c r="G75" i="46"/>
  <c r="AG74" i="46"/>
  <c r="Q74" i="46"/>
  <c r="G74" i="46"/>
  <c r="AG73" i="46"/>
  <c r="Q73" i="46"/>
  <c r="G73" i="46"/>
  <c r="AG72" i="46"/>
  <c r="Q72" i="46"/>
  <c r="G72" i="46"/>
  <c r="AG71" i="46"/>
  <c r="Q71" i="46"/>
  <c r="G71" i="46"/>
  <c r="G70" i="46"/>
  <c r="AG69" i="46"/>
  <c r="Q69" i="46"/>
  <c r="G69" i="46"/>
  <c r="AG68" i="46"/>
  <c r="Q68" i="46"/>
  <c r="G68" i="46"/>
  <c r="AG67" i="46"/>
  <c r="Q67" i="46"/>
  <c r="G67" i="46"/>
  <c r="AG66" i="46"/>
  <c r="Q66" i="46"/>
  <c r="G66" i="46"/>
  <c r="AG65" i="46"/>
  <c r="Q65" i="46"/>
  <c r="G65" i="46"/>
  <c r="AG64" i="46"/>
  <c r="Q64" i="46"/>
  <c r="G64" i="46"/>
  <c r="AG63" i="46"/>
  <c r="Q63" i="46"/>
  <c r="G63" i="46"/>
  <c r="AG62" i="46"/>
  <c r="Q62" i="46"/>
  <c r="G62" i="46"/>
  <c r="AG61" i="46"/>
  <c r="Q61" i="46"/>
  <c r="G61" i="46"/>
  <c r="AG60" i="46"/>
  <c r="Q60" i="46"/>
  <c r="G60" i="46"/>
  <c r="AG59" i="46"/>
  <c r="Q59" i="46"/>
  <c r="G59" i="46"/>
  <c r="AG57" i="46"/>
  <c r="Q57" i="46"/>
  <c r="G57" i="46"/>
  <c r="AG56" i="46"/>
  <c r="Q56" i="46"/>
  <c r="G56" i="46"/>
  <c r="AG55" i="46"/>
  <c r="Q55" i="46"/>
  <c r="G55" i="46"/>
  <c r="AG54" i="46"/>
  <c r="Q54" i="46"/>
  <c r="G54" i="46"/>
  <c r="AG53" i="46"/>
  <c r="Q53" i="46"/>
  <c r="G53" i="46"/>
  <c r="G52" i="46"/>
  <c r="AG51" i="46"/>
  <c r="Q51" i="46"/>
  <c r="G51" i="46"/>
  <c r="AG50" i="46"/>
  <c r="Q50" i="46"/>
  <c r="G50" i="46"/>
  <c r="AG49" i="46"/>
  <c r="Q49" i="46"/>
  <c r="G49" i="46"/>
  <c r="AG48" i="46"/>
  <c r="Q48" i="46"/>
  <c r="G48" i="46"/>
  <c r="AG47" i="46"/>
  <c r="Q47" i="46"/>
  <c r="G47" i="46"/>
  <c r="AG46" i="46"/>
  <c r="Q46" i="46"/>
  <c r="G46" i="46"/>
  <c r="AG45" i="46"/>
  <c r="Q45" i="46"/>
  <c r="G45" i="46"/>
  <c r="AG44" i="46"/>
  <c r="Q44" i="46"/>
  <c r="G44" i="46"/>
  <c r="AG43" i="46"/>
  <c r="Q43" i="46"/>
  <c r="G43" i="46"/>
  <c r="AG42" i="46"/>
  <c r="Q42" i="46"/>
  <c r="G42" i="46"/>
  <c r="AG41" i="46"/>
  <c r="Q41" i="46"/>
  <c r="G41" i="46"/>
  <c r="AG40" i="46"/>
  <c r="Q40" i="46"/>
  <c r="G40" i="46"/>
  <c r="AG39" i="46"/>
  <c r="Q39" i="46"/>
  <c r="G39" i="46"/>
  <c r="AG38" i="46"/>
  <c r="Q38" i="46"/>
  <c r="G38" i="46"/>
  <c r="AG37" i="46"/>
  <c r="Q37" i="46"/>
  <c r="G37" i="46"/>
  <c r="AG36" i="46"/>
  <c r="Q36" i="46"/>
  <c r="G36" i="46"/>
  <c r="AG35" i="46"/>
  <c r="Q35" i="46"/>
  <c r="G35" i="46"/>
  <c r="AG34" i="46"/>
  <c r="Q34" i="46"/>
  <c r="G34" i="46"/>
  <c r="AG33" i="46"/>
  <c r="Q33" i="46"/>
  <c r="G33" i="46"/>
  <c r="AG32" i="46"/>
  <c r="Q32" i="46"/>
  <c r="G32" i="46"/>
  <c r="AG31" i="46"/>
  <c r="Q31" i="46"/>
  <c r="G31" i="46"/>
  <c r="AG30" i="46"/>
  <c r="Q30" i="46"/>
  <c r="G30" i="46"/>
  <c r="AG29" i="46"/>
  <c r="Q29" i="46"/>
  <c r="G29" i="46"/>
  <c r="AG28" i="46"/>
  <c r="Q28" i="46"/>
  <c r="G28" i="46"/>
  <c r="AG27" i="46"/>
  <c r="Q27" i="46"/>
  <c r="G27" i="46"/>
  <c r="AG26" i="46"/>
  <c r="Q26" i="46"/>
  <c r="G26" i="46"/>
  <c r="G25" i="46"/>
  <c r="AG24" i="46"/>
  <c r="Q24" i="46"/>
  <c r="G24" i="46"/>
  <c r="AG23" i="46"/>
  <c r="Q23" i="46"/>
  <c r="G23" i="46"/>
  <c r="AG22" i="46"/>
  <c r="Q22" i="46"/>
  <c r="G22" i="46"/>
  <c r="AG21" i="46"/>
  <c r="Q21" i="46"/>
  <c r="G21" i="46"/>
  <c r="AG20" i="46"/>
  <c r="Q20" i="46"/>
  <c r="G20" i="46"/>
  <c r="AG19" i="46"/>
  <c r="Q19" i="46"/>
  <c r="G19" i="46"/>
  <c r="AG18" i="46"/>
  <c r="Q18" i="46"/>
  <c r="G18" i="46"/>
  <c r="AG17" i="46"/>
  <c r="Q17" i="46"/>
  <c r="G17" i="46"/>
  <c r="AG16" i="46"/>
  <c r="Q16" i="46"/>
  <c r="G16" i="46"/>
  <c r="AG15" i="46"/>
  <c r="Q15" i="46"/>
  <c r="G15" i="46"/>
  <c r="AG14" i="46"/>
  <c r="Q14" i="46"/>
  <c r="G14" i="46"/>
  <c r="AG13" i="46"/>
  <c r="Q13" i="46"/>
  <c r="G13" i="46"/>
  <c r="G12" i="46"/>
  <c r="AF11" i="46"/>
  <c r="AF10" i="46"/>
  <c r="AE11" i="46"/>
  <c r="AE10" i="46"/>
  <c r="AD11" i="46"/>
  <c r="AD10" i="46"/>
  <c r="AC11" i="46"/>
  <c r="AB11" i="46"/>
  <c r="AB10" i="46"/>
  <c r="AA11" i="46"/>
  <c r="Z11" i="46"/>
  <c r="Z10" i="46"/>
  <c r="Y11" i="46"/>
  <c r="Y10" i="46" s="1"/>
  <c r="X11" i="46"/>
  <c r="X10" i="46"/>
  <c r="W11" i="46"/>
  <c r="W10" i="46" s="1"/>
  <c r="W9" i="46" s="1"/>
  <c r="V11" i="46"/>
  <c r="V10" i="46"/>
  <c r="U11" i="46"/>
  <c r="U10" i="46" s="1"/>
  <c r="T11" i="46"/>
  <c r="T10" i="46"/>
  <c r="S11" i="46"/>
  <c r="S10" i="46" s="1"/>
  <c r="AC10" i="46"/>
  <c r="AA10" i="46"/>
  <c r="R10" i="46"/>
  <c r="Q10" i="46"/>
  <c r="R9" i="46"/>
  <c r="AF539" i="37"/>
  <c r="AE539" i="37"/>
  <c r="AD539" i="37"/>
  <c r="AC539" i="37"/>
  <c r="AB539" i="37"/>
  <c r="AA539" i="37"/>
  <c r="Z539" i="37"/>
  <c r="Y539" i="37"/>
  <c r="X539" i="37"/>
  <c r="W539" i="37"/>
  <c r="V539" i="37"/>
  <c r="U539" i="37"/>
  <c r="T539" i="37"/>
  <c r="S539" i="37"/>
  <c r="AG538" i="37"/>
  <c r="AG539" i="37" s="1"/>
  <c r="Q538" i="37"/>
  <c r="Q539" i="37"/>
  <c r="G538" i="37"/>
  <c r="AF537" i="37"/>
  <c r="AE537" i="37"/>
  <c r="AD537" i="37"/>
  <c r="AC537" i="37"/>
  <c r="AC540" i="37" s="1"/>
  <c r="AB537" i="37"/>
  <c r="AA537" i="37"/>
  <c r="Z537" i="37"/>
  <c r="Y537" i="37"/>
  <c r="X537" i="37"/>
  <c r="W537" i="37"/>
  <c r="V537" i="37"/>
  <c r="U537" i="37"/>
  <c r="T537" i="37"/>
  <c r="S537" i="37"/>
  <c r="AG536" i="37"/>
  <c r="Q536" i="37"/>
  <c r="AG535" i="37"/>
  <c r="Q535" i="37"/>
  <c r="AG534" i="37"/>
  <c r="Q534" i="37"/>
  <c r="AG533" i="37"/>
  <c r="Q533" i="37"/>
  <c r="AG532" i="37"/>
  <c r="Q532" i="37"/>
  <c r="AG531" i="37"/>
  <c r="Q531" i="37"/>
  <c r="AG530" i="37"/>
  <c r="Q530" i="37"/>
  <c r="AG529" i="37"/>
  <c r="Q529" i="37"/>
  <c r="AG528" i="37"/>
  <c r="Q528" i="37"/>
  <c r="AG527" i="37"/>
  <c r="Q527" i="37"/>
  <c r="G527" i="37"/>
  <c r="AG526" i="37"/>
  <c r="Q526" i="37"/>
  <c r="G526" i="37"/>
  <c r="AG525" i="37"/>
  <c r="Q525" i="37"/>
  <c r="G525" i="37"/>
  <c r="AG524" i="37"/>
  <c r="Q524" i="37"/>
  <c r="G524" i="37"/>
  <c r="AG523" i="37"/>
  <c r="Q523" i="37"/>
  <c r="F523" i="37"/>
  <c r="AG522" i="37"/>
  <c r="Q522" i="37"/>
  <c r="E522" i="37"/>
  <c r="F522" i="37" s="1"/>
  <c r="AG521" i="37"/>
  <c r="Q521" i="37"/>
  <c r="F521" i="37"/>
  <c r="AG520" i="37"/>
  <c r="Q520" i="37"/>
  <c r="F520" i="37"/>
  <c r="AG519" i="37"/>
  <c r="Q519" i="37"/>
  <c r="G519" i="37"/>
  <c r="AG518" i="37"/>
  <c r="Q518" i="37"/>
  <c r="G518" i="37"/>
  <c r="AG517" i="37"/>
  <c r="Q517" i="37"/>
  <c r="G517" i="37"/>
  <c r="AG516" i="37"/>
  <c r="Q516" i="37"/>
  <c r="G516" i="37"/>
  <c r="AG515" i="37"/>
  <c r="Q515" i="37"/>
  <c r="G515" i="37"/>
  <c r="AG514" i="37"/>
  <c r="Q514" i="37"/>
  <c r="G514" i="37"/>
  <c r="AG513" i="37"/>
  <c r="Q513" i="37"/>
  <c r="G513" i="37"/>
  <c r="AG512" i="37"/>
  <c r="Q512" i="37"/>
  <c r="G512" i="37"/>
  <c r="AG511" i="37"/>
  <c r="Q511" i="37"/>
  <c r="G511" i="37"/>
  <c r="AG510" i="37"/>
  <c r="Q510" i="37"/>
  <c r="G510" i="37"/>
  <c r="AG509" i="37"/>
  <c r="Q509" i="37"/>
  <c r="G509" i="37"/>
  <c r="AG508" i="37"/>
  <c r="Q508" i="37"/>
  <c r="G508" i="37"/>
  <c r="AG507" i="37"/>
  <c r="Q507" i="37"/>
  <c r="G507" i="37"/>
  <c r="AG506" i="37"/>
  <c r="Q506" i="37"/>
  <c r="G506" i="37"/>
  <c r="AG505" i="37"/>
  <c r="Q505" i="37"/>
  <c r="E505" i="37"/>
  <c r="G505" i="37"/>
  <c r="AG504" i="37"/>
  <c r="Q504" i="37"/>
  <c r="E504" i="37"/>
  <c r="G504" i="37"/>
  <c r="AG503" i="37"/>
  <c r="Q503" i="37"/>
  <c r="E503" i="37"/>
  <c r="G503" i="37" s="1"/>
  <c r="AG502" i="37"/>
  <c r="Q502" i="37"/>
  <c r="E502" i="37"/>
  <c r="G502" i="37"/>
  <c r="AG501" i="37"/>
  <c r="Q501" i="37"/>
  <c r="E501" i="37"/>
  <c r="G501" i="37"/>
  <c r="AG500" i="37"/>
  <c r="Q500" i="37"/>
  <c r="E500" i="37"/>
  <c r="G500" i="37" s="1"/>
  <c r="AG499" i="37"/>
  <c r="Q499" i="37"/>
  <c r="E499" i="37"/>
  <c r="G499" i="37"/>
  <c r="AG498" i="37"/>
  <c r="Q498" i="37"/>
  <c r="E498" i="37"/>
  <c r="G498" i="37"/>
  <c r="AG497" i="37"/>
  <c r="Q497" i="37"/>
  <c r="E497" i="37"/>
  <c r="G497" i="37" s="1"/>
  <c r="AG496" i="37"/>
  <c r="Q496" i="37"/>
  <c r="E496" i="37"/>
  <c r="G496" i="37"/>
  <c r="AG495" i="37"/>
  <c r="O495" i="37"/>
  <c r="Q495" i="37"/>
  <c r="G495" i="37"/>
  <c r="AG494" i="37"/>
  <c r="O494" i="37"/>
  <c r="Q494" i="37" s="1"/>
  <c r="G494" i="37"/>
  <c r="AG493" i="37"/>
  <c r="O493" i="37"/>
  <c r="Q493" i="37" s="1"/>
  <c r="G493" i="37"/>
  <c r="AG492" i="37"/>
  <c r="Q492" i="37"/>
  <c r="G492" i="37"/>
  <c r="AG491" i="37"/>
  <c r="O491" i="37"/>
  <c r="Q491" i="37"/>
  <c r="G491" i="37"/>
  <c r="AG490" i="37"/>
  <c r="O490" i="37"/>
  <c r="Q490" i="37" s="1"/>
  <c r="G490" i="37"/>
  <c r="AG489" i="37"/>
  <c r="O489" i="37"/>
  <c r="Q489" i="37"/>
  <c r="G489" i="37"/>
  <c r="AG488" i="37"/>
  <c r="O488" i="37"/>
  <c r="Q488" i="37"/>
  <c r="G488" i="37"/>
  <c r="AG487" i="37"/>
  <c r="O487" i="37"/>
  <c r="Q487" i="37" s="1"/>
  <c r="G487" i="37"/>
  <c r="AG486" i="37"/>
  <c r="O486" i="37"/>
  <c r="Q486" i="37"/>
  <c r="G486" i="37"/>
  <c r="AG485" i="37"/>
  <c r="O485" i="37"/>
  <c r="Q485" i="37"/>
  <c r="G485" i="37"/>
  <c r="AG484" i="37"/>
  <c r="O484" i="37"/>
  <c r="Q484" i="37" s="1"/>
  <c r="G484" i="37"/>
  <c r="AG483" i="37"/>
  <c r="O483" i="37"/>
  <c r="Q483" i="37"/>
  <c r="G483" i="37"/>
  <c r="AG482" i="37"/>
  <c r="O482" i="37"/>
  <c r="Q482" i="37"/>
  <c r="G482" i="37"/>
  <c r="AG481" i="37"/>
  <c r="O481" i="37"/>
  <c r="Q481" i="37" s="1"/>
  <c r="G481" i="37"/>
  <c r="AG480" i="37"/>
  <c r="P480" i="37"/>
  <c r="Q480" i="37"/>
  <c r="E480" i="37"/>
  <c r="G480" i="37"/>
  <c r="AG479" i="37"/>
  <c r="P479" i="37"/>
  <c r="Q479" i="37" s="1"/>
  <c r="E479" i="37"/>
  <c r="G479" i="37"/>
  <c r="AG478" i="37"/>
  <c r="P478" i="37"/>
  <c r="Q478" i="37"/>
  <c r="G478" i="37"/>
  <c r="AG477" i="37"/>
  <c r="Q477" i="37"/>
  <c r="E477" i="37"/>
  <c r="G477" i="37" s="1"/>
  <c r="AG476" i="37"/>
  <c r="Q476" i="37"/>
  <c r="E476" i="37"/>
  <c r="G476" i="37"/>
  <c r="AG475" i="37"/>
  <c r="Q475" i="37"/>
  <c r="E475" i="37"/>
  <c r="G475" i="37"/>
  <c r="AG474" i="37"/>
  <c r="O474" i="37"/>
  <c r="Q474" i="37"/>
  <c r="G474" i="37"/>
  <c r="AG473" i="37"/>
  <c r="O473" i="37"/>
  <c r="Q473" i="37" s="1"/>
  <c r="G473" i="37"/>
  <c r="AG472" i="37"/>
  <c r="P472" i="37"/>
  <c r="O472" i="37"/>
  <c r="G472" i="37"/>
  <c r="AG471" i="37"/>
  <c r="P471" i="37"/>
  <c r="O471" i="37"/>
  <c r="Q471" i="37" s="1"/>
  <c r="G471" i="37"/>
  <c r="AG470" i="37"/>
  <c r="O470" i="37"/>
  <c r="Q470" i="37"/>
  <c r="G470" i="37"/>
  <c r="AG469" i="37"/>
  <c r="O469" i="37"/>
  <c r="Q469" i="37"/>
  <c r="G469" i="37"/>
  <c r="AG468" i="37"/>
  <c r="O468" i="37"/>
  <c r="Q468" i="37" s="1"/>
  <c r="P468" i="37"/>
  <c r="G468" i="37"/>
  <c r="AG467" i="37"/>
  <c r="P467" i="37"/>
  <c r="O467" i="37"/>
  <c r="Q467" i="37" s="1"/>
  <c r="G467" i="37"/>
  <c r="AG466" i="37"/>
  <c r="O466" i="37"/>
  <c r="Q466" i="37"/>
  <c r="G466" i="37"/>
  <c r="AG465" i="37"/>
  <c r="O465" i="37"/>
  <c r="Q465" i="37" s="1"/>
  <c r="G465" i="37"/>
  <c r="AG464" i="37"/>
  <c r="O464" i="37"/>
  <c r="Q464" i="37" s="1"/>
  <c r="G464" i="37"/>
  <c r="AG463" i="37"/>
  <c r="P463" i="37"/>
  <c r="O463" i="37"/>
  <c r="Q463" i="37"/>
  <c r="G463" i="37"/>
  <c r="AG462" i="37"/>
  <c r="P462" i="37"/>
  <c r="O462" i="37"/>
  <c r="G462" i="37"/>
  <c r="AG461" i="37"/>
  <c r="O461" i="37"/>
  <c r="Q461" i="37"/>
  <c r="G461" i="37"/>
  <c r="AG460" i="37"/>
  <c r="O460" i="37"/>
  <c r="Q460" i="37"/>
  <c r="G460" i="37"/>
  <c r="AG459" i="37"/>
  <c r="P459" i="37"/>
  <c r="O459" i="37"/>
  <c r="G459" i="37"/>
  <c r="AG458" i="37"/>
  <c r="P458" i="37"/>
  <c r="O458" i="37"/>
  <c r="G458" i="37"/>
  <c r="AG457" i="37"/>
  <c r="Q457" i="37"/>
  <c r="G457" i="37"/>
  <c r="AG456" i="37"/>
  <c r="Q456" i="37"/>
  <c r="G456" i="37"/>
  <c r="AG455" i="37"/>
  <c r="Q455" i="37"/>
  <c r="G455" i="37"/>
  <c r="AG454" i="37"/>
  <c r="Q454" i="37"/>
  <c r="AG453" i="37"/>
  <c r="Q453" i="37"/>
  <c r="AG452" i="37"/>
  <c r="Q452" i="37"/>
  <c r="AG451" i="37"/>
  <c r="Q451" i="37"/>
  <c r="AG450" i="37"/>
  <c r="Q450" i="37"/>
  <c r="AG449" i="37"/>
  <c r="Q449" i="37"/>
  <c r="G449" i="37"/>
  <c r="AG448" i="37"/>
  <c r="Q448" i="37"/>
  <c r="AG447" i="37"/>
  <c r="Q447" i="37"/>
  <c r="G447" i="37"/>
  <c r="AG446" i="37"/>
  <c r="Q446" i="37"/>
  <c r="G446" i="37"/>
  <c r="AG445" i="37"/>
  <c r="Q445" i="37"/>
  <c r="G445" i="37"/>
  <c r="AG444" i="37"/>
  <c r="Q444" i="37"/>
  <c r="G444" i="37"/>
  <c r="AG443" i="37"/>
  <c r="Q443" i="37"/>
  <c r="G443" i="37"/>
  <c r="AG442" i="37"/>
  <c r="Q442" i="37"/>
  <c r="G442" i="37"/>
  <c r="AG441" i="37"/>
  <c r="Q441" i="37"/>
  <c r="G441" i="37"/>
  <c r="AG440" i="37"/>
  <c r="Q440" i="37"/>
  <c r="G440" i="37"/>
  <c r="AG439" i="37"/>
  <c r="Q439" i="37"/>
  <c r="G439" i="37"/>
  <c r="AG438" i="37"/>
  <c r="Q438" i="37"/>
  <c r="G438" i="37"/>
  <c r="AG437" i="37"/>
  <c r="Q437" i="37"/>
  <c r="G437" i="37"/>
  <c r="AG436" i="37"/>
  <c r="Q436" i="37"/>
  <c r="G436" i="37"/>
  <c r="AG435" i="37"/>
  <c r="Q435" i="37"/>
  <c r="G435" i="37"/>
  <c r="AG434" i="37"/>
  <c r="Q434" i="37"/>
  <c r="G434" i="37"/>
  <c r="AG433" i="37"/>
  <c r="Q433" i="37"/>
  <c r="G433" i="37"/>
  <c r="AG432" i="37"/>
  <c r="Q432" i="37"/>
  <c r="G432" i="37"/>
  <c r="AG431" i="37"/>
  <c r="Q431" i="37"/>
  <c r="G431" i="37"/>
  <c r="AG430" i="37"/>
  <c r="Q430" i="37"/>
  <c r="G430" i="37"/>
  <c r="AG429" i="37"/>
  <c r="Q429" i="37"/>
  <c r="G429" i="37"/>
  <c r="AG428" i="37"/>
  <c r="Q428" i="37"/>
  <c r="G428" i="37"/>
  <c r="AG427" i="37"/>
  <c r="Q427" i="37"/>
  <c r="G427" i="37"/>
  <c r="AG426" i="37"/>
  <c r="Q426" i="37"/>
  <c r="G426" i="37"/>
  <c r="AG425" i="37"/>
  <c r="Q425" i="37"/>
  <c r="G425" i="37"/>
  <c r="AG424" i="37"/>
  <c r="Q424" i="37"/>
  <c r="G424" i="37"/>
  <c r="AG423" i="37"/>
  <c r="Q423" i="37"/>
  <c r="G423" i="37"/>
  <c r="AG422" i="37"/>
  <c r="Q422" i="37"/>
  <c r="G422" i="37"/>
  <c r="AG421" i="37"/>
  <c r="Q421" i="37"/>
  <c r="G421" i="37"/>
  <c r="AG420" i="37"/>
  <c r="Q420" i="37"/>
  <c r="G420" i="37"/>
  <c r="AG419" i="37"/>
  <c r="Q419" i="37"/>
  <c r="G419" i="37"/>
  <c r="AG418" i="37"/>
  <c r="Q418" i="37"/>
  <c r="G418" i="37"/>
  <c r="AG417" i="37"/>
  <c r="G417" i="37"/>
  <c r="AG416" i="37"/>
  <c r="G416" i="37"/>
  <c r="AG415" i="37"/>
  <c r="Q415" i="37"/>
  <c r="G415" i="37"/>
  <c r="AG414" i="37"/>
  <c r="Q414" i="37"/>
  <c r="G414" i="37"/>
  <c r="AG413" i="37"/>
  <c r="Q413" i="37"/>
  <c r="G413" i="37"/>
  <c r="AG412" i="37"/>
  <c r="Q412" i="37"/>
  <c r="G412" i="37"/>
  <c r="AG411" i="37"/>
  <c r="Q411" i="37"/>
  <c r="G411" i="37"/>
  <c r="AG410" i="37"/>
  <c r="Q410" i="37"/>
  <c r="G410" i="37"/>
  <c r="AG409" i="37"/>
  <c r="Q409" i="37"/>
  <c r="G409" i="37"/>
  <c r="AG408" i="37"/>
  <c r="Q408" i="37"/>
  <c r="G408" i="37"/>
  <c r="AG407" i="37"/>
  <c r="Q407" i="37"/>
  <c r="G407" i="37"/>
  <c r="AG406" i="37"/>
  <c r="Q406" i="37"/>
  <c r="G406" i="37"/>
  <c r="AG405" i="37"/>
  <c r="Q405" i="37"/>
  <c r="G405" i="37"/>
  <c r="AG404" i="37"/>
  <c r="Q404" i="37"/>
  <c r="G404" i="37"/>
  <c r="AG403" i="37"/>
  <c r="Q403" i="37"/>
  <c r="G403" i="37"/>
  <c r="AG402" i="37"/>
  <c r="Q402" i="37"/>
  <c r="G402" i="37"/>
  <c r="AG401" i="37"/>
  <c r="Q401" i="37"/>
  <c r="G401" i="37"/>
  <c r="AG400" i="37"/>
  <c r="Q400" i="37"/>
  <c r="G400" i="37"/>
  <c r="AG399" i="37"/>
  <c r="Q399" i="37"/>
  <c r="G399" i="37"/>
  <c r="AG398" i="37"/>
  <c r="Q398" i="37"/>
  <c r="G398" i="37"/>
  <c r="AG397" i="37"/>
  <c r="Q397" i="37"/>
  <c r="G397" i="37"/>
  <c r="AG396" i="37"/>
  <c r="Q396" i="37"/>
  <c r="G396" i="37"/>
  <c r="AG395" i="37"/>
  <c r="Q395" i="37"/>
  <c r="G395" i="37"/>
  <c r="AG394" i="37"/>
  <c r="Q394" i="37"/>
  <c r="G394" i="37"/>
  <c r="AG393" i="37"/>
  <c r="Q393" i="37"/>
  <c r="G393" i="37"/>
  <c r="AG392" i="37"/>
  <c r="Q392" i="37"/>
  <c r="G392" i="37"/>
  <c r="AG391" i="37"/>
  <c r="Q391" i="37"/>
  <c r="G391" i="37"/>
  <c r="AG390" i="37"/>
  <c r="Q390" i="37"/>
  <c r="G390" i="37"/>
  <c r="AG389" i="37"/>
  <c r="Q389" i="37"/>
  <c r="G389" i="37"/>
  <c r="AG388" i="37"/>
  <c r="Q388" i="37"/>
  <c r="G388" i="37"/>
  <c r="AG387" i="37"/>
  <c r="Q387" i="37"/>
  <c r="G387" i="37"/>
  <c r="AG386" i="37"/>
  <c r="Q386" i="37"/>
  <c r="G386" i="37"/>
  <c r="AG385" i="37"/>
  <c r="Q385" i="37"/>
  <c r="G385" i="37"/>
  <c r="AG384" i="37"/>
  <c r="Q384" i="37"/>
  <c r="G384" i="37"/>
  <c r="AG383" i="37"/>
  <c r="Q383" i="37"/>
  <c r="G383" i="37"/>
  <c r="AG382" i="37"/>
  <c r="Q382" i="37"/>
  <c r="G382" i="37"/>
  <c r="AG381" i="37"/>
  <c r="Q381" i="37"/>
  <c r="G381" i="37"/>
  <c r="AG380" i="37"/>
  <c r="Q380" i="37"/>
  <c r="G380" i="37"/>
  <c r="AG379" i="37"/>
  <c r="Q379" i="37"/>
  <c r="G379" i="37"/>
  <c r="AG378" i="37"/>
  <c r="Q378" i="37"/>
  <c r="G378" i="37"/>
  <c r="AG377" i="37"/>
  <c r="Q377" i="37"/>
  <c r="G377" i="37"/>
  <c r="AG376" i="37"/>
  <c r="Q376" i="37"/>
  <c r="G376" i="37"/>
  <c r="AG375" i="37"/>
  <c r="Q375" i="37"/>
  <c r="G375" i="37"/>
  <c r="AG374" i="37"/>
  <c r="Q374" i="37"/>
  <c r="G374" i="37"/>
  <c r="AG373" i="37"/>
  <c r="Q373" i="37"/>
  <c r="G373" i="37"/>
  <c r="AG372" i="37"/>
  <c r="Q372" i="37"/>
  <c r="G372" i="37"/>
  <c r="AG371" i="37"/>
  <c r="Q371" i="37"/>
  <c r="G371" i="37"/>
  <c r="AG370" i="37"/>
  <c r="Q370" i="37"/>
  <c r="G370" i="37"/>
  <c r="AG369" i="37"/>
  <c r="Q369" i="37"/>
  <c r="G369" i="37"/>
  <c r="AG368" i="37"/>
  <c r="Q368" i="37"/>
  <c r="G368" i="37"/>
  <c r="AG367" i="37"/>
  <c r="Q367" i="37"/>
  <c r="G367" i="37"/>
  <c r="AG366" i="37"/>
  <c r="Q366" i="37"/>
  <c r="G366" i="37"/>
  <c r="AG365" i="37"/>
  <c r="Q365" i="37"/>
  <c r="G365" i="37"/>
  <c r="AG364" i="37"/>
  <c r="Q364" i="37"/>
  <c r="G364" i="37"/>
  <c r="AG363" i="37"/>
  <c r="Q363" i="37"/>
  <c r="G363" i="37"/>
  <c r="AG362" i="37"/>
  <c r="Q362" i="37"/>
  <c r="G362" i="37"/>
  <c r="AG361" i="37"/>
  <c r="Q361" i="37"/>
  <c r="E361" i="37"/>
  <c r="AG360" i="37"/>
  <c r="Q360" i="37"/>
  <c r="E360" i="37"/>
  <c r="AG359" i="37"/>
  <c r="Q359" i="37"/>
  <c r="E359" i="37"/>
  <c r="AG358" i="37"/>
  <c r="Q358" i="37"/>
  <c r="E358" i="37"/>
  <c r="AG357" i="37"/>
  <c r="O357" i="37"/>
  <c r="Q357" i="37" s="1"/>
  <c r="E357" i="37"/>
  <c r="AG356" i="37"/>
  <c r="O356" i="37"/>
  <c r="Q356" i="37"/>
  <c r="E356" i="37"/>
  <c r="AG355" i="37"/>
  <c r="Q355" i="37"/>
  <c r="E355" i="37"/>
  <c r="AG354" i="37"/>
  <c r="Q354" i="37"/>
  <c r="E354" i="37"/>
  <c r="AG353" i="37"/>
  <c r="Q353" i="37"/>
  <c r="E353" i="37"/>
  <c r="AG352" i="37"/>
  <c r="Q352" i="37"/>
  <c r="G352" i="37"/>
  <c r="E352" i="37" s="1"/>
  <c r="AG351" i="37"/>
  <c r="Q351" i="37"/>
  <c r="G351" i="37"/>
  <c r="E351" i="37" s="1"/>
  <c r="AG350" i="37"/>
  <c r="Q350" i="37"/>
  <c r="G350" i="37"/>
  <c r="E350" i="37" s="1"/>
  <c r="AG349" i="37"/>
  <c r="Q349" i="37"/>
  <c r="G349" i="37"/>
  <c r="E349" i="37" s="1"/>
  <c r="AG348" i="37"/>
  <c r="Q348" i="37"/>
  <c r="G348" i="37"/>
  <c r="E348" i="37" s="1"/>
  <c r="AG347" i="37"/>
  <c r="Q347" i="37"/>
  <c r="G347" i="37"/>
  <c r="E347" i="37" s="1"/>
  <c r="AG346" i="37"/>
  <c r="Q346" i="37"/>
  <c r="G346" i="37"/>
  <c r="E346" i="37" s="1"/>
  <c r="AG345" i="37"/>
  <c r="Q345" i="37"/>
  <c r="E345" i="37"/>
  <c r="AG344" i="37"/>
  <c r="Q344" i="37"/>
  <c r="E344" i="37"/>
  <c r="AG343" i="37"/>
  <c r="Q343" i="37"/>
  <c r="E343" i="37"/>
  <c r="AG342" i="37"/>
  <c r="Q342" i="37"/>
  <c r="E342" i="37"/>
  <c r="AG341" i="37"/>
  <c r="O341" i="37"/>
  <c r="Q341" i="37" s="1"/>
  <c r="E341" i="37"/>
  <c r="AG340" i="37"/>
  <c r="O340" i="37"/>
  <c r="Q340" i="37"/>
  <c r="E340" i="37"/>
  <c r="AG339" i="37"/>
  <c r="Q339" i="37"/>
  <c r="E339" i="37"/>
  <c r="AG338" i="37"/>
  <c r="Q338" i="37"/>
  <c r="E338" i="37"/>
  <c r="AG337" i="37"/>
  <c r="Q337" i="37"/>
  <c r="E337" i="37"/>
  <c r="AG336" i="37"/>
  <c r="Q336" i="37"/>
  <c r="G336" i="37"/>
  <c r="E336" i="37" s="1"/>
  <c r="AG335" i="37"/>
  <c r="Q335" i="37"/>
  <c r="G335" i="37"/>
  <c r="E335" i="37"/>
  <c r="AG334" i="37"/>
  <c r="Q334" i="37"/>
  <c r="G334" i="37"/>
  <c r="E334" i="37" s="1"/>
  <c r="AG333" i="37"/>
  <c r="Q333" i="37"/>
  <c r="G333" i="37"/>
  <c r="E333" i="37" s="1"/>
  <c r="AG332" i="37"/>
  <c r="Q332" i="37"/>
  <c r="G332" i="37"/>
  <c r="E332" i="37"/>
  <c r="AG331" i="37"/>
  <c r="Q331" i="37"/>
  <c r="G331" i="37"/>
  <c r="E331" i="37" s="1"/>
  <c r="AG330" i="37"/>
  <c r="Q330" i="37"/>
  <c r="G330" i="37"/>
  <c r="E330" i="37" s="1"/>
  <c r="AG329" i="37"/>
  <c r="Q329" i="37"/>
  <c r="G329" i="37"/>
  <c r="E329" i="37"/>
  <c r="AG328" i="37"/>
  <c r="Q328" i="37"/>
  <c r="AG327" i="37"/>
  <c r="Q327" i="37"/>
  <c r="AG326" i="37"/>
  <c r="Q326" i="37"/>
  <c r="AG325" i="37"/>
  <c r="Q325" i="37"/>
  <c r="AG324" i="37"/>
  <c r="Q324" i="37"/>
  <c r="AG323" i="37"/>
  <c r="Q323" i="37"/>
  <c r="AG322" i="37"/>
  <c r="Q322" i="37"/>
  <c r="AG321" i="37"/>
  <c r="Q321" i="37"/>
  <c r="F321" i="37"/>
  <c r="F322" i="37"/>
  <c r="E321" i="37"/>
  <c r="AG320" i="37"/>
  <c r="Q320" i="37"/>
  <c r="E320" i="37"/>
  <c r="AG319" i="37"/>
  <c r="Q319" i="37"/>
  <c r="G319" i="37"/>
  <c r="AG318" i="37"/>
  <c r="Q318" i="37"/>
  <c r="G318" i="37"/>
  <c r="AG317" i="37"/>
  <c r="Q317" i="37"/>
  <c r="G317" i="37"/>
  <c r="AG316" i="37"/>
  <c r="Q316" i="37"/>
  <c r="G316" i="37"/>
  <c r="AG315" i="37"/>
  <c r="Q315" i="37"/>
  <c r="G315" i="37"/>
  <c r="AG314" i="37"/>
  <c r="Q314" i="37"/>
  <c r="G314" i="37"/>
  <c r="AG313" i="37"/>
  <c r="Q313" i="37"/>
  <c r="G313" i="37"/>
  <c r="AG312" i="37"/>
  <c r="Q312" i="37"/>
  <c r="G312" i="37"/>
  <c r="AG311" i="37"/>
  <c r="Q311" i="37"/>
  <c r="G311" i="37"/>
  <c r="AG310" i="37"/>
  <c r="Q310" i="37"/>
  <c r="G310" i="37"/>
  <c r="AG309" i="37"/>
  <c r="Q309" i="37"/>
  <c r="G309" i="37"/>
  <c r="AG308" i="37"/>
  <c r="Q308" i="37"/>
  <c r="G308" i="37"/>
  <c r="AG307" i="37"/>
  <c r="Q307" i="37"/>
  <c r="G307" i="37"/>
  <c r="AG306" i="37"/>
  <c r="Q306" i="37"/>
  <c r="G306" i="37"/>
  <c r="AG305" i="37"/>
  <c r="Q305" i="37"/>
  <c r="G305" i="37"/>
  <c r="AG304" i="37"/>
  <c r="Q304" i="37"/>
  <c r="G304" i="37"/>
  <c r="AG303" i="37"/>
  <c r="Q303" i="37"/>
  <c r="G303" i="37"/>
  <c r="AG302" i="37"/>
  <c r="Q302" i="37"/>
  <c r="G302" i="37"/>
  <c r="AG301" i="37"/>
  <c r="Q301" i="37"/>
  <c r="G301" i="37"/>
  <c r="AG300" i="37"/>
  <c r="Q300" i="37"/>
  <c r="G300" i="37"/>
  <c r="AG299" i="37"/>
  <c r="Q299" i="37"/>
  <c r="G299" i="37"/>
  <c r="AG298" i="37"/>
  <c r="Q298" i="37"/>
  <c r="G298" i="37"/>
  <c r="AG297" i="37"/>
  <c r="Q297" i="37"/>
  <c r="G297" i="37"/>
  <c r="AG296" i="37"/>
  <c r="Q296" i="37"/>
  <c r="G296" i="37"/>
  <c r="AG295" i="37"/>
  <c r="Q295" i="37"/>
  <c r="G295" i="37"/>
  <c r="AG294" i="37"/>
  <c r="Q294" i="37"/>
  <c r="G294" i="37"/>
  <c r="AG293" i="37"/>
  <c r="Q293" i="37"/>
  <c r="G293" i="37"/>
  <c r="AG292" i="37"/>
  <c r="Q292" i="37"/>
  <c r="G292" i="37"/>
  <c r="AG291" i="37"/>
  <c r="Q291" i="37"/>
  <c r="G291" i="37"/>
  <c r="AG290" i="37"/>
  <c r="Q290" i="37"/>
  <c r="G290" i="37"/>
  <c r="AG289" i="37"/>
  <c r="Q289" i="37"/>
  <c r="G289" i="37"/>
  <c r="AG288" i="37"/>
  <c r="Q288" i="37"/>
  <c r="G288" i="37"/>
  <c r="AG287" i="37"/>
  <c r="Q287" i="37"/>
  <c r="G287" i="37"/>
  <c r="AG286" i="37"/>
  <c r="Q286" i="37"/>
  <c r="G286" i="37"/>
  <c r="AG285" i="37"/>
  <c r="Q285" i="37"/>
  <c r="G285" i="37"/>
  <c r="AG284" i="37"/>
  <c r="Q284" i="37"/>
  <c r="G284" i="37"/>
  <c r="AG283" i="37"/>
  <c r="Q283" i="37"/>
  <c r="G283" i="37"/>
  <c r="AG282" i="37"/>
  <c r="Q282" i="37"/>
  <c r="G282" i="37"/>
  <c r="AG281" i="37"/>
  <c r="Q281" i="37"/>
  <c r="G281" i="37"/>
  <c r="AG280" i="37"/>
  <c r="Q280" i="37"/>
  <c r="G280" i="37"/>
  <c r="AG279" i="37"/>
  <c r="Q279" i="37"/>
  <c r="G279" i="37"/>
  <c r="AG278" i="37"/>
  <c r="Q278" i="37"/>
  <c r="G278" i="37"/>
  <c r="AG277" i="37"/>
  <c r="Q277" i="37"/>
  <c r="G277" i="37"/>
  <c r="AG276" i="37"/>
  <c r="Q276" i="37"/>
  <c r="G276" i="37"/>
  <c r="AG275" i="37"/>
  <c r="Q275" i="37"/>
  <c r="G275" i="37"/>
  <c r="AG274" i="37"/>
  <c r="Q274" i="37"/>
  <c r="G274" i="37"/>
  <c r="AG273" i="37"/>
  <c r="Q273" i="37"/>
  <c r="G273" i="37"/>
  <c r="AG272" i="37"/>
  <c r="Q272" i="37"/>
  <c r="G272" i="37"/>
  <c r="AG271" i="37"/>
  <c r="Q271" i="37"/>
  <c r="G271" i="37"/>
  <c r="AG270" i="37"/>
  <c r="Q270" i="37"/>
  <c r="G270" i="37"/>
  <c r="AG269" i="37"/>
  <c r="Q269" i="37"/>
  <c r="G269" i="37"/>
  <c r="AG268" i="37"/>
  <c r="Q268" i="37"/>
  <c r="G268" i="37"/>
  <c r="AG267" i="37"/>
  <c r="Q267" i="37"/>
  <c r="G267" i="37"/>
  <c r="AG266" i="37"/>
  <c r="Q266" i="37"/>
  <c r="G266" i="37"/>
  <c r="AG265" i="37"/>
  <c r="Q265" i="37"/>
  <c r="G265" i="37"/>
  <c r="AG264" i="37"/>
  <c r="Q264" i="37"/>
  <c r="G264" i="37"/>
  <c r="AG263" i="37"/>
  <c r="Q263" i="37"/>
  <c r="G263" i="37"/>
  <c r="AG262" i="37"/>
  <c r="Q262" i="37"/>
  <c r="G262" i="37"/>
  <c r="AG261" i="37"/>
  <c r="Q261" i="37"/>
  <c r="G261" i="37"/>
  <c r="AG260" i="37"/>
  <c r="Q260" i="37"/>
  <c r="G260" i="37"/>
  <c r="AG259" i="37"/>
  <c r="Q259" i="37"/>
  <c r="G259" i="37"/>
  <c r="AG258" i="37"/>
  <c r="Q258" i="37"/>
  <c r="G258" i="37"/>
  <c r="AG257" i="37"/>
  <c r="Q257" i="37"/>
  <c r="G257" i="37"/>
  <c r="AG256" i="37"/>
  <c r="Q256" i="37"/>
  <c r="G256" i="37"/>
  <c r="AG255" i="37"/>
  <c r="Q255" i="37"/>
  <c r="G255" i="37"/>
  <c r="AG254" i="37"/>
  <c r="Q254" i="37"/>
  <c r="G254" i="37"/>
  <c r="AG253" i="37"/>
  <c r="Q253" i="37"/>
  <c r="G253" i="37"/>
  <c r="AG252" i="37"/>
  <c r="Q252" i="37"/>
  <c r="G252" i="37"/>
  <c r="AF251" i="37"/>
  <c r="AE251" i="37"/>
  <c r="AD251" i="37"/>
  <c r="AC251" i="37"/>
  <c r="AB251" i="37"/>
  <c r="AA251" i="37"/>
  <c r="Z251" i="37"/>
  <c r="Y251" i="37"/>
  <c r="X251" i="37"/>
  <c r="W251" i="37"/>
  <c r="V251" i="37"/>
  <c r="U251" i="37"/>
  <c r="T251" i="37"/>
  <c r="S251" i="37"/>
  <c r="AG250" i="37"/>
  <c r="Q250" i="37"/>
  <c r="AG249" i="37"/>
  <c r="Q249" i="37"/>
  <c r="AG248" i="37"/>
  <c r="Q248" i="37"/>
  <c r="AG247" i="37"/>
  <c r="Q247" i="37"/>
  <c r="AG246" i="37"/>
  <c r="Q246" i="37"/>
  <c r="AG245" i="37"/>
  <c r="Q245" i="37"/>
  <c r="AG244" i="37"/>
  <c r="Q244" i="37"/>
  <c r="AG243" i="37"/>
  <c r="Q243" i="37"/>
  <c r="AG242" i="37"/>
  <c r="Q242" i="37"/>
  <c r="AG241" i="37"/>
  <c r="Q241" i="37"/>
  <c r="AG240" i="37"/>
  <c r="Q240" i="37"/>
  <c r="G240" i="37"/>
  <c r="AG239" i="37"/>
  <c r="G239" i="37"/>
  <c r="AG238" i="37"/>
  <c r="Q238" i="37"/>
  <c r="G238" i="37"/>
  <c r="AG237" i="37"/>
  <c r="Q237" i="37"/>
  <c r="G237" i="37"/>
  <c r="AG236" i="37"/>
  <c r="Q236" i="37"/>
  <c r="G236" i="37"/>
  <c r="AG235" i="37"/>
  <c r="Q235" i="37"/>
  <c r="G235" i="37"/>
  <c r="AG234" i="37"/>
  <c r="Q234" i="37"/>
  <c r="G234" i="37"/>
  <c r="AG233" i="37"/>
  <c r="Q233" i="37"/>
  <c r="AG232" i="37"/>
  <c r="Q232" i="37"/>
  <c r="E232" i="37"/>
  <c r="F232" i="37"/>
  <c r="AG231" i="37"/>
  <c r="Q231" i="37"/>
  <c r="E231" i="37"/>
  <c r="F231" i="37" s="1"/>
  <c r="AG230" i="37"/>
  <c r="Q230" i="37"/>
  <c r="E230" i="37"/>
  <c r="F230" i="37"/>
  <c r="AG229" i="37"/>
  <c r="Q229" i="37"/>
  <c r="E229" i="37"/>
  <c r="F229" i="37"/>
  <c r="AG228" i="37"/>
  <c r="Q228" i="37"/>
  <c r="E228" i="37"/>
  <c r="F228" i="37" s="1"/>
  <c r="AG227" i="37"/>
  <c r="Q227" i="37"/>
  <c r="E227" i="37"/>
  <c r="F227" i="37"/>
  <c r="AG226" i="37"/>
  <c r="Q226" i="37"/>
  <c r="G226" i="37"/>
  <c r="AG225" i="37"/>
  <c r="Q225" i="37"/>
  <c r="G225" i="37"/>
  <c r="AG224" i="37"/>
  <c r="Q224" i="37"/>
  <c r="G224" i="37"/>
  <c r="AG223" i="37"/>
  <c r="Q223" i="37"/>
  <c r="G223" i="37"/>
  <c r="AG222" i="37"/>
  <c r="Q222" i="37"/>
  <c r="G222" i="37"/>
  <c r="AG221" i="37"/>
  <c r="Q221" i="37"/>
  <c r="G221" i="37"/>
  <c r="AG220" i="37"/>
  <c r="Q220" i="37"/>
  <c r="E220" i="37"/>
  <c r="G220" i="37" s="1"/>
  <c r="AG219" i="37"/>
  <c r="Q219" i="37"/>
  <c r="E219" i="37"/>
  <c r="G219" i="37" s="1"/>
  <c r="AG218" i="37"/>
  <c r="P218" i="37"/>
  <c r="Q218" i="37" s="1"/>
  <c r="E218" i="37"/>
  <c r="G218" i="37"/>
  <c r="AG217" i="37"/>
  <c r="Q217" i="37"/>
  <c r="E217" i="37"/>
  <c r="G217" i="37" s="1"/>
  <c r="AG216" i="37"/>
  <c r="P216" i="37"/>
  <c r="Q216" i="37" s="1"/>
  <c r="E216" i="37"/>
  <c r="G216" i="37"/>
  <c r="AG215" i="37"/>
  <c r="Q215" i="37"/>
  <c r="E215" i="37"/>
  <c r="G215" i="37" s="1"/>
  <c r="AG214" i="37"/>
  <c r="Q214" i="37"/>
  <c r="E214" i="37"/>
  <c r="G214" i="37"/>
  <c r="AG213" i="37"/>
  <c r="Q213" i="37"/>
  <c r="E213" i="37"/>
  <c r="G213" i="37"/>
  <c r="AG212" i="37"/>
  <c r="Q212" i="37"/>
  <c r="E212" i="37"/>
  <c r="G212" i="37" s="1"/>
  <c r="AG211" i="37"/>
  <c r="Q211" i="37"/>
  <c r="E211" i="37"/>
  <c r="G211" i="37"/>
  <c r="AG210" i="37"/>
  <c r="Q210" i="37"/>
  <c r="E210" i="37"/>
  <c r="G210" i="37"/>
  <c r="AG209" i="37"/>
  <c r="Q209" i="37"/>
  <c r="E209" i="37"/>
  <c r="G209" i="37" s="1"/>
  <c r="AG208" i="37"/>
  <c r="Q208" i="37"/>
  <c r="E208" i="37"/>
  <c r="G208" i="37"/>
  <c r="AG207" i="37"/>
  <c r="Q207" i="37"/>
  <c r="E207" i="37"/>
  <c r="G207" i="37"/>
  <c r="AG206" i="37"/>
  <c r="Q206" i="37"/>
  <c r="E206" i="37"/>
  <c r="G206" i="37" s="1"/>
  <c r="AG205" i="37"/>
  <c r="Q205" i="37"/>
  <c r="E205" i="37"/>
  <c r="G205" i="37"/>
  <c r="AG204" i="37"/>
  <c r="P204" i="37"/>
  <c r="Q204" i="37"/>
  <c r="E204" i="37"/>
  <c r="G204" i="37" s="1"/>
  <c r="AG203" i="37"/>
  <c r="Q203" i="37"/>
  <c r="E203" i="37"/>
  <c r="G203" i="37" s="1"/>
  <c r="AG202" i="37"/>
  <c r="Q202" i="37"/>
  <c r="E202" i="37"/>
  <c r="G202" i="37" s="1"/>
  <c r="AG201" i="37"/>
  <c r="Q201" i="37"/>
  <c r="E201" i="37"/>
  <c r="G201" i="37" s="1"/>
  <c r="AG200" i="37"/>
  <c r="Q200" i="37"/>
  <c r="E200" i="37"/>
  <c r="G200" i="37" s="1"/>
  <c r="AG199" i="37"/>
  <c r="Q199" i="37"/>
  <c r="E199" i="37"/>
  <c r="G199" i="37" s="1"/>
  <c r="AG198" i="37"/>
  <c r="E198" i="37"/>
  <c r="G198" i="37"/>
  <c r="AG197" i="37"/>
  <c r="O197" i="37"/>
  <c r="Q197" i="37"/>
  <c r="G197" i="37"/>
  <c r="AG196" i="37"/>
  <c r="O196" i="37"/>
  <c r="Q196" i="37" s="1"/>
  <c r="G196" i="37"/>
  <c r="AG195" i="37"/>
  <c r="O195" i="37"/>
  <c r="Q195" i="37"/>
  <c r="G195" i="37"/>
  <c r="AG194" i="37"/>
  <c r="O194" i="37"/>
  <c r="Q194" i="37"/>
  <c r="G194" i="37"/>
  <c r="AG193" i="37"/>
  <c r="O193" i="37"/>
  <c r="Q193" i="37" s="1"/>
  <c r="G193" i="37"/>
  <c r="AG192" i="37"/>
  <c r="O192" i="37"/>
  <c r="Q192" i="37"/>
  <c r="G192" i="37"/>
  <c r="AG191" i="37"/>
  <c r="Q191" i="37"/>
  <c r="G191" i="37"/>
  <c r="AG190" i="37"/>
  <c r="O190" i="37"/>
  <c r="Q190" i="37"/>
  <c r="G190" i="37"/>
  <c r="AG189" i="37"/>
  <c r="O189" i="37"/>
  <c r="Q189" i="37" s="1"/>
  <c r="G189" i="37"/>
  <c r="AG188" i="37"/>
  <c r="Q188" i="37"/>
  <c r="G188" i="37"/>
  <c r="AG187" i="37"/>
  <c r="P187" i="37"/>
  <c r="Q187" i="37" s="1"/>
  <c r="E187" i="37"/>
  <c r="G187" i="37" s="1"/>
  <c r="AG186" i="37"/>
  <c r="P186" i="37"/>
  <c r="Q186" i="37" s="1"/>
  <c r="G186" i="37"/>
  <c r="AG185" i="37"/>
  <c r="Q185" i="37"/>
  <c r="AG184" i="37"/>
  <c r="Q184" i="37"/>
  <c r="E184" i="37"/>
  <c r="G184" i="37" s="1"/>
  <c r="AG183" i="37"/>
  <c r="Q183" i="37"/>
  <c r="G183" i="37"/>
  <c r="AG182" i="37"/>
  <c r="O182" i="37"/>
  <c r="Q182" i="37"/>
  <c r="G182" i="37"/>
  <c r="AG181" i="37"/>
  <c r="O181" i="37"/>
  <c r="Q181" i="37"/>
  <c r="G181" i="37"/>
  <c r="AG180" i="37"/>
  <c r="O180" i="37"/>
  <c r="Q180" i="37" s="1"/>
  <c r="G180" i="37"/>
  <c r="AG179" i="37"/>
  <c r="O179" i="37"/>
  <c r="Q179" i="37"/>
  <c r="G179" i="37"/>
  <c r="AG178" i="37"/>
  <c r="O178" i="37"/>
  <c r="Q178" i="37"/>
  <c r="G178" i="37"/>
  <c r="AG177" i="37"/>
  <c r="O177" i="37"/>
  <c r="Q177" i="37" s="1"/>
  <c r="G177" i="37"/>
  <c r="AG176" i="37"/>
  <c r="O176" i="37"/>
  <c r="Q176" i="37"/>
  <c r="G176" i="37"/>
  <c r="AG175" i="37"/>
  <c r="O175" i="37"/>
  <c r="Q175" i="37"/>
  <c r="G175" i="37"/>
  <c r="AG174" i="37"/>
  <c r="O174" i="37"/>
  <c r="Q174" i="37" s="1"/>
  <c r="G174" i="37"/>
  <c r="AG173" i="37"/>
  <c r="Q173" i="37"/>
  <c r="G173" i="37"/>
  <c r="AG172" i="37"/>
  <c r="Q172" i="37"/>
  <c r="G172" i="37"/>
  <c r="AG171" i="37"/>
  <c r="Q171" i="37"/>
  <c r="G171" i="37"/>
  <c r="AG170" i="37"/>
  <c r="Q170" i="37"/>
  <c r="AG169" i="37"/>
  <c r="Q169" i="37"/>
  <c r="AG168" i="37"/>
  <c r="Q168" i="37"/>
  <c r="AG167" i="37"/>
  <c r="Q167" i="37"/>
  <c r="AG166" i="37"/>
  <c r="Q166" i="37"/>
  <c r="AG165" i="37"/>
  <c r="Q165" i="37"/>
  <c r="AG164" i="37"/>
  <c r="Q164" i="37"/>
  <c r="AG163" i="37"/>
  <c r="Q163" i="37"/>
  <c r="AG162" i="37"/>
  <c r="Q162" i="37"/>
  <c r="G162" i="37"/>
  <c r="AG161" i="37"/>
  <c r="Q161" i="37"/>
  <c r="AG160" i="37"/>
  <c r="Q160" i="37"/>
  <c r="AG159" i="37"/>
  <c r="Q159" i="37"/>
  <c r="G159" i="37"/>
  <c r="AG158" i="37"/>
  <c r="Q158" i="37"/>
  <c r="AG157" i="37"/>
  <c r="Q157" i="37"/>
  <c r="AG156" i="37"/>
  <c r="Q156" i="37"/>
  <c r="AG155" i="37"/>
  <c r="Q155" i="37"/>
  <c r="AG154" i="37"/>
  <c r="Q154" i="37"/>
  <c r="AG153" i="37"/>
  <c r="Q153" i="37"/>
  <c r="AG152" i="37"/>
  <c r="Q152" i="37"/>
  <c r="AG151" i="37"/>
  <c r="Q151" i="37"/>
  <c r="G151" i="37"/>
  <c r="AG150" i="37"/>
  <c r="Q150" i="37"/>
  <c r="G150" i="37"/>
  <c r="AG149" i="37"/>
  <c r="Q149" i="37"/>
  <c r="G149" i="37"/>
  <c r="AG148" i="37"/>
  <c r="Q148" i="37"/>
  <c r="G148" i="37"/>
  <c r="AG147" i="37"/>
  <c r="Q147" i="37"/>
  <c r="G147" i="37"/>
  <c r="AG146" i="37"/>
  <c r="Q146" i="37"/>
  <c r="G146" i="37"/>
  <c r="AG145" i="37"/>
  <c r="Q145" i="37"/>
  <c r="G145" i="37"/>
  <c r="AG144" i="37"/>
  <c r="Q144" i="37"/>
  <c r="G144" i="37"/>
  <c r="AG143" i="37"/>
  <c r="Q143" i="37"/>
  <c r="G143" i="37"/>
  <c r="AG142" i="37"/>
  <c r="Q142" i="37"/>
  <c r="G142" i="37"/>
  <c r="AG141" i="37"/>
  <c r="Q141" i="37"/>
  <c r="G141" i="37"/>
  <c r="AG140" i="37"/>
  <c r="Q140" i="37"/>
  <c r="G140" i="37"/>
  <c r="AG139" i="37"/>
  <c r="Q139" i="37"/>
  <c r="G139" i="37"/>
  <c r="AG138" i="37"/>
  <c r="Q138" i="37"/>
  <c r="G138" i="37"/>
  <c r="AG137" i="37"/>
  <c r="Q137" i="37"/>
  <c r="G137" i="37"/>
  <c r="AG136" i="37"/>
  <c r="Q136" i="37"/>
  <c r="G136" i="37"/>
  <c r="AG135" i="37"/>
  <c r="Q135" i="37"/>
  <c r="G135" i="37"/>
  <c r="AG134" i="37"/>
  <c r="Q134" i="37"/>
  <c r="G134" i="37"/>
  <c r="AG133" i="37"/>
  <c r="Q133" i="37"/>
  <c r="G133" i="37"/>
  <c r="AG132" i="37"/>
  <c r="G132" i="37"/>
  <c r="AG131" i="37"/>
  <c r="G131" i="37"/>
  <c r="AG130" i="37"/>
  <c r="G130" i="37"/>
  <c r="AG129" i="37"/>
  <c r="G129" i="37"/>
  <c r="AG128" i="37"/>
  <c r="G128" i="37"/>
  <c r="AG127" i="37"/>
  <c r="Q127" i="37"/>
  <c r="G127" i="37"/>
  <c r="AG126" i="37"/>
  <c r="Q126" i="37"/>
  <c r="G126" i="37"/>
  <c r="AG125" i="37"/>
  <c r="Q125" i="37"/>
  <c r="AG124" i="37"/>
  <c r="Q124" i="37"/>
  <c r="AG123" i="37"/>
  <c r="Q123" i="37"/>
  <c r="AG122" i="37"/>
  <c r="Q122" i="37"/>
  <c r="AG121" i="37"/>
  <c r="Q121" i="37"/>
  <c r="AG120" i="37"/>
  <c r="Q120" i="37"/>
  <c r="AG119" i="37"/>
  <c r="Q119" i="37"/>
  <c r="AG118" i="37"/>
  <c r="Q118" i="37"/>
  <c r="AG117" i="37"/>
  <c r="Q117" i="37"/>
  <c r="AG116" i="37"/>
  <c r="Q116" i="37"/>
  <c r="G116" i="37"/>
  <c r="AG115" i="37"/>
  <c r="Q115" i="37"/>
  <c r="G115" i="37"/>
  <c r="AG114" i="37"/>
  <c r="Q114" i="37"/>
  <c r="G114" i="37"/>
  <c r="AG113" i="37"/>
  <c r="Q113" i="37"/>
  <c r="AG112" i="37"/>
  <c r="Q112" i="37"/>
  <c r="AG111" i="37"/>
  <c r="Q111" i="37"/>
  <c r="AG110" i="37"/>
  <c r="Q110" i="37"/>
  <c r="AG109" i="37"/>
  <c r="Q109" i="37"/>
  <c r="AG108" i="37"/>
  <c r="Q108" i="37"/>
  <c r="AG107" i="37"/>
  <c r="Q107" i="37"/>
  <c r="E107" i="37"/>
  <c r="AG106" i="37"/>
  <c r="P106" i="37"/>
  <c r="Q106" i="37" s="1"/>
  <c r="E106" i="37"/>
  <c r="AG105" i="37"/>
  <c r="Q105" i="37"/>
  <c r="E105" i="37"/>
  <c r="AG104" i="37"/>
  <c r="Q104" i="37"/>
  <c r="E104" i="37"/>
  <c r="AG103" i="37"/>
  <c r="Q103" i="37"/>
  <c r="E103" i="37"/>
  <c r="AG102" i="37"/>
  <c r="Q102" i="37"/>
  <c r="E102" i="37"/>
  <c r="AG101" i="37"/>
  <c r="Q101" i="37"/>
  <c r="G101" i="37"/>
  <c r="E101" i="37"/>
  <c r="AG100" i="37"/>
  <c r="Q100" i="37"/>
  <c r="G100" i="37"/>
  <c r="E100" i="37" s="1"/>
  <c r="AG99" i="37"/>
  <c r="Q99" i="37"/>
  <c r="G99" i="37"/>
  <c r="E99" i="37"/>
  <c r="AG98" i="37"/>
  <c r="Q98" i="37"/>
  <c r="G98" i="37"/>
  <c r="E98" i="37"/>
  <c r="AG97" i="37"/>
  <c r="Q97" i="37"/>
  <c r="G97" i="37"/>
  <c r="E97" i="37" s="1"/>
  <c r="AG96" i="37"/>
  <c r="O96" i="37"/>
  <c r="Q96" i="37" s="1"/>
  <c r="G96" i="37"/>
  <c r="E96" i="37" s="1"/>
  <c r="AG95" i="37"/>
  <c r="Q95" i="37"/>
  <c r="AG94" i="37"/>
  <c r="Q94" i="37"/>
  <c r="E94" i="37"/>
  <c r="AG93" i="37"/>
  <c r="Q93" i="37"/>
  <c r="E93" i="37"/>
  <c r="AG92" i="37"/>
  <c r="Q92" i="37"/>
  <c r="G92" i="37"/>
  <c r="E92" i="37" s="1"/>
  <c r="AG91" i="37"/>
  <c r="Q91" i="37"/>
  <c r="AG90" i="37"/>
  <c r="Q90" i="37"/>
  <c r="AG89" i="37"/>
  <c r="Q89" i="37"/>
  <c r="F89" i="37"/>
  <c r="F90" i="37"/>
  <c r="E89" i="37"/>
  <c r="AG88" i="37"/>
  <c r="Q88" i="37"/>
  <c r="G88" i="37"/>
  <c r="AG87" i="37"/>
  <c r="Q87" i="37"/>
  <c r="G87" i="37"/>
  <c r="AG86" i="37"/>
  <c r="Q86" i="37"/>
  <c r="G86" i="37"/>
  <c r="AG85" i="37"/>
  <c r="Q85" i="37"/>
  <c r="G85" i="37"/>
  <c r="AG84" i="37"/>
  <c r="Q84" i="37"/>
  <c r="G84" i="37"/>
  <c r="AG83" i="37"/>
  <c r="Q83" i="37"/>
  <c r="G83" i="37"/>
  <c r="AG82" i="37"/>
  <c r="Q82" i="37"/>
  <c r="G82" i="37"/>
  <c r="AG81" i="37"/>
  <c r="Q81" i="37"/>
  <c r="G81" i="37"/>
  <c r="AG80" i="37"/>
  <c r="Q80" i="37"/>
  <c r="G80" i="37"/>
  <c r="AG79" i="37"/>
  <c r="Q79" i="37"/>
  <c r="G79" i="37"/>
  <c r="AG78" i="37"/>
  <c r="Q78" i="37"/>
  <c r="G78" i="37"/>
  <c r="AF77" i="37"/>
  <c r="AE77" i="37"/>
  <c r="AD77" i="37"/>
  <c r="AC77" i="37"/>
  <c r="AB77" i="37"/>
  <c r="AA77" i="37"/>
  <c r="Z77" i="37"/>
  <c r="Y77" i="37"/>
  <c r="X77" i="37"/>
  <c r="W77" i="37"/>
  <c r="V77" i="37"/>
  <c r="U77" i="37"/>
  <c r="T77" i="37"/>
  <c r="S77" i="37"/>
  <c r="AG76" i="37"/>
  <c r="Q76" i="37"/>
  <c r="G76" i="37"/>
  <c r="AG75" i="37"/>
  <c r="Q75" i="37"/>
  <c r="G75" i="37"/>
  <c r="AG74" i="37"/>
  <c r="Q74" i="37"/>
  <c r="G74" i="37"/>
  <c r="AG73" i="37"/>
  <c r="Q73" i="37"/>
  <c r="G73" i="37"/>
  <c r="AG72" i="37"/>
  <c r="Q72" i="37"/>
  <c r="E72" i="37"/>
  <c r="G72" i="37" s="1"/>
  <c r="AG71" i="37"/>
  <c r="Q71" i="37"/>
  <c r="E71" i="37"/>
  <c r="G71" i="37" s="1"/>
  <c r="AG70" i="37"/>
  <c r="P70" i="37"/>
  <c r="Q70" i="37" s="1"/>
  <c r="E70" i="37"/>
  <c r="G70" i="37"/>
  <c r="AG69" i="37"/>
  <c r="Q69" i="37"/>
  <c r="G69" i="37"/>
  <c r="AG68" i="37"/>
  <c r="Q68" i="37"/>
  <c r="G68" i="37"/>
  <c r="AG67" i="37"/>
  <c r="Q67" i="37"/>
  <c r="G67" i="37"/>
  <c r="AG66" i="37"/>
  <c r="Q66" i="37"/>
  <c r="G66" i="37"/>
  <c r="AG65" i="37"/>
  <c r="Q65" i="37"/>
  <c r="G65" i="37"/>
  <c r="AF64" i="37"/>
  <c r="AE64" i="37"/>
  <c r="AD64" i="37"/>
  <c r="AC64" i="37"/>
  <c r="AB64" i="37"/>
  <c r="AA64" i="37"/>
  <c r="Z64" i="37"/>
  <c r="Y64" i="37"/>
  <c r="X64" i="37"/>
  <c r="W64" i="37"/>
  <c r="V64" i="37"/>
  <c r="U64" i="37"/>
  <c r="T64" i="37"/>
  <c r="S64" i="37"/>
  <c r="AG63" i="37"/>
  <c r="Q63" i="37"/>
  <c r="G63" i="37"/>
  <c r="AG62" i="37"/>
  <c r="Q62" i="37"/>
  <c r="E62" i="37"/>
  <c r="AG61" i="37"/>
  <c r="Q61" i="37"/>
  <c r="E61" i="37"/>
  <c r="AF60" i="37"/>
  <c r="AE60" i="37"/>
  <c r="AD60" i="37"/>
  <c r="AC60" i="37"/>
  <c r="AB60" i="37"/>
  <c r="AA60" i="37"/>
  <c r="Z60" i="37"/>
  <c r="Y60" i="37"/>
  <c r="X60" i="37"/>
  <c r="W60" i="37"/>
  <c r="V60" i="37"/>
  <c r="U60" i="37"/>
  <c r="T60" i="37"/>
  <c r="S60" i="37"/>
  <c r="AG59" i="37"/>
  <c r="AG60" i="37"/>
  <c r="Q59" i="37"/>
  <c r="Q60" i="37" s="1"/>
  <c r="G59" i="37"/>
  <c r="AF58" i="37"/>
  <c r="AE58" i="37"/>
  <c r="AD58" i="37"/>
  <c r="AC58" i="37"/>
  <c r="AB58" i="37"/>
  <c r="AA58" i="37"/>
  <c r="Z58" i="37"/>
  <c r="Y58" i="37"/>
  <c r="X58" i="37"/>
  <c r="W58" i="37"/>
  <c r="V58" i="37"/>
  <c r="U58" i="37"/>
  <c r="T58" i="37"/>
  <c r="S58" i="37"/>
  <c r="AG57" i="37"/>
  <c r="AG58" i="37" s="1"/>
  <c r="Q57" i="37"/>
  <c r="Q58" i="37" s="1"/>
  <c r="G57" i="37"/>
  <c r="AF56" i="37"/>
  <c r="AE56" i="37"/>
  <c r="AD56" i="37"/>
  <c r="AC56" i="37"/>
  <c r="AB56" i="37"/>
  <c r="AA56" i="37"/>
  <c r="Z56" i="37"/>
  <c r="Y56" i="37"/>
  <c r="X56" i="37"/>
  <c r="W56" i="37"/>
  <c r="V56" i="37"/>
  <c r="U56" i="37"/>
  <c r="T56" i="37"/>
  <c r="S56" i="37"/>
  <c r="AG55" i="37"/>
  <c r="AG56" i="37" s="1"/>
  <c r="Q55" i="37"/>
  <c r="Q56" i="37" s="1"/>
  <c r="G55" i="37"/>
  <c r="AF54" i="37"/>
  <c r="AE54" i="37"/>
  <c r="AD54" i="37"/>
  <c r="AC54" i="37"/>
  <c r="AB54" i="37"/>
  <c r="AA54" i="37"/>
  <c r="Z54" i="37"/>
  <c r="Y54" i="37"/>
  <c r="X54" i="37"/>
  <c r="W54" i="37"/>
  <c r="V54" i="37"/>
  <c r="U54" i="37"/>
  <c r="T54" i="37"/>
  <c r="S54" i="37"/>
  <c r="AG53" i="37"/>
  <c r="Q53" i="37"/>
  <c r="E53" i="37"/>
  <c r="G53" i="37"/>
  <c r="AG52" i="37"/>
  <c r="O52" i="37"/>
  <c r="Q52" i="37" s="1"/>
  <c r="G52" i="37"/>
  <c r="AG51" i="37"/>
  <c r="O51" i="37"/>
  <c r="Q51" i="37"/>
  <c r="G51" i="37"/>
  <c r="AG50" i="37"/>
  <c r="Q50" i="37"/>
  <c r="G50" i="37"/>
  <c r="AG49" i="37"/>
  <c r="Q49" i="37"/>
  <c r="G49" i="37"/>
  <c r="AG48" i="37"/>
  <c r="Q48" i="37"/>
  <c r="G48" i="37"/>
  <c r="AF47" i="37"/>
  <c r="AE47" i="37"/>
  <c r="AD47" i="37"/>
  <c r="AC47" i="37"/>
  <c r="AB47" i="37"/>
  <c r="AA47" i="37"/>
  <c r="Z47" i="37"/>
  <c r="Y47" i="37"/>
  <c r="X47" i="37"/>
  <c r="W47" i="37"/>
  <c r="V47" i="37"/>
  <c r="U47" i="37"/>
  <c r="T47" i="37"/>
  <c r="S47" i="37"/>
  <c r="AG46" i="37"/>
  <c r="Q46" i="37"/>
  <c r="E46" i="37"/>
  <c r="G46" i="37" s="1"/>
  <c r="AG45" i="37"/>
  <c r="Q45" i="37"/>
  <c r="G45" i="37"/>
  <c r="AG44" i="37"/>
  <c r="Q44" i="37"/>
  <c r="G44" i="37"/>
  <c r="AF43" i="37"/>
  <c r="AE43" i="37"/>
  <c r="AD43" i="37"/>
  <c r="AC43" i="37"/>
  <c r="AB43" i="37"/>
  <c r="AA43" i="37"/>
  <c r="Z43" i="37"/>
  <c r="Y43" i="37"/>
  <c r="X43" i="37"/>
  <c r="W43" i="37"/>
  <c r="V43" i="37"/>
  <c r="U43" i="37"/>
  <c r="T43" i="37"/>
  <c r="S43" i="37"/>
  <c r="AG42" i="37"/>
  <c r="AG43" i="37"/>
  <c r="Q42" i="37"/>
  <c r="Q43" i="37" s="1"/>
  <c r="E42" i="37"/>
  <c r="G42" i="37"/>
  <c r="AF41" i="37"/>
  <c r="AE41" i="37"/>
  <c r="AD41" i="37"/>
  <c r="AC41" i="37"/>
  <c r="AB41" i="37"/>
  <c r="AA41" i="37"/>
  <c r="Z41" i="37"/>
  <c r="Y41" i="37"/>
  <c r="X41" i="37"/>
  <c r="W41" i="37"/>
  <c r="V41" i="37"/>
  <c r="U41" i="37"/>
  <c r="T41" i="37"/>
  <c r="S41" i="37"/>
  <c r="AG40" i="37"/>
  <c r="Q40" i="37"/>
  <c r="AG39" i="37"/>
  <c r="O39" i="37"/>
  <c r="Q39" i="37" s="1"/>
  <c r="Q41" i="37" s="1"/>
  <c r="AF38" i="37"/>
  <c r="AE38" i="37"/>
  <c r="AD38" i="37"/>
  <c r="AC38" i="37"/>
  <c r="AB38" i="37"/>
  <c r="AA38" i="37"/>
  <c r="Z38" i="37"/>
  <c r="Y38" i="37"/>
  <c r="X38" i="37"/>
  <c r="W38" i="37"/>
  <c r="V38" i="37"/>
  <c r="U38" i="37"/>
  <c r="T38" i="37"/>
  <c r="S38" i="37"/>
  <c r="AG37" i="37"/>
  <c r="AG38" i="37"/>
  <c r="Q37" i="37"/>
  <c r="Q38" i="37"/>
  <c r="G37" i="37"/>
  <c r="AF36" i="37"/>
  <c r="AE36" i="37"/>
  <c r="AD36" i="37"/>
  <c r="AC36" i="37"/>
  <c r="AB36" i="37"/>
  <c r="AA36" i="37"/>
  <c r="Z36" i="37"/>
  <c r="Y36" i="37"/>
  <c r="X36" i="37"/>
  <c r="W36" i="37"/>
  <c r="V36" i="37"/>
  <c r="U36" i="37"/>
  <c r="T36" i="37"/>
  <c r="S36" i="37"/>
  <c r="AG35" i="37"/>
  <c r="AG36" i="37"/>
  <c r="Q35" i="37"/>
  <c r="Q36" i="37"/>
  <c r="E35" i="37"/>
  <c r="G35" i="37" s="1"/>
  <c r="AF34" i="37"/>
  <c r="AE34" i="37"/>
  <c r="AD34" i="37"/>
  <c r="AC34" i="37"/>
  <c r="AB34" i="37"/>
  <c r="AA34" i="37"/>
  <c r="Z34" i="37"/>
  <c r="Y34" i="37"/>
  <c r="X34" i="37"/>
  <c r="W34" i="37"/>
  <c r="V34" i="37"/>
  <c r="U34" i="37"/>
  <c r="T34" i="37"/>
  <c r="S34" i="37"/>
  <c r="AG33" i="37"/>
  <c r="Q33" i="37"/>
  <c r="AG32" i="37"/>
  <c r="Q32" i="37"/>
  <c r="AG31" i="37"/>
  <c r="Q31" i="37"/>
  <c r="AG30" i="37"/>
  <c r="Q30" i="37"/>
  <c r="F30" i="37"/>
  <c r="AG29" i="37"/>
  <c r="Q29" i="37"/>
  <c r="E29" i="37"/>
  <c r="F29" i="37" s="1"/>
  <c r="AG28" i="37"/>
  <c r="P28" i="37"/>
  <c r="Q28" i="37" s="1"/>
  <c r="G28" i="37"/>
  <c r="AG27" i="37"/>
  <c r="Q27" i="37"/>
  <c r="G27" i="37"/>
  <c r="AG26" i="37"/>
  <c r="Q26" i="37"/>
  <c r="G26" i="37"/>
  <c r="AG25" i="37"/>
  <c r="Q25" i="37"/>
  <c r="G25" i="37"/>
  <c r="AG24" i="37"/>
  <c r="Q24" i="37"/>
  <c r="E24" i="37"/>
  <c r="G24" i="37"/>
  <c r="AG23" i="37"/>
  <c r="Q23" i="37"/>
  <c r="G23" i="37"/>
  <c r="AG22" i="37"/>
  <c r="Q22" i="37"/>
  <c r="G22" i="37"/>
  <c r="AG21" i="37"/>
  <c r="E21" i="37"/>
  <c r="G21" i="37"/>
  <c r="AG20" i="37"/>
  <c r="Q20" i="37"/>
  <c r="E20" i="37"/>
  <c r="G20" i="37" s="1"/>
  <c r="AG19" i="37"/>
  <c r="Q19" i="37"/>
  <c r="E19" i="37"/>
  <c r="G19" i="37"/>
  <c r="AG18" i="37"/>
  <c r="Q18" i="37"/>
  <c r="AG17" i="37"/>
  <c r="Q17" i="37"/>
  <c r="AG16" i="37"/>
  <c r="Q16" i="37"/>
  <c r="G16" i="37"/>
  <c r="AG15" i="37"/>
  <c r="Q15" i="37"/>
  <c r="G15" i="37"/>
  <c r="AG14" i="37"/>
  <c r="Q14" i="37"/>
  <c r="AG13" i="37"/>
  <c r="Q13" i="37"/>
  <c r="AG12" i="37"/>
  <c r="Q12" i="37"/>
  <c r="AG11" i="37"/>
  <c r="Q11" i="37"/>
  <c r="G11" i="37"/>
  <c r="G12" i="37" s="1"/>
  <c r="AG10" i="37"/>
  <c r="Q10" i="37"/>
  <c r="G10" i="37"/>
  <c r="AG9" i="37"/>
  <c r="Q9" i="37"/>
  <c r="G9" i="37"/>
  <c r="AG8" i="37"/>
  <c r="E8" i="37"/>
  <c r="AG7" i="37"/>
  <c r="E7" i="37"/>
  <c r="AG599" i="30"/>
  <c r="Q599" i="30"/>
  <c r="AG598" i="30"/>
  <c r="Q598" i="30"/>
  <c r="AG597" i="30"/>
  <c r="Q597" i="30"/>
  <c r="AG596" i="30"/>
  <c r="Q596" i="30"/>
  <c r="AG595" i="30"/>
  <c r="Q595" i="30"/>
  <c r="AG594" i="30"/>
  <c r="Q594" i="30"/>
  <c r="AG593" i="30"/>
  <c r="Q593" i="30"/>
  <c r="AG592" i="30"/>
  <c r="Q592" i="30"/>
  <c r="AG591" i="30"/>
  <c r="Q591" i="30"/>
  <c r="AG590" i="30"/>
  <c r="Q590" i="30"/>
  <c r="AG589" i="30"/>
  <c r="Q589" i="30"/>
  <c r="AG588" i="30"/>
  <c r="Q588" i="30"/>
  <c r="AG587" i="30"/>
  <c r="Q587" i="30"/>
  <c r="AG586" i="30"/>
  <c r="Q586" i="30"/>
  <c r="AF585" i="30"/>
  <c r="AE585" i="30"/>
  <c r="AD585" i="30"/>
  <c r="AC585" i="30"/>
  <c r="AB585" i="30"/>
  <c r="AA585" i="30"/>
  <c r="AA576" i="30" s="1"/>
  <c r="Z585" i="30"/>
  <c r="Y585" i="30"/>
  <c r="X585" i="30"/>
  <c r="W585" i="30"/>
  <c r="V585" i="30"/>
  <c r="U585" i="30"/>
  <c r="T585" i="30"/>
  <c r="S585" i="30"/>
  <c r="AG584" i="30"/>
  <c r="Q584" i="30"/>
  <c r="AG583" i="30"/>
  <c r="Q583" i="30"/>
  <c r="Q577" i="30" s="1"/>
  <c r="AG582" i="30"/>
  <c r="Q582" i="30"/>
  <c r="AG581" i="30"/>
  <c r="Q581" i="30"/>
  <c r="AG580" i="30"/>
  <c r="Q580" i="30"/>
  <c r="AG579" i="30"/>
  <c r="Q579" i="30"/>
  <c r="Q578" i="30"/>
  <c r="AG578" i="30"/>
  <c r="AF577" i="30"/>
  <c r="AF576" i="30" s="1"/>
  <c r="AE577" i="30"/>
  <c r="AE576" i="30"/>
  <c r="AD577" i="30"/>
  <c r="AC577" i="30"/>
  <c r="AC576" i="30" s="1"/>
  <c r="AB577" i="30"/>
  <c r="AB576" i="30"/>
  <c r="AA577" i="30"/>
  <c r="Z577" i="30"/>
  <c r="Y577" i="30"/>
  <c r="X577" i="30"/>
  <c r="X576" i="30" s="1"/>
  <c r="W577" i="30"/>
  <c r="V577" i="30"/>
  <c r="U577" i="30"/>
  <c r="U576" i="30" s="1"/>
  <c r="T577" i="30"/>
  <c r="T576" i="30" s="1"/>
  <c r="S577" i="30"/>
  <c r="S576" i="30"/>
  <c r="W576" i="30"/>
  <c r="R576" i="30"/>
  <c r="R565" i="30"/>
  <c r="AG575" i="30"/>
  <c r="AF574" i="30"/>
  <c r="AE574" i="30"/>
  <c r="AD574" i="30"/>
  <c r="AC574" i="30"/>
  <c r="AC571" i="30" s="1"/>
  <c r="AB574" i="30"/>
  <c r="AA574" i="30"/>
  <c r="Z574" i="30"/>
  <c r="Y574" i="30"/>
  <c r="X574" i="30"/>
  <c r="W574" i="30"/>
  <c r="V574" i="30"/>
  <c r="U574" i="30"/>
  <c r="U571" i="30" s="1"/>
  <c r="T574" i="30"/>
  <c r="S574" i="30"/>
  <c r="Q574" i="30"/>
  <c r="AG573" i="30"/>
  <c r="AF572" i="30"/>
  <c r="AE572" i="30"/>
  <c r="AD572" i="30"/>
  <c r="AC572" i="30"/>
  <c r="AB572" i="30"/>
  <c r="AA572" i="30"/>
  <c r="AA571" i="30" s="1"/>
  <c r="Z572" i="30"/>
  <c r="Y572" i="30"/>
  <c r="Y571" i="30" s="1"/>
  <c r="X572" i="30"/>
  <c r="W572" i="30"/>
  <c r="V572" i="30"/>
  <c r="U572" i="30"/>
  <c r="T572" i="30"/>
  <c r="S572" i="30"/>
  <c r="Q572" i="30"/>
  <c r="AE571" i="30"/>
  <c r="W571" i="30"/>
  <c r="S571" i="30"/>
  <c r="AG570" i="30"/>
  <c r="AF569" i="30"/>
  <c r="AE569" i="30"/>
  <c r="AD569" i="30"/>
  <c r="AC569" i="30"/>
  <c r="AB569" i="30"/>
  <c r="AA569" i="30"/>
  <c r="Z569" i="30"/>
  <c r="Y569" i="30"/>
  <c r="X569" i="30"/>
  <c r="W569" i="30"/>
  <c r="W566" i="30" s="1"/>
  <c r="V569" i="30"/>
  <c r="U569" i="30"/>
  <c r="T569" i="30"/>
  <c r="S569" i="30"/>
  <c r="Q569" i="30"/>
  <c r="AG568" i="30"/>
  <c r="AF567" i="30"/>
  <c r="AE567" i="30"/>
  <c r="AE566" i="30" s="1"/>
  <c r="AD567" i="30"/>
  <c r="AC567" i="30"/>
  <c r="AC566" i="30" s="1"/>
  <c r="AB567" i="30"/>
  <c r="AA567" i="30"/>
  <c r="Z567" i="30"/>
  <c r="Y567" i="30"/>
  <c r="X567" i="30"/>
  <c r="W567" i="30"/>
  <c r="V567" i="30"/>
  <c r="U567" i="30"/>
  <c r="U566" i="30" s="1"/>
  <c r="T567" i="30"/>
  <c r="S567" i="30"/>
  <c r="S566" i="30" s="1"/>
  <c r="Q567" i="30"/>
  <c r="AA566" i="30"/>
  <c r="AG564" i="30"/>
  <c r="AG560" i="30"/>
  <c r="Q560" i="30"/>
  <c r="Q559" i="30"/>
  <c r="Q558" i="30" s="1"/>
  <c r="AF559" i="30"/>
  <c r="AF558" i="30" s="1"/>
  <c r="AE559" i="30"/>
  <c r="AE558" i="30" s="1"/>
  <c r="AD559" i="30"/>
  <c r="AC559" i="30"/>
  <c r="AC558" i="30"/>
  <c r="AB559" i="30"/>
  <c r="AB558" i="30" s="1"/>
  <c r="AA559" i="30"/>
  <c r="AA558" i="30"/>
  <c r="Z559" i="30"/>
  <c r="Z558" i="30" s="1"/>
  <c r="Y559" i="30"/>
  <c r="Y558" i="30" s="1"/>
  <c r="X559" i="30"/>
  <c r="X558" i="30" s="1"/>
  <c r="W559" i="30"/>
  <c r="V559" i="30"/>
  <c r="V558" i="30" s="1"/>
  <c r="U559" i="30"/>
  <c r="T559" i="30"/>
  <c r="T558" i="30"/>
  <c r="S559" i="30"/>
  <c r="S558" i="30"/>
  <c r="AD558" i="30"/>
  <c r="W558" i="30"/>
  <c r="AG557" i="30"/>
  <c r="Q557" i="30"/>
  <c r="AG556" i="30"/>
  <c r="Q556" i="30"/>
  <c r="G556" i="30"/>
  <c r="AG555" i="30"/>
  <c r="G555" i="30"/>
  <c r="AG554" i="30"/>
  <c r="Q554" i="30"/>
  <c r="G554" i="30"/>
  <c r="AG553" i="30"/>
  <c r="Q553" i="30"/>
  <c r="G553" i="30"/>
  <c r="AG552" i="30"/>
  <c r="Q552" i="30"/>
  <c r="G552" i="30"/>
  <c r="AG551" i="30"/>
  <c r="Q551" i="30"/>
  <c r="G551" i="30"/>
  <c r="AG550" i="30"/>
  <c r="Q550" i="30"/>
  <c r="G550" i="30"/>
  <c r="AG549" i="30"/>
  <c r="Q549" i="30"/>
  <c r="G549" i="30"/>
  <c r="AG548" i="30"/>
  <c r="Q548" i="30"/>
  <c r="G548" i="30"/>
  <c r="AG547" i="30"/>
  <c r="Q547" i="30"/>
  <c r="G547" i="30"/>
  <c r="AG546" i="30"/>
  <c r="Q546" i="30"/>
  <c r="G546" i="30"/>
  <c r="AG545" i="30"/>
  <c r="Q545" i="30"/>
  <c r="G545" i="30"/>
  <c r="AG544" i="30"/>
  <c r="Q544" i="30"/>
  <c r="G544" i="30"/>
  <c r="AG543" i="30"/>
  <c r="Q543" i="30"/>
  <c r="G543" i="30"/>
  <c r="AG542" i="30"/>
  <c r="Q542" i="30"/>
  <c r="G542" i="30"/>
  <c r="AG541" i="30"/>
  <c r="Q541" i="30"/>
  <c r="G541" i="30"/>
  <c r="AG540" i="30"/>
  <c r="Q540" i="30"/>
  <c r="G540" i="30"/>
  <c r="Y539" i="30"/>
  <c r="X539" i="30"/>
  <c r="W539" i="30"/>
  <c r="W536" i="30"/>
  <c r="W535" i="30" s="1"/>
  <c r="V539" i="30"/>
  <c r="V535" i="30" s="1"/>
  <c r="U539" i="30"/>
  <c r="AG538" i="30"/>
  <c r="Q538" i="30"/>
  <c r="AG537" i="30"/>
  <c r="Q537" i="30"/>
  <c r="Y536" i="30"/>
  <c r="Y535" i="30" s="1"/>
  <c r="X536" i="30"/>
  <c r="V536" i="30"/>
  <c r="U536" i="30"/>
  <c r="U535" i="30"/>
  <c r="AF535" i="30"/>
  <c r="AE535" i="30"/>
  <c r="AD535" i="30"/>
  <c r="AC535" i="30"/>
  <c r="AB535" i="30"/>
  <c r="AA535" i="30"/>
  <c r="Z535" i="30"/>
  <c r="T535" i="30"/>
  <c r="S535" i="30"/>
  <c r="R535" i="30"/>
  <c r="AG534" i="30"/>
  <c r="Q534" i="30"/>
  <c r="E534" i="30"/>
  <c r="F534" i="30" s="1"/>
  <c r="AG533" i="30"/>
  <c r="Q533" i="30"/>
  <c r="E533" i="30"/>
  <c r="F533" i="30" s="1"/>
  <c r="AG532" i="30"/>
  <c r="Q532" i="30"/>
  <c r="E532" i="30"/>
  <c r="F532" i="30"/>
  <c r="AG531" i="30"/>
  <c r="Q531" i="30"/>
  <c r="F531" i="30"/>
  <c r="AG530" i="30"/>
  <c r="Q530" i="30"/>
  <c r="E530" i="30"/>
  <c r="F530" i="30"/>
  <c r="AG529" i="30"/>
  <c r="Q529" i="30"/>
  <c r="E529" i="30"/>
  <c r="F529" i="30"/>
  <c r="AG528" i="30"/>
  <c r="Q528" i="30"/>
  <c r="E528" i="30"/>
  <c r="F528" i="30" s="1"/>
  <c r="AG527" i="30"/>
  <c r="Q527" i="30"/>
  <c r="F527" i="30"/>
  <c r="AG526" i="30"/>
  <c r="Q526" i="30"/>
  <c r="F526" i="30"/>
  <c r="AG525" i="30"/>
  <c r="Q525" i="30"/>
  <c r="E525" i="30"/>
  <c r="F525" i="30" s="1"/>
  <c r="AF524" i="30"/>
  <c r="AF520" i="30" s="1"/>
  <c r="AE524" i="30"/>
  <c r="AD524" i="30"/>
  <c r="AC524" i="30"/>
  <c r="AB524" i="30"/>
  <c r="AA524" i="30"/>
  <c r="Z524" i="30"/>
  <c r="Y524" i="30"/>
  <c r="X524" i="30"/>
  <c r="W524" i="30"/>
  <c r="V524" i="30"/>
  <c r="V520" i="30" s="1"/>
  <c r="U524" i="30"/>
  <c r="T524" i="30"/>
  <c r="S524" i="30"/>
  <c r="AG523" i="30"/>
  <c r="Q523" i="30"/>
  <c r="F523" i="30"/>
  <c r="AG522" i="30"/>
  <c r="Q522" i="30"/>
  <c r="E522" i="30"/>
  <c r="F522" i="30"/>
  <c r="AF521" i="30"/>
  <c r="AE521" i="30"/>
  <c r="AD521" i="30"/>
  <c r="AC521" i="30"/>
  <c r="AB521" i="30"/>
  <c r="AB520" i="30" s="1"/>
  <c r="AA521" i="30"/>
  <c r="Z521" i="30"/>
  <c r="Z520" i="30" s="1"/>
  <c r="Y521" i="30"/>
  <c r="X521" i="30"/>
  <c r="W521" i="30"/>
  <c r="V521" i="30"/>
  <c r="U521" i="30"/>
  <c r="T521" i="30"/>
  <c r="S521" i="30"/>
  <c r="AD520" i="30"/>
  <c r="X520" i="30"/>
  <c r="T520" i="30"/>
  <c r="R520" i="30"/>
  <c r="AG519" i="30"/>
  <c r="Q519" i="30"/>
  <c r="G519" i="30"/>
  <c r="AG518" i="30"/>
  <c r="Q518" i="30"/>
  <c r="G518" i="30"/>
  <c r="AG517" i="30"/>
  <c r="Q517" i="30"/>
  <c r="G517" i="30"/>
  <c r="AG516" i="30"/>
  <c r="Q516" i="30"/>
  <c r="G516" i="30"/>
  <c r="AG515" i="30"/>
  <c r="P515" i="30"/>
  <c r="Q515" i="30"/>
  <c r="G515" i="30"/>
  <c r="AG514" i="30"/>
  <c r="Q514" i="30"/>
  <c r="G514" i="30"/>
  <c r="AF513" i="30"/>
  <c r="AE513" i="30"/>
  <c r="AD513" i="30"/>
  <c r="AC513" i="30"/>
  <c r="AB513" i="30"/>
  <c r="AA513" i="30"/>
  <c r="Z513" i="30"/>
  <c r="Y513" i="30"/>
  <c r="X513" i="30"/>
  <c r="W513" i="30"/>
  <c r="V513" i="30"/>
  <c r="U513" i="30"/>
  <c r="T513" i="30"/>
  <c r="S513" i="30"/>
  <c r="AG512" i="30"/>
  <c r="Q512" i="30"/>
  <c r="Q511" i="30"/>
  <c r="G512" i="30"/>
  <c r="AG511" i="30"/>
  <c r="G511" i="30"/>
  <c r="AF510" i="30"/>
  <c r="AE510" i="30"/>
  <c r="AD510" i="30"/>
  <c r="AC510" i="30"/>
  <c r="AB510" i="30"/>
  <c r="AA510" i="30"/>
  <c r="Z510" i="30"/>
  <c r="Y510" i="30"/>
  <c r="X510" i="30"/>
  <c r="W510" i="30"/>
  <c r="V510" i="30"/>
  <c r="U510" i="30"/>
  <c r="T510" i="30"/>
  <c r="S510" i="30"/>
  <c r="AG509" i="30"/>
  <c r="Q509" i="30"/>
  <c r="G509" i="30"/>
  <c r="AG508" i="30"/>
  <c r="G508" i="30"/>
  <c r="AG507" i="30"/>
  <c r="Q507" i="30"/>
  <c r="G507" i="30"/>
  <c r="AG506" i="30"/>
  <c r="Q506" i="30"/>
  <c r="G506" i="30"/>
  <c r="AG505" i="30"/>
  <c r="Q505" i="30"/>
  <c r="G505" i="30"/>
  <c r="AG504" i="30"/>
  <c r="Q504" i="30"/>
  <c r="G504" i="30"/>
  <c r="AG503" i="30"/>
  <c r="Q503" i="30"/>
  <c r="G503" i="30"/>
  <c r="AG502" i="30"/>
  <c r="Q502" i="30"/>
  <c r="G502" i="30"/>
  <c r="AG501" i="30"/>
  <c r="Q501" i="30"/>
  <c r="G501" i="30"/>
  <c r="AF500" i="30"/>
  <c r="AE500" i="30"/>
  <c r="AD500" i="30"/>
  <c r="AC500" i="30"/>
  <c r="AB500" i="30"/>
  <c r="AA500" i="30"/>
  <c r="Z500" i="30"/>
  <c r="Y500" i="30"/>
  <c r="X500" i="30"/>
  <c r="W500" i="30"/>
  <c r="V500" i="30"/>
  <c r="U500" i="30"/>
  <c r="T500" i="30"/>
  <c r="S500" i="30"/>
  <c r="AG499" i="30"/>
  <c r="Q499" i="30"/>
  <c r="G499" i="30"/>
  <c r="AG498" i="30"/>
  <c r="Q498" i="30"/>
  <c r="G498" i="30"/>
  <c r="AG497" i="30"/>
  <c r="Q497" i="30"/>
  <c r="G497" i="30"/>
  <c r="AG496" i="30"/>
  <c r="Q496" i="30"/>
  <c r="G496" i="30"/>
  <c r="AF495" i="30"/>
  <c r="AE495" i="30"/>
  <c r="AD495" i="30"/>
  <c r="AC495" i="30"/>
  <c r="AB495" i="30"/>
  <c r="AA495" i="30"/>
  <c r="Z495" i="30"/>
  <c r="Y495" i="30"/>
  <c r="X495" i="30"/>
  <c r="W495" i="30"/>
  <c r="V495" i="30"/>
  <c r="U495" i="30"/>
  <c r="T495" i="30"/>
  <c r="S495" i="30"/>
  <c r="AG494" i="30"/>
  <c r="Q494" i="30"/>
  <c r="Q493" i="30"/>
  <c r="G494" i="30"/>
  <c r="AF493" i="30"/>
  <c r="AE493" i="30"/>
  <c r="AD493" i="30"/>
  <c r="AC493" i="30"/>
  <c r="AB493" i="30"/>
  <c r="AA493" i="30"/>
  <c r="Z493" i="30"/>
  <c r="Y493" i="30"/>
  <c r="X493" i="30"/>
  <c r="W493" i="30"/>
  <c r="V493" i="30"/>
  <c r="U493" i="30"/>
  <c r="T493" i="30"/>
  <c r="S493" i="30"/>
  <c r="AG492" i="30"/>
  <c r="Q492" i="30"/>
  <c r="Q491" i="30" s="1"/>
  <c r="G492" i="30"/>
  <c r="AF491" i="30"/>
  <c r="AE491" i="30"/>
  <c r="AD491" i="30"/>
  <c r="AC491" i="30"/>
  <c r="AB491" i="30"/>
  <c r="AA491" i="30"/>
  <c r="Z491" i="30"/>
  <c r="Y491" i="30"/>
  <c r="X491" i="30"/>
  <c r="W491" i="30"/>
  <c r="V491" i="30"/>
  <c r="U491" i="30"/>
  <c r="T491" i="30"/>
  <c r="S491" i="30"/>
  <c r="AG490" i="30"/>
  <c r="Q490" i="30"/>
  <c r="G490" i="30"/>
  <c r="AG489" i="30"/>
  <c r="Q489" i="30"/>
  <c r="G489" i="30"/>
  <c r="AG488" i="30"/>
  <c r="Q488" i="30"/>
  <c r="G488" i="30"/>
  <c r="AG487" i="30"/>
  <c r="Q487" i="30"/>
  <c r="E487" i="30"/>
  <c r="G487" i="30" s="1"/>
  <c r="AF486" i="30"/>
  <c r="AE486" i="30"/>
  <c r="AD486" i="30"/>
  <c r="AC486" i="30"/>
  <c r="AB486" i="30"/>
  <c r="AA486" i="30"/>
  <c r="Z486" i="30"/>
  <c r="Y486" i="30"/>
  <c r="X486" i="30"/>
  <c r="W486" i="30"/>
  <c r="V486" i="30"/>
  <c r="U486" i="30"/>
  <c r="T486" i="30"/>
  <c r="S486" i="30"/>
  <c r="AG485" i="30"/>
  <c r="Q485" i="30"/>
  <c r="G485" i="30"/>
  <c r="AG484" i="30"/>
  <c r="Q484" i="30"/>
  <c r="G484" i="30"/>
  <c r="AG483" i="30"/>
  <c r="E483" i="30"/>
  <c r="G483" i="30" s="1"/>
  <c r="AF482" i="30"/>
  <c r="AE482" i="30"/>
  <c r="AD482" i="30"/>
  <c r="AC482" i="30"/>
  <c r="AB482" i="30"/>
  <c r="AA482" i="30"/>
  <c r="Z482" i="30"/>
  <c r="Y482" i="30"/>
  <c r="X482" i="30"/>
  <c r="W482" i="30"/>
  <c r="V482" i="30"/>
  <c r="U482" i="30"/>
  <c r="T482" i="30"/>
  <c r="S482" i="30"/>
  <c r="R481" i="30"/>
  <c r="AG480" i="30"/>
  <c r="Q480" i="30"/>
  <c r="E480" i="30"/>
  <c r="G480" i="30" s="1"/>
  <c r="AG479" i="30"/>
  <c r="Q479" i="30"/>
  <c r="E479" i="30"/>
  <c r="G479" i="30"/>
  <c r="AG478" i="30"/>
  <c r="Q478" i="30"/>
  <c r="E478" i="30"/>
  <c r="G478" i="30"/>
  <c r="AG477" i="30"/>
  <c r="Q477" i="30"/>
  <c r="E477" i="30"/>
  <c r="G477" i="30" s="1"/>
  <c r="AG476" i="30"/>
  <c r="Q476" i="30"/>
  <c r="E476" i="30"/>
  <c r="G476" i="30"/>
  <c r="AG475" i="30"/>
  <c r="P475" i="30"/>
  <c r="Q475" i="30"/>
  <c r="E475" i="30"/>
  <c r="G475" i="30"/>
  <c r="AG474" i="30"/>
  <c r="Q474" i="30"/>
  <c r="E474" i="30"/>
  <c r="G474" i="30" s="1"/>
  <c r="AG473" i="30"/>
  <c r="Q473" i="30"/>
  <c r="E473" i="30"/>
  <c r="G473" i="30" s="1"/>
  <c r="AG472" i="30"/>
  <c r="Q472" i="30"/>
  <c r="E472" i="30"/>
  <c r="G472" i="30"/>
  <c r="AG471" i="30"/>
  <c r="P471" i="30"/>
  <c r="Q471" i="30" s="1"/>
  <c r="E471" i="30"/>
  <c r="G471" i="30"/>
  <c r="AG470" i="30"/>
  <c r="Q470" i="30"/>
  <c r="E470" i="30"/>
  <c r="G470" i="30" s="1"/>
  <c r="AG469" i="30"/>
  <c r="Q469" i="30"/>
  <c r="E469" i="30"/>
  <c r="G469" i="30" s="1"/>
  <c r="AG468" i="30"/>
  <c r="Q468" i="30"/>
  <c r="E468" i="30"/>
  <c r="G468" i="30"/>
  <c r="AG467" i="30"/>
  <c r="Q467" i="30"/>
  <c r="E467" i="30"/>
  <c r="G467" i="30" s="1"/>
  <c r="AG466" i="30"/>
  <c r="Q466" i="30"/>
  <c r="E466" i="30"/>
  <c r="G466" i="30" s="1"/>
  <c r="AG465" i="30"/>
  <c r="Q465" i="30"/>
  <c r="E465" i="30"/>
  <c r="G465" i="30"/>
  <c r="AG464" i="30"/>
  <c r="Q464" i="30"/>
  <c r="E464" i="30"/>
  <c r="G464" i="30" s="1"/>
  <c r="AG463" i="30"/>
  <c r="Q463" i="30"/>
  <c r="E463" i="30"/>
  <c r="G463" i="30" s="1"/>
  <c r="AG462" i="30"/>
  <c r="Q462" i="30"/>
  <c r="E462" i="30"/>
  <c r="G462" i="30"/>
  <c r="AG461" i="30"/>
  <c r="Q461" i="30"/>
  <c r="E461" i="30"/>
  <c r="G461" i="30" s="1"/>
  <c r="AG460" i="30"/>
  <c r="Q460" i="30"/>
  <c r="E460" i="30"/>
  <c r="G460" i="30" s="1"/>
  <c r="AF459" i="30"/>
  <c r="AF438" i="30" s="1"/>
  <c r="AE459" i="30"/>
  <c r="AD459" i="30"/>
  <c r="AD439" i="30"/>
  <c r="AD453" i="30"/>
  <c r="AD438" i="30"/>
  <c r="AC459" i="30"/>
  <c r="AB459" i="30"/>
  <c r="AA459" i="30"/>
  <c r="Z459" i="30"/>
  <c r="Y459" i="30"/>
  <c r="X459" i="30"/>
  <c r="W459" i="30"/>
  <c r="W438" i="30" s="1"/>
  <c r="V459" i="30"/>
  <c r="U459" i="30"/>
  <c r="T459" i="30"/>
  <c r="S459" i="30"/>
  <c r="AG458" i="30"/>
  <c r="Q458" i="30"/>
  <c r="E458" i="30"/>
  <c r="G458" i="30"/>
  <c r="AG457" i="30"/>
  <c r="Q457" i="30"/>
  <c r="E457" i="30"/>
  <c r="G457" i="30"/>
  <c r="AG456" i="30"/>
  <c r="Q456" i="30"/>
  <c r="E456" i="30"/>
  <c r="G456" i="30" s="1"/>
  <c r="AG455" i="30"/>
  <c r="Q455" i="30"/>
  <c r="E455" i="30"/>
  <c r="G455" i="30"/>
  <c r="AG454" i="30"/>
  <c r="Q454" i="30"/>
  <c r="E454" i="30"/>
  <c r="G454" i="30"/>
  <c r="AF453" i="30"/>
  <c r="AE453" i="30"/>
  <c r="AC453" i="30"/>
  <c r="AB453" i="30"/>
  <c r="AB439" i="30"/>
  <c r="AB438" i="30" s="1"/>
  <c r="AA453" i="30"/>
  <c r="Z453" i="30"/>
  <c r="Y453" i="30"/>
  <c r="X453" i="30"/>
  <c r="W453" i="30"/>
  <c r="V453" i="30"/>
  <c r="U453" i="30"/>
  <c r="T453" i="30"/>
  <c r="S453" i="30"/>
  <c r="AG452" i="30"/>
  <c r="Q452" i="30"/>
  <c r="E452" i="30"/>
  <c r="G452" i="30" s="1"/>
  <c r="AG451" i="30"/>
  <c r="Q451" i="30"/>
  <c r="E451" i="30"/>
  <c r="G451" i="30" s="1"/>
  <c r="AG450" i="30"/>
  <c r="P450" i="30"/>
  <c r="Q450" i="30" s="1"/>
  <c r="E450" i="30"/>
  <c r="G450" i="30" s="1"/>
  <c r="AG449" i="30"/>
  <c r="Q449" i="30"/>
  <c r="E449" i="30"/>
  <c r="G449" i="30"/>
  <c r="AG448" i="30"/>
  <c r="Q448" i="30"/>
  <c r="E448" i="30"/>
  <c r="G448" i="30"/>
  <c r="AG447" i="30"/>
  <c r="Q447" i="30"/>
  <c r="E447" i="30"/>
  <c r="G447" i="30" s="1"/>
  <c r="AG446" i="30"/>
  <c r="P446" i="30"/>
  <c r="Q446" i="30" s="1"/>
  <c r="E446" i="30"/>
  <c r="G446" i="30"/>
  <c r="AG445" i="30"/>
  <c r="Q445" i="30"/>
  <c r="E445" i="30"/>
  <c r="G445" i="30" s="1"/>
  <c r="AG444" i="30"/>
  <c r="Q444" i="30"/>
  <c r="E444" i="30"/>
  <c r="G444" i="30"/>
  <c r="AG443" i="30"/>
  <c r="Q443" i="30"/>
  <c r="E443" i="30"/>
  <c r="G443" i="30"/>
  <c r="AG442" i="30"/>
  <c r="Q442" i="30"/>
  <c r="E442" i="30"/>
  <c r="G442" i="30" s="1"/>
  <c r="AG441" i="30"/>
  <c r="Q441" i="30"/>
  <c r="E441" i="30"/>
  <c r="G441" i="30"/>
  <c r="AG440" i="30"/>
  <c r="Q440" i="30"/>
  <c r="E440" i="30"/>
  <c r="G440" i="30"/>
  <c r="AF439" i="30"/>
  <c r="AE439" i="30"/>
  <c r="AC439" i="30"/>
  <c r="AA439" i="30"/>
  <c r="Z439" i="30"/>
  <c r="Y439" i="30"/>
  <c r="X439" i="30"/>
  <c r="X438" i="30"/>
  <c r="W439" i="30"/>
  <c r="V439" i="30"/>
  <c r="U439" i="30"/>
  <c r="T439" i="30"/>
  <c r="T438" i="30" s="1"/>
  <c r="S439" i="30"/>
  <c r="R438" i="30"/>
  <c r="AG436" i="30"/>
  <c r="Q436" i="30"/>
  <c r="Q434" i="30"/>
  <c r="E436" i="30"/>
  <c r="G436" i="30"/>
  <c r="AG435" i="30"/>
  <c r="E435" i="30"/>
  <c r="G435" i="30"/>
  <c r="AF434" i="30"/>
  <c r="AE434" i="30"/>
  <c r="AD434" i="30"/>
  <c r="AC434" i="30"/>
  <c r="AB434" i="30"/>
  <c r="AA434" i="30"/>
  <c r="Z434" i="30"/>
  <c r="Y434" i="30"/>
  <c r="X434" i="30"/>
  <c r="W434" i="30"/>
  <c r="V434" i="30"/>
  <c r="U434" i="30"/>
  <c r="T434" i="30"/>
  <c r="S434" i="30"/>
  <c r="AG433" i="30"/>
  <c r="Q433" i="30"/>
  <c r="G433" i="30"/>
  <c r="AG432" i="30"/>
  <c r="Q432" i="30"/>
  <c r="G432" i="30"/>
  <c r="AG431" i="30"/>
  <c r="Q431" i="30"/>
  <c r="G431" i="30"/>
  <c r="AG430" i="30"/>
  <c r="Q430" i="30"/>
  <c r="G430" i="30"/>
  <c r="AG429" i="30"/>
  <c r="Q429" i="30"/>
  <c r="G429" i="30"/>
  <c r="AF428" i="30"/>
  <c r="AE428" i="30"/>
  <c r="AD428" i="30"/>
  <c r="AC428" i="30"/>
  <c r="AB428" i="30"/>
  <c r="AA428" i="30"/>
  <c r="Z428" i="30"/>
  <c r="Y428" i="30"/>
  <c r="X428" i="30"/>
  <c r="W428" i="30"/>
  <c r="V428" i="30"/>
  <c r="U428" i="30"/>
  <c r="T428" i="30"/>
  <c r="S428" i="30"/>
  <c r="AG427" i="30"/>
  <c r="Q427" i="30"/>
  <c r="G427" i="30"/>
  <c r="AG426" i="30"/>
  <c r="Q426" i="30"/>
  <c r="G426" i="30"/>
  <c r="AG425" i="30"/>
  <c r="Q425" i="30"/>
  <c r="G425" i="30"/>
  <c r="AG424" i="30"/>
  <c r="Q424" i="30"/>
  <c r="G424" i="30"/>
  <c r="AG423" i="30"/>
  <c r="Q423" i="30"/>
  <c r="G423" i="30"/>
  <c r="AG422" i="30"/>
  <c r="Q422" i="30"/>
  <c r="G422" i="30"/>
  <c r="AF421" i="30"/>
  <c r="AE421" i="30"/>
  <c r="AE392" i="30" s="1"/>
  <c r="AD421" i="30"/>
  <c r="AC421" i="30"/>
  <c r="AB421" i="30"/>
  <c r="AA421" i="30"/>
  <c r="Z421" i="30"/>
  <c r="Y421" i="30"/>
  <c r="X421" i="30"/>
  <c r="W421" i="30"/>
  <c r="V421" i="30"/>
  <c r="U421" i="30"/>
  <c r="T421" i="30"/>
  <c r="S421" i="30"/>
  <c r="AG420" i="30"/>
  <c r="Q420" i="30"/>
  <c r="G420" i="30"/>
  <c r="AG419" i="30"/>
  <c r="Q419" i="30"/>
  <c r="G419" i="30"/>
  <c r="AG418" i="30"/>
  <c r="Q418" i="30"/>
  <c r="G418" i="30"/>
  <c r="AG417" i="30"/>
  <c r="Q417" i="30"/>
  <c r="G417" i="30"/>
  <c r="AG416" i="30"/>
  <c r="Q416" i="30"/>
  <c r="G416" i="30"/>
  <c r="AG415" i="30"/>
  <c r="Q415" i="30"/>
  <c r="G415" i="30"/>
  <c r="AG414" i="30"/>
  <c r="Q414" i="30"/>
  <c r="G414" i="30"/>
  <c r="AG413" i="30"/>
  <c r="Q413" i="30"/>
  <c r="G413" i="30"/>
  <c r="AG412" i="30"/>
  <c r="Q412" i="30"/>
  <c r="G412" i="30"/>
  <c r="AG411" i="30"/>
  <c r="Q411" i="30"/>
  <c r="G411" i="30"/>
  <c r="AG410" i="30"/>
  <c r="Q410" i="30"/>
  <c r="G410" i="30"/>
  <c r="AG409" i="30"/>
  <c r="Q409" i="30"/>
  <c r="G409" i="30"/>
  <c r="AG408" i="30"/>
  <c r="Q408" i="30"/>
  <c r="G408" i="30"/>
  <c r="AF407" i="30"/>
  <c r="AE407" i="30"/>
  <c r="AD407" i="30"/>
  <c r="AC407" i="30"/>
  <c r="AB407" i="30"/>
  <c r="AA407" i="30"/>
  <c r="Z407" i="30"/>
  <c r="Y407" i="30"/>
  <c r="X407" i="30"/>
  <c r="X392" i="30" s="1"/>
  <c r="W407" i="30"/>
  <c r="V407" i="30"/>
  <c r="U407" i="30"/>
  <c r="S407" i="30"/>
  <c r="T407" i="30"/>
  <c r="AG406" i="30"/>
  <c r="Q406" i="30"/>
  <c r="G406" i="30"/>
  <c r="AG405" i="30"/>
  <c r="P405" i="30"/>
  <c r="Q405" i="30"/>
  <c r="E405" i="30"/>
  <c r="G405" i="30" s="1"/>
  <c r="AG404" i="30"/>
  <c r="P404" i="30"/>
  <c r="Q404" i="30"/>
  <c r="E404" i="30"/>
  <c r="G404" i="30" s="1"/>
  <c r="AG403" i="30"/>
  <c r="P403" i="30"/>
  <c r="Q403" i="30"/>
  <c r="E403" i="30"/>
  <c r="G403" i="30"/>
  <c r="AG402" i="30"/>
  <c r="P402" i="30"/>
  <c r="Q402" i="30"/>
  <c r="G402" i="30"/>
  <c r="AG401" i="30"/>
  <c r="P401" i="30"/>
  <c r="Q401" i="30" s="1"/>
  <c r="G401" i="30"/>
  <c r="AF400" i="30"/>
  <c r="AE400" i="30"/>
  <c r="AD400" i="30"/>
  <c r="AC400" i="30"/>
  <c r="AC393" i="30"/>
  <c r="AB400" i="30"/>
  <c r="AA400" i="30"/>
  <c r="Z400" i="30"/>
  <c r="Y400" i="30"/>
  <c r="Y393" i="30"/>
  <c r="Y392" i="30"/>
  <c r="X400" i="30"/>
  <c r="W400" i="30"/>
  <c r="V400" i="30"/>
  <c r="U400" i="30"/>
  <c r="U393" i="30"/>
  <c r="U392" i="30" s="1"/>
  <c r="T400" i="30"/>
  <c r="S400" i="30"/>
  <c r="AG399" i="30"/>
  <c r="Q399" i="30"/>
  <c r="Q394" i="30"/>
  <c r="Q395" i="30"/>
  <c r="Q396" i="30"/>
  <c r="Q397" i="30"/>
  <c r="Q398" i="30"/>
  <c r="Q393" i="30"/>
  <c r="AG398" i="30"/>
  <c r="E398" i="30"/>
  <c r="G398" i="30"/>
  <c r="AG397" i="30"/>
  <c r="E397" i="30"/>
  <c r="G397" i="30" s="1"/>
  <c r="AG396" i="30"/>
  <c r="E396" i="30"/>
  <c r="G396" i="30" s="1"/>
  <c r="AG395" i="30"/>
  <c r="E395" i="30"/>
  <c r="G395" i="30"/>
  <c r="AG394" i="30"/>
  <c r="G394" i="30"/>
  <c r="AF393" i="30"/>
  <c r="AE393" i="30"/>
  <c r="AD393" i="30"/>
  <c r="AB393" i="30"/>
  <c r="AA393" i="30"/>
  <c r="Z393" i="30"/>
  <c r="X393" i="30"/>
  <c r="W393" i="30"/>
  <c r="V393" i="30"/>
  <c r="T393" i="30"/>
  <c r="S393" i="30"/>
  <c r="AG391" i="30"/>
  <c r="Q391" i="30"/>
  <c r="G391" i="30"/>
  <c r="AG390" i="30"/>
  <c r="Q390" i="30"/>
  <c r="G390" i="30"/>
  <c r="AG389" i="30"/>
  <c r="Q389" i="30"/>
  <c r="G389" i="30"/>
  <c r="AG388" i="30"/>
  <c r="Q388" i="30"/>
  <c r="G388" i="30"/>
  <c r="AG387" i="30"/>
  <c r="Q387" i="30"/>
  <c r="G387" i="30"/>
  <c r="AG386" i="30"/>
  <c r="Q386" i="30"/>
  <c r="G386" i="30"/>
  <c r="AG385" i="30"/>
  <c r="Q385" i="30"/>
  <c r="G385" i="30"/>
  <c r="AG384" i="30"/>
  <c r="P384" i="30"/>
  <c r="Q384" i="30"/>
  <c r="G384" i="30"/>
  <c r="AG383" i="30"/>
  <c r="P383" i="30"/>
  <c r="Q383" i="30" s="1"/>
  <c r="G383" i="30"/>
  <c r="AG382" i="30"/>
  <c r="Q382" i="30"/>
  <c r="G382" i="30"/>
  <c r="AG381" i="30"/>
  <c r="Q381" i="30"/>
  <c r="G381" i="30"/>
  <c r="AG380" i="30"/>
  <c r="Q380" i="30"/>
  <c r="G380" i="30"/>
  <c r="AG379" i="30"/>
  <c r="Q379" i="30"/>
  <c r="G379" i="30"/>
  <c r="AG378" i="30"/>
  <c r="P378" i="30"/>
  <c r="Q378" i="30" s="1"/>
  <c r="G378" i="30"/>
  <c r="AG377" i="30"/>
  <c r="P377" i="30"/>
  <c r="Q377" i="30"/>
  <c r="G377" i="30"/>
  <c r="AG376" i="30"/>
  <c r="Q376" i="30"/>
  <c r="G376" i="30"/>
  <c r="AG375" i="30"/>
  <c r="Q375" i="30"/>
  <c r="G375" i="30"/>
  <c r="AG374" i="30"/>
  <c r="Q374" i="30"/>
  <c r="G374" i="30"/>
  <c r="AG373" i="30"/>
  <c r="P373" i="30"/>
  <c r="Q373" i="30" s="1"/>
  <c r="G373" i="30"/>
  <c r="AG372" i="30"/>
  <c r="P372" i="30"/>
  <c r="Q372" i="30"/>
  <c r="G372" i="30"/>
  <c r="AG371" i="30"/>
  <c r="Q371" i="30"/>
  <c r="G371" i="30"/>
  <c r="AG370" i="30"/>
  <c r="Q370" i="30"/>
  <c r="G370" i="30"/>
  <c r="AG369" i="30"/>
  <c r="Q369" i="30"/>
  <c r="G369" i="30"/>
  <c r="AG368" i="30"/>
  <c r="Q368" i="30"/>
  <c r="G368" i="30"/>
  <c r="AG367" i="30"/>
  <c r="Q367" i="30"/>
  <c r="G367" i="30"/>
  <c r="AG366" i="30"/>
  <c r="Q366" i="30"/>
  <c r="G366" i="30"/>
  <c r="AG365" i="30"/>
  <c r="P365" i="30"/>
  <c r="Q365" i="30" s="1"/>
  <c r="G365" i="30"/>
  <c r="AG364" i="30"/>
  <c r="P364" i="30"/>
  <c r="Q364" i="30"/>
  <c r="G364" i="30"/>
  <c r="AG363" i="30"/>
  <c r="Q363" i="30"/>
  <c r="E363" i="30"/>
  <c r="G363" i="30"/>
  <c r="AF362" i="30"/>
  <c r="AF361" i="30"/>
  <c r="AE362" i="30"/>
  <c r="AE361" i="30" s="1"/>
  <c r="AD362" i="30"/>
  <c r="AD361" i="30" s="1"/>
  <c r="AC362" i="30"/>
  <c r="AB362" i="30"/>
  <c r="AB361" i="30" s="1"/>
  <c r="AA362" i="30"/>
  <c r="AA361" i="30" s="1"/>
  <c r="Z362" i="30"/>
  <c r="Z361" i="30"/>
  <c r="Y362" i="30"/>
  <c r="Y361" i="30"/>
  <c r="Y360" i="30" s="1"/>
  <c r="X362" i="30"/>
  <c r="X361" i="30"/>
  <c r="W362" i="30"/>
  <c r="W361" i="30"/>
  <c r="V362" i="30"/>
  <c r="U362" i="30"/>
  <c r="U361" i="30" s="1"/>
  <c r="U360" i="30" s="1"/>
  <c r="T362" i="30"/>
  <c r="T361" i="30" s="1"/>
  <c r="S362" i="30"/>
  <c r="S361" i="30" s="1"/>
  <c r="AC361" i="30"/>
  <c r="V361" i="30"/>
  <c r="R361" i="30"/>
  <c r="R360" i="30"/>
  <c r="AG359" i="30"/>
  <c r="Q359" i="30"/>
  <c r="Q358" i="30"/>
  <c r="G359" i="30"/>
  <c r="AF358" i="30"/>
  <c r="AE358" i="30"/>
  <c r="AD358" i="30"/>
  <c r="AC358" i="30"/>
  <c r="AB358" i="30"/>
  <c r="AA358" i="30"/>
  <c r="Z358" i="30"/>
  <c r="Y358" i="30"/>
  <c r="X358" i="30"/>
  <c r="W358" i="30"/>
  <c r="V358" i="30"/>
  <c r="U358" i="30"/>
  <c r="T358" i="30"/>
  <c r="S358" i="30"/>
  <c r="AG357" i="30"/>
  <c r="Q357" i="30"/>
  <c r="G357" i="30"/>
  <c r="AF356" i="30"/>
  <c r="AE356" i="30"/>
  <c r="AD356" i="30"/>
  <c r="AC356" i="30"/>
  <c r="AB356" i="30"/>
  <c r="AA356" i="30"/>
  <c r="Z356" i="30"/>
  <c r="Y356" i="30"/>
  <c r="X356" i="30"/>
  <c r="W356" i="30"/>
  <c r="V356" i="30"/>
  <c r="U356" i="30"/>
  <c r="T356" i="30"/>
  <c r="S356" i="30"/>
  <c r="Q356" i="30"/>
  <c r="AG355" i="30"/>
  <c r="Q355" i="30"/>
  <c r="Q354" i="30"/>
  <c r="Q353" i="30" s="1"/>
  <c r="G355" i="30"/>
  <c r="AG354" i="30"/>
  <c r="G354" i="30"/>
  <c r="AF353" i="30"/>
  <c r="AE353" i="30"/>
  <c r="AD353" i="30"/>
  <c r="AC353" i="30"/>
  <c r="AB353" i="30"/>
  <c r="AA353" i="30"/>
  <c r="Z353" i="30"/>
  <c r="Y353" i="30"/>
  <c r="X353" i="30"/>
  <c r="W353" i="30"/>
  <c r="V353" i="30"/>
  <c r="U353" i="30"/>
  <c r="T353" i="30"/>
  <c r="S353" i="30"/>
  <c r="AG352" i="30"/>
  <c r="Q352" i="30"/>
  <c r="G352" i="30"/>
  <c r="AG351" i="30"/>
  <c r="Q351" i="30"/>
  <c r="G351" i="30"/>
  <c r="AG350" i="30"/>
  <c r="Q350" i="30"/>
  <c r="G350" i="30"/>
  <c r="AF349" i="30"/>
  <c r="AE349" i="30"/>
  <c r="AD349" i="30"/>
  <c r="AC349" i="30"/>
  <c r="AB349" i="30"/>
  <c r="AA349" i="30"/>
  <c r="Z349" i="30"/>
  <c r="Y349" i="30"/>
  <c r="X349" i="30"/>
  <c r="W349" i="30"/>
  <c r="V349" i="30"/>
  <c r="U349" i="30"/>
  <c r="T349" i="30"/>
  <c r="S349" i="30"/>
  <c r="AG348" i="30"/>
  <c r="Q348" i="30"/>
  <c r="G348" i="30"/>
  <c r="AG347" i="30"/>
  <c r="Q347" i="30"/>
  <c r="G347" i="30"/>
  <c r="AF346" i="30"/>
  <c r="AE346" i="30"/>
  <c r="AD346" i="30"/>
  <c r="AC346" i="30"/>
  <c r="AB346" i="30"/>
  <c r="AA346" i="30"/>
  <c r="Z346" i="30"/>
  <c r="Y346" i="30"/>
  <c r="X346" i="30"/>
  <c r="W346" i="30"/>
  <c r="V346" i="30"/>
  <c r="U346" i="30"/>
  <c r="T346" i="30"/>
  <c r="S346" i="30"/>
  <c r="AG344" i="30"/>
  <c r="Q344" i="30"/>
  <c r="AG343" i="30"/>
  <c r="Q343" i="30"/>
  <c r="Q342" i="30"/>
  <c r="AF342" i="30"/>
  <c r="AE342" i="30"/>
  <c r="AD342" i="30"/>
  <c r="AC342" i="30"/>
  <c r="AB342" i="30"/>
  <c r="AA342" i="30"/>
  <c r="Z342" i="30"/>
  <c r="Y342" i="30"/>
  <c r="X342" i="30"/>
  <c r="W342" i="30"/>
  <c r="V342" i="30"/>
  <c r="U342" i="30"/>
  <c r="T342" i="30"/>
  <c r="S342" i="30"/>
  <c r="AG341" i="30"/>
  <c r="Q341" i="30"/>
  <c r="AG340" i="30"/>
  <c r="Q340" i="30"/>
  <c r="AG339" i="30"/>
  <c r="Q339" i="30"/>
  <c r="AG338" i="30"/>
  <c r="Q338" i="30"/>
  <c r="AG337" i="30"/>
  <c r="Q337" i="30"/>
  <c r="AG336" i="30"/>
  <c r="Q336" i="30"/>
  <c r="AG335" i="30"/>
  <c r="Q335" i="30"/>
  <c r="AG334" i="30"/>
  <c r="Q334" i="30"/>
  <c r="AG333" i="30"/>
  <c r="Q333" i="30"/>
  <c r="AG332" i="30"/>
  <c r="Q332" i="30"/>
  <c r="AG331" i="30"/>
  <c r="Q331" i="30"/>
  <c r="AG330" i="30"/>
  <c r="Q330" i="30"/>
  <c r="G330" i="30"/>
  <c r="AG329" i="30"/>
  <c r="Q329" i="30"/>
  <c r="G329" i="30"/>
  <c r="AG328" i="30"/>
  <c r="Q328" i="30"/>
  <c r="G328" i="30"/>
  <c r="AG327" i="30"/>
  <c r="Q327" i="30"/>
  <c r="AG326" i="30"/>
  <c r="Q326" i="30"/>
  <c r="AF325" i="30"/>
  <c r="AE325" i="30"/>
  <c r="AD325" i="30"/>
  <c r="AC325" i="30"/>
  <c r="AB325" i="30"/>
  <c r="AA325" i="30"/>
  <c r="Z325" i="30"/>
  <c r="Y325" i="30"/>
  <c r="X325" i="30"/>
  <c r="W325" i="30"/>
  <c r="V325" i="30"/>
  <c r="U325" i="30"/>
  <c r="T325" i="30"/>
  <c r="S325" i="30"/>
  <c r="AG324" i="30"/>
  <c r="Q324" i="30"/>
  <c r="AG323" i="30"/>
  <c r="Q323" i="30"/>
  <c r="AG322" i="30"/>
  <c r="Q322" i="30"/>
  <c r="G322" i="30"/>
  <c r="AG321" i="30"/>
  <c r="Q321" i="30"/>
  <c r="G321" i="30"/>
  <c r="AG320" i="30"/>
  <c r="Q320" i="30"/>
  <c r="G320" i="30"/>
  <c r="AG319" i="30"/>
  <c r="Q319" i="30"/>
  <c r="G319" i="30"/>
  <c r="AG318" i="30"/>
  <c r="Q318" i="30"/>
  <c r="AG317" i="30"/>
  <c r="Q317" i="30"/>
  <c r="E317" i="30"/>
  <c r="AG316" i="30"/>
  <c r="Q316" i="30"/>
  <c r="AG315" i="30"/>
  <c r="Q315" i="30"/>
  <c r="E315" i="30"/>
  <c r="AG314" i="30"/>
  <c r="Q314" i="30"/>
  <c r="AF313" i="30"/>
  <c r="AF303" i="30"/>
  <c r="AF302" i="30" s="1"/>
  <c r="AE313" i="30"/>
  <c r="AD313" i="30"/>
  <c r="AC313" i="30"/>
  <c r="AB313" i="30"/>
  <c r="AB303" i="30"/>
  <c r="AB302" i="30" s="1"/>
  <c r="AA313" i="30"/>
  <c r="Z313" i="30"/>
  <c r="Y313" i="30"/>
  <c r="X313" i="30"/>
  <c r="X303" i="30"/>
  <c r="W313" i="30"/>
  <c r="V313" i="30"/>
  <c r="U313" i="30"/>
  <c r="T313" i="30"/>
  <c r="T303" i="30"/>
  <c r="T302" i="30" s="1"/>
  <c r="S313" i="30"/>
  <c r="AG312" i="30"/>
  <c r="Q312" i="30"/>
  <c r="AG311" i="30"/>
  <c r="Q311" i="30"/>
  <c r="AG310" i="30"/>
  <c r="Q310" i="30"/>
  <c r="AG309" i="30"/>
  <c r="Q309" i="30"/>
  <c r="AG308" i="30"/>
  <c r="Q308" i="30"/>
  <c r="AG307" i="30"/>
  <c r="Q307" i="30"/>
  <c r="AG306" i="30"/>
  <c r="Q306" i="30"/>
  <c r="AG305" i="30"/>
  <c r="Q305" i="30"/>
  <c r="AG304" i="30"/>
  <c r="Q304" i="30"/>
  <c r="G304" i="30"/>
  <c r="G305" i="30"/>
  <c r="AE303" i="30"/>
  <c r="AD303" i="30"/>
  <c r="AC303" i="30"/>
  <c r="AA303" i="30"/>
  <c r="Z303" i="30"/>
  <c r="Y303" i="30"/>
  <c r="W303" i="30"/>
  <c r="V303" i="30"/>
  <c r="U303" i="30"/>
  <c r="S303" i="30"/>
  <c r="AA302" i="30"/>
  <c r="R302" i="30"/>
  <c r="AG301" i="30"/>
  <c r="Q301" i="30"/>
  <c r="G301" i="30"/>
  <c r="AG300" i="30"/>
  <c r="Q300" i="30"/>
  <c r="G300" i="30"/>
  <c r="AG299" i="30"/>
  <c r="Q299" i="30"/>
  <c r="G299" i="30"/>
  <c r="AG298" i="30"/>
  <c r="Q298" i="30"/>
  <c r="G298" i="30"/>
  <c r="AG297" i="30"/>
  <c r="Q297" i="30"/>
  <c r="G297" i="30"/>
  <c r="AG296" i="30"/>
  <c r="Q296" i="30"/>
  <c r="G296" i="30"/>
  <c r="AG295" i="30"/>
  <c r="Q295" i="30"/>
  <c r="G295" i="30"/>
  <c r="AG294" i="30"/>
  <c r="Q294" i="30"/>
  <c r="G294" i="30"/>
  <c r="AG293" i="30"/>
  <c r="Q293" i="30"/>
  <c r="G293" i="30"/>
  <c r="AG292" i="30"/>
  <c r="Q292" i="30"/>
  <c r="G292" i="30"/>
  <c r="AG291" i="30"/>
  <c r="Q291" i="30"/>
  <c r="G291" i="30"/>
  <c r="AG290" i="30"/>
  <c r="Q290" i="30"/>
  <c r="G290" i="30"/>
  <c r="AG289" i="30"/>
  <c r="Q289" i="30"/>
  <c r="G289" i="30"/>
  <c r="AG288" i="30"/>
  <c r="Q288" i="30"/>
  <c r="G288" i="30"/>
  <c r="AG287" i="30"/>
  <c r="Q287" i="30"/>
  <c r="G287" i="30"/>
  <c r="AG286" i="30"/>
  <c r="Q286" i="30"/>
  <c r="G286" i="30"/>
  <c r="AG285" i="30"/>
  <c r="Q285" i="30"/>
  <c r="G285" i="30"/>
  <c r="AG284" i="30"/>
  <c r="Q284" i="30"/>
  <c r="G284" i="30"/>
  <c r="AF283" i="30"/>
  <c r="AE283" i="30"/>
  <c r="AD283" i="30"/>
  <c r="AC283" i="30"/>
  <c r="AB283" i="30"/>
  <c r="AA283" i="30"/>
  <c r="Z283" i="30"/>
  <c r="Y283" i="30"/>
  <c r="X283" i="30"/>
  <c r="W283" i="30"/>
  <c r="V283" i="30"/>
  <c r="U283" i="30"/>
  <c r="T283" i="30"/>
  <c r="S283" i="30"/>
  <c r="AG282" i="30"/>
  <c r="Q282" i="30"/>
  <c r="G282" i="30"/>
  <c r="AG281" i="30"/>
  <c r="Q281" i="30"/>
  <c r="G281" i="30"/>
  <c r="AG280" i="30"/>
  <c r="Q280" i="30"/>
  <c r="G280" i="30"/>
  <c r="AG279" i="30"/>
  <c r="Q279" i="30"/>
  <c r="G279" i="30"/>
  <c r="AG278" i="30"/>
  <c r="Q278" i="30"/>
  <c r="G278" i="30"/>
  <c r="AG277" i="30"/>
  <c r="Q277" i="30"/>
  <c r="G277" i="30"/>
  <c r="AG276" i="30"/>
  <c r="Q276" i="30"/>
  <c r="G276" i="30"/>
  <c r="AG275" i="30"/>
  <c r="Q275" i="30"/>
  <c r="G275" i="30"/>
  <c r="AG274" i="30"/>
  <c r="Q274" i="30"/>
  <c r="G274" i="30"/>
  <c r="AG273" i="30"/>
  <c r="Q273" i="30"/>
  <c r="G273" i="30"/>
  <c r="AG272" i="30"/>
  <c r="Q272" i="30"/>
  <c r="G272" i="30"/>
  <c r="AG271" i="30"/>
  <c r="Q271" i="30"/>
  <c r="G271" i="30"/>
  <c r="AG270" i="30"/>
  <c r="Q270" i="30"/>
  <c r="G270" i="30"/>
  <c r="AG269" i="30"/>
  <c r="Q269" i="30"/>
  <c r="G269" i="30"/>
  <c r="AG268" i="30"/>
  <c r="Q268" i="30"/>
  <c r="G268" i="30"/>
  <c r="AG267" i="30"/>
  <c r="Q267" i="30"/>
  <c r="G267" i="30"/>
  <c r="AG266" i="30"/>
  <c r="Q266" i="30"/>
  <c r="G266" i="30"/>
  <c r="AG265" i="30"/>
  <c r="Q265" i="30"/>
  <c r="G265" i="30"/>
  <c r="AF264" i="30"/>
  <c r="AE264" i="30"/>
  <c r="AD264" i="30"/>
  <c r="AC264" i="30"/>
  <c r="AB264" i="30"/>
  <c r="AA264" i="30"/>
  <c r="Z264" i="30"/>
  <c r="Y264" i="30"/>
  <c r="X264" i="30"/>
  <c r="W264" i="30"/>
  <c r="V264" i="30"/>
  <c r="U264" i="30"/>
  <c r="T264" i="30"/>
  <c r="S264" i="30"/>
  <c r="AG263" i="30"/>
  <c r="Q263" i="30"/>
  <c r="G263" i="30"/>
  <c r="AG262" i="30"/>
  <c r="Q262" i="30"/>
  <c r="G262" i="30"/>
  <c r="AG261" i="30"/>
  <c r="Q261" i="30"/>
  <c r="G261" i="30"/>
  <c r="AG260" i="30"/>
  <c r="Q260" i="30"/>
  <c r="G260" i="30"/>
  <c r="AG259" i="30"/>
  <c r="Q259" i="30"/>
  <c r="G259" i="30"/>
  <c r="AG258" i="30"/>
  <c r="Q258" i="30"/>
  <c r="G258" i="30"/>
  <c r="AG257" i="30"/>
  <c r="Q257" i="30"/>
  <c r="G257" i="30"/>
  <c r="AG256" i="30"/>
  <c r="Q256" i="30"/>
  <c r="G256" i="30"/>
  <c r="AG255" i="30"/>
  <c r="Q255" i="30"/>
  <c r="G255" i="30"/>
  <c r="AG254" i="30"/>
  <c r="Q254" i="30"/>
  <c r="G254" i="30"/>
  <c r="AG253" i="30"/>
  <c r="Q253" i="30"/>
  <c r="G253" i="30"/>
  <c r="AG252" i="30"/>
  <c r="Q252" i="30"/>
  <c r="G252" i="30"/>
  <c r="AG251" i="30"/>
  <c r="Q251" i="30"/>
  <c r="G251" i="30"/>
  <c r="AG250" i="30"/>
  <c r="Q250" i="30"/>
  <c r="G250" i="30"/>
  <c r="AG249" i="30"/>
  <c r="Q249" i="30"/>
  <c r="G249" i="30"/>
  <c r="AG248" i="30"/>
  <c r="Q248" i="30"/>
  <c r="G248" i="30"/>
  <c r="AG247" i="30"/>
  <c r="Q247" i="30"/>
  <c r="G247" i="30"/>
  <c r="AG246" i="30"/>
  <c r="Q246" i="30"/>
  <c r="G246" i="30"/>
  <c r="AF245" i="30"/>
  <c r="AE245" i="30"/>
  <c r="AD245" i="30"/>
  <c r="AC245" i="30"/>
  <c r="AB245" i="30"/>
  <c r="AA245" i="30"/>
  <c r="Z245" i="30"/>
  <c r="Y245" i="30"/>
  <c r="X245" i="30"/>
  <c r="X223" i="30" s="1"/>
  <c r="W245" i="30"/>
  <c r="V245" i="30"/>
  <c r="U245" i="30"/>
  <c r="T245" i="30"/>
  <c r="S245" i="30"/>
  <c r="AG244" i="30"/>
  <c r="Q244" i="30"/>
  <c r="Q233" i="30" s="1"/>
  <c r="G244" i="30"/>
  <c r="AG243" i="30"/>
  <c r="Q243" i="30"/>
  <c r="G243" i="30"/>
  <c r="AG242" i="30"/>
  <c r="Q242" i="30"/>
  <c r="G242" i="30"/>
  <c r="AG241" i="30"/>
  <c r="Q241" i="30"/>
  <c r="G241" i="30"/>
  <c r="AG240" i="30"/>
  <c r="G240" i="30"/>
  <c r="AG239" i="30"/>
  <c r="G239" i="30"/>
  <c r="AG238" i="30"/>
  <c r="G238" i="30"/>
  <c r="AG237" i="30"/>
  <c r="G237" i="30"/>
  <c r="AG236" i="30"/>
  <c r="G236" i="30"/>
  <c r="AG235" i="30"/>
  <c r="G235" i="30"/>
  <c r="AG234" i="30"/>
  <c r="G234" i="30"/>
  <c r="AF233" i="30"/>
  <c r="AE233" i="30"/>
  <c r="AD233" i="30"/>
  <c r="AC233" i="30"/>
  <c r="AC224" i="30"/>
  <c r="AC223" i="30" s="1"/>
  <c r="AB233" i="30"/>
  <c r="AA233" i="30"/>
  <c r="Z233" i="30"/>
  <c r="Y233" i="30"/>
  <c r="X233" i="30"/>
  <c r="W233" i="30"/>
  <c r="V233" i="30"/>
  <c r="U233" i="30"/>
  <c r="T233" i="30"/>
  <c r="S233" i="30"/>
  <c r="S224" i="30"/>
  <c r="S223" i="30" s="1"/>
  <c r="AG232" i="30"/>
  <c r="Q232" i="30"/>
  <c r="G232" i="30"/>
  <c r="AG231" i="30"/>
  <c r="Q231" i="30"/>
  <c r="G231" i="30"/>
  <c r="AG230" i="30"/>
  <c r="Q230" i="30"/>
  <c r="G230" i="30"/>
  <c r="AG229" i="30"/>
  <c r="Q229" i="30"/>
  <c r="G229" i="30"/>
  <c r="AG228" i="30"/>
  <c r="Q228" i="30"/>
  <c r="G228" i="30"/>
  <c r="AG227" i="30"/>
  <c r="Q227" i="30"/>
  <c r="G227" i="30"/>
  <c r="AG226" i="30"/>
  <c r="Q226" i="30"/>
  <c r="G226" i="30"/>
  <c r="AG225" i="30"/>
  <c r="Q225" i="30"/>
  <c r="G225" i="30"/>
  <c r="AF224" i="30"/>
  <c r="AE224" i="30"/>
  <c r="AD224" i="30"/>
  <c r="AB224" i="30"/>
  <c r="AA224" i="30"/>
  <c r="Z224" i="30"/>
  <c r="Z223" i="30" s="1"/>
  <c r="Y224" i="30"/>
  <c r="X224" i="30"/>
  <c r="W224" i="30"/>
  <c r="W223" i="30" s="1"/>
  <c r="V224" i="30"/>
  <c r="U224" i="30"/>
  <c r="T224" i="30"/>
  <c r="AE223" i="30"/>
  <c r="R223" i="30"/>
  <c r="AG221" i="30"/>
  <c r="Q221" i="30"/>
  <c r="AG220" i="30"/>
  <c r="Q220" i="30"/>
  <c r="AG219" i="30"/>
  <c r="Q219" i="30"/>
  <c r="G219" i="30"/>
  <c r="AG218" i="30"/>
  <c r="Q218" i="30"/>
  <c r="G218" i="30"/>
  <c r="AG217" i="30"/>
  <c r="Q217" i="30"/>
  <c r="G217" i="30"/>
  <c r="AG216" i="30"/>
  <c r="Q216" i="30"/>
  <c r="G216" i="30"/>
  <c r="AG215" i="30"/>
  <c r="Q215" i="30"/>
  <c r="G215" i="30"/>
  <c r="AG214" i="30"/>
  <c r="Q214" i="30"/>
  <c r="G214" i="30"/>
  <c r="AG213" i="30"/>
  <c r="Q213" i="30"/>
  <c r="G213" i="30"/>
  <c r="AG212" i="30"/>
  <c r="Q212" i="30"/>
  <c r="AG211" i="30"/>
  <c r="Q211" i="30"/>
  <c r="AG210" i="30"/>
  <c r="Q210" i="30"/>
  <c r="G210" i="30"/>
  <c r="AG209" i="30"/>
  <c r="Q209" i="30"/>
  <c r="G209" i="30"/>
  <c r="AG208" i="30"/>
  <c r="Q208" i="30"/>
  <c r="G208" i="30"/>
  <c r="AG207" i="30"/>
  <c r="Q207" i="30"/>
  <c r="G207" i="30"/>
  <c r="AG206" i="30"/>
  <c r="Q206" i="30"/>
  <c r="G206" i="30"/>
  <c r="AG205" i="30"/>
  <c r="Q205" i="30"/>
  <c r="G205" i="30"/>
  <c r="AG204" i="30"/>
  <c r="Q204" i="30"/>
  <c r="G204" i="30"/>
  <c r="AG203" i="30"/>
  <c r="Q203" i="30"/>
  <c r="AG202" i="30"/>
  <c r="Q202" i="30"/>
  <c r="G202" i="30"/>
  <c r="AG201" i="30"/>
  <c r="Q201" i="30"/>
  <c r="G201" i="30"/>
  <c r="AG200" i="30"/>
  <c r="Q200" i="30"/>
  <c r="G200" i="30"/>
  <c r="AG199" i="30"/>
  <c r="Q199" i="30"/>
  <c r="G199" i="30"/>
  <c r="AG198" i="30"/>
  <c r="Q198" i="30"/>
  <c r="G198" i="30"/>
  <c r="AG197" i="30"/>
  <c r="Q197" i="30"/>
  <c r="G197" i="30"/>
  <c r="AG196" i="30"/>
  <c r="Q196" i="30"/>
  <c r="G196" i="30"/>
  <c r="AG195" i="30"/>
  <c r="Q195" i="30"/>
  <c r="AG194" i="30"/>
  <c r="Q194" i="30"/>
  <c r="AG193" i="30"/>
  <c r="Q193" i="30"/>
  <c r="AG192" i="30"/>
  <c r="Q192" i="30"/>
  <c r="G192" i="30"/>
  <c r="AG191" i="30"/>
  <c r="Q191" i="30"/>
  <c r="G191" i="30"/>
  <c r="AG190" i="30"/>
  <c r="Q190" i="30"/>
  <c r="G190" i="30"/>
  <c r="AG189" i="30"/>
  <c r="Q189" i="30"/>
  <c r="G189" i="30"/>
  <c r="AG188" i="30"/>
  <c r="Q188" i="30"/>
  <c r="G188" i="30"/>
  <c r="AG187" i="30"/>
  <c r="Q187" i="30"/>
  <c r="G187" i="30"/>
  <c r="AG186" i="30"/>
  <c r="Q186" i="30"/>
  <c r="G186" i="30"/>
  <c r="AG185" i="30"/>
  <c r="Q185" i="30"/>
  <c r="AG184" i="30"/>
  <c r="Q184" i="30"/>
  <c r="G184" i="30"/>
  <c r="AG183" i="30"/>
  <c r="Q183" i="30"/>
  <c r="G183" i="30"/>
  <c r="AG182" i="30"/>
  <c r="Q182" i="30"/>
  <c r="G182" i="30"/>
  <c r="AG181" i="30"/>
  <c r="Q181" i="30"/>
  <c r="AG180" i="30"/>
  <c r="Q180" i="30"/>
  <c r="AG179" i="30"/>
  <c r="Q179" i="30"/>
  <c r="G179" i="30"/>
  <c r="AG178" i="30"/>
  <c r="Q178" i="30"/>
  <c r="G178" i="30"/>
  <c r="AG177" i="30"/>
  <c r="Q177" i="30"/>
  <c r="G177" i="30"/>
  <c r="AG176" i="30"/>
  <c r="Q176" i="30"/>
  <c r="G176" i="30"/>
  <c r="AG175" i="30"/>
  <c r="Q175" i="30"/>
  <c r="G175" i="30"/>
  <c r="AG174" i="30"/>
  <c r="Q174" i="30"/>
  <c r="G174" i="30"/>
  <c r="AG173" i="30"/>
  <c r="Q173" i="30"/>
  <c r="G173" i="30"/>
  <c r="AG172" i="30"/>
  <c r="Q172" i="30"/>
  <c r="AG171" i="30"/>
  <c r="Q171" i="30"/>
  <c r="AG170" i="30"/>
  <c r="Q170" i="30"/>
  <c r="G170" i="30"/>
  <c r="AG169" i="30"/>
  <c r="Q169" i="30"/>
  <c r="G169" i="30"/>
  <c r="AG168" i="30"/>
  <c r="Q168" i="30"/>
  <c r="G168" i="30"/>
  <c r="AG167" i="30"/>
  <c r="Q167" i="30"/>
  <c r="G167" i="30"/>
  <c r="AG166" i="30"/>
  <c r="Q166" i="30"/>
  <c r="G166" i="30"/>
  <c r="AG165" i="30"/>
  <c r="Q165" i="30"/>
  <c r="G165" i="30"/>
  <c r="AG164" i="30"/>
  <c r="Q164" i="30"/>
  <c r="G164" i="30"/>
  <c r="AG163" i="30"/>
  <c r="Q163" i="30"/>
  <c r="AG162" i="30"/>
  <c r="Q162" i="30"/>
  <c r="AG161" i="30"/>
  <c r="Q161" i="30"/>
  <c r="G161" i="30"/>
  <c r="AG160" i="30"/>
  <c r="Q160" i="30"/>
  <c r="G160" i="30"/>
  <c r="AG159" i="30"/>
  <c r="Q159" i="30"/>
  <c r="G159" i="30"/>
  <c r="AG158" i="30"/>
  <c r="Q158" i="30"/>
  <c r="G158" i="30"/>
  <c r="AG157" i="30"/>
  <c r="Q157" i="30"/>
  <c r="G157" i="30"/>
  <c r="AG156" i="30"/>
  <c r="Q156" i="30"/>
  <c r="Q155" i="30"/>
  <c r="G156" i="30"/>
  <c r="AG155" i="30"/>
  <c r="G155" i="30"/>
  <c r="AF154" i="30"/>
  <c r="AE154" i="30"/>
  <c r="AD154" i="30"/>
  <c r="AC154" i="30"/>
  <c r="AB154" i="30"/>
  <c r="AB90" i="30"/>
  <c r="AB89" i="30" s="1"/>
  <c r="AA154" i="30"/>
  <c r="Z154" i="30"/>
  <c r="Y154" i="30"/>
  <c r="X154" i="30"/>
  <c r="X89" i="30" s="1"/>
  <c r="W154" i="30"/>
  <c r="V154" i="30"/>
  <c r="U154" i="30"/>
  <c r="T154" i="30"/>
  <c r="T90" i="30"/>
  <c r="T89" i="30" s="1"/>
  <c r="S154" i="30"/>
  <c r="AG153" i="30"/>
  <c r="E153" i="30"/>
  <c r="AG152" i="30"/>
  <c r="E152" i="30"/>
  <c r="AG151" i="30"/>
  <c r="Q151" i="30"/>
  <c r="E151" i="30"/>
  <c r="AG150" i="30"/>
  <c r="P150" i="30"/>
  <c r="Q150" i="30"/>
  <c r="E150" i="30"/>
  <c r="AG149" i="30"/>
  <c r="Q149" i="30"/>
  <c r="E149" i="30"/>
  <c r="AG148" i="30"/>
  <c r="Q148" i="30"/>
  <c r="E148" i="30"/>
  <c r="AG147" i="30"/>
  <c r="Q147" i="30"/>
  <c r="E147" i="30"/>
  <c r="AG146" i="30"/>
  <c r="Q146" i="30"/>
  <c r="E146" i="30"/>
  <c r="AG145" i="30"/>
  <c r="Q145" i="30"/>
  <c r="E145" i="30"/>
  <c r="AG144" i="30"/>
  <c r="Q144" i="30"/>
  <c r="E144" i="30"/>
  <c r="AG143" i="30"/>
  <c r="Q143" i="30"/>
  <c r="E143" i="30"/>
  <c r="AG142" i="30"/>
  <c r="Q142" i="30"/>
  <c r="E142" i="30"/>
  <c r="AG141" i="30"/>
  <c r="Q141" i="30"/>
  <c r="E141" i="30"/>
  <c r="AG140" i="30"/>
  <c r="Q140" i="30"/>
  <c r="E140" i="30"/>
  <c r="AG139" i="30"/>
  <c r="Q139" i="30"/>
  <c r="E139" i="30"/>
  <c r="AG138" i="30"/>
  <c r="Q138" i="30"/>
  <c r="E138" i="30"/>
  <c r="AG137" i="30"/>
  <c r="Q137" i="30"/>
  <c r="E137" i="30"/>
  <c r="AG136" i="30"/>
  <c r="Q136" i="30"/>
  <c r="G136" i="30"/>
  <c r="E136" i="30" s="1"/>
  <c r="AG135" i="30"/>
  <c r="Q135" i="30"/>
  <c r="G135" i="30"/>
  <c r="E135" i="30"/>
  <c r="AG134" i="30"/>
  <c r="Q134" i="30"/>
  <c r="G134" i="30"/>
  <c r="E134" i="30" s="1"/>
  <c r="AG133" i="30"/>
  <c r="Q133" i="30"/>
  <c r="G133" i="30"/>
  <c r="E133" i="30" s="1"/>
  <c r="AG132" i="30"/>
  <c r="Q132" i="30"/>
  <c r="G132" i="30"/>
  <c r="E132" i="30"/>
  <c r="AG131" i="30"/>
  <c r="Q131" i="30"/>
  <c r="G131" i="30"/>
  <c r="E131" i="30" s="1"/>
  <c r="AG130" i="30"/>
  <c r="Q130" i="30"/>
  <c r="G130" i="30"/>
  <c r="E130" i="30" s="1"/>
  <c r="AG129" i="30"/>
  <c r="Q129" i="30"/>
  <c r="G129" i="30"/>
  <c r="E129" i="30"/>
  <c r="AG128" i="30"/>
  <c r="Q128" i="30"/>
  <c r="G128" i="30"/>
  <c r="E128" i="30" s="1"/>
  <c r="AG127" i="30"/>
  <c r="Q127" i="30"/>
  <c r="G127" i="30"/>
  <c r="E127" i="30" s="1"/>
  <c r="AG126" i="30"/>
  <c r="Q126" i="30"/>
  <c r="G126" i="30"/>
  <c r="E126" i="30"/>
  <c r="AG125" i="30"/>
  <c r="Q125" i="30"/>
  <c r="G125" i="30"/>
  <c r="E125" i="30" s="1"/>
  <c r="AG124" i="30"/>
  <c r="Q124" i="30"/>
  <c r="G124" i="30"/>
  <c r="E124" i="30" s="1"/>
  <c r="AG123" i="30"/>
  <c r="Q123" i="30"/>
  <c r="AG122" i="30"/>
  <c r="Q122" i="30"/>
  <c r="E122" i="30"/>
  <c r="AG121" i="30"/>
  <c r="Q121" i="30"/>
  <c r="E121" i="30"/>
  <c r="AG120" i="30"/>
  <c r="Q120" i="30"/>
  <c r="E120" i="30"/>
  <c r="AG119" i="30"/>
  <c r="Q119" i="30"/>
  <c r="E119" i="30"/>
  <c r="AG118" i="30"/>
  <c r="Q118" i="30"/>
  <c r="E118" i="30"/>
  <c r="AG117" i="30"/>
  <c r="Q117" i="30"/>
  <c r="E117" i="30"/>
  <c r="AG116" i="30"/>
  <c r="Q116" i="30"/>
  <c r="E116" i="30"/>
  <c r="AG115" i="30"/>
  <c r="Q115" i="30"/>
  <c r="E115" i="30"/>
  <c r="AG114" i="30"/>
  <c r="Q114" i="30"/>
  <c r="E114" i="30"/>
  <c r="AG113" i="30"/>
  <c r="Q113" i="30"/>
  <c r="E113" i="30"/>
  <c r="AG112" i="30"/>
  <c r="Q112" i="30"/>
  <c r="E112" i="30"/>
  <c r="AG111" i="30"/>
  <c r="Q111" i="30"/>
  <c r="G111" i="30"/>
  <c r="E111" i="30" s="1"/>
  <c r="AG110" i="30"/>
  <c r="Q110" i="30"/>
  <c r="G110" i="30"/>
  <c r="E110" i="30" s="1"/>
  <c r="AG109" i="30"/>
  <c r="Q109" i="30"/>
  <c r="G109" i="30"/>
  <c r="E109" i="30"/>
  <c r="AG108" i="30"/>
  <c r="Q108" i="30"/>
  <c r="G108" i="30"/>
  <c r="E108" i="30" s="1"/>
  <c r="AG107" i="30"/>
  <c r="Q107" i="30"/>
  <c r="G107" i="30"/>
  <c r="E107" i="30" s="1"/>
  <c r="AG106" i="30"/>
  <c r="Q106" i="30"/>
  <c r="G106" i="30"/>
  <c r="E106" i="30"/>
  <c r="AG105" i="30"/>
  <c r="Q105" i="30"/>
  <c r="G105" i="30"/>
  <c r="E105" i="30" s="1"/>
  <c r="AG104" i="30"/>
  <c r="Q104" i="30"/>
  <c r="G104" i="30"/>
  <c r="E104" i="30" s="1"/>
  <c r="AG103" i="30"/>
  <c r="Q103" i="30"/>
  <c r="G103" i="30"/>
  <c r="E103" i="30"/>
  <c r="AG102" i="30"/>
  <c r="Q102" i="30"/>
  <c r="AG101" i="30"/>
  <c r="Q101" i="30"/>
  <c r="AG100" i="30"/>
  <c r="Q100" i="30"/>
  <c r="AG99" i="30"/>
  <c r="Q99" i="30"/>
  <c r="AG98" i="30"/>
  <c r="Q98" i="30"/>
  <c r="AG97" i="30"/>
  <c r="Q97" i="30"/>
  <c r="AG96" i="30"/>
  <c r="Q96" i="30"/>
  <c r="AG95" i="30"/>
  <c r="Q95" i="30"/>
  <c r="AG94" i="30"/>
  <c r="Q94" i="30"/>
  <c r="AG93" i="30"/>
  <c r="Q93" i="30"/>
  <c r="F92" i="30"/>
  <c r="E92" i="30" s="1"/>
  <c r="F93" i="30"/>
  <c r="E93" i="30" s="1"/>
  <c r="AG92" i="30"/>
  <c r="Q92" i="30"/>
  <c r="AG91" i="30"/>
  <c r="Q91" i="30"/>
  <c r="E91" i="30"/>
  <c r="AF90" i="30"/>
  <c r="AE90" i="30"/>
  <c r="AE89" i="30" s="1"/>
  <c r="AD90" i="30"/>
  <c r="AD89" i="30"/>
  <c r="AC90" i="30"/>
  <c r="AA90" i="30"/>
  <c r="AA89" i="30" s="1"/>
  <c r="Z90" i="30"/>
  <c r="Z89" i="30" s="1"/>
  <c r="Y90" i="30"/>
  <c r="X90" i="30"/>
  <c r="W90" i="30"/>
  <c r="W89" i="30" s="1"/>
  <c r="W7" i="30" s="1"/>
  <c r="V90" i="30"/>
  <c r="V89" i="30" s="1"/>
  <c r="U90" i="30"/>
  <c r="S90" i="30"/>
  <c r="S89" i="30" s="1"/>
  <c r="AF89" i="30"/>
  <c r="AG88" i="30"/>
  <c r="Q88" i="30"/>
  <c r="G88" i="30"/>
  <c r="AG87" i="30"/>
  <c r="Q87" i="30"/>
  <c r="G87" i="30"/>
  <c r="AG86" i="30"/>
  <c r="Q86" i="30"/>
  <c r="G86" i="30"/>
  <c r="AG85" i="30"/>
  <c r="Q85" i="30"/>
  <c r="G85" i="30"/>
  <c r="AG84" i="30"/>
  <c r="Q84" i="30"/>
  <c r="G84" i="30"/>
  <c r="AG83" i="30"/>
  <c r="Q83" i="30"/>
  <c r="G83" i="30"/>
  <c r="AG82" i="30"/>
  <c r="Q82" i="30"/>
  <c r="G82" i="30"/>
  <c r="AG81" i="30"/>
  <c r="Q81" i="30"/>
  <c r="G81" i="30"/>
  <c r="AG80" i="30"/>
  <c r="Q80" i="30"/>
  <c r="G80" i="30"/>
  <c r="AG79" i="30"/>
  <c r="Q79" i="30"/>
  <c r="G79" i="30"/>
  <c r="AG78" i="30"/>
  <c r="Q78" i="30"/>
  <c r="G78" i="30"/>
  <c r="AG77" i="30"/>
  <c r="Q77" i="30"/>
  <c r="G77" i="30"/>
  <c r="AG76" i="30"/>
  <c r="Q76" i="30"/>
  <c r="G76" i="30"/>
  <c r="AG75" i="30"/>
  <c r="Q75" i="30"/>
  <c r="G75" i="30"/>
  <c r="AG74" i="30"/>
  <c r="Q74" i="30"/>
  <c r="G74" i="30"/>
  <c r="AG73" i="30"/>
  <c r="Q73" i="30"/>
  <c r="G73" i="30"/>
  <c r="AG72" i="30"/>
  <c r="Q72" i="30"/>
  <c r="G72" i="30"/>
  <c r="AG71" i="30"/>
  <c r="Q71" i="30"/>
  <c r="G71" i="30"/>
  <c r="AG70" i="30"/>
  <c r="Q70" i="30"/>
  <c r="G70" i="30"/>
  <c r="AG69" i="30"/>
  <c r="Q69" i="30"/>
  <c r="G69" i="30"/>
  <c r="AG68" i="30"/>
  <c r="Q68" i="30"/>
  <c r="G68" i="30"/>
  <c r="AG67" i="30"/>
  <c r="Q67" i="30"/>
  <c r="G67" i="30"/>
  <c r="AG66" i="30"/>
  <c r="Q66" i="30"/>
  <c r="G66" i="30"/>
  <c r="AG65" i="30"/>
  <c r="Q65" i="30"/>
  <c r="G65" i="30"/>
  <c r="AG64" i="30"/>
  <c r="Q64" i="30"/>
  <c r="G64" i="30"/>
  <c r="AG63" i="30"/>
  <c r="Q63" i="30"/>
  <c r="G63" i="30"/>
  <c r="AG62" i="30"/>
  <c r="Q62" i="30"/>
  <c r="G62" i="30"/>
  <c r="AG61" i="30"/>
  <c r="Q61" i="30"/>
  <c r="G61" i="30"/>
  <c r="AG60" i="30"/>
  <c r="Q60" i="30"/>
  <c r="G60" i="30"/>
  <c r="AG59" i="30"/>
  <c r="Q59" i="30"/>
  <c r="G59" i="30"/>
  <c r="AG58" i="30"/>
  <c r="Q58" i="30"/>
  <c r="G58" i="30"/>
  <c r="AG57" i="30"/>
  <c r="Q57" i="30"/>
  <c r="G57" i="30"/>
  <c r="AG56" i="30"/>
  <c r="Q56" i="30"/>
  <c r="G56" i="30"/>
  <c r="AG55" i="30"/>
  <c r="Q55" i="30"/>
  <c r="G55" i="30"/>
  <c r="AG54" i="30"/>
  <c r="Q54" i="30"/>
  <c r="G54" i="30"/>
  <c r="AG53" i="30"/>
  <c r="Q53" i="30"/>
  <c r="G53" i="30"/>
  <c r="AG52" i="30"/>
  <c r="Q52" i="30"/>
  <c r="G52" i="30"/>
  <c r="AG51" i="30"/>
  <c r="Q51" i="30"/>
  <c r="G51" i="30"/>
  <c r="AG50" i="30"/>
  <c r="Q50" i="30"/>
  <c r="G50" i="30"/>
  <c r="AG49" i="30"/>
  <c r="Q49" i="30"/>
  <c r="G49" i="30"/>
  <c r="AG48" i="30"/>
  <c r="Q48" i="30"/>
  <c r="G48" i="30"/>
  <c r="AG47" i="30"/>
  <c r="Q47" i="30"/>
  <c r="G47" i="30"/>
  <c r="AG46" i="30"/>
  <c r="Q46" i="30"/>
  <c r="G46" i="30"/>
  <c r="AG45" i="30"/>
  <c r="Q45" i="30"/>
  <c r="G45" i="30"/>
  <c r="AG44" i="30"/>
  <c r="Q44" i="30"/>
  <c r="G44" i="30"/>
  <c r="AG43" i="30"/>
  <c r="Q43" i="30"/>
  <c r="G43" i="30"/>
  <c r="AG42" i="30"/>
  <c r="Q42" i="30"/>
  <c r="G42" i="30"/>
  <c r="AG41" i="30"/>
  <c r="Q41" i="30"/>
  <c r="G41" i="30"/>
  <c r="AG40" i="30"/>
  <c r="Q40" i="30"/>
  <c r="G40" i="30"/>
  <c r="AG39" i="30"/>
  <c r="Q39" i="30"/>
  <c r="G39" i="30"/>
  <c r="AG38" i="30"/>
  <c r="Q38" i="30"/>
  <c r="G38" i="30"/>
  <c r="AG37" i="30"/>
  <c r="Q37" i="30"/>
  <c r="G37" i="30"/>
  <c r="AG36" i="30"/>
  <c r="Q36" i="30"/>
  <c r="G36" i="30"/>
  <c r="AG35" i="30"/>
  <c r="Q35" i="30"/>
  <c r="G35" i="30"/>
  <c r="AG34" i="30"/>
  <c r="Q34" i="30"/>
  <c r="G34" i="30"/>
  <c r="AG33" i="30"/>
  <c r="Q33" i="30"/>
  <c r="G33" i="30"/>
  <c r="AG32" i="30"/>
  <c r="Q32" i="30"/>
  <c r="G32" i="30"/>
  <c r="AG31" i="30"/>
  <c r="Q31" i="30"/>
  <c r="G31" i="30"/>
  <c r="AG30" i="30"/>
  <c r="Q30" i="30"/>
  <c r="G30" i="30"/>
  <c r="AG29" i="30"/>
  <c r="Q29" i="30"/>
  <c r="G29" i="30"/>
  <c r="AG28" i="30"/>
  <c r="Q28" i="30"/>
  <c r="G28" i="30"/>
  <c r="AG27" i="30"/>
  <c r="Q27" i="30"/>
  <c r="G27" i="30"/>
  <c r="AG26" i="30"/>
  <c r="Q26" i="30"/>
  <c r="G26" i="30"/>
  <c r="AG25" i="30"/>
  <c r="Q25" i="30"/>
  <c r="G25" i="30"/>
  <c r="AG24" i="30"/>
  <c r="Q24" i="30"/>
  <c r="G24" i="30"/>
  <c r="AG23" i="30"/>
  <c r="Q23" i="30"/>
  <c r="G23" i="30"/>
  <c r="AG22" i="30"/>
  <c r="Q22" i="30"/>
  <c r="G22" i="30"/>
  <c r="AG21" i="30"/>
  <c r="Q21" i="30"/>
  <c r="G21" i="30"/>
  <c r="AG20" i="30"/>
  <c r="Q20" i="30"/>
  <c r="G20" i="30"/>
  <c r="AG19" i="30"/>
  <c r="Q19" i="30"/>
  <c r="G19" i="30"/>
  <c r="AG18" i="30"/>
  <c r="Q18" i="30"/>
  <c r="G18" i="30"/>
  <c r="AG17" i="30"/>
  <c r="Q17" i="30"/>
  <c r="G17" i="30"/>
  <c r="AG16" i="30"/>
  <c r="Q16" i="30"/>
  <c r="G16" i="30"/>
  <c r="AG15" i="30"/>
  <c r="Q15" i="30"/>
  <c r="G15" i="30"/>
  <c r="AG14" i="30"/>
  <c r="Q14" i="30"/>
  <c r="G14" i="30"/>
  <c r="AG13" i="30"/>
  <c r="Q13" i="30"/>
  <c r="G13" i="30"/>
  <c r="AG12" i="30"/>
  <c r="Q12" i="30"/>
  <c r="G12" i="30"/>
  <c r="AG11" i="30"/>
  <c r="Q11" i="30"/>
  <c r="G11" i="30"/>
  <c r="AG10" i="30"/>
  <c r="Q10" i="30"/>
  <c r="G10" i="30"/>
  <c r="AF9" i="30"/>
  <c r="AE9" i="30"/>
  <c r="AD9" i="30"/>
  <c r="AD8" i="30"/>
  <c r="AC9" i="30"/>
  <c r="AC8" i="30"/>
  <c r="AB9" i="30"/>
  <c r="AB8" i="30" s="1"/>
  <c r="AB7" i="30" s="1"/>
  <c r="AA9" i="30"/>
  <c r="Z9" i="30"/>
  <c r="Z8" i="30" s="1"/>
  <c r="Y9" i="30"/>
  <c r="X9" i="30"/>
  <c r="X8" i="30" s="1"/>
  <c r="W9" i="30"/>
  <c r="W8" i="30" s="1"/>
  <c r="V9" i="30"/>
  <c r="V8" i="30" s="1"/>
  <c r="U9" i="30"/>
  <c r="T9" i="30"/>
  <c r="S9" i="30"/>
  <c r="AF8" i="30"/>
  <c r="AF7" i="30" s="1"/>
  <c r="AE8" i="30"/>
  <c r="AA8" i="30"/>
  <c r="AA7" i="30" s="1"/>
  <c r="Y8" i="30"/>
  <c r="U8" i="30"/>
  <c r="T8" i="30"/>
  <c r="S8" i="30"/>
  <c r="R8" i="30"/>
  <c r="R7" i="30"/>
  <c r="Q657" i="23"/>
  <c r="Q656" i="23"/>
  <c r="Q655" i="23"/>
  <c r="Q654" i="23"/>
  <c r="Q653" i="23"/>
  <c r="Q651" i="23"/>
  <c r="Q650" i="23"/>
  <c r="Q649" i="23"/>
  <c r="Q648" i="23" s="1"/>
  <c r="Q647" i="23"/>
  <c r="Q646" i="23"/>
  <c r="Q645" i="23"/>
  <c r="Q644" i="23"/>
  <c r="Q643" i="23"/>
  <c r="Q641" i="23"/>
  <c r="AF640" i="23"/>
  <c r="AE640" i="23"/>
  <c r="AD640" i="23"/>
  <c r="AD630" i="23"/>
  <c r="AD629" i="23" s="1"/>
  <c r="AC640" i="23"/>
  <c r="AB640" i="23"/>
  <c r="AA640" i="23"/>
  <c r="Z640" i="23"/>
  <c r="Z630" i="23"/>
  <c r="Z629" i="23"/>
  <c r="Y640" i="23"/>
  <c r="X640" i="23"/>
  <c r="W640" i="23"/>
  <c r="V640" i="23"/>
  <c r="V630" i="23"/>
  <c r="V629" i="23" s="1"/>
  <c r="U640" i="23"/>
  <c r="T640" i="23"/>
  <c r="S640" i="23"/>
  <c r="Q639" i="23"/>
  <c r="Q638" i="23"/>
  <c r="Q636" i="23"/>
  <c r="Q635" i="23"/>
  <c r="Q634" i="23"/>
  <c r="Q633" i="23"/>
  <c r="Q631" i="23"/>
  <c r="AF630" i="23"/>
  <c r="AE630" i="23"/>
  <c r="AE629" i="23"/>
  <c r="AC630" i="23"/>
  <c r="AB630" i="23"/>
  <c r="AA630" i="23"/>
  <c r="Y630" i="23"/>
  <c r="Y629" i="23"/>
  <c r="X630" i="23"/>
  <c r="W630" i="23"/>
  <c r="W629" i="23"/>
  <c r="U630" i="23"/>
  <c r="T630" i="23"/>
  <c r="S630" i="23"/>
  <c r="AC629" i="23"/>
  <c r="AA629" i="23"/>
  <c r="S629" i="23"/>
  <c r="R629" i="23"/>
  <c r="R610" i="23"/>
  <c r="AF625" i="23"/>
  <c r="AE625" i="23"/>
  <c r="AE621" i="23"/>
  <c r="AE620" i="23" s="1"/>
  <c r="AD625" i="23"/>
  <c r="AC625" i="23"/>
  <c r="AB625" i="23"/>
  <c r="AA625" i="23"/>
  <c r="Z625" i="23"/>
  <c r="Y625" i="23"/>
  <c r="X625" i="23"/>
  <c r="W625" i="23"/>
  <c r="W621" i="23"/>
  <c r="W620" i="23" s="1"/>
  <c r="V625" i="23"/>
  <c r="U625" i="23"/>
  <c r="T625" i="23"/>
  <c r="S625" i="23"/>
  <c r="Q625" i="23"/>
  <c r="AF621" i="23"/>
  <c r="AF620" i="23" s="1"/>
  <c r="AD621" i="23"/>
  <c r="AC621" i="23"/>
  <c r="AC620" i="23" s="1"/>
  <c r="AB621" i="23"/>
  <c r="AA621" i="23"/>
  <c r="Z621" i="23"/>
  <c r="Y621" i="23"/>
  <c r="Y620" i="23"/>
  <c r="X621" i="23"/>
  <c r="V621" i="23"/>
  <c r="U621" i="23"/>
  <c r="U620" i="23" s="1"/>
  <c r="T621" i="23"/>
  <c r="T620" i="23" s="1"/>
  <c r="S621" i="23"/>
  <c r="S620" i="23" s="1"/>
  <c r="Q621" i="23"/>
  <c r="AA620" i="23"/>
  <c r="X620" i="23"/>
  <c r="AF616" i="23"/>
  <c r="AE616" i="23"/>
  <c r="AD616" i="23"/>
  <c r="AC616" i="23"/>
  <c r="AB616" i="23"/>
  <c r="AA616" i="23"/>
  <c r="Z616" i="23"/>
  <c r="Z611" i="23" s="1"/>
  <c r="Y616" i="23"/>
  <c r="Y611" i="23" s="1"/>
  <c r="X616" i="23"/>
  <c r="W616" i="23"/>
  <c r="V616" i="23"/>
  <c r="U616" i="23"/>
  <c r="U612" i="23"/>
  <c r="U611" i="23"/>
  <c r="T616" i="23"/>
  <c r="S616" i="23"/>
  <c r="Q616" i="23"/>
  <c r="AF612" i="23"/>
  <c r="AF611" i="23"/>
  <c r="AE612" i="23"/>
  <c r="AD612" i="23"/>
  <c r="AD611" i="23"/>
  <c r="AC612" i="23"/>
  <c r="AB612" i="23"/>
  <c r="AB611" i="23" s="1"/>
  <c r="AA612" i="23"/>
  <c r="AA611" i="23" s="1"/>
  <c r="Z612" i="23"/>
  <c r="Y612" i="23"/>
  <c r="X612" i="23"/>
  <c r="X611" i="23" s="1"/>
  <c r="W612" i="23"/>
  <c r="V612" i="23"/>
  <c r="V611" i="23" s="1"/>
  <c r="T612" i="23"/>
  <c r="T611" i="23"/>
  <c r="S612" i="23"/>
  <c r="Q612" i="23"/>
  <c r="Q611" i="23" s="1"/>
  <c r="AG604" i="23"/>
  <c r="Q604" i="23"/>
  <c r="AG602" i="23"/>
  <c r="AG599" i="23" s="1"/>
  <c r="AF599" i="23"/>
  <c r="AE599" i="23"/>
  <c r="AD599" i="23"/>
  <c r="AC599" i="23"/>
  <c r="AB599" i="23"/>
  <c r="AA599" i="23"/>
  <c r="Z599" i="23"/>
  <c r="Y599" i="23"/>
  <c r="X599" i="23"/>
  <c r="W599" i="23"/>
  <c r="V599" i="23"/>
  <c r="U599" i="23"/>
  <c r="T599" i="23"/>
  <c r="S599" i="23"/>
  <c r="Q599" i="23"/>
  <c r="Q598" i="23"/>
  <c r="V598" i="23"/>
  <c r="E598" i="23"/>
  <c r="F598" i="23" s="1"/>
  <c r="Q597" i="23"/>
  <c r="V597" i="23" s="1"/>
  <c r="E597" i="23"/>
  <c r="F597" i="23" s="1"/>
  <c r="Q596" i="23"/>
  <c r="V596" i="23"/>
  <c r="E596" i="23"/>
  <c r="F596" i="23"/>
  <c r="Q595" i="23"/>
  <c r="V595" i="23"/>
  <c r="F595" i="23"/>
  <c r="Q594" i="23"/>
  <c r="V594" i="23" s="1"/>
  <c r="E594" i="23"/>
  <c r="F594" i="23"/>
  <c r="Q593" i="23"/>
  <c r="V593" i="23" s="1"/>
  <c r="E593" i="23"/>
  <c r="F593" i="23" s="1"/>
  <c r="Q592" i="23"/>
  <c r="F592" i="23"/>
  <c r="Q591" i="23"/>
  <c r="W591" i="23" s="1"/>
  <c r="E591" i="23"/>
  <c r="F591" i="23"/>
  <c r="Q590" i="23"/>
  <c r="W590" i="23"/>
  <c r="F590" i="23"/>
  <c r="Q589" i="23"/>
  <c r="F589" i="23"/>
  <c r="Q588" i="23"/>
  <c r="V588" i="23"/>
  <c r="E588" i="23"/>
  <c r="F588" i="23"/>
  <c r="AF587" i="23"/>
  <c r="AE587" i="23"/>
  <c r="AD587" i="23"/>
  <c r="AC587" i="23"/>
  <c r="AB587" i="23"/>
  <c r="AA587" i="23"/>
  <c r="Z587" i="23"/>
  <c r="Y587" i="23"/>
  <c r="X587" i="23"/>
  <c r="T587" i="23"/>
  <c r="S587" i="23"/>
  <c r="Z586" i="23"/>
  <c r="Z583" i="23" s="1"/>
  <c r="Q585" i="23"/>
  <c r="F585" i="23"/>
  <c r="Q584" i="23"/>
  <c r="T584" i="23"/>
  <c r="E584" i="23"/>
  <c r="F584" i="23" s="1"/>
  <c r="AF583" i="23"/>
  <c r="AE583" i="23"/>
  <c r="AD583" i="23"/>
  <c r="AD582" i="23" s="1"/>
  <c r="AC583" i="23"/>
  <c r="AB583" i="23"/>
  <c r="AA583" i="23"/>
  <c r="Y583" i="23"/>
  <c r="Y582" i="23" s="1"/>
  <c r="X583" i="23"/>
  <c r="W583" i="23"/>
  <c r="V583" i="23"/>
  <c r="U583" i="23"/>
  <c r="S583" i="23"/>
  <c r="AF582" i="23"/>
  <c r="AC582" i="23"/>
  <c r="S582" i="23"/>
  <c r="R582" i="23"/>
  <c r="Q580" i="23"/>
  <c r="R580" i="23" s="1"/>
  <c r="G580" i="23"/>
  <c r="Q579" i="23"/>
  <c r="R579" i="23" s="1"/>
  <c r="V579" i="23" s="1"/>
  <c r="Q578" i="23"/>
  <c r="R578" i="23"/>
  <c r="V578" i="23" s="1"/>
  <c r="Q577" i="23"/>
  <c r="R577" i="23" s="1"/>
  <c r="G577" i="23"/>
  <c r="P576" i="23"/>
  <c r="Q576" i="23" s="1"/>
  <c r="R576" i="23"/>
  <c r="G576" i="23"/>
  <c r="Q575" i="23"/>
  <c r="R575" i="23"/>
  <c r="G575" i="23"/>
  <c r="AF574" i="23"/>
  <c r="AE574" i="23"/>
  <c r="AD574" i="23"/>
  <c r="AC574" i="23"/>
  <c r="AB574" i="23"/>
  <c r="AA574" i="23"/>
  <c r="Z574" i="23"/>
  <c r="Y574" i="23"/>
  <c r="X574" i="23"/>
  <c r="W574" i="23"/>
  <c r="U574" i="23"/>
  <c r="T574" i="23"/>
  <c r="S574" i="23"/>
  <c r="Q573" i="23"/>
  <c r="G573" i="23"/>
  <c r="Q572" i="23"/>
  <c r="R572" i="23" s="1"/>
  <c r="G572" i="23"/>
  <c r="AF571" i="23"/>
  <c r="AE571" i="23"/>
  <c r="AD571" i="23"/>
  <c r="AC571" i="23"/>
  <c r="AB571" i="23"/>
  <c r="AA571" i="23"/>
  <c r="Z571" i="23"/>
  <c r="Y571" i="23"/>
  <c r="X571" i="23"/>
  <c r="W571" i="23"/>
  <c r="V571" i="23"/>
  <c r="U571" i="23"/>
  <c r="T571" i="23"/>
  <c r="S571" i="23"/>
  <c r="Q570" i="23"/>
  <c r="R570" i="23" s="1"/>
  <c r="G570" i="23"/>
  <c r="R569" i="23"/>
  <c r="G569" i="23"/>
  <c r="Q568" i="23"/>
  <c r="R568" i="23"/>
  <c r="G568" i="23"/>
  <c r="Q567" i="23"/>
  <c r="R567" i="23" s="1"/>
  <c r="G567" i="23"/>
  <c r="Q566" i="23"/>
  <c r="R566" i="23" s="1"/>
  <c r="G566" i="23"/>
  <c r="Q565" i="23"/>
  <c r="R565" i="23" s="1"/>
  <c r="G565" i="23"/>
  <c r="Q564" i="23"/>
  <c r="R564" i="23"/>
  <c r="G564" i="23"/>
  <c r="Q563" i="23"/>
  <c r="R563" i="23"/>
  <c r="G563" i="23"/>
  <c r="Q562" i="23"/>
  <c r="G562" i="23"/>
  <c r="AF561" i="23"/>
  <c r="AE561" i="23"/>
  <c r="AD561" i="23"/>
  <c r="AC561" i="23"/>
  <c r="AB561" i="23"/>
  <c r="AA561" i="23"/>
  <c r="Z561" i="23"/>
  <c r="Y561" i="23"/>
  <c r="X561" i="23"/>
  <c r="W561" i="23"/>
  <c r="V561" i="23"/>
  <c r="U561" i="23"/>
  <c r="T561" i="23"/>
  <c r="S561" i="23"/>
  <c r="Q560" i="23"/>
  <c r="R560" i="23"/>
  <c r="G560" i="23"/>
  <c r="Q559" i="23"/>
  <c r="R559" i="23" s="1"/>
  <c r="G559" i="23"/>
  <c r="Q558" i="23"/>
  <c r="G558" i="23"/>
  <c r="Q557" i="23"/>
  <c r="R557" i="23" s="1"/>
  <c r="G557" i="23"/>
  <c r="AF556" i="23"/>
  <c r="AE556" i="23"/>
  <c r="AD556" i="23"/>
  <c r="AC556" i="23"/>
  <c r="AB556" i="23"/>
  <c r="AA556" i="23"/>
  <c r="Z556" i="23"/>
  <c r="Y556" i="23"/>
  <c r="X556" i="23"/>
  <c r="W556" i="23"/>
  <c r="V556" i="23"/>
  <c r="U556" i="23"/>
  <c r="T556" i="23"/>
  <c r="S556" i="23"/>
  <c r="Q555" i="23"/>
  <c r="R555" i="23" s="1"/>
  <c r="Q554" i="23"/>
  <c r="R554" i="23" s="1"/>
  <c r="G555" i="23"/>
  <c r="AF554" i="23"/>
  <c r="AE554" i="23"/>
  <c r="AD554" i="23"/>
  <c r="AC554" i="23"/>
  <c r="AB554" i="23"/>
  <c r="AA554" i="23"/>
  <c r="Z554" i="23"/>
  <c r="Y554" i="23"/>
  <c r="X554" i="23"/>
  <c r="W554" i="23"/>
  <c r="V554" i="23"/>
  <c r="U554" i="23"/>
  <c r="T554" i="23"/>
  <c r="S554" i="23"/>
  <c r="Q553" i="23"/>
  <c r="R553" i="23" s="1"/>
  <c r="G553" i="23"/>
  <c r="AF552" i="23"/>
  <c r="AE552" i="23"/>
  <c r="AD552" i="23"/>
  <c r="AC552" i="23"/>
  <c r="AB552" i="23"/>
  <c r="AA552" i="23"/>
  <c r="Z552" i="23"/>
  <c r="Y552" i="23"/>
  <c r="X552" i="23"/>
  <c r="W552" i="23"/>
  <c r="V552" i="23"/>
  <c r="U552" i="23"/>
  <c r="T552" i="23"/>
  <c r="S552" i="23"/>
  <c r="Q551" i="23"/>
  <c r="R551" i="23" s="1"/>
  <c r="G551" i="23"/>
  <c r="Q550" i="23"/>
  <c r="R550" i="23" s="1"/>
  <c r="G550" i="23"/>
  <c r="Q549" i="23"/>
  <c r="R549" i="23"/>
  <c r="G549" i="23"/>
  <c r="Q548" i="23"/>
  <c r="R548" i="23"/>
  <c r="E548" i="23"/>
  <c r="G548" i="23"/>
  <c r="AF547" i="23"/>
  <c r="AE547" i="23"/>
  <c r="AD547" i="23"/>
  <c r="AC547" i="23"/>
  <c r="AB547" i="23"/>
  <c r="AA547" i="23"/>
  <c r="Z547" i="23"/>
  <c r="Y547" i="23"/>
  <c r="X547" i="23"/>
  <c r="W547" i="23"/>
  <c r="V547" i="23"/>
  <c r="U547" i="23"/>
  <c r="T547" i="23"/>
  <c r="S547" i="23"/>
  <c r="R546" i="23"/>
  <c r="G546" i="23"/>
  <c r="Q545" i="23"/>
  <c r="R545" i="23" s="1"/>
  <c r="G545" i="23"/>
  <c r="R544" i="23"/>
  <c r="G544" i="23"/>
  <c r="Q543" i="23"/>
  <c r="Q540" i="23" s="1"/>
  <c r="G543" i="23"/>
  <c r="R542" i="23"/>
  <c r="G542" i="23"/>
  <c r="R541" i="23"/>
  <c r="E541" i="23"/>
  <c r="G541" i="23"/>
  <c r="AF540" i="23"/>
  <c r="AE540" i="23"/>
  <c r="AD540" i="23"/>
  <c r="AD539" i="23" s="1"/>
  <c r="AC540" i="23"/>
  <c r="AB540" i="23"/>
  <c r="AA540" i="23"/>
  <c r="Z540" i="23"/>
  <c r="Y540" i="23"/>
  <c r="X540" i="23"/>
  <c r="W540" i="23"/>
  <c r="V540" i="23"/>
  <c r="U540" i="23"/>
  <c r="T540" i="23"/>
  <c r="S540" i="23"/>
  <c r="R539" i="23"/>
  <c r="Q538" i="23"/>
  <c r="Y538" i="23"/>
  <c r="E538" i="23"/>
  <c r="G538" i="23"/>
  <c r="Q537" i="23"/>
  <c r="X537" i="23" s="1"/>
  <c r="E537" i="23"/>
  <c r="G537" i="23" s="1"/>
  <c r="Q536" i="23"/>
  <c r="X536" i="23" s="1"/>
  <c r="E536" i="23"/>
  <c r="G536" i="23"/>
  <c r="Q535" i="23"/>
  <c r="X535" i="23"/>
  <c r="E535" i="23"/>
  <c r="G535" i="23"/>
  <c r="Q534" i="23"/>
  <c r="W534" i="23" s="1"/>
  <c r="E534" i="23"/>
  <c r="G534" i="23" s="1"/>
  <c r="P533" i="23"/>
  <c r="Q533" i="23" s="1"/>
  <c r="Y533" i="23" s="1"/>
  <c r="E533" i="23"/>
  <c r="G533" i="23" s="1"/>
  <c r="Q532" i="23"/>
  <c r="Y532" i="23" s="1"/>
  <c r="E532" i="23"/>
  <c r="G532" i="23" s="1"/>
  <c r="Q531" i="23"/>
  <c r="E531" i="23"/>
  <c r="G531" i="23" s="1"/>
  <c r="AF530" i="23"/>
  <c r="AF515" i="23" s="1"/>
  <c r="AE530" i="23"/>
  <c r="AD530" i="23"/>
  <c r="AD516" i="23"/>
  <c r="AD515" i="23" s="1"/>
  <c r="AC530" i="23"/>
  <c r="AB530" i="23"/>
  <c r="AA530" i="23"/>
  <c r="AA515" i="23" s="1"/>
  <c r="Z530" i="23"/>
  <c r="Z516" i="23"/>
  <c r="Z515" i="23"/>
  <c r="V530" i="23"/>
  <c r="U530" i="23"/>
  <c r="T530" i="23"/>
  <c r="T515" i="23" s="1"/>
  <c r="S530" i="23"/>
  <c r="Q529" i="23"/>
  <c r="U529" i="23" s="1"/>
  <c r="E529" i="23"/>
  <c r="G529" i="23" s="1"/>
  <c r="P528" i="23"/>
  <c r="Q528" i="23" s="1"/>
  <c r="W528" i="23" s="1"/>
  <c r="E528" i="23"/>
  <c r="G528" i="23" s="1"/>
  <c r="Q527" i="23"/>
  <c r="W527" i="23"/>
  <c r="E527" i="23"/>
  <c r="G527" i="23"/>
  <c r="Q526" i="23"/>
  <c r="W526" i="23"/>
  <c r="E526" i="23"/>
  <c r="G526" i="23"/>
  <c r="Q525" i="23"/>
  <c r="W525" i="23" s="1"/>
  <c r="E525" i="23"/>
  <c r="G525" i="23" s="1"/>
  <c r="Q524" i="23"/>
  <c r="W524" i="23"/>
  <c r="E524" i="23"/>
  <c r="G524" i="23"/>
  <c r="Q523" i="23"/>
  <c r="W523" i="23"/>
  <c r="E523" i="23"/>
  <c r="G523" i="23"/>
  <c r="Q522" i="23"/>
  <c r="W522" i="23" s="1"/>
  <c r="E522" i="23"/>
  <c r="G522" i="23"/>
  <c r="Q521" i="23"/>
  <c r="U521" i="23" s="1"/>
  <c r="E521" i="23"/>
  <c r="G521" i="23" s="1"/>
  <c r="Q520" i="23"/>
  <c r="U520" i="23" s="1"/>
  <c r="E520" i="23"/>
  <c r="G520" i="23" s="1"/>
  <c r="Q519" i="23"/>
  <c r="U519" i="23"/>
  <c r="E519" i="23"/>
  <c r="G519" i="23"/>
  <c r="Q518" i="23"/>
  <c r="U518" i="23" s="1"/>
  <c r="E518" i="23"/>
  <c r="G518" i="23" s="1"/>
  <c r="Q517" i="23"/>
  <c r="E517" i="23"/>
  <c r="G517" i="23"/>
  <c r="AF516" i="23"/>
  <c r="AE516" i="23"/>
  <c r="AC516" i="23"/>
  <c r="AC515" i="23" s="1"/>
  <c r="AB516" i="23"/>
  <c r="AB515" i="23"/>
  <c r="AB494" i="23"/>
  <c r="AB493" i="23" s="1"/>
  <c r="AB509" i="23"/>
  <c r="AA516" i="23"/>
  <c r="Y516" i="23"/>
  <c r="X516" i="23"/>
  <c r="V516" i="23"/>
  <c r="T516" i="23"/>
  <c r="S516" i="23"/>
  <c r="AF494" i="23"/>
  <c r="AF509" i="23"/>
  <c r="AF493" i="23" s="1"/>
  <c r="V515" i="23"/>
  <c r="Q514" i="23"/>
  <c r="W514" i="23" s="1"/>
  <c r="E514" i="23"/>
  <c r="G514" i="23"/>
  <c r="Q513" i="23"/>
  <c r="W513" i="23"/>
  <c r="E513" i="23"/>
  <c r="G513" i="23" s="1"/>
  <c r="Q512" i="23"/>
  <c r="W512" i="23" s="1"/>
  <c r="E512" i="23"/>
  <c r="G512" i="23" s="1"/>
  <c r="Q511" i="23"/>
  <c r="W511" i="23" s="1"/>
  <c r="E511" i="23"/>
  <c r="G511" i="23"/>
  <c r="Q510" i="23"/>
  <c r="E510" i="23"/>
  <c r="G510" i="23"/>
  <c r="AE509" i="23"/>
  <c r="AD509" i="23"/>
  <c r="AC509" i="23"/>
  <c r="AA509" i="23"/>
  <c r="Z509" i="23"/>
  <c r="Y509" i="23"/>
  <c r="X509" i="23"/>
  <c r="V509" i="23"/>
  <c r="U509" i="23"/>
  <c r="T509" i="23"/>
  <c r="T493" i="23" s="1"/>
  <c r="S509" i="23"/>
  <c r="Q508" i="23"/>
  <c r="W508" i="23" s="1"/>
  <c r="E508" i="23"/>
  <c r="G508" i="23"/>
  <c r="Q507" i="23"/>
  <c r="W507" i="23" s="1"/>
  <c r="E507" i="23"/>
  <c r="G507" i="23"/>
  <c r="P506" i="23"/>
  <c r="Q506" i="23"/>
  <c r="V506" i="23" s="1"/>
  <c r="E506" i="23"/>
  <c r="G506" i="23" s="1"/>
  <c r="Q505" i="23"/>
  <c r="V505" i="23"/>
  <c r="E505" i="23"/>
  <c r="G505" i="23" s="1"/>
  <c r="Q504" i="23"/>
  <c r="V504" i="23" s="1"/>
  <c r="E504" i="23"/>
  <c r="G504" i="23" s="1"/>
  <c r="Q503" i="23"/>
  <c r="V503" i="23" s="1"/>
  <c r="E503" i="23"/>
  <c r="G503" i="23" s="1"/>
  <c r="Q502" i="23"/>
  <c r="U502" i="23"/>
  <c r="E502" i="23"/>
  <c r="G502" i="23" s="1"/>
  <c r="P501" i="23"/>
  <c r="Q501" i="23" s="1"/>
  <c r="E501" i="23"/>
  <c r="G501" i="23" s="1"/>
  <c r="Q500" i="23"/>
  <c r="U500" i="23" s="1"/>
  <c r="E500" i="23"/>
  <c r="G500" i="23" s="1"/>
  <c r="Q499" i="23"/>
  <c r="U499" i="23"/>
  <c r="E499" i="23"/>
  <c r="G499" i="23" s="1"/>
  <c r="Q498" i="23"/>
  <c r="U498" i="23" s="1"/>
  <c r="E498" i="23"/>
  <c r="G498" i="23" s="1"/>
  <c r="Q497" i="23"/>
  <c r="U497" i="23" s="1"/>
  <c r="E497" i="23"/>
  <c r="G497" i="23" s="1"/>
  <c r="Q496" i="23"/>
  <c r="U496" i="23"/>
  <c r="E496" i="23"/>
  <c r="G496" i="23" s="1"/>
  <c r="Q495" i="23"/>
  <c r="U495" i="23" s="1"/>
  <c r="E495" i="23"/>
  <c r="G495" i="23" s="1"/>
  <c r="AE494" i="23"/>
  <c r="AD494" i="23"/>
  <c r="AD493" i="23"/>
  <c r="AC494" i="23"/>
  <c r="AA494" i="23"/>
  <c r="Z494" i="23"/>
  <c r="Z493" i="23"/>
  <c r="Y494" i="23"/>
  <c r="X494" i="23"/>
  <c r="T494" i="23"/>
  <c r="S494" i="23"/>
  <c r="R493" i="23"/>
  <c r="Q491" i="23"/>
  <c r="Q489" i="23" s="1"/>
  <c r="E491" i="23"/>
  <c r="G491" i="23" s="1"/>
  <c r="W490" i="23"/>
  <c r="W489" i="23"/>
  <c r="E490" i="23"/>
  <c r="G490" i="23"/>
  <c r="AF489" i="23"/>
  <c r="AE489" i="23"/>
  <c r="AD489" i="23"/>
  <c r="AC489" i="23"/>
  <c r="AB489" i="23"/>
  <c r="AA489" i="23"/>
  <c r="AG489" i="23" s="1"/>
  <c r="Z489" i="23"/>
  <c r="Y489" i="23"/>
  <c r="X489" i="23"/>
  <c r="V489" i="23"/>
  <c r="U489" i="23"/>
  <c r="T489" i="23"/>
  <c r="S489" i="23"/>
  <c r="O488" i="23"/>
  <c r="Q488" i="23" s="1"/>
  <c r="G488" i="23"/>
  <c r="O487" i="23"/>
  <c r="Q487" i="23"/>
  <c r="G487" i="23"/>
  <c r="O486" i="23"/>
  <c r="Q486" i="23"/>
  <c r="G486" i="23"/>
  <c r="O485" i="23"/>
  <c r="Q485" i="23"/>
  <c r="G485" i="23"/>
  <c r="O484" i="23"/>
  <c r="Q484" i="23" s="1"/>
  <c r="G484" i="23"/>
  <c r="AF482" i="23"/>
  <c r="AE482" i="23"/>
  <c r="AD482" i="23"/>
  <c r="AC482" i="23"/>
  <c r="AB482" i="23"/>
  <c r="AA482" i="23"/>
  <c r="Z482" i="23"/>
  <c r="Y482" i="23"/>
  <c r="X482" i="23"/>
  <c r="W482" i="23"/>
  <c r="V482" i="23"/>
  <c r="U482" i="23"/>
  <c r="T482" i="23"/>
  <c r="S482" i="23"/>
  <c r="Q481" i="23"/>
  <c r="G481" i="23"/>
  <c r="O480" i="23"/>
  <c r="Q480" i="23"/>
  <c r="G480" i="23"/>
  <c r="O479" i="23"/>
  <c r="Q479" i="23" s="1"/>
  <c r="G479" i="23"/>
  <c r="O478" i="23"/>
  <c r="Q478" i="23"/>
  <c r="G478" i="23"/>
  <c r="O477" i="23"/>
  <c r="Q477" i="23" s="1"/>
  <c r="G477" i="23"/>
  <c r="O476" i="23"/>
  <c r="Q476" i="23"/>
  <c r="G476" i="23"/>
  <c r="O475" i="23"/>
  <c r="G475" i="23"/>
  <c r="AF474" i="23"/>
  <c r="AE474" i="23"/>
  <c r="AD474" i="23"/>
  <c r="AC474" i="23"/>
  <c r="AB474" i="23"/>
  <c r="AB434" i="23" s="1"/>
  <c r="AA474" i="23"/>
  <c r="Z474" i="23"/>
  <c r="Y474" i="23"/>
  <c r="X474" i="23"/>
  <c r="W474" i="23"/>
  <c r="V474" i="23"/>
  <c r="U474" i="23"/>
  <c r="T474" i="23"/>
  <c r="S474" i="23"/>
  <c r="O473" i="23"/>
  <c r="Q473" i="23" s="1"/>
  <c r="G473" i="23"/>
  <c r="O472" i="23"/>
  <c r="Q472" i="23" s="1"/>
  <c r="G472" i="23"/>
  <c r="O471" i="23"/>
  <c r="Q471" i="23"/>
  <c r="G471" i="23"/>
  <c r="O470" i="23"/>
  <c r="Q470" i="23" s="1"/>
  <c r="G470" i="23"/>
  <c r="O469" i="23"/>
  <c r="Q469" i="23"/>
  <c r="G469" i="23"/>
  <c r="Q468" i="23"/>
  <c r="E468" i="23"/>
  <c r="G468" i="23"/>
  <c r="O467" i="23"/>
  <c r="Q467" i="23"/>
  <c r="G467" i="23"/>
  <c r="O466" i="23"/>
  <c r="Q466" i="23" s="1"/>
  <c r="G466" i="23"/>
  <c r="O465" i="23"/>
  <c r="G465" i="23"/>
  <c r="G464" i="23"/>
  <c r="Q463" i="23"/>
  <c r="X463" i="23" s="1"/>
  <c r="G463" i="23"/>
  <c r="O462" i="23"/>
  <c r="Q462" i="23" s="1"/>
  <c r="G462" i="23"/>
  <c r="O461" i="23"/>
  <c r="Q461" i="23"/>
  <c r="G461" i="23"/>
  <c r="O460" i="23"/>
  <c r="Q460" i="23" s="1"/>
  <c r="Q457" i="23" s="1"/>
  <c r="G460" i="23"/>
  <c r="O459" i="23"/>
  <c r="Q459" i="23" s="1"/>
  <c r="G459" i="23"/>
  <c r="O458" i="23"/>
  <c r="Q458" i="23"/>
  <c r="G458" i="23"/>
  <c r="G457" i="23"/>
  <c r="G456" i="23"/>
  <c r="AF455" i="23"/>
  <c r="AE455" i="23"/>
  <c r="AD455" i="23"/>
  <c r="AC455" i="23"/>
  <c r="AB455" i="23"/>
  <c r="AA455" i="23"/>
  <c r="Z455" i="23"/>
  <c r="X455" i="23"/>
  <c r="V455" i="23"/>
  <c r="U455" i="23"/>
  <c r="T455" i="23"/>
  <c r="S455" i="23"/>
  <c r="Q454" i="23"/>
  <c r="G454" i="23"/>
  <c r="G453" i="23"/>
  <c r="P452" i="23"/>
  <c r="O452" i="23"/>
  <c r="E452" i="23"/>
  <c r="G452" i="23"/>
  <c r="P451" i="23"/>
  <c r="O451" i="23"/>
  <c r="E451" i="23"/>
  <c r="G451" i="23"/>
  <c r="P450" i="23"/>
  <c r="O450" i="23"/>
  <c r="E450" i="23"/>
  <c r="G450" i="23" s="1"/>
  <c r="P449" i="23"/>
  <c r="O449" i="23"/>
  <c r="G449" i="23"/>
  <c r="P448" i="23"/>
  <c r="O448" i="23"/>
  <c r="G448" i="23"/>
  <c r="Q447" i="23"/>
  <c r="Q445" i="23" s="1"/>
  <c r="E447" i="23"/>
  <c r="G447" i="23"/>
  <c r="G446" i="23"/>
  <c r="AF445" i="23"/>
  <c r="AE445" i="23"/>
  <c r="AD445" i="23"/>
  <c r="AC445" i="23"/>
  <c r="AB445" i="23"/>
  <c r="AA445" i="23"/>
  <c r="Z445" i="23"/>
  <c r="Y445" i="23"/>
  <c r="X445" i="23"/>
  <c r="W445" i="23"/>
  <c r="V445" i="23"/>
  <c r="U445" i="23"/>
  <c r="U434" i="23" s="1"/>
  <c r="T445" i="23"/>
  <c r="S445" i="23"/>
  <c r="Q444" i="23"/>
  <c r="W444" i="23" s="1"/>
  <c r="W435" i="23" s="1"/>
  <c r="Q443" i="23"/>
  <c r="Q435" i="23" s="1"/>
  <c r="G443" i="23"/>
  <c r="Q442" i="23"/>
  <c r="E442" i="23"/>
  <c r="G442" i="23"/>
  <c r="Q441" i="23"/>
  <c r="E441" i="23"/>
  <c r="G441" i="23" s="1"/>
  <c r="Q440" i="23"/>
  <c r="E440" i="23"/>
  <c r="G440" i="23" s="1"/>
  <c r="Q439" i="23"/>
  <c r="E439" i="23"/>
  <c r="G439" i="23"/>
  <c r="Q438" i="23"/>
  <c r="G438" i="23"/>
  <c r="O437" i="23"/>
  <c r="G436" i="23"/>
  <c r="AF435" i="23"/>
  <c r="AE435" i="23"/>
  <c r="AE434" i="23" s="1"/>
  <c r="AD435" i="23"/>
  <c r="AC435" i="23"/>
  <c r="AB435" i="23"/>
  <c r="AA435" i="23"/>
  <c r="Z435" i="23"/>
  <c r="Z434" i="23" s="1"/>
  <c r="Y435" i="23"/>
  <c r="X435" i="23"/>
  <c r="U435" i="23"/>
  <c r="T435" i="23"/>
  <c r="T434" i="23" s="1"/>
  <c r="S435" i="23"/>
  <c r="O433" i="23"/>
  <c r="Q433" i="23"/>
  <c r="X433" i="23" s="1"/>
  <c r="G433" i="23"/>
  <c r="O432" i="23"/>
  <c r="Q432" i="23"/>
  <c r="U432" i="23" s="1"/>
  <c r="G432" i="23"/>
  <c r="O431" i="23"/>
  <c r="Q431" i="23"/>
  <c r="X431" i="23" s="1"/>
  <c r="G431" i="23"/>
  <c r="X430" i="23"/>
  <c r="G430" i="23"/>
  <c r="O429" i="23"/>
  <c r="Q429" i="23" s="1"/>
  <c r="W429" i="23"/>
  <c r="G429" i="23"/>
  <c r="O428" i="23"/>
  <c r="Q428" i="23" s="1"/>
  <c r="U428" i="23" s="1"/>
  <c r="G428" i="23"/>
  <c r="O427" i="23"/>
  <c r="Q427" i="23"/>
  <c r="W427" i="23" s="1"/>
  <c r="G427" i="23"/>
  <c r="O426" i="23"/>
  <c r="Q426" i="23" s="1"/>
  <c r="W426" i="23"/>
  <c r="G426" i="23"/>
  <c r="P425" i="23"/>
  <c r="Q425" i="23" s="1"/>
  <c r="W425" i="23" s="1"/>
  <c r="O425" i="23"/>
  <c r="G425" i="23"/>
  <c r="P424" i="23"/>
  <c r="O424" i="23"/>
  <c r="G424" i="23"/>
  <c r="W423" i="23"/>
  <c r="G423" i="23"/>
  <c r="O422" i="23"/>
  <c r="Q422" i="23" s="1"/>
  <c r="V422" i="23"/>
  <c r="G422" i="23"/>
  <c r="O421" i="23"/>
  <c r="Q421" i="23"/>
  <c r="U421" i="23" s="1"/>
  <c r="G421" i="23"/>
  <c r="O420" i="23"/>
  <c r="Q420" i="23" s="1"/>
  <c r="V420" i="23" s="1"/>
  <c r="G420" i="23"/>
  <c r="O419" i="23"/>
  <c r="Q419" i="23"/>
  <c r="V419" i="23" s="1"/>
  <c r="G419" i="23"/>
  <c r="P418" i="23"/>
  <c r="O418" i="23"/>
  <c r="G418" i="23"/>
  <c r="P417" i="23"/>
  <c r="O417" i="23"/>
  <c r="G417" i="23"/>
  <c r="V416" i="23"/>
  <c r="G416" i="23"/>
  <c r="O415" i="23"/>
  <c r="Q415" i="23"/>
  <c r="V415" i="23" s="1"/>
  <c r="G415" i="23"/>
  <c r="O414" i="23"/>
  <c r="Q414" i="23"/>
  <c r="V414" i="23" s="1"/>
  <c r="G414" i="23"/>
  <c r="O413" i="23"/>
  <c r="Q413" i="23" s="1"/>
  <c r="V413" i="23" s="1"/>
  <c r="G413" i="23"/>
  <c r="P412" i="23"/>
  <c r="O412" i="23"/>
  <c r="Q412" i="23"/>
  <c r="V412" i="23" s="1"/>
  <c r="G412" i="23"/>
  <c r="P411" i="23"/>
  <c r="O411" i="23"/>
  <c r="G411" i="23"/>
  <c r="V410" i="23"/>
  <c r="G410" i="23"/>
  <c r="O409" i="23"/>
  <c r="Q409" i="23" s="1"/>
  <c r="U409" i="23" s="1"/>
  <c r="G409" i="23"/>
  <c r="O408" i="23"/>
  <c r="Q408" i="23" s="1"/>
  <c r="U408" i="23"/>
  <c r="U399" i="23" s="1"/>
  <c r="AG399" i="23" s="1"/>
  <c r="AG398" i="23" s="1"/>
  <c r="G408" i="23"/>
  <c r="O407" i="23"/>
  <c r="Q407" i="23"/>
  <c r="U407" i="23"/>
  <c r="G407" i="23"/>
  <c r="O406" i="23"/>
  <c r="Q406" i="23" s="1"/>
  <c r="U406" i="23" s="1"/>
  <c r="G406" i="23"/>
  <c r="F401" i="23"/>
  <c r="O405" i="23"/>
  <c r="Q405" i="23"/>
  <c r="U405" i="23" s="1"/>
  <c r="G405" i="23"/>
  <c r="O404" i="23"/>
  <c r="Q404" i="23"/>
  <c r="U404" i="23" s="1"/>
  <c r="G404" i="23"/>
  <c r="O403" i="23"/>
  <c r="P403" i="23"/>
  <c r="Q403" i="23" s="1"/>
  <c r="U403" i="23" s="1"/>
  <c r="G403" i="23"/>
  <c r="P402" i="23"/>
  <c r="Q402" i="23" s="1"/>
  <c r="O402" i="23"/>
  <c r="G402" i="23"/>
  <c r="U401" i="23"/>
  <c r="G401" i="23"/>
  <c r="Q400" i="23"/>
  <c r="X400" i="23" s="1"/>
  <c r="X399" i="23" s="1"/>
  <c r="E400" i="23"/>
  <c r="G400" i="23"/>
  <c r="AF399" i="23"/>
  <c r="AF398" i="23"/>
  <c r="AE399" i="23"/>
  <c r="AE398" i="23"/>
  <c r="AD399" i="23"/>
  <c r="AD398" i="23" s="1"/>
  <c r="AC399" i="23"/>
  <c r="AC398" i="23"/>
  <c r="AB399" i="23"/>
  <c r="AB398" i="23" s="1"/>
  <c r="AA399" i="23"/>
  <c r="AA398" i="23" s="1"/>
  <c r="Z399" i="23"/>
  <c r="Z398" i="23" s="1"/>
  <c r="Y399" i="23"/>
  <c r="Y398" i="23" s="1"/>
  <c r="T399" i="23"/>
  <c r="T398" i="23" s="1"/>
  <c r="S399" i="23"/>
  <c r="S398" i="23"/>
  <c r="R398" i="23"/>
  <c r="R397" i="23"/>
  <c r="Q396" i="23"/>
  <c r="Q395" i="23" s="1"/>
  <c r="G396" i="23"/>
  <c r="AF395" i="23"/>
  <c r="AE395" i="23"/>
  <c r="AD395" i="23"/>
  <c r="AG395" i="23" s="1"/>
  <c r="AC395" i="23"/>
  <c r="AB395" i="23"/>
  <c r="AA395" i="23"/>
  <c r="Z395" i="23"/>
  <c r="Y395" i="23"/>
  <c r="X395" i="23"/>
  <c r="W395" i="23"/>
  <c r="U395" i="23"/>
  <c r="T395" i="23"/>
  <c r="S395" i="23"/>
  <c r="Q394" i="23"/>
  <c r="U394" i="23"/>
  <c r="U393" i="23" s="1"/>
  <c r="G394" i="23"/>
  <c r="AF393" i="23"/>
  <c r="AE393" i="23"/>
  <c r="AD393" i="23"/>
  <c r="AC393" i="23"/>
  <c r="AB393" i="23"/>
  <c r="AA393" i="23"/>
  <c r="Z393" i="23"/>
  <c r="Y393" i="23"/>
  <c r="X393" i="23"/>
  <c r="W393" i="23"/>
  <c r="V393" i="23"/>
  <c r="T393" i="23"/>
  <c r="S393" i="23"/>
  <c r="Q392" i="23"/>
  <c r="U392" i="23"/>
  <c r="G392" i="23"/>
  <c r="Q391" i="23"/>
  <c r="Q390" i="23" s="1"/>
  <c r="G391" i="23"/>
  <c r="AF390" i="23"/>
  <c r="AE390" i="23"/>
  <c r="AD390" i="23"/>
  <c r="AC390" i="23"/>
  <c r="AB390" i="23"/>
  <c r="AA390" i="23"/>
  <c r="Z390" i="23"/>
  <c r="Y390" i="23"/>
  <c r="X390" i="23"/>
  <c r="W390" i="23"/>
  <c r="V390" i="23"/>
  <c r="T390" i="23"/>
  <c r="S390" i="23"/>
  <c r="Q389" i="23"/>
  <c r="V389" i="23"/>
  <c r="G389" i="23"/>
  <c r="Q388" i="23"/>
  <c r="V388" i="23"/>
  <c r="G388" i="23"/>
  <c r="Q387" i="23"/>
  <c r="Q386" i="23"/>
  <c r="G387" i="23"/>
  <c r="AF386" i="23"/>
  <c r="AE386" i="23"/>
  <c r="AD386" i="23"/>
  <c r="AC386" i="23"/>
  <c r="AB386" i="23"/>
  <c r="AA386" i="23"/>
  <c r="Z386" i="23"/>
  <c r="Y386" i="23"/>
  <c r="X386" i="23"/>
  <c r="W386" i="23"/>
  <c r="U386" i="23"/>
  <c r="T386" i="23"/>
  <c r="S386" i="23"/>
  <c r="Q385" i="23"/>
  <c r="Q384" i="23"/>
  <c r="R383" i="23" s="1"/>
  <c r="G385" i="23"/>
  <c r="G384" i="23"/>
  <c r="AF383" i="23"/>
  <c r="AE383" i="23"/>
  <c r="AD383" i="23"/>
  <c r="AC383" i="23"/>
  <c r="AB383" i="23"/>
  <c r="AA383" i="23"/>
  <c r="Z383" i="23"/>
  <c r="Y383" i="23"/>
  <c r="X383" i="23"/>
  <c r="W383" i="23"/>
  <c r="V383" i="23"/>
  <c r="T383" i="23"/>
  <c r="S383" i="23"/>
  <c r="Y382" i="23"/>
  <c r="Q381" i="23"/>
  <c r="X381" i="23" s="1"/>
  <c r="Q380" i="23"/>
  <c r="AF379" i="23"/>
  <c r="AE379" i="23"/>
  <c r="AD379" i="23"/>
  <c r="AC379" i="23"/>
  <c r="AB379" i="23"/>
  <c r="AA379" i="23"/>
  <c r="Z379" i="23"/>
  <c r="W379" i="23"/>
  <c r="V379" i="23"/>
  <c r="U379" i="23"/>
  <c r="T379" i="23"/>
  <c r="S379" i="23"/>
  <c r="Q378" i="23"/>
  <c r="AF377" i="23"/>
  <c r="AF359" i="23"/>
  <c r="AF362" i="23"/>
  <c r="AF366" i="23"/>
  <c r="AE377" i="23"/>
  <c r="AD377" i="23"/>
  <c r="AC377" i="23"/>
  <c r="AB377" i="23"/>
  <c r="AA377" i="23"/>
  <c r="AG377" i="23" s="1"/>
  <c r="Z377" i="23"/>
  <c r="Y377" i="23"/>
  <c r="X377" i="23"/>
  <c r="W377" i="23"/>
  <c r="V377" i="23"/>
  <c r="V359" i="23"/>
  <c r="V358" i="23" s="1"/>
  <c r="V362" i="23"/>
  <c r="V366" i="23"/>
  <c r="U377" i="23"/>
  <c r="T377" i="23"/>
  <c r="S377" i="23"/>
  <c r="Q377" i="23"/>
  <c r="Q376" i="23"/>
  <c r="Q375" i="23"/>
  <c r="Q374" i="23"/>
  <c r="Q373" i="23"/>
  <c r="Q372" i="23"/>
  <c r="Q371" i="23"/>
  <c r="Q370" i="23"/>
  <c r="Q369" i="23"/>
  <c r="Q368" i="23"/>
  <c r="Q367" i="23"/>
  <c r="AE366" i="23"/>
  <c r="AD366" i="23"/>
  <c r="AD358" i="23" s="1"/>
  <c r="AD335" i="23" s="1"/>
  <c r="AC366" i="23"/>
  <c r="AB366" i="23"/>
  <c r="AA366" i="23"/>
  <c r="Z366" i="23"/>
  <c r="Y366" i="23"/>
  <c r="X366" i="23"/>
  <c r="W366" i="23"/>
  <c r="U366" i="23"/>
  <c r="T366" i="23"/>
  <c r="S366" i="23"/>
  <c r="Q365" i="23"/>
  <c r="G365" i="23"/>
  <c r="Q364" i="23"/>
  <c r="G364" i="23"/>
  <c r="Q363" i="23"/>
  <c r="G363" i="23"/>
  <c r="AE362" i="23"/>
  <c r="AD362" i="23"/>
  <c r="AC362" i="23"/>
  <c r="AC358" i="23" s="1"/>
  <c r="AC335" i="23" s="1"/>
  <c r="AB362" i="23"/>
  <c r="AA362" i="23"/>
  <c r="Z362" i="23"/>
  <c r="Y362" i="23"/>
  <c r="X362" i="23"/>
  <c r="W362" i="23"/>
  <c r="U362" i="23"/>
  <c r="T362" i="23"/>
  <c r="S362" i="23"/>
  <c r="Q361" i="23"/>
  <c r="Q360" i="23"/>
  <c r="AE359" i="23"/>
  <c r="AD359" i="23"/>
  <c r="AC359" i="23"/>
  <c r="AB359" i="23"/>
  <c r="AA359" i="23"/>
  <c r="Z359" i="23"/>
  <c r="Z358" i="23" s="1"/>
  <c r="Z335" i="23" s="1"/>
  <c r="Z247" i="23" s="1"/>
  <c r="Y359" i="23"/>
  <c r="X359" i="23"/>
  <c r="W359" i="23"/>
  <c r="W358" i="23" s="1"/>
  <c r="W335" i="23" s="1"/>
  <c r="S359" i="23"/>
  <c r="AB358" i="23"/>
  <c r="Q357" i="23"/>
  <c r="Q356" i="23"/>
  <c r="Q355" i="23"/>
  <c r="G355" i="23"/>
  <c r="Q354" i="23"/>
  <c r="G354" i="23"/>
  <c r="A354" i="23"/>
  <c r="Q353" i="23"/>
  <c r="G353" i="23"/>
  <c r="A353" i="23"/>
  <c r="Q352" i="23"/>
  <c r="G352" i="23"/>
  <c r="A352" i="23"/>
  <c r="Q351" i="23"/>
  <c r="Q350" i="23"/>
  <c r="E350" i="23"/>
  <c r="A350" i="23"/>
  <c r="Q349" i="23"/>
  <c r="Q348" i="23"/>
  <c r="E348" i="23"/>
  <c r="A348" i="23"/>
  <c r="Q347" i="23"/>
  <c r="AF346" i="23"/>
  <c r="AE346" i="23"/>
  <c r="AD346" i="23"/>
  <c r="AC346" i="23"/>
  <c r="AB346" i="23"/>
  <c r="AA346" i="23"/>
  <c r="Z346" i="23"/>
  <c r="Y346" i="23"/>
  <c r="X346" i="23"/>
  <c r="W346" i="23"/>
  <c r="V346" i="23"/>
  <c r="U346" i="23"/>
  <c r="T346" i="23"/>
  <c r="S346" i="23"/>
  <c r="Q345" i="23"/>
  <c r="Q344" i="23"/>
  <c r="Q343" i="23"/>
  <c r="A343" i="23"/>
  <c r="A344" i="23" s="1"/>
  <c r="Q342" i="23"/>
  <c r="Q341" i="23"/>
  <c r="A341" i="23"/>
  <c r="Q340" i="23"/>
  <c r="Q339" i="23"/>
  <c r="Q338" i="23"/>
  <c r="G337" i="23"/>
  <c r="A338" i="23"/>
  <c r="A339" i="23" s="1"/>
  <c r="Q337" i="23"/>
  <c r="AF336" i="23"/>
  <c r="AE336" i="23"/>
  <c r="AD336" i="23"/>
  <c r="AC336" i="23"/>
  <c r="AB336" i="23"/>
  <c r="AA336" i="23"/>
  <c r="Z336" i="23"/>
  <c r="Y336" i="23"/>
  <c r="X336" i="23"/>
  <c r="W336" i="23"/>
  <c r="V336" i="23"/>
  <c r="U336" i="23"/>
  <c r="T336" i="23"/>
  <c r="S336" i="23"/>
  <c r="R335" i="23"/>
  <c r="Q333" i="23"/>
  <c r="V333" i="23"/>
  <c r="G333" i="23"/>
  <c r="Q332" i="23"/>
  <c r="V332" i="23" s="1"/>
  <c r="G332" i="23"/>
  <c r="Q331" i="23"/>
  <c r="V331" i="23"/>
  <c r="G331" i="23"/>
  <c r="Q330" i="23"/>
  <c r="U330" i="23"/>
  <c r="G330" i="23"/>
  <c r="Q329" i="23"/>
  <c r="U329" i="23"/>
  <c r="G329" i="23"/>
  <c r="Q328" i="23"/>
  <c r="U328" i="23" s="1"/>
  <c r="G328" i="23"/>
  <c r="Q327" i="23"/>
  <c r="U327" i="23"/>
  <c r="G327" i="23"/>
  <c r="Q326" i="23"/>
  <c r="U326" i="23"/>
  <c r="G326" i="23"/>
  <c r="Q325" i="23"/>
  <c r="U325" i="23"/>
  <c r="G325" i="23"/>
  <c r="Q324" i="23"/>
  <c r="U324" i="23" s="1"/>
  <c r="U315" i="23" s="1"/>
  <c r="G324" i="23"/>
  <c r="Q323" i="23"/>
  <c r="V323" i="23"/>
  <c r="G323" i="23"/>
  <c r="Q322" i="23"/>
  <c r="V322" i="23"/>
  <c r="G322" i="23"/>
  <c r="Q321" i="23"/>
  <c r="V321" i="23"/>
  <c r="G321" i="23"/>
  <c r="Q320" i="23"/>
  <c r="G320" i="23"/>
  <c r="Q319" i="23"/>
  <c r="V319" i="23"/>
  <c r="G319" i="23"/>
  <c r="Q318" i="23"/>
  <c r="V318" i="23"/>
  <c r="G318" i="23"/>
  <c r="Q317" i="23"/>
  <c r="V317" i="23"/>
  <c r="G317" i="23"/>
  <c r="Q316" i="23"/>
  <c r="V316" i="23" s="1"/>
  <c r="G316" i="23"/>
  <c r="AF315" i="23"/>
  <c r="AE315" i="23"/>
  <c r="AD315" i="23"/>
  <c r="AC315" i="23"/>
  <c r="AB315" i="23"/>
  <c r="AA315" i="23"/>
  <c r="Z315" i="23"/>
  <c r="Y315" i="23"/>
  <c r="X315" i="23"/>
  <c r="W315" i="23"/>
  <c r="T315" i="23"/>
  <c r="S315" i="23"/>
  <c r="Q314" i="23"/>
  <c r="AA314" i="23"/>
  <c r="G314" i="23"/>
  <c r="Q313" i="23"/>
  <c r="AA313" i="23"/>
  <c r="G313" i="23"/>
  <c r="Q312" i="23"/>
  <c r="W312" i="23"/>
  <c r="G312" i="23"/>
  <c r="Q311" i="23"/>
  <c r="W311" i="23" s="1"/>
  <c r="G311" i="23"/>
  <c r="Q310" i="23"/>
  <c r="W310" i="23"/>
  <c r="G310" i="23"/>
  <c r="Q309" i="23"/>
  <c r="W309" i="23"/>
  <c r="G309" i="23"/>
  <c r="Q308" i="23"/>
  <c r="W308" i="23"/>
  <c r="G308" i="23"/>
  <c r="Q307" i="23"/>
  <c r="W307" i="23" s="1"/>
  <c r="G307" i="23"/>
  <c r="Q306" i="23"/>
  <c r="W306" i="23"/>
  <c r="G306" i="23"/>
  <c r="Q305" i="23"/>
  <c r="U305" i="23"/>
  <c r="G305" i="23"/>
  <c r="Q304" i="23"/>
  <c r="U304" i="23"/>
  <c r="G304" i="23"/>
  <c r="Q303" i="23"/>
  <c r="U303" i="23" s="1"/>
  <c r="G303" i="23"/>
  <c r="Q302" i="23"/>
  <c r="U302" i="23"/>
  <c r="G302" i="23"/>
  <c r="Q301" i="23"/>
  <c r="U301" i="23"/>
  <c r="G301" i="23"/>
  <c r="Q300" i="23"/>
  <c r="U300" i="23"/>
  <c r="G300" i="23"/>
  <c r="Q299" i="23"/>
  <c r="U299" i="23" s="1"/>
  <c r="G299" i="23"/>
  <c r="Q298" i="23"/>
  <c r="U298" i="23"/>
  <c r="G298" i="23"/>
  <c r="Q297" i="23"/>
  <c r="U297" i="23"/>
  <c r="G297" i="23"/>
  <c r="AF296" i="23"/>
  <c r="AE296" i="23"/>
  <c r="AD296" i="23"/>
  <c r="AC296" i="23"/>
  <c r="AB296" i="23"/>
  <c r="Z296" i="23"/>
  <c r="Y296" i="23"/>
  <c r="X296" i="23"/>
  <c r="V296" i="23"/>
  <c r="T296" i="23"/>
  <c r="S296" i="23"/>
  <c r="Q295" i="23"/>
  <c r="Y295" i="23" s="1"/>
  <c r="G295" i="23"/>
  <c r="Q294" i="23"/>
  <c r="Y294" i="23"/>
  <c r="Y277" i="23" s="1"/>
  <c r="G294" i="23"/>
  <c r="Q293" i="23"/>
  <c r="X293" i="23" s="1"/>
  <c r="G293" i="23"/>
  <c r="Q292" i="23"/>
  <c r="X292" i="23" s="1"/>
  <c r="G292" i="23"/>
  <c r="Q291" i="23"/>
  <c r="X291" i="23"/>
  <c r="G291" i="23"/>
  <c r="Q290" i="23"/>
  <c r="X290" i="23"/>
  <c r="G290" i="23"/>
  <c r="Q289" i="23"/>
  <c r="X289" i="23" s="1"/>
  <c r="G289" i="23"/>
  <c r="Q288" i="23"/>
  <c r="X288" i="23" s="1"/>
  <c r="G288" i="23"/>
  <c r="Q287" i="23"/>
  <c r="X287" i="23" s="1"/>
  <c r="G287" i="23"/>
  <c r="Q286" i="23"/>
  <c r="X286" i="23"/>
  <c r="G286" i="23"/>
  <c r="Q285" i="23"/>
  <c r="X285" i="23" s="1"/>
  <c r="G285" i="23"/>
  <c r="Q284" i="23"/>
  <c r="X284" i="23" s="1"/>
  <c r="G284" i="23"/>
  <c r="Q283" i="23"/>
  <c r="X283" i="23"/>
  <c r="G283" i="23"/>
  <c r="Q282" i="23"/>
  <c r="X282" i="23" s="1"/>
  <c r="G282" i="23"/>
  <c r="Q281" i="23"/>
  <c r="G281" i="23"/>
  <c r="Q280" i="23"/>
  <c r="G280" i="23"/>
  <c r="Q279" i="23"/>
  <c r="G279" i="23"/>
  <c r="Q278" i="23"/>
  <c r="G278" i="23"/>
  <c r="AF277" i="23"/>
  <c r="AE277" i="23"/>
  <c r="AD277" i="23"/>
  <c r="AC277" i="23"/>
  <c r="AB277" i="23"/>
  <c r="AA277" i="23"/>
  <c r="Z277" i="23"/>
  <c r="W277" i="23"/>
  <c r="V277" i="23"/>
  <c r="U277" i="23"/>
  <c r="T277" i="23"/>
  <c r="S277" i="23"/>
  <c r="Q276" i="23"/>
  <c r="Q275" i="23"/>
  <c r="G276" i="23"/>
  <c r="G275" i="23"/>
  <c r="Q274" i="23"/>
  <c r="W274" i="23"/>
  <c r="W260" i="23" s="1"/>
  <c r="G274" i="23"/>
  <c r="G273" i="23"/>
  <c r="Q272" i="23"/>
  <c r="U272" i="23"/>
  <c r="Q271" i="23"/>
  <c r="G272" i="23"/>
  <c r="G271" i="23"/>
  <c r="Q270" i="23"/>
  <c r="U270" i="23" s="1"/>
  <c r="G270" i="23"/>
  <c r="G269" i="23"/>
  <c r="U268" i="23"/>
  <c r="G268" i="23"/>
  <c r="U267" i="23"/>
  <c r="G267" i="23"/>
  <c r="U266" i="23"/>
  <c r="G266" i="23"/>
  <c r="U265" i="23"/>
  <c r="G265" i="23"/>
  <c r="U264" i="23"/>
  <c r="G264" i="23"/>
  <c r="U263" i="23"/>
  <c r="G263" i="23"/>
  <c r="U262" i="23"/>
  <c r="G262" i="23"/>
  <c r="Q261" i="23"/>
  <c r="G261" i="23"/>
  <c r="AF260" i="23"/>
  <c r="AE260" i="23"/>
  <c r="AD260" i="23"/>
  <c r="AD248" i="23" s="1"/>
  <c r="AC260" i="23"/>
  <c r="AB260" i="23"/>
  <c r="AA260" i="23"/>
  <c r="Z260" i="23"/>
  <c r="Y260" i="23"/>
  <c r="X260" i="23"/>
  <c r="V260" i="23"/>
  <c r="T260" i="23"/>
  <c r="S260" i="23"/>
  <c r="Q259" i="23"/>
  <c r="U259" i="23" s="1"/>
  <c r="G259" i="23"/>
  <c r="G258" i="23"/>
  <c r="Q257" i="23"/>
  <c r="G257" i="23"/>
  <c r="Q256" i="23"/>
  <c r="U256" i="23"/>
  <c r="G256" i="23"/>
  <c r="Q255" i="23"/>
  <c r="U255" i="23" s="1"/>
  <c r="G255" i="23"/>
  <c r="Q254" i="23"/>
  <c r="U254" i="23" s="1"/>
  <c r="G254" i="23"/>
  <c r="Q253" i="23"/>
  <c r="U253" i="23"/>
  <c r="G253" i="23"/>
  <c r="Q252" i="23"/>
  <c r="U252" i="23"/>
  <c r="G252" i="23"/>
  <c r="Q251" i="23"/>
  <c r="G251" i="23"/>
  <c r="G250" i="23"/>
  <c r="AF249" i="23"/>
  <c r="AF248" i="23" s="1"/>
  <c r="AE249" i="23"/>
  <c r="AE248" i="23" s="1"/>
  <c r="AD249" i="23"/>
  <c r="AC249" i="23"/>
  <c r="AB249" i="23"/>
  <c r="AA249" i="23"/>
  <c r="Z249" i="23"/>
  <c r="Z248" i="23"/>
  <c r="Y249" i="23"/>
  <c r="X249" i="23"/>
  <c r="W249" i="23"/>
  <c r="V249" i="23"/>
  <c r="T249" i="23"/>
  <c r="S249" i="23"/>
  <c r="T248" i="23"/>
  <c r="R248" i="23"/>
  <c r="Q246" i="23"/>
  <c r="Q245" i="23"/>
  <c r="Q244" i="23"/>
  <c r="G244" i="23"/>
  <c r="Q243" i="23"/>
  <c r="G243" i="23"/>
  <c r="Q242" i="23"/>
  <c r="G242" i="23"/>
  <c r="Q241" i="23"/>
  <c r="G241" i="23"/>
  <c r="Q240" i="23"/>
  <c r="G240" i="23"/>
  <c r="Q239" i="23"/>
  <c r="G239" i="23"/>
  <c r="Q238" i="23"/>
  <c r="G238" i="23"/>
  <c r="AF237" i="23"/>
  <c r="AE237" i="23"/>
  <c r="AD237" i="23"/>
  <c r="AC237" i="23"/>
  <c r="AB237" i="23"/>
  <c r="AA237" i="23"/>
  <c r="Z237" i="23"/>
  <c r="Y237" i="23"/>
  <c r="X237" i="23"/>
  <c r="W237" i="23"/>
  <c r="V237" i="23"/>
  <c r="U237" i="23"/>
  <c r="T237" i="23"/>
  <c r="S237" i="23"/>
  <c r="G237" i="23"/>
  <c r="Q236" i="23"/>
  <c r="Q235" i="23"/>
  <c r="Q234" i="23"/>
  <c r="G234" i="23"/>
  <c r="Q233" i="23"/>
  <c r="G233" i="23"/>
  <c r="Q232" i="23"/>
  <c r="G232" i="23"/>
  <c r="Q231" i="23"/>
  <c r="G231" i="23"/>
  <c r="Q230" i="23"/>
  <c r="G230" i="23"/>
  <c r="Q229" i="23"/>
  <c r="G229" i="23"/>
  <c r="Q228" i="23"/>
  <c r="G228" i="23"/>
  <c r="AF227" i="23"/>
  <c r="AE227" i="23"/>
  <c r="AD227" i="23"/>
  <c r="AC227" i="23"/>
  <c r="AB227" i="23"/>
  <c r="AA227" i="23"/>
  <c r="Z227" i="23"/>
  <c r="Y227" i="23"/>
  <c r="X227" i="23"/>
  <c r="W227" i="23"/>
  <c r="AG227" i="23" s="1"/>
  <c r="V227" i="23"/>
  <c r="U227" i="23"/>
  <c r="T227" i="23"/>
  <c r="S227" i="23"/>
  <c r="G227" i="23"/>
  <c r="Q226" i="23"/>
  <c r="Q218" i="23" s="1"/>
  <c r="Q225" i="23"/>
  <c r="G225" i="23"/>
  <c r="Q224" i="23"/>
  <c r="G224" i="23"/>
  <c r="Q223" i="23"/>
  <c r="G223" i="23"/>
  <c r="Q222" i="23"/>
  <c r="G222" i="23"/>
  <c r="Q221" i="23"/>
  <c r="G221" i="23"/>
  <c r="Q220" i="23"/>
  <c r="G220" i="23"/>
  <c r="Q219" i="23"/>
  <c r="G219" i="23"/>
  <c r="AF218" i="23"/>
  <c r="AE218" i="23"/>
  <c r="AD218" i="23"/>
  <c r="AC218" i="23"/>
  <c r="AC171" i="23" s="1"/>
  <c r="AB218" i="23"/>
  <c r="AA218" i="23"/>
  <c r="Z218" i="23"/>
  <c r="Y218" i="23"/>
  <c r="X218" i="23"/>
  <c r="W218" i="23"/>
  <c r="V218" i="23"/>
  <c r="U218" i="23"/>
  <c r="T218" i="23"/>
  <c r="S218" i="23"/>
  <c r="G218" i="23"/>
  <c r="AG217" i="23"/>
  <c r="Q217" i="23"/>
  <c r="Q216" i="23"/>
  <c r="Q215" i="23"/>
  <c r="Q214" i="23"/>
  <c r="G214" i="23"/>
  <c r="Q213" i="23"/>
  <c r="G213" i="23"/>
  <c r="Q212" i="23"/>
  <c r="G212" i="23"/>
  <c r="Q211" i="23"/>
  <c r="G211" i="23"/>
  <c r="Q210" i="23"/>
  <c r="G210" i="23"/>
  <c r="Q209" i="23"/>
  <c r="G209" i="23"/>
  <c r="Q208" i="23"/>
  <c r="G208" i="23"/>
  <c r="AF207" i="23"/>
  <c r="AE207" i="23"/>
  <c r="AD207" i="23"/>
  <c r="AC207" i="23"/>
  <c r="AB207" i="23"/>
  <c r="AA207" i="23"/>
  <c r="Z207" i="23"/>
  <c r="Z171" i="23" s="1"/>
  <c r="Y207" i="23"/>
  <c r="X207" i="23"/>
  <c r="W207" i="23"/>
  <c r="V207" i="23"/>
  <c r="U207" i="23"/>
  <c r="T207" i="23"/>
  <c r="T171" i="23" s="1"/>
  <c r="S207" i="23"/>
  <c r="G207" i="23"/>
  <c r="AG206" i="23"/>
  <c r="Q206" i="23"/>
  <c r="Q205" i="23"/>
  <c r="G205" i="23"/>
  <c r="Q204" i="23"/>
  <c r="G204" i="23"/>
  <c r="Q203" i="23"/>
  <c r="G203" i="23"/>
  <c r="AF202" i="23"/>
  <c r="AE202" i="23"/>
  <c r="AE171" i="23" s="1"/>
  <c r="AD202" i="23"/>
  <c r="AC202" i="23"/>
  <c r="AB202" i="23"/>
  <c r="AB172" i="23"/>
  <c r="AB182" i="23"/>
  <c r="AB192" i="23"/>
  <c r="AA202" i="23"/>
  <c r="Z202" i="23"/>
  <c r="Y202" i="23"/>
  <c r="X202" i="23"/>
  <c r="W202" i="23"/>
  <c r="V202" i="23"/>
  <c r="U202" i="23"/>
  <c r="T202" i="23"/>
  <c r="S202" i="23"/>
  <c r="G202" i="23"/>
  <c r="Q201" i="23"/>
  <c r="Q200" i="23"/>
  <c r="Q199" i="23"/>
  <c r="G199" i="23"/>
  <c r="Q198" i="23"/>
  <c r="G198" i="23"/>
  <c r="Q197" i="23"/>
  <c r="G197" i="23"/>
  <c r="Q196" i="23"/>
  <c r="G196" i="23"/>
  <c r="Q195" i="23"/>
  <c r="G195" i="23"/>
  <c r="Q194" i="23"/>
  <c r="G194" i="23"/>
  <c r="Q193" i="23"/>
  <c r="Q192" i="23" s="1"/>
  <c r="G193" i="23"/>
  <c r="AF192" i="23"/>
  <c r="AE192" i="23"/>
  <c r="AD192" i="23"/>
  <c r="AC192" i="23"/>
  <c r="AA192" i="23"/>
  <c r="Z192" i="23"/>
  <c r="Y192" i="23"/>
  <c r="X192" i="23"/>
  <c r="W192" i="23"/>
  <c r="V192" i="23"/>
  <c r="U192" i="23"/>
  <c r="T192" i="23"/>
  <c r="S192" i="23"/>
  <c r="G192" i="23"/>
  <c r="Q191" i="23"/>
  <c r="Q190" i="23"/>
  <c r="Q189" i="23"/>
  <c r="G189" i="23"/>
  <c r="Q188" i="23"/>
  <c r="G188" i="23"/>
  <c r="Q187" i="23"/>
  <c r="G187" i="23"/>
  <c r="Q186" i="23"/>
  <c r="G186" i="23"/>
  <c r="Q185" i="23"/>
  <c r="G185" i="23"/>
  <c r="Q184" i="23"/>
  <c r="G184" i="23"/>
  <c r="Q183" i="23"/>
  <c r="G183" i="23"/>
  <c r="AF182" i="23"/>
  <c r="AE182" i="23"/>
  <c r="AD182" i="23"/>
  <c r="AC182" i="23"/>
  <c r="AA182" i="23"/>
  <c r="Z182" i="23"/>
  <c r="Y182" i="23"/>
  <c r="X182" i="23"/>
  <c r="W182" i="23"/>
  <c r="V182" i="23"/>
  <c r="U182" i="23"/>
  <c r="T182" i="23"/>
  <c r="S182" i="23"/>
  <c r="G182" i="23"/>
  <c r="Q181" i="23"/>
  <c r="Q180" i="23"/>
  <c r="Q179" i="23"/>
  <c r="G179" i="23"/>
  <c r="Q178" i="23"/>
  <c r="G178" i="23"/>
  <c r="Q177" i="23"/>
  <c r="G177" i="23"/>
  <c r="Q176" i="23"/>
  <c r="G176" i="23"/>
  <c r="Q175" i="23"/>
  <c r="G175" i="23"/>
  <c r="Q174" i="23"/>
  <c r="G174" i="23"/>
  <c r="Q173" i="23"/>
  <c r="Q172" i="23" s="1"/>
  <c r="G173" i="23"/>
  <c r="AF172" i="23"/>
  <c r="AE172" i="23"/>
  <c r="AD172" i="23"/>
  <c r="AC172" i="23"/>
  <c r="AA172" i="23"/>
  <c r="Z172" i="23"/>
  <c r="Y172" i="23"/>
  <c r="X172" i="23"/>
  <c r="X171" i="23"/>
  <c r="W172" i="23"/>
  <c r="V172" i="23"/>
  <c r="U172" i="23"/>
  <c r="T172" i="23"/>
  <c r="S172" i="23"/>
  <c r="S171" i="23" s="1"/>
  <c r="G172" i="23"/>
  <c r="E170" i="23"/>
  <c r="E169" i="23"/>
  <c r="AF168" i="23"/>
  <c r="AE168" i="23"/>
  <c r="AD168" i="23"/>
  <c r="AC168" i="23"/>
  <c r="AB168" i="23"/>
  <c r="AA168" i="23"/>
  <c r="Z168" i="23"/>
  <c r="Y168" i="23"/>
  <c r="X168" i="23"/>
  <c r="W168" i="23"/>
  <c r="V168" i="23"/>
  <c r="U168" i="23"/>
  <c r="T168" i="23"/>
  <c r="S168" i="23"/>
  <c r="R168" i="23"/>
  <c r="Q168" i="23"/>
  <c r="Q167" i="23"/>
  <c r="E167" i="23"/>
  <c r="P166" i="23"/>
  <c r="Q166" i="23"/>
  <c r="E166" i="23"/>
  <c r="Q165" i="23"/>
  <c r="E165" i="23"/>
  <c r="Q164" i="23"/>
  <c r="E164" i="23"/>
  <c r="Q163" i="23"/>
  <c r="E163" i="23"/>
  <c r="Q162" i="23"/>
  <c r="E162" i="23"/>
  <c r="Q161" i="23"/>
  <c r="E161" i="23"/>
  <c r="Q160" i="23"/>
  <c r="E160" i="23"/>
  <c r="Q159" i="23"/>
  <c r="E159" i="23"/>
  <c r="Q158" i="23"/>
  <c r="E158" i="23"/>
  <c r="O157" i="23"/>
  <c r="Q157" i="23" s="1"/>
  <c r="E157" i="23"/>
  <c r="O156" i="23"/>
  <c r="Q156" i="23"/>
  <c r="E156" i="23"/>
  <c r="Q155" i="23"/>
  <c r="E155" i="23"/>
  <c r="Q154" i="23"/>
  <c r="E154" i="23"/>
  <c r="Q153" i="23"/>
  <c r="E153" i="23"/>
  <c r="AF152" i="23"/>
  <c r="AE152" i="23"/>
  <c r="AD152" i="23"/>
  <c r="AC152" i="23"/>
  <c r="AB152" i="23"/>
  <c r="AA152" i="23"/>
  <c r="Z152" i="23"/>
  <c r="Y152" i="23"/>
  <c r="X152" i="23"/>
  <c r="W152" i="23"/>
  <c r="V152" i="23"/>
  <c r="U152" i="23"/>
  <c r="T152" i="23"/>
  <c r="S152" i="23"/>
  <c r="E152" i="23"/>
  <c r="Q151" i="23"/>
  <c r="G151" i="23"/>
  <c r="E151" i="23"/>
  <c r="Q150" i="23"/>
  <c r="G150" i="23"/>
  <c r="E150" i="23" s="1"/>
  <c r="Q149" i="23"/>
  <c r="G149" i="23"/>
  <c r="E149" i="23" s="1"/>
  <c r="Q148" i="23"/>
  <c r="G148" i="23"/>
  <c r="E148" i="23"/>
  <c r="Q147" i="23"/>
  <c r="G147" i="23"/>
  <c r="E147" i="23"/>
  <c r="Q146" i="23"/>
  <c r="G146" i="23"/>
  <c r="E146" i="23" s="1"/>
  <c r="Q145" i="23"/>
  <c r="G145" i="23"/>
  <c r="E145" i="23" s="1"/>
  <c r="Q144" i="23"/>
  <c r="G144" i="23"/>
  <c r="E144" i="23"/>
  <c r="Q143" i="23"/>
  <c r="G143" i="23"/>
  <c r="E143" i="23"/>
  <c r="Q142" i="23"/>
  <c r="G142" i="23"/>
  <c r="E142" i="23" s="1"/>
  <c r="AF141" i="23"/>
  <c r="AE141" i="23"/>
  <c r="AD141" i="23"/>
  <c r="AC141" i="23"/>
  <c r="AB141" i="23"/>
  <c r="AA141" i="23"/>
  <c r="Z141" i="23"/>
  <c r="Y141" i="23"/>
  <c r="X141" i="23"/>
  <c r="W141" i="23"/>
  <c r="V141" i="23"/>
  <c r="U141" i="23"/>
  <c r="T141" i="23"/>
  <c r="S141" i="23"/>
  <c r="G141" i="23"/>
  <c r="E141" i="23"/>
  <c r="Q140" i="23"/>
  <c r="G140" i="23"/>
  <c r="E140" i="23" s="1"/>
  <c r="Q139" i="23"/>
  <c r="G139" i="23"/>
  <c r="E139" i="23"/>
  <c r="O138" i="23"/>
  <c r="Q138" i="23" s="1"/>
  <c r="G138" i="23"/>
  <c r="E138" i="23" s="1"/>
  <c r="AF137" i="23"/>
  <c r="AE137" i="23"/>
  <c r="AD137" i="23"/>
  <c r="AD100" i="23" s="1"/>
  <c r="AC137" i="23"/>
  <c r="AC101" i="23"/>
  <c r="AC114" i="23"/>
  <c r="AC124" i="23"/>
  <c r="AB137" i="23"/>
  <c r="AA137" i="23"/>
  <c r="Z137" i="23"/>
  <c r="Y137" i="23"/>
  <c r="X137" i="23"/>
  <c r="X100" i="23" s="1"/>
  <c r="W137" i="23"/>
  <c r="V137" i="23"/>
  <c r="U137" i="23"/>
  <c r="T137" i="23"/>
  <c r="S137" i="23"/>
  <c r="G137" i="23"/>
  <c r="E137" i="23" s="1"/>
  <c r="Q136" i="23"/>
  <c r="Q135" i="23"/>
  <c r="E135" i="23"/>
  <c r="Q134" i="23"/>
  <c r="E134" i="23"/>
  <c r="Q133" i="23"/>
  <c r="E133" i="23"/>
  <c r="Q132" i="23"/>
  <c r="E132" i="23"/>
  <c r="Q131" i="23"/>
  <c r="E131" i="23"/>
  <c r="Q130" i="23"/>
  <c r="E130" i="23"/>
  <c r="O129" i="23"/>
  <c r="Q129" i="23"/>
  <c r="E129" i="23"/>
  <c r="O128" i="23"/>
  <c r="Q128" i="23" s="1"/>
  <c r="E128" i="23"/>
  <c r="Q127" i="23"/>
  <c r="E127" i="23"/>
  <c r="Q126" i="23"/>
  <c r="E126" i="23"/>
  <c r="Q125" i="23"/>
  <c r="E125" i="23"/>
  <c r="AF124" i="23"/>
  <c r="AE124" i="23"/>
  <c r="AD124" i="23"/>
  <c r="AB124" i="23"/>
  <c r="AB100" i="23" s="1"/>
  <c r="AA124" i="23"/>
  <c r="Z124" i="23"/>
  <c r="Y124" i="23"/>
  <c r="X124" i="23"/>
  <c r="W124" i="23"/>
  <c r="V124" i="23"/>
  <c r="U124" i="23"/>
  <c r="T124" i="23"/>
  <c r="S124" i="23"/>
  <c r="E124" i="23"/>
  <c r="Q123" i="23"/>
  <c r="G123" i="23"/>
  <c r="E123" i="23" s="1"/>
  <c r="Q122" i="23"/>
  <c r="G122" i="23"/>
  <c r="E122" i="23"/>
  <c r="Q121" i="23"/>
  <c r="G121" i="23"/>
  <c r="E121" i="23" s="1"/>
  <c r="Q120" i="23"/>
  <c r="G120" i="23"/>
  <c r="E120" i="23"/>
  <c r="Q119" i="23"/>
  <c r="G119" i="23"/>
  <c r="E119" i="23" s="1"/>
  <c r="Q118" i="23"/>
  <c r="G118" i="23"/>
  <c r="E118" i="23"/>
  <c r="Q117" i="23"/>
  <c r="G117" i="23"/>
  <c r="E117" i="23" s="1"/>
  <c r="Q116" i="23"/>
  <c r="G116" i="23"/>
  <c r="E116" i="23"/>
  <c r="A116" i="23"/>
  <c r="A117" i="23"/>
  <c r="Q115" i="23"/>
  <c r="G115" i="23"/>
  <c r="E115" i="23" s="1"/>
  <c r="AF114" i="23"/>
  <c r="AE114" i="23"/>
  <c r="AD114" i="23"/>
  <c r="AB114" i="23"/>
  <c r="AA114" i="23"/>
  <c r="Z114" i="23"/>
  <c r="Y114" i="23"/>
  <c r="X114" i="23"/>
  <c r="W114" i="23"/>
  <c r="V114" i="23"/>
  <c r="U114" i="23"/>
  <c r="T114" i="23"/>
  <c r="S114" i="23"/>
  <c r="G114" i="23"/>
  <c r="E114" i="23"/>
  <c r="Q113" i="23"/>
  <c r="Q112" i="23"/>
  <c r="Q111" i="23"/>
  <c r="Q110" i="23"/>
  <c r="Q109" i="23"/>
  <c r="A109" i="23"/>
  <c r="A110" i="23" s="1"/>
  <c r="A111" i="23"/>
  <c r="Q108" i="23"/>
  <c r="Q107" i="23"/>
  <c r="Q106" i="23"/>
  <c r="Q105" i="23"/>
  <c r="Q104" i="23"/>
  <c r="Q103" i="23"/>
  <c r="F103" i="23"/>
  <c r="F104" i="23"/>
  <c r="F105" i="23" s="1"/>
  <c r="F106" i="23" s="1"/>
  <c r="Q102" i="23"/>
  <c r="Q101" i="23" s="1"/>
  <c r="E102" i="23"/>
  <c r="AF101" i="23"/>
  <c r="AE101" i="23"/>
  <c r="AD101" i="23"/>
  <c r="AB101" i="23"/>
  <c r="AA101" i="23"/>
  <c r="Z101" i="23"/>
  <c r="Y101" i="23"/>
  <c r="X101" i="23"/>
  <c r="W101" i="23"/>
  <c r="V101" i="23"/>
  <c r="U101" i="23"/>
  <c r="T101" i="23"/>
  <c r="T100" i="23" s="1"/>
  <c r="T99" i="23" s="1"/>
  <c r="S101" i="23"/>
  <c r="E101" i="23"/>
  <c r="Q94" i="23"/>
  <c r="X94" i="23"/>
  <c r="G94" i="23"/>
  <c r="Q93" i="23"/>
  <c r="X93" i="23" s="1"/>
  <c r="G93" i="23"/>
  <c r="Q92" i="23"/>
  <c r="X92" i="23"/>
  <c r="G92" i="23"/>
  <c r="Q91" i="23"/>
  <c r="X91" i="23" s="1"/>
  <c r="X87" i="23" s="1"/>
  <c r="AG87" i="23" s="1"/>
  <c r="G91" i="23"/>
  <c r="Q90" i="23"/>
  <c r="X90" i="23"/>
  <c r="G90" i="23"/>
  <c r="Q89" i="23"/>
  <c r="X89" i="23" s="1"/>
  <c r="G89" i="23"/>
  <c r="Q88" i="23"/>
  <c r="X88" i="23"/>
  <c r="G88" i="23"/>
  <c r="AF87" i="23"/>
  <c r="AE87" i="23"/>
  <c r="AD87" i="23"/>
  <c r="AC87" i="23"/>
  <c r="AB87" i="23"/>
  <c r="AA87" i="23"/>
  <c r="Z87" i="23"/>
  <c r="Y87" i="23"/>
  <c r="W87" i="23"/>
  <c r="V87" i="23"/>
  <c r="U87" i="23"/>
  <c r="T87" i="23"/>
  <c r="S87" i="23"/>
  <c r="R87" i="23"/>
  <c r="G87" i="23"/>
  <c r="Q86" i="23"/>
  <c r="V86" i="23"/>
  <c r="G86" i="23"/>
  <c r="Q85" i="23"/>
  <c r="V85" i="23" s="1"/>
  <c r="G85" i="23"/>
  <c r="Q84" i="23"/>
  <c r="V84" i="23"/>
  <c r="G84" i="23"/>
  <c r="Q83" i="23"/>
  <c r="W83" i="23" s="1"/>
  <c r="G83" i="23"/>
  <c r="Q82" i="23"/>
  <c r="W82" i="23"/>
  <c r="W68" i="23" s="1"/>
  <c r="G82" i="23"/>
  <c r="Q81" i="23"/>
  <c r="W81" i="23" s="1"/>
  <c r="G81" i="23"/>
  <c r="Q80" i="23"/>
  <c r="V80" i="23"/>
  <c r="G80" i="23"/>
  <c r="Q79" i="23"/>
  <c r="V79" i="23" s="1"/>
  <c r="G79" i="23"/>
  <c r="Q78" i="23"/>
  <c r="V78" i="23"/>
  <c r="G78" i="23"/>
  <c r="Q77" i="23"/>
  <c r="V77" i="23" s="1"/>
  <c r="V68" i="23" s="1"/>
  <c r="G77" i="23"/>
  <c r="Q76" i="23"/>
  <c r="V76" i="23"/>
  <c r="G76" i="23"/>
  <c r="Q75" i="23"/>
  <c r="V75" i="23" s="1"/>
  <c r="G75" i="23"/>
  <c r="Q74" i="23"/>
  <c r="V74" i="23"/>
  <c r="G74" i="23"/>
  <c r="Q73" i="23"/>
  <c r="V73" i="23" s="1"/>
  <c r="G73" i="23"/>
  <c r="Q72" i="23"/>
  <c r="V72" i="23"/>
  <c r="G72" i="23"/>
  <c r="Q71" i="23"/>
  <c r="V71" i="23" s="1"/>
  <c r="G71" i="23"/>
  <c r="Q70" i="23"/>
  <c r="V70" i="23"/>
  <c r="G70" i="23"/>
  <c r="Q69" i="23"/>
  <c r="V69" i="23" s="1"/>
  <c r="G69" i="23"/>
  <c r="AF68" i="23"/>
  <c r="AE68" i="23"/>
  <c r="AE9" i="23" s="1"/>
  <c r="AD68" i="23"/>
  <c r="AC68" i="23"/>
  <c r="AB68" i="23"/>
  <c r="AA68" i="23"/>
  <c r="Z68" i="23"/>
  <c r="Y68" i="23"/>
  <c r="X68" i="23"/>
  <c r="U68" i="23"/>
  <c r="T68" i="23"/>
  <c r="S68" i="23"/>
  <c r="R68" i="23"/>
  <c r="G68" i="23"/>
  <c r="Q67" i="23"/>
  <c r="V67" i="23"/>
  <c r="G67" i="23"/>
  <c r="Q66" i="23"/>
  <c r="V66" i="23"/>
  <c r="G66" i="23"/>
  <c r="Q65" i="23"/>
  <c r="V65" i="23" s="1"/>
  <c r="G65" i="23"/>
  <c r="Q64" i="23"/>
  <c r="U64" i="23" s="1"/>
  <c r="G64" i="23"/>
  <c r="Q63" i="23"/>
  <c r="U63" i="23"/>
  <c r="U56" i="23" s="1"/>
  <c r="G63" i="23"/>
  <c r="Q62" i="23"/>
  <c r="U62" i="23"/>
  <c r="G62" i="23"/>
  <c r="Q61" i="23"/>
  <c r="U61" i="23" s="1"/>
  <c r="G61" i="23"/>
  <c r="Q60" i="23"/>
  <c r="U60" i="23" s="1"/>
  <c r="G60" i="23"/>
  <c r="Q59" i="23"/>
  <c r="U59" i="23"/>
  <c r="G59" i="23"/>
  <c r="Q58" i="23"/>
  <c r="U58" i="23"/>
  <c r="G58" i="23"/>
  <c r="Q57" i="23"/>
  <c r="U57" i="23" s="1"/>
  <c r="G57" i="23"/>
  <c r="AF56" i="23"/>
  <c r="AE56" i="23"/>
  <c r="AD56" i="23"/>
  <c r="AC56" i="23"/>
  <c r="AB56" i="23"/>
  <c r="AA56" i="23"/>
  <c r="Z56" i="23"/>
  <c r="Y56" i="23"/>
  <c r="X56" i="23"/>
  <c r="W56" i="23"/>
  <c r="T56" i="23"/>
  <c r="S56" i="23"/>
  <c r="R56" i="23"/>
  <c r="G56" i="23"/>
  <c r="Q55" i="23"/>
  <c r="U55" i="23" s="1"/>
  <c r="G55" i="23"/>
  <c r="Q54" i="23"/>
  <c r="U54" i="23"/>
  <c r="G54" i="23"/>
  <c r="Q53" i="23"/>
  <c r="U53" i="23" s="1"/>
  <c r="U50" i="23" s="1"/>
  <c r="G53" i="23"/>
  <c r="Q52" i="23"/>
  <c r="U52" i="23"/>
  <c r="G52" i="23"/>
  <c r="Q51" i="23"/>
  <c r="U51" i="23" s="1"/>
  <c r="G51" i="23"/>
  <c r="AF50" i="23"/>
  <c r="AE50" i="23"/>
  <c r="AD50" i="23"/>
  <c r="AC50" i="23"/>
  <c r="AB50" i="23"/>
  <c r="AA50" i="23"/>
  <c r="Z50" i="23"/>
  <c r="Y50" i="23"/>
  <c r="X50" i="23"/>
  <c r="W50" i="23"/>
  <c r="V50" i="23"/>
  <c r="T50" i="23"/>
  <c r="S50" i="23"/>
  <c r="R50" i="23"/>
  <c r="G50" i="23"/>
  <c r="Q49" i="23"/>
  <c r="U49" i="23" s="1"/>
  <c r="G49" i="23"/>
  <c r="Q48" i="23"/>
  <c r="U48" i="23"/>
  <c r="G48" i="23"/>
  <c r="Q47" i="23"/>
  <c r="T47" i="23" s="1"/>
  <c r="G47" i="23"/>
  <c r="Q46" i="23"/>
  <c r="T46" i="23"/>
  <c r="G46" i="23"/>
  <c r="Q45" i="23"/>
  <c r="U45" i="23" s="1"/>
  <c r="G45" i="23"/>
  <c r="Q44" i="23"/>
  <c r="U44" i="23"/>
  <c r="G44" i="23"/>
  <c r="Q43" i="23"/>
  <c r="T43" i="23" s="1"/>
  <c r="T23" i="23" s="1"/>
  <c r="G43" i="23"/>
  <c r="Q42" i="23"/>
  <c r="T42" i="23"/>
  <c r="G42" i="23"/>
  <c r="Q41" i="23"/>
  <c r="T41" i="23" s="1"/>
  <c r="G41" i="23"/>
  <c r="Q40" i="23"/>
  <c r="T40" i="23"/>
  <c r="G40" i="23"/>
  <c r="Q39" i="23"/>
  <c r="U39" i="23" s="1"/>
  <c r="G39" i="23"/>
  <c r="Q38" i="23"/>
  <c r="U38" i="23"/>
  <c r="G38" i="23"/>
  <c r="Q37" i="23"/>
  <c r="U37" i="23" s="1"/>
  <c r="G37" i="23"/>
  <c r="Q36" i="23"/>
  <c r="U36" i="23"/>
  <c r="G36" i="23"/>
  <c r="Q35" i="23"/>
  <c r="U35" i="23" s="1"/>
  <c r="G35" i="23"/>
  <c r="Q34" i="23"/>
  <c r="U34" i="23"/>
  <c r="G34" i="23"/>
  <c r="Q33" i="23"/>
  <c r="U33" i="23" s="1"/>
  <c r="G33" i="23"/>
  <c r="Q32" i="23"/>
  <c r="T32" i="23"/>
  <c r="G32" i="23"/>
  <c r="Q31" i="23"/>
  <c r="U31" i="23" s="1"/>
  <c r="G31" i="23"/>
  <c r="Q30" i="23"/>
  <c r="U30" i="23"/>
  <c r="G30" i="23"/>
  <c r="Q29" i="23"/>
  <c r="G29" i="23"/>
  <c r="Q28" i="23"/>
  <c r="U28" i="23"/>
  <c r="G28" i="23"/>
  <c r="Q27" i="23"/>
  <c r="T27" i="23" s="1"/>
  <c r="G27" i="23"/>
  <c r="Q26" i="23"/>
  <c r="T26" i="23"/>
  <c r="G26" i="23"/>
  <c r="Q25" i="23"/>
  <c r="T25" i="23" s="1"/>
  <c r="G25" i="23"/>
  <c r="Q24" i="23"/>
  <c r="T24" i="23"/>
  <c r="G24" i="23"/>
  <c r="AF23" i="23"/>
  <c r="AE23" i="23"/>
  <c r="AD23" i="23"/>
  <c r="AD9" i="23" s="1"/>
  <c r="AD8" i="23" s="1"/>
  <c r="AC23" i="23"/>
  <c r="AB23" i="23"/>
  <c r="AA23" i="23"/>
  <c r="Z23" i="23"/>
  <c r="Z9" i="23" s="1"/>
  <c r="Z8" i="23" s="1"/>
  <c r="Y23" i="23"/>
  <c r="X23" i="23"/>
  <c r="W23" i="23"/>
  <c r="V23" i="23"/>
  <c r="S23" i="23"/>
  <c r="R23" i="23"/>
  <c r="G23" i="23"/>
  <c r="Q22" i="23"/>
  <c r="T22" i="23" s="1"/>
  <c r="G22" i="23"/>
  <c r="Q21" i="23"/>
  <c r="T21" i="23"/>
  <c r="G21" i="23"/>
  <c r="Q20" i="23"/>
  <c r="T20" i="23" s="1"/>
  <c r="G20" i="23"/>
  <c r="Q19" i="23"/>
  <c r="T19" i="23"/>
  <c r="G19" i="23"/>
  <c r="Q18" i="23"/>
  <c r="T18" i="23" s="1"/>
  <c r="G18" i="23"/>
  <c r="Q17" i="23"/>
  <c r="T17" i="23"/>
  <c r="G17" i="23"/>
  <c r="Q16" i="23"/>
  <c r="T16" i="23" s="1"/>
  <c r="G16" i="23"/>
  <c r="Q15" i="23"/>
  <c r="T15" i="23"/>
  <c r="G15" i="23"/>
  <c r="Q14" i="23"/>
  <c r="G14" i="23"/>
  <c r="Q13" i="23"/>
  <c r="T13" i="23"/>
  <c r="G13" i="23"/>
  <c r="Q12" i="23"/>
  <c r="G12" i="23"/>
  <c r="Q11" i="23"/>
  <c r="T11" i="23" s="1"/>
  <c r="G11" i="23"/>
  <c r="AF10" i="23"/>
  <c r="AF9" i="23"/>
  <c r="AF8" i="23" s="1"/>
  <c r="AE10" i="23"/>
  <c r="AD10" i="23"/>
  <c r="AC10" i="23"/>
  <c r="AB10" i="23"/>
  <c r="AA10" i="23"/>
  <c r="Z10" i="23"/>
  <c r="Y10" i="23"/>
  <c r="Y9" i="23" s="1"/>
  <c r="Y8" i="23" s="1"/>
  <c r="X10" i="23"/>
  <c r="W10" i="23"/>
  <c r="V10" i="23"/>
  <c r="U10" i="23"/>
  <c r="S10" i="23"/>
  <c r="R10" i="23"/>
  <c r="G10" i="23"/>
  <c r="R7" i="23"/>
  <c r="Q650" i="14"/>
  <c r="Q649" i="14"/>
  <c r="Q648" i="14"/>
  <c r="Q647" i="14"/>
  <c r="Q646" i="14"/>
  <c r="Q644" i="14"/>
  <c r="Q643" i="14"/>
  <c r="Q642" i="14"/>
  <c r="Q640" i="14"/>
  <c r="Q639" i="14"/>
  <c r="Q638" i="14"/>
  <c r="Q637" i="14"/>
  <c r="Q636" i="14"/>
  <c r="Q634" i="14"/>
  <c r="AF633" i="14"/>
  <c r="AE633" i="14"/>
  <c r="AD633" i="14"/>
  <c r="AD623" i="14"/>
  <c r="AD622" i="14" s="1"/>
  <c r="AC633" i="14"/>
  <c r="AB633" i="14"/>
  <c r="AA633" i="14"/>
  <c r="Z633" i="14"/>
  <c r="Z623" i="14"/>
  <c r="Z622" i="14" s="1"/>
  <c r="Y633" i="14"/>
  <c r="X633" i="14"/>
  <c r="W633" i="14"/>
  <c r="V633" i="14"/>
  <c r="V623" i="14"/>
  <c r="V622" i="14" s="1"/>
  <c r="U633" i="14"/>
  <c r="T633" i="14"/>
  <c r="S633" i="14"/>
  <c r="Q632" i="14"/>
  <c r="Q631" i="14"/>
  <c r="Q630" i="14" s="1"/>
  <c r="Q629" i="14"/>
  <c r="Q628" i="14"/>
  <c r="Q625" i="14" s="1"/>
  <c r="Q627" i="14"/>
  <c r="Q626" i="14"/>
  <c r="Q624" i="14"/>
  <c r="AF623" i="14"/>
  <c r="AE623" i="14"/>
  <c r="AE622" i="14" s="1"/>
  <c r="AC623" i="14"/>
  <c r="AC622" i="14"/>
  <c r="AB623" i="14"/>
  <c r="AA623" i="14"/>
  <c r="AA622" i="14" s="1"/>
  <c r="Y623" i="14"/>
  <c r="X623" i="14"/>
  <c r="W623" i="14"/>
  <c r="W622" i="14"/>
  <c r="U623" i="14"/>
  <c r="U622" i="14" s="1"/>
  <c r="T623" i="14"/>
  <c r="S623" i="14"/>
  <c r="S622" i="14" s="1"/>
  <c r="R622" i="14"/>
  <c r="R603" i="14" s="1"/>
  <c r="AF618" i="14"/>
  <c r="AE618" i="14"/>
  <c r="AE614" i="14"/>
  <c r="AE613" i="14"/>
  <c r="AD618" i="14"/>
  <c r="AC618" i="14"/>
  <c r="AB618" i="14"/>
  <c r="AA618" i="14"/>
  <c r="AA614" i="14"/>
  <c r="AA613" i="14" s="1"/>
  <c r="Z618" i="14"/>
  <c r="Y618" i="14"/>
  <c r="X618" i="14"/>
  <c r="W618" i="14"/>
  <c r="W614" i="14"/>
  <c r="W613" i="14"/>
  <c r="V618" i="14"/>
  <c r="V613" i="14" s="1"/>
  <c r="U618" i="14"/>
  <c r="T618" i="14"/>
  <c r="S618" i="14"/>
  <c r="S614" i="14"/>
  <c r="S613" i="14" s="1"/>
  <c r="Q618" i="14"/>
  <c r="AF614" i="14"/>
  <c r="AF613" i="14"/>
  <c r="AD614" i="14"/>
  <c r="AC614" i="14"/>
  <c r="AC613" i="14" s="1"/>
  <c r="AB614" i="14"/>
  <c r="AB613" i="14" s="1"/>
  <c r="Z614" i="14"/>
  <c r="Y614" i="14"/>
  <c r="Y613" i="14" s="1"/>
  <c r="X614" i="14"/>
  <c r="X613" i="14"/>
  <c r="X603" i="14" s="1"/>
  <c r="V614" i="14"/>
  <c r="U614" i="14"/>
  <c r="T614" i="14"/>
  <c r="T613" i="14"/>
  <c r="Q614" i="14"/>
  <c r="U613" i="14"/>
  <c r="AF609" i="14"/>
  <c r="AF605" i="14"/>
  <c r="AF604" i="14" s="1"/>
  <c r="AE609" i="14"/>
  <c r="AD609" i="14"/>
  <c r="AC609" i="14"/>
  <c r="AB609" i="14"/>
  <c r="AA609" i="14"/>
  <c r="AA604" i="14" s="1"/>
  <c r="AA603" i="14" s="1"/>
  <c r="Z609" i="14"/>
  <c r="Z605" i="14"/>
  <c r="Z604" i="14" s="1"/>
  <c r="Y609" i="14"/>
  <c r="X609" i="14"/>
  <c r="X605" i="14"/>
  <c r="X604" i="14" s="1"/>
  <c r="W609" i="14"/>
  <c r="W604" i="14" s="1"/>
  <c r="V609" i="14"/>
  <c r="U609" i="14"/>
  <c r="T609" i="14"/>
  <c r="T604" i="14" s="1"/>
  <c r="S609" i="14"/>
  <c r="S604" i="14" s="1"/>
  <c r="S603" i="14" s="1"/>
  <c r="Q609" i="14"/>
  <c r="Q605" i="14"/>
  <c r="Q604" i="14" s="1"/>
  <c r="AE605" i="14"/>
  <c r="AD605" i="14"/>
  <c r="AD604" i="14" s="1"/>
  <c r="AC605" i="14"/>
  <c r="AC604" i="14" s="1"/>
  <c r="AB605" i="14"/>
  <c r="AA605" i="14"/>
  <c r="Y605" i="14"/>
  <c r="Y604" i="14" s="1"/>
  <c r="W605" i="14"/>
  <c r="V605" i="14"/>
  <c r="V604" i="14"/>
  <c r="V603" i="14" s="1"/>
  <c r="U605" i="14"/>
  <c r="U604" i="14"/>
  <c r="T605" i="14"/>
  <c r="S605" i="14"/>
  <c r="AB604" i="14"/>
  <c r="AG597" i="14"/>
  <c r="Q597" i="14"/>
  <c r="AG595" i="14"/>
  <c r="AG592" i="14" s="1"/>
  <c r="Q595" i="14"/>
  <c r="Q592" i="14" s="1"/>
  <c r="AF592" i="14"/>
  <c r="AE592" i="14"/>
  <c r="AD592" i="14"/>
  <c r="AC592" i="14"/>
  <c r="AB592" i="14"/>
  <c r="AA592" i="14"/>
  <c r="Z592" i="14"/>
  <c r="Y592" i="14"/>
  <c r="X592" i="14"/>
  <c r="W592" i="14"/>
  <c r="V592" i="14"/>
  <c r="U592" i="14"/>
  <c r="T592" i="14"/>
  <c r="S592" i="14"/>
  <c r="Q591" i="14"/>
  <c r="V591" i="14"/>
  <c r="E591" i="14"/>
  <c r="F591" i="14" s="1"/>
  <c r="Q590" i="14"/>
  <c r="V590" i="14" s="1"/>
  <c r="E590" i="14"/>
  <c r="F590" i="14" s="1"/>
  <c r="Q589" i="14"/>
  <c r="V589" i="14" s="1"/>
  <c r="E589" i="14"/>
  <c r="F589" i="14" s="1"/>
  <c r="Q588" i="14"/>
  <c r="V588" i="14"/>
  <c r="F588" i="14"/>
  <c r="Q587" i="14"/>
  <c r="V587" i="14" s="1"/>
  <c r="E587" i="14"/>
  <c r="F587" i="14"/>
  <c r="Q586" i="14"/>
  <c r="V586" i="14"/>
  <c r="E586" i="14"/>
  <c r="F586" i="14"/>
  <c r="Q585" i="14"/>
  <c r="F585" i="14"/>
  <c r="Q584" i="14"/>
  <c r="W584" i="14"/>
  <c r="E584" i="14"/>
  <c r="F584" i="14" s="1"/>
  <c r="Q583" i="14"/>
  <c r="W583" i="14"/>
  <c r="F583" i="14"/>
  <c r="Q582" i="14"/>
  <c r="V582" i="14" s="1"/>
  <c r="F582" i="14"/>
  <c r="Q581" i="14"/>
  <c r="E581" i="14"/>
  <c r="F581" i="14"/>
  <c r="AF580" i="14"/>
  <c r="AE580" i="14"/>
  <c r="AD580" i="14"/>
  <c r="AD576" i="14"/>
  <c r="AD575" i="14"/>
  <c r="AC580" i="14"/>
  <c r="AB580" i="14"/>
  <c r="AA580" i="14"/>
  <c r="Z580" i="14"/>
  <c r="Y580" i="14"/>
  <c r="X580" i="14"/>
  <c r="T580" i="14"/>
  <c r="S580" i="14"/>
  <c r="Z579" i="14"/>
  <c r="Z576" i="14" s="1"/>
  <c r="Q578" i="14"/>
  <c r="T578" i="14" s="1"/>
  <c r="F578" i="14"/>
  <c r="Q577" i="14"/>
  <c r="E577" i="14"/>
  <c r="F577" i="14" s="1"/>
  <c r="AF576" i="14"/>
  <c r="AF575" i="14" s="1"/>
  <c r="AE576" i="14"/>
  <c r="AC576" i="14"/>
  <c r="AC575" i="14"/>
  <c r="AB576" i="14"/>
  <c r="AA576" i="14"/>
  <c r="AA575" i="14" s="1"/>
  <c r="Y576" i="14"/>
  <c r="Y575" i="14"/>
  <c r="X576" i="14"/>
  <c r="W576" i="14"/>
  <c r="V576" i="14"/>
  <c r="U576" i="14"/>
  <c r="S576" i="14"/>
  <c r="S575" i="14" s="1"/>
  <c r="AE575" i="14"/>
  <c r="R575" i="14"/>
  <c r="Q573" i="14"/>
  <c r="R573" i="14"/>
  <c r="G573" i="14"/>
  <c r="Q572" i="14"/>
  <c r="R572" i="14" s="1"/>
  <c r="V572" i="14" s="1"/>
  <c r="Q571" i="14"/>
  <c r="R571" i="14"/>
  <c r="V571" i="14"/>
  <c r="Q570" i="14"/>
  <c r="R570" i="14" s="1"/>
  <c r="G570" i="14"/>
  <c r="P569" i="14"/>
  <c r="Q569" i="14"/>
  <c r="G569" i="14"/>
  <c r="Q568" i="14"/>
  <c r="R568" i="14" s="1"/>
  <c r="G568" i="14"/>
  <c r="AF567" i="14"/>
  <c r="AE567" i="14"/>
  <c r="AD567" i="14"/>
  <c r="AC567" i="14"/>
  <c r="AB567" i="14"/>
  <c r="AA567" i="14"/>
  <c r="Z567" i="14"/>
  <c r="Y567" i="14"/>
  <c r="X567" i="14"/>
  <c r="W567" i="14"/>
  <c r="U567" i="14"/>
  <c r="T567" i="14"/>
  <c r="S567" i="14"/>
  <c r="Q566" i="14"/>
  <c r="R566" i="14"/>
  <c r="G566" i="14"/>
  <c r="Q565" i="14"/>
  <c r="G565" i="14"/>
  <c r="AF564" i="14"/>
  <c r="AE564" i="14"/>
  <c r="AD564" i="14"/>
  <c r="AC564" i="14"/>
  <c r="AB564" i="14"/>
  <c r="AA564" i="14"/>
  <c r="Z564" i="14"/>
  <c r="Y564" i="14"/>
  <c r="X564" i="14"/>
  <c r="W564" i="14"/>
  <c r="V564" i="14"/>
  <c r="U564" i="14"/>
  <c r="T564" i="14"/>
  <c r="S564" i="14"/>
  <c r="Q563" i="14"/>
  <c r="R563" i="14" s="1"/>
  <c r="G563" i="14"/>
  <c r="R562" i="14"/>
  <c r="G562" i="14"/>
  <c r="Q561" i="14"/>
  <c r="R561" i="14"/>
  <c r="G561" i="14"/>
  <c r="Q560" i="14"/>
  <c r="R560" i="14" s="1"/>
  <c r="G560" i="14"/>
  <c r="Q559" i="14"/>
  <c r="R559" i="14"/>
  <c r="G559" i="14"/>
  <c r="Q558" i="14"/>
  <c r="R558" i="14" s="1"/>
  <c r="G558" i="14"/>
  <c r="Q557" i="14"/>
  <c r="R557" i="14"/>
  <c r="G557" i="14"/>
  <c r="Q556" i="14"/>
  <c r="G556" i="14"/>
  <c r="Q555" i="14"/>
  <c r="R555" i="14" s="1"/>
  <c r="G555" i="14"/>
  <c r="AF554" i="14"/>
  <c r="AE554" i="14"/>
  <c r="AE532" i="14" s="1"/>
  <c r="AD554" i="14"/>
  <c r="AC554" i="14"/>
  <c r="AB554" i="14"/>
  <c r="AA554" i="14"/>
  <c r="Z554" i="14"/>
  <c r="Y554" i="14"/>
  <c r="X554" i="14"/>
  <c r="W554" i="14"/>
  <c r="V554" i="14"/>
  <c r="U554" i="14"/>
  <c r="T554" i="14"/>
  <c r="S554" i="14"/>
  <c r="AG554" i="14" s="1"/>
  <c r="Q553" i="14"/>
  <c r="R553" i="14"/>
  <c r="G553" i="14"/>
  <c r="Q552" i="14"/>
  <c r="R552" i="14" s="1"/>
  <c r="G552" i="14"/>
  <c r="Q551" i="14"/>
  <c r="R551" i="14"/>
  <c r="G551" i="14"/>
  <c r="Q550" i="14"/>
  <c r="G550" i="14"/>
  <c r="AF549" i="14"/>
  <c r="AF532" i="14" s="1"/>
  <c r="AE549" i="14"/>
  <c r="AD549" i="14"/>
  <c r="AC549" i="14"/>
  <c r="AB549" i="14"/>
  <c r="AA549" i="14"/>
  <c r="Z549" i="14"/>
  <c r="Y549" i="14"/>
  <c r="X549" i="14"/>
  <c r="W549" i="14"/>
  <c r="V549" i="14"/>
  <c r="U549" i="14"/>
  <c r="T549" i="14"/>
  <c r="AG549" i="14" s="1"/>
  <c r="S549" i="14"/>
  <c r="Q548" i="14"/>
  <c r="G548" i="14"/>
  <c r="AF547" i="14"/>
  <c r="AE547" i="14"/>
  <c r="AD547" i="14"/>
  <c r="AC547" i="14"/>
  <c r="AB547" i="14"/>
  <c r="AA547" i="14"/>
  <c r="Z547" i="14"/>
  <c r="Y547" i="14"/>
  <c r="X547" i="14"/>
  <c r="W547" i="14"/>
  <c r="V547" i="14"/>
  <c r="U547" i="14"/>
  <c r="T547" i="14"/>
  <c r="S547" i="14"/>
  <c r="Q546" i="14"/>
  <c r="G546" i="14"/>
  <c r="AF545" i="14"/>
  <c r="AE545" i="14"/>
  <c r="AD545" i="14"/>
  <c r="AC545" i="14"/>
  <c r="AB545" i="14"/>
  <c r="AA545" i="14"/>
  <c r="Z545" i="14"/>
  <c r="Y545" i="14"/>
  <c r="X545" i="14"/>
  <c r="W545" i="14"/>
  <c r="V545" i="14"/>
  <c r="U545" i="14"/>
  <c r="T545" i="14"/>
  <c r="S545" i="14"/>
  <c r="Q544" i="14"/>
  <c r="R544" i="14" s="1"/>
  <c r="G544" i="14"/>
  <c r="Q543" i="14"/>
  <c r="R543" i="14"/>
  <c r="G543" i="14"/>
  <c r="Q542" i="14"/>
  <c r="R542" i="14" s="1"/>
  <c r="G542" i="14"/>
  <c r="Q541" i="14"/>
  <c r="R541" i="14"/>
  <c r="E541" i="14"/>
  <c r="G541" i="14"/>
  <c r="AF540" i="14"/>
  <c r="AE540" i="14"/>
  <c r="AD540" i="14"/>
  <c r="AC540" i="14"/>
  <c r="AB540" i="14"/>
  <c r="AA540" i="14"/>
  <c r="Z540" i="14"/>
  <c r="Y540" i="14"/>
  <c r="X540" i="14"/>
  <c r="W540" i="14"/>
  <c r="V540" i="14"/>
  <c r="U540" i="14"/>
  <c r="T540" i="14"/>
  <c r="S540" i="14"/>
  <c r="R539" i="14"/>
  <c r="G539" i="14"/>
  <c r="Q538" i="14"/>
  <c r="G538" i="14"/>
  <c r="R537" i="14"/>
  <c r="G537" i="14"/>
  <c r="Q536" i="14"/>
  <c r="R536" i="14"/>
  <c r="G536" i="14"/>
  <c r="R535" i="14"/>
  <c r="G535" i="14"/>
  <c r="R534" i="14"/>
  <c r="E534" i="14"/>
  <c r="G534" i="14"/>
  <c r="AF533" i="14"/>
  <c r="AE533" i="14"/>
  <c r="AD533" i="14"/>
  <c r="AC533" i="14"/>
  <c r="AB533" i="14"/>
  <c r="AA533" i="14"/>
  <c r="Z533" i="14"/>
  <c r="Y533" i="14"/>
  <c r="X533" i="14"/>
  <c r="W533" i="14"/>
  <c r="V533" i="14"/>
  <c r="U533" i="14"/>
  <c r="T533" i="14"/>
  <c r="S533" i="14"/>
  <c r="R532" i="14"/>
  <c r="Q531" i="14"/>
  <c r="Y531" i="14" s="1"/>
  <c r="E531" i="14"/>
  <c r="G531" i="14" s="1"/>
  <c r="Q530" i="14"/>
  <c r="X530" i="14" s="1"/>
  <c r="E530" i="14"/>
  <c r="G530" i="14" s="1"/>
  <c r="Q529" i="14"/>
  <c r="X529" i="14"/>
  <c r="E529" i="14"/>
  <c r="G529" i="14" s="1"/>
  <c r="Q528" i="14"/>
  <c r="X528" i="14" s="1"/>
  <c r="E528" i="14"/>
  <c r="G528" i="14" s="1"/>
  <c r="Q527" i="14"/>
  <c r="E527" i="14"/>
  <c r="G527" i="14"/>
  <c r="P526" i="14"/>
  <c r="Q526" i="14"/>
  <c r="Y526" i="14"/>
  <c r="E526" i="14"/>
  <c r="G526" i="14" s="1"/>
  <c r="Q525" i="14"/>
  <c r="Y525" i="14" s="1"/>
  <c r="W525" i="14"/>
  <c r="X525" i="14"/>
  <c r="E525" i="14"/>
  <c r="G525" i="14" s="1"/>
  <c r="Q524" i="14"/>
  <c r="E524" i="14"/>
  <c r="G524" i="14"/>
  <c r="AF523" i="14"/>
  <c r="AF508" i="14" s="1"/>
  <c r="AE523" i="14"/>
  <c r="AD523" i="14"/>
  <c r="AC523" i="14"/>
  <c r="AB523" i="14"/>
  <c r="AA523" i="14"/>
  <c r="Z523" i="14"/>
  <c r="Z508" i="14" s="1"/>
  <c r="V523" i="14"/>
  <c r="U523" i="14"/>
  <c r="T523" i="14"/>
  <c r="S523" i="14"/>
  <c r="Q522" i="14"/>
  <c r="U522" i="14" s="1"/>
  <c r="E522" i="14"/>
  <c r="G522" i="14" s="1"/>
  <c r="P521" i="14"/>
  <c r="Q521" i="14" s="1"/>
  <c r="Q509" i="14" s="1"/>
  <c r="W521" i="14"/>
  <c r="E521" i="14"/>
  <c r="G521" i="14"/>
  <c r="Q520" i="14"/>
  <c r="W520" i="14"/>
  <c r="E520" i="14"/>
  <c r="G520" i="14"/>
  <c r="Q519" i="14"/>
  <c r="W519" i="14" s="1"/>
  <c r="E519" i="14"/>
  <c r="G519" i="14"/>
  <c r="Q518" i="14"/>
  <c r="W518" i="14"/>
  <c r="E518" i="14"/>
  <c r="G518" i="14"/>
  <c r="Q517" i="14"/>
  <c r="W517" i="14"/>
  <c r="E517" i="14"/>
  <c r="G517" i="14"/>
  <c r="Q516" i="14"/>
  <c r="W516" i="14" s="1"/>
  <c r="E516" i="14"/>
  <c r="G516" i="14"/>
  <c r="Q515" i="14"/>
  <c r="W515" i="14"/>
  <c r="E515" i="14"/>
  <c r="G515" i="14"/>
  <c r="Q514" i="14"/>
  <c r="U514" i="14"/>
  <c r="E514" i="14"/>
  <c r="G514" i="14"/>
  <c r="Q513" i="14"/>
  <c r="U513" i="14" s="1"/>
  <c r="E513" i="14"/>
  <c r="G513" i="14"/>
  <c r="Q512" i="14"/>
  <c r="U512" i="14"/>
  <c r="E512" i="14"/>
  <c r="G512" i="14"/>
  <c r="Q511" i="14"/>
  <c r="U511" i="14"/>
  <c r="E511" i="14"/>
  <c r="G511" i="14"/>
  <c r="Q510" i="14"/>
  <c r="U510" i="14" s="1"/>
  <c r="E510" i="14"/>
  <c r="G510" i="14"/>
  <c r="AF509" i="14"/>
  <c r="AE509" i="14"/>
  <c r="AE508" i="14" s="1"/>
  <c r="AD509" i="14"/>
  <c r="AD508" i="14" s="1"/>
  <c r="AC509" i="14"/>
  <c r="AC508" i="14"/>
  <c r="AC487" i="14"/>
  <c r="AC486" i="14" s="1"/>
  <c r="AC502" i="14"/>
  <c r="AB509" i="14"/>
  <c r="AA509" i="14"/>
  <c r="AA508" i="14" s="1"/>
  <c r="AA487" i="14"/>
  <c r="AA502" i="14"/>
  <c r="AA486" i="14"/>
  <c r="Z509" i="14"/>
  <c r="Y509" i="14"/>
  <c r="X509" i="14"/>
  <c r="V509" i="14"/>
  <c r="T509" i="14"/>
  <c r="S509" i="14"/>
  <c r="S508" i="14"/>
  <c r="AB508" i="14"/>
  <c r="Q507" i="14"/>
  <c r="W507" i="14"/>
  <c r="E507" i="14"/>
  <c r="G507" i="14"/>
  <c r="Q506" i="14"/>
  <c r="W506" i="14"/>
  <c r="E506" i="14"/>
  <c r="G506" i="14" s="1"/>
  <c r="Q505" i="14"/>
  <c r="W505" i="14"/>
  <c r="E505" i="14"/>
  <c r="G505" i="14"/>
  <c r="Q504" i="14"/>
  <c r="W504" i="14"/>
  <c r="E504" i="14"/>
  <c r="G504" i="14"/>
  <c r="Q503" i="14"/>
  <c r="W503" i="14"/>
  <c r="W502" i="14" s="1"/>
  <c r="E503" i="14"/>
  <c r="G503" i="14" s="1"/>
  <c r="AF502" i="14"/>
  <c r="AE502" i="14"/>
  <c r="AD502" i="14"/>
  <c r="AB502" i="14"/>
  <c r="AB486" i="14" s="1"/>
  <c r="Z502" i="14"/>
  <c r="Y502" i="14"/>
  <c r="X502" i="14"/>
  <c r="V502" i="14"/>
  <c r="U502" i="14"/>
  <c r="T502" i="14"/>
  <c r="T486" i="14" s="1"/>
  <c r="S502" i="14"/>
  <c r="Q501" i="14"/>
  <c r="W501" i="14" s="1"/>
  <c r="W487" i="14" s="1"/>
  <c r="E501" i="14"/>
  <c r="G501" i="14" s="1"/>
  <c r="Q500" i="14"/>
  <c r="W500" i="14" s="1"/>
  <c r="E500" i="14"/>
  <c r="G500" i="14"/>
  <c r="P499" i="14"/>
  <c r="Q499" i="14"/>
  <c r="V499" i="14" s="1"/>
  <c r="E499" i="14"/>
  <c r="G499" i="14" s="1"/>
  <c r="Q498" i="14"/>
  <c r="V498" i="14" s="1"/>
  <c r="E498" i="14"/>
  <c r="G498" i="14" s="1"/>
  <c r="Q497" i="14"/>
  <c r="V497" i="14" s="1"/>
  <c r="V487" i="14" s="1"/>
  <c r="E497" i="14"/>
  <c r="G497" i="14"/>
  <c r="Q496" i="14"/>
  <c r="V496" i="14" s="1"/>
  <c r="E496" i="14"/>
  <c r="G496" i="14" s="1"/>
  <c r="Q495" i="14"/>
  <c r="U495" i="14"/>
  <c r="E495" i="14"/>
  <c r="G495" i="14" s="1"/>
  <c r="P494" i="14"/>
  <c r="Q494" i="14" s="1"/>
  <c r="U494" i="14" s="1"/>
  <c r="E494" i="14"/>
  <c r="G494" i="14"/>
  <c r="Q493" i="14"/>
  <c r="U493" i="14" s="1"/>
  <c r="E493" i="14"/>
  <c r="G493" i="14"/>
  <c r="Q492" i="14"/>
  <c r="U492" i="14"/>
  <c r="E492" i="14"/>
  <c r="G492" i="14"/>
  <c r="Q491" i="14"/>
  <c r="U491" i="14"/>
  <c r="E491" i="14"/>
  <c r="G491" i="14"/>
  <c r="Q490" i="14"/>
  <c r="U490" i="14" s="1"/>
  <c r="E490" i="14"/>
  <c r="G490" i="14"/>
  <c r="Q489" i="14"/>
  <c r="U489" i="14"/>
  <c r="E489" i="14"/>
  <c r="G489" i="14"/>
  <c r="Q488" i="14"/>
  <c r="E488" i="14"/>
  <c r="G488" i="14"/>
  <c r="AF487" i="14"/>
  <c r="AE487" i="14"/>
  <c r="AD487" i="14"/>
  <c r="AB487" i="14"/>
  <c r="Z487" i="14"/>
  <c r="Z486" i="14" s="1"/>
  <c r="Y487" i="14"/>
  <c r="X487" i="14"/>
  <c r="T487" i="14"/>
  <c r="S487" i="14"/>
  <c r="R486" i="14"/>
  <c r="Q484" i="14"/>
  <c r="Q482" i="14" s="1"/>
  <c r="E484" i="14"/>
  <c r="G484" i="14" s="1"/>
  <c r="W483" i="14"/>
  <c r="E483" i="14"/>
  <c r="G483" i="14"/>
  <c r="AF482" i="14"/>
  <c r="AE482" i="14"/>
  <c r="AE427" i="14" s="1"/>
  <c r="AE390" i="14" s="1"/>
  <c r="AD482" i="14"/>
  <c r="AC482" i="14"/>
  <c r="AB482" i="14"/>
  <c r="AB427" i="14" s="1"/>
  <c r="AA482" i="14"/>
  <c r="Z482" i="14"/>
  <c r="Y482" i="14"/>
  <c r="X482" i="14"/>
  <c r="W482" i="14"/>
  <c r="V482" i="14"/>
  <c r="U482" i="14"/>
  <c r="T482" i="14"/>
  <c r="S482" i="14"/>
  <c r="AG482" i="14" s="1"/>
  <c r="O481" i="14"/>
  <c r="Q481" i="14"/>
  <c r="G481" i="14"/>
  <c r="O480" i="14"/>
  <c r="Q480" i="14" s="1"/>
  <c r="G480" i="14"/>
  <c r="O479" i="14"/>
  <c r="Q479" i="14"/>
  <c r="G479" i="14"/>
  <c r="O478" i="14"/>
  <c r="Q478" i="14" s="1"/>
  <c r="G478" i="14"/>
  <c r="O477" i="14"/>
  <c r="Q477" i="14"/>
  <c r="G477" i="14"/>
  <c r="AF475" i="14"/>
  <c r="AF427" i="14" s="1"/>
  <c r="AE475" i="14"/>
  <c r="AD475" i="14"/>
  <c r="AC475" i="14"/>
  <c r="AB475" i="14"/>
  <c r="AA475" i="14"/>
  <c r="Z475" i="14"/>
  <c r="Y475" i="14"/>
  <c r="X475" i="14"/>
  <c r="W475" i="14"/>
  <c r="V475" i="14"/>
  <c r="U475" i="14"/>
  <c r="T475" i="14"/>
  <c r="S475" i="14"/>
  <c r="Q474" i="14"/>
  <c r="G474" i="14"/>
  <c r="O473" i="14"/>
  <c r="Q473" i="14"/>
  <c r="G473" i="14"/>
  <c r="O472" i="14"/>
  <c r="Q472" i="14"/>
  <c r="G472" i="14"/>
  <c r="O471" i="14"/>
  <c r="Q471" i="14"/>
  <c r="G471" i="14"/>
  <c r="O470" i="14"/>
  <c r="Q470" i="14" s="1"/>
  <c r="G470" i="14"/>
  <c r="O469" i="14"/>
  <c r="Q469" i="14"/>
  <c r="G469" i="14"/>
  <c r="O468" i="14"/>
  <c r="G468" i="14"/>
  <c r="AF467" i="14"/>
  <c r="AE467" i="14"/>
  <c r="AD467" i="14"/>
  <c r="AC467" i="14"/>
  <c r="AB467" i="14"/>
  <c r="AA467" i="14"/>
  <c r="Z467" i="14"/>
  <c r="Y467" i="14"/>
  <c r="X467" i="14"/>
  <c r="W467" i="14"/>
  <c r="V467" i="14"/>
  <c r="U467" i="14"/>
  <c r="T467" i="14"/>
  <c r="S467" i="14"/>
  <c r="O466" i="14"/>
  <c r="Q466" i="14"/>
  <c r="G466" i="14"/>
  <c r="O465" i="14"/>
  <c r="Q465" i="14" s="1"/>
  <c r="G465" i="14"/>
  <c r="O464" i="14"/>
  <c r="Q464" i="14"/>
  <c r="G464" i="14"/>
  <c r="O463" i="14"/>
  <c r="Q463" i="14" s="1"/>
  <c r="G463" i="14"/>
  <c r="O462" i="14"/>
  <c r="Q462" i="14"/>
  <c r="G462" i="14"/>
  <c r="Q461" i="14"/>
  <c r="E461" i="14"/>
  <c r="G461" i="14"/>
  <c r="O460" i="14"/>
  <c r="Q460" i="14"/>
  <c r="G460" i="14"/>
  <c r="O459" i="14"/>
  <c r="Q459" i="14" s="1"/>
  <c r="G459" i="14"/>
  <c r="O458" i="14"/>
  <c r="G458" i="14"/>
  <c r="G457" i="14"/>
  <c r="Q456" i="14"/>
  <c r="X456" i="14" s="1"/>
  <c r="G456" i="14"/>
  <c r="O455" i="14"/>
  <c r="Q455" i="14"/>
  <c r="G455" i="14"/>
  <c r="O454" i="14"/>
  <c r="Q454" i="14" s="1"/>
  <c r="G454" i="14"/>
  <c r="O453" i="14"/>
  <c r="Q453" i="14"/>
  <c r="G453" i="14"/>
  <c r="O452" i="14"/>
  <c r="Q452" i="14" s="1"/>
  <c r="G452" i="14"/>
  <c r="O451" i="14"/>
  <c r="Q451" i="14"/>
  <c r="Q450" i="14" s="1"/>
  <c r="W450" i="14" s="1"/>
  <c r="W448" i="14" s="1"/>
  <c r="G451" i="14"/>
  <c r="G450" i="14"/>
  <c r="G449" i="14"/>
  <c r="AF448" i="14"/>
  <c r="AE448" i="14"/>
  <c r="AD448" i="14"/>
  <c r="AC448" i="14"/>
  <c r="AB448" i="14"/>
  <c r="AB428" i="14"/>
  <c r="AB438" i="14"/>
  <c r="AA448" i="14"/>
  <c r="AA427" i="14" s="1"/>
  <c r="AA390" i="14" s="1"/>
  <c r="Z448" i="14"/>
  <c r="X448" i="14"/>
  <c r="V448" i="14"/>
  <c r="U448" i="14"/>
  <c r="T448" i="14"/>
  <c r="S448" i="14"/>
  <c r="Q447" i="14"/>
  <c r="G447" i="14"/>
  <c r="G446" i="14"/>
  <c r="P445" i="14"/>
  <c r="O445" i="14"/>
  <c r="E445" i="14"/>
  <c r="G445" i="14" s="1"/>
  <c r="P444" i="14"/>
  <c r="Q444" i="14" s="1"/>
  <c r="O444" i="14"/>
  <c r="E444" i="14"/>
  <c r="G444" i="14"/>
  <c r="P443" i="14"/>
  <c r="O443" i="14"/>
  <c r="E443" i="14"/>
  <c r="G443" i="14"/>
  <c r="P442" i="14"/>
  <c r="O442" i="14"/>
  <c r="Q442" i="14" s="1"/>
  <c r="G442" i="14"/>
  <c r="P441" i="14"/>
  <c r="Q441" i="14" s="1"/>
  <c r="O441" i="14"/>
  <c r="G441" i="14"/>
  <c r="Q440" i="14"/>
  <c r="E440" i="14"/>
  <c r="G440" i="14" s="1"/>
  <c r="G439" i="14"/>
  <c r="AF438" i="14"/>
  <c r="AE438" i="14"/>
  <c r="AD438" i="14"/>
  <c r="AC438" i="14"/>
  <c r="AA438" i="14"/>
  <c r="Z438" i="14"/>
  <c r="Y438" i="14"/>
  <c r="X438" i="14"/>
  <c r="W438" i="14"/>
  <c r="AG438" i="14" s="1"/>
  <c r="V438" i="14"/>
  <c r="U438" i="14"/>
  <c r="T438" i="14"/>
  <c r="S438" i="14"/>
  <c r="Q437" i="14"/>
  <c r="W437" i="14"/>
  <c r="W428" i="14" s="1"/>
  <c r="Q436" i="14"/>
  <c r="G436" i="14"/>
  <c r="Q435" i="14"/>
  <c r="E435" i="14"/>
  <c r="G435" i="14"/>
  <c r="Q434" i="14"/>
  <c r="E434" i="14"/>
  <c r="G434" i="14" s="1"/>
  <c r="Q433" i="14"/>
  <c r="E433" i="14"/>
  <c r="G433" i="14"/>
  <c r="Q432" i="14"/>
  <c r="E432" i="14"/>
  <c r="G432" i="14" s="1"/>
  <c r="Q431" i="14"/>
  <c r="G431" i="14"/>
  <c r="O430" i="14"/>
  <c r="G429" i="14"/>
  <c r="AF428" i="14"/>
  <c r="AE428" i="14"/>
  <c r="AD428" i="14"/>
  <c r="AC428" i="14"/>
  <c r="AA428" i="14"/>
  <c r="Z428" i="14"/>
  <c r="Y428" i="14"/>
  <c r="X428" i="14"/>
  <c r="U428" i="14"/>
  <c r="T428" i="14"/>
  <c r="T427" i="14" s="1"/>
  <c r="T390" i="14" s="1"/>
  <c r="S428" i="14"/>
  <c r="O426" i="14"/>
  <c r="Q426" i="14"/>
  <c r="X426" i="14"/>
  <c r="G426" i="14"/>
  <c r="O425" i="14"/>
  <c r="Q425" i="14"/>
  <c r="U425" i="14" s="1"/>
  <c r="G425" i="14"/>
  <c r="O424" i="14"/>
  <c r="Q424" i="14"/>
  <c r="X424" i="14" s="1"/>
  <c r="G424" i="14"/>
  <c r="X423" i="14"/>
  <c r="G423" i="14"/>
  <c r="O422" i="14"/>
  <c r="Q422" i="14"/>
  <c r="W422" i="14" s="1"/>
  <c r="G422" i="14"/>
  <c r="O421" i="14"/>
  <c r="Q421" i="14"/>
  <c r="U421" i="14"/>
  <c r="G421" i="14"/>
  <c r="O420" i="14"/>
  <c r="Q420" i="14" s="1"/>
  <c r="W420" i="14" s="1"/>
  <c r="G420" i="14"/>
  <c r="O419" i="14"/>
  <c r="Q419" i="14"/>
  <c r="W419" i="14" s="1"/>
  <c r="G419" i="14"/>
  <c r="P418" i="14"/>
  <c r="O418" i="14"/>
  <c r="G418" i="14"/>
  <c r="P417" i="14"/>
  <c r="O417" i="14"/>
  <c r="Q417" i="14" s="1"/>
  <c r="W417" i="14" s="1"/>
  <c r="G417" i="14"/>
  <c r="W416" i="14"/>
  <c r="G416" i="14"/>
  <c r="O415" i="14"/>
  <c r="Q415" i="14"/>
  <c r="V415" i="14" s="1"/>
  <c r="G415" i="14"/>
  <c r="O414" i="14"/>
  <c r="Q414" i="14"/>
  <c r="U414" i="14" s="1"/>
  <c r="G414" i="14"/>
  <c r="O413" i="14"/>
  <c r="Q413" i="14"/>
  <c r="V413" i="14"/>
  <c r="G413" i="14"/>
  <c r="O412" i="14"/>
  <c r="Q412" i="14"/>
  <c r="V412" i="14" s="1"/>
  <c r="G412" i="14"/>
  <c r="P411" i="14"/>
  <c r="O411" i="14"/>
  <c r="G411" i="14"/>
  <c r="P410" i="14"/>
  <c r="O410" i="14"/>
  <c r="Q410" i="14"/>
  <c r="V410" i="14"/>
  <c r="G410" i="14"/>
  <c r="V409" i="14"/>
  <c r="G409" i="14"/>
  <c r="O408" i="14"/>
  <c r="Q408" i="14"/>
  <c r="V408" i="14"/>
  <c r="G408" i="14"/>
  <c r="O407" i="14"/>
  <c r="Q407" i="14" s="1"/>
  <c r="V407" i="14" s="1"/>
  <c r="V392" i="14" s="1"/>
  <c r="V391" i="14" s="1"/>
  <c r="G407" i="14"/>
  <c r="O406" i="14"/>
  <c r="Q406" i="14"/>
  <c r="V406" i="14" s="1"/>
  <c r="G406" i="14"/>
  <c r="P405" i="14"/>
  <c r="O405" i="14"/>
  <c r="G405" i="14"/>
  <c r="P404" i="14"/>
  <c r="Q404" i="14" s="1"/>
  <c r="V404" i="14" s="1"/>
  <c r="O404" i="14"/>
  <c r="G404" i="14"/>
  <c r="V403" i="14"/>
  <c r="G403" i="14"/>
  <c r="O402" i="14"/>
  <c r="Q402" i="14"/>
  <c r="U402" i="14" s="1"/>
  <c r="G402" i="14"/>
  <c r="O401" i="14"/>
  <c r="Q401" i="14"/>
  <c r="U401" i="14"/>
  <c r="G401" i="14"/>
  <c r="O400" i="14"/>
  <c r="Q400" i="14" s="1"/>
  <c r="U400" i="14" s="1"/>
  <c r="G400" i="14"/>
  <c r="O399" i="14"/>
  <c r="Q399" i="14"/>
  <c r="U399" i="14" s="1"/>
  <c r="G399" i="14"/>
  <c r="F394" i="14" s="1"/>
  <c r="G394" i="14" s="1"/>
  <c r="O398" i="14"/>
  <c r="Q398" i="14"/>
  <c r="U398" i="14" s="1"/>
  <c r="G398" i="14"/>
  <c r="O397" i="14"/>
  <c r="Q397" i="14"/>
  <c r="U397" i="14"/>
  <c r="G397" i="14"/>
  <c r="P396" i="14"/>
  <c r="O396" i="14"/>
  <c r="G396" i="14"/>
  <c r="P395" i="14"/>
  <c r="O395" i="14"/>
  <c r="Q395" i="14"/>
  <c r="U395" i="14" s="1"/>
  <c r="G395" i="14"/>
  <c r="U394" i="14"/>
  <c r="Q393" i="14"/>
  <c r="E393" i="14"/>
  <c r="G393" i="14"/>
  <c r="AF392" i="14"/>
  <c r="AF391" i="14"/>
  <c r="AE392" i="14"/>
  <c r="AE391" i="14"/>
  <c r="AD392" i="14"/>
  <c r="AD391" i="14" s="1"/>
  <c r="AC392" i="14"/>
  <c r="AC391" i="14" s="1"/>
  <c r="AB392" i="14"/>
  <c r="AB391" i="14" s="1"/>
  <c r="AB390" i="14" s="1"/>
  <c r="AA392" i="14"/>
  <c r="AA391" i="14"/>
  <c r="Z392" i="14"/>
  <c r="Z391" i="14" s="1"/>
  <c r="Y392" i="14"/>
  <c r="Y391" i="14"/>
  <c r="T392" i="14"/>
  <c r="T391" i="14"/>
  <c r="S392" i="14"/>
  <c r="S391" i="14"/>
  <c r="R391" i="14"/>
  <c r="R390" i="14"/>
  <c r="Q389" i="14"/>
  <c r="R388" i="14"/>
  <c r="G389" i="14"/>
  <c r="AF388" i="14"/>
  <c r="AE388" i="14"/>
  <c r="AD388" i="14"/>
  <c r="AC388" i="14"/>
  <c r="AB388" i="14"/>
  <c r="AA388" i="14"/>
  <c r="Z388" i="14"/>
  <c r="Y388" i="14"/>
  <c r="X388" i="14"/>
  <c r="W388" i="14"/>
  <c r="U388" i="14"/>
  <c r="T388" i="14"/>
  <c r="S388" i="14"/>
  <c r="Q387" i="14"/>
  <c r="R386" i="14"/>
  <c r="G387" i="14"/>
  <c r="AF386" i="14"/>
  <c r="AE386" i="14"/>
  <c r="AD386" i="14"/>
  <c r="AC386" i="14"/>
  <c r="AB386" i="14"/>
  <c r="AA386" i="14"/>
  <c r="Z386" i="14"/>
  <c r="Z375" i="14" s="1"/>
  <c r="Y386" i="14"/>
  <c r="X386" i="14"/>
  <c r="X375" i="14" s="1"/>
  <c r="W386" i="14"/>
  <c r="V386" i="14"/>
  <c r="T386" i="14"/>
  <c r="S386" i="14"/>
  <c r="Q385" i="14"/>
  <c r="R383" i="14" s="1"/>
  <c r="Q384" i="14"/>
  <c r="G385" i="14"/>
  <c r="U384" i="14"/>
  <c r="G384" i="14"/>
  <c r="AF383" i="14"/>
  <c r="AE383" i="14"/>
  <c r="AD383" i="14"/>
  <c r="AC383" i="14"/>
  <c r="AB383" i="14"/>
  <c r="AA383" i="14"/>
  <c r="Z383" i="14"/>
  <c r="Y383" i="14"/>
  <c r="X383" i="14"/>
  <c r="W383" i="14"/>
  <c r="V383" i="14"/>
  <c r="T383" i="14"/>
  <c r="S383" i="14"/>
  <c r="Q382" i="14"/>
  <c r="V382" i="14" s="1"/>
  <c r="G382" i="14"/>
  <c r="Q381" i="14"/>
  <c r="G381" i="14"/>
  <c r="Q380" i="14"/>
  <c r="G380" i="14"/>
  <c r="AF379" i="14"/>
  <c r="AE379" i="14"/>
  <c r="AD379" i="14"/>
  <c r="AC379" i="14"/>
  <c r="AC375" i="14" s="1"/>
  <c r="AB379" i="14"/>
  <c r="AA379" i="14"/>
  <c r="Z379" i="14"/>
  <c r="Y379" i="14"/>
  <c r="X379" i="14"/>
  <c r="W379" i="14"/>
  <c r="U379" i="14"/>
  <c r="T379" i="14"/>
  <c r="S379" i="14"/>
  <c r="Q378" i="14"/>
  <c r="U378" i="14"/>
  <c r="G378" i="14"/>
  <c r="Q377" i="14"/>
  <c r="G377" i="14"/>
  <c r="AF376" i="14"/>
  <c r="AE376" i="14"/>
  <c r="AD376" i="14"/>
  <c r="AC376" i="14"/>
  <c r="AB376" i="14"/>
  <c r="AA376" i="14"/>
  <c r="Z376" i="14"/>
  <c r="Y376" i="14"/>
  <c r="X376" i="14"/>
  <c r="W376" i="14"/>
  <c r="W375" i="14" s="1"/>
  <c r="V376" i="14"/>
  <c r="T376" i="14"/>
  <c r="S376" i="14"/>
  <c r="Q374" i="14"/>
  <c r="Q373" i="14"/>
  <c r="AF372" i="14"/>
  <c r="AE372" i="14"/>
  <c r="AD372" i="14"/>
  <c r="AC372" i="14"/>
  <c r="AB372" i="14"/>
  <c r="AA372" i="14"/>
  <c r="Z372" i="14"/>
  <c r="W372" i="14"/>
  <c r="V372" i="14"/>
  <c r="U372" i="14"/>
  <c r="T372" i="14"/>
  <c r="S372" i="14"/>
  <c r="Q371" i="14"/>
  <c r="Q370" i="14" s="1"/>
  <c r="AF370" i="14"/>
  <c r="AE370" i="14"/>
  <c r="AD370" i="14"/>
  <c r="AC370" i="14"/>
  <c r="AB370" i="14"/>
  <c r="AA370" i="14"/>
  <c r="Z370" i="14"/>
  <c r="AG370" i="14" s="1"/>
  <c r="Y370" i="14"/>
  <c r="X370" i="14"/>
  <c r="W370" i="14"/>
  <c r="V370" i="14"/>
  <c r="U370" i="14"/>
  <c r="T370" i="14"/>
  <c r="S370" i="14"/>
  <c r="Q369" i="14"/>
  <c r="Q368" i="14"/>
  <c r="Q367" i="14"/>
  <c r="Q366" i="14"/>
  <c r="Q365" i="14"/>
  <c r="Q364" i="14"/>
  <c r="Q363" i="14"/>
  <c r="Q362" i="14"/>
  <c r="Q361" i="14"/>
  <c r="Q360" i="14"/>
  <c r="AF359" i="14"/>
  <c r="AE359" i="14"/>
  <c r="AD359" i="14"/>
  <c r="AC359" i="14"/>
  <c r="AB359" i="14"/>
  <c r="AB351" i="14" s="1"/>
  <c r="AB328" i="14" s="1"/>
  <c r="AA359" i="14"/>
  <c r="Z359" i="14"/>
  <c r="Y359" i="14"/>
  <c r="X359" i="14"/>
  <c r="W359" i="14"/>
  <c r="V359" i="14"/>
  <c r="U359" i="14"/>
  <c r="T359" i="14"/>
  <c r="S359" i="14"/>
  <c r="Q358" i="14"/>
  <c r="G358" i="14"/>
  <c r="Q357" i="14"/>
  <c r="Q356" i="14"/>
  <c r="Q355" i="14"/>
  <c r="G357" i="14"/>
  <c r="G356" i="14"/>
  <c r="AF355" i="14"/>
  <c r="AE355" i="14"/>
  <c r="AE351" i="14" s="1"/>
  <c r="AD355" i="14"/>
  <c r="AC355" i="14"/>
  <c r="AB355" i="14"/>
  <c r="AA355" i="14"/>
  <c r="Z355" i="14"/>
  <c r="Y355" i="14"/>
  <c r="Y351" i="14" s="1"/>
  <c r="X355" i="14"/>
  <c r="W355" i="14"/>
  <c r="V355" i="14"/>
  <c r="U355" i="14"/>
  <c r="T355" i="14"/>
  <c r="S355" i="14"/>
  <c r="Q354" i="14"/>
  <c r="Q353" i="14"/>
  <c r="AF352" i="14"/>
  <c r="AE352" i="14"/>
  <c r="AD352" i="14"/>
  <c r="AC352" i="14"/>
  <c r="AC351" i="14" s="1"/>
  <c r="AC328" i="14" s="1"/>
  <c r="AB352" i="14"/>
  <c r="AA352" i="14"/>
  <c r="AA351" i="14" s="1"/>
  <c r="Z352" i="14"/>
  <c r="Y352" i="14"/>
  <c r="X352" i="14"/>
  <c r="X351" i="14"/>
  <c r="W352" i="14"/>
  <c r="V352" i="14"/>
  <c r="S352" i="14"/>
  <c r="Q350" i="14"/>
  <c r="Q349" i="14"/>
  <c r="Q348" i="14"/>
  <c r="G348" i="14"/>
  <c r="Q347" i="14"/>
  <c r="G347" i="14"/>
  <c r="A347" i="14"/>
  <c r="Q346" i="14"/>
  <c r="G346" i="14"/>
  <c r="A346" i="14"/>
  <c r="Q345" i="14"/>
  <c r="G345" i="14"/>
  <c r="A345" i="14"/>
  <c r="Q344" i="14"/>
  <c r="Q343" i="14"/>
  <c r="E343" i="14"/>
  <c r="A343" i="14"/>
  <c r="Q342" i="14"/>
  <c r="Q341" i="14"/>
  <c r="E341" i="14"/>
  <c r="A341" i="14"/>
  <c r="Q340" i="14"/>
  <c r="AF339" i="14"/>
  <c r="AE339" i="14"/>
  <c r="AD339" i="14"/>
  <c r="AC339" i="14"/>
  <c r="AB339" i="14"/>
  <c r="AA339" i="14"/>
  <c r="AG339" i="14" s="1"/>
  <c r="Z339" i="14"/>
  <c r="Y339" i="14"/>
  <c r="X339" i="14"/>
  <c r="W339" i="14"/>
  <c r="V339" i="14"/>
  <c r="U339" i="14"/>
  <c r="T339" i="14"/>
  <c r="S339" i="14"/>
  <c r="Q338" i="14"/>
  <c r="Q337" i="14"/>
  <c r="Q336" i="14"/>
  <c r="A336" i="14"/>
  <c r="Q335" i="14"/>
  <c r="Q334" i="14"/>
  <c r="A334" i="14"/>
  <c r="Q333" i="14"/>
  <c r="Q332" i="14"/>
  <c r="Q331" i="14"/>
  <c r="A331" i="14"/>
  <c r="A332" i="14"/>
  <c r="Q330" i="14"/>
  <c r="G330" i="14"/>
  <c r="G331" i="14" s="1"/>
  <c r="AF329" i="14"/>
  <c r="AE329" i="14"/>
  <c r="AD329" i="14"/>
  <c r="AC329" i="14"/>
  <c r="AB329" i="14"/>
  <c r="AA329" i="14"/>
  <c r="Z329" i="14"/>
  <c r="Y329" i="14"/>
  <c r="X329" i="14"/>
  <c r="W329" i="14"/>
  <c r="V329" i="14"/>
  <c r="U329" i="14"/>
  <c r="T329" i="14"/>
  <c r="S329" i="14"/>
  <c r="R328" i="14"/>
  <c r="Q326" i="14"/>
  <c r="V326" i="14"/>
  <c r="G326" i="14"/>
  <c r="Q325" i="14"/>
  <c r="V325" i="14" s="1"/>
  <c r="G325" i="14"/>
  <c r="Q324" i="14"/>
  <c r="V324" i="14"/>
  <c r="G324" i="14"/>
  <c r="Q323" i="14"/>
  <c r="U323" i="14" s="1"/>
  <c r="G323" i="14"/>
  <c r="Q322" i="14"/>
  <c r="U322" i="14"/>
  <c r="G322" i="14"/>
  <c r="Q321" i="14"/>
  <c r="U321" i="14" s="1"/>
  <c r="G321" i="14"/>
  <c r="Q320" i="14"/>
  <c r="U320" i="14"/>
  <c r="G320" i="14"/>
  <c r="Q319" i="14"/>
  <c r="U319" i="14" s="1"/>
  <c r="G319" i="14"/>
  <c r="Q318" i="14"/>
  <c r="U318" i="14"/>
  <c r="G318" i="14"/>
  <c r="Q317" i="14"/>
  <c r="U317" i="14" s="1"/>
  <c r="U308" i="14" s="1"/>
  <c r="G317" i="14"/>
  <c r="Q316" i="14"/>
  <c r="V316" i="14"/>
  <c r="G316" i="14"/>
  <c r="Q315" i="14"/>
  <c r="V315" i="14" s="1"/>
  <c r="G315" i="14"/>
  <c r="Q314" i="14"/>
  <c r="V314" i="14"/>
  <c r="G314" i="14"/>
  <c r="Q313" i="14"/>
  <c r="V313" i="14" s="1"/>
  <c r="G313" i="14"/>
  <c r="Q312" i="14"/>
  <c r="V312" i="14"/>
  <c r="G312" i="14"/>
  <c r="Q311" i="14"/>
  <c r="V311" i="14" s="1"/>
  <c r="G311" i="14"/>
  <c r="Q310" i="14"/>
  <c r="V310" i="14"/>
  <c r="G310" i="14"/>
  <c r="Q309" i="14"/>
  <c r="G309" i="14"/>
  <c r="AF308" i="14"/>
  <c r="AE308" i="14"/>
  <c r="AD308" i="14"/>
  <c r="AC308" i="14"/>
  <c r="AB308" i="14"/>
  <c r="AB248" i="14" s="1"/>
  <c r="AA308" i="14"/>
  <c r="Z308" i="14"/>
  <c r="Y308" i="14"/>
  <c r="X308" i="14"/>
  <c r="W308" i="14"/>
  <c r="T308" i="14"/>
  <c r="S308" i="14"/>
  <c r="Q307" i="14"/>
  <c r="AA307" i="14"/>
  <c r="G307" i="14"/>
  <c r="Q306" i="14"/>
  <c r="AA306" i="14"/>
  <c r="G306" i="14"/>
  <c r="Q305" i="14"/>
  <c r="W305" i="14"/>
  <c r="G305" i="14"/>
  <c r="Q304" i="14"/>
  <c r="W304" i="14" s="1"/>
  <c r="G304" i="14"/>
  <c r="Q303" i="14"/>
  <c r="W303" i="14"/>
  <c r="G303" i="14"/>
  <c r="Q302" i="14"/>
  <c r="W302" i="14"/>
  <c r="G302" i="14"/>
  <c r="Q301" i="14"/>
  <c r="W301" i="14"/>
  <c r="G301" i="14"/>
  <c r="Q300" i="14"/>
  <c r="W300" i="14" s="1"/>
  <c r="G300" i="14"/>
  <c r="Q299" i="14"/>
  <c r="W299" i="14"/>
  <c r="G299" i="14"/>
  <c r="Q298" i="14"/>
  <c r="U298" i="14"/>
  <c r="G298" i="14"/>
  <c r="Q297" i="14"/>
  <c r="U297" i="14"/>
  <c r="G297" i="14"/>
  <c r="Q296" i="14"/>
  <c r="U296" i="14" s="1"/>
  <c r="G296" i="14"/>
  <c r="Q295" i="14"/>
  <c r="U295" i="14"/>
  <c r="G295" i="14"/>
  <c r="Q294" i="14"/>
  <c r="U294" i="14"/>
  <c r="G294" i="14"/>
  <c r="Q293" i="14"/>
  <c r="U293" i="14"/>
  <c r="G293" i="14"/>
  <c r="Q292" i="14"/>
  <c r="U292" i="14" s="1"/>
  <c r="G292" i="14"/>
  <c r="Q291" i="14"/>
  <c r="U291" i="14"/>
  <c r="G291" i="14"/>
  <c r="Q290" i="14"/>
  <c r="G290" i="14"/>
  <c r="AF289" i="14"/>
  <c r="AE289" i="14"/>
  <c r="AD289" i="14"/>
  <c r="AC289" i="14"/>
  <c r="AC248" i="14" s="1"/>
  <c r="AB289" i="14"/>
  <c r="Z289" i="14"/>
  <c r="Y289" i="14"/>
  <c r="X289" i="14"/>
  <c r="V289" i="14"/>
  <c r="T289" i="14"/>
  <c r="S289" i="14"/>
  <c r="Q288" i="14"/>
  <c r="Y288" i="14" s="1"/>
  <c r="G288" i="14"/>
  <c r="Q287" i="14"/>
  <c r="Y287" i="14"/>
  <c r="G287" i="14"/>
  <c r="Q286" i="14"/>
  <c r="X286" i="14" s="1"/>
  <c r="G286" i="14"/>
  <c r="Q285" i="14"/>
  <c r="X285" i="14"/>
  <c r="G285" i="14"/>
  <c r="Q284" i="14"/>
  <c r="X284" i="14" s="1"/>
  <c r="G284" i="14"/>
  <c r="Q283" i="14"/>
  <c r="X283" i="14"/>
  <c r="G283" i="14"/>
  <c r="Q282" i="14"/>
  <c r="X282" i="14" s="1"/>
  <c r="G282" i="14"/>
  <c r="Q281" i="14"/>
  <c r="X281" i="14"/>
  <c r="G281" i="14"/>
  <c r="Q280" i="14"/>
  <c r="X280" i="14" s="1"/>
  <c r="G280" i="14"/>
  <c r="Q279" i="14"/>
  <c r="X279" i="14"/>
  <c r="G279" i="14"/>
  <c r="Q278" i="14"/>
  <c r="X278" i="14" s="1"/>
  <c r="X270" i="14" s="1"/>
  <c r="G278" i="14"/>
  <c r="Q277" i="14"/>
  <c r="X277" i="14"/>
  <c r="G277" i="14"/>
  <c r="Q276" i="14"/>
  <c r="X276" i="14" s="1"/>
  <c r="G276" i="14"/>
  <c r="Q275" i="14"/>
  <c r="X275" i="14"/>
  <c r="G275" i="14"/>
  <c r="Q274" i="14"/>
  <c r="G274" i="14"/>
  <c r="Q273" i="14"/>
  <c r="G273" i="14"/>
  <c r="Q272" i="14"/>
  <c r="G272" i="14"/>
  <c r="Q271" i="14"/>
  <c r="G271" i="14"/>
  <c r="AF270" i="14"/>
  <c r="AE270" i="14"/>
  <c r="AD270" i="14"/>
  <c r="AC270" i="14"/>
  <c r="AB270" i="14"/>
  <c r="AA270" i="14"/>
  <c r="Z270" i="14"/>
  <c r="W270" i="14"/>
  <c r="V270" i="14"/>
  <c r="U270" i="14"/>
  <c r="T270" i="14"/>
  <c r="T248" i="14" s="1"/>
  <c r="S270" i="14"/>
  <c r="Q269" i="14"/>
  <c r="W269" i="14"/>
  <c r="G269" i="14"/>
  <c r="Q268" i="14"/>
  <c r="W268" i="14" s="1"/>
  <c r="G268" i="14"/>
  <c r="Q267" i="14"/>
  <c r="U267" i="14"/>
  <c r="G267" i="14"/>
  <c r="Q266" i="14"/>
  <c r="G266" i="14"/>
  <c r="U265" i="14"/>
  <c r="G265" i="14"/>
  <c r="U264" i="14"/>
  <c r="G264" i="14"/>
  <c r="U263" i="14"/>
  <c r="G263" i="14"/>
  <c r="U262" i="14"/>
  <c r="G262" i="14"/>
  <c r="U261" i="14"/>
  <c r="G261" i="14"/>
  <c r="U260" i="14"/>
  <c r="G260" i="14"/>
  <c r="U259" i="14"/>
  <c r="G259" i="14"/>
  <c r="AF258" i="14"/>
  <c r="AE258" i="14"/>
  <c r="AE249" i="14"/>
  <c r="AD258" i="14"/>
  <c r="AC258" i="14"/>
  <c r="AB258" i="14"/>
  <c r="AA258" i="14"/>
  <c r="AA248" i="14" s="1"/>
  <c r="Z258" i="14"/>
  <c r="Y258" i="14"/>
  <c r="X258" i="14"/>
  <c r="V258" i="14"/>
  <c r="T258" i="14"/>
  <c r="S258" i="14"/>
  <c r="S248" i="14" s="1"/>
  <c r="Q257" i="14"/>
  <c r="U257" i="14" s="1"/>
  <c r="G257" i="14"/>
  <c r="Q256" i="14"/>
  <c r="U256" i="14"/>
  <c r="G256" i="14"/>
  <c r="Q255" i="14"/>
  <c r="U255" i="14"/>
  <c r="G255" i="14"/>
  <c r="Q254" i="14"/>
  <c r="U254" i="14"/>
  <c r="G254" i="14"/>
  <c r="Q253" i="14"/>
  <c r="U253" i="14" s="1"/>
  <c r="G253" i="14"/>
  <c r="Q252" i="14"/>
  <c r="U252" i="14"/>
  <c r="G252" i="14"/>
  <c r="Q251" i="14"/>
  <c r="U251" i="14"/>
  <c r="U249" i="14" s="1"/>
  <c r="G251" i="14"/>
  <c r="Q250" i="14"/>
  <c r="G250" i="14"/>
  <c r="AF249" i="14"/>
  <c r="AF248" i="14" s="1"/>
  <c r="AD249" i="14"/>
  <c r="AC249" i="14"/>
  <c r="AB249" i="14"/>
  <c r="AA249" i="14"/>
  <c r="Z249" i="14"/>
  <c r="Z248" i="14" s="1"/>
  <c r="Y249" i="14"/>
  <c r="X249" i="14"/>
  <c r="W249" i="14"/>
  <c r="V249" i="14"/>
  <c r="T249" i="14"/>
  <c r="S249" i="14"/>
  <c r="R248" i="14"/>
  <c r="Q246" i="14"/>
  <c r="Q245" i="14"/>
  <c r="Q244" i="14"/>
  <c r="G244" i="14"/>
  <c r="Q243" i="14"/>
  <c r="G243" i="14"/>
  <c r="Q242" i="14"/>
  <c r="G242" i="14"/>
  <c r="Q241" i="14"/>
  <c r="G241" i="14"/>
  <c r="Q240" i="14"/>
  <c r="G240" i="14"/>
  <c r="Q239" i="14"/>
  <c r="G239" i="14"/>
  <c r="Q238" i="14"/>
  <c r="G238" i="14"/>
  <c r="AF237" i="14"/>
  <c r="AE237" i="14"/>
  <c r="AD237" i="14"/>
  <c r="AC237" i="14"/>
  <c r="AB237" i="14"/>
  <c r="AA237" i="14"/>
  <c r="Z237" i="14"/>
  <c r="Y237" i="14"/>
  <c r="X237" i="14"/>
  <c r="W237" i="14"/>
  <c r="V237" i="14"/>
  <c r="U237" i="14"/>
  <c r="T237" i="14"/>
  <c r="S237" i="14"/>
  <c r="G237" i="14"/>
  <c r="Q236" i="14"/>
  <c r="Q235" i="14"/>
  <c r="Q234" i="14"/>
  <c r="G234" i="14"/>
  <c r="Q233" i="14"/>
  <c r="G233" i="14"/>
  <c r="Q232" i="14"/>
  <c r="G232" i="14"/>
  <c r="Q231" i="14"/>
  <c r="G231" i="14"/>
  <c r="Q230" i="14"/>
  <c r="G230" i="14"/>
  <c r="Q229" i="14"/>
  <c r="Q227" i="14" s="1"/>
  <c r="G229" i="14"/>
  <c r="Q228" i="14"/>
  <c r="G228" i="14"/>
  <c r="AF227" i="14"/>
  <c r="AE227" i="14"/>
  <c r="AD227" i="14"/>
  <c r="AC227" i="14"/>
  <c r="AB227" i="14"/>
  <c r="AA227" i="14"/>
  <c r="Z227" i="14"/>
  <c r="Y227" i="14"/>
  <c r="X227" i="14"/>
  <c r="W227" i="14"/>
  <c r="V227" i="14"/>
  <c r="U227" i="14"/>
  <c r="T227" i="14"/>
  <c r="S227" i="14"/>
  <c r="G227" i="14"/>
  <c r="Q226" i="14"/>
  <c r="Q225" i="14"/>
  <c r="G225" i="14"/>
  <c r="Q224" i="14"/>
  <c r="G224" i="14"/>
  <c r="Q223" i="14"/>
  <c r="G223" i="14"/>
  <c r="Q222" i="14"/>
  <c r="G222" i="14"/>
  <c r="Q221" i="14"/>
  <c r="G221" i="14"/>
  <c r="Q220" i="14"/>
  <c r="G220" i="14"/>
  <c r="Q219" i="14"/>
  <c r="G219" i="14"/>
  <c r="AF218" i="14"/>
  <c r="AE218" i="14"/>
  <c r="AE171" i="14" s="1"/>
  <c r="AD218" i="14"/>
  <c r="AC218" i="14"/>
  <c r="AB218" i="14"/>
  <c r="AA218" i="14"/>
  <c r="Z218" i="14"/>
  <c r="Y218" i="14"/>
  <c r="X218" i="14"/>
  <c r="W218" i="14"/>
  <c r="V218" i="14"/>
  <c r="U218" i="14"/>
  <c r="T218" i="14"/>
  <c r="S218" i="14"/>
  <c r="G218" i="14"/>
  <c r="AG217" i="14"/>
  <c r="Q217" i="14"/>
  <c r="Q216" i="14"/>
  <c r="Q215" i="14"/>
  <c r="Q214" i="14"/>
  <c r="G214" i="14"/>
  <c r="Q213" i="14"/>
  <c r="G213" i="14"/>
  <c r="Q212" i="14"/>
  <c r="G212" i="14"/>
  <c r="Q211" i="14"/>
  <c r="Q207" i="14" s="1"/>
  <c r="G211" i="14"/>
  <c r="Q210" i="14"/>
  <c r="G210" i="14"/>
  <c r="Q209" i="14"/>
  <c r="G209" i="14"/>
  <c r="Q208" i="14"/>
  <c r="G208" i="14"/>
  <c r="AF207" i="14"/>
  <c r="AE207" i="14"/>
  <c r="AD207" i="14"/>
  <c r="AC207" i="14"/>
  <c r="AB207" i="14"/>
  <c r="AA207" i="14"/>
  <c r="Z207" i="14"/>
  <c r="Y207" i="14"/>
  <c r="X207" i="14"/>
  <c r="W207" i="14"/>
  <c r="V207" i="14"/>
  <c r="U207" i="14"/>
  <c r="T207" i="14"/>
  <c r="S207" i="14"/>
  <c r="G207" i="14"/>
  <c r="AG206" i="14"/>
  <c r="Q206" i="14"/>
  <c r="Q205" i="14"/>
  <c r="G205" i="14"/>
  <c r="Q204" i="14"/>
  <c r="G204" i="14"/>
  <c r="Q203" i="14"/>
  <c r="G203" i="14"/>
  <c r="AF202" i="14"/>
  <c r="AE202" i="14"/>
  <c r="AD202" i="14"/>
  <c r="AC202" i="14"/>
  <c r="AB202" i="14"/>
  <c r="AA202" i="14"/>
  <c r="Z202" i="14"/>
  <c r="Y202" i="14"/>
  <c r="Y172" i="14"/>
  <c r="Y182" i="14"/>
  <c r="Y192" i="14"/>
  <c r="Y171" i="14"/>
  <c r="X202" i="14"/>
  <c r="W202" i="14"/>
  <c r="V202" i="14"/>
  <c r="U202" i="14"/>
  <c r="S202" i="14"/>
  <c r="T202" i="14"/>
  <c r="AG202" i="14" s="1"/>
  <c r="G202" i="14"/>
  <c r="Q201" i="14"/>
  <c r="Q200" i="14"/>
  <c r="Q199" i="14"/>
  <c r="G199" i="14"/>
  <c r="Q198" i="14"/>
  <c r="G198" i="14"/>
  <c r="Q197" i="14"/>
  <c r="G197" i="14"/>
  <c r="Q196" i="14"/>
  <c r="G196" i="14"/>
  <c r="Q195" i="14"/>
  <c r="G195" i="14"/>
  <c r="Q194" i="14"/>
  <c r="G194" i="14"/>
  <c r="Q193" i="14"/>
  <c r="G193" i="14"/>
  <c r="AF192" i="14"/>
  <c r="AE192" i="14"/>
  <c r="AD192" i="14"/>
  <c r="AC192" i="14"/>
  <c r="AB192" i="14"/>
  <c r="AA192" i="14"/>
  <c r="AA171" i="14" s="1"/>
  <c r="Z192" i="14"/>
  <c r="X192" i="14"/>
  <c r="W192" i="14"/>
  <c r="V192" i="14"/>
  <c r="U192" i="14"/>
  <c r="T192" i="14"/>
  <c r="S192" i="14"/>
  <c r="G192" i="14"/>
  <c r="Q191" i="14"/>
  <c r="Q190" i="14"/>
  <c r="Q189" i="14"/>
  <c r="G189" i="14"/>
  <c r="Q188" i="14"/>
  <c r="G188" i="14"/>
  <c r="Q187" i="14"/>
  <c r="G187" i="14"/>
  <c r="Q186" i="14"/>
  <c r="G186" i="14"/>
  <c r="Q185" i="14"/>
  <c r="G185" i="14"/>
  <c r="Q184" i="14"/>
  <c r="G184" i="14"/>
  <c r="Q183" i="14"/>
  <c r="G183" i="14"/>
  <c r="AF182" i="14"/>
  <c r="AE182" i="14"/>
  <c r="AD182" i="14"/>
  <c r="AC182" i="14"/>
  <c r="AB182" i="14"/>
  <c r="AA182" i="14"/>
  <c r="Z182" i="14"/>
  <c r="X182" i="14"/>
  <c r="W182" i="14"/>
  <c r="V182" i="14"/>
  <c r="U182" i="14"/>
  <c r="T182" i="14"/>
  <c r="T171" i="14" s="1"/>
  <c r="S182" i="14"/>
  <c r="G182" i="14"/>
  <c r="Q181" i="14"/>
  <c r="Q180" i="14"/>
  <c r="Q179" i="14"/>
  <c r="G179" i="14"/>
  <c r="Q178" i="14"/>
  <c r="G178" i="14"/>
  <c r="Q177" i="14"/>
  <c r="G177" i="14"/>
  <c r="Q176" i="14"/>
  <c r="G176" i="14"/>
  <c r="Q175" i="14"/>
  <c r="G175" i="14"/>
  <c r="Q174" i="14"/>
  <c r="G174" i="14"/>
  <c r="Q173" i="14"/>
  <c r="G173" i="14"/>
  <c r="AF172" i="14"/>
  <c r="AE172" i="14"/>
  <c r="AD172" i="14"/>
  <c r="AC172" i="14"/>
  <c r="AB172" i="14"/>
  <c r="AA172" i="14"/>
  <c r="Z172" i="14"/>
  <c r="X172" i="14"/>
  <c r="W172" i="14"/>
  <c r="V172" i="14"/>
  <c r="U172" i="14"/>
  <c r="U171" i="14" s="1"/>
  <c r="T172" i="14"/>
  <c r="S172" i="14"/>
  <c r="G172" i="14"/>
  <c r="E170" i="14"/>
  <c r="E169" i="14"/>
  <c r="AF168" i="14"/>
  <c r="AE168" i="14"/>
  <c r="AD168" i="14"/>
  <c r="AC168" i="14"/>
  <c r="AB168" i="14"/>
  <c r="AA168" i="14"/>
  <c r="Z168" i="14"/>
  <c r="Y168" i="14"/>
  <c r="X168" i="14"/>
  <c r="W168" i="14"/>
  <c r="V168" i="14"/>
  <c r="U168" i="14"/>
  <c r="T168" i="14"/>
  <c r="S168" i="14"/>
  <c r="R168" i="14"/>
  <c r="Q168" i="14"/>
  <c r="Q167" i="14"/>
  <c r="E167" i="14"/>
  <c r="P166" i="14"/>
  <c r="Q166" i="14" s="1"/>
  <c r="E166" i="14"/>
  <c r="Q165" i="14"/>
  <c r="E165" i="14"/>
  <c r="Q164" i="14"/>
  <c r="E164" i="14"/>
  <c r="Q163" i="14"/>
  <c r="E163" i="14"/>
  <c r="Q162" i="14"/>
  <c r="E162" i="14"/>
  <c r="Q161" i="14"/>
  <c r="E161" i="14"/>
  <c r="Q160" i="14"/>
  <c r="E160" i="14"/>
  <c r="Q159" i="14"/>
  <c r="E159" i="14"/>
  <c r="Q158" i="14"/>
  <c r="E158" i="14"/>
  <c r="O157" i="14"/>
  <c r="Q157" i="14" s="1"/>
  <c r="R152" i="14" s="1"/>
  <c r="E157" i="14"/>
  <c r="O156" i="14"/>
  <c r="Q156" i="14"/>
  <c r="E156" i="14"/>
  <c r="Q155" i="14"/>
  <c r="E155" i="14"/>
  <c r="Q154" i="14"/>
  <c r="E154" i="14"/>
  <c r="Q153" i="14"/>
  <c r="E153" i="14"/>
  <c r="AF152" i="14"/>
  <c r="AE152" i="14"/>
  <c r="AD152" i="14"/>
  <c r="AC152" i="14"/>
  <c r="AB152" i="14"/>
  <c r="AA152" i="14"/>
  <c r="Z152" i="14"/>
  <c r="Y152" i="14"/>
  <c r="X152" i="14"/>
  <c r="W152" i="14"/>
  <c r="V152" i="14"/>
  <c r="U152" i="14"/>
  <c r="T152" i="14"/>
  <c r="S152" i="14"/>
  <c r="E152" i="14"/>
  <c r="Q151" i="14"/>
  <c r="G151" i="14"/>
  <c r="E151" i="14"/>
  <c r="Q150" i="14"/>
  <c r="G150" i="14"/>
  <c r="E150" i="14" s="1"/>
  <c r="Q149" i="14"/>
  <c r="G149" i="14"/>
  <c r="E149" i="14"/>
  <c r="Q148" i="14"/>
  <c r="G148" i="14"/>
  <c r="E148" i="14" s="1"/>
  <c r="Q147" i="14"/>
  <c r="G147" i="14"/>
  <c r="E147" i="14"/>
  <c r="Q146" i="14"/>
  <c r="G146" i="14"/>
  <c r="E146" i="14" s="1"/>
  <c r="Q145" i="14"/>
  <c r="G145" i="14"/>
  <c r="E145" i="14"/>
  <c r="Q144" i="14"/>
  <c r="G144" i="14"/>
  <c r="E144" i="14" s="1"/>
  <c r="Q143" i="14"/>
  <c r="G143" i="14"/>
  <c r="E143" i="14"/>
  <c r="Q142" i="14"/>
  <c r="G142" i="14"/>
  <c r="E142" i="14" s="1"/>
  <c r="AF141" i="14"/>
  <c r="AE141" i="14"/>
  <c r="AD141" i="14"/>
  <c r="AC141" i="14"/>
  <c r="AB141" i="14"/>
  <c r="AA141" i="14"/>
  <c r="Z141" i="14"/>
  <c r="Y141" i="14"/>
  <c r="X141" i="14"/>
  <c r="X100" i="14" s="1"/>
  <c r="W141" i="14"/>
  <c r="V141" i="14"/>
  <c r="U141" i="14"/>
  <c r="T141" i="14"/>
  <c r="S141" i="14"/>
  <c r="G141" i="14"/>
  <c r="E141" i="14" s="1"/>
  <c r="Q140" i="14"/>
  <c r="G140" i="14"/>
  <c r="E140" i="14"/>
  <c r="Q139" i="14"/>
  <c r="G139" i="14"/>
  <c r="E139" i="14" s="1"/>
  <c r="O138" i="14"/>
  <c r="Q138" i="14" s="1"/>
  <c r="R137" i="14" s="1"/>
  <c r="G138" i="14"/>
  <c r="E138" i="14"/>
  <c r="AF137" i="14"/>
  <c r="AE137" i="14"/>
  <c r="AD137" i="14"/>
  <c r="AC137" i="14"/>
  <c r="AB137" i="14"/>
  <c r="AA137" i="14"/>
  <c r="Z137" i="14"/>
  <c r="Y137" i="14"/>
  <c r="X137" i="14"/>
  <c r="W137" i="14"/>
  <c r="V137" i="14"/>
  <c r="U137" i="14"/>
  <c r="U100" i="14" s="1"/>
  <c r="U99" i="14" s="1"/>
  <c r="T137" i="14"/>
  <c r="S137" i="14"/>
  <c r="G137" i="14"/>
  <c r="E137" i="14"/>
  <c r="Q136" i="14"/>
  <c r="Q135" i="14"/>
  <c r="E135" i="14"/>
  <c r="Q134" i="14"/>
  <c r="E134" i="14"/>
  <c r="Q133" i="14"/>
  <c r="E133" i="14"/>
  <c r="Q132" i="14"/>
  <c r="E132" i="14"/>
  <c r="Q131" i="14"/>
  <c r="E131" i="14"/>
  <c r="Q130" i="14"/>
  <c r="E130" i="14"/>
  <c r="O129" i="14"/>
  <c r="Q129" i="14" s="1"/>
  <c r="E129" i="14"/>
  <c r="O128" i="14"/>
  <c r="Q128" i="14"/>
  <c r="E128" i="14"/>
  <c r="Q127" i="14"/>
  <c r="E127" i="14"/>
  <c r="Q126" i="14"/>
  <c r="E126" i="14"/>
  <c r="Q125" i="14"/>
  <c r="E125" i="14"/>
  <c r="AF124" i="14"/>
  <c r="AE124" i="14"/>
  <c r="AD124" i="14"/>
  <c r="AC124" i="14"/>
  <c r="AB124" i="14"/>
  <c r="AA124" i="14"/>
  <c r="Z124" i="14"/>
  <c r="Z100" i="14" s="1"/>
  <c r="Y124" i="14"/>
  <c r="X124" i="14"/>
  <c r="W124" i="14"/>
  <c r="V124" i="14"/>
  <c r="U124" i="14"/>
  <c r="T124" i="14"/>
  <c r="T100" i="14" s="1"/>
  <c r="S124" i="14"/>
  <c r="E124" i="14"/>
  <c r="Q123" i="14"/>
  <c r="G123" i="14"/>
  <c r="E123" i="14"/>
  <c r="Q122" i="14"/>
  <c r="G122" i="14"/>
  <c r="E122" i="14" s="1"/>
  <c r="Q121" i="14"/>
  <c r="G121" i="14"/>
  <c r="E121" i="14"/>
  <c r="Q120" i="14"/>
  <c r="G120" i="14"/>
  <c r="E120" i="14"/>
  <c r="Q119" i="14"/>
  <c r="G119" i="14"/>
  <c r="E119" i="14"/>
  <c r="Q118" i="14"/>
  <c r="G118" i="14"/>
  <c r="E118" i="14" s="1"/>
  <c r="Q117" i="14"/>
  <c r="G117" i="14"/>
  <c r="E117" i="14"/>
  <c r="Q116" i="14"/>
  <c r="G116" i="14"/>
  <c r="E116" i="14"/>
  <c r="A116" i="14"/>
  <c r="A117" i="14"/>
  <c r="Q115" i="14"/>
  <c r="G115" i="14"/>
  <c r="E115" i="14" s="1"/>
  <c r="AF114" i="14"/>
  <c r="AE114" i="14"/>
  <c r="AD114" i="14"/>
  <c r="AC114" i="14"/>
  <c r="AB114" i="14"/>
  <c r="AA114" i="14"/>
  <c r="Z114" i="14"/>
  <c r="Y114" i="14"/>
  <c r="X114" i="14"/>
  <c r="W114" i="14"/>
  <c r="V114" i="14"/>
  <c r="U114" i="14"/>
  <c r="T114" i="14"/>
  <c r="S114" i="14"/>
  <c r="G114" i="14"/>
  <c r="E114" i="14"/>
  <c r="Q113" i="14"/>
  <c r="Q112" i="14"/>
  <c r="Q111" i="14"/>
  <c r="Q110" i="14"/>
  <c r="Q109" i="14"/>
  <c r="A109" i="14"/>
  <c r="A110" i="14" s="1"/>
  <c r="A111" i="14" s="1"/>
  <c r="Q108" i="14"/>
  <c r="Q107" i="14"/>
  <c r="Q106" i="14"/>
  <c r="Q105" i="14"/>
  <c r="Q101" i="14" s="1"/>
  <c r="Q104" i="14"/>
  <c r="Q103" i="14"/>
  <c r="F103" i="14"/>
  <c r="E103" i="14"/>
  <c r="Q102" i="14"/>
  <c r="E102" i="14"/>
  <c r="AF101" i="14"/>
  <c r="AE101" i="14"/>
  <c r="AD101" i="14"/>
  <c r="AC101" i="14"/>
  <c r="AB101" i="14"/>
  <c r="AA101" i="14"/>
  <c r="AG101" i="14" s="1"/>
  <c r="Z101" i="14"/>
  <c r="Y101" i="14"/>
  <c r="X101" i="14"/>
  <c r="W101" i="14"/>
  <c r="V101" i="14"/>
  <c r="U101" i="14"/>
  <c r="T101" i="14"/>
  <c r="S101" i="14"/>
  <c r="E101" i="14"/>
  <c r="Q94" i="14"/>
  <c r="X94" i="14"/>
  <c r="G94" i="14"/>
  <c r="Q93" i="14"/>
  <c r="X93" i="14"/>
  <c r="G93" i="14"/>
  <c r="Q92" i="14"/>
  <c r="X92" i="14"/>
  <c r="G92" i="14"/>
  <c r="Q91" i="14"/>
  <c r="X91" i="14" s="1"/>
  <c r="G91" i="14"/>
  <c r="Q90" i="14"/>
  <c r="X90" i="14"/>
  <c r="G90" i="14"/>
  <c r="Q89" i="14"/>
  <c r="X89" i="14"/>
  <c r="X87" i="14" s="1"/>
  <c r="X9" i="14" s="1"/>
  <c r="X8" i="14" s="1"/>
  <c r="G89" i="14"/>
  <c r="Q88" i="14"/>
  <c r="X88" i="14"/>
  <c r="G88" i="14"/>
  <c r="AF87" i="14"/>
  <c r="AE87" i="14"/>
  <c r="AD87" i="14"/>
  <c r="AC87" i="14"/>
  <c r="AB87" i="14"/>
  <c r="AA87" i="14"/>
  <c r="Z87" i="14"/>
  <c r="Y87" i="14"/>
  <c r="W87" i="14"/>
  <c r="V87" i="14"/>
  <c r="U87" i="14"/>
  <c r="T87" i="14"/>
  <c r="S87" i="14"/>
  <c r="R87" i="14"/>
  <c r="G87" i="14"/>
  <c r="Q86" i="14"/>
  <c r="V86" i="14"/>
  <c r="G86" i="14"/>
  <c r="Q85" i="14"/>
  <c r="V85" i="14"/>
  <c r="G85" i="14"/>
  <c r="Q84" i="14"/>
  <c r="V84" i="14"/>
  <c r="G84" i="14"/>
  <c r="Q83" i="14"/>
  <c r="W83" i="14" s="1"/>
  <c r="G83" i="14"/>
  <c r="Q82" i="14"/>
  <c r="W82" i="14"/>
  <c r="G82" i="14"/>
  <c r="Q81" i="14"/>
  <c r="W81" i="14"/>
  <c r="W68" i="14" s="1"/>
  <c r="G81" i="14"/>
  <c r="Q80" i="14"/>
  <c r="V80" i="14"/>
  <c r="G80" i="14"/>
  <c r="Q79" i="14"/>
  <c r="V79" i="14" s="1"/>
  <c r="G79" i="14"/>
  <c r="Q78" i="14"/>
  <c r="V78" i="14"/>
  <c r="G78" i="14"/>
  <c r="Q77" i="14"/>
  <c r="V77" i="14"/>
  <c r="G77" i="14"/>
  <c r="Q76" i="14"/>
  <c r="V76" i="14"/>
  <c r="G76" i="14"/>
  <c r="Q75" i="14"/>
  <c r="V75" i="14" s="1"/>
  <c r="G75" i="14"/>
  <c r="Q74" i="14"/>
  <c r="V74" i="14"/>
  <c r="G74" i="14"/>
  <c r="Q73" i="14"/>
  <c r="V73" i="14"/>
  <c r="G73" i="14"/>
  <c r="Q72" i="14"/>
  <c r="V72" i="14"/>
  <c r="G72" i="14"/>
  <c r="Q71" i="14"/>
  <c r="V71" i="14" s="1"/>
  <c r="G71" i="14"/>
  <c r="Q70" i="14"/>
  <c r="V70" i="14"/>
  <c r="G70" i="14"/>
  <c r="Q69" i="14"/>
  <c r="V69" i="14"/>
  <c r="G69" i="14"/>
  <c r="AF68" i="14"/>
  <c r="AE68" i="14"/>
  <c r="AD68" i="14"/>
  <c r="AD9" i="14" s="1"/>
  <c r="AD8" i="14" s="1"/>
  <c r="AC68" i="14"/>
  <c r="AB68" i="14"/>
  <c r="AA68" i="14"/>
  <c r="Z68" i="14"/>
  <c r="Y68" i="14"/>
  <c r="X68" i="14"/>
  <c r="U68" i="14"/>
  <c r="T68" i="14"/>
  <c r="S68" i="14"/>
  <c r="R68" i="14"/>
  <c r="G68" i="14"/>
  <c r="Q67" i="14"/>
  <c r="V67" i="14" s="1"/>
  <c r="G67" i="14"/>
  <c r="Q66" i="14"/>
  <c r="V66" i="14"/>
  <c r="G66" i="14"/>
  <c r="Q65" i="14"/>
  <c r="V65" i="14" s="1"/>
  <c r="G65" i="14"/>
  <c r="Q64" i="14"/>
  <c r="U64" i="14"/>
  <c r="G64" i="14"/>
  <c r="Q63" i="14"/>
  <c r="U63" i="14" s="1"/>
  <c r="G63" i="14"/>
  <c r="Q62" i="14"/>
  <c r="U62" i="14"/>
  <c r="G62" i="14"/>
  <c r="Q61" i="14"/>
  <c r="U61" i="14" s="1"/>
  <c r="G61" i="14"/>
  <c r="Q60" i="14"/>
  <c r="U60" i="14"/>
  <c r="G60" i="14"/>
  <c r="Q59" i="14"/>
  <c r="U59" i="14" s="1"/>
  <c r="G59" i="14"/>
  <c r="Q58" i="14"/>
  <c r="U58" i="14"/>
  <c r="G58" i="14"/>
  <c r="Q57" i="14"/>
  <c r="G57" i="14"/>
  <c r="AF56" i="14"/>
  <c r="AE56" i="14"/>
  <c r="AD56" i="14"/>
  <c r="AC56" i="14"/>
  <c r="AB56" i="14"/>
  <c r="AA56" i="14"/>
  <c r="Z56" i="14"/>
  <c r="Y56" i="14"/>
  <c r="X56" i="14"/>
  <c r="W56" i="14"/>
  <c r="W9" i="14" s="1"/>
  <c r="W8" i="14" s="1"/>
  <c r="T56" i="14"/>
  <c r="S56" i="14"/>
  <c r="R56" i="14"/>
  <c r="G56" i="14"/>
  <c r="Q55" i="14"/>
  <c r="U55" i="14"/>
  <c r="G55" i="14"/>
  <c r="Q54" i="14"/>
  <c r="U54" i="14" s="1"/>
  <c r="G54" i="14"/>
  <c r="Q53" i="14"/>
  <c r="U53" i="14"/>
  <c r="G53" i="14"/>
  <c r="Q52" i="14"/>
  <c r="U52" i="14" s="1"/>
  <c r="G52" i="14"/>
  <c r="Q51" i="14"/>
  <c r="U51" i="14"/>
  <c r="G51" i="14"/>
  <c r="AF50" i="14"/>
  <c r="AE50" i="14"/>
  <c r="AD50" i="14"/>
  <c r="AC50" i="14"/>
  <c r="AB50" i="14"/>
  <c r="AB9" i="14" s="1"/>
  <c r="AB8" i="14" s="1"/>
  <c r="AA50" i="14"/>
  <c r="Z50" i="14"/>
  <c r="Z9" i="14" s="1"/>
  <c r="Z8" i="14" s="1"/>
  <c r="Z7" i="14" s="1"/>
  <c r="Y50" i="14"/>
  <c r="X50" i="14"/>
  <c r="W50" i="14"/>
  <c r="V50" i="14"/>
  <c r="T50" i="14"/>
  <c r="S50" i="14"/>
  <c r="R50" i="14"/>
  <c r="G50" i="14"/>
  <c r="Q49" i="14"/>
  <c r="U49" i="14"/>
  <c r="G49" i="14"/>
  <c r="Q48" i="14"/>
  <c r="U48" i="14" s="1"/>
  <c r="G48" i="14"/>
  <c r="Q47" i="14"/>
  <c r="T47" i="14"/>
  <c r="G47" i="14"/>
  <c r="Q46" i="14"/>
  <c r="T46" i="14" s="1"/>
  <c r="G46" i="14"/>
  <c r="Q45" i="14"/>
  <c r="U45" i="14"/>
  <c r="G45" i="14"/>
  <c r="Q44" i="14"/>
  <c r="U44" i="14" s="1"/>
  <c r="G44" i="14"/>
  <c r="Q43" i="14"/>
  <c r="T43" i="14"/>
  <c r="G43" i="14"/>
  <c r="Q42" i="14"/>
  <c r="T42" i="14"/>
  <c r="G42" i="14"/>
  <c r="Q41" i="14"/>
  <c r="T41" i="14"/>
  <c r="G41" i="14"/>
  <c r="Q40" i="14"/>
  <c r="T40" i="14" s="1"/>
  <c r="G40" i="14"/>
  <c r="Q39" i="14"/>
  <c r="U39" i="14"/>
  <c r="G39" i="14"/>
  <c r="Q38" i="14"/>
  <c r="U38" i="14"/>
  <c r="G38" i="14"/>
  <c r="Q37" i="14"/>
  <c r="U37" i="14"/>
  <c r="G37" i="14"/>
  <c r="Q36" i="14"/>
  <c r="U36" i="14" s="1"/>
  <c r="G36" i="14"/>
  <c r="Q35" i="14"/>
  <c r="U35" i="14"/>
  <c r="G35" i="14"/>
  <c r="Q34" i="14"/>
  <c r="U34" i="14"/>
  <c r="G34" i="14"/>
  <c r="Q33" i="14"/>
  <c r="U33" i="14"/>
  <c r="G33" i="14"/>
  <c r="Q32" i="14"/>
  <c r="T32" i="14" s="1"/>
  <c r="G32" i="14"/>
  <c r="Q31" i="14"/>
  <c r="U31" i="14"/>
  <c r="G31" i="14"/>
  <c r="Q30" i="14"/>
  <c r="U30" i="14" s="1"/>
  <c r="U23" i="14" s="1"/>
  <c r="G30" i="14"/>
  <c r="Q29" i="14"/>
  <c r="U29" i="14"/>
  <c r="G29" i="14"/>
  <c r="Q28" i="14"/>
  <c r="U28" i="14" s="1"/>
  <c r="G28" i="14"/>
  <c r="Q27" i="14"/>
  <c r="T27" i="14"/>
  <c r="G27" i="14"/>
  <c r="Q26" i="14"/>
  <c r="T26" i="14" s="1"/>
  <c r="G26" i="14"/>
  <c r="Q25" i="14"/>
  <c r="T25" i="14"/>
  <c r="G25" i="14"/>
  <c r="Q24" i="14"/>
  <c r="G24" i="14"/>
  <c r="AF23" i="14"/>
  <c r="AE23" i="14"/>
  <c r="AD23" i="14"/>
  <c r="AC23" i="14"/>
  <c r="AB23" i="14"/>
  <c r="AA23" i="14"/>
  <c r="Z23" i="14"/>
  <c r="Y23" i="14"/>
  <c r="Y9" i="14" s="1"/>
  <c r="Y8" i="14" s="1"/>
  <c r="Y7" i="14" s="1"/>
  <c r="Y10" i="14"/>
  <c r="X23" i="14"/>
  <c r="W23" i="14"/>
  <c r="V23" i="14"/>
  <c r="S23" i="14"/>
  <c r="R23" i="14"/>
  <c r="G23" i="14"/>
  <c r="Q22" i="14"/>
  <c r="T22" i="14"/>
  <c r="G22" i="14"/>
  <c r="Q21" i="14"/>
  <c r="T21" i="14"/>
  <c r="G21" i="14"/>
  <c r="Q20" i="14"/>
  <c r="T20" i="14"/>
  <c r="G20" i="14"/>
  <c r="Q19" i="14"/>
  <c r="T19" i="14" s="1"/>
  <c r="G19" i="14"/>
  <c r="Q18" i="14"/>
  <c r="T18" i="14"/>
  <c r="G18" i="14"/>
  <c r="Q17" i="14"/>
  <c r="T17" i="14"/>
  <c r="G17" i="14"/>
  <c r="Q16" i="14"/>
  <c r="T16" i="14"/>
  <c r="G16" i="14"/>
  <c r="Q15" i="14"/>
  <c r="T15" i="14" s="1"/>
  <c r="G15" i="14"/>
  <c r="Q14" i="14"/>
  <c r="T14" i="14"/>
  <c r="G14" i="14"/>
  <c r="Q13" i="14"/>
  <c r="T13" i="14"/>
  <c r="G13" i="14"/>
  <c r="Q12" i="14"/>
  <c r="T12" i="14"/>
  <c r="G12" i="14"/>
  <c r="Q11" i="14"/>
  <c r="G11" i="14"/>
  <c r="AF10" i="14"/>
  <c r="AE10" i="14"/>
  <c r="AD10" i="14"/>
  <c r="AC10" i="14"/>
  <c r="AB10" i="14"/>
  <c r="AA10" i="14"/>
  <c r="AA9" i="14" s="1"/>
  <c r="AA8" i="14" s="1"/>
  <c r="Z10" i="14"/>
  <c r="X10" i="14"/>
  <c r="W10" i="14"/>
  <c r="V10" i="14"/>
  <c r="U10" i="14"/>
  <c r="S10" i="14"/>
  <c r="R10" i="14"/>
  <c r="G10" i="14"/>
  <c r="R7" i="14"/>
  <c r="D21" i="2"/>
  <c r="F20" i="2"/>
  <c r="G14" i="2"/>
  <c r="G13" i="2"/>
  <c r="G10" i="2"/>
  <c r="G6" i="2"/>
  <c r="C8" i="4"/>
  <c r="E7" i="4"/>
  <c r="C7" i="4"/>
  <c r="G6" i="4"/>
  <c r="E6" i="4"/>
  <c r="C6" i="4"/>
  <c r="D16" i="1"/>
  <c r="E5" i="4"/>
  <c r="C5" i="4"/>
  <c r="D175" i="1"/>
  <c r="E19" i="2"/>
  <c r="G19" i="2"/>
  <c r="C174" i="1"/>
  <c r="D173" i="1"/>
  <c r="E18" i="2"/>
  <c r="G18" i="2" s="1"/>
  <c r="C172" i="1"/>
  <c r="C171" i="1"/>
  <c r="C170" i="1"/>
  <c r="C169" i="1"/>
  <c r="D166" i="1"/>
  <c r="C166" i="1"/>
  <c r="C165" i="1"/>
  <c r="C163" i="1"/>
  <c r="C162" i="1"/>
  <c r="C161" i="1"/>
  <c r="C160" i="1"/>
  <c r="C158" i="1"/>
  <c r="C157" i="1"/>
  <c r="D154" i="1"/>
  <c r="E17" i="2" s="1"/>
  <c r="C151" i="1"/>
  <c r="C150" i="1"/>
  <c r="C149" i="1"/>
  <c r="C148" i="1"/>
  <c r="C146" i="1"/>
  <c r="C140" i="1"/>
  <c r="C139" i="1"/>
  <c r="D138" i="1"/>
  <c r="E8" i="4"/>
  <c r="C137" i="1"/>
  <c r="C135" i="1"/>
  <c r="C134" i="1"/>
  <c r="C133" i="1"/>
  <c r="C129" i="1"/>
  <c r="C128" i="1"/>
  <c r="D127" i="1"/>
  <c r="D130" i="1"/>
  <c r="E15" i="2" s="1"/>
  <c r="G15" i="2" s="1"/>
  <c r="C125" i="1"/>
  <c r="C123" i="1"/>
  <c r="C122" i="1"/>
  <c r="C121" i="1"/>
  <c r="C120" i="1"/>
  <c r="D115" i="1"/>
  <c r="E12" i="2"/>
  <c r="C114" i="1"/>
  <c r="C112" i="1"/>
  <c r="C111" i="1"/>
  <c r="C109" i="1"/>
  <c r="C116" i="1" s="1"/>
  <c r="C108" i="1"/>
  <c r="D103" i="1"/>
  <c r="G7" i="4"/>
  <c r="C98" i="1"/>
  <c r="C96" i="1"/>
  <c r="D91" i="1"/>
  <c r="C90" i="1"/>
  <c r="C89" i="1"/>
  <c r="C87" i="1"/>
  <c r="C86" i="1"/>
  <c r="C85" i="1"/>
  <c r="C84" i="1"/>
  <c r="C83" i="1"/>
  <c r="D80" i="1"/>
  <c r="E8" i="2"/>
  <c r="C79" i="1"/>
  <c r="C78" i="1"/>
  <c r="C77" i="1"/>
  <c r="C76" i="1"/>
  <c r="C75" i="1"/>
  <c r="C74" i="1"/>
  <c r="C73" i="1"/>
  <c r="C72" i="1"/>
  <c r="C71" i="1"/>
  <c r="C70" i="1"/>
  <c r="C69" i="1"/>
  <c r="C68" i="1"/>
  <c r="C67" i="1"/>
  <c r="C66" i="1"/>
  <c r="C65" i="1"/>
  <c r="C64" i="1"/>
  <c r="C63" i="1"/>
  <c r="C61" i="1"/>
  <c r="C60" i="1"/>
  <c r="C59" i="1"/>
  <c r="C58" i="1"/>
  <c r="C56" i="1"/>
  <c r="C55" i="1"/>
  <c r="C54" i="1"/>
  <c r="C53" i="1"/>
  <c r="C52" i="1"/>
  <c r="C51" i="1"/>
  <c r="C50" i="1"/>
  <c r="D47" i="1"/>
  <c r="E7" i="2"/>
  <c r="C46" i="1"/>
  <c r="C45" i="1"/>
  <c r="C44" i="1"/>
  <c r="C43" i="1"/>
  <c r="C42" i="1"/>
  <c r="C41" i="1"/>
  <c r="C40" i="1"/>
  <c r="C39" i="1"/>
  <c r="C38" i="1"/>
  <c r="C37" i="1"/>
  <c r="C36" i="1"/>
  <c r="C35" i="1"/>
  <c r="C34" i="1"/>
  <c r="C32" i="1"/>
  <c r="C31" i="1"/>
  <c r="C29" i="1"/>
  <c r="C28" i="1"/>
  <c r="C27" i="1"/>
  <c r="C26" i="1"/>
  <c r="C25" i="1"/>
  <c r="C23" i="1"/>
  <c r="C22" i="1"/>
  <c r="C21" i="1"/>
  <c r="C14" i="1"/>
  <c r="C13" i="1"/>
  <c r="C11" i="1"/>
  <c r="C10" i="1"/>
  <c r="C7" i="1"/>
  <c r="R437" i="47"/>
  <c r="R55" i="11"/>
  <c r="S486" i="14"/>
  <c r="W258" i="14"/>
  <c r="D105" i="1"/>
  <c r="E11" i="2"/>
  <c r="F104" i="14"/>
  <c r="Q352" i="14"/>
  <c r="Q376" i="14"/>
  <c r="AD375" i="14"/>
  <c r="Q386" i="14"/>
  <c r="Q388" i="14"/>
  <c r="O457" i="14"/>
  <c r="Q457" i="14" s="1"/>
  <c r="T508" i="14"/>
  <c r="X575" i="14"/>
  <c r="W276" i="23"/>
  <c r="AA296" i="23"/>
  <c r="X358" i="23"/>
  <c r="AA382" i="23"/>
  <c r="AE382" i="23"/>
  <c r="Q418" i="23"/>
  <c r="V418" i="23" s="1"/>
  <c r="X434" i="23"/>
  <c r="AF434" i="23"/>
  <c r="Q452" i="23"/>
  <c r="Q509" i="23"/>
  <c r="S515" i="23"/>
  <c r="X534" i="23"/>
  <c r="AG540" i="23"/>
  <c r="X582" i="23"/>
  <c r="Z582" i="23"/>
  <c r="Z492" i="23" s="1"/>
  <c r="AC611" i="23"/>
  <c r="R222" i="30"/>
  <c r="AA223" i="30"/>
  <c r="Q513" i="30"/>
  <c r="U565" i="30"/>
  <c r="Q565" i="46"/>
  <c r="X588" i="46"/>
  <c r="AB588" i="46"/>
  <c r="AF588" i="46"/>
  <c r="F118" i="32"/>
  <c r="F119" i="32"/>
  <c r="E117" i="32"/>
  <c r="Q502" i="14"/>
  <c r="V508" i="14"/>
  <c r="Q635" i="14"/>
  <c r="Q202" i="23"/>
  <c r="Z382" i="23"/>
  <c r="AD382" i="23"/>
  <c r="AC434" i="23"/>
  <c r="W494" i="23"/>
  <c r="Y534" i="23"/>
  <c r="Q574" i="23"/>
  <c r="R574" i="23"/>
  <c r="AG616" i="23"/>
  <c r="W611" i="23"/>
  <c r="AE611" i="23"/>
  <c r="Q632" i="23"/>
  <c r="Q642" i="23"/>
  <c r="Q640" i="23" s="1"/>
  <c r="Q652" i="23"/>
  <c r="S7" i="30"/>
  <c r="U89" i="30"/>
  <c r="Y89" i="30"/>
  <c r="AC89" i="30"/>
  <c r="Q453" i="30"/>
  <c r="T540" i="37"/>
  <c r="G338" i="46"/>
  <c r="F338" i="46"/>
  <c r="T334" i="46"/>
  <c r="X334" i="46"/>
  <c r="AB334" i="46"/>
  <c r="AF334" i="46"/>
  <c r="U334" i="46"/>
  <c r="Y334" i="46"/>
  <c r="AC334" i="46"/>
  <c r="V334" i="46"/>
  <c r="AD334" i="46"/>
  <c r="Q547" i="46"/>
  <c r="S382" i="23"/>
  <c r="B6" i="4"/>
  <c r="F6" i="4"/>
  <c r="Q50" i="14"/>
  <c r="Q359" i="14"/>
  <c r="AB375" i="14"/>
  <c r="U100" i="23"/>
  <c r="AB248" i="23"/>
  <c r="Q393" i="23"/>
  <c r="R395" i="23"/>
  <c r="V396" i="23"/>
  <c r="V395" i="23"/>
  <c r="AG474" i="23"/>
  <c r="X532" i="23"/>
  <c r="AA582" i="23"/>
  <c r="AE582" i="23"/>
  <c r="Q620" i="23"/>
  <c r="V620" i="23"/>
  <c r="Z620" i="23"/>
  <c r="AD620" i="23"/>
  <c r="T7" i="30"/>
  <c r="AE7" i="30"/>
  <c r="U302" i="30"/>
  <c r="Y302" i="30"/>
  <c r="AC302" i="30"/>
  <c r="AG356" i="30"/>
  <c r="AG453" i="30"/>
  <c r="AA438" i="30"/>
  <c r="AE438" i="30"/>
  <c r="U97" i="46"/>
  <c r="Y97" i="46"/>
  <c r="AC97" i="46"/>
  <c r="Q335" i="46"/>
  <c r="Z496" i="46"/>
  <c r="AG522" i="46"/>
  <c r="Q610" i="46"/>
  <c r="AE544" i="48"/>
  <c r="AE493" i="48"/>
  <c r="W302" i="30"/>
  <c r="Y345" i="30"/>
  <c r="AC345" i="30"/>
  <c r="Y438" i="30"/>
  <c r="T481" i="30"/>
  <c r="X481" i="30"/>
  <c r="AB481" i="30"/>
  <c r="AB437" i="30" s="1"/>
  <c r="AF481" i="30"/>
  <c r="Q482" i="30"/>
  <c r="Q486" i="30"/>
  <c r="AG495" i="30"/>
  <c r="W565" i="30"/>
  <c r="Y576" i="30"/>
  <c r="Q585" i="30"/>
  <c r="Q34" i="37"/>
  <c r="U540" i="37"/>
  <c r="Y540" i="37"/>
  <c r="Q47" i="37"/>
  <c r="Q98" i="46"/>
  <c r="Q444" i="46"/>
  <c r="AC496" i="46"/>
  <c r="Q560" i="46"/>
  <c r="V606" i="46"/>
  <c r="Q607" i="46"/>
  <c r="Y7" i="48"/>
  <c r="AD633" i="48"/>
  <c r="U345" i="47"/>
  <c r="Q400" i="47"/>
  <c r="AC677" i="32"/>
  <c r="U223" i="30"/>
  <c r="Y223" i="30"/>
  <c r="Q224" i="30"/>
  <c r="V223" i="30"/>
  <c r="AD223" i="30"/>
  <c r="S302" i="30"/>
  <c r="AE302" i="30"/>
  <c r="Q313" i="30"/>
  <c r="V438" i="30"/>
  <c r="Z438" i="30"/>
  <c r="W481" i="30"/>
  <c r="AA481" i="30"/>
  <c r="AE481" i="30"/>
  <c r="AG569" i="30"/>
  <c r="V540" i="37"/>
  <c r="AG47" i="37"/>
  <c r="AG77" i="37"/>
  <c r="Q458" i="37"/>
  <c r="Q459" i="37"/>
  <c r="AB9" i="46"/>
  <c r="Q70" i="46"/>
  <c r="Q460" i="46"/>
  <c r="Q477" i="46"/>
  <c r="Q485" i="46"/>
  <c r="T442" i="46"/>
  <c r="T405" i="46" s="1"/>
  <c r="AB442" i="46"/>
  <c r="AB405" i="46"/>
  <c r="S496" i="46"/>
  <c r="W496" i="46"/>
  <c r="V546" i="46"/>
  <c r="Q459" i="47"/>
  <c r="Q659" i="46"/>
  <c r="F51" i="50"/>
  <c r="F232" i="50"/>
  <c r="F237" i="50"/>
  <c r="W243" i="48"/>
  <c r="V494" i="48"/>
  <c r="Z494" i="48"/>
  <c r="AD494" i="48"/>
  <c r="AA544" i="48"/>
  <c r="AA493" i="48" s="1"/>
  <c r="Q549" i="48"/>
  <c r="AG558" i="48"/>
  <c r="AG575" i="48"/>
  <c r="T585" i="48"/>
  <c r="X585" i="48"/>
  <c r="AB585" i="48"/>
  <c r="AF585" i="48"/>
  <c r="V644" i="48"/>
  <c r="V633" i="48" s="1"/>
  <c r="AG637" i="48"/>
  <c r="X7" i="47"/>
  <c r="AF7" i="47"/>
  <c r="Z223" i="47"/>
  <c r="AD223" i="47"/>
  <c r="U438" i="47"/>
  <c r="AC438" i="47"/>
  <c r="AC481" i="47"/>
  <c r="AC437" i="47"/>
  <c r="AG524" i="47"/>
  <c r="W520" i="47"/>
  <c r="AA520" i="47"/>
  <c r="AE520" i="47"/>
  <c r="Y535" i="47"/>
  <c r="S7" i="32"/>
  <c r="E94" i="32"/>
  <c r="F95" i="32"/>
  <c r="F96" i="32" s="1"/>
  <c r="E96" i="32" s="1"/>
  <c r="AG349" i="32"/>
  <c r="AA334" i="32"/>
  <c r="AE334" i="32"/>
  <c r="W394" i="32"/>
  <c r="AA394" i="32"/>
  <c r="Q415" i="32"/>
  <c r="Q413" i="32" s="1"/>
  <c r="Q416" i="32"/>
  <c r="AA421" i="32"/>
  <c r="Q647" i="32"/>
  <c r="Q645" i="32" s="1"/>
  <c r="Q650" i="32"/>
  <c r="T646" i="32"/>
  <c r="Q660" i="32"/>
  <c r="Q678" i="32"/>
  <c r="V678" i="32"/>
  <c r="Z678" i="32"/>
  <c r="AD678" i="32"/>
  <c r="AA637" i="46"/>
  <c r="AG646" i="46"/>
  <c r="AC7" i="48"/>
  <c r="T332" i="48"/>
  <c r="T242" i="48" s="1"/>
  <c r="Y387" i="48"/>
  <c r="Q545" i="48"/>
  <c r="Q586" i="48"/>
  <c r="Y602" i="48"/>
  <c r="W644" i="48"/>
  <c r="AA644" i="48"/>
  <c r="AE644" i="48"/>
  <c r="Q655" i="48"/>
  <c r="S89" i="47"/>
  <c r="W89" i="47"/>
  <c r="W7" i="47"/>
  <c r="AA89" i="47"/>
  <c r="AA7" i="47" s="1"/>
  <c r="AA600" i="47" s="1"/>
  <c r="AE89" i="47"/>
  <c r="AE7" i="47"/>
  <c r="AG154" i="47"/>
  <c r="AE223" i="47"/>
  <c r="Q224" i="47"/>
  <c r="AA438" i="47"/>
  <c r="Q453" i="47"/>
  <c r="Q438" i="47" s="1"/>
  <c r="Q495" i="47"/>
  <c r="Q510" i="47"/>
  <c r="R231" i="32"/>
  <c r="R720" i="32" s="1"/>
  <c r="U558" i="32"/>
  <c r="Y243" i="48"/>
  <c r="Q289" i="48"/>
  <c r="Q347" i="48"/>
  <c r="X332" i="48"/>
  <c r="AB332" i="48"/>
  <c r="AG405" i="48"/>
  <c r="AG404" i="48"/>
  <c r="AG358" i="47"/>
  <c r="Q482" i="47"/>
  <c r="U481" i="47"/>
  <c r="Y481" i="47"/>
  <c r="W565" i="47"/>
  <c r="AA565" i="47"/>
  <c r="AE565" i="47"/>
  <c r="AG585" i="47"/>
  <c r="AE232" i="32"/>
  <c r="Q386" i="32"/>
  <c r="S521" i="32"/>
  <c r="U556" i="32"/>
  <c r="Q649" i="32"/>
  <c r="T648" i="32"/>
  <c r="AD683" i="32"/>
  <c r="W688" i="32"/>
  <c r="W677" i="32" s="1"/>
  <c r="T27" i="3"/>
  <c r="R110" i="8"/>
  <c r="Q718" i="32"/>
  <c r="Q138" i="6"/>
  <c r="U138" i="6"/>
  <c r="V60" i="13"/>
  <c r="F39" i="7"/>
  <c r="W113" i="7"/>
  <c r="X114" i="7"/>
  <c r="AC565" i="47"/>
  <c r="Q345" i="32"/>
  <c r="Q355" i="32"/>
  <c r="AA580" i="32"/>
  <c r="Q586" i="32"/>
  <c r="T580" i="32"/>
  <c r="X580" i="32"/>
  <c r="AB580" i="32"/>
  <c r="AF580" i="32"/>
  <c r="Q630" i="32"/>
  <c r="S683" i="32"/>
  <c r="S677" i="32" s="1"/>
  <c r="W683" i="32"/>
  <c r="AA683" i="32"/>
  <c r="AA677" i="32" s="1"/>
  <c r="AA288" i="32"/>
  <c r="AA232" i="32"/>
  <c r="AA231" i="32" s="1"/>
  <c r="AA521" i="32"/>
  <c r="AA520" i="32" s="1"/>
  <c r="AA644" i="32"/>
  <c r="AE683" i="32"/>
  <c r="AE677" i="32"/>
  <c r="Q711" i="32"/>
  <c r="V6" i="19"/>
  <c r="Q10" i="19"/>
  <c r="Y49" i="3"/>
  <c r="Y27" i="3"/>
  <c r="G39" i="6"/>
  <c r="U58" i="13"/>
  <c r="Y113" i="7"/>
  <c r="X116" i="7"/>
  <c r="AB27" i="15"/>
  <c r="Q154" i="15"/>
  <c r="V154" i="15"/>
  <c r="Z7" i="32"/>
  <c r="AD7" i="32"/>
  <c r="S232" i="32"/>
  <c r="AB232" i="32"/>
  <c r="AF232" i="32"/>
  <c r="Q238" i="32"/>
  <c r="W246" i="32"/>
  <c r="AC232" i="32"/>
  <c r="AC334" i="32"/>
  <c r="AC394" i="32"/>
  <c r="Y263" i="32"/>
  <c r="Y232" i="32"/>
  <c r="AG335" i="32"/>
  <c r="AB334" i="32"/>
  <c r="AF334" i="32"/>
  <c r="T369" i="32"/>
  <c r="T366" i="32"/>
  <c r="T334" i="32"/>
  <c r="T231" i="32" s="1"/>
  <c r="Q399" i="32"/>
  <c r="T394" i="32"/>
  <c r="Q513" i="32"/>
  <c r="AG631" i="32"/>
  <c r="Y580" i="32"/>
  <c r="Z644" i="32"/>
  <c r="AD644" i="32"/>
  <c r="T678" i="32"/>
  <c r="X678" i="32"/>
  <c r="X677" i="32" s="1"/>
  <c r="AB678" i="32"/>
  <c r="AF678" i="32"/>
  <c r="AF677" i="32"/>
  <c r="Q7" i="19"/>
  <c r="Q112" i="7"/>
  <c r="Q27" i="9"/>
  <c r="X39" i="10"/>
  <c r="Y39" i="10" s="1"/>
  <c r="X41" i="10"/>
  <c r="Q70" i="11"/>
  <c r="V70" i="11" s="1"/>
  <c r="Z27" i="15"/>
  <c r="Q49" i="15"/>
  <c r="AA68" i="15"/>
  <c r="AA27" i="15" s="1"/>
  <c r="Q153" i="15"/>
  <c r="V153" i="15" s="1"/>
  <c r="Q160" i="15"/>
  <c r="W160" i="15"/>
  <c r="V275" i="15"/>
  <c r="Q291" i="15"/>
  <c r="Q295" i="15"/>
  <c r="R493" i="48"/>
  <c r="R146" i="3"/>
  <c r="R55" i="6"/>
  <c r="R92" i="10"/>
  <c r="R520" i="32"/>
  <c r="R127" i="3"/>
  <c r="R283" i="8"/>
  <c r="R111" i="10"/>
  <c r="D167" i="1"/>
  <c r="E20" i="2" s="1"/>
  <c r="G20" i="2" s="1"/>
  <c r="U50" i="14"/>
  <c r="AG50" i="14"/>
  <c r="AF9" i="14"/>
  <c r="AF8" i="14"/>
  <c r="AB171" i="14"/>
  <c r="AB99" i="14" s="1"/>
  <c r="AB7" i="14" s="1"/>
  <c r="AF171" i="14"/>
  <c r="Q270" i="14"/>
  <c r="Q339" i="14"/>
  <c r="U354" i="14"/>
  <c r="U352" i="14" s="1"/>
  <c r="U351" i="14"/>
  <c r="U328" i="14"/>
  <c r="T354" i="14"/>
  <c r="T352" i="14" s="1"/>
  <c r="T351" i="14" s="1"/>
  <c r="Y375" i="14"/>
  <c r="U402" i="23"/>
  <c r="U398" i="23"/>
  <c r="U397" i="23" s="1"/>
  <c r="AD492" i="23"/>
  <c r="B9" i="4"/>
  <c r="Q10" i="14"/>
  <c r="AB100" i="14"/>
  <c r="Y100" i="14"/>
  <c r="Y99" i="14"/>
  <c r="AC100" i="14"/>
  <c r="Q141" i="14"/>
  <c r="AG168" i="14"/>
  <c r="W171" i="14"/>
  <c r="S351" i="14"/>
  <c r="Q351" i="14"/>
  <c r="W603" i="14"/>
  <c r="V380" i="14"/>
  <c r="R379" i="14"/>
  <c r="AE9" i="14"/>
  <c r="AE8" i="14" s="1"/>
  <c r="AG152" i="14"/>
  <c r="Q192" i="14"/>
  <c r="Q237" i="14"/>
  <c r="Q289" i="14"/>
  <c r="V7" i="30"/>
  <c r="Z7" i="30"/>
  <c r="AD7" i="30"/>
  <c r="Z532" i="14"/>
  <c r="AD532" i="14"/>
  <c r="AG614" i="14"/>
  <c r="Q623" i="14"/>
  <c r="Q207" i="23"/>
  <c r="Q277" i="23"/>
  <c r="S358" i="23"/>
  <c r="S335" i="23" s="1"/>
  <c r="AG366" i="23"/>
  <c r="AB335" i="23"/>
  <c r="Q411" i="23"/>
  <c r="V411" i="23"/>
  <c r="AB397" i="23"/>
  <c r="Q450" i="23"/>
  <c r="Q451" i="23"/>
  <c r="W510" i="23"/>
  <c r="W509" i="23"/>
  <c r="W588" i="23"/>
  <c r="W587" i="23"/>
  <c r="W582" i="23" s="1"/>
  <c r="S611" i="23"/>
  <c r="T629" i="23"/>
  <c r="T610" i="23" s="1"/>
  <c r="X629" i="23"/>
  <c r="X610" i="23" s="1"/>
  <c r="AG621" i="23"/>
  <c r="W610" i="23"/>
  <c r="AE610" i="23"/>
  <c r="AB629" i="23"/>
  <c r="AF629" i="23"/>
  <c r="AF610" i="23"/>
  <c r="AG90" i="30"/>
  <c r="AG154" i="30"/>
  <c r="AG224" i="30"/>
  <c r="T223" i="30"/>
  <c r="AB223" i="30"/>
  <c r="AF223" i="30"/>
  <c r="AF345" i="30"/>
  <c r="AF222" i="30" s="1"/>
  <c r="AF392" i="30"/>
  <c r="AF360" i="30"/>
  <c r="AF566" i="30"/>
  <c r="AF565" i="30" s="1"/>
  <c r="AF571" i="30"/>
  <c r="Q325" i="30"/>
  <c r="AG342" i="30"/>
  <c r="Q346" i="30"/>
  <c r="Q349" i="30"/>
  <c r="V345" i="30"/>
  <c r="Z345" i="30"/>
  <c r="Z222" i="30" s="1"/>
  <c r="AD345" i="30"/>
  <c r="AD392" i="30"/>
  <c r="AD360" i="30" s="1"/>
  <c r="W392" i="30"/>
  <c r="W360" i="30" s="1"/>
  <c r="W600" i="30" s="1"/>
  <c r="AA392" i="30"/>
  <c r="AA360" i="30" s="1"/>
  <c r="AE360" i="30"/>
  <c r="V392" i="30"/>
  <c r="V360" i="30"/>
  <c r="Z392" i="30"/>
  <c r="Z360" i="30" s="1"/>
  <c r="AG434" i="30"/>
  <c r="U438" i="30"/>
  <c r="Q439" i="30"/>
  <c r="R376" i="14"/>
  <c r="Q383" i="14"/>
  <c r="Q438" i="14"/>
  <c r="Z427" i="14"/>
  <c r="Z390" i="14"/>
  <c r="AD427" i="14"/>
  <c r="AD390" i="14"/>
  <c r="W532" i="14"/>
  <c r="AA532" i="14"/>
  <c r="AA485" i="14"/>
  <c r="Q645" i="14"/>
  <c r="S9" i="23"/>
  <c r="S8" i="23" s="1"/>
  <c r="AG114" i="23"/>
  <c r="AG168" i="23"/>
  <c r="AG207" i="23"/>
  <c r="U260" i="23"/>
  <c r="Q379" i="23"/>
  <c r="AC397" i="23"/>
  <c r="Q449" i="23"/>
  <c r="AC539" i="23"/>
  <c r="Z539" i="23"/>
  <c r="AG547" i="23"/>
  <c r="Q552" i="23"/>
  <c r="R552" i="23"/>
  <c r="Q556" i="23"/>
  <c r="R556" i="23"/>
  <c r="U539" i="23"/>
  <c r="Y539" i="23"/>
  <c r="Q571" i="23"/>
  <c r="R571" i="23" s="1"/>
  <c r="Y610" i="23"/>
  <c r="AG630" i="23"/>
  <c r="Q637" i="23"/>
  <c r="Q630" i="23" s="1"/>
  <c r="Q90" i="30"/>
  <c r="Q264" i="30"/>
  <c r="F305" i="30"/>
  <c r="V302" i="30"/>
  <c r="V222" i="30" s="1"/>
  <c r="Z302" i="30"/>
  <c r="AD302" i="30"/>
  <c r="AD222" i="30"/>
  <c r="W345" i="30"/>
  <c r="W222" i="30"/>
  <c r="AA345" i="30"/>
  <c r="AA222" i="30" s="1"/>
  <c r="AE345" i="30"/>
  <c r="AE222" i="30"/>
  <c r="AG353" i="30"/>
  <c r="AG358" i="30"/>
  <c r="AG421" i="30"/>
  <c r="Q428" i="30"/>
  <c r="AA289" i="14"/>
  <c r="Q329" i="14"/>
  <c r="AF351" i="14"/>
  <c r="AF328" i="14" s="1"/>
  <c r="AA328" i="14"/>
  <c r="AE328" i="14"/>
  <c r="AA375" i="14"/>
  <c r="AE375" i="14"/>
  <c r="AG533" i="14"/>
  <c r="AG540" i="14"/>
  <c r="Y532" i="14"/>
  <c r="AC532" i="14"/>
  <c r="AC485" i="14"/>
  <c r="T532" i="14"/>
  <c r="AG609" i="14"/>
  <c r="AG604" i="14" s="1"/>
  <c r="Q124" i="23"/>
  <c r="Y171" i="23"/>
  <c r="T397" i="23"/>
  <c r="Z397" i="23"/>
  <c r="S610" i="23"/>
  <c r="AA610" i="23"/>
  <c r="V610" i="23"/>
  <c r="Z610" i="23"/>
  <c r="AD610" i="23"/>
  <c r="AC222" i="30"/>
  <c r="T345" i="30"/>
  <c r="X345" i="30"/>
  <c r="AB345" i="30"/>
  <c r="AB392" i="30"/>
  <c r="T437" i="30"/>
  <c r="V481" i="30"/>
  <c r="V437" i="30" s="1"/>
  <c r="Z481" i="30"/>
  <c r="Z437" i="30" s="1"/>
  <c r="AD481" i="30"/>
  <c r="AD437" i="30" s="1"/>
  <c r="V351" i="14"/>
  <c r="AD351" i="14"/>
  <c r="S375" i="14"/>
  <c r="Q443" i="14"/>
  <c r="X427" i="14"/>
  <c r="X526" i="14"/>
  <c r="U532" i="14"/>
  <c r="AG605" i="14"/>
  <c r="U603" i="14"/>
  <c r="AC603" i="14"/>
  <c r="X622" i="14"/>
  <c r="AB622" i="14"/>
  <c r="AB603" i="14" s="1"/>
  <c r="AF622" i="14"/>
  <c r="AF603" i="14" s="1"/>
  <c r="AA9" i="23"/>
  <c r="AA8" i="23"/>
  <c r="AE8" i="23"/>
  <c r="AE7" i="23" s="1"/>
  <c r="V100" i="23"/>
  <c r="Z100" i="23"/>
  <c r="Z99" i="23" s="1"/>
  <c r="Z7" i="23" s="1"/>
  <c r="AG124" i="23"/>
  <c r="Q227" i="23"/>
  <c r="AG237" i="23"/>
  <c r="U251" i="23"/>
  <c r="Y248" i="23"/>
  <c r="AC248" i="23"/>
  <c r="Q273" i="23"/>
  <c r="W296" i="23"/>
  <c r="AG336" i="23"/>
  <c r="Q362" i="23"/>
  <c r="Q358" i="23" s="1"/>
  <c r="Q366" i="23"/>
  <c r="V335" i="23"/>
  <c r="R393" i="23"/>
  <c r="Q437" i="23"/>
  <c r="AG445" i="23"/>
  <c r="AG482" i="23"/>
  <c r="R492" i="23"/>
  <c r="AG552" i="23"/>
  <c r="AG556" i="23"/>
  <c r="W539" i="23"/>
  <c r="AA539" i="23"/>
  <c r="AE539" i="23"/>
  <c r="AG571" i="23"/>
  <c r="Q583" i="23"/>
  <c r="U588" i="23"/>
  <c r="U587" i="23"/>
  <c r="U582" i="23" s="1"/>
  <c r="AC610" i="23"/>
  <c r="AG640" i="23"/>
  <c r="U7" i="30"/>
  <c r="Y7" i="30"/>
  <c r="AC7" i="30"/>
  <c r="AG9" i="30"/>
  <c r="AG8" i="30" s="1"/>
  <c r="Q245" i="30"/>
  <c r="AG264" i="30"/>
  <c r="AG283" i="30"/>
  <c r="Q283" i="30"/>
  <c r="Q303" i="30"/>
  <c r="AG346" i="30"/>
  <c r="X360" i="30"/>
  <c r="AB360" i="30"/>
  <c r="Q400" i="30"/>
  <c r="Q407" i="30"/>
  <c r="Q421" i="30"/>
  <c r="AC565" i="30"/>
  <c r="AG486" i="30"/>
  <c r="AG491" i="30"/>
  <c r="AG500" i="30"/>
  <c r="Q500" i="30"/>
  <c r="Q521" i="30"/>
  <c r="Q524" i="30"/>
  <c r="X535" i="30"/>
  <c r="X437" i="30"/>
  <c r="AG559" i="30"/>
  <c r="AG567" i="30"/>
  <c r="AG566" i="30" s="1"/>
  <c r="Q571" i="30"/>
  <c r="V571" i="30"/>
  <c r="Z571" i="30"/>
  <c r="AD571" i="30"/>
  <c r="Q576" i="30"/>
  <c r="V576" i="30"/>
  <c r="Z576" i="30"/>
  <c r="AD576" i="30"/>
  <c r="S540" i="37"/>
  <c r="W540" i="37"/>
  <c r="AE540" i="37"/>
  <c r="Q64" i="37"/>
  <c r="AG251" i="37"/>
  <c r="Q58" i="46"/>
  <c r="Q246" i="46"/>
  <c r="AG407" i="46"/>
  <c r="AG406" i="46"/>
  <c r="U406" i="46"/>
  <c r="Q497" i="46"/>
  <c r="Q514" i="46"/>
  <c r="T546" i="46"/>
  <c r="X546" i="46"/>
  <c r="AB546" i="46"/>
  <c r="AB495" i="46"/>
  <c r="S630" i="46"/>
  <c r="W546" i="46"/>
  <c r="AA546" i="46"/>
  <c r="AA495" i="46"/>
  <c r="V588" i="46"/>
  <c r="V495" i="46"/>
  <c r="Z588" i="46"/>
  <c r="Z495" i="46"/>
  <c r="Q638" i="46"/>
  <c r="V638" i="46"/>
  <c r="V637" i="46" s="1"/>
  <c r="Z638" i="46"/>
  <c r="Z637" i="46" s="1"/>
  <c r="AD638" i="46"/>
  <c r="AD637" i="46" s="1"/>
  <c r="AG459" i="30"/>
  <c r="AG493" i="30"/>
  <c r="AG510" i="30"/>
  <c r="S520" i="30"/>
  <c r="W520" i="30"/>
  <c r="AA520" i="30"/>
  <c r="AE520" i="30"/>
  <c r="AE437" i="30" s="1"/>
  <c r="Q536" i="30"/>
  <c r="Q539" i="30"/>
  <c r="U558" i="30"/>
  <c r="AG558" i="30"/>
  <c r="Q566" i="30"/>
  <c r="V566" i="30"/>
  <c r="V565" i="30" s="1"/>
  <c r="Z566" i="30"/>
  <c r="AD566" i="30"/>
  <c r="AD565" i="30" s="1"/>
  <c r="AD600" i="30" s="1"/>
  <c r="S565" i="30"/>
  <c r="AA565" i="30"/>
  <c r="AG572" i="30"/>
  <c r="AG574" i="30"/>
  <c r="AG577" i="30"/>
  <c r="AG585" i="30"/>
  <c r="AA540" i="37"/>
  <c r="AG64" i="37"/>
  <c r="AG537" i="37"/>
  <c r="Q462" i="37"/>
  <c r="Q472" i="37"/>
  <c r="Q52" i="46"/>
  <c r="E101" i="46"/>
  <c r="Z334" i="46"/>
  <c r="Q407" i="46"/>
  <c r="Q406" i="46" s="1"/>
  <c r="Q405" i="46" s="1"/>
  <c r="Q451" i="46"/>
  <c r="AG631" i="46"/>
  <c r="AG630" i="46"/>
  <c r="AC637" i="46"/>
  <c r="Q459" i="30"/>
  <c r="AG482" i="30"/>
  <c r="U481" i="30"/>
  <c r="Y481" i="30"/>
  <c r="AC481" i="30"/>
  <c r="Q495" i="30"/>
  <c r="AG513" i="30"/>
  <c r="AG521" i="30"/>
  <c r="AG539" i="30"/>
  <c r="T571" i="30"/>
  <c r="X571" i="30"/>
  <c r="AB571" i="30"/>
  <c r="X540" i="37"/>
  <c r="AB540" i="37"/>
  <c r="AF540" i="37"/>
  <c r="AG41" i="37"/>
  <c r="AG54" i="37"/>
  <c r="AG11" i="46"/>
  <c r="AG10" i="46"/>
  <c r="Q12" i="46"/>
  <c r="Q25" i="46"/>
  <c r="Q89" i="46"/>
  <c r="V9" i="46"/>
  <c r="Z9" i="46"/>
  <c r="AD9" i="46"/>
  <c r="W442" i="46"/>
  <c r="W405" i="46"/>
  <c r="AG607" i="46"/>
  <c r="U606" i="46"/>
  <c r="W637" i="46"/>
  <c r="U520" i="30"/>
  <c r="Y520" i="30"/>
  <c r="AC520" i="30"/>
  <c r="X566" i="30"/>
  <c r="AB566" i="30"/>
  <c r="AE565" i="30"/>
  <c r="S9" i="46"/>
  <c r="U442" i="46"/>
  <c r="Y442" i="46"/>
  <c r="AC442" i="46"/>
  <c r="U496" i="46"/>
  <c r="Q522" i="46"/>
  <c r="T648" i="46"/>
  <c r="T637" i="46" s="1"/>
  <c r="X648" i="46"/>
  <c r="AB648" i="46"/>
  <c r="AF648" i="46"/>
  <c r="T633" i="48"/>
  <c r="AG246" i="46"/>
  <c r="V245" i="46"/>
  <c r="V244" i="46" s="1"/>
  <c r="Z245" i="46"/>
  <c r="AD245" i="46"/>
  <c r="AG269" i="46"/>
  <c r="W245" i="46"/>
  <c r="AA245" i="46"/>
  <c r="AE245" i="46"/>
  <c r="Q365" i="46"/>
  <c r="AG385" i="46"/>
  <c r="U389" i="46"/>
  <c r="U244" i="46"/>
  <c r="Y389" i="46"/>
  <c r="Y244" i="46"/>
  <c r="AC389" i="46"/>
  <c r="AG401" i="46"/>
  <c r="AG389" i="46" s="1"/>
  <c r="AG403" i="46"/>
  <c r="Q443" i="46"/>
  <c r="AG477" i="46"/>
  <c r="AG492" i="46"/>
  <c r="AG547" i="46"/>
  <c r="AG589" i="46"/>
  <c r="AG593" i="46"/>
  <c r="Q606" i="46"/>
  <c r="X606" i="46"/>
  <c r="AG639" i="46"/>
  <c r="AG641" i="46"/>
  <c r="Y637" i="46"/>
  <c r="T643" i="46"/>
  <c r="X643" i="46"/>
  <c r="AB643" i="46"/>
  <c r="AF643" i="46"/>
  <c r="F201" i="50"/>
  <c r="T7" i="48"/>
  <c r="AG96" i="48"/>
  <c r="Q96" i="48"/>
  <c r="S95" i="48"/>
  <c r="S7" i="48" s="1"/>
  <c r="W95" i="48"/>
  <c r="W7" i="48" s="1"/>
  <c r="AA95" i="48"/>
  <c r="AA7" i="48" s="1"/>
  <c r="AE95" i="48"/>
  <c r="AE7" i="48"/>
  <c r="AC243" i="48"/>
  <c r="AG289" i="48"/>
  <c r="AG363" i="48"/>
  <c r="AG396" i="48"/>
  <c r="AG401" i="48"/>
  <c r="V440" i="48"/>
  <c r="V403" i="48"/>
  <c r="Z440" i="48"/>
  <c r="Z403" i="48"/>
  <c r="AD440" i="48"/>
  <c r="AD403" i="48"/>
  <c r="U440" i="48"/>
  <c r="U403" i="48"/>
  <c r="Y440" i="48"/>
  <c r="Y403" i="48" s="1"/>
  <c r="AC440" i="48"/>
  <c r="S544" i="48"/>
  <c r="AG545" i="48"/>
  <c r="AG549" i="48"/>
  <c r="AG544" i="48" s="1"/>
  <c r="AG554" i="48"/>
  <c r="Y544" i="48"/>
  <c r="AC544" i="48"/>
  <c r="AC493" i="48"/>
  <c r="AG556" i="48"/>
  <c r="Q558" i="48"/>
  <c r="Q578" i="48"/>
  <c r="AG586" i="48"/>
  <c r="AG589" i="48"/>
  <c r="W602" i="48"/>
  <c r="W493" i="48"/>
  <c r="AG606" i="48"/>
  <c r="Y634" i="48"/>
  <c r="AC634" i="48"/>
  <c r="X633" i="48"/>
  <c r="AF633" i="48"/>
  <c r="U639" i="48"/>
  <c r="Y639" i="48"/>
  <c r="AC639" i="48"/>
  <c r="Q644" i="48"/>
  <c r="Q633" i="48"/>
  <c r="S7" i="47"/>
  <c r="Q90" i="47"/>
  <c r="AG224" i="47"/>
  <c r="S223" i="47"/>
  <c r="Q325" i="47"/>
  <c r="AG342" i="47"/>
  <c r="AG400" i="47"/>
  <c r="Y392" i="47"/>
  <c r="Y360" i="47" s="1"/>
  <c r="Y600" i="47" s="1"/>
  <c r="Q428" i="47"/>
  <c r="Y438" i="47"/>
  <c r="Y437" i="47" s="1"/>
  <c r="Q566" i="47"/>
  <c r="V566" i="47"/>
  <c r="Z566" i="47"/>
  <c r="Z565" i="47" s="1"/>
  <c r="Z571" i="47"/>
  <c r="AD566" i="47"/>
  <c r="AG256" i="46"/>
  <c r="Q256" i="46"/>
  <c r="E36" i="50" s="1"/>
  <c r="Q291" i="46"/>
  <c r="AG365" i="46"/>
  <c r="W334" i="46"/>
  <c r="AA334" i="46"/>
  <c r="AE334" i="46"/>
  <c r="T389" i="46"/>
  <c r="X389" i="46"/>
  <c r="AB389" i="46"/>
  <c r="AF389" i="46"/>
  <c r="S442" i="46"/>
  <c r="S405" i="46" s="1"/>
  <c r="AA442" i="46"/>
  <c r="AA405" i="46" s="1"/>
  <c r="AE442" i="46"/>
  <c r="AE405" i="46" s="1"/>
  <c r="Q551" i="46"/>
  <c r="AG558" i="46"/>
  <c r="Q580" i="46"/>
  <c r="W606" i="46"/>
  <c r="U637" i="46"/>
  <c r="AG644" i="46"/>
  <c r="AG643" i="46" s="1"/>
  <c r="F70" i="50"/>
  <c r="F82" i="50"/>
  <c r="F123" i="50"/>
  <c r="F137" i="50"/>
  <c r="F171" i="50"/>
  <c r="U7" i="48"/>
  <c r="AF7" i="48"/>
  <c r="V387" i="48"/>
  <c r="Z387" i="48"/>
  <c r="Z242" i="48" s="1"/>
  <c r="AD387" i="48"/>
  <c r="AD242" i="48" s="1"/>
  <c r="T544" i="48"/>
  <c r="T493" i="48" s="1"/>
  <c r="X544" i="48"/>
  <c r="AB544" i="48"/>
  <c r="AB493" i="48" s="1"/>
  <c r="AF544" i="48"/>
  <c r="AF493" i="48"/>
  <c r="AG627" i="48"/>
  <c r="S626" i="48"/>
  <c r="AG626" i="48" s="1"/>
  <c r="AG362" i="47"/>
  <c r="AG361" i="47"/>
  <c r="U361" i="47"/>
  <c r="V360" i="47"/>
  <c r="AD360" i="47"/>
  <c r="AG567" i="47"/>
  <c r="S566" i="47"/>
  <c r="S565" i="47" s="1"/>
  <c r="S576" i="47"/>
  <c r="AG569" i="47"/>
  <c r="Q571" i="47"/>
  <c r="V571" i="47"/>
  <c r="AD571" i="47"/>
  <c r="AE521" i="32"/>
  <c r="V535" i="32"/>
  <c r="Q538" i="32"/>
  <c r="T245" i="46"/>
  <c r="T244" i="46" s="1"/>
  <c r="X245" i="46"/>
  <c r="AF245" i="46"/>
  <c r="AG349" i="46"/>
  <c r="Q349" i="46"/>
  <c r="AG390" i="46"/>
  <c r="V442" i="46"/>
  <c r="V405" i="46" s="1"/>
  <c r="Z442" i="46"/>
  <c r="Z405" i="46" s="1"/>
  <c r="AD442" i="46"/>
  <c r="AD405" i="46" s="1"/>
  <c r="AG485" i="46"/>
  <c r="AG610" i="46"/>
  <c r="AG649" i="46"/>
  <c r="AG659" i="46"/>
  <c r="F127" i="50"/>
  <c r="F213" i="50"/>
  <c r="AB7" i="48"/>
  <c r="AG9" i="48"/>
  <c r="AG8" i="48" s="1"/>
  <c r="AG244" i="48"/>
  <c r="Q267" i="48"/>
  <c r="S243" i="48"/>
  <c r="AA243" i="48"/>
  <c r="AG333" i="48"/>
  <c r="W332" i="48"/>
  <c r="W387" i="48"/>
  <c r="W242" i="48"/>
  <c r="AA332" i="48"/>
  <c r="AA242" i="48" s="1"/>
  <c r="AE332" i="48"/>
  <c r="Q333" i="48"/>
  <c r="AG383" i="48"/>
  <c r="Q383" i="48"/>
  <c r="AG388" i="48"/>
  <c r="AE387" i="48"/>
  <c r="S387" i="48"/>
  <c r="AA387" i="48"/>
  <c r="AG475" i="48"/>
  <c r="AG495" i="48"/>
  <c r="AG520" i="48"/>
  <c r="Q563" i="48"/>
  <c r="AG603" i="48"/>
  <c r="AG635" i="48"/>
  <c r="S634" i="48"/>
  <c r="W634" i="48"/>
  <c r="W639" i="48"/>
  <c r="W633" i="48"/>
  <c r="AA634" i="48"/>
  <c r="AE634" i="48"/>
  <c r="AE633" i="48" s="1"/>
  <c r="AE639" i="48"/>
  <c r="AG640" i="48"/>
  <c r="S639" i="48"/>
  <c r="AA639" i="48"/>
  <c r="AA633" i="48"/>
  <c r="V7" i="47"/>
  <c r="Z7" i="47"/>
  <c r="Y222" i="47"/>
  <c r="AC345" i="47"/>
  <c r="AC222" i="47" s="1"/>
  <c r="AG439" i="47"/>
  <c r="S438" i="47"/>
  <c r="AE438" i="47"/>
  <c r="AG459" i="47"/>
  <c r="V481" i="47"/>
  <c r="AD481" i="47"/>
  <c r="AD437" i="47" s="1"/>
  <c r="AD520" i="47"/>
  <c r="AG491" i="47"/>
  <c r="W481" i="47"/>
  <c r="AA481" i="47"/>
  <c r="AE481" i="47"/>
  <c r="AG495" i="47"/>
  <c r="AG510" i="47"/>
  <c r="Q90" i="32"/>
  <c r="W334" i="32"/>
  <c r="Q352" i="32"/>
  <c r="Q349" i="32"/>
  <c r="S458" i="32"/>
  <c r="S421" i="32"/>
  <c r="Q477" i="32"/>
  <c r="Q469" i="32"/>
  <c r="V662" i="32"/>
  <c r="Q664" i="32"/>
  <c r="X7" i="48"/>
  <c r="Q166" i="48"/>
  <c r="T243" i="48"/>
  <c r="X243" i="48"/>
  <c r="X242" i="48"/>
  <c r="AB243" i="48"/>
  <c r="AB242" i="48"/>
  <c r="AF243" i="48"/>
  <c r="AG267" i="48"/>
  <c r="AF332" i="48"/>
  <c r="U332" i="48"/>
  <c r="U242" i="48" s="1"/>
  <c r="Y332" i="48"/>
  <c r="Y242" i="48"/>
  <c r="AC332" i="48"/>
  <c r="S404" i="48"/>
  <c r="S403" i="48" s="1"/>
  <c r="AG483" i="48"/>
  <c r="Q483" i="48"/>
  <c r="Q520" i="48"/>
  <c r="V544" i="48"/>
  <c r="Z544" i="48"/>
  <c r="AD544" i="48"/>
  <c r="AG563" i="48"/>
  <c r="AG578" i="48"/>
  <c r="S585" i="48"/>
  <c r="V585" i="48"/>
  <c r="Z585" i="48"/>
  <c r="AD585" i="48"/>
  <c r="U644" i="48"/>
  <c r="AB644" i="48"/>
  <c r="AB633" i="48"/>
  <c r="AG655" i="48"/>
  <c r="Y7" i="47"/>
  <c r="AG9" i="47"/>
  <c r="AG8" i="47" s="1"/>
  <c r="Q154" i="47"/>
  <c r="Q233" i="47"/>
  <c r="Q283" i="47"/>
  <c r="Q223" i="47"/>
  <c r="T223" i="47"/>
  <c r="X223" i="47"/>
  <c r="AB223" i="47"/>
  <c r="AF223" i="47"/>
  <c r="AG264" i="47"/>
  <c r="AD302" i="47"/>
  <c r="AG349" i="47"/>
  <c r="W345" i="47"/>
  <c r="W222" i="47"/>
  <c r="AA345" i="47"/>
  <c r="AA222" i="47"/>
  <c r="AE345" i="47"/>
  <c r="AE222" i="47" s="1"/>
  <c r="AG353" i="47"/>
  <c r="U392" i="47"/>
  <c r="AG559" i="47"/>
  <c r="S558" i="47"/>
  <c r="AG558" i="47" s="1"/>
  <c r="U565" i="47"/>
  <c r="AG577" i="47"/>
  <c r="AG576" i="47"/>
  <c r="AF7" i="32"/>
  <c r="AE231" i="32"/>
  <c r="S394" i="32"/>
  <c r="AG459" i="32"/>
  <c r="U458" i="32"/>
  <c r="AC421" i="32"/>
  <c r="Y569" i="32"/>
  <c r="W569" i="32"/>
  <c r="W580" i="32"/>
  <c r="AE580" i="32"/>
  <c r="U580" i="32"/>
  <c r="AC580" i="32"/>
  <c r="AC520" i="32"/>
  <c r="AG684" i="32"/>
  <c r="AG683" i="32" s="1"/>
  <c r="U683" i="32"/>
  <c r="U677" i="32"/>
  <c r="AG689" i="32"/>
  <c r="T688" i="32"/>
  <c r="T677" i="32" s="1"/>
  <c r="Q603" i="48"/>
  <c r="Q602" i="48" s="1"/>
  <c r="X602" i="48"/>
  <c r="U7" i="47"/>
  <c r="AC7" i="47"/>
  <c r="E92" i="47"/>
  <c r="AG283" i="47"/>
  <c r="AG303" i="47"/>
  <c r="AG302" i="47" s="1"/>
  <c r="AG313" i="47"/>
  <c r="Q313" i="47"/>
  <c r="AG346" i="47"/>
  <c r="AG356" i="47"/>
  <c r="AG345" i="47"/>
  <c r="T345" i="47"/>
  <c r="X345" i="47"/>
  <c r="AB345" i="47"/>
  <c r="AF345" i="47"/>
  <c r="Q393" i="47"/>
  <c r="AG407" i="47"/>
  <c r="Q421" i="47"/>
  <c r="Q392" i="47" s="1"/>
  <c r="AG482" i="47"/>
  <c r="Q486" i="47"/>
  <c r="Q500" i="47"/>
  <c r="Q513" i="47"/>
  <c r="Q481" i="47"/>
  <c r="AG574" i="47"/>
  <c r="Q179" i="32"/>
  <c r="Q230" i="32" s="1"/>
  <c r="T232" i="32"/>
  <c r="Q244" i="32"/>
  <c r="U239" i="32"/>
  <c r="Q381" i="32"/>
  <c r="X394" i="32"/>
  <c r="AB394" i="32"/>
  <c r="AB231" i="32" s="1"/>
  <c r="AF394" i="32"/>
  <c r="AF231" i="32" s="1"/>
  <c r="V418" i="32"/>
  <c r="V417" i="32" s="1"/>
  <c r="AG417" i="32" s="1"/>
  <c r="Q419" i="32"/>
  <c r="Q417" i="32"/>
  <c r="W458" i="32"/>
  <c r="AE458" i="32"/>
  <c r="AE421" i="32"/>
  <c r="T458" i="32"/>
  <c r="T421" i="32"/>
  <c r="X458" i="32"/>
  <c r="AB458" i="32"/>
  <c r="AB421" i="32" s="1"/>
  <c r="AB720" i="32" s="1"/>
  <c r="AF458" i="32"/>
  <c r="AF421" i="32" s="1"/>
  <c r="Q494" i="32"/>
  <c r="Q479" i="32"/>
  <c r="Q499" i="32"/>
  <c r="Q504" i="32"/>
  <c r="U554" i="32"/>
  <c r="Q555" i="32"/>
  <c r="AG581" i="32"/>
  <c r="V580" i="32"/>
  <c r="Z580" i="32"/>
  <c r="Z520" i="32" s="1"/>
  <c r="AD580" i="32"/>
  <c r="AG610" i="32"/>
  <c r="AG625" i="32"/>
  <c r="AB677" i="32"/>
  <c r="AG681" i="32"/>
  <c r="Q6" i="19"/>
  <c r="AD7" i="47"/>
  <c r="AG90" i="47"/>
  <c r="AG89" i="47" s="1"/>
  <c r="AG7" i="47" s="1"/>
  <c r="Q303" i="47"/>
  <c r="Q302" i="47" s="1"/>
  <c r="T302" i="47"/>
  <c r="X302" i="47"/>
  <c r="AB302" i="47"/>
  <c r="AF302" i="47"/>
  <c r="AF222" i="47" s="1"/>
  <c r="Q349" i="47"/>
  <c r="Q345" i="47"/>
  <c r="V345" i="47"/>
  <c r="V222" i="47"/>
  <c r="Z345" i="47"/>
  <c r="Z222" i="47"/>
  <c r="AD345" i="47"/>
  <c r="AG393" i="47"/>
  <c r="AG421" i="47"/>
  <c r="W392" i="47"/>
  <c r="W360" i="47"/>
  <c r="AA392" i="47"/>
  <c r="AA360" i="47" s="1"/>
  <c r="AE392" i="47"/>
  <c r="AE360" i="47" s="1"/>
  <c r="T438" i="47"/>
  <c r="X438" i="47"/>
  <c r="AB438" i="47"/>
  <c r="AF438" i="47"/>
  <c r="T481" i="47"/>
  <c r="X481" i="47"/>
  <c r="AB481" i="47"/>
  <c r="AF481" i="47"/>
  <c r="AG493" i="47"/>
  <c r="AG500" i="47"/>
  <c r="AG521" i="47"/>
  <c r="AG520" i="47" s="1"/>
  <c r="Q524" i="47"/>
  <c r="Q520" i="47" s="1"/>
  <c r="T571" i="47"/>
  <c r="X571" i="47"/>
  <c r="AB571" i="47"/>
  <c r="AF571" i="47"/>
  <c r="Q577" i="47"/>
  <c r="Q576" i="47"/>
  <c r="AB7" i="32"/>
  <c r="U234" i="32"/>
  <c r="Q235" i="32"/>
  <c r="Q245" i="32" s="1"/>
  <c r="Q405" i="32"/>
  <c r="Q428" i="32"/>
  <c r="Q534" i="32"/>
  <c r="AG595" i="32"/>
  <c r="AG513" i="47"/>
  <c r="V520" i="47"/>
  <c r="Z520" i="47"/>
  <c r="Z437" i="47"/>
  <c r="W535" i="47"/>
  <c r="T566" i="47"/>
  <c r="T565" i="47" s="1"/>
  <c r="X566" i="47"/>
  <c r="AB566" i="47"/>
  <c r="AF566" i="47"/>
  <c r="AF565" i="47" s="1"/>
  <c r="AG572" i="47"/>
  <c r="AG571" i="47" s="1"/>
  <c r="T9" i="32"/>
  <c r="T8" i="32"/>
  <c r="T7" i="32"/>
  <c r="V9" i="32"/>
  <c r="V8" i="32"/>
  <c r="V7" i="32" s="1"/>
  <c r="AG93" i="32"/>
  <c r="Q158" i="32"/>
  <c r="Q229" i="32"/>
  <c r="Q160" i="32" s="1"/>
  <c r="Q92" i="32" s="1"/>
  <c r="Q7" i="32" s="1"/>
  <c r="Z232" i="32"/>
  <c r="AD232" i="32"/>
  <c r="Q273" i="32"/>
  <c r="Q287" i="32"/>
  <c r="Q324" i="32"/>
  <c r="Q339" i="32"/>
  <c r="Q335" i="32" s="1"/>
  <c r="V334" i="32"/>
  <c r="Z394" i="32"/>
  <c r="AD394" i="32"/>
  <c r="Y394" i="32"/>
  <c r="X423" i="32"/>
  <c r="X422" i="32" s="1"/>
  <c r="X421" i="32" s="1"/>
  <c r="Q438" i="32"/>
  <c r="Q467" i="32"/>
  <c r="Q459" i="32"/>
  <c r="AG496" i="32"/>
  <c r="V522" i="32"/>
  <c r="V521" i="32"/>
  <c r="Q562" i="32"/>
  <c r="Q593" i="32"/>
  <c r="Q587" i="32"/>
  <c r="AG603" i="32"/>
  <c r="Q608" i="32"/>
  <c r="Q603" i="32" s="1"/>
  <c r="Q623" i="32"/>
  <c r="AE644" i="32"/>
  <c r="AG679" i="32"/>
  <c r="AG686" i="32"/>
  <c r="V688" i="32"/>
  <c r="V677" i="32" s="1"/>
  <c r="Z688" i="32"/>
  <c r="Z677" i="32" s="1"/>
  <c r="AD688" i="32"/>
  <c r="AD677" i="32" s="1"/>
  <c r="W6" i="19"/>
  <c r="I21" i="18"/>
  <c r="I26" i="18" s="1"/>
  <c r="Q37" i="3"/>
  <c r="U87" i="3"/>
  <c r="AG160" i="32"/>
  <c r="Q297" i="32"/>
  <c r="Q288" i="32" s="1"/>
  <c r="Q309" i="32"/>
  <c r="U334" i="32"/>
  <c r="Q371" i="32"/>
  <c r="Z334" i="32"/>
  <c r="AD334" i="32"/>
  <c r="Z421" i="32"/>
  <c r="AD421" i="32"/>
  <c r="AB521" i="32"/>
  <c r="AB520" i="32" s="1"/>
  <c r="AF521" i="32"/>
  <c r="AF520" i="32"/>
  <c r="Q547" i="32"/>
  <c r="Q540" i="32" s="1"/>
  <c r="Q578" i="32"/>
  <c r="AG587" i="32"/>
  <c r="AG599" i="32"/>
  <c r="Q699" i="32"/>
  <c r="Y6" i="19"/>
  <c r="U77" i="7"/>
  <c r="Q76" i="7"/>
  <c r="Q695" i="32"/>
  <c r="Q689" i="32" s="1"/>
  <c r="Z27" i="3"/>
  <c r="AB27" i="3"/>
  <c r="V87" i="3"/>
  <c r="V27" i="3"/>
  <c r="R97" i="8"/>
  <c r="AA68" i="3"/>
  <c r="AA27" i="3"/>
  <c r="S27" i="3"/>
  <c r="V127" i="5"/>
  <c r="R74" i="6"/>
  <c r="Q128" i="6"/>
  <c r="V128" i="6" s="1"/>
  <c r="R61" i="13"/>
  <c r="Y114" i="7"/>
  <c r="U97" i="8"/>
  <c r="F100" i="8"/>
  <c r="F101" i="8"/>
  <c r="R26" i="10"/>
  <c r="U238" i="15"/>
  <c r="V238" i="15"/>
  <c r="Z238" i="15" s="1"/>
  <c r="T274" i="15"/>
  <c r="Q275" i="15"/>
  <c r="R26" i="3"/>
  <c r="R26" i="5"/>
  <c r="R9" i="8"/>
  <c r="R235" i="8"/>
  <c r="O39" i="9"/>
  <c r="Y39" i="9" s="1"/>
  <c r="R26" i="11"/>
  <c r="Q82" i="11"/>
  <c r="W82" i="11"/>
  <c r="Q9" i="12"/>
  <c r="W37" i="15"/>
  <c r="Y49" i="15"/>
  <c r="Y27" i="15" s="1"/>
  <c r="R131" i="15"/>
  <c r="W274" i="15"/>
  <c r="Q285" i="15"/>
  <c r="U285" i="15"/>
  <c r="R55" i="5"/>
  <c r="R80" i="13"/>
  <c r="Q98" i="7"/>
  <c r="Q97" i="7"/>
  <c r="W97" i="7" s="1"/>
  <c r="R264" i="8"/>
  <c r="Q12" i="9"/>
  <c r="Q24" i="9"/>
  <c r="Q26" i="9"/>
  <c r="Q49" i="9"/>
  <c r="S27" i="15"/>
  <c r="U87" i="15"/>
  <c r="R129" i="15"/>
  <c r="R179" i="15"/>
  <c r="X49" i="15"/>
  <c r="X27" i="15"/>
  <c r="V291" i="15"/>
  <c r="H6" i="4"/>
  <c r="D6" i="4"/>
  <c r="E10" i="4"/>
  <c r="T11" i="14"/>
  <c r="T10" i="14"/>
  <c r="AG10" i="14"/>
  <c r="A119" i="14"/>
  <c r="A120" i="14"/>
  <c r="A121" i="14" s="1"/>
  <c r="A122" i="14" s="1"/>
  <c r="A123" i="14" s="1"/>
  <c r="A118" i="14"/>
  <c r="A113" i="14"/>
  <c r="A112" i="14"/>
  <c r="E105" i="23"/>
  <c r="AG114" i="14"/>
  <c r="Q218" i="14"/>
  <c r="S532" i="14"/>
  <c r="S485" i="14"/>
  <c r="Q564" i="14"/>
  <c r="R564" i="14" s="1"/>
  <c r="R565" i="14"/>
  <c r="R152" i="23"/>
  <c r="D17" i="1"/>
  <c r="E5" i="2" s="1"/>
  <c r="B7" i="4"/>
  <c r="D7" i="4"/>
  <c r="G8" i="4"/>
  <c r="C10" i="4"/>
  <c r="R101" i="14"/>
  <c r="F105" i="14"/>
  <c r="E104" i="14"/>
  <c r="AG124" i="14"/>
  <c r="Q137" i="14"/>
  <c r="R141" i="14"/>
  <c r="Q249" i="14"/>
  <c r="U250" i="14"/>
  <c r="W289" i="14"/>
  <c r="W248" i="14"/>
  <c r="V309" i="14"/>
  <c r="V308" i="14"/>
  <c r="V248" i="14" s="1"/>
  <c r="Q308" i="14"/>
  <c r="X393" i="14"/>
  <c r="X392" i="14"/>
  <c r="X391" i="14"/>
  <c r="Q396" i="14"/>
  <c r="U396" i="14" s="1"/>
  <c r="Q411" i="14"/>
  <c r="V411" i="14"/>
  <c r="Q430" i="14"/>
  <c r="Q445" i="14"/>
  <c r="AG475" i="14"/>
  <c r="Y527" i="14"/>
  <c r="Q540" i="14"/>
  <c r="R540" i="14" s="1"/>
  <c r="V567" i="14"/>
  <c r="V532" i="14"/>
  <c r="Q641" i="14"/>
  <c r="Q50" i="23"/>
  <c r="Q68" i="23"/>
  <c r="Q87" i="23"/>
  <c r="E104" i="23"/>
  <c r="A113" i="23"/>
  <c r="A112" i="23"/>
  <c r="R114" i="23"/>
  <c r="Q114" i="23"/>
  <c r="X277" i="23"/>
  <c r="X248" i="23" s="1"/>
  <c r="X382" i="23"/>
  <c r="Q633" i="14"/>
  <c r="C127" i="1"/>
  <c r="S9" i="14"/>
  <c r="S100" i="14"/>
  <c r="W100" i="14"/>
  <c r="AA100" i="14"/>
  <c r="AA99" i="14" s="1"/>
  <c r="AE100" i="14"/>
  <c r="AE99" i="14"/>
  <c r="V171" i="14"/>
  <c r="Z171" i="14"/>
  <c r="Z99" i="14"/>
  <c r="AD171" i="14"/>
  <c r="Q182" i="14"/>
  <c r="Q202" i="14"/>
  <c r="U266" i="14"/>
  <c r="U258" i="14" s="1"/>
  <c r="AG258" i="14" s="1"/>
  <c r="Q258" i="14"/>
  <c r="Y270" i="14"/>
  <c r="Y248" i="14"/>
  <c r="AG329" i="14"/>
  <c r="X374" i="14"/>
  <c r="Q372" i="14"/>
  <c r="Q405" i="14"/>
  <c r="V405" i="14" s="1"/>
  <c r="Q418" i="14"/>
  <c r="W418" i="14" s="1"/>
  <c r="W392" i="14" s="1"/>
  <c r="W391" i="14" s="1"/>
  <c r="Q487" i="14"/>
  <c r="U488" i="14"/>
  <c r="U487" i="14" s="1"/>
  <c r="V486" i="14"/>
  <c r="AD486" i="14"/>
  <c r="AD485" i="14" s="1"/>
  <c r="U509" i="14"/>
  <c r="U508" i="14"/>
  <c r="R538" i="14"/>
  <c r="Q533" i="14"/>
  <c r="X532" i="14"/>
  <c r="R569" i="14"/>
  <c r="Q576" i="14"/>
  <c r="T577" i="14"/>
  <c r="T576" i="14" s="1"/>
  <c r="AG633" i="14"/>
  <c r="T622" i="14"/>
  <c r="T603" i="14"/>
  <c r="Q56" i="23"/>
  <c r="R101" i="23"/>
  <c r="A119" i="23"/>
  <c r="A120" i="23" s="1"/>
  <c r="A121" i="23" s="1"/>
  <c r="A122" i="23" s="1"/>
  <c r="A123" i="23" s="1"/>
  <c r="A118" i="23"/>
  <c r="AA248" i="23"/>
  <c r="D116" i="1"/>
  <c r="C138" i="1"/>
  <c r="D143" i="1"/>
  <c r="E16" i="2"/>
  <c r="Q87" i="14"/>
  <c r="Q152" i="14"/>
  <c r="AG172" i="14"/>
  <c r="AG192" i="14"/>
  <c r="AG207" i="14"/>
  <c r="V328" i="14"/>
  <c r="AD328" i="14"/>
  <c r="V381" i="14"/>
  <c r="Q379" i="14"/>
  <c r="Q375" i="14" s="1"/>
  <c r="S427" i="14"/>
  <c r="S390" i="14"/>
  <c r="Q545" i="14"/>
  <c r="R545" i="14"/>
  <c r="R546" i="14"/>
  <c r="Q547" i="14"/>
  <c r="R547" i="14" s="1"/>
  <c r="R548" i="14"/>
  <c r="Q549" i="14"/>
  <c r="R549" i="14" s="1"/>
  <c r="R550" i="14"/>
  <c r="R556" i="14"/>
  <c r="Q554" i="14"/>
  <c r="R554" i="14" s="1"/>
  <c r="V581" i="14"/>
  <c r="V580" i="14"/>
  <c r="V575" i="14" s="1"/>
  <c r="Q580" i="14"/>
  <c r="U581" i="14"/>
  <c r="U580" i="14"/>
  <c r="U575" i="14" s="1"/>
  <c r="U485" i="14" s="1"/>
  <c r="W581" i="14"/>
  <c r="W580" i="14"/>
  <c r="W575" i="14"/>
  <c r="X9" i="23"/>
  <c r="X8" i="23"/>
  <c r="W9" i="23"/>
  <c r="W8" i="23" s="1"/>
  <c r="V56" i="23"/>
  <c r="V9" i="23" s="1"/>
  <c r="V8" i="23" s="1"/>
  <c r="AG68" i="23"/>
  <c r="AG101" i="23"/>
  <c r="S100" i="23"/>
  <c r="S99" i="23"/>
  <c r="W100" i="23"/>
  <c r="AA100" i="23"/>
  <c r="AE100" i="23"/>
  <c r="AE99" i="23"/>
  <c r="U296" i="23"/>
  <c r="Y222" i="30"/>
  <c r="U290" i="14"/>
  <c r="U377" i="14"/>
  <c r="U376" i="14" s="1"/>
  <c r="U385" i="14"/>
  <c r="U383" i="14" s="1"/>
  <c r="U387" i="14"/>
  <c r="U386" i="14"/>
  <c r="AG386" i="14" s="1"/>
  <c r="V389" i="14"/>
  <c r="V388" i="14" s="1"/>
  <c r="AG388" i="14"/>
  <c r="Q476" i="14"/>
  <c r="Q475" i="14"/>
  <c r="W526" i="14"/>
  <c r="T12" i="23"/>
  <c r="R124" i="23"/>
  <c r="Q152" i="23"/>
  <c r="U171" i="23"/>
  <c r="U99" i="23" s="1"/>
  <c r="Q269" i="23"/>
  <c r="Q260" i="23"/>
  <c r="AG346" i="23"/>
  <c r="Q346" i="23"/>
  <c r="Q335" i="23" s="1"/>
  <c r="T361" i="23"/>
  <c r="T359" i="23"/>
  <c r="Q359" i="23"/>
  <c r="AG362" i="23"/>
  <c r="AB382" i="23"/>
  <c r="AB247" i="23"/>
  <c r="AF382" i="23"/>
  <c r="X398" i="23"/>
  <c r="X397" i="23" s="1"/>
  <c r="U501" i="23"/>
  <c r="U494" i="23" s="1"/>
  <c r="Q494" i="23"/>
  <c r="V494" i="23"/>
  <c r="V493" i="23" s="1"/>
  <c r="T222" i="30"/>
  <c r="AG303" i="30"/>
  <c r="U345" i="30"/>
  <c r="U222" i="30" s="1"/>
  <c r="U600" i="30" s="1"/>
  <c r="Q362" i="30"/>
  <c r="Q361" i="30"/>
  <c r="Q360" i="30" s="1"/>
  <c r="AG535" i="30"/>
  <c r="Q296" i="23"/>
  <c r="Q336" i="23"/>
  <c r="U361" i="23"/>
  <c r="U359" i="23"/>
  <c r="U358" i="23"/>
  <c r="U335" i="23" s="1"/>
  <c r="T382" i="23"/>
  <c r="Q383" i="23"/>
  <c r="Q382" i="23"/>
  <c r="U385" i="23"/>
  <c r="U391" i="23"/>
  <c r="U390" i="23"/>
  <c r="AG390" i="23" s="1"/>
  <c r="R390" i="23"/>
  <c r="Q424" i="23"/>
  <c r="W424" i="23"/>
  <c r="W399" i="23"/>
  <c r="W398" i="23" s="1"/>
  <c r="Q448" i="23"/>
  <c r="AG554" i="23"/>
  <c r="Q561" i="23"/>
  <c r="R562" i="23"/>
  <c r="V574" i="23"/>
  <c r="V539" i="23" s="1"/>
  <c r="F94" i="30"/>
  <c r="AG313" i="30"/>
  <c r="AG349" i="30"/>
  <c r="S345" i="30"/>
  <c r="S222" i="30" s="1"/>
  <c r="AG362" i="30"/>
  <c r="AG361" i="30" s="1"/>
  <c r="W437" i="30"/>
  <c r="AA437" i="30"/>
  <c r="Q54" i="37"/>
  <c r="Q77" i="37"/>
  <c r="F331" i="14"/>
  <c r="E103" i="23"/>
  <c r="R386" i="23"/>
  <c r="R382" i="23"/>
  <c r="R247" i="23" s="1"/>
  <c r="V387" i="23"/>
  <c r="V386" i="23" s="1"/>
  <c r="AG386" i="23" s="1"/>
  <c r="U517" i="23"/>
  <c r="U516" i="23" s="1"/>
  <c r="U515" i="23" s="1"/>
  <c r="Q516" i="23"/>
  <c r="X531" i="23"/>
  <c r="W531" i="23"/>
  <c r="Y531" i="23"/>
  <c r="Y530" i="23"/>
  <c r="Y515" i="23" s="1"/>
  <c r="Y493" i="23"/>
  <c r="Y492" i="23" s="1"/>
  <c r="Q530" i="23"/>
  <c r="AG561" i="23"/>
  <c r="S539" i="23"/>
  <c r="V589" i="23"/>
  <c r="V587" i="23" s="1"/>
  <c r="Q587" i="23"/>
  <c r="AG400" i="30"/>
  <c r="S392" i="30"/>
  <c r="S360" i="30"/>
  <c r="F91" i="37"/>
  <c r="E91" i="37"/>
  <c r="E90" i="37"/>
  <c r="E322" i="37"/>
  <c r="F323" i="37"/>
  <c r="Q468" i="14"/>
  <c r="Q467" i="14" s="1"/>
  <c r="R485" i="14"/>
  <c r="AG393" i="23"/>
  <c r="Q417" i="23"/>
  <c r="V417" i="23"/>
  <c r="V399" i="23" s="1"/>
  <c r="AG509" i="23"/>
  <c r="S493" i="23"/>
  <c r="AA493" i="23"/>
  <c r="W533" i="23"/>
  <c r="X533" i="23"/>
  <c r="T539" i="23"/>
  <c r="X539" i="23"/>
  <c r="AB539" i="23"/>
  <c r="AF539" i="23"/>
  <c r="AF492" i="23" s="1"/>
  <c r="AG612" i="23"/>
  <c r="AG611" i="23" s="1"/>
  <c r="AG625" i="23"/>
  <c r="AG620" i="23" s="1"/>
  <c r="AG610" i="23" s="1"/>
  <c r="AG233" i="30"/>
  <c r="AG245" i="30"/>
  <c r="AG325" i="30"/>
  <c r="AG393" i="30"/>
  <c r="Q438" i="30"/>
  <c r="Z565" i="30"/>
  <c r="A345" i="23"/>
  <c r="Q483" i="23"/>
  <c r="Q482" i="23" s="1"/>
  <c r="W532" i="23"/>
  <c r="Q547" i="23"/>
  <c r="R547" i="23" s="1"/>
  <c r="R558" i="23"/>
  <c r="R573" i="23"/>
  <c r="T585" i="23"/>
  <c r="T583" i="23"/>
  <c r="S481" i="30"/>
  <c r="T566" i="30"/>
  <c r="T565" i="30" s="1"/>
  <c r="Y9" i="46"/>
  <c r="E32" i="50"/>
  <c r="F32" i="50" s="1"/>
  <c r="Y405" i="46"/>
  <c r="AC405" i="46"/>
  <c r="AG606" i="46"/>
  <c r="Q648" i="46"/>
  <c r="Q637" i="46" s="1"/>
  <c r="AG524" i="30"/>
  <c r="AG168" i="46"/>
  <c r="F101" i="48"/>
  <c r="E100" i="48"/>
  <c r="W457" i="23"/>
  <c r="W455" i="23"/>
  <c r="AG536" i="30"/>
  <c r="F12" i="37"/>
  <c r="AG34" i="37"/>
  <c r="U9" i="46"/>
  <c r="AC9" i="46"/>
  <c r="AG98" i="46"/>
  <c r="S438" i="30"/>
  <c r="R437" i="30"/>
  <c r="R600" i="30"/>
  <c r="Z540" i="37"/>
  <c r="AD540" i="37"/>
  <c r="Q168" i="46"/>
  <c r="AG393" i="46"/>
  <c r="AG451" i="46"/>
  <c r="AG551" i="46"/>
  <c r="AG458" i="48"/>
  <c r="S334" i="46"/>
  <c r="F76" i="50"/>
  <c r="F84" i="50"/>
  <c r="F92" i="50"/>
  <c r="F114" i="50"/>
  <c r="F142" i="50"/>
  <c r="F158" i="50"/>
  <c r="F178" i="50"/>
  <c r="F192" i="50"/>
  <c r="Q311" i="48"/>
  <c r="AC403" i="48"/>
  <c r="W440" i="48"/>
  <c r="W403" i="48"/>
  <c r="AA440" i="48"/>
  <c r="AA403" i="48"/>
  <c r="AE440" i="48"/>
  <c r="AE403" i="48" s="1"/>
  <c r="Q449" i="48"/>
  <c r="Q512" i="48"/>
  <c r="AA437" i="47"/>
  <c r="S245" i="46"/>
  <c r="F56" i="50"/>
  <c r="E99" i="48"/>
  <c r="AG166" i="48"/>
  <c r="AG95" i="48"/>
  <c r="AG7" i="48" s="1"/>
  <c r="AG254" i="48"/>
  <c r="AG311" i="48"/>
  <c r="AG243" i="48"/>
  <c r="F336" i="48"/>
  <c r="Q363" i="48"/>
  <c r="Q332" i="48" s="1"/>
  <c r="AG391" i="48"/>
  <c r="AG387" i="48" s="1"/>
  <c r="AG399" i="48"/>
  <c r="Q405" i="48"/>
  <c r="Q404" i="48"/>
  <c r="AG441" i="48"/>
  <c r="T440" i="48"/>
  <c r="T403" i="48" s="1"/>
  <c r="X440" i="48"/>
  <c r="X403" i="48" s="1"/>
  <c r="X673" i="48" s="1"/>
  <c r="AB440" i="48"/>
  <c r="AB403" i="48" s="1"/>
  <c r="AB673" i="48" s="1"/>
  <c r="AF440" i="48"/>
  <c r="AF403" i="48" s="1"/>
  <c r="Q495" i="48"/>
  <c r="AG512" i="48"/>
  <c r="AG347" i="48"/>
  <c r="AG332" i="48"/>
  <c r="Q387" i="48"/>
  <c r="Q458" i="48"/>
  <c r="AG490" i="48"/>
  <c r="AG634" i="48"/>
  <c r="E93" i="47"/>
  <c r="F94" i="47"/>
  <c r="Q362" i="47"/>
  <c r="Q361" i="47" s="1"/>
  <c r="V602" i="48"/>
  <c r="AG602" i="48"/>
  <c r="R222" i="47"/>
  <c r="R600" i="47" s="1"/>
  <c r="AG453" i="47"/>
  <c r="AG486" i="47"/>
  <c r="AG536" i="47"/>
  <c r="U544" i="48"/>
  <c r="U493" i="48" s="1"/>
  <c r="AG642" i="48"/>
  <c r="S644" i="48"/>
  <c r="S345" i="47"/>
  <c r="S392" i="47"/>
  <c r="S360" i="47" s="1"/>
  <c r="S600" i="47" s="1"/>
  <c r="S481" i="47"/>
  <c r="S437" i="47" s="1"/>
  <c r="S520" i="47"/>
  <c r="AG539" i="47"/>
  <c r="U535" i="47"/>
  <c r="U437" i="47"/>
  <c r="AD565" i="47"/>
  <c r="U9" i="32"/>
  <c r="U8" i="32" s="1"/>
  <c r="U7" i="32" s="1"/>
  <c r="X9" i="32"/>
  <c r="X8" i="32"/>
  <c r="X7" i="32"/>
  <c r="X263" i="32"/>
  <c r="X232" i="32" s="1"/>
  <c r="X231" i="32" s="1"/>
  <c r="U311" i="32"/>
  <c r="Y391" i="32"/>
  <c r="Y388" i="32"/>
  <c r="Y334" i="32" s="1"/>
  <c r="Y231" i="32" s="1"/>
  <c r="X388" i="32"/>
  <c r="AG413" i="32"/>
  <c r="S440" i="48"/>
  <c r="U634" i="48"/>
  <c r="Q539" i="47"/>
  <c r="Q535" i="47"/>
  <c r="W9" i="32"/>
  <c r="W8" i="32"/>
  <c r="W7" i="32" s="1"/>
  <c r="A124" i="32"/>
  <c r="A123" i="32"/>
  <c r="W288" i="32"/>
  <c r="W232" i="32" s="1"/>
  <c r="W231" i="32" s="1"/>
  <c r="R673" i="48"/>
  <c r="E119" i="32"/>
  <c r="F120" i="32"/>
  <c r="Q456" i="32"/>
  <c r="W423" i="32"/>
  <c r="W422" i="32" s="1"/>
  <c r="Q21" i="32"/>
  <c r="Q9" i="32"/>
  <c r="Q8" i="32" s="1"/>
  <c r="E118" i="32"/>
  <c r="U292" i="32"/>
  <c r="U298" i="32"/>
  <c r="Q310" i="32"/>
  <c r="V317" i="32"/>
  <c r="V311" i="32" s="1"/>
  <c r="Q390" i="32"/>
  <c r="Q392" i="32"/>
  <c r="U396" i="32"/>
  <c r="U395" i="32"/>
  <c r="AG395" i="32" s="1"/>
  <c r="Q398" i="32"/>
  <c r="Q395" i="32" s="1"/>
  <c r="V401" i="32"/>
  <c r="V403" i="32"/>
  <c r="U408" i="32"/>
  <c r="U410" i="32"/>
  <c r="U407" i="32" s="1"/>
  <c r="U394" i="32" s="1"/>
  <c r="Q420" i="32"/>
  <c r="A127" i="32"/>
  <c r="Q286" i="32"/>
  <c r="Q263" i="32" s="1"/>
  <c r="Q332" i="32"/>
  <c r="S334" i="32"/>
  <c r="S231" i="32" s="1"/>
  <c r="A343" i="32"/>
  <c r="Q402" i="32"/>
  <c r="Q400" i="32"/>
  <c r="Q409" i="32"/>
  <c r="Q468" i="32"/>
  <c r="Q478" i="32"/>
  <c r="Q495" i="32"/>
  <c r="Q572" i="32"/>
  <c r="W567" i="32"/>
  <c r="Q700" i="32"/>
  <c r="E95" i="32"/>
  <c r="Q115" i="32"/>
  <c r="U236" i="32"/>
  <c r="U247" i="32"/>
  <c r="Q249" i="32"/>
  <c r="Q315" i="32"/>
  <c r="Q368" i="32"/>
  <c r="U426" i="32"/>
  <c r="U423" i="32"/>
  <c r="U422" i="32" s="1"/>
  <c r="U421" i="32" s="1"/>
  <c r="V439" i="32"/>
  <c r="V423" i="32" s="1"/>
  <c r="AG469" i="32"/>
  <c r="AG479" i="32"/>
  <c r="Q518" i="32"/>
  <c r="Q515" i="32" s="1"/>
  <c r="Q524" i="32"/>
  <c r="U525" i="32"/>
  <c r="U522" i="32"/>
  <c r="AG522" i="32" s="1"/>
  <c r="W541" i="32"/>
  <c r="W540" i="32" s="1"/>
  <c r="Q551" i="32"/>
  <c r="Q579" i="32" s="1"/>
  <c r="U552" i="32"/>
  <c r="W560" i="32"/>
  <c r="W549" i="32" s="1"/>
  <c r="W570" i="32"/>
  <c r="X571" i="32"/>
  <c r="Q612" i="32"/>
  <c r="Q625" i="32"/>
  <c r="Q634" i="32"/>
  <c r="Q631" i="32"/>
  <c r="S644" i="32"/>
  <c r="S520" i="32" s="1"/>
  <c r="S720" i="32" s="1"/>
  <c r="U652" i="32"/>
  <c r="U651" i="32" s="1"/>
  <c r="U644" i="32" s="1"/>
  <c r="AG701" i="32"/>
  <c r="AG688" i="32" s="1"/>
  <c r="AG677" i="32" s="1"/>
  <c r="AG7" i="19"/>
  <c r="AG10" i="19"/>
  <c r="U6" i="19"/>
  <c r="U128" i="6"/>
  <c r="Q148" i="6"/>
  <c r="G39" i="13"/>
  <c r="F39" i="13"/>
  <c r="Q237" i="15"/>
  <c r="V239" i="15"/>
  <c r="Z239" i="15"/>
  <c r="Q509" i="32"/>
  <c r="Q506" i="32" s="1"/>
  <c r="Q458" i="32" s="1"/>
  <c r="Q544" i="32"/>
  <c r="X570" i="32"/>
  <c r="Y571" i="32"/>
  <c r="Y549" i="32"/>
  <c r="Y521" i="32"/>
  <c r="Y520" i="32" s="1"/>
  <c r="V652" i="32"/>
  <c r="V651" i="32" s="1"/>
  <c r="V644" i="32" s="1"/>
  <c r="V520" i="32"/>
  <c r="U30" i="3"/>
  <c r="U28" i="3" s="1"/>
  <c r="Q28" i="3"/>
  <c r="W68" i="3"/>
  <c r="G39" i="5"/>
  <c r="F39" i="5"/>
  <c r="R127" i="5"/>
  <c r="R74" i="5"/>
  <c r="F16" i="2" s="1"/>
  <c r="G16" i="2" s="1"/>
  <c r="R54" i="13"/>
  <c r="U55" i="13"/>
  <c r="Y115" i="7"/>
  <c r="X115" i="7"/>
  <c r="W115" i="7"/>
  <c r="X137" i="8"/>
  <c r="R137" i="8"/>
  <c r="Y148" i="8"/>
  <c r="R148" i="8"/>
  <c r="Q37" i="10"/>
  <c r="F8" i="2" s="1"/>
  <c r="G8" i="2" s="1"/>
  <c r="W17" i="12"/>
  <c r="Z17" i="12"/>
  <c r="Q13" i="12"/>
  <c r="Q8" i="12" s="1"/>
  <c r="Q585" i="32"/>
  <c r="Q581" i="32"/>
  <c r="W652" i="32"/>
  <c r="W651" i="32"/>
  <c r="W644" i="32"/>
  <c r="Q654" i="32"/>
  <c r="Q651" i="32"/>
  <c r="Q644" i="32"/>
  <c r="Q719" i="32"/>
  <c r="W37" i="3"/>
  <c r="R26" i="7"/>
  <c r="A115" i="8"/>
  <c r="A116" i="8" s="1"/>
  <c r="A117" i="8"/>
  <c r="A118" i="8" s="1"/>
  <c r="A119" i="8" s="1"/>
  <c r="A114" i="8"/>
  <c r="U37" i="3"/>
  <c r="X55" i="3"/>
  <c r="X49" i="3"/>
  <c r="X27" i="3" s="1"/>
  <c r="Q49" i="3"/>
  <c r="Q68" i="3"/>
  <c r="U71" i="3"/>
  <c r="U68" i="3"/>
  <c r="X137" i="6"/>
  <c r="W137" i="6"/>
  <c r="T137" i="6"/>
  <c r="Q144" i="6"/>
  <c r="U62" i="10"/>
  <c r="T62" i="10"/>
  <c r="R47" i="13"/>
  <c r="R55" i="7"/>
  <c r="Y116" i="7"/>
  <c r="Q10" i="8"/>
  <c r="Q61" i="11"/>
  <c r="Q76" i="11"/>
  <c r="R101" i="11"/>
  <c r="U138" i="15"/>
  <c r="W120" i="8"/>
  <c r="R120" i="8"/>
  <c r="G248" i="8"/>
  <c r="F248" i="8"/>
  <c r="U29" i="15"/>
  <c r="U28" i="15"/>
  <c r="Q28" i="15"/>
  <c r="Q87" i="3"/>
  <c r="R26" i="6"/>
  <c r="R74" i="7"/>
  <c r="R172" i="7" s="1"/>
  <c r="Q91" i="7"/>
  <c r="Q121" i="7"/>
  <c r="A109" i="8"/>
  <c r="A108" i="8"/>
  <c r="V110" i="8"/>
  <c r="W133" i="8"/>
  <c r="V14" i="12"/>
  <c r="W14" i="12"/>
  <c r="U14" i="12"/>
  <c r="Y43" i="10"/>
  <c r="A45" i="10"/>
  <c r="Q87" i="15"/>
  <c r="Q27" i="15" s="1"/>
  <c r="V90" i="15"/>
  <c r="V87" i="15"/>
  <c r="V27" i="15" s="1"/>
  <c r="AC27" i="15" s="1"/>
  <c r="U121" i="15"/>
  <c r="R119" i="15"/>
  <c r="U70" i="15"/>
  <c r="U68" i="15"/>
  <c r="Q68" i="15"/>
  <c r="W68" i="15"/>
  <c r="W27" i="15" s="1"/>
  <c r="O167" i="8"/>
  <c r="R167" i="8" s="1"/>
  <c r="F17" i="2"/>
  <c r="G17" i="2" s="1"/>
  <c r="U46" i="15"/>
  <c r="U37" i="15" s="1"/>
  <c r="Q37" i="15"/>
  <c r="R122" i="15"/>
  <c r="V123" i="15"/>
  <c r="Q148" i="15"/>
  <c r="Q161" i="15"/>
  <c r="W161" i="15" s="1"/>
  <c r="U275" i="15"/>
  <c r="F110" i="50"/>
  <c r="F164" i="50"/>
  <c r="F101" i="50"/>
  <c r="F183" i="50"/>
  <c r="F151" i="50"/>
  <c r="F161" i="50"/>
  <c r="F189" i="50"/>
  <c r="F146" i="50"/>
  <c r="F205" i="50"/>
  <c r="Q40" i="9"/>
  <c r="Q186" i="8"/>
  <c r="R186" i="8"/>
  <c r="Q465" i="23"/>
  <c r="O464" i="23"/>
  <c r="Q475" i="23"/>
  <c r="Q474" i="23" s="1"/>
  <c r="F15" i="2"/>
  <c r="Q251" i="37"/>
  <c r="Q537" i="37"/>
  <c r="Q540" i="37" s="1"/>
  <c r="Q458" i="14"/>
  <c r="F43" i="50"/>
  <c r="R171" i="10"/>
  <c r="Y457" i="14"/>
  <c r="Y448" i="14" s="1"/>
  <c r="Y427" i="14"/>
  <c r="Y390" i="14" s="1"/>
  <c r="Q366" i="32"/>
  <c r="U233" i="32"/>
  <c r="AG388" i="32"/>
  <c r="AD222" i="47"/>
  <c r="AD493" i="48"/>
  <c r="AD673" i="48" s="1"/>
  <c r="V437" i="47"/>
  <c r="Q334" i="46"/>
  <c r="X493" i="48"/>
  <c r="V565" i="47"/>
  <c r="Y633" i="48"/>
  <c r="AG585" i="48"/>
  <c r="AC242" i="48"/>
  <c r="AA244" i="46"/>
  <c r="X565" i="30"/>
  <c r="Q629" i="23"/>
  <c r="Q610" i="23" s="1"/>
  <c r="R375" i="14"/>
  <c r="R247" i="14"/>
  <c r="AB222" i="30"/>
  <c r="T645" i="32"/>
  <c r="AG366" i="32"/>
  <c r="U549" i="32"/>
  <c r="Q243" i="48"/>
  <c r="Q242" i="48" s="1"/>
  <c r="AG97" i="46"/>
  <c r="AG9" i="46" s="1"/>
  <c r="AA600" i="30"/>
  <c r="Q457" i="32"/>
  <c r="AG580" i="32"/>
  <c r="Q496" i="32"/>
  <c r="Q233" i="32"/>
  <c r="Z493" i="48"/>
  <c r="Q544" i="48"/>
  <c r="AE242" i="48"/>
  <c r="AE673" i="48" s="1"/>
  <c r="Q565" i="47"/>
  <c r="AG392" i="47"/>
  <c r="AG360" i="47" s="1"/>
  <c r="S493" i="48"/>
  <c r="AG520" i="30"/>
  <c r="Y437" i="30"/>
  <c r="Q302" i="30"/>
  <c r="Q223" i="30"/>
  <c r="Q222" i="30" s="1"/>
  <c r="AG629" i="23"/>
  <c r="W248" i="23"/>
  <c r="Q701" i="32"/>
  <c r="AE437" i="47"/>
  <c r="AE600" i="47"/>
  <c r="U495" i="46"/>
  <c r="W495" i="46"/>
  <c r="U405" i="46"/>
  <c r="U677" i="46" s="1"/>
  <c r="Q565" i="30"/>
  <c r="AG481" i="30"/>
  <c r="Q392" i="30"/>
  <c r="AE600" i="30"/>
  <c r="R206" i="3"/>
  <c r="Q39" i="9"/>
  <c r="Q30" i="9" s="1"/>
  <c r="Q10" i="9"/>
  <c r="Q9" i="9"/>
  <c r="F12" i="2" s="1"/>
  <c r="G12" i="2" s="1"/>
  <c r="R161" i="11"/>
  <c r="W673" i="48"/>
  <c r="Q437" i="47"/>
  <c r="V600" i="30"/>
  <c r="V12" i="9"/>
  <c r="AC600" i="47"/>
  <c r="E100" i="8"/>
  <c r="Q93" i="32"/>
  <c r="AG345" i="30"/>
  <c r="AA7" i="14"/>
  <c r="AG567" i="14"/>
  <c r="AD231" i="32"/>
  <c r="X437" i="47"/>
  <c r="Q365" i="32"/>
  <c r="S242" i="48"/>
  <c r="AF637" i="46"/>
  <c r="Q448" i="14"/>
  <c r="Q522" i="32"/>
  <c r="Q423" i="32"/>
  <c r="Q422" i="32" s="1"/>
  <c r="AG535" i="47"/>
  <c r="AG639" i="48"/>
  <c r="AA673" i="48"/>
  <c r="Q245" i="46"/>
  <c r="AG223" i="30"/>
  <c r="S492" i="23"/>
  <c r="AG352" i="14"/>
  <c r="Q328" i="14"/>
  <c r="S328" i="14"/>
  <c r="S247" i="14" s="1"/>
  <c r="V437" i="23"/>
  <c r="V435" i="23" s="1"/>
  <c r="V434" i="23" s="1"/>
  <c r="V397" i="23" s="1"/>
  <c r="AE520" i="32"/>
  <c r="X565" i="47"/>
  <c r="AF437" i="47"/>
  <c r="T222" i="47"/>
  <c r="T437" i="47"/>
  <c r="AC633" i="48"/>
  <c r="AC673" i="48" s="1"/>
  <c r="X637" i="46"/>
  <c r="AG638" i="46"/>
  <c r="AG637" i="46" s="1"/>
  <c r="AG588" i="46"/>
  <c r="AG245" i="46"/>
  <c r="AB565" i="30"/>
  <c r="AB600" i="30"/>
  <c r="Q442" i="46"/>
  <c r="AG576" i="30"/>
  <c r="Z658" i="23"/>
  <c r="T99" i="14"/>
  <c r="AG87" i="14"/>
  <c r="V493" i="48"/>
  <c r="AB437" i="47"/>
  <c r="U437" i="30"/>
  <c r="AG651" i="32"/>
  <c r="S222" i="47"/>
  <c r="U486" i="14"/>
  <c r="X390" i="14"/>
  <c r="AG92" i="32"/>
  <c r="AF720" i="32"/>
  <c r="AB222" i="47"/>
  <c r="AB600" i="47" s="1"/>
  <c r="Q95" i="48"/>
  <c r="Q7" i="48"/>
  <c r="AG260" i="23"/>
  <c r="Q345" i="30"/>
  <c r="Q222" i="47"/>
  <c r="Z600" i="30"/>
  <c r="Q505" i="32"/>
  <c r="Q348" i="32"/>
  <c r="AG438" i="47"/>
  <c r="AF242" i="48"/>
  <c r="AF673" i="48" s="1"/>
  <c r="AG574" i="23"/>
  <c r="AG539" i="23" s="1"/>
  <c r="W244" i="46"/>
  <c r="W677" i="46"/>
  <c r="V677" i="46"/>
  <c r="AG571" i="30"/>
  <c r="AG565" i="30" s="1"/>
  <c r="Z14" i="12"/>
  <c r="Z8" i="12" s="1"/>
  <c r="R96" i="8"/>
  <c r="R7" i="8" s="1"/>
  <c r="R343" i="8" s="1"/>
  <c r="Q610" i="32"/>
  <c r="V400" i="32"/>
  <c r="V394" i="32"/>
  <c r="Q388" i="32"/>
  <c r="Q334" i="32"/>
  <c r="U288" i="32"/>
  <c r="AG288" i="32"/>
  <c r="W421" i="32"/>
  <c r="Q159" i="32"/>
  <c r="AG9" i="32"/>
  <c r="AG8" i="32" s="1"/>
  <c r="AG7" i="32" s="1"/>
  <c r="U633" i="48"/>
  <c r="S633" i="48"/>
  <c r="AG494" i="48"/>
  <c r="AG493" i="48"/>
  <c r="AG540" i="37"/>
  <c r="AA492" i="23"/>
  <c r="Q582" i="23"/>
  <c r="AG50" i="23"/>
  <c r="V379" i="14"/>
  <c r="AG379" i="14" s="1"/>
  <c r="W99" i="14"/>
  <c r="C176" i="1"/>
  <c r="Q392" i="14"/>
  <c r="Q391" i="14"/>
  <c r="Q390" i="14" s="1"/>
  <c r="AG678" i="32"/>
  <c r="Z231" i="32"/>
  <c r="Z720" i="32"/>
  <c r="AB565" i="47"/>
  <c r="X222" i="47"/>
  <c r="X600" i="47" s="1"/>
  <c r="AG648" i="46"/>
  <c r="AF244" i="46"/>
  <c r="AG566" i="47"/>
  <c r="AG565" i="47" s="1"/>
  <c r="U360" i="47"/>
  <c r="Q89" i="47"/>
  <c r="Q7" i="47"/>
  <c r="AB637" i="46"/>
  <c r="Q535" i="30"/>
  <c r="Q496" i="46"/>
  <c r="Q520" i="30"/>
  <c r="AG89" i="30"/>
  <c r="AG7" i="30"/>
  <c r="V422" i="32"/>
  <c r="V421" i="32"/>
  <c r="AG423" i="32"/>
  <c r="AG422" i="32"/>
  <c r="S673" i="48"/>
  <c r="V582" i="23"/>
  <c r="V492" i="23"/>
  <c r="AG587" i="23"/>
  <c r="AG233" i="32"/>
  <c r="AG242" i="48"/>
  <c r="T582" i="23"/>
  <c r="AG583" i="23"/>
  <c r="AG582" i="23" s="1"/>
  <c r="V398" i="23"/>
  <c r="U493" i="23"/>
  <c r="U492" i="23"/>
  <c r="AG494" i="23"/>
  <c r="Q665" i="32"/>
  <c r="Q515" i="23"/>
  <c r="Q493" i="23" s="1"/>
  <c r="Y374" i="14"/>
  <c r="Y372" i="14"/>
  <c r="Y328" i="14" s="1"/>
  <c r="Y247" i="14" s="1"/>
  <c r="X372" i="14"/>
  <c r="S7" i="23"/>
  <c r="Q428" i="14"/>
  <c r="V430" i="14"/>
  <c r="V428" i="14"/>
  <c r="AG428" i="14" s="1"/>
  <c r="AG502" i="14"/>
  <c r="H7" i="4"/>
  <c r="U521" i="32"/>
  <c r="U520" i="32" s="1"/>
  <c r="V148" i="15"/>
  <c r="W295" i="15"/>
  <c r="V295" i="15"/>
  <c r="F102" i="8"/>
  <c r="F103" i="8" s="1"/>
  <c r="E103" i="8" s="1"/>
  <c r="E101" i="8"/>
  <c r="U27" i="15"/>
  <c r="Q27" i="3"/>
  <c r="F7" i="2" s="1"/>
  <c r="G7" i="2" s="1"/>
  <c r="AG6" i="19"/>
  <c r="Q549" i="32"/>
  <c r="Q624" i="32"/>
  <c r="Q643" i="32"/>
  <c r="Q548" i="32"/>
  <c r="AG407" i="32"/>
  <c r="Q387" i="32"/>
  <c r="E120" i="32"/>
  <c r="F121" i="32"/>
  <c r="E121" i="32" s="1"/>
  <c r="X334" i="32"/>
  <c r="Q91" i="32"/>
  <c r="AG440" i="48"/>
  <c r="AG403" i="48" s="1"/>
  <c r="S244" i="46"/>
  <c r="Q399" i="23"/>
  <c r="Q398" i="23"/>
  <c r="AG296" i="23"/>
  <c r="S8" i="14"/>
  <c r="D176" i="1"/>
  <c r="E105" i="14"/>
  <c r="F106" i="14"/>
  <c r="F107" i="14" s="1"/>
  <c r="F107" i="23"/>
  <c r="E106" i="23"/>
  <c r="E94" i="47"/>
  <c r="F95" i="47"/>
  <c r="R118" i="15"/>
  <c r="R26" i="15" s="1"/>
  <c r="W27" i="3"/>
  <c r="AG400" i="32"/>
  <c r="Q440" i="48"/>
  <c r="Q403" i="48"/>
  <c r="S437" i="30"/>
  <c r="S600" i="30" s="1"/>
  <c r="W530" i="23"/>
  <c r="V382" i="23"/>
  <c r="T358" i="23"/>
  <c r="AG359" i="23"/>
  <c r="U375" i="14"/>
  <c r="AG376" i="14"/>
  <c r="AG576" i="14"/>
  <c r="T575" i="14"/>
  <c r="T485" i="14" s="1"/>
  <c r="AG487" i="14"/>
  <c r="AG56" i="23"/>
  <c r="B8" i="4"/>
  <c r="H8" i="4" s="1"/>
  <c r="R168" i="5"/>
  <c r="U61" i="11"/>
  <c r="Q539" i="32"/>
  <c r="Q514" i="32"/>
  <c r="Q406" i="32"/>
  <c r="Q393" i="32"/>
  <c r="Q494" i="48"/>
  <c r="E20" i="50"/>
  <c r="Q97" i="46"/>
  <c r="Q9" i="46" s="1"/>
  <c r="F102" i="48"/>
  <c r="F103" i="48" s="1"/>
  <c r="E103" i="48" s="1"/>
  <c r="E101" i="48"/>
  <c r="E323" i="37"/>
  <c r="F324" i="37"/>
  <c r="X530" i="23"/>
  <c r="X515" i="23"/>
  <c r="X493" i="23"/>
  <c r="X492" i="23" s="1"/>
  <c r="E94" i="30"/>
  <c r="F95" i="30"/>
  <c r="AG302" i="30"/>
  <c r="AG277" i="23"/>
  <c r="Q575" i="14"/>
  <c r="V485" i="14"/>
  <c r="Q248" i="14"/>
  <c r="F7" i="4"/>
  <c r="AG580" i="14"/>
  <c r="Y464" i="23"/>
  <c r="Y455" i="23"/>
  <c r="Y434" i="23" s="1"/>
  <c r="Y397" i="23" s="1"/>
  <c r="Q464" i="23"/>
  <c r="Q455" i="23"/>
  <c r="AG448" i="14"/>
  <c r="W427" i="14"/>
  <c r="Q521" i="32"/>
  <c r="Q427" i="14"/>
  <c r="AG645" i="32"/>
  <c r="AG644" i="32"/>
  <c r="T644" i="32"/>
  <c r="T520" i="32" s="1"/>
  <c r="T720" i="32" s="1"/>
  <c r="AG334" i="32"/>
  <c r="AG435" i="23"/>
  <c r="Q421" i="32"/>
  <c r="AG222" i="30"/>
  <c r="AG394" i="32"/>
  <c r="F108" i="23"/>
  <c r="E107" i="23"/>
  <c r="F5" i="2"/>
  <c r="T335" i="23"/>
  <c r="T247" i="23" s="1"/>
  <c r="E95" i="30"/>
  <c r="F96" i="30"/>
  <c r="E96" i="30" s="1"/>
  <c r="E106" i="14"/>
  <c r="E102" i="48"/>
  <c r="F20" i="50"/>
  <c r="F8" i="4"/>
  <c r="D8" i="4"/>
  <c r="AG575" i="14"/>
  <c r="E102" i="8"/>
  <c r="V427" i="14"/>
  <c r="V390" i="14"/>
  <c r="E107" i="14"/>
  <c r="F108" i="14"/>
  <c r="F109" i="14" s="1"/>
  <c r="E109" i="14" s="1"/>
  <c r="F97" i="30"/>
  <c r="F98" i="30" s="1"/>
  <c r="E98" i="30" s="1"/>
  <c r="F109" i="23"/>
  <c r="F110" i="23" s="1"/>
  <c r="E110" i="23" s="1"/>
  <c r="E108" i="23"/>
  <c r="F104" i="48"/>
  <c r="E97" i="30"/>
  <c r="E108" i="14"/>
  <c r="I14" i="45"/>
  <c r="F14" i="45"/>
  <c r="E14" i="44" l="1"/>
  <c r="D14" i="44"/>
  <c r="F105" i="48"/>
  <c r="E104" i="48"/>
  <c r="F104" i="8"/>
  <c r="F99" i="30"/>
  <c r="AG227" i="14"/>
  <c r="X171" i="14"/>
  <c r="AG237" i="14"/>
  <c r="AC171" i="14"/>
  <c r="AC99" i="14" s="1"/>
  <c r="AG249" i="14"/>
  <c r="AA247" i="14"/>
  <c r="X248" i="14"/>
  <c r="X247" i="14" s="1"/>
  <c r="AG270" i="14"/>
  <c r="A338" i="14"/>
  <c r="A337" i="14"/>
  <c r="Q154" i="6"/>
  <c r="V148" i="6"/>
  <c r="F36" i="50"/>
  <c r="E242" i="50"/>
  <c r="E245" i="50" s="1"/>
  <c r="Q244" i="46"/>
  <c r="Q333" i="32"/>
  <c r="Q311" i="32"/>
  <c r="R561" i="23"/>
  <c r="Q539" i="23"/>
  <c r="W390" i="14"/>
  <c r="Q412" i="32"/>
  <c r="Q407" i="32"/>
  <c r="Q394" i="32" s="1"/>
  <c r="Q56" i="11"/>
  <c r="F11" i="2" s="1"/>
  <c r="G11" i="2" s="1"/>
  <c r="V76" i="11"/>
  <c r="W434" i="23"/>
  <c r="W397" i="23" s="1"/>
  <c r="AG455" i="23"/>
  <c r="AG434" i="23" s="1"/>
  <c r="AG397" i="23" s="1"/>
  <c r="G5" i="2"/>
  <c r="AG372" i="14"/>
  <c r="X328" i="14"/>
  <c r="AA651" i="14"/>
  <c r="W247" i="14"/>
  <c r="T328" i="14"/>
  <c r="E109" i="23"/>
  <c r="F122" i="32"/>
  <c r="F325" i="37"/>
  <c r="E324" i="37"/>
  <c r="Z673" i="48"/>
  <c r="Q434" i="23"/>
  <c r="Q397" i="23" s="1"/>
  <c r="W521" i="32"/>
  <c r="W520" i="32" s="1"/>
  <c r="W720" i="32" s="1"/>
  <c r="AG540" i="32"/>
  <c r="Q247" i="14"/>
  <c r="E95" i="47"/>
  <c r="F96" i="47"/>
  <c r="F111" i="23"/>
  <c r="F110" i="14"/>
  <c r="W148" i="6"/>
  <c r="U27" i="3"/>
  <c r="AC27" i="3" s="1"/>
  <c r="Q492" i="23"/>
  <c r="V232" i="32"/>
  <c r="V231" i="32" s="1"/>
  <c r="V720" i="32" s="1"/>
  <c r="AG311" i="32"/>
  <c r="Q360" i="47"/>
  <c r="Q600" i="47" s="1"/>
  <c r="AF600" i="47"/>
  <c r="V375" i="14"/>
  <c r="V247" i="14" s="1"/>
  <c r="U673" i="48"/>
  <c r="AG467" i="14"/>
  <c r="AG427" i="14" s="1"/>
  <c r="AC427" i="14"/>
  <c r="AC390" i="14" s="1"/>
  <c r="Y524" i="14"/>
  <c r="Y523" i="14" s="1"/>
  <c r="Y508" i="14" s="1"/>
  <c r="Y486" i="14" s="1"/>
  <c r="Y485" i="14" s="1"/>
  <c r="Y651" i="14" s="1"/>
  <c r="X524" i="14"/>
  <c r="Q523" i="14"/>
  <c r="Q508" i="14" s="1"/>
  <c r="Q486" i="14" s="1"/>
  <c r="W524" i="14"/>
  <c r="W523" i="14" s="1"/>
  <c r="AG545" i="14"/>
  <c r="AB532" i="14"/>
  <c r="AG481" i="47"/>
  <c r="AG437" i="47" s="1"/>
  <c r="V99" i="23"/>
  <c r="V7" i="23" s="1"/>
  <c r="AG308" i="14"/>
  <c r="W351" i="14"/>
  <c r="W328" i="14" s="1"/>
  <c r="AG355" i="14"/>
  <c r="AG359" i="14"/>
  <c r="Z351" i="14"/>
  <c r="Z328" i="14" s="1"/>
  <c r="Z247" i="14" s="1"/>
  <c r="T375" i="14"/>
  <c r="AG383" i="14"/>
  <c r="AG375" i="14" s="1"/>
  <c r="U392" i="14"/>
  <c r="U289" i="14"/>
  <c r="AG289" i="14" s="1"/>
  <c r="AG182" i="14"/>
  <c r="S171" i="14"/>
  <c r="S99" i="14" s="1"/>
  <c r="S7" i="14" s="1"/>
  <c r="S651" i="14" s="1"/>
  <c r="AG218" i="14"/>
  <c r="T10" i="23"/>
  <c r="W7" i="14"/>
  <c r="AG141" i="14"/>
  <c r="V100" i="14"/>
  <c r="V99" i="14" s="1"/>
  <c r="X442" i="46"/>
  <c r="X405" i="46" s="1"/>
  <c r="AG443" i="46"/>
  <c r="AG442" i="46" s="1"/>
  <c r="AG405" i="46" s="1"/>
  <c r="AG497" i="46"/>
  <c r="AG496" i="46" s="1"/>
  <c r="AG495" i="46" s="1"/>
  <c r="Y496" i="46"/>
  <c r="Y495" i="46" s="1"/>
  <c r="Y677" i="46" s="1"/>
  <c r="T496" i="46"/>
  <c r="T495" i="46" s="1"/>
  <c r="AG514" i="46"/>
  <c r="S546" i="46"/>
  <c r="S495" i="46" s="1"/>
  <c r="AG565" i="46"/>
  <c r="AG577" i="46"/>
  <c r="Y546" i="46"/>
  <c r="Q546" i="46"/>
  <c r="Q495" i="46" s="1"/>
  <c r="AG580" i="46"/>
  <c r="AC546" i="46"/>
  <c r="AC495" i="46" s="1"/>
  <c r="R124" i="14"/>
  <c r="Y381" i="23"/>
  <c r="Y379" i="23" s="1"/>
  <c r="AG379" i="23" s="1"/>
  <c r="X379" i="23"/>
  <c r="X335" i="23" s="1"/>
  <c r="X247" i="23" s="1"/>
  <c r="T492" i="23"/>
  <c r="F103" i="46"/>
  <c r="E102" i="46"/>
  <c r="AB244" i="46"/>
  <c r="AB677" i="46" s="1"/>
  <c r="X99" i="14"/>
  <c r="X7" i="14" s="1"/>
  <c r="AD247" i="23"/>
  <c r="AA397" i="23"/>
  <c r="X244" i="46"/>
  <c r="X677" i="46" s="1"/>
  <c r="AD600" i="47"/>
  <c r="T14" i="23"/>
  <c r="Q10" i="23"/>
  <c r="Q9" i="23" s="1"/>
  <c r="Q8" i="23" s="1"/>
  <c r="AG172" i="23"/>
  <c r="V171" i="23"/>
  <c r="AG182" i="23"/>
  <c r="AA171" i="23"/>
  <c r="AA99" i="23" s="1"/>
  <c r="AA7" i="23" s="1"/>
  <c r="AG192" i="23"/>
  <c r="S248" i="23"/>
  <c r="S247" i="23" s="1"/>
  <c r="AE247" i="23"/>
  <c r="AE658" i="23" s="1"/>
  <c r="AA358" i="23"/>
  <c r="AA335" i="23" s="1"/>
  <c r="AA247" i="23" s="1"/>
  <c r="V600" i="47"/>
  <c r="T673" i="48"/>
  <c r="U29" i="23"/>
  <c r="U23" i="23" s="1"/>
  <c r="U9" i="23" s="1"/>
  <c r="U8" i="23" s="1"/>
  <c r="U7" i="23" s="1"/>
  <c r="Q23" i="23"/>
  <c r="AG137" i="23"/>
  <c r="AG100" i="23" s="1"/>
  <c r="R141" i="23"/>
  <c r="Q141" i="23"/>
  <c r="V320" i="23"/>
  <c r="V315" i="23" s="1"/>
  <c r="Q315" i="23"/>
  <c r="Q688" i="32"/>
  <c r="Q677" i="32" s="1"/>
  <c r="AE7" i="14"/>
  <c r="AD613" i="14"/>
  <c r="AD603" i="14" s="1"/>
  <c r="AG618" i="14"/>
  <c r="AG613" i="14" s="1"/>
  <c r="AG603" i="14" s="1"/>
  <c r="Y622" i="14"/>
  <c r="Y603" i="14" s="1"/>
  <c r="AG623" i="14"/>
  <c r="AG622" i="14" s="1"/>
  <c r="AG263" i="32"/>
  <c r="R46" i="13"/>
  <c r="AG137" i="14"/>
  <c r="AG100" i="14" s="1"/>
  <c r="AG560" i="46"/>
  <c r="AG546" i="46" s="1"/>
  <c r="Q622" i="14"/>
  <c r="AB247" i="14"/>
  <c r="X527" i="14"/>
  <c r="W527" i="14"/>
  <c r="Q172" i="14"/>
  <c r="Q171" i="14" s="1"/>
  <c r="AD248" i="14"/>
  <c r="AD247" i="14" s="1"/>
  <c r="AB575" i="14"/>
  <c r="AD171" i="23"/>
  <c r="AD99" i="23" s="1"/>
  <c r="AD7" i="23" s="1"/>
  <c r="AD658" i="23" s="1"/>
  <c r="W171" i="23"/>
  <c r="W99" i="23" s="1"/>
  <c r="W7" i="23" s="1"/>
  <c r="Q182" i="23"/>
  <c r="AG202" i="23"/>
  <c r="AF397" i="23"/>
  <c r="Q393" i="46"/>
  <c r="Q389" i="46" s="1"/>
  <c r="AE389" i="46"/>
  <c r="AE244" i="46" s="1"/>
  <c r="AE677" i="46" s="1"/>
  <c r="Q567" i="14"/>
  <c r="Q23" i="14"/>
  <c r="Q9" i="14" s="1"/>
  <c r="Q8" i="14" s="1"/>
  <c r="T24" i="14"/>
  <c r="T23" i="14" s="1"/>
  <c r="AG547" i="14"/>
  <c r="AE604" i="14"/>
  <c r="AE603" i="14" s="1"/>
  <c r="AC100" i="23"/>
  <c r="AC99" i="23" s="1"/>
  <c r="AF437" i="30"/>
  <c r="AF600" i="30" s="1"/>
  <c r="AC231" i="32"/>
  <c r="R114" i="14"/>
  <c r="AC247" i="14"/>
  <c r="W509" i="14"/>
  <c r="AF100" i="23"/>
  <c r="AF99" i="23" s="1"/>
  <c r="AF7" i="23" s="1"/>
  <c r="U57" i="14"/>
  <c r="U56" i="14" s="1"/>
  <c r="Q56" i="14"/>
  <c r="AG564" i="14"/>
  <c r="Y358" i="23"/>
  <c r="AC382" i="23"/>
  <c r="AC247" i="23" s="1"/>
  <c r="Q124" i="14"/>
  <c r="G5" i="4"/>
  <c r="B5" i="4" s="1"/>
  <c r="C16" i="1"/>
  <c r="C17" i="1" s="1"/>
  <c r="AC9" i="14"/>
  <c r="AC8" i="14" s="1"/>
  <c r="AC7" i="14" s="1"/>
  <c r="Z613" i="14"/>
  <c r="Z603" i="14" s="1"/>
  <c r="AC9" i="23"/>
  <c r="AC8" i="23" s="1"/>
  <c r="X99" i="23"/>
  <c r="X7" i="23" s="1"/>
  <c r="X658" i="23" s="1"/>
  <c r="AB171" i="23"/>
  <c r="AB99" i="23" s="1"/>
  <c r="V68" i="14"/>
  <c r="AG68" i="14" s="1"/>
  <c r="Q114" i="14"/>
  <c r="U427" i="14"/>
  <c r="AE486" i="14"/>
  <c r="AE485" i="14" s="1"/>
  <c r="AB9" i="23"/>
  <c r="AB8" i="23" s="1"/>
  <c r="AB7" i="23" s="1"/>
  <c r="AB658" i="23" s="1"/>
  <c r="Y100" i="23"/>
  <c r="Y99" i="23" s="1"/>
  <c r="Y7" i="23" s="1"/>
  <c r="Q137" i="23"/>
  <c r="R137" i="23"/>
  <c r="AG141" i="23"/>
  <c r="AF171" i="23"/>
  <c r="AA434" i="23"/>
  <c r="AE248" i="14"/>
  <c r="AE247" i="14" s="1"/>
  <c r="AF375" i="14"/>
  <c r="AF247" i="14" s="1"/>
  <c r="AF390" i="14"/>
  <c r="AF486" i="14"/>
  <c r="AF485" i="14" s="1"/>
  <c r="Z575" i="14"/>
  <c r="Z485" i="14" s="1"/>
  <c r="AG152" i="23"/>
  <c r="W382" i="23"/>
  <c r="W247" i="23" s="1"/>
  <c r="C92" i="1"/>
  <c r="AF100" i="14"/>
  <c r="AF99" i="14" s="1"/>
  <c r="AF7" i="14" s="1"/>
  <c r="AD100" i="14"/>
  <c r="AD99" i="14" s="1"/>
  <c r="AD7" i="14" s="1"/>
  <c r="Q613" i="14"/>
  <c r="AE358" i="23"/>
  <c r="AE335" i="23" s="1"/>
  <c r="AE397" i="23"/>
  <c r="E9" i="2"/>
  <c r="D92" i="1"/>
  <c r="D177" i="1" s="1"/>
  <c r="C177" i="1" s="1"/>
  <c r="V56" i="14"/>
  <c r="V9" i="14" s="1"/>
  <c r="V8" i="14" s="1"/>
  <c r="V7" i="14" s="1"/>
  <c r="AG218" i="23"/>
  <c r="Q237" i="23"/>
  <c r="U257" i="23"/>
  <c r="U249" i="23" s="1"/>
  <c r="Q250" i="23"/>
  <c r="Q249" i="23" s="1"/>
  <c r="Q248" i="23" s="1"/>
  <c r="Q247" i="23" s="1"/>
  <c r="F338" i="23"/>
  <c r="G338" i="23"/>
  <c r="AG439" i="30"/>
  <c r="AG438" i="30" s="1"/>
  <c r="AG437" i="30" s="1"/>
  <c r="AC438" i="30"/>
  <c r="AC437" i="30" s="1"/>
  <c r="W516" i="23"/>
  <c r="W515" i="23" s="1"/>
  <c r="AG407" i="30"/>
  <c r="AG392" i="30" s="1"/>
  <c r="AG360" i="30" s="1"/>
  <c r="AG600" i="30" s="1"/>
  <c r="X7" i="30"/>
  <c r="T392" i="30"/>
  <c r="T360" i="30" s="1"/>
  <c r="T600" i="30" s="1"/>
  <c r="AG428" i="30"/>
  <c r="AC493" i="23"/>
  <c r="AC492" i="23" s="1"/>
  <c r="Q9" i="30"/>
  <c r="Q8" i="30" s="1"/>
  <c r="Q7" i="30" s="1"/>
  <c r="Q154" i="30"/>
  <c r="Q89" i="30" s="1"/>
  <c r="X302" i="30"/>
  <c r="X222" i="30" s="1"/>
  <c r="AA97" i="46"/>
  <c r="AA9" i="46" s="1"/>
  <c r="AA677" i="46" s="1"/>
  <c r="AD389" i="46"/>
  <c r="AD244" i="46" s="1"/>
  <c r="AD677" i="46" s="1"/>
  <c r="X496" i="46"/>
  <c r="X495" i="46" s="1"/>
  <c r="U384" i="23"/>
  <c r="U383" i="23" s="1"/>
  <c r="AB620" i="23"/>
  <c r="AB610" i="23" s="1"/>
  <c r="T9" i="46"/>
  <c r="AF358" i="23"/>
  <c r="AF335" i="23" s="1"/>
  <c r="AF247" i="23" s="1"/>
  <c r="Q510" i="30"/>
  <c r="Q481" i="30" s="1"/>
  <c r="Q437" i="30" s="1"/>
  <c r="AE515" i="23"/>
  <c r="AE493" i="23" s="1"/>
  <c r="AE492" i="23" s="1"/>
  <c r="AB582" i="23"/>
  <c r="AB492" i="23" s="1"/>
  <c r="Z389" i="46"/>
  <c r="Z244" i="46" s="1"/>
  <c r="Z677" i="46" s="1"/>
  <c r="U629" i="23"/>
  <c r="U610" i="23" s="1"/>
  <c r="AC392" i="30"/>
  <c r="AC360" i="30" s="1"/>
  <c r="AC600" i="30" s="1"/>
  <c r="Y566" i="30"/>
  <c r="Y565" i="30" s="1"/>
  <c r="Y600" i="30" s="1"/>
  <c r="AF97" i="46"/>
  <c r="AF9" i="46" s="1"/>
  <c r="R495" i="46"/>
  <c r="R677" i="46" s="1"/>
  <c r="Q68" i="14"/>
  <c r="AD434" i="23"/>
  <c r="AD397" i="23" s="1"/>
  <c r="AG335" i="46"/>
  <c r="AG334" i="46" s="1"/>
  <c r="AG244" i="46" s="1"/>
  <c r="AG677" i="46" s="1"/>
  <c r="AF405" i="46"/>
  <c r="S434" i="23"/>
  <c r="S397" i="23" s="1"/>
  <c r="AC245" i="46"/>
  <c r="AC244" i="46" s="1"/>
  <c r="AC677" i="46" s="1"/>
  <c r="S638" i="46"/>
  <c r="S637" i="46" s="1"/>
  <c r="Y494" i="48"/>
  <c r="Y493" i="48" s="1"/>
  <c r="Y673" i="48" s="1"/>
  <c r="Q258" i="32"/>
  <c r="Q262" i="32" s="1"/>
  <c r="U257" i="32"/>
  <c r="U246" i="32" s="1"/>
  <c r="R543" i="23"/>
  <c r="AE7" i="32"/>
  <c r="AE720" i="32" s="1"/>
  <c r="R50" i="13"/>
  <c r="V52" i="13"/>
  <c r="V7" i="48"/>
  <c r="V673" i="48" s="1"/>
  <c r="AG233" i="47"/>
  <c r="AG223" i="47" s="1"/>
  <c r="AG222" i="47" s="1"/>
  <c r="AG600" i="47" s="1"/>
  <c r="W438" i="47"/>
  <c r="W437" i="47" s="1"/>
  <c r="W600" i="47" s="1"/>
  <c r="F111" i="3"/>
  <c r="G111" i="3"/>
  <c r="T360" i="47"/>
  <c r="T600" i="47" s="1"/>
  <c r="Q589" i="48"/>
  <c r="Q585" i="48" s="1"/>
  <c r="Q493" i="48" s="1"/>
  <c r="Q673" i="48" s="1"/>
  <c r="Z633" i="48"/>
  <c r="AA7" i="32"/>
  <c r="AA720" i="32" s="1"/>
  <c r="AC92" i="32"/>
  <c r="AC7" i="32" s="1"/>
  <c r="AC720" i="32" s="1"/>
  <c r="V243" i="48"/>
  <c r="V242" i="48" s="1"/>
  <c r="U302" i="47"/>
  <c r="U222" i="47" s="1"/>
  <c r="U600" i="47" s="1"/>
  <c r="Z360" i="47"/>
  <c r="Z600" i="47" s="1"/>
  <c r="AG645" i="48"/>
  <c r="AG644" i="48" s="1"/>
  <c r="AG633" i="48" s="1"/>
  <c r="AG673" i="48" s="1"/>
  <c r="Q597" i="32"/>
  <c r="Q595" i="32" s="1"/>
  <c r="Q580" i="32" s="1"/>
  <c r="Q520" i="32" s="1"/>
  <c r="Q598" i="32"/>
  <c r="Q594" i="32"/>
  <c r="Q233" i="15"/>
  <c r="Q232" i="15" s="1"/>
  <c r="T235" i="15"/>
  <c r="Z235" i="15" s="1"/>
  <c r="Z232" i="15" s="1"/>
  <c r="AG506" i="32"/>
  <c r="AG458" i="32" s="1"/>
  <c r="AG421" i="32" s="1"/>
  <c r="AG515" i="32"/>
  <c r="Q602" i="32"/>
  <c r="Q601" i="32"/>
  <c r="Q599" i="32" s="1"/>
  <c r="C14" i="45"/>
  <c r="Y458" i="32"/>
  <c r="Y421" i="32" s="1"/>
  <c r="Y720" i="32" s="1"/>
  <c r="AD521" i="32"/>
  <c r="AD520" i="32" s="1"/>
  <c r="AD720" i="32" s="1"/>
  <c r="C14" i="44"/>
  <c r="Q139" i="15"/>
  <c r="F13" i="43"/>
  <c r="T127" i="6"/>
  <c r="W127" i="6"/>
  <c r="X573" i="32"/>
  <c r="X549" i="32" s="1"/>
  <c r="X521" i="32" l="1"/>
  <c r="X520" i="32" s="1"/>
  <c r="X720" i="32" s="1"/>
  <c r="AG549" i="32"/>
  <c r="AG521" i="32" s="1"/>
  <c r="AG520" i="32" s="1"/>
  <c r="Q677" i="46"/>
  <c r="Q485" i="14"/>
  <c r="U248" i="23"/>
  <c r="AG249" i="23"/>
  <c r="AG248" i="23" s="1"/>
  <c r="D5" i="4"/>
  <c r="F5" i="4"/>
  <c r="B10" i="4"/>
  <c r="U139" i="15"/>
  <c r="Q134" i="15"/>
  <c r="Q100" i="23"/>
  <c r="T9" i="23"/>
  <c r="AG10" i="23"/>
  <c r="Q600" i="30"/>
  <c r="H5" i="4"/>
  <c r="G10" i="4"/>
  <c r="H10" i="4" s="1"/>
  <c r="Q171" i="23"/>
  <c r="V248" i="23"/>
  <c r="V247" i="23" s="1"/>
  <c r="V658" i="23" s="1"/>
  <c r="AG315" i="23"/>
  <c r="S658" i="23"/>
  <c r="T677" i="46"/>
  <c r="X600" i="30"/>
  <c r="Q100" i="14"/>
  <c r="Q99" i="14" s="1"/>
  <c r="Q7" i="14" s="1"/>
  <c r="Q651" i="14" s="1"/>
  <c r="AB485" i="14"/>
  <c r="AB651" i="14" s="1"/>
  <c r="F112" i="23"/>
  <c r="E111" i="23"/>
  <c r="F100" i="30"/>
  <c r="E99" i="30"/>
  <c r="E21" i="2"/>
  <c r="AG23" i="14"/>
  <c r="T9" i="14"/>
  <c r="Q246" i="32"/>
  <c r="Q232" i="32" s="1"/>
  <c r="Q231" i="32" s="1"/>
  <c r="Q720" i="32" s="1"/>
  <c r="AG532" i="14"/>
  <c r="F97" i="47"/>
  <c r="E96" i="47"/>
  <c r="E104" i="8"/>
  <c r="F105" i="8"/>
  <c r="AA658" i="23"/>
  <c r="AF677" i="46"/>
  <c r="W493" i="23"/>
  <c r="W492" i="23" s="1"/>
  <c r="W658" i="23" s="1"/>
  <c r="AG515" i="23"/>
  <c r="AG493" i="23" s="1"/>
  <c r="AG492" i="23" s="1"/>
  <c r="U9" i="14"/>
  <c r="U8" i="14" s="1"/>
  <c r="U7" i="14" s="1"/>
  <c r="AG56" i="14"/>
  <c r="AG171" i="23"/>
  <c r="AG99" i="23" s="1"/>
  <c r="U391" i="14"/>
  <c r="U390" i="14" s="1"/>
  <c r="AG392" i="14"/>
  <c r="AG391" i="14" s="1"/>
  <c r="AG390" i="14" s="1"/>
  <c r="F326" i="37"/>
  <c r="E325" i="37"/>
  <c r="C13" i="43"/>
  <c r="B8" i="45"/>
  <c r="V651" i="14"/>
  <c r="U382" i="23"/>
  <c r="AG383" i="23"/>
  <c r="AG382" i="23" s="1"/>
  <c r="AF658" i="23"/>
  <c r="R567" i="14"/>
  <c r="Q532" i="14"/>
  <c r="E122" i="32"/>
  <c r="F123" i="32"/>
  <c r="AG248" i="14"/>
  <c r="E110" i="14"/>
  <c r="F111" i="14"/>
  <c r="Q603" i="14"/>
  <c r="AC7" i="23"/>
  <c r="AC658" i="23" s="1"/>
  <c r="W508" i="14"/>
  <c r="AE651" i="14"/>
  <c r="AG23" i="23"/>
  <c r="X523" i="14"/>
  <c r="X508" i="14" s="1"/>
  <c r="X486" i="14" s="1"/>
  <c r="X485" i="14" s="1"/>
  <c r="X651" i="14" s="1"/>
  <c r="U248" i="14"/>
  <c r="U247" i="14" s="1"/>
  <c r="F106" i="48"/>
  <c r="E105" i="48"/>
  <c r="F9" i="2"/>
  <c r="F21" i="2" s="1"/>
  <c r="R26" i="13"/>
  <c r="R140" i="13" s="1"/>
  <c r="Y335" i="23"/>
  <c r="Y247" i="23" s="1"/>
  <c r="Y658" i="23" s="1"/>
  <c r="AG358" i="23"/>
  <c r="AG335" i="23" s="1"/>
  <c r="AD651" i="14"/>
  <c r="Z651" i="14"/>
  <c r="AG351" i="14"/>
  <c r="AG328" i="14" s="1"/>
  <c r="AG171" i="14"/>
  <c r="AG99" i="14" s="1"/>
  <c r="AG246" i="32"/>
  <c r="AG232" i="32" s="1"/>
  <c r="AG231" i="32" s="1"/>
  <c r="AG720" i="32" s="1"/>
  <c r="U232" i="32"/>
  <c r="U231" i="32" s="1"/>
  <c r="U720" i="32" s="1"/>
  <c r="AF651" i="14"/>
  <c r="AC651" i="14"/>
  <c r="F104" i="46"/>
  <c r="E103" i="46"/>
  <c r="S677" i="46"/>
  <c r="T247" i="14"/>
  <c r="E111" i="14" l="1"/>
  <c r="F112" i="14"/>
  <c r="B6" i="44"/>
  <c r="B8" i="43"/>
  <c r="G9" i="2"/>
  <c r="G21" i="2" s="1"/>
  <c r="AG247" i="14"/>
  <c r="E105" i="8"/>
  <c r="F106" i="8"/>
  <c r="E100" i="30"/>
  <c r="F101" i="30"/>
  <c r="AG247" i="23"/>
  <c r="F327" i="37"/>
  <c r="E326" i="37"/>
  <c r="U247" i="23"/>
  <c r="U658" i="23" s="1"/>
  <c r="E97" i="47"/>
  <c r="F98" i="47"/>
  <c r="F105" i="46"/>
  <c r="E104" i="46"/>
  <c r="E123" i="32"/>
  <c r="F124" i="32"/>
  <c r="E124" i="32" s="1"/>
  <c r="E112" i="23"/>
  <c r="F113" i="23"/>
  <c r="E113" i="23" s="1"/>
  <c r="T8" i="23"/>
  <c r="T7" i="23" s="1"/>
  <c r="T658" i="23" s="1"/>
  <c r="AG9" i="23"/>
  <c r="AG8" i="23" s="1"/>
  <c r="AG7" i="23" s="1"/>
  <c r="AG658" i="23" s="1"/>
  <c r="Q99" i="23"/>
  <c r="Q7" i="23" s="1"/>
  <c r="Q658" i="23" s="1"/>
  <c r="E106" i="48"/>
  <c r="F107" i="48"/>
  <c r="AG508" i="14"/>
  <c r="AG486" i="14" s="1"/>
  <c r="AG485" i="14" s="1"/>
  <c r="W486" i="14"/>
  <c r="W485" i="14" s="1"/>
  <c r="W651" i="14" s="1"/>
  <c r="U651" i="14"/>
  <c r="AG9" i="14"/>
  <c r="AG8" i="14" s="1"/>
  <c r="AG7" i="14" s="1"/>
  <c r="AG651" i="14" s="1"/>
  <c r="T8" i="14"/>
  <c r="T7" i="14" s="1"/>
  <c r="T651" i="14" s="1"/>
  <c r="F10" i="4"/>
  <c r="D10" i="4"/>
  <c r="E327" i="37" l="1"/>
  <c r="F328" i="37"/>
  <c r="E328" i="37" s="1"/>
  <c r="F99" i="47"/>
  <c r="E98" i="47"/>
  <c r="E107" i="48"/>
  <c r="F108" i="48"/>
  <c r="E101" i="30"/>
  <c r="F102" i="30"/>
  <c r="E102" i="30" s="1"/>
  <c r="E106" i="8"/>
  <c r="F107" i="8"/>
  <c r="F113" i="14"/>
  <c r="E113" i="14" s="1"/>
  <c r="E112" i="14"/>
  <c r="F106" i="46"/>
  <c r="E105" i="46"/>
  <c r="F109" i="48" l="1"/>
  <c r="E109" i="48" s="1"/>
  <c r="E108" i="48"/>
  <c r="F108" i="8"/>
  <c r="E107" i="8"/>
  <c r="E99" i="47"/>
  <c r="F100" i="47"/>
  <c r="F107" i="46"/>
  <c r="E106" i="46"/>
  <c r="E100" i="47" l="1"/>
  <c r="F101" i="47"/>
  <c r="F108" i="46"/>
  <c r="E107" i="46"/>
  <c r="F109" i="8"/>
  <c r="E109" i="8" s="1"/>
  <c r="E108" i="8"/>
  <c r="F109" i="46" l="1"/>
  <c r="E108" i="46"/>
  <c r="F102" i="47"/>
  <c r="E102" i="47" s="1"/>
  <c r="E101" i="47"/>
  <c r="F110" i="46" l="1"/>
  <c r="E109" i="46"/>
  <c r="F111" i="46" l="1"/>
  <c r="E111" i="46" s="1"/>
  <c r="E110" i="4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nn</author>
  </authors>
  <commentList>
    <comment ref="E19" authorId="0" shapeId="0" xr:uid="{00000000-0006-0000-0200-000001000000}">
      <text>
        <r>
          <rPr>
            <b/>
            <sz val="9"/>
            <color indexed="81"/>
            <rFont val="Tahoma"/>
            <family val="2"/>
          </rPr>
          <t>nn:</t>
        </r>
        <r>
          <rPr>
            <sz val="9"/>
            <color indexed="81"/>
            <rFont val="Tahoma"/>
            <family val="2"/>
          </rPr>
          <t xml:space="preserve">
CONSULTANTS, ateliers,…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CHARLES</author>
  </authors>
  <commentList>
    <comment ref="B519" authorId="0" shapeId="0" xr:uid="{00000000-0006-0000-0300-000001000000}">
      <text>
        <r>
          <rPr>
            <b/>
            <sz val="9"/>
            <color indexed="81"/>
            <rFont val="Tahoma"/>
            <family val="2"/>
          </rPr>
          <t>CHARLES:</t>
        </r>
        <r>
          <rPr>
            <sz val="9"/>
            <color indexed="81"/>
            <rFont val="Tahoma"/>
            <family val="2"/>
          </rPr>
          <t xml:space="preserve">
Dans les 22 DREN</t>
        </r>
      </text>
    </comment>
    <comment ref="B520" authorId="0" shapeId="0" xr:uid="{00000000-0006-0000-0300-000002000000}">
      <text>
        <r>
          <rPr>
            <b/>
            <sz val="9"/>
            <color indexed="81"/>
            <rFont val="Tahoma"/>
            <family val="2"/>
          </rPr>
          <t>CHARLES:</t>
        </r>
        <r>
          <rPr>
            <sz val="9"/>
            <color indexed="81"/>
            <rFont val="Tahoma"/>
            <family val="2"/>
          </rPr>
          <t xml:space="preserve">
Dans les 22 DREN</t>
        </r>
      </text>
    </comment>
    <comment ref="B521" authorId="0" shapeId="0" xr:uid="{00000000-0006-0000-0300-000003000000}">
      <text>
        <r>
          <rPr>
            <b/>
            <sz val="9"/>
            <color indexed="81"/>
            <rFont val="Tahoma"/>
            <family val="2"/>
          </rPr>
          <t>CHARLES:</t>
        </r>
        <r>
          <rPr>
            <sz val="9"/>
            <color indexed="81"/>
            <rFont val="Tahoma"/>
            <family val="2"/>
          </rPr>
          <t xml:space="preserve">
Dans les 22 DREN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CHARLES</author>
  </authors>
  <commentList>
    <comment ref="B526" authorId="0" shapeId="0" xr:uid="{00000000-0006-0000-0400-000001000000}">
      <text>
        <r>
          <rPr>
            <b/>
            <sz val="9"/>
            <color indexed="81"/>
            <rFont val="Tahoma"/>
            <family val="2"/>
          </rPr>
          <t>CHARLES:</t>
        </r>
        <r>
          <rPr>
            <sz val="9"/>
            <color indexed="81"/>
            <rFont val="Tahoma"/>
            <family val="2"/>
          </rPr>
          <t xml:space="preserve">
Dans les 22 DREN</t>
        </r>
      </text>
    </comment>
    <comment ref="B527" authorId="0" shapeId="0" xr:uid="{00000000-0006-0000-0400-000002000000}">
      <text>
        <r>
          <rPr>
            <b/>
            <sz val="9"/>
            <color indexed="81"/>
            <rFont val="Tahoma"/>
            <family val="2"/>
          </rPr>
          <t>CHARLES:</t>
        </r>
        <r>
          <rPr>
            <sz val="9"/>
            <color indexed="81"/>
            <rFont val="Tahoma"/>
            <family val="2"/>
          </rPr>
          <t xml:space="preserve">
Dans les 22 DREN</t>
        </r>
      </text>
    </comment>
    <comment ref="B528" authorId="0" shapeId="0" xr:uid="{00000000-0006-0000-0400-000003000000}">
      <text>
        <r>
          <rPr>
            <b/>
            <sz val="9"/>
            <color indexed="81"/>
            <rFont val="Tahoma"/>
            <family val="2"/>
          </rPr>
          <t>CHARLES:</t>
        </r>
        <r>
          <rPr>
            <sz val="9"/>
            <color indexed="81"/>
            <rFont val="Tahoma"/>
            <family val="2"/>
          </rPr>
          <t xml:space="preserve">
Dans les 22 DREN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CHARLES</author>
  </authors>
  <commentList>
    <comment ref="B469" authorId="0" shapeId="0" xr:uid="{00000000-0006-0000-0500-000001000000}">
      <text>
        <r>
          <rPr>
            <b/>
            <sz val="9"/>
            <color indexed="81"/>
            <rFont val="Tahoma"/>
            <family val="2"/>
          </rPr>
          <t>CHARLES:</t>
        </r>
        <r>
          <rPr>
            <sz val="9"/>
            <color indexed="81"/>
            <rFont val="Tahoma"/>
            <family val="2"/>
          </rPr>
          <t xml:space="preserve">
Dans les 22 DREN</t>
        </r>
      </text>
    </comment>
    <comment ref="B470" authorId="0" shapeId="0" xr:uid="{00000000-0006-0000-0500-000002000000}">
      <text>
        <r>
          <rPr>
            <b/>
            <sz val="9"/>
            <color indexed="81"/>
            <rFont val="Tahoma"/>
            <family val="2"/>
          </rPr>
          <t>CHARLES:</t>
        </r>
        <r>
          <rPr>
            <sz val="9"/>
            <color indexed="81"/>
            <rFont val="Tahoma"/>
            <family val="2"/>
          </rPr>
          <t xml:space="preserve">
Dans les 22 DREN</t>
        </r>
      </text>
    </comment>
    <comment ref="B471" authorId="0" shapeId="0" xr:uid="{00000000-0006-0000-0500-000003000000}">
      <text>
        <r>
          <rPr>
            <b/>
            <sz val="9"/>
            <color indexed="81"/>
            <rFont val="Tahoma"/>
            <family val="2"/>
          </rPr>
          <t>CHARLES:</t>
        </r>
        <r>
          <rPr>
            <sz val="9"/>
            <color indexed="81"/>
            <rFont val="Tahoma"/>
            <family val="2"/>
          </rPr>
          <t xml:space="preserve">
Dans les 22 DREN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CHARLES</author>
  </authors>
  <commentList>
    <comment ref="B215" authorId="0" shapeId="0" xr:uid="{00000000-0006-0000-0600-000001000000}">
      <text>
        <r>
          <rPr>
            <b/>
            <sz val="9"/>
            <color indexed="81"/>
            <rFont val="Tahoma"/>
            <family val="2"/>
          </rPr>
          <t>CHARLES:</t>
        </r>
        <r>
          <rPr>
            <sz val="9"/>
            <color indexed="81"/>
            <rFont val="Tahoma"/>
            <family val="2"/>
          </rPr>
          <t xml:space="preserve">
Dans les 22 DREN</t>
        </r>
      </text>
    </comment>
    <comment ref="B216" authorId="0" shapeId="0" xr:uid="{00000000-0006-0000-0600-000002000000}">
      <text>
        <r>
          <rPr>
            <b/>
            <sz val="9"/>
            <color indexed="81"/>
            <rFont val="Tahoma"/>
            <family val="2"/>
          </rPr>
          <t>CHARLES:</t>
        </r>
        <r>
          <rPr>
            <sz val="9"/>
            <color indexed="81"/>
            <rFont val="Tahoma"/>
            <family val="2"/>
          </rPr>
          <t xml:space="preserve">
Dans les 22 DREN</t>
        </r>
      </text>
    </comment>
    <comment ref="B502" authorId="0" shapeId="0" xr:uid="{00000000-0006-0000-0600-000003000000}">
      <text>
        <r>
          <rPr>
            <b/>
            <sz val="9"/>
            <color indexed="81"/>
            <rFont val="Tahoma"/>
            <family val="2"/>
          </rPr>
          <t>CHARLES:</t>
        </r>
        <r>
          <rPr>
            <sz val="9"/>
            <color indexed="81"/>
            <rFont val="Tahoma"/>
            <family val="2"/>
          </rPr>
          <t xml:space="preserve">
Dans les 22 DREN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CHARLES</author>
  </authors>
  <commentList>
    <comment ref="B533" authorId="0" shapeId="0" xr:uid="{00000000-0006-0000-0700-000001000000}">
      <text>
        <r>
          <rPr>
            <b/>
            <sz val="9"/>
            <color indexed="81"/>
            <rFont val="Tahoma"/>
            <family val="2"/>
          </rPr>
          <t>CHARLES:</t>
        </r>
        <r>
          <rPr>
            <sz val="9"/>
            <color indexed="81"/>
            <rFont val="Tahoma"/>
            <family val="2"/>
          </rPr>
          <t xml:space="preserve">
Dans les 22 DREN</t>
        </r>
      </text>
    </comment>
    <comment ref="B534" authorId="0" shapeId="0" xr:uid="{00000000-0006-0000-0700-000002000000}">
      <text>
        <r>
          <rPr>
            <b/>
            <sz val="9"/>
            <color indexed="81"/>
            <rFont val="Tahoma"/>
            <family val="2"/>
          </rPr>
          <t>CHARLES:</t>
        </r>
        <r>
          <rPr>
            <sz val="9"/>
            <color indexed="81"/>
            <rFont val="Tahoma"/>
            <family val="2"/>
          </rPr>
          <t xml:space="preserve">
Dans les 22 DREN</t>
        </r>
      </text>
    </comment>
    <comment ref="B535" authorId="0" shapeId="0" xr:uid="{00000000-0006-0000-0700-000003000000}">
      <text>
        <r>
          <rPr>
            <b/>
            <sz val="9"/>
            <color indexed="81"/>
            <rFont val="Tahoma"/>
            <family val="2"/>
          </rPr>
          <t>CHARLES:</t>
        </r>
        <r>
          <rPr>
            <sz val="9"/>
            <color indexed="81"/>
            <rFont val="Tahoma"/>
            <family val="2"/>
          </rPr>
          <t xml:space="preserve">
Dans les 22 DREN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CHARLES</author>
  </authors>
  <commentList>
    <comment ref="B531" authorId="0" shapeId="0" xr:uid="{00000000-0006-0000-0C00-000001000000}">
      <text>
        <r>
          <rPr>
            <b/>
            <sz val="9"/>
            <color indexed="81"/>
            <rFont val="Tahoma"/>
            <family val="2"/>
          </rPr>
          <t>CHARLES:</t>
        </r>
        <r>
          <rPr>
            <sz val="9"/>
            <color indexed="81"/>
            <rFont val="Tahoma"/>
            <family val="2"/>
          </rPr>
          <t xml:space="preserve">
Dans les 22 DREN</t>
        </r>
      </text>
    </comment>
    <comment ref="B532" authorId="0" shapeId="0" xr:uid="{00000000-0006-0000-0C00-000002000000}">
      <text>
        <r>
          <rPr>
            <b/>
            <sz val="9"/>
            <color indexed="81"/>
            <rFont val="Tahoma"/>
            <family val="2"/>
          </rPr>
          <t>CHARLES:</t>
        </r>
        <r>
          <rPr>
            <sz val="9"/>
            <color indexed="81"/>
            <rFont val="Tahoma"/>
            <family val="2"/>
          </rPr>
          <t xml:space="preserve">
Dans les 22 DREN</t>
        </r>
      </text>
    </comment>
    <comment ref="B533" authorId="0" shapeId="0" xr:uid="{00000000-0006-0000-0C00-000003000000}">
      <text>
        <r>
          <rPr>
            <b/>
            <sz val="9"/>
            <color indexed="81"/>
            <rFont val="Tahoma"/>
            <family val="2"/>
          </rPr>
          <t>CHARLES:</t>
        </r>
        <r>
          <rPr>
            <sz val="9"/>
            <color indexed="81"/>
            <rFont val="Tahoma"/>
            <family val="2"/>
          </rPr>
          <t xml:space="preserve">
Dans les 22 DREN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CHARLES</author>
  </authors>
  <commentList>
    <comment ref="B469" authorId="0" shapeId="0" xr:uid="{00000000-0006-0000-0D00-000001000000}">
      <text>
        <r>
          <rPr>
            <b/>
            <sz val="9"/>
            <color indexed="81"/>
            <rFont val="Tahoma"/>
            <family val="2"/>
          </rPr>
          <t>CHARLES:</t>
        </r>
        <r>
          <rPr>
            <sz val="9"/>
            <color indexed="81"/>
            <rFont val="Tahoma"/>
            <family val="2"/>
          </rPr>
          <t xml:space="preserve">
Dans les 22 DREN</t>
        </r>
      </text>
    </comment>
    <comment ref="B470" authorId="0" shapeId="0" xr:uid="{00000000-0006-0000-0D00-000002000000}">
      <text>
        <r>
          <rPr>
            <b/>
            <sz val="9"/>
            <color indexed="81"/>
            <rFont val="Tahoma"/>
            <family val="2"/>
          </rPr>
          <t>CHARLES:</t>
        </r>
        <r>
          <rPr>
            <sz val="9"/>
            <color indexed="81"/>
            <rFont val="Tahoma"/>
            <family val="2"/>
          </rPr>
          <t xml:space="preserve">
Dans les 22 DREN</t>
        </r>
      </text>
    </comment>
    <comment ref="B471" authorId="0" shapeId="0" xr:uid="{00000000-0006-0000-0D00-000003000000}">
      <text>
        <r>
          <rPr>
            <b/>
            <sz val="9"/>
            <color indexed="81"/>
            <rFont val="Tahoma"/>
            <family val="2"/>
          </rPr>
          <t>CHARLES:</t>
        </r>
        <r>
          <rPr>
            <sz val="9"/>
            <color indexed="81"/>
            <rFont val="Tahoma"/>
            <family val="2"/>
          </rPr>
          <t xml:space="preserve">
Dans les 22 DREN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CHARLES</author>
  </authors>
  <commentList>
    <comment ref="B566" authorId="0" shapeId="0" xr:uid="{00000000-0006-0000-0E00-000001000000}">
      <text>
        <r>
          <rPr>
            <b/>
            <sz val="9"/>
            <color indexed="81"/>
            <rFont val="Tahoma"/>
            <family val="2"/>
          </rPr>
          <t>CHARLES:</t>
        </r>
        <r>
          <rPr>
            <sz val="9"/>
            <color indexed="81"/>
            <rFont val="Tahoma"/>
            <family val="2"/>
          </rPr>
          <t xml:space="preserve">
Dans les 22 DREN</t>
        </r>
      </text>
    </comment>
    <comment ref="B567" authorId="0" shapeId="0" xr:uid="{00000000-0006-0000-0E00-000002000000}">
      <text>
        <r>
          <rPr>
            <b/>
            <sz val="9"/>
            <color indexed="81"/>
            <rFont val="Tahoma"/>
            <family val="2"/>
          </rPr>
          <t>CHARLES:</t>
        </r>
        <r>
          <rPr>
            <sz val="9"/>
            <color indexed="81"/>
            <rFont val="Tahoma"/>
            <family val="2"/>
          </rPr>
          <t xml:space="preserve">
Dans les 22 DREN</t>
        </r>
      </text>
    </comment>
    <comment ref="B575" authorId="0" shapeId="0" xr:uid="{00000000-0006-0000-0E00-000003000000}">
      <text>
        <r>
          <rPr>
            <b/>
            <sz val="9"/>
            <color indexed="81"/>
            <rFont val="Tahoma"/>
            <family val="2"/>
          </rPr>
          <t>CHARLES:</t>
        </r>
        <r>
          <rPr>
            <sz val="9"/>
            <color indexed="81"/>
            <rFont val="Tahoma"/>
            <family val="2"/>
          </rPr>
          <t xml:space="preserve">
Dans les 22 DREN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D4" authorId="0" shapeId="0" xr:uid="{00000000-0006-0000-1000-000001000000}">
      <text>
        <r>
          <rPr>
            <b/>
            <sz val="9"/>
            <color indexed="81"/>
            <rFont val="Tahoma"/>
            <family val="2"/>
          </rPr>
          <t>USER:</t>
        </r>
        <r>
          <rPr>
            <sz val="9"/>
            <color indexed="81"/>
            <rFont val="Tahoma"/>
            <family val="2"/>
          </rPr>
          <t xml:space="preserve">
source ppm</t>
        </r>
      </text>
    </comment>
    <comment ref="D5" authorId="0" shapeId="0" xr:uid="{00000000-0006-0000-1000-000002000000}">
      <text>
        <r>
          <rPr>
            <b/>
            <sz val="9"/>
            <color indexed="81"/>
            <rFont val="Tahoma"/>
            <family val="2"/>
          </rPr>
          <t>USER:</t>
        </r>
        <r>
          <rPr>
            <sz val="9"/>
            <color indexed="81"/>
            <rFont val="Tahoma"/>
            <family val="2"/>
          </rPr>
          <t xml:space="preserve">
source ppm</t>
        </r>
      </text>
    </comment>
    <comment ref="D6" authorId="0" shapeId="0" xr:uid="{00000000-0006-0000-1000-000003000000}">
      <text>
        <r>
          <rPr>
            <b/>
            <sz val="9"/>
            <color indexed="81"/>
            <rFont val="Tahoma"/>
            <family val="2"/>
          </rPr>
          <t>USER:</t>
        </r>
        <r>
          <rPr>
            <sz val="9"/>
            <color indexed="81"/>
            <rFont val="Tahoma"/>
            <family val="2"/>
          </rPr>
          <t xml:space="preserve">
source ppm</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CHARLES</author>
  </authors>
  <commentList>
    <comment ref="B108" authorId="0" shapeId="0" xr:uid="{00000000-0006-0000-1500-000001000000}">
      <text>
        <r>
          <rPr>
            <b/>
            <sz val="9"/>
            <color indexed="81"/>
            <rFont val="Tahoma"/>
            <family val="2"/>
          </rPr>
          <t>CHARLES:</t>
        </r>
        <r>
          <rPr>
            <sz val="9"/>
            <color indexed="81"/>
            <rFont val="Tahoma"/>
            <family val="2"/>
          </rPr>
          <t xml:space="preserve">
Dans les 22 DREN</t>
        </r>
      </text>
    </comment>
    <comment ref="B109" authorId="0" shapeId="0" xr:uid="{00000000-0006-0000-1500-000002000000}">
      <text>
        <r>
          <rPr>
            <b/>
            <sz val="9"/>
            <color indexed="81"/>
            <rFont val="Tahoma"/>
            <family val="2"/>
          </rPr>
          <t>CHARLES:</t>
        </r>
        <r>
          <rPr>
            <sz val="9"/>
            <color indexed="81"/>
            <rFont val="Tahoma"/>
            <family val="2"/>
          </rPr>
          <t xml:space="preserve">
Dans les 22 DREN</t>
        </r>
      </text>
    </comment>
    <comment ref="B110" authorId="0" shapeId="0" xr:uid="{00000000-0006-0000-1500-000003000000}">
      <text>
        <r>
          <rPr>
            <b/>
            <sz val="9"/>
            <color indexed="81"/>
            <rFont val="Tahoma"/>
            <family val="2"/>
          </rPr>
          <t>CHARLES:</t>
        </r>
        <r>
          <rPr>
            <sz val="9"/>
            <color indexed="81"/>
            <rFont val="Tahoma"/>
            <family val="2"/>
          </rPr>
          <t xml:space="preserve">
Dans les 22 DREN</t>
        </r>
      </text>
    </comment>
  </commentList>
</comments>
</file>

<file path=xl/sharedStrings.xml><?xml version="1.0" encoding="utf-8"?>
<sst xmlns="http://schemas.openxmlformats.org/spreadsheetml/2006/main" count="35140" uniqueCount="2081">
  <si>
    <t xml:space="preserve">COMPOSANTE 1: FORMATION CONTINUE DE 30 000 ENSEIGNANTS EN COMPETENCES DE BASE (LECTURE ET MATHEMATIQUES) </t>
  </si>
  <si>
    <t>COMPOSANTE 2: AMELIORATION DE LA FREQUENTATION ET DE L'APPRENTISSAGE: PRES SCOLAIRE, CONSTRUCTION ET SANTE SCOLAIRE</t>
  </si>
  <si>
    <t>Impression d'outils de sensibilisation des Parents et Communautés pour augmenter la demande (Préscolaire)</t>
  </si>
  <si>
    <t>Achat de matériels informatiques pour la DSS (Santé scolaire)</t>
  </si>
  <si>
    <t xml:space="preserve">COMPOSANTE 3: RENFORCEMENT DE LA GESTION DES ECOLES </t>
  </si>
  <si>
    <t>Achat de matériels informatiques pour la DCI</t>
  </si>
  <si>
    <t>Recrutement de consultant pour la mise à jour de l'organisation de l'offre éducative conformément à la nouvelle structuration du système éducatif (DPE)</t>
  </si>
  <si>
    <t>COUT D'OPERATION</t>
  </si>
  <si>
    <t>1B-Soutien Institutionnel</t>
  </si>
  <si>
    <t>SOUS TOTAL COMPOSANTE 1</t>
  </si>
  <si>
    <t>2B-Programme de Constructions Scolaires</t>
  </si>
  <si>
    <t>2C-Programme de Sante Scolaire</t>
  </si>
  <si>
    <t>SOUS TOTAL COMPOSANTE 2</t>
  </si>
  <si>
    <t>3A-Professionnalisation de la gestion deconcentree des ecoles avec participation communautaire</t>
  </si>
  <si>
    <t>3B-Renforcement de l'encadrement pedagogique</t>
  </si>
  <si>
    <t>Recrutement de consultant pour la mise en place du nouveau statut de directeur d'école (DEIPEF)</t>
  </si>
  <si>
    <t>Recrutement de consultant pour la formation des directeurs d'écoles en gestion pédagogique et administrative (DEIPEF)</t>
  </si>
  <si>
    <t>Différents ateliers de formation pour la professionnalisation des fonctions du directeur d'école (DEIPEF)</t>
  </si>
  <si>
    <t>COMPOSANTE 4: APPUI AU RENFORCEMENT DES CAPACITES ET AUX REFORMES DU PLAN SECTORIEL</t>
  </si>
  <si>
    <t>SOUS TOTAL COMPOSANTE 3</t>
  </si>
  <si>
    <t>4A: Appui aux Reformes du Plan Sectoriel (DCI)</t>
  </si>
  <si>
    <t>Assistance technique pour l'elaboration de la politique des langues</t>
  </si>
  <si>
    <t>Assistance technique pour la finalisation des choix des matières</t>
  </si>
  <si>
    <t>Coaching en gestion d'équipe</t>
  </si>
  <si>
    <t>1A-Formation continue à travers les plans régionaux</t>
  </si>
  <si>
    <t>4B: Renforcement des Capacités (DPE)</t>
  </si>
  <si>
    <t>4C: Communication sur le PSE et du 3è cycle</t>
  </si>
  <si>
    <t>TOTAL GENERAL 4 COMPOSANTES</t>
  </si>
  <si>
    <t>P160442 - BUDGET PPA PROJET D'APPUI A L'EDUCATION DE BASE</t>
  </si>
  <si>
    <t>DESIGNATION</t>
  </si>
  <si>
    <t>MGA</t>
  </si>
  <si>
    <t>USD</t>
  </si>
  <si>
    <t>RECAPITULATION PAR COMPOSANTE</t>
  </si>
  <si>
    <t>COMPOSANTE 1</t>
  </si>
  <si>
    <t>COMPOSANTE 2</t>
  </si>
  <si>
    <t>COMPOSANTE 3</t>
  </si>
  <si>
    <t>COMPOSANTE 4</t>
  </si>
  <si>
    <t>SERVICE DE CONSULTANT</t>
  </si>
  <si>
    <t>FOURNITURE/BIEN</t>
  </si>
  <si>
    <t>%</t>
  </si>
  <si>
    <t>Montant en USD</t>
  </si>
  <si>
    <t>TOTAL</t>
  </si>
  <si>
    <t>Facilitation du team building de la DCI</t>
  </si>
  <si>
    <t>Achat de fournitures et consommables pour le fonctionnement de l'UFP</t>
  </si>
  <si>
    <t>Recrutement de consultants pour assistance technique au projet (UFP)</t>
  </si>
  <si>
    <t>MOTANT TOTAL 
en USD</t>
  </si>
  <si>
    <t>Gestion du Projet, Renforcement en Gestion Administrative (Fonctionnement UFP )</t>
  </si>
  <si>
    <t>Recrutement de consultant pour appuyer  l'INFP dans l'élaboration d'un plan stratégique nationale de formation des enseignants et des encadreurs de l'Education fondamentale(INFP)</t>
  </si>
  <si>
    <t>Recrutement d'un consultant national pour appuyer l'équipe technique du MEN dans l'élaboration des activités préparatoires du PAEB (PPA) du mois de Mars en Aout 2018-(INFP)</t>
  </si>
  <si>
    <t>Impression et duplication de plan régional de formation (22 régions et 114 CISCO et 25 CRINFP) et outils pour le renforcement de compétence des formateurs INFP</t>
  </si>
  <si>
    <t>Fournitures et fongibles pour différents ateliers -INFP</t>
  </si>
  <si>
    <t>Atelier relatif à l'élaboration des plans régionaux de formation et formations des formateurs</t>
  </si>
  <si>
    <t>Recrutement de consultant pour la conception de plan de communication, testing de message (préscolaire)</t>
  </si>
  <si>
    <t>Recrutement de consultant pour l'élaboration d'outils de communication (préscolaire)</t>
  </si>
  <si>
    <t>Recrutement de consultant pour la finalisation des curricula des educateurs (préscolaire)</t>
  </si>
  <si>
    <t>Fourniture et livraison de kits didactiques pour les éducateurs des CAP/EEC  (programme, différents guides) (Préscolaire)</t>
  </si>
  <si>
    <t>Fournitures pour les éducateurs CAP dans les bassins de formation (Préscolaire)</t>
  </si>
  <si>
    <t>Fourniture pour remise à niveau FDF avec acheminement vers zone d'intervention (¨Prescolaire)</t>
  </si>
  <si>
    <t>Fourniture pour les éducateurs communautaires avec acheminement vers zone d'intervention (Préscolaire)</t>
  </si>
  <si>
    <t>Formation des éducateurs dans les bassins de formation</t>
  </si>
  <si>
    <t xml:space="preserve">Atelier de conception du plan de communication </t>
  </si>
  <si>
    <t xml:space="preserve">Campagnes de sensibilisation au niveau au niveau national, régional et local </t>
  </si>
  <si>
    <t xml:space="preserve">Descente sur terrain pour la mise en place et recueil des donnés (organisation communautaire,  choix éducateurs, contractualisation, …) </t>
  </si>
  <si>
    <t>Mission de descente DEPA pour l'identification d'EEC</t>
  </si>
  <si>
    <t xml:space="preserve">Atelier du comité local de gestion </t>
  </si>
  <si>
    <t>Appui au démarrage pour sécuriser l'environnement</t>
  </si>
  <si>
    <t>Subvention des Educateurs EEC</t>
  </si>
  <si>
    <t xml:space="preserve">Atelier de finalisation du curriculum des éducateurs communautaires </t>
  </si>
  <si>
    <t>Organisation d'une séance de formation initiale</t>
  </si>
  <si>
    <t xml:space="preserve">Suivi des éducateurs sur l'application des standards de qualité   </t>
  </si>
  <si>
    <t xml:space="preserve">Organisation d'un atelier de planification et gestion du projet avec les DREN et CISCO </t>
  </si>
  <si>
    <t>Organisation d'un atelier d'orientation pour les nouveaux ATPE</t>
  </si>
  <si>
    <t>Coordination/pilotage du projet au niveau centrale (DEPA)</t>
  </si>
  <si>
    <t>Coordination/pilotage du projet au niveau régional (DREN)</t>
  </si>
  <si>
    <t>Coordination/pilotage du projet au niveau CISCO</t>
  </si>
  <si>
    <t>SOUS TOTAL SOUS COMPOSANTE 2A</t>
  </si>
  <si>
    <t>SOUS TOTAL SOUS COMPOSANTE 2B</t>
  </si>
  <si>
    <t>SOUS TOTAL SOUS COMPOSANTE 2C</t>
  </si>
  <si>
    <t xml:space="preserve">Recrutement  d'un Responsable de Renforcement de Capacité des Communautés (RRCC) au sein de la DPFI-(Construction scolaire)  </t>
  </si>
  <si>
    <t xml:space="preserve">Recrutement  d'un Responsable Suivi Evaluation (RSE) de la composante "construction" au sein de la DPFI-(Construction scolaire)  </t>
  </si>
  <si>
    <t xml:space="preserve">Recrutement d’un expert international pour l'amélioration du système de renforcement de capacité des FEFFI selon la méthode de Formation en  Gestion à la Base (FGB)-(Construction scolaire)   </t>
  </si>
  <si>
    <t xml:space="preserve">Recrutement de consultant national (graphiste-illustrateur) pour la confection et la mise à jour des guides illustrés à destination des CISCO et FEFFI -(Construction scolaire)  </t>
  </si>
  <si>
    <t xml:space="preserve">Recrutement de consultant national (traducteur) pour la traduction en Malagasy des outils de Formation en Gestion à la Base (FGB)-(Construction scolaire)  </t>
  </si>
  <si>
    <t xml:space="preserve">Recrutement d'une firme pour l'étude d'Avant Projet Détaillé du bâtiment à 2 salles de classe, latrines et équipements scolaires  y compris certification technique  des plans des salles de classe-(Construction scolaire) </t>
  </si>
  <si>
    <t xml:space="preserve">Recrutement d'un consultant international pour le programme Score card pour le feed-back des Communautés-(Construction scolaire)  </t>
  </si>
  <si>
    <t>Acquisition de logiciel de gestion comptable  configuration (Construction Scolaire)</t>
  </si>
  <si>
    <t>Acquisition d'ordinateurs portables (Construction Scolaire)</t>
  </si>
  <si>
    <t>Fournitures de bureau (Construction Scolaire)</t>
  </si>
  <si>
    <t>Edition des outils pour la conduite des sessions d'évaluation des demandes (guide, dépliants,…) (Construction Scolaire)</t>
  </si>
  <si>
    <t>SMI pour le recrutement de Consultant Expert en FGB</t>
  </si>
  <si>
    <t xml:space="preserve">SMI pour le recrutement d'un Graphiste-illustrateur </t>
  </si>
  <si>
    <t>SMI pour le recrutement  d'un traducteur</t>
  </si>
  <si>
    <t>Atelier résidentiel pour la mise à jour des guides et manuels FGB</t>
  </si>
  <si>
    <t>SMI pour l'édition des guides FGB</t>
  </si>
  <si>
    <t>SMI pour le recrutement d'une firme pour la mise à jour des plan type</t>
  </si>
  <si>
    <t>SMI pour le recrutement d'Agence d'Accompagnement</t>
  </si>
  <si>
    <t>Atelier national pour information et validation outil</t>
  </si>
  <si>
    <t>Ateliers pour la formation des CISCO sur l'utilisation des outils de planification</t>
  </si>
  <si>
    <t>SMI pour le recrutement d'un consultant pour la les aspects environnementaux de la planification</t>
  </si>
  <si>
    <t>Formation des acteurs sur les aspects environnementaux et sociaux</t>
  </si>
  <si>
    <t>Mission de supervision/observations durant les séances d'évaluation des demandes</t>
  </si>
  <si>
    <t xml:space="preserve">Diffusion message radio de 2-3mn </t>
  </si>
  <si>
    <t>Mission de vérification de la disponibilité de terrain et des critères environnementaux</t>
  </si>
  <si>
    <t xml:space="preserve"> SMI pour le recrutement Responsable Renforcement Capacité des Communautés</t>
  </si>
  <si>
    <t xml:space="preserve"> SMI pour le recrutement Responsable Suivi evaluation</t>
  </si>
  <si>
    <t>SMI pour le recrutement de Consultant spécialiste en "score card"</t>
  </si>
  <si>
    <t>2A-Appuyer le Plan d'Amelioration de l'Acces et de la Qualite du Prescolaire</t>
  </si>
  <si>
    <t>Achat de FER et FAF (Santé scolaire)</t>
  </si>
  <si>
    <t>Impression outils de sensibilisation (Santé scolaire)</t>
  </si>
  <si>
    <t>Location de voitures pour la sensibilisation (Santé scolaire)</t>
  </si>
  <si>
    <t>Fournitures et consommables (Santé scolaire)</t>
  </si>
  <si>
    <t>Recrutement de consultant relatif à l'étude pour une répartition équitable de caisse école unique (DEF)</t>
  </si>
  <si>
    <t>Fournitures et matériels de bureau pour les ateliers d'etude pour la repartition équitable de caisse école (DEF)</t>
  </si>
  <si>
    <t>conception des questionnaires d'enquete</t>
  </si>
  <si>
    <t>Enquète au niveau de  quelques  écoles  représentatives de Mcar (Urbaine, rurales accessibles et enclavées) de 3 CISCO au environ de Toamasina, Manjakandriana et Majunga</t>
  </si>
  <si>
    <t xml:space="preserve">Analyse des enquètes </t>
  </si>
  <si>
    <t>Atelier d' élaboration des textes et du manuel de procédures de la  caisse école unique</t>
  </si>
  <si>
    <t>Validation Scientifique des textes</t>
  </si>
  <si>
    <t>SOUS TOTAL SOUS COMPOSANTE 3A</t>
  </si>
  <si>
    <t>Fournitures et consommables pour les différents ateliers de formation pour la professionnalisation des fonctions du directeur d'école (DEIPEF)</t>
  </si>
  <si>
    <t>Impression et duplication des outils pour les différents ateliers ainsi que dispaching des supports pour la professionnalisation des fonctions du directeur d'école (DEIPEF)</t>
  </si>
  <si>
    <t>SOUS TOTAL SOUS COMPOSANTE 3B</t>
  </si>
  <si>
    <t>Recrutement d'un consultant  national pour conception d'outil de suivi en creeant un logiciel performant-(DPE)</t>
  </si>
  <si>
    <t>Recrutement d’un consultant national pour la mise en place du SIG-(DPE)</t>
  </si>
  <si>
    <t>Fournitures et fongibles des différents ateliers (DPE)</t>
  </si>
  <si>
    <t>Achat de voiture tout terrain (DPE)</t>
  </si>
  <si>
    <t>SOUS TOTAL SOUS COMPOSANTE 4A</t>
  </si>
  <si>
    <t>Recrutement d’une agence de communication ou d’une maison de production pour la production de la chanson emblématique PSE (audio et clip)-DTIC</t>
  </si>
  <si>
    <t>Location de 22 voitures pour les 22 régions pour la réalisation des Road-Show et Road-Tour PSE pour une durée de 10 jours (DTIC)</t>
  </si>
  <si>
    <t>Location de 22 sonorisation pour les 22 régions pour la réalisation des Road-Show et Road-Tour PSE pour une durée de 10 jours (DTIC)</t>
  </si>
  <si>
    <t>Fournitures pour les 22 régions pour la réalisation des Road-Show et Road-Tour PSE (DTIC)</t>
  </si>
  <si>
    <t>Prestation de services pour la retraite des Responsables Communication Régionaux et des Ambassadeurs PSE à Antsirabe (DTIC)</t>
  </si>
  <si>
    <t>SOUS TOTAL SOUS COMPOSANTE 4C</t>
  </si>
  <si>
    <t>COOCM</t>
  </si>
  <si>
    <t>Recrutement  consultant international pour l'élaboration d'un plan de déploiement et redéploiement des enseignants-(DRH)</t>
  </si>
  <si>
    <t>Recrutement consulant pour le développement et finalisation des référentiels métiers et compétences d'enseignants et d'encadreurs pédagogiques-(DRH)</t>
  </si>
  <si>
    <t>Duplication de plan de déploiement/ redéploiement-(DRH)</t>
  </si>
  <si>
    <t>Fournitures et fongibles pour les 3 ateliers -(DRH)</t>
  </si>
  <si>
    <t>Restauration pour les 2 ateliers -(DRH)</t>
  </si>
  <si>
    <t>Location de salle pour les 8 ateliers -(DRH)</t>
  </si>
  <si>
    <t>Analyse des postes au sein du MEN et développement des référentiels métiers et compétences d'enseignants et d'encadreurs pédagogiques</t>
  </si>
  <si>
    <t>Elaboration d'un plan de deploiement/redeploiment avec conception d'un manuel  technique de gestion des recrutements et des affectations des enseignants</t>
  </si>
  <si>
    <t>SOUS TOTAL SOUS COMPOSANTE 4B</t>
  </si>
  <si>
    <t>RUBRIQUES</t>
  </si>
  <si>
    <t>MONTANT
(USD)</t>
  </si>
  <si>
    <t xml:space="preserve">Composante 1 </t>
  </si>
  <si>
    <t>Developpement outils de communication, definition kits de démarrage, appui à la formation des éducateurs</t>
  </si>
  <si>
    <t>Appui initial INFP, preparation plans régionaux de formation des enseignants, préparation nouveaux programmes sur les premiers apprentissages</t>
  </si>
  <si>
    <t>Composante 3</t>
  </si>
  <si>
    <t>Composante 4</t>
  </si>
  <si>
    <t xml:space="preserve">Préparation plan caisse école </t>
  </si>
  <si>
    <t xml:space="preserve">Preparation legislation et professionalisation des directeurs d'écoles </t>
  </si>
  <si>
    <t>Appui réforme et renforcement institutionnel</t>
  </si>
  <si>
    <t>Réforme et curriculum</t>
  </si>
  <si>
    <t>Planification, Suivi et évaluation</t>
  </si>
  <si>
    <t>Communication</t>
  </si>
  <si>
    <t>Exécution du Projet</t>
  </si>
  <si>
    <t>Appui activités préparation du projet</t>
  </si>
  <si>
    <t>Préparation part variable Ressources Humaines</t>
  </si>
  <si>
    <t xml:space="preserve">Composante 2 </t>
  </si>
  <si>
    <t>2A</t>
  </si>
  <si>
    <t>2B</t>
  </si>
  <si>
    <t>2C</t>
  </si>
  <si>
    <t>3A</t>
  </si>
  <si>
    <t>3B</t>
  </si>
  <si>
    <t>4A</t>
  </si>
  <si>
    <t>4B</t>
  </si>
  <si>
    <t>4C</t>
  </si>
  <si>
    <t>PPA PAEB</t>
  </si>
  <si>
    <t>UFP</t>
  </si>
  <si>
    <t>INFP</t>
  </si>
  <si>
    <t>DEPA</t>
  </si>
  <si>
    <t>Direction</t>
  </si>
  <si>
    <t>C/SC</t>
  </si>
  <si>
    <t>DPFI</t>
  </si>
  <si>
    <t>DSS/DRH</t>
  </si>
  <si>
    <t>DEF</t>
  </si>
  <si>
    <t>DEIPEF</t>
  </si>
  <si>
    <t>DCI</t>
  </si>
  <si>
    <t>DPE</t>
  </si>
  <si>
    <t>DTIC</t>
  </si>
  <si>
    <t>DRH</t>
  </si>
  <si>
    <t>Construction scolaire:
Planification micro-macro, mise à jour outils et édition, formation des partenaires, mise à jour des plans types</t>
  </si>
  <si>
    <t>Santé scolaire:
Preparation plan de distribution, developpement collaboration avec les autres entités concernées</t>
  </si>
  <si>
    <t>Préparation de l'équipe de la DCI pour la mise en place du reforme</t>
  </si>
  <si>
    <t>Prémaquettes des programmes d'études de l'éducation fondamentale de 9 ans</t>
  </si>
  <si>
    <t>Cabinet de recrutement de personnel (UFP)</t>
  </si>
  <si>
    <t>Elaboration des plans régionaux de formation</t>
  </si>
  <si>
    <t>Fournitures et prestation de services pour divers ateliers (DPE)</t>
  </si>
  <si>
    <t>Achat logiciel de base de données géographiques (DPE)</t>
  </si>
  <si>
    <t>Coût d'opération relatif à la planification, suivi et évaluation</t>
  </si>
  <si>
    <t>SOUS TOTAL PART VARIABLE RH</t>
  </si>
  <si>
    <t>PREPARATION PART VARIABLE RH</t>
  </si>
  <si>
    <t>Coût relatif à la réunion de coordination au niveau régional</t>
  </si>
  <si>
    <t>Coût relatif à la réunion de coordination au niveau central</t>
  </si>
  <si>
    <t>SOUS TOTAL ACTIVITES PREPARATION DU PROJET</t>
  </si>
  <si>
    <t xml:space="preserve">SOUS TOTAL COMPOSANTE 4 </t>
  </si>
  <si>
    <t>SOUS TOTAL EXECUTION DU PROJET</t>
  </si>
  <si>
    <t>EXECUTION DU PROJET</t>
  </si>
  <si>
    <t xml:space="preserve">Appui activités préparation du projet </t>
  </si>
  <si>
    <t>MONTANT A JOUR 
21 02 18 (USD)</t>
  </si>
  <si>
    <t>Mobilisation communautaire et 
Road-tour PSE Chefs d'établissement et enseignants et road-show PSE pour le grand public (114 CISCO)</t>
  </si>
  <si>
    <t>Plan de Travail Budgétisé - PPA (2018)</t>
  </si>
  <si>
    <t>Code</t>
  </si>
  <si>
    <t xml:space="preserve">Activités/Sous-activités </t>
  </si>
  <si>
    <t>Résultats attendus</t>
  </si>
  <si>
    <t>Méthode de PM</t>
  </si>
  <si>
    <t xml:space="preserve">Durée (jours)  </t>
  </si>
  <si>
    <t>Période</t>
  </si>
  <si>
    <t>Régions bénéficiaires/d'intervention</t>
  </si>
  <si>
    <t>Responsables</t>
  </si>
  <si>
    <t>Nature activité/dépense</t>
  </si>
  <si>
    <t>PCOP</t>
  </si>
  <si>
    <t xml:space="preserve">Catégorie de dépense </t>
  </si>
  <si>
    <t>Source de financement (PME/IDA)</t>
  </si>
  <si>
    <t>Coût unitaire</t>
  </si>
  <si>
    <t>Nombre</t>
  </si>
  <si>
    <t xml:space="preserve">Coût total </t>
  </si>
  <si>
    <t>Budget PPA 
21 02 18 (USD)Budget PPA 
21 02 18 (USD)Budget PPA 
21 02 18 (USD)Budget PPA 
21 02 18 (USD)Budget PPA 
21 02 18 (USD)Budget PPA 
21 02 18 (USD)Budget PPA 
21 02 18 (USD)Budget PPA 
21 02 18 (USD)Budget PPA 
21 02 18 (USD)</t>
  </si>
  <si>
    <t>Plan De Décaissement mensuel</t>
  </si>
  <si>
    <t>Début</t>
  </si>
  <si>
    <t xml:space="preserve">Fin </t>
  </si>
  <si>
    <t xml:space="preserve"> Direction Sous-composante/ UFP</t>
  </si>
  <si>
    <t>Autres intervenants
(Direction/DREN/CISCO)Autres intervenants
(Direction/DREN/CISCO)Autres intervenants
(Direction/DREN/CISCO)Autres intervenants
(Direction/DREN/CISCO)Autres intervenants
(Direction/DREN/CISCO)Autres intervenants
(Direction/DREN/CISCO)Autres intervenants
(Direction/DREN/CISCO)Autres intervenants
(Direction/DREN/CISCO)Autres intervenants
(Direction/DREN/CISCO)</t>
  </si>
  <si>
    <t>Mars</t>
  </si>
  <si>
    <t>Avril</t>
  </si>
  <si>
    <t>Mai</t>
  </si>
  <si>
    <t>Juin</t>
  </si>
  <si>
    <t>Juillet</t>
  </si>
  <si>
    <t>Août</t>
  </si>
  <si>
    <t>Septembre</t>
  </si>
  <si>
    <t xml:space="preserve">Composante 1: Formation des enseignants axée sur les premiers apprentissages en lecture et mathématiques </t>
  </si>
  <si>
    <t>Sous-composante 11: Formation de plus de 30 000 enseignants dans le cadre de plans régionaux semestriels</t>
  </si>
  <si>
    <t>…</t>
  </si>
  <si>
    <t>Sous-composante 12: Renforcement Institutionnel INFP</t>
  </si>
  <si>
    <t xml:space="preserve">Composante 2: Amélioration de la fréquentation et de la préparation à l’apprentissage à travers la construction d’établissements, préscolaires et la santé </t>
  </si>
  <si>
    <t xml:space="preserve">Sous-composante 21: Appui à l’accès au préscolaire et le plan d’amélioration de la qualité </t>
  </si>
  <si>
    <t>Sous-composante 22: Construction d’école par les communautés pour accroître la fréquentation scolaire</t>
  </si>
  <si>
    <t>Formation en Gestion à la Base (FGB)</t>
  </si>
  <si>
    <t>Mise à jour des outils Passation de Marché</t>
  </si>
  <si>
    <t>Sous-composante 23: Santé scolaire pour accroître la fréquentation scolaire</t>
  </si>
  <si>
    <t>Composante 3: Amélioration de la gestion scolaire pour augmenter la promotion de l’élève</t>
  </si>
  <si>
    <t xml:space="preserve">Sous-composante 31: Création et financement d'un programme unique de subventions aux écoles harmonisé, vérifié et équitable </t>
  </si>
  <si>
    <t>Instauration d’un système d’allocation de caisse école unique, national et équitable (PPA)</t>
  </si>
  <si>
    <t>Redéfinition de la clé de répartition de la caisse école</t>
  </si>
  <si>
    <t>AMI lancé et Consultant international recruté 
Rapport intermédiaires et final (dont Clé de répartition de la caisse école simple et accessible définie)</t>
  </si>
  <si>
    <t>SCI</t>
  </si>
  <si>
    <t xml:space="preserve">MEN CENTRAL </t>
  </si>
  <si>
    <t xml:space="preserve">Consultance internationale </t>
  </si>
  <si>
    <t>Conception des questionnaires d’enquête  avec le Consultant</t>
  </si>
  <si>
    <t xml:space="preserve">Atelier de conception réalisé (y compris fongibles acquis)
 Questionnaires disponibles </t>
  </si>
  <si>
    <t>atelier</t>
  </si>
  <si>
    <t>indemnité</t>
  </si>
  <si>
    <t>hebergement</t>
  </si>
  <si>
    <t xml:space="preserve">frais de déplacement </t>
  </si>
  <si>
    <t>carburant</t>
  </si>
  <si>
    <t>fourniture de l'atelier</t>
  </si>
  <si>
    <t>location salle</t>
  </si>
  <si>
    <t>video projecteur</t>
  </si>
  <si>
    <t>appareil photo professionnel</t>
  </si>
  <si>
    <t>Enquête auprès des bénéficiaires</t>
  </si>
  <si>
    <t>Questionnaires édités 
Enquêtes réalisées et questionnaires remplies</t>
  </si>
  <si>
    <t>Mission</t>
  </si>
  <si>
    <t>frais de déplacement (1)</t>
  </si>
  <si>
    <t>frais de déplacement (2)</t>
  </si>
  <si>
    <t>frais de déplacement (3)</t>
  </si>
  <si>
    <t>Analyse des données et des informations recueillies</t>
  </si>
  <si>
    <t>Atelier d'exploitation des résultats d'enquêtes réalisé (y compris fongibles acquis)
Résultat de l’analyse disponible</t>
  </si>
  <si>
    <t>Atelier</t>
  </si>
  <si>
    <t>Révision des textes et du manuel de procédures relatifs à la caisse école unique et équitable</t>
  </si>
  <si>
    <t>Ateliers de rédaction des textes et manuels de procédures (y compris fongibles acquis)</t>
  </si>
  <si>
    <t>Validation scientifique des textes</t>
  </si>
  <si>
    <t>Réunion de validation des textes réalisé (y compris fongibles acquis)
Textes validés et disponibles</t>
  </si>
  <si>
    <t>pause café</t>
  </si>
  <si>
    <t xml:space="preserve">Sous-composante 32: Professionnalisation des capacités des directeurs d’école </t>
  </si>
  <si>
    <t xml:space="preserve">Composante 4: Soutiens aux réformes sectorielles, la construction de systèmes et la mise en œuvre du projet </t>
  </si>
  <si>
    <t>Sous-composante 41: Appui aux réformes du Plan sectoriel de l’éducation</t>
  </si>
  <si>
    <t xml:space="preserve">Sous-composante 42: Renforcement du suivi, de l’évaluation et de la planification de l’éducation </t>
  </si>
  <si>
    <t xml:space="preserve">Sous-composante 43: Campagne de communication pour l’introduction du PSE </t>
  </si>
  <si>
    <t xml:space="preserve">Composante 5: Composante intervention d’urgence </t>
  </si>
  <si>
    <t xml:space="preserve">Sous-composante 51: </t>
  </si>
  <si>
    <t>PART VARIABLE</t>
  </si>
  <si>
    <t>Sous-composante 61: Améliorer le suivi de l’apprentissage des élèves de l’école primaire par des évaluations standardisées du rendement des élèves en malgache, en mathématiques et en français</t>
  </si>
  <si>
    <t>Sous-composante 62: Améliorer le taux de promotion dans les deux premiers sous-cycles de l’éducation de base (écoles publiques) permettant à un plus grand nombre d’élèves d’achever le cycle primaire</t>
  </si>
  <si>
    <t>Sous-composante 63: Assurer une meilleure répartition des enseignants formés dans les zones rurales</t>
  </si>
  <si>
    <t xml:space="preserve">TOTAL </t>
  </si>
  <si>
    <t>Coût total</t>
  </si>
  <si>
    <t>Budget PPA 
21 02 18 (USD)</t>
  </si>
  <si>
    <t>Autres intervenants
(Direction/DREN/CISCO)</t>
  </si>
  <si>
    <t>Octobre</t>
  </si>
  <si>
    <t>Novembre</t>
  </si>
  <si>
    <t>Décembre</t>
  </si>
  <si>
    <t>VERIF TOTAL</t>
  </si>
  <si>
    <t xml:space="preserve">90 Educateurs des CAP formés </t>
  </si>
  <si>
    <t>ATSINANANA- ANALAMANGA-VAKINANKARATRA</t>
  </si>
  <si>
    <t>DREN/CISCO</t>
  </si>
  <si>
    <t>Perdiem local</t>
  </si>
  <si>
    <t>Perdiem  Fomateur Central</t>
  </si>
  <si>
    <t>Perdiem Formateur regional</t>
  </si>
  <si>
    <t xml:space="preserve">Dpl  formateur Aller retour </t>
  </si>
  <si>
    <t xml:space="preserve">Transport participants </t>
  </si>
  <si>
    <t>Location Salle</t>
  </si>
  <si>
    <t>Fournitures</t>
  </si>
  <si>
    <t>Dotation de kit didactique pour les  CAP (programme, différents guides)</t>
  </si>
  <si>
    <t>45 Kits didactiques distribués aux éducateurs des CAP</t>
  </si>
  <si>
    <t>Kit d'apprentissage EEC et CAP</t>
  </si>
  <si>
    <t xml:space="preserve">Sensibiliser les parents et les communautés cibles </t>
  </si>
  <si>
    <t>1 atelier organisé</t>
  </si>
  <si>
    <t>Fournitures et services: Eau minérale</t>
  </si>
  <si>
    <t>Fournitures et services: pauses café</t>
  </si>
  <si>
    <t>Perdiem</t>
  </si>
  <si>
    <t>Transport</t>
  </si>
  <si>
    <t>Fournitures et services: Document</t>
  </si>
  <si>
    <t>Conception de plan de communucation et testing</t>
  </si>
  <si>
    <t xml:space="preserve">  - contrat signé  - outils disponible - rapport disponible</t>
  </si>
  <si>
    <t>Assistance technique: consultant</t>
  </si>
  <si>
    <t xml:space="preserve">Production  des outils communicationnels </t>
  </si>
  <si>
    <t>Assistance technique: sonsultant</t>
  </si>
  <si>
    <t xml:space="preserve">Multiplication des outils communicationnels et frais de communications </t>
  </si>
  <si>
    <t xml:space="preserve">Types et Nb d' outils communicationnels multipliés </t>
  </si>
  <si>
    <t>Fournitures et services</t>
  </si>
  <si>
    <t xml:space="preserve">60 campagnes menées </t>
  </si>
  <si>
    <t>Etudes et recherches: campagnes des sensibilisations</t>
  </si>
  <si>
    <t>Mise en place et appui aux EEC</t>
  </si>
  <si>
    <t xml:space="preserve">Baseline disponible 
Elaboration de plan d'action communautaire  Contractualisation auprès de la communauté </t>
  </si>
  <si>
    <t>Perdiem chauffeur</t>
  </si>
  <si>
    <t>Carburant vers EEC</t>
  </si>
  <si>
    <t>EEC identifiés dans les Régions Atsinanana, Vakinakaratra, Analamanga</t>
  </si>
  <si>
    <t>Perdiem 3 missionnaires</t>
  </si>
  <si>
    <t>Deplacement avion ou voiture</t>
  </si>
  <si>
    <t>Atelier de 2j à raison de 3 membres du CLG par EEC</t>
  </si>
  <si>
    <t>Perdiem  Formateur regional</t>
  </si>
  <si>
    <t xml:space="preserve">Dpl Perdiem  formateur Aller retour </t>
  </si>
  <si>
    <t>Dotation de kit d'apprentissage au démarrage pour les éducateurs des EEC</t>
  </si>
  <si>
    <t xml:space="preserve">60 EEC dotés de kit d'apprentissage  au demarrage   </t>
  </si>
  <si>
    <t xml:space="preserve">Materiels techniques: kit d'apprentissage  au demarrage   </t>
  </si>
  <si>
    <t xml:space="preserve">60 EEC reçoivent une subvention de démarrage  </t>
  </si>
  <si>
    <t xml:space="preserve">subvention de démarrage  </t>
  </si>
  <si>
    <t xml:space="preserve">120 Educateurs subventionnés </t>
  </si>
  <si>
    <t>Subvention des Educateurs</t>
  </si>
  <si>
    <t xml:space="preserve"> Formation des éducateurs communautaires(deux mois)</t>
  </si>
  <si>
    <t xml:space="preserve">Finalisation du curriculum des éducateurs communautaires </t>
  </si>
  <si>
    <t>Atelier FDF organisé pour les 30 formateurs du prescolaire</t>
  </si>
  <si>
    <t>Pauses</t>
  </si>
  <si>
    <t>Eau minérale</t>
  </si>
  <si>
    <t>perdiem Fomateur Central</t>
  </si>
  <si>
    <t xml:space="preserve">Transport avion  </t>
  </si>
  <si>
    <t>organisation d'une séance de formation initiale</t>
  </si>
  <si>
    <t xml:space="preserve">120 Educateurs communautaires formés </t>
  </si>
  <si>
    <t>Perdiem Fomateur Central</t>
  </si>
  <si>
    <t xml:space="preserve">Dpl formateur Aller retour </t>
  </si>
  <si>
    <t>60 suivis EEC effectués</t>
  </si>
  <si>
    <t>Déplacement district ou ZAP vers EEC</t>
  </si>
  <si>
    <t>Renforcement des capacités des responsables du projet et du suivi et évaluation</t>
  </si>
  <si>
    <t xml:space="preserve">Perdiem central </t>
  </si>
  <si>
    <t>Transport participants centraux</t>
  </si>
  <si>
    <t>Transport local</t>
  </si>
  <si>
    <t xml:space="preserve">Perdiem </t>
  </si>
  <si>
    <t xml:space="preserve">Transport route </t>
  </si>
  <si>
    <t>0,2 projet piloté plilotés</t>
  </si>
  <si>
    <t>telephone</t>
  </si>
  <si>
    <t>3  régions plilotés</t>
  </si>
  <si>
    <t>3 CISCO pilotés</t>
  </si>
  <si>
    <t>Recrutement consultant international en FGB</t>
  </si>
  <si>
    <t>Contrat de consultant signé</t>
  </si>
  <si>
    <t>Consultance</t>
  </si>
  <si>
    <t>IDA</t>
  </si>
  <si>
    <t>Rapports disponibles</t>
  </si>
  <si>
    <t>MEN central</t>
  </si>
  <si>
    <t>Mobilisation administrative</t>
  </si>
  <si>
    <t>Retraite RCR et APSE à Antsirabe</t>
  </si>
  <si>
    <t xml:space="preserve">• 22 APSE, 22 RCR formés
•  plan de communication et  planning sur la tenue du road tour et du road show disponibles
</t>
  </si>
  <si>
    <t>22 DREN</t>
  </si>
  <si>
    <t>DCI, DGESFM</t>
  </si>
  <si>
    <t>fourniture</t>
  </si>
  <si>
    <t>indemnité et transport</t>
  </si>
  <si>
    <t>Mobilisation communautaire</t>
  </si>
  <si>
    <t>Production d'une chanson PSE à diffuser lors des road-show</t>
  </si>
  <si>
    <r>
      <t>- Agence de production recrutée
-</t>
    </r>
    <r>
      <rPr>
        <sz val="7"/>
        <color theme="1"/>
        <rFont val="Times New Roman"/>
        <family val="1"/>
      </rPr>
      <t xml:space="preserve">         </t>
    </r>
    <r>
      <rPr>
        <sz val="12"/>
        <color theme="1"/>
        <rFont val="Times New Roman"/>
        <family val="1"/>
      </rPr>
      <t>Chanson et Clip PSE  disponibles</t>
    </r>
  </si>
  <si>
    <t>Matraquage Chanson PSE</t>
  </si>
  <si>
    <r>
      <t>-</t>
    </r>
    <r>
      <rPr>
        <sz val="7"/>
        <color theme="1"/>
        <rFont val="Times New Roman"/>
        <family val="1"/>
      </rPr>
      <t xml:space="preserve">         </t>
    </r>
    <r>
      <rPr>
        <sz val="12"/>
        <color theme="1"/>
        <rFont val="Times New Roman"/>
        <family val="1"/>
      </rPr>
      <t>Chanson PSE et Clip PSE diffusés sur 60 radios et TV dans tout Madagascar</t>
    </r>
  </si>
  <si>
    <t xml:space="preserve"> Atelier de Renforcement de capacité des encadreurs PSE </t>
  </si>
  <si>
    <t xml:space="preserve">132 encadreurs formés (à raison de 6 par province ) </t>
  </si>
  <si>
    <t>Indemnité et transport</t>
  </si>
  <si>
    <t>Fourniture</t>
  </si>
  <si>
    <t>Road-tour PSE Chefs d'établissement et enseignants et road-show PSE pour le grand public (114 CISCO)</t>
  </si>
  <si>
    <t>- 352 écoles et 352 communes visitées
- 66 ateliers de sensibilisations réalisées
- 450 membres des FEFFI par régions  formés</t>
  </si>
  <si>
    <t>MEETFP, MESUPRES, APSE etRCR des 22 DREN</t>
  </si>
  <si>
    <t>Location de voiture pour les 22 régions</t>
  </si>
  <si>
    <t>Contrat de location de 22 voitures 4x4</t>
  </si>
  <si>
    <t>MEN CENTRAL</t>
  </si>
  <si>
    <t>transport</t>
  </si>
  <si>
    <t>Carburant pour les 10 j de roadshow et roadtour</t>
  </si>
  <si>
    <t>Factures de carburant des 22 voitures louées</t>
  </si>
  <si>
    <t>Indemnité des agents de la communication, RCR et des APSE</t>
  </si>
  <si>
    <t>88 Missionnaires payés</t>
  </si>
  <si>
    <t>MEN CENTRAL, 22 DREN</t>
  </si>
  <si>
    <t>Indemnité</t>
  </si>
  <si>
    <t>Location sonorisation</t>
  </si>
  <si>
    <t>Contrat de location de 22 matériels de sonorisation</t>
  </si>
  <si>
    <t>Acquisition, Impression, duplication des outils de communication</t>
  </si>
  <si>
    <t>22 packs de communications pour les DREN disponibles. Composition d'un pack :  Banderoles, ROLL UP, PhotoBooth, Flash Disk de 8 Go, Rouleau de Papier KRAFT, Rames de Papier A4, Chemises Cartonnées, Paquets de 8 marqueurs de 3 couleurs, stickers</t>
  </si>
  <si>
    <t>Sensibilisation des FEFFI</t>
  </si>
  <si>
    <t>- 450 membres des FEFFI par régions  formés</t>
  </si>
  <si>
    <t>Recrutement  consultant national</t>
  </si>
  <si>
    <t>Consultant national recruté</t>
  </si>
  <si>
    <t>Dans les 22 DREN , MEN Central</t>
  </si>
  <si>
    <t>SG, UFP</t>
  </si>
  <si>
    <t>Prestation de service</t>
  </si>
  <si>
    <t>Ateliers techniques relatifs à l'analyse et développement des référentiels métiers et compétences au sein du MEN</t>
  </si>
  <si>
    <t>Ateliers pour l'analyse et le développement des référentiels métiers et compétences réalisés.</t>
  </si>
  <si>
    <t xml:space="preserve">SG, toutes directions e organismes rattachés du MEN, MFPRATLS, MFB, Partenaires sociaux, STD/MEN, Représentant des enseignements Privés. </t>
  </si>
  <si>
    <t>Indemnités des 25 intervenants</t>
  </si>
  <si>
    <t>Hébergement 25 intervenants</t>
  </si>
  <si>
    <t>Frais Déplacement 25 intervenants</t>
  </si>
  <si>
    <t>Location salle (y c sono)</t>
  </si>
  <si>
    <t>Atelier de validation des études pour la description, l'analyse et le développement des référentiels référentiels métiers et compétences au sein du MEN</t>
  </si>
  <si>
    <t>Document validé et disponible</t>
  </si>
  <si>
    <t>Restauration pour 50 personnes</t>
  </si>
  <si>
    <t>Recrutement  consultant international pour l'élaboration d'un plan de déploiement et redéploiement des enseignants, le manuel technique de gestion des recrutements et des affectations</t>
  </si>
  <si>
    <t xml:space="preserve">Consultant international recruté </t>
  </si>
  <si>
    <t>Les établissements dans les zones rurales 2 et 3 dans les 22 DREN.</t>
  </si>
  <si>
    <t>Ateliers techniques pour le développement d'un plan de déploiement / redéploiement des enseignants</t>
  </si>
  <si>
    <t xml:space="preserve">SG, toutes directions e organismes rattachés du MEN, MFPRATLS, MFB, MID, Département chargé de la sécurité publique, Ministère de la Santé publique, Partenaires sociaux, STD/MEN, CTD, Représentant des enseignements Privés. </t>
  </si>
  <si>
    <t>Indemnités des 40 intervenants</t>
  </si>
  <si>
    <t>Hébergement 40 intervenants</t>
  </si>
  <si>
    <t>Frais Déplacement 40 intervenants</t>
  </si>
  <si>
    <t>Fournitures (Kraft, maske in tape, markers, …)</t>
  </si>
  <si>
    <t>Atelier de validation du plan de déploiement / redeploiement des enseignants</t>
  </si>
  <si>
    <t>Plan validé, approuvé et disponible</t>
  </si>
  <si>
    <t>Duplication de plan de déploiement/ redéploiement</t>
  </si>
  <si>
    <t>Conception d'un manuel  technique de gestion des recrutements et des affectations des enseignants</t>
  </si>
  <si>
    <t>Manuel technique disponible</t>
  </si>
  <si>
    <t>Indemnités des 40 intervenants centraux</t>
  </si>
  <si>
    <t>Hébergement 40 intervenants centraux</t>
  </si>
  <si>
    <t>Frais Déplacement 40 intervenants centraux</t>
  </si>
  <si>
    <t>Duplication de manuel de gestion de recrutement et des affectations</t>
  </si>
  <si>
    <t>Coût unitaire
(USD)</t>
  </si>
  <si>
    <t>Coût total
(USD)</t>
  </si>
  <si>
    <t>Formation des membres  de l'UEAS par un consultant national</t>
  </si>
  <si>
    <t xml:space="preserve">Recrutement d'un consultant national sur l'utilisation du logiciel stata pour le traitement et l'analyse de données </t>
  </si>
  <si>
    <t>01 consultant national recruté
Rapport de consultance validé par le MEN</t>
  </si>
  <si>
    <t>DPE/UEAS</t>
  </si>
  <si>
    <t>consultance</t>
  </si>
  <si>
    <t>20 cadres de l'UEAS formés sur l'utilisation de STATA</t>
  </si>
  <si>
    <t>formation</t>
  </si>
  <si>
    <t xml:space="preserve">Recrutement d'un consultant national sur  la formation sur l'échantillonnage </t>
  </si>
  <si>
    <t xml:space="preserve">20 cadres de l'UEAS formés sur la formation sur l'échantillonnage </t>
  </si>
  <si>
    <t>Recrutement d'un consultant national sur la formulation de politique à partir des résultats d'évaluation</t>
  </si>
  <si>
    <t>20 cadres de l'UEAS formés sur la formulation de politique à partir des résultats d'évaluation</t>
  </si>
  <si>
    <t>Conception des outils de suivi et évaluation</t>
  </si>
  <si>
    <t>Recrutement d'un consultant  national pour conception d'outil de suivi en creeant un logiciel performant (30jours)</t>
  </si>
  <si>
    <t>01 consultant national recruté</t>
  </si>
  <si>
    <t>Atelier de formation et de conception (5 jours)</t>
  </si>
  <si>
    <t xml:space="preserve">40 cadres formés </t>
  </si>
  <si>
    <t xml:space="preserve">MEN central </t>
  </si>
  <si>
    <t>UFP, Direction centrale par sous composante</t>
  </si>
  <si>
    <t xml:space="preserve">indemnité, hebergement et transport </t>
  </si>
  <si>
    <t>Testing des outils</t>
  </si>
  <si>
    <t>Outils testés dans 3 DREN et 5 CISCO</t>
  </si>
  <si>
    <t>3 DREN (Analamanga, Itasy et Vakinankaratra) et 5 CISCO (Ambatolampy, Manjakandriana, Ambohidratrimo, Miarinarivo, Arivonimamo)</t>
  </si>
  <si>
    <t>Direction centrale par sous composante</t>
  </si>
  <si>
    <t>Validation des outils de suivi évaluation</t>
  </si>
  <si>
    <t>Outils validés, Atelier</t>
  </si>
  <si>
    <t>Formation des cadres centraux sur l'utilisation des outils de suivi évaluation</t>
  </si>
  <si>
    <t>Formation des cadres centraux encadrés par un consultant national ( Cadres MEN) de 40 cadres centraux</t>
  </si>
  <si>
    <t xml:space="preserve">40 cadres centraux du MEN formés </t>
  </si>
  <si>
    <t>Formation des cadres régionaux et locaux sur l'utilisation des outils de suivi évaluation</t>
  </si>
  <si>
    <t>Regroupement des cadres locaux au niveau régional: cadres 22*2 DREN (Chef plan et ATI ou Resp suivi) et *4 cadres CISCO ( 3 Adj et ATI ou resp suivi) pendant 2 jours appuyés par les cadres centraux</t>
  </si>
  <si>
    <t>44 cadres DREN et 456 cadres de la CISCO formés</t>
  </si>
  <si>
    <t>22 DREN et 114 CISCO</t>
  </si>
  <si>
    <t>Traitement des données statistiques</t>
  </si>
  <si>
    <t xml:space="preserve">Saisi des données des FPE </t>
  </si>
  <si>
    <t xml:space="preserve">Bases de données FPE de 114 CISCO prêtes à nettoyer </t>
  </si>
  <si>
    <t>114 CISCO</t>
  </si>
  <si>
    <t>Appui des cadres des STD à la saisie, au traitement et à l'apurement de données dans le logiciel FPE</t>
  </si>
  <si>
    <t xml:space="preserve"> 456 cadres CISCO et 88 cadres DREN mobilisées</t>
  </si>
  <si>
    <t>Nettoyage et traitement des données au niveau central</t>
  </si>
  <si>
    <t>Base de données FPE disponible au niveau national</t>
  </si>
  <si>
    <t>Conception ou mise à jour du logiciel statistique (FFA,FER, FORS)</t>
  </si>
  <si>
    <t>Mobiliser  20 cadres de la DPE et 5 cadres de la DTIC pendant 06 jours  pour la mise à jour du logiciel- Atelier</t>
  </si>
  <si>
    <t>Mise en place du système d'information géographique</t>
  </si>
  <si>
    <t>Recrutement d’un consultant national pour la mise en place du SIG</t>
  </si>
  <si>
    <t xml:space="preserve"> 01 consultant sur la  mise en place du SIG recruté</t>
  </si>
  <si>
    <t xml:space="preserve">Préparation des outils de géo référencement et des documents de formation  </t>
  </si>
  <si>
    <t xml:space="preserve">Un atelier de conception et de préparation des outils de 5jours encadré par un consultant national </t>
  </si>
  <si>
    <t>Location salle</t>
  </si>
  <si>
    <t>Formation des formateurs centraux et régionaux sur le SIG</t>
  </si>
  <si>
    <t xml:space="preserve">10 jours de formation pour les 30 cadres de la DPE </t>
  </si>
  <si>
    <t>Outils de SIG testés</t>
  </si>
  <si>
    <t>2 CISCO</t>
  </si>
  <si>
    <t>Formation/Action des cadres CISCO  sur la réalisation de géo référencement des établissements scolaires</t>
  </si>
  <si>
    <t>Formation action de 5jours au niveau de CISCO
 cadres 10 CISCO (y compris les ATI)</t>
  </si>
  <si>
    <t>10 CISCO cibles en construction</t>
  </si>
  <si>
    <t xml:space="preserve">Appui à la mise en œuvre du PSE </t>
  </si>
  <si>
    <t>Recrutement de consultant national Mise à jour de l'organisation de l'offre éducative conformément à la nouvelle structuration du système éducatif</t>
  </si>
  <si>
    <t>01 consultant recruté SUR la mise à jour de l'organisation de l'offre éducative conformément à la nouvelle structuration du système éducatif</t>
  </si>
  <si>
    <t>Atelier au niveau de chaque CISCO : (10 CISCO,  Chefs ZAP) pour l'ORS</t>
  </si>
  <si>
    <t xml:space="preserve">Renforcement des capacités  des différentes structures du MEN </t>
  </si>
  <si>
    <t>Recrutement d'un consultant international</t>
  </si>
  <si>
    <t>01 consultant international recruté</t>
  </si>
  <si>
    <t>DPE
22 DREN</t>
  </si>
  <si>
    <t xml:space="preserve">Consultance </t>
  </si>
  <si>
    <t>Recrutement de deux consultants nationaux</t>
  </si>
  <si>
    <t>02  consultants nationaux recrutés</t>
  </si>
  <si>
    <t>Formation des cadres centraux et régionaux sur le coût et financement de l'Education</t>
  </si>
  <si>
    <t>20 cadres centraux et 22 cadres régionaux formés</t>
  </si>
  <si>
    <t>Consultants</t>
  </si>
  <si>
    <t>Dotation de matériel roulant pour la DPE</t>
  </si>
  <si>
    <t xml:space="preserve">Dotation d'une voiture administrative pour la DPE </t>
  </si>
  <si>
    <t>vehicules</t>
  </si>
  <si>
    <t>Supplementation FER et FAF</t>
  </si>
  <si>
    <t>achat de médicament FER et Acheminement</t>
  </si>
  <si>
    <t xml:space="preserve">FER acquis et livrés au niveau des CISCO des 11 DREN cibles par SALAMA  </t>
  </si>
  <si>
    <t>DC</t>
  </si>
  <si>
    <t>11 regions: Analamanga; Atsinanana; Analanjirofo;Alaotra Mangoro; Atsimo Atsinanana; Bongolava; Itasy; Sava; Vakinakaratra; Vatovavy Fitovinany</t>
  </si>
  <si>
    <t>DSS/UFP</t>
  </si>
  <si>
    <t>CISCO</t>
  </si>
  <si>
    <t>Acquisition de medicament FER</t>
  </si>
  <si>
    <t>achat de médicament FAF et Acheminement</t>
  </si>
  <si>
    <t xml:space="preserve">FAF acquis et livrés au niveau des CISCO des 11 DREN cibles par SALAMA  </t>
  </si>
  <si>
    <t>Acquisition de medicament FAF</t>
  </si>
  <si>
    <t>Reunion de coordination de la campagne de deparsitage et FER/FAFau niveau régional</t>
  </si>
  <si>
    <t>Information et Sensibilisation des responsables locaux sur la campagne de deparasitage et de supplementation FER/FAF</t>
  </si>
  <si>
    <t>Equipes locales formées et sensibilisées sur la campagne de deparsitage et de supplementation FER/FAF</t>
  </si>
  <si>
    <t>MEN_CENTRAL</t>
  </si>
  <si>
    <t>DSS</t>
  </si>
  <si>
    <t>Indemnites et deplacements des equipes Central</t>
  </si>
  <si>
    <t>Equipes locales des  DREN cible formées et sensibilisées sur la campagne de deparsitage et de supplementation FER/FAF</t>
  </si>
  <si>
    <t xml:space="preserve"> 11 Regions cibles</t>
  </si>
  <si>
    <t>Indemnites et deplacements des equipes locaux</t>
  </si>
  <si>
    <t>Equipes locales des DREN cible formées et sensibilisées sur la campagne de deparsitage et de supplementation FER/FAF</t>
  </si>
  <si>
    <t>DREN</t>
  </si>
  <si>
    <t>Restauration et location salle</t>
  </si>
  <si>
    <t>Elaboration et mise à jour des outils de gestion</t>
  </si>
  <si>
    <t>Atelier de mise à jour des outils de gestion</t>
  </si>
  <si>
    <t>Outils des gestions élaborées et mise à jour</t>
  </si>
  <si>
    <t>DSS/SNUT/SLMEN</t>
  </si>
  <si>
    <t>Location de salle et restauration</t>
  </si>
  <si>
    <t>Renforcement de la Division Sante Scolaire (traitement des donnees)</t>
  </si>
  <si>
    <t xml:space="preserve">Equipement de la DSS en materiel informatique </t>
  </si>
  <si>
    <t>DSS équipé en materiels informatique (1 Ordinateur de Bureau; 4 Ordinateur portable; 1 Onduleur; fourniture de bureau; 2 toner; 1 Imprimente; 1 Video projecteur)</t>
  </si>
  <si>
    <t>UNOPS</t>
  </si>
  <si>
    <t>Acquisitions des materiels informatiques</t>
  </si>
  <si>
    <t>Outils d'information, sensibilisation et roles des acteurs</t>
  </si>
  <si>
    <t>Mutiplication de outil d'information, sensibilisations et roles des acteurs</t>
  </si>
  <si>
    <t>Outils  de sensibilisations et d'information disponibles auprès des 11 régions</t>
  </si>
  <si>
    <t>Duplication des outils</t>
  </si>
  <si>
    <t>DETAILS</t>
  </si>
  <si>
    <t>ECARTS</t>
  </si>
  <si>
    <t xml:space="preserve">Sensibilisation des parents et des communautés cibles </t>
  </si>
  <si>
    <t xml:space="preserve">Octobre </t>
  </si>
  <si>
    <t>Redefinition des mission et attribution,élaboration de référentiel de compétences et profil de directeur</t>
  </si>
  <si>
    <t>Capitalisation des textes relatifs aux missions, attributions, référentiel de compétences et profil du directeur</t>
  </si>
  <si>
    <t xml:space="preserve">Textes collectés et capitalisés </t>
  </si>
  <si>
    <t xml:space="preserve">MEN Central </t>
  </si>
  <si>
    <t>Elaboration des référentiels métiers</t>
  </si>
  <si>
    <t>Atelier d'élaboration réalisé (y compris acquisition fongibles) 
Draft référentiel de métier conçu</t>
  </si>
  <si>
    <t>DRH
DEF
DPE
DGEFA (SCEE)
SG (SLDC)
UFP</t>
  </si>
  <si>
    <t>Acquisition fongibles</t>
  </si>
  <si>
    <t xml:space="preserve">Indemnités des participants payés </t>
  </si>
  <si>
    <t xml:space="preserve">Per diem </t>
  </si>
  <si>
    <t xml:space="preserve">Hébergement des participants payés </t>
  </si>
  <si>
    <t xml:space="preserve">Hébergement </t>
  </si>
  <si>
    <t xml:space="preserve">Frais de transport des participants payés </t>
  </si>
  <si>
    <t xml:space="preserve">Déplacement </t>
  </si>
  <si>
    <t xml:space="preserve">Paiement frais location de salle réalisé </t>
  </si>
  <si>
    <t>Validation  du nouveau référentiel métier</t>
  </si>
  <si>
    <t xml:space="preserve">Texte règlementaire sur le Référentiel métier et profil du directeur d’école disponible </t>
  </si>
  <si>
    <t>Conseil scientifique MEN</t>
  </si>
  <si>
    <t>Edition du réferentiel métier</t>
  </si>
  <si>
    <t>Réferentiel métier édité</t>
  </si>
  <si>
    <t>Elaboration du statut du directeur d'école</t>
  </si>
  <si>
    <t xml:space="preserve">Collecte des textes existants </t>
  </si>
  <si>
    <t>Textes collectés</t>
  </si>
  <si>
    <t>Conception du statut du poste du Directeur d'école</t>
  </si>
  <si>
    <t>Atelier de conception réalisé (y compris acquisition fongibles) 
Statut poste Directeur d'école conçu</t>
  </si>
  <si>
    <t>DEIPEF
Conseil scientifique MEN</t>
  </si>
  <si>
    <t>DEIPEF
DRH
DEF
DPE
DGEFA (SCEE)
SG (SLDC)
UFP</t>
  </si>
  <si>
    <t xml:space="preserve">Acquisition fongibles réalisée </t>
  </si>
  <si>
    <t xml:space="preserve">Examen validation et approbation </t>
  </si>
  <si>
    <t>Statut  de poste validé 
Statut approuvé et décrêté</t>
  </si>
  <si>
    <t xml:space="preserve">SG MEN 
MINFOPTLS 
MFB
Conseil du Gouvernement
</t>
  </si>
  <si>
    <t xml:space="preserve">Communication de masse </t>
  </si>
  <si>
    <t>Diffusion médiatique réalisée</t>
  </si>
  <si>
    <t>Capitalisation et adaptation des outils/guide du directeur d'école</t>
  </si>
  <si>
    <t>Collecte des outils existants à l’usage du directeur d’école</t>
  </si>
  <si>
    <t>Outils existants collectés</t>
  </si>
  <si>
    <t xml:space="preserve">Mise en commun et adaptation des outils collectés </t>
  </si>
  <si>
    <t xml:space="preserve">Atelier de mise en commun et adaptation réalisé (y compris acquisition fongibles)
</t>
  </si>
  <si>
    <t xml:space="preserve">
INFP
DEF
SG (SCEE)</t>
  </si>
  <si>
    <t xml:space="preserve">Outils édités </t>
  </si>
  <si>
    <t xml:space="preserve">Descentes sur terrain réalisées </t>
  </si>
  <si>
    <t xml:space="preserve">Finalisation/complétion/rectification du pack outils </t>
  </si>
  <si>
    <t>Atelier de rectification et finalisation du pack outils (y compris acquisition fongibles)</t>
  </si>
  <si>
    <t>INFP
DEF
SG (SCEE)</t>
  </si>
  <si>
    <t>Per diem</t>
  </si>
  <si>
    <t>Hébergement</t>
  </si>
  <si>
    <t>Formation des directeurs d’école en leadership dans la gestion pédagogique et administrative</t>
  </si>
  <si>
    <t xml:space="preserve">Conception et élaboration des modules de formation </t>
  </si>
  <si>
    <t xml:space="preserve">Atelier de conception des modules  réalisé  (y compris acquisitioin fongible)
Modules de formation disponibles </t>
  </si>
  <si>
    <t xml:space="preserve"> INFP, DEF , SCEE</t>
  </si>
  <si>
    <t>Validation des modules de formation</t>
  </si>
  <si>
    <t>Réunion de validation de modules de formation réalisé (y compris acquisition fongible)</t>
  </si>
  <si>
    <t>DGEFA</t>
  </si>
  <si>
    <t xml:space="preserve">Rénovation du dispositif Journées Pédagogiques </t>
  </si>
  <si>
    <t xml:space="preserve">Elaboration des fiches pédagogiques </t>
  </si>
  <si>
    <t xml:space="preserve">Formalisation du dispositif JP réalisée 
Atelier d'élaboration des fiches réalisé (y compris acquisition fongible)
</t>
  </si>
  <si>
    <t xml:space="preserve">Assistance technique, suivi et accompagnement </t>
  </si>
  <si>
    <t xml:space="preserve">Recrutement d’un expert national pour l'élaboration du statut </t>
  </si>
  <si>
    <t xml:space="preserve">Contrat signé
Rapports disponibles </t>
  </si>
  <si>
    <t>DEIPEF
UFP</t>
  </si>
  <si>
    <t xml:space="preserve">Recrutement d’un expert international  pour appuyer l'amélioration des stratégies et outils de la sous-composante </t>
  </si>
  <si>
    <t>Activités/Sous-activités</t>
  </si>
  <si>
    <t>Durée (jours)</t>
  </si>
  <si>
    <t>Catégorie de dépense</t>
  </si>
  <si>
    <t>Fin</t>
  </si>
  <si>
    <t>Direction Sous-composante/ UFP</t>
  </si>
  <si>
    <t>Composante 1: Formation des enseignants axée sur les premiers apprentissages en lecture et mathématiques</t>
  </si>
  <si>
    <t>ELABORATION DE PLAN REGIONAL DE FORMATION</t>
  </si>
  <si>
    <t>Testing de la matrice de plan regional de formation (Vakinakaratra)</t>
  </si>
  <si>
    <t>Les éventuels obstacles à la formulation de plan région de formation sont détectés
L'éfficacité de la matrice de plan régional de formation pour assurer l'efficacité du plan régional de formation de chaque région est évaluée</t>
  </si>
  <si>
    <t>Vakinankaratra</t>
  </si>
  <si>
    <t xml:space="preserve">DREN Vakinakaratra
CISCO Antsirabe1 et 2
</t>
  </si>
  <si>
    <t>Indemnité coach</t>
  </si>
  <si>
    <t>6241</t>
  </si>
  <si>
    <t>Hébergement coach</t>
  </si>
  <si>
    <t>Indemnités chauffeur coach</t>
  </si>
  <si>
    <t>Hébergement chauffeurs coach</t>
  </si>
  <si>
    <t>Indemnités pour 4 participants centraux</t>
  </si>
  <si>
    <t>Hébergement pour  4 participants centraux</t>
  </si>
  <si>
    <t>Frais Déplacement 4 participants centraux</t>
  </si>
  <si>
    <t>6231</t>
  </si>
  <si>
    <t>Carburants de 1 voitures administratives</t>
  </si>
  <si>
    <t>6131</t>
  </si>
  <si>
    <t>Indemnités pour 13 participants regionaux (4 dren / 6 Cisco 1 et 2 / 3 Crinfp)</t>
  </si>
  <si>
    <t>Hébergement pour  13 participants regionaux</t>
  </si>
  <si>
    <t>Frais Déplacement 13 participants regionaux</t>
  </si>
  <si>
    <t>Fongibles</t>
  </si>
  <si>
    <t>6111</t>
  </si>
  <si>
    <t>Seminaire national autour des plans régionaux de formation et atelier de réajustement de la matrice de plan régional de formation</t>
  </si>
  <si>
    <t xml:space="preserve">Les acteurs dans chaque DREN concernée sont informées sur le projet, le plan régional de formation et les principes fondamentaux du DLI
La matrice de plan régional de formation est réajustée et finalisée pour garantir plus d'éfficacité du plan régional de formation de chaque DREN
</t>
  </si>
  <si>
    <t xml:space="preserve"> - </t>
  </si>
  <si>
    <t>Indemnités du responsable institutionnel</t>
  </si>
  <si>
    <t>Hébergement du responsable institutionnel</t>
  </si>
  <si>
    <t xml:space="preserve">Indemnités chauffeur </t>
  </si>
  <si>
    <t>Hébergement chauffeurs</t>
  </si>
  <si>
    <t>Indemnités des 7 DRENs pour la première année</t>
  </si>
  <si>
    <t>Hébergement des 7 DRENs</t>
  </si>
  <si>
    <t>Indemnités des chauffeurs des 7 DRENs pour la première année</t>
  </si>
  <si>
    <t>Hébergement des 7 chauffeurs</t>
  </si>
  <si>
    <t>Carburants de 20 voitures administratives</t>
  </si>
  <si>
    <t>Indemnités des 11 CRINFPs (1 par crinfp)</t>
  </si>
  <si>
    <t>Hébergement des 11 CRINFPs</t>
  </si>
  <si>
    <t>Indemnités de chauffeur des 11 CRINFPs (1 par crinfp)</t>
  </si>
  <si>
    <t>Hébergement de chauffeur des 11 CRINFPs</t>
  </si>
  <si>
    <t>Indemnités des 21 representants des CISCOs (3 par DREN)</t>
  </si>
  <si>
    <t>Hébergement des 21 representants des CISCOs</t>
  </si>
  <si>
    <t>Déplacement des 21 représentants des CISCOs</t>
  </si>
  <si>
    <t>indemnités coach infp</t>
  </si>
  <si>
    <t>hebergement coach infp</t>
  </si>
  <si>
    <t>indemnités chauffeur coach</t>
  </si>
  <si>
    <t>hebergement chauffeur coach</t>
  </si>
  <si>
    <t xml:space="preserve">Indemnités pour 14 participants centraux </t>
  </si>
  <si>
    <t>Hébergement pour 14 participants centraux</t>
  </si>
  <si>
    <t>Frais Déplacement 14 participants centraux</t>
  </si>
  <si>
    <t xml:space="preserve">La matrice de plan régional de formation réajustée et finalisée pour garantir plus d'éfficacité du plan régional de formation de chaque DREN est validée
</t>
  </si>
  <si>
    <t xml:space="preserve">Analamanga </t>
  </si>
  <si>
    <t>Location de salle (y c sono) pour la séance de validation par le conseil scientifique</t>
  </si>
  <si>
    <t>6283</t>
  </si>
  <si>
    <t>Restauration</t>
  </si>
  <si>
    <t>Harmonisation des bases de données du MEN (Tananarive)</t>
  </si>
  <si>
    <t xml:space="preserve">Le MEN possède un logiciel unique de gestion de base de  donnée sur la gestion des enseignant integrant la formation des enseignants  </t>
  </si>
  <si>
    <t>7 ATI issus des 7DREN cibles</t>
  </si>
  <si>
    <t>indemnité pour 7 ATI</t>
  </si>
  <si>
    <t>Hébergement pour 7 ATI</t>
  </si>
  <si>
    <t>Frais de deplacement 7 ATI</t>
  </si>
  <si>
    <t>Restauration de 23 participants</t>
  </si>
  <si>
    <t xml:space="preserve">Fongibles </t>
  </si>
  <si>
    <t>Formation sur l'utilisation et exploitation du logiciel de base de donnée du MEN</t>
  </si>
  <si>
    <t>Le logiciel de gestion de base de  donnée sur la gestion des enseignant integrant la formation des enseignants est fonctionnel et maîtrisé par les acteurs régionaux</t>
  </si>
  <si>
    <t>Atsimo Andrefana ; Atsimo Atsinanana ;Alaotra Mangoro ; Analanjirofo ; Boeny ; Sofia ; Vakinankaratra</t>
  </si>
  <si>
    <t>DTIC
DRH
DPE</t>
  </si>
  <si>
    <t>Indemnités pour 7 coach infp</t>
  </si>
  <si>
    <t>Hébergement pour 7 coach infp</t>
  </si>
  <si>
    <t>Indemnité 7 chauffeur coach infp</t>
  </si>
  <si>
    <t>Hébergement 7 chauffeur coach infp</t>
  </si>
  <si>
    <t>Carburants de 7 voitures administratives</t>
  </si>
  <si>
    <t>Indemnités 21 centraux (3 formateurs par DREN / dtic, rh, infp)</t>
  </si>
  <si>
    <t>Hébergement 21 centraux</t>
  </si>
  <si>
    <t>Frais Déplacement 21 centraux</t>
  </si>
  <si>
    <t>Indemnités de 101 régionaux (2 par cisco / 1 par crinfp) (45 cisco et 11 crinfp)</t>
  </si>
  <si>
    <t>Hébergement de 101 régionaux (2 par cisco / 1 par crinfp)</t>
  </si>
  <si>
    <t>frais de deplacement de 101 régionaux (2 par cisco / 1 par crinfp)</t>
  </si>
  <si>
    <t>Formation des DREN et elaboration des 7 premiers plan régionaux déclencheurs du DLI</t>
  </si>
  <si>
    <t>Les DREN sont formés à l'ingenierie de formation avant l'élaboration de leurs plans régionaux de formation
Le premier draft des 7 premiers plans régionaux de formation des 7 DREN cibles sont formulés</t>
  </si>
  <si>
    <t>DREN
CISCO</t>
  </si>
  <si>
    <t>Indemnités superviseurs par région</t>
  </si>
  <si>
    <t>Hébergement superviseur</t>
  </si>
  <si>
    <t>Indemnités chauffeur superviseur</t>
  </si>
  <si>
    <t>Hébergement chauffeurs superviseur</t>
  </si>
  <si>
    <t>Carburants de 14 voitures administratives</t>
  </si>
  <si>
    <t>Indemnités 21 centraux (3 formateurs par dren)</t>
  </si>
  <si>
    <t>Indemnités de 101 régionaux (2 par cisco / 1 par crinfp)</t>
  </si>
  <si>
    <t>Démultiplication plan de formation pluriannuel</t>
  </si>
  <si>
    <t>6224</t>
  </si>
  <si>
    <t>Démultiplication outils de formation</t>
  </si>
  <si>
    <t>Validation des plans régionaux par le STAFF MEN</t>
  </si>
  <si>
    <t>Les7 premiers plans régiopnanaux de formation déclencheur de DLI sont validés par le STAFF du MEN</t>
  </si>
  <si>
    <t>Indemnité des 7 dren</t>
  </si>
  <si>
    <t>Hébergement des 7 dren</t>
  </si>
  <si>
    <t>indemnité chauffeurs 7 dren</t>
  </si>
  <si>
    <t>hébergement chauffeurs 7 dren</t>
  </si>
  <si>
    <t>carburants 7 voitures administratives</t>
  </si>
  <si>
    <t>Location de salle (y c sono)</t>
  </si>
  <si>
    <t>Elaboration d'un plan de stratégie nationale</t>
  </si>
  <si>
    <t>Préparation de la consultation régionale</t>
  </si>
  <si>
    <t>Outils de collecte d'information démultipliés</t>
  </si>
  <si>
    <t>7 régions (AAD – AATS – ALMA – AJFO – BNY – SOFIA – VKTRA)</t>
  </si>
  <si>
    <t>DRH – DCI – DEF</t>
  </si>
  <si>
    <t>Indemnités pour 28 missionnaires</t>
  </si>
  <si>
    <t>Hébergement 28 missionnaires</t>
  </si>
  <si>
    <t>Frais Déplacement 28 missionnaires</t>
  </si>
  <si>
    <t>Indemnites additionelles pour experts ENS - Universités</t>
  </si>
  <si>
    <t>Démultiplication des outils (fiches enquêtes, fiches questionnaires)</t>
  </si>
  <si>
    <t>Indemnités des superviseurs et des coordonateurs</t>
  </si>
  <si>
    <t>Hebergement des superviseurs et des coordonateurs</t>
  </si>
  <si>
    <t>Indemnités des chauffeurs</t>
  </si>
  <si>
    <t>Hebergement des chauffeurs</t>
  </si>
  <si>
    <t>Carburant de coordonnateur et superviseur</t>
  </si>
  <si>
    <t>Consultations régionales (7 DRENs et CISCO)</t>
  </si>
  <si>
    <t>Outils de collecte remplis</t>
  </si>
  <si>
    <t>07 régions (AAD – AATS – ALMA – AJFO – BNY – SOFIA – VKTRA)</t>
  </si>
  <si>
    <t>Indemnités pour 49 missionnaires</t>
  </si>
  <si>
    <t>Location de voitures</t>
  </si>
  <si>
    <t>Carburant pour déplacement</t>
  </si>
  <si>
    <t>Hébergement chauffeur</t>
  </si>
  <si>
    <t>carburant des superviseurs et des coordonateurs</t>
  </si>
  <si>
    <t>Capitalisation des consultations régionales</t>
  </si>
  <si>
    <t>1 er draft de plan de stratégie nationale avec un catalogue de formation établi
Outils pour la consultation nationale conçus et démultipliés</t>
  </si>
  <si>
    <t>Indemnités pour 28 missionnaires et 1 logisticien</t>
  </si>
  <si>
    <t>Hébergement 28 missionnaires et 1 logisticien</t>
  </si>
  <si>
    <t>Frais Déplacement 28 missionnaires et 1 logisticien</t>
  </si>
  <si>
    <t>Indemnités du coordonnateur et superviseur</t>
  </si>
  <si>
    <t>Hébergement du coordonnateur et superviseur</t>
  </si>
  <si>
    <t>carburant du coordonnateur et superviseur</t>
  </si>
  <si>
    <r>
      <t>Demultiplication du 1</t>
    </r>
    <r>
      <rPr>
        <i/>
        <vertAlign val="superscript"/>
        <sz val="12"/>
        <color rgb="FF333333"/>
        <rFont val="Calibri"/>
        <family val="2"/>
        <charset val="1"/>
      </rPr>
      <t>er</t>
    </r>
    <r>
      <rPr>
        <i/>
        <sz val="12"/>
        <color rgb="FF333333"/>
        <rFont val="Calibri"/>
        <family val="2"/>
        <charset val="1"/>
      </rPr>
      <t xml:space="preserve"> draft de plan de stratégie nationale de formation </t>
    </r>
  </si>
  <si>
    <t>Consultation nationale</t>
  </si>
  <si>
    <t>Outils de collecte remplis 
Recommandations des acteurs collectés</t>
  </si>
  <si>
    <t>Capitalisation des acquis de la consultation nationale</t>
  </si>
  <si>
    <t>2è draft du plan de stratégie nationale élaboré</t>
  </si>
  <si>
    <t>Indemnités pour 25 missionnaires et 1 logisticiens</t>
  </si>
  <si>
    <t>Hébergement 25 missionnaires et 01 mogisticiens</t>
  </si>
  <si>
    <t>Frais Déplacement 25 missionnaires et 01 mogisticiens</t>
  </si>
  <si>
    <t>Hébergement de coordonnateur et superviseur</t>
  </si>
  <si>
    <t>Démultiplication du catalogue élaboré</t>
  </si>
  <si>
    <t>Finalisation pour validation de l'esquisse de plan stratégique</t>
  </si>
  <si>
    <t>Esquisse de plan de stratégie nationale de formation pour les enseignants et les encadreurs locaux élaborée, validée et démultipliée</t>
  </si>
  <si>
    <t>Indemnités pour 30 missionnaires et 1 logisticien</t>
  </si>
  <si>
    <t>Hébergement 30 missionnaires et 1 logisticien</t>
  </si>
  <si>
    <t>Frais Déplacement 30 missionnaires et 1 logisticien</t>
  </si>
  <si>
    <t>Démultiplication de l'esquisse de plan statégique élaboré pour validation</t>
  </si>
  <si>
    <t>Cocktail réunion de validation (Staff MEN)</t>
  </si>
  <si>
    <t>Demultiplication du plan validé</t>
  </si>
  <si>
    <t>Dispatching du plan</t>
  </si>
  <si>
    <t>Recrutement d'un consultant national et international</t>
  </si>
  <si>
    <t>Appui à l'élaboration du plan de stratégie nationale de formation et à la réalisation de toutes les activités préparatoires du Projet</t>
  </si>
  <si>
    <t>Appui à l'élaboration du plan de stratégie nationale de formation</t>
  </si>
  <si>
    <t>INFP/UFP</t>
  </si>
  <si>
    <t>Recrutemet d'un consultant national</t>
  </si>
  <si>
    <t>Appui à la réalisation de toutes les activités préparatoires du Projet</t>
  </si>
  <si>
    <t>Formation des formateurs et des concepteurs</t>
  </si>
  <si>
    <t>Elaboration du référentiel métier des formateurs</t>
  </si>
  <si>
    <t>Référentiel métier élaboré</t>
  </si>
  <si>
    <t>MEN Central/Antsirabe</t>
  </si>
  <si>
    <t>Indemnités pour 35 participants (MEN/INFP)</t>
  </si>
  <si>
    <t>Indemnité pour 02 experts de l'ENS</t>
  </si>
  <si>
    <t>Indemnités pour 03 chauffeurs (MEN/INFP)</t>
  </si>
  <si>
    <t>Hébergement 35 participants(MEN/INFP)</t>
  </si>
  <si>
    <t>Hébergement pour 03 chauffeurs</t>
  </si>
  <si>
    <t>Carburant por 03 voitures (superviseurs)</t>
  </si>
  <si>
    <t>Frais Déplacement 33 participants</t>
  </si>
  <si>
    <t>Fongibles (divers outils)</t>
  </si>
  <si>
    <t xml:space="preserve">Elaboration du référentiel de compétences des formateurs </t>
  </si>
  <si>
    <t>Référentiel des compétences élaboré</t>
  </si>
  <si>
    <t>MEN Central/Mahajanga</t>
  </si>
  <si>
    <t xml:space="preserve">Elaboration du référentiel d'évaluation des formateurs </t>
  </si>
  <si>
    <t>Référentiel d'évaluation élaboré</t>
  </si>
  <si>
    <t xml:space="preserve">Validation des référentiels métiers et de compétence </t>
  </si>
  <si>
    <t>Référentiels validés</t>
  </si>
  <si>
    <t>MEN Central/Analamanga</t>
  </si>
  <si>
    <t>Duplication des référentiels</t>
  </si>
  <si>
    <t>Référentiels dupliqués</t>
  </si>
  <si>
    <t>MEN Central</t>
  </si>
  <si>
    <t>Duplication de référentiels pour 726 exemplaires de 50 pages (25p R métiers &amp; compétences; 25p R d'évaluation) haute qualité</t>
  </si>
  <si>
    <t xml:space="preserve">Conception d'outils d'évaluation des compétences des formateurs en poste </t>
  </si>
  <si>
    <t>Outils d'évaluation élaborés</t>
  </si>
  <si>
    <t>Indemnités pour 4 experts ENS</t>
  </si>
  <si>
    <t>Indemnités pour les 11 (INFP y c superviseurs)</t>
  </si>
  <si>
    <t>Indemnités pour 03 chauffeurs</t>
  </si>
  <si>
    <t>Hébergement pour les 11 INFP</t>
  </si>
  <si>
    <t>Hébergement pour 02 chauffeurs</t>
  </si>
  <si>
    <t>Carburant pour 03 voitures (superviseurs)</t>
  </si>
  <si>
    <t>Frais Déplacement pour les 12 participants (ENS + INFP)</t>
  </si>
  <si>
    <t>Fongibles(divers outils, )</t>
  </si>
  <si>
    <t>Duplication des outils d'évaluation</t>
  </si>
  <si>
    <t>Outils d'évaluation dupliqués</t>
  </si>
  <si>
    <t>Evaluation de 670 formateurs sur la base d'un outil de 15 pages</t>
  </si>
  <si>
    <t>Descente et évaluation sur le terrain</t>
  </si>
  <si>
    <t>Compétences des formateurs en poste évaluées</t>
  </si>
  <si>
    <t>MEN Central/22 régions</t>
  </si>
  <si>
    <t>Indemnité des évaluateurs ENS</t>
  </si>
  <si>
    <t>Indemnités  pour les 50 INFP (y c Superviseurs)</t>
  </si>
  <si>
    <t>Indemnités pour 04 chauffeurs</t>
  </si>
  <si>
    <t>Hébergement pour les 50 INFP</t>
  </si>
  <si>
    <t>Hébergement pour 04 chauffeurs</t>
  </si>
  <si>
    <t>Carburant pour 05 voitures (superviseurs)</t>
  </si>
  <si>
    <t>Frais de deplacement (Taxi-brousse + avion)</t>
  </si>
  <si>
    <t>Fongibles(divers outils)</t>
  </si>
  <si>
    <t>Travail de saisie des outils d'évaluation remplis</t>
  </si>
  <si>
    <t>Résultats de l'évaluation en version numérique</t>
  </si>
  <si>
    <t>Indemnité pour l'expert de l'ENS</t>
  </si>
  <si>
    <t>Indemnités pour 44 techniciens (y c superviseurs)</t>
  </si>
  <si>
    <t>Hébergement 44 techniciens (y c superviseurs)</t>
  </si>
  <si>
    <t>Carburant pour 03 voitures (superviseur et coordonnateur)</t>
  </si>
  <si>
    <t>Frais Déplacement 22 participants</t>
  </si>
  <si>
    <t>Analyse et rédaction du rapport</t>
  </si>
  <si>
    <t>Rapport de'évaluation analysé et rédigé</t>
  </si>
  <si>
    <t>Indemnité de  l'ENS (06)</t>
  </si>
  <si>
    <t>Indemnités pour 15 participants INFP (Y c superviseur)</t>
  </si>
  <si>
    <t>Indemnités pour 04 chauffeurs (Superviseur, 03 Chefs de service)</t>
  </si>
  <si>
    <t>Hébergement 15 participants INFP</t>
  </si>
  <si>
    <t>Hébergement 04 chauffeurs (Superviseur, 03 Chefs de service)</t>
  </si>
  <si>
    <t>Carburant pour 04 voitures (Superviseur, 03 Chefs de service)</t>
  </si>
  <si>
    <t>Frais Déplacement  17 participants</t>
  </si>
  <si>
    <t>Fongibles( divers outils)</t>
  </si>
  <si>
    <t>Composante 2: Amélioration de la fréquentation et de la préparation à l’apprentissage à travers la construction d’établissements, préscolaires et la santé</t>
  </si>
  <si>
    <t>Sous-composante 21: Appui à l’accès au préscolaire et le plan d’amélioration de la qualité</t>
  </si>
  <si>
    <t>Sous-composante 31: Création et financement d'un programme unique de subventions aux écoles harmonisé, vérifié et équitable</t>
  </si>
  <si>
    <t>Sous-composante 32: Professionnalisation des capacités des directeurs d’école</t>
  </si>
  <si>
    <t>Composante 4: Soutiens aux réformes sectorielles, la construction de systèmes et la mise en œuvre du projet</t>
  </si>
  <si>
    <t>Sous-composante 42: Renforcement du suivi, de l’évaluation et de la planification de l’éducation</t>
  </si>
  <si>
    <t>Sous-composante 43: Campagne de communication pour l’introduction du PSE</t>
  </si>
  <si>
    <t>Composante 5: Composante intervention d’urgence</t>
  </si>
  <si>
    <t>Sous-composante 51:</t>
  </si>
  <si>
    <t>Recrutement d'un Consultant International Expert en FGB</t>
  </si>
  <si>
    <t>Sollicitation de Manifestation d'intérêt publiée</t>
  </si>
  <si>
    <t>Publication dans les journaux</t>
  </si>
  <si>
    <t>-Rapports et outils FGB mis à jour disponibles</t>
  </si>
  <si>
    <t>CI</t>
  </si>
  <si>
    <t xml:space="preserve">Rrecrutement d'un Graphiste-illustrateur </t>
  </si>
  <si>
    <t xml:space="preserve">Recrutement d'un Graphiste-illustrateur </t>
  </si>
  <si>
    <t>-Rapports disponibles</t>
  </si>
  <si>
    <t>Recrutement  d'un traducteur</t>
  </si>
  <si>
    <t>Recrutement d'un traducteur</t>
  </si>
  <si>
    <t>Collecte, exploitation et analyse des résultats de l'implémentation de la FGB dans le cadre de la mise à jour des guides et manuels FGB</t>
  </si>
  <si>
    <t>Atelier résidentiel réalisé.Points à améliorer identifiés et recommandations pour la mise à jour des outils formulées</t>
  </si>
  <si>
    <t>Frais de déplacement, indemnités et hébèrgement</t>
  </si>
  <si>
    <t>Edition des guides FGB</t>
  </si>
  <si>
    <t>Guides FGB édités</t>
  </si>
  <si>
    <t>Travaux d'imprimerie</t>
  </si>
  <si>
    <t>Renforcement de capacité de l'équipe du MEN</t>
  </si>
  <si>
    <t>Recrutement du Responsable de Renforcement Capacité des Communautés (RRCC)</t>
  </si>
  <si>
    <t>Responsable du Renforcement de Capacité des Communautés (RRCC) recruté. Salaire mensuel du RRCC payé</t>
  </si>
  <si>
    <t>Frais de personnel</t>
  </si>
  <si>
    <t>Recrutement du Resposable Suivi Evaluation de la composante "construction" au sein de la DPFI</t>
  </si>
  <si>
    <t xml:space="preserve"> Responsable Suivi Evaluation de la composante "construction" recruté  au sein de la DPFI.Salaire mensuel du RSE payé</t>
  </si>
  <si>
    <t>DPFI/DPE</t>
  </si>
  <si>
    <t>Acteurs formés (Personnel DPFI et les 22  Ingénieurs régionaux)</t>
  </si>
  <si>
    <t>22 Régions</t>
  </si>
  <si>
    <t>Acteurs formés (bureaux d'études)</t>
  </si>
  <si>
    <t>bureaux d'études</t>
  </si>
  <si>
    <t>Construction et équipement des salles de classe</t>
  </si>
  <si>
    <t>Mise à jour des plans type</t>
  </si>
  <si>
    <t>Recrutement d'un Consultant pour la mise à jour des plans type</t>
  </si>
  <si>
    <t>Plans types mises à jour disponibles</t>
  </si>
  <si>
    <t>Acquisition des biens et fournitures</t>
  </si>
  <si>
    <t>Dotation en matériels informatiques pour la DPFI</t>
  </si>
  <si>
    <t>Ordinateurs acquis pour la DPFI</t>
  </si>
  <si>
    <t>Matériels informatiques</t>
  </si>
  <si>
    <t>Acquisition de fournitures de bureau pour la DPFI</t>
  </si>
  <si>
    <t>fournitures de bureau acquises pour la DPFI</t>
  </si>
  <si>
    <t>Acquisition de logiciel de gestion comptable pour la DAAF</t>
  </si>
  <si>
    <t>logiciel de gestion comptable yc configuration acquis  pour la DAAF</t>
  </si>
  <si>
    <t>DAAF</t>
  </si>
  <si>
    <t>Ciblage des sites</t>
  </si>
  <si>
    <t>Information et validation des outils de planification</t>
  </si>
  <si>
    <t xml:space="preserve"> outils de planification validés</t>
  </si>
  <si>
    <t>Transport et mission</t>
  </si>
  <si>
    <t>Edition des outils pour la conduite des sessions d'évaluation des demandes( guide, dépliants,…)</t>
  </si>
  <si>
    <t xml:space="preserve"> outils pour la conduite des sessions d'évaluation des demandes( guide, dépliants,…) edités</t>
  </si>
  <si>
    <t xml:space="preserve"> formation des CISCO sur l'utilisation des outils de planification</t>
  </si>
  <si>
    <t>rapport d'atelier sur l'utilisation des outils de planification</t>
  </si>
  <si>
    <t>Diffusion message radio de 2-3mn  pour information du projet</t>
  </si>
  <si>
    <t>Message diffusé</t>
  </si>
  <si>
    <t>10 régions</t>
  </si>
  <si>
    <t>diffusion radio</t>
  </si>
  <si>
    <t>Communautés ciblées</t>
  </si>
  <si>
    <t xml:space="preserve"> Diffusion message radio de 2-3mn pour information des communautés ciblées</t>
  </si>
  <si>
    <t>10-aout-18</t>
  </si>
  <si>
    <t>11-aout-18</t>
  </si>
  <si>
    <t>Disponibilité des terrains vérifiés</t>
  </si>
  <si>
    <t>16-aout-18</t>
  </si>
  <si>
    <t>Contractualisation des Agences d'Accompagnement</t>
  </si>
  <si>
    <t>Recrutement d'Agence d'Accompagnement</t>
  </si>
  <si>
    <t>Suivi-évaluation</t>
  </si>
  <si>
    <t>Recrutement de Consultant spécialiste en "score card"</t>
  </si>
  <si>
    <t>SMI publié</t>
  </si>
  <si>
    <t>consultant international pour le programme Score card pour le feed-back des Communautés  recruté et payé</t>
  </si>
  <si>
    <t>Coût unitaire (USD)</t>
  </si>
  <si>
    <t>Coût total (USD)</t>
  </si>
  <si>
    <t>STABILISATION DU COOCM</t>
  </si>
  <si>
    <t>Produire un document en Malagasy relatif au COOCM en vue de commnication au niveau régional</t>
  </si>
  <si>
    <t>Document en Malagasyr relatif au COOCM disponible</t>
  </si>
  <si>
    <t>Nationale</t>
  </si>
  <si>
    <t>Indemnité participant</t>
  </si>
  <si>
    <t>Location de salle</t>
  </si>
  <si>
    <t>Elaborer des documents de communication relatifs au COOCM</t>
  </si>
  <si>
    <t>Document de communication relative au COOCM disponible</t>
  </si>
  <si>
    <t>Communiquer directement au niveau régional les informations liées à la réforme, décrites dans le COOCM</t>
  </si>
  <si>
    <t>COOCM commniqué au niveau régional</t>
  </si>
  <si>
    <t>Préparer le document COOCM pour approbation des autorités compétentes</t>
  </si>
  <si>
    <t>Document COOCM prêt à signer par les autorités compétentes</t>
  </si>
  <si>
    <t>Déposer le document COOCM du MEN pour approbation des autorités compétentes</t>
  </si>
  <si>
    <t>COOCM déposé pour approbation des autorités compétentes</t>
  </si>
  <si>
    <t>Ministre de l'Education Nationale</t>
  </si>
  <si>
    <t>Communiquer par le biais de mass média au grand  public le COOCM en malagasy</t>
  </si>
  <si>
    <t>COOCM publié aux mass média</t>
  </si>
  <si>
    <t>Diffuser le document physique du COOCM  aux utilisateurs</t>
  </si>
  <si>
    <t>Document physique relatif au COOCM  disponible aux utilisateurs</t>
  </si>
  <si>
    <t>Vérifier que les documents COOCM malagasy et français sont disponibles auprès des utilisateurs (concepteurs des programmes d’études, STAFF du MEN, PTFs)</t>
  </si>
  <si>
    <t>Documents COOCM malagasy et français sont disponibles auprès des utilisateurs</t>
  </si>
  <si>
    <t>Concepteurs programmes</t>
  </si>
  <si>
    <t>Loyer, eau, electricite, telephone, redevance</t>
  </si>
  <si>
    <t>Evaluer la compréhension du COOCM par le grand public par le biais d’enquête</t>
  </si>
  <si>
    <t xml:space="preserve">Enquete auprès du grand public réalisée concernant la comprenhension du COOCM réalisée </t>
  </si>
  <si>
    <t>PREPARATION DE L'EQUIPE DE LA DCI POUR LA MISE EN PLACE DE LA REFORME</t>
  </si>
  <si>
    <t>Réaliser un team building</t>
  </si>
  <si>
    <t>Equipe de la DCI formée</t>
  </si>
  <si>
    <t>50 personnel de la DCI formées</t>
  </si>
  <si>
    <t>42 concepteurs de la DCI formées</t>
  </si>
  <si>
    <t>ELABORATION DES NOUVEAUX PROGRAMMES D'ETUDES</t>
  </si>
  <si>
    <t>Préparation de la mise en œuvre de la réforme curriculaire</t>
  </si>
  <si>
    <t>Doter de matériels informatiques et sécurisation des locaux la DCI</t>
  </si>
  <si>
    <t>Matériels informatiques disponibles et locaux de la DCI sécurisés</t>
  </si>
  <si>
    <t>Materiels techniques</t>
  </si>
  <si>
    <t>Logiciels informatiques et assimilés</t>
  </si>
  <si>
    <t>Matériels informatiques, électriques, électroniques et téléphoniques</t>
  </si>
  <si>
    <t>Batiments administratifs</t>
  </si>
  <si>
    <t xml:space="preserve">Elaborer un cahier de charges pour la mise en place des programmes d'études du MEN
</t>
  </si>
  <si>
    <t>cahier de charges pour la mise en place des programmes d'études du MEN disponible</t>
  </si>
  <si>
    <t>Téléphone</t>
  </si>
  <si>
    <t>Sensibiliser et communiquer au grand public le nouveau calendrier scolaire : volume horaire par matière et emploi du temps</t>
  </si>
  <si>
    <t>Nouveau calendrier scolaire : volume horaire par matière et emploi du temps communiqué au grand public</t>
  </si>
  <si>
    <t>Capitaliser les expériences des pays étrangers en matière de curriculum de l'éducation</t>
  </si>
  <si>
    <t>Echange d'expérience réalisé par les membres du noyau dur</t>
  </si>
  <si>
    <t>Conception et élaboration de la premaquêtte de l'EF</t>
  </si>
  <si>
    <t xml:space="preserve">Recruter des responsables d'écriture des programmes d'études  </t>
  </si>
  <si>
    <t>44 Concepteurs pour écrire les programmes d'études recrutés</t>
  </si>
  <si>
    <t>Concevoir un module de formation des concepteurs de la prémaquette</t>
  </si>
  <si>
    <t>01 Module de formation des concepteurs de prémaquette disponible</t>
  </si>
  <si>
    <t xml:space="preserve">Recruter un expert international pour assurer la scientificité de l'écritures des nouveaux programmes d'études </t>
  </si>
  <si>
    <t>- contrat signé ;
- Remarque afin d'assurer la scientificité des productions disponible;
- Rapport disponible.</t>
  </si>
  <si>
    <t>Assistance technique</t>
  </si>
  <si>
    <t>Composante 6 : PART VARIABLE</t>
  </si>
  <si>
    <r>
      <t>- Agence de production recrutée
-</t>
    </r>
    <r>
      <rPr>
        <sz val="7"/>
        <rFont val="Times New Roman"/>
        <family val="1"/>
      </rPr>
      <t xml:space="preserve">         </t>
    </r>
    <r>
      <rPr>
        <sz val="12"/>
        <rFont val="Times New Roman"/>
        <family val="1"/>
      </rPr>
      <t>Chanson et Clip PSE  disponibles</t>
    </r>
  </si>
  <si>
    <r>
      <t>-</t>
    </r>
    <r>
      <rPr>
        <sz val="7"/>
        <rFont val="Times New Roman"/>
        <family val="1"/>
      </rPr>
      <t xml:space="preserve">         </t>
    </r>
    <r>
      <rPr>
        <sz val="12"/>
        <rFont val="Times New Roman"/>
        <family val="1"/>
      </rPr>
      <t>Chanson PSE et Clip PSE diffusés sur 60 radios et TV dans tout Madagascar</t>
    </r>
  </si>
  <si>
    <t>TOTAL :</t>
  </si>
  <si>
    <t>Sous-composante 44: Exécutin du Projet</t>
  </si>
  <si>
    <t xml:space="preserve">Sous-composante 45: Appui activités préparation du projet </t>
  </si>
  <si>
    <t xml:space="preserve">activités préparation du projet </t>
  </si>
  <si>
    <t>Cabinet de recrutement de personnel (UFP) recruté</t>
  </si>
  <si>
    <t>Consultants pour assistance technique au projet (UFP) recruté</t>
  </si>
  <si>
    <t>Fournitures et consommables pour le fonctionnement de l'UFP disponibles</t>
  </si>
  <si>
    <t>Gestion du Projet, Renforcement en Gestion Administrative (Fonctionnement UFP ) assuré</t>
  </si>
  <si>
    <t>Janvier</t>
  </si>
  <si>
    <t>Février</t>
  </si>
  <si>
    <t>usd</t>
  </si>
  <si>
    <t>pcop</t>
  </si>
  <si>
    <t xml:space="preserve">cabinet recrutement </t>
  </si>
  <si>
    <t>fournitures et services</t>
  </si>
  <si>
    <t>recrutement consultants autres que ufp et plateforme: 92060</t>
  </si>
  <si>
    <t>fournitures consommables equipements ufp : 10667 (papiers, encres, petits équipements,,</t>
  </si>
  <si>
    <t>salaires ufp</t>
  </si>
  <si>
    <t>frais de personnel</t>
  </si>
  <si>
    <t>eau, electricite ,(mai à sept</t>
  </si>
  <si>
    <t>EEL</t>
  </si>
  <si>
    <t>loyer</t>
  </si>
  <si>
    <t>Entretien reparation</t>
  </si>
  <si>
    <t>tel fixe</t>
  </si>
  <si>
    <t>tel mobile (flotte)</t>
  </si>
  <si>
    <t>internet</t>
  </si>
  <si>
    <t>frais bancaire</t>
  </si>
  <si>
    <t>reunion mensuelle</t>
  </si>
  <si>
    <t>mission supervision</t>
  </si>
  <si>
    <t>transport et mission</t>
  </si>
  <si>
    <t>AUTRES : PTA A PROGRAMMER</t>
  </si>
  <si>
    <t>Sous-composante 44: Exécution du Projet</t>
  </si>
  <si>
    <t>ateliers et consultants additionnels</t>
  </si>
  <si>
    <t>Fonctionnement  UFP</t>
  </si>
  <si>
    <t>Sous-total Exécution du Projet :</t>
  </si>
  <si>
    <t>sous-total Fonctionnement :</t>
  </si>
  <si>
    <t>Informations Régionales sur le lancement du Projet PAEB</t>
  </si>
  <si>
    <t>Lancement Officiel du Projet PAEB</t>
  </si>
  <si>
    <t>assurances véhicules,</t>
  </si>
  <si>
    <t xml:space="preserve">entretien reparation </t>
  </si>
  <si>
    <t>atelier preparation paeb</t>
  </si>
  <si>
    <t xml:space="preserve">Atelier de Renforcement de capacité des encadreurs PSE </t>
  </si>
  <si>
    <t>Formation des CISCO sur l'utilisation des outils de planification</t>
  </si>
  <si>
    <t>Diffusion message radio de 2-3mn pour information des communautés ciblées</t>
  </si>
  <si>
    <t>Total 23173</t>
  </si>
  <si>
    <t>Total 23174</t>
  </si>
  <si>
    <t>Total général</t>
  </si>
  <si>
    <r>
      <t>Demultiplication du 1</t>
    </r>
    <r>
      <rPr>
        <i/>
        <vertAlign val="superscript"/>
        <sz val="12"/>
        <color rgb="FF333333"/>
        <rFont val="Times New Roman"/>
        <family val="1"/>
      </rPr>
      <t>er</t>
    </r>
    <r>
      <rPr>
        <i/>
        <sz val="12"/>
        <color rgb="FF333333"/>
        <rFont val="Times New Roman"/>
        <family val="1"/>
      </rPr>
      <t xml:space="preserve"> draft de plan de stratégie nationale de formation </t>
    </r>
  </si>
  <si>
    <t>- Agence de production recrutée
-         Chanson et Clip PSE  disponibles</t>
  </si>
  <si>
    <t>-         Chanson PSE et Clip PSE diffusés sur 60 radios et TV dans tout Madagascar</t>
  </si>
  <si>
    <t>Total 2313</t>
  </si>
  <si>
    <t>Total 2314</t>
  </si>
  <si>
    <t>Total 2315</t>
  </si>
  <si>
    <t>Total 2431</t>
  </si>
  <si>
    <t>Total 2461</t>
  </si>
  <si>
    <t>Total 2463</t>
  </si>
  <si>
    <t>Total 2472</t>
  </si>
  <si>
    <t>Total 6552</t>
  </si>
  <si>
    <t>Total 6565</t>
  </si>
  <si>
    <t>Total 23171</t>
  </si>
  <si>
    <t>Total 23172</t>
  </si>
  <si>
    <t>Mise à jour des plans type : Recrutement d'un Consultant pour la mise à jour des plans type</t>
  </si>
  <si>
    <t>Acquisition des biens et fournitures : Dotation en matériels informatiques pour la DPFI</t>
  </si>
  <si>
    <t>Acquisition des biens et fournitures : Acquisition de fournitures de bureau pour la DPFI</t>
  </si>
  <si>
    <t>Acquisition des biens et fournitures : Acquisition de logiciel de gestion comptable pour la DAAF</t>
  </si>
  <si>
    <t>Ciblage des sites : Information et validation des outils de planification</t>
  </si>
  <si>
    <t>Ciblage des sites : Edition des outils pour la conduite des sessions d'évaluation des demandes( guide, dépliants,…)</t>
  </si>
  <si>
    <t>Ciblage des sites : Formation des CISCO sur l'utilisation des outils de planification</t>
  </si>
  <si>
    <t>Ciblage des sites : Diffusion message radio de 2-3mn  pour information du projet</t>
  </si>
  <si>
    <t>Ciblage des sites : Mission de supervision/observations durant les séances d'évaluation des demandes</t>
  </si>
  <si>
    <t>Ciblage des sites : Diffusion message radio de 2-3mn pour information des communautés ciblées</t>
  </si>
  <si>
    <t>Ciblage des sites:  Mission de vérification de la disponibilité de terrain et des critères environnementaux</t>
  </si>
  <si>
    <t>Contractualisation des Agences d'Accompagnement Recrutement d'Agence d'Accompagnement</t>
  </si>
  <si>
    <t>Préparation de la mise en œuvre de la réforme curriculaire : Doter de matériels informatiques et sécurisation des locaux la DCI</t>
  </si>
  <si>
    <t xml:space="preserve">Préparation de la mise en œuvre de la réforme curriculaire : Elaborer un cahier de charges pour la mise en place des programmes d'études du MEN
</t>
  </si>
  <si>
    <t>Préparation de la mise en œuvre de la réforme curriculaire : Sensibiliser et communiquer au grand public le nouveau calendrier scolaire : volume horaire par matière et emploi du temps</t>
  </si>
  <si>
    <t>Préparation de la mise en œuvre de la réforme curriculaire : Capitaliser les expériences des pays étrangers en matière de curriculum de l'éducation</t>
  </si>
  <si>
    <t xml:space="preserve">Conception et élaboration de la premaquêtte de l'EF : Recruter des responsables d'écriture des programmes d'études  </t>
  </si>
  <si>
    <t>Conception et élaboration de la premaquêtte de l'EF : Concevoir un module de formation des concepteurs de la prémaquette</t>
  </si>
  <si>
    <t xml:space="preserve">Conception et élaboration de la premaquêtte de l'EF : Recruter un expert international pour assurer la scientificité de l'écritures des nouveaux programmes d'études </t>
  </si>
  <si>
    <t xml:space="preserve">01 consultant national recruté
Rapport de consultance validé par le MEN / 20 cadres de l'UEAS formés sur la formation sur l'échantillonnage </t>
  </si>
  <si>
    <t>01 consultant national recruté
Rapport de consultance validé par le MEN / 20 cadres de l'UEAS formés sur l'utilisation de STATA</t>
  </si>
  <si>
    <t>01 consultant national recruté
Rapport de consultance validé par le MEN / 20 cadres de l'UEAS formés sur la formulation de politique à partir des résultats d'évaluation</t>
  </si>
  <si>
    <t>location de 22 matériels de sonorisation</t>
  </si>
  <si>
    <t>Indemnité 88 Missionnaires Agents de la communication, RCR et des APSE</t>
  </si>
  <si>
    <t>Sous - total : 23174</t>
  </si>
  <si>
    <t>Total :</t>
  </si>
  <si>
    <t>Sous - total : 23173</t>
  </si>
  <si>
    <t>Sous - total : 2461</t>
  </si>
  <si>
    <t>Sous - total : 2313</t>
  </si>
  <si>
    <t>Sous - total : 2315</t>
  </si>
  <si>
    <t>Sous - total : 6552</t>
  </si>
  <si>
    <t>Sous - total : 6565</t>
  </si>
  <si>
    <t>Sous - total : 23172</t>
  </si>
  <si>
    <t>Sous - total : 23171</t>
  </si>
  <si>
    <t>Sous - total : 2463</t>
  </si>
  <si>
    <t>Sous - total : : 2313</t>
  </si>
  <si>
    <t>Sous - total : 2464</t>
  </si>
  <si>
    <t>Sous - total : 2431</t>
  </si>
  <si>
    <t>Sous - total : 2314</t>
  </si>
  <si>
    <t>Sous - total : 2472</t>
  </si>
  <si>
    <t>Lancement de la passation de marchés</t>
  </si>
  <si>
    <t>Formation des BCAF des Cisco de 22 Dren sur le suivi des fonds transférés aux Ecoles</t>
  </si>
  <si>
    <t>BCAF formés et outillés</t>
  </si>
  <si>
    <t>Suivi et contrôle des paiements et des justificatifs</t>
  </si>
  <si>
    <t>Rapport financier et P.J disponibles</t>
  </si>
  <si>
    <t>STD des 22 Dren informés</t>
  </si>
  <si>
    <t>Lancement Officiel réalisé</t>
  </si>
  <si>
    <t>Autres</t>
  </si>
  <si>
    <t>Indemnité, hebergement frais déplacement</t>
  </si>
  <si>
    <t>mission de suivi et contrôle</t>
  </si>
  <si>
    <t>publicités, média</t>
  </si>
  <si>
    <t>ateliers, indemnité, cocktail…</t>
  </si>
  <si>
    <t>Total 2318</t>
  </si>
  <si>
    <t>Total 23175</t>
  </si>
  <si>
    <t>Annexe n°3 - Modèle Programme d'Emploi</t>
  </si>
  <si>
    <t>Institution ou Ministère en charge de la tutèlle technique :</t>
  </si>
  <si>
    <t>N° compte (1)</t>
  </si>
  <si>
    <t>Intitulé</t>
  </si>
  <si>
    <t>Décaissement</t>
  </si>
  <si>
    <t>T=AF1 + AF2 + AF3 + AF4</t>
  </si>
  <si>
    <t>AF1</t>
  </si>
  <si>
    <t>AF2</t>
  </si>
  <si>
    <t>AF3</t>
  </si>
  <si>
    <t>AF4</t>
  </si>
  <si>
    <t>(1) à détailler à la quatrième position suivant la structure de la dépenses de chaque Projet et Agence d'exécution conformément à la classification du PCOP</t>
  </si>
  <si>
    <t>(2) à détailler à la cinquième position pour les comptes 2017 et 2317</t>
  </si>
  <si>
    <t>AFR</t>
  </si>
  <si>
    <t>RA = T - AFR - FA</t>
  </si>
  <si>
    <t>Annexe n°5 - Modèle état détaillé des destinations des fonds objets d'appel</t>
  </si>
  <si>
    <t>Paiement des dépenses Comptes secondaires (3)</t>
  </si>
  <si>
    <t xml:space="preserve">Banque: </t>
  </si>
  <si>
    <t xml:space="preserve">Agence : </t>
  </si>
  <si>
    <t>N° compte :</t>
  </si>
  <si>
    <t>(3) Ajouter autant de colonnes que de compte secondaires.</t>
  </si>
  <si>
    <t>AF5</t>
  </si>
  <si>
    <t>AF6</t>
  </si>
  <si>
    <t>Plan régional de formation élaboré</t>
  </si>
  <si>
    <t>SMI publié,consultant international pour le programme Score card pour le feed-back des Communautés  recruté et payé</t>
  </si>
  <si>
    <t xml:space="preserve">Indemnités des participants , frais de transports ..payés </t>
  </si>
  <si>
    <t>Acquisition fongibles réalisée ,Indemnités des participants , frais de transports ..payés</t>
  </si>
  <si>
    <t>50 personnel de la DCI formées,50 personnel de la DCI formées,42 concepteurs de la DCI formées</t>
  </si>
  <si>
    <t xml:space="preserve"> Projet d'Appui à l'Education de Base - " PAEB "</t>
  </si>
  <si>
    <t>MEN</t>
  </si>
  <si>
    <t>EN ARIARY</t>
  </si>
  <si>
    <t>Fonds demandés</t>
  </si>
  <si>
    <t>Demande de fonds réaliseés</t>
  </si>
  <si>
    <t>Fonds demandées</t>
  </si>
  <si>
    <t>Reste à demander</t>
  </si>
  <si>
    <t xml:space="preserve">Agence d'exécution : </t>
  </si>
  <si>
    <t xml:space="preserve">Monnaie / Devise : </t>
  </si>
  <si>
    <t>Annexe n°4 - Modèle état détaillé de la Demande de fonds</t>
  </si>
  <si>
    <t>Ministère de l'Education Nationale - Direction Générale en Chargé de la Pédagogie (DGP)</t>
  </si>
  <si>
    <r>
      <rPr>
        <sz val="14"/>
        <color theme="1"/>
        <rFont val="Calibri"/>
        <family val="2"/>
        <scheme val="minor"/>
      </rPr>
      <t>Date prévisionnelle de la demande de fonds</t>
    </r>
    <r>
      <rPr>
        <b/>
        <sz val="14"/>
        <color theme="1"/>
        <rFont val="Calibri"/>
        <family val="2"/>
        <scheme val="minor"/>
      </rPr>
      <t xml:space="preserve"> : Jan - Fév</t>
    </r>
  </si>
  <si>
    <t>Le Régisseur Principal</t>
  </si>
  <si>
    <t>Compte principal n°</t>
  </si>
  <si>
    <t xml:space="preserve">Régisseur(s) : </t>
  </si>
  <si>
    <t>Banque: Société Générale</t>
  </si>
  <si>
    <t xml:space="preserve">Projet : </t>
  </si>
  <si>
    <t>Projet d'Appui à l'Education de Base - " PAEB - DLI"</t>
  </si>
  <si>
    <t xml:space="preserve">                                                                           Le Chef de Projet</t>
  </si>
  <si>
    <t>Le Chef de Projet</t>
  </si>
  <si>
    <t>Agence :</t>
  </si>
  <si>
    <r>
      <t xml:space="preserve">N° compte : </t>
    </r>
    <r>
      <rPr>
        <b/>
        <sz val="14"/>
        <color rgb="FFFF0000"/>
        <rFont val="Calibri"/>
        <family val="2"/>
        <scheme val="minor"/>
      </rPr>
      <t>00008 00005 05004011306 60</t>
    </r>
  </si>
  <si>
    <r>
      <rPr>
        <sz val="14"/>
        <color theme="1"/>
        <rFont val="Calibri"/>
        <family val="2"/>
        <scheme val="minor"/>
      </rPr>
      <t>Date prévisionnelle de la demande de fonds</t>
    </r>
    <r>
      <rPr>
        <b/>
        <sz val="14"/>
        <color theme="1"/>
        <rFont val="Calibri"/>
        <family val="2"/>
        <scheme val="minor"/>
      </rPr>
      <t xml:space="preserve"> : Mars - Avril</t>
    </r>
  </si>
  <si>
    <r>
      <rPr>
        <sz val="14"/>
        <color theme="1"/>
        <rFont val="Calibri"/>
        <family val="2"/>
        <scheme val="minor"/>
      </rPr>
      <t>Date prévisionnelle de la demande de fonds</t>
    </r>
    <r>
      <rPr>
        <b/>
        <sz val="14"/>
        <color theme="1"/>
        <rFont val="Calibri"/>
        <family val="2"/>
        <scheme val="minor"/>
      </rPr>
      <t xml:space="preserve"> : Mai -Juin</t>
    </r>
  </si>
  <si>
    <r>
      <rPr>
        <sz val="14"/>
        <color theme="1"/>
        <rFont val="Calibri"/>
        <family val="2"/>
        <scheme val="minor"/>
      </rPr>
      <t>Date prévisionnelle de la demande de fonds</t>
    </r>
    <r>
      <rPr>
        <b/>
        <sz val="14"/>
        <color theme="1"/>
        <rFont val="Calibri"/>
        <family val="2"/>
        <scheme val="minor"/>
      </rPr>
      <t xml:space="preserve"> : Juillet - Août</t>
    </r>
  </si>
  <si>
    <r>
      <rPr>
        <sz val="14"/>
        <color theme="1"/>
        <rFont val="Calibri"/>
        <family val="2"/>
        <scheme val="minor"/>
      </rPr>
      <t>Date prévisionnelle de la demande de fonds</t>
    </r>
    <r>
      <rPr>
        <b/>
        <sz val="14"/>
        <color theme="1"/>
        <rFont val="Calibri"/>
        <family val="2"/>
        <scheme val="minor"/>
      </rPr>
      <t xml:space="preserve"> : Sept -Oct</t>
    </r>
  </si>
  <si>
    <r>
      <rPr>
        <sz val="14"/>
        <color theme="1"/>
        <rFont val="Calibri"/>
        <family val="2"/>
        <scheme val="minor"/>
      </rPr>
      <t>Date prévisionnelle de la demande de fonds</t>
    </r>
    <r>
      <rPr>
        <b/>
        <sz val="14"/>
        <color theme="1"/>
        <rFont val="Calibri"/>
        <family val="2"/>
        <scheme val="minor"/>
      </rPr>
      <t xml:space="preserve"> : Nov - Déc</t>
    </r>
  </si>
  <si>
    <t>Demande de fonds (2022)</t>
  </si>
  <si>
    <t>Le Régisseur Titulaire</t>
  </si>
  <si>
    <t>AMBOASARY SUD</t>
  </si>
  <si>
    <t>, le _24 AOUT 2023</t>
  </si>
  <si>
    <t>, le 24 AOUT 2023</t>
  </si>
  <si>
    <t xml:space="preserve">MINISTÈRE DE L’ÉDUCATION NATIONALE </t>
  </si>
  <si>
    <t>------------------</t>
  </si>
  <si>
    <t>SECRÉTARIAT GENERAL</t>
  </si>
  <si>
    <t xml:space="preserve">                                                                                                                  DIRECTION DES AFFAIRES ADMINISTRATIVES ET FINANCIERES</t>
  </si>
  <si>
    <t>DIRECTION DES AFFAIRES ADMINISTRATIVES ET FINANCIERES</t>
  </si>
  <si>
    <t xml:space="preserve">                                       ---------------</t>
  </si>
  <si>
    <t>PROJET D’APPUI A L’ÉDUCATION DE BASE / DLI</t>
  </si>
  <si>
    <t>Date :</t>
  </si>
  <si>
    <r>
      <rPr>
        <b/>
        <u/>
        <sz val="10"/>
        <rFont val="Times New Roman"/>
        <family val="1"/>
      </rPr>
      <t>Objet</t>
    </r>
    <r>
      <rPr>
        <b/>
        <sz val="10"/>
        <rFont val="Times New Roman"/>
        <family val="1"/>
      </rPr>
      <t>:</t>
    </r>
  </si>
  <si>
    <t>FORMATION 192 ENSEIGNATS</t>
  </si>
  <si>
    <t>Lieu :</t>
  </si>
  <si>
    <t>Lieu de réalisation :</t>
  </si>
  <si>
    <t>BUDGET DETAILE</t>
  </si>
  <si>
    <t>N°</t>
  </si>
  <si>
    <t>Nom et Prénoms</t>
  </si>
  <si>
    <t>Fonction</t>
  </si>
  <si>
    <t>Localité de service</t>
  </si>
  <si>
    <t>Qualité des agents (formateur,encadreur/participant, formé)</t>
  </si>
  <si>
    <t>Type de déplacement (Avion, voiture administrative, moto, pirogue, etc.)</t>
  </si>
  <si>
    <t>Catégorie des Agents
(Non-résident ou résident, cf. Grille harmonisée- PTF)</t>
  </si>
  <si>
    <t>Lieu de destination</t>
  </si>
  <si>
    <t>Date de départ
de la localité de service</t>
  </si>
  <si>
    <t>Date d'arrivée à la localité de service</t>
  </si>
  <si>
    <t>Durée de l'activité</t>
  </si>
  <si>
    <t>DELAI DE ROUTE</t>
  </si>
  <si>
    <t>INDEMNITES</t>
  </si>
  <si>
    <t>Total (6) = (4)+(5)</t>
  </si>
  <si>
    <t>FRAIS DE DEPLACEMENT</t>
  </si>
  <si>
    <r>
      <t xml:space="preserve">TOTAL (Ar)
</t>
    </r>
    <r>
      <rPr>
        <b/>
        <sz val="12"/>
        <rFont val="Calibri"/>
        <family val="2"/>
        <scheme val="minor"/>
      </rPr>
      <t>(11)=(3)+(6)+(10)</t>
    </r>
  </si>
  <si>
    <t>Total (3)  = (1)+(2)</t>
  </si>
  <si>
    <t>Distance A/R</t>
  </si>
  <si>
    <t>Coût unitaire 
(cf.Type de déplacement -  Grille harmonisée -PTF)</t>
  </si>
  <si>
    <t>Montant (7) 
cf. Modalité -  Grille harmonisée- PTF)</t>
  </si>
  <si>
    <t>Avion (8)</t>
  </si>
  <si>
    <t>Frais forfaitaires de déplacement pour l'aéroport (9)</t>
  </si>
  <si>
    <t>Total frais déplacement 
(10)=(7)+(8)+(9)</t>
  </si>
  <si>
    <t>Nbre jours</t>
  </si>
  <si>
    <t>Taux</t>
  </si>
  <si>
    <t>Total Per Diem (1)</t>
  </si>
  <si>
    <t>Nbre Nuitées</t>
  </si>
  <si>
    <t>Total Hébergement (2)</t>
  </si>
  <si>
    <t>Total Per Diem (4)</t>
  </si>
  <si>
    <t>Nombre Nuitées</t>
  </si>
  <si>
    <t>taux</t>
  </si>
  <si>
    <t>Total Hébergement (5)</t>
  </si>
  <si>
    <t>RAHARISOA PATRICIA</t>
  </si>
  <si>
    <t>T2</t>
  </si>
  <si>
    <t>EPP AMBOASARY CENTRE</t>
  </si>
  <si>
    <t>Participants</t>
  </si>
  <si>
    <t>MARCHE A PIED</t>
  </si>
  <si>
    <t>résident</t>
  </si>
  <si>
    <t>RAMANANTENA CHRISTIAN</t>
  </si>
  <si>
    <t>T4</t>
  </si>
  <si>
    <t>RAVONDRAIKY JEANNE NOELGINE PAQUERRETTE</t>
  </si>
  <si>
    <t>T3</t>
  </si>
  <si>
    <t>MAMITIANA ROSIA</t>
  </si>
  <si>
    <t>T1</t>
  </si>
  <si>
    <t>KAZY TSIHOAIA RAZANATSOA ELVINE</t>
  </si>
  <si>
    <t>EPP ANARABAJY</t>
  </si>
  <si>
    <t>SAILAMBO TOHIRENE</t>
  </si>
  <si>
    <t>MAKA TSIVAHINY</t>
  </si>
  <si>
    <t>SOJA MAHAVATSE MARTIN</t>
  </si>
  <si>
    <t>T5</t>
  </si>
  <si>
    <t>MASY FIDINDRAZAE</t>
  </si>
  <si>
    <t>MARA TSIHANAO</t>
  </si>
  <si>
    <t>EPP ANKAMENA-SSM</t>
  </si>
  <si>
    <t>TSARANJARA FIDELINE</t>
  </si>
  <si>
    <t>LAHIVEGNA MARCO</t>
  </si>
  <si>
    <t>EPP ANTSOGNONABO TANAMAHAVELO</t>
  </si>
  <si>
    <t>VOLA ZINA MALALA</t>
  </si>
  <si>
    <t>RASOANANDRASANA PATIANCE</t>
  </si>
  <si>
    <t>TEMA VOLOLONIRINA MAURCIA</t>
  </si>
  <si>
    <t>EPP ANKARA MORAFENO</t>
  </si>
  <si>
    <t>VOLA LAHATSAZEE</t>
  </si>
  <si>
    <t>MBOLA TSILILY MANAMPISOA</t>
  </si>
  <si>
    <t>EPP ANKILEISOKE</t>
  </si>
  <si>
    <t>HAOVA FAFIRANOSOA</t>
  </si>
  <si>
    <t>RATEFINJANAHARY SOANDRO JOCELYN</t>
  </si>
  <si>
    <t>EPP BERANO-GALLOIS</t>
  </si>
  <si>
    <t>FANAMBINANA RODELSON</t>
  </si>
  <si>
    <t>TEMA SOANIRAHIE</t>
  </si>
  <si>
    <t>EPP BEVALA DP</t>
  </si>
  <si>
    <t>TSIVAHINY MAHASAMBATSE</t>
  </si>
  <si>
    <t>TATASOA JEAN SYLVAIN</t>
  </si>
  <si>
    <t>ZEMEY PROSPERINE</t>
  </si>
  <si>
    <t>EPP BEVALA-GALLOIS</t>
  </si>
  <si>
    <t>RAZANAVOLOLONA MANARIARIVO SANDRINE EDMOUND</t>
  </si>
  <si>
    <t>MIZA HAJASOA ANJARASOA MAROVAVY SANDRINE</t>
  </si>
  <si>
    <t>DAME KIRIKE</t>
  </si>
  <si>
    <t>EPP FONDRAKADY MAHASOA</t>
  </si>
  <si>
    <t>MAKA CHARLES</t>
  </si>
  <si>
    <t>MARA LAHIMBARA PROSPER</t>
  </si>
  <si>
    <t>EPP HOVOTSOTSY</t>
  </si>
  <si>
    <t>SOAMAGNEVA LOUISELLA</t>
  </si>
  <si>
    <t>AZESOA ROSELA</t>
  </si>
  <si>
    <t>OLINIAINA MAMY LUCIENNE BRUNETTE</t>
  </si>
  <si>
    <t>EPP LOVASOA BEHABOBO</t>
  </si>
  <si>
    <t>RAFALIARITIANA CLARITTA</t>
  </si>
  <si>
    <t>TSIOMBOTA JAKIELA</t>
  </si>
  <si>
    <t>EPP ROMBAZY</t>
  </si>
  <si>
    <t>Non résident</t>
  </si>
  <si>
    <t>MOSA FIAMBENA</t>
  </si>
  <si>
    <t>EPP SOARAVINA LIMBY</t>
  </si>
  <si>
    <t>MASY LIMBEISOKE ARLINE</t>
  </si>
  <si>
    <t>RAZANANDRAVONY TAHIRIZEE SOLANGE</t>
  </si>
  <si>
    <t>RASOANANTENAINA ERNESTINE</t>
  </si>
  <si>
    <t>EPP SPSM</t>
  </si>
  <si>
    <t>RAZAFIMAMPIONONA BERTHIN CHRYSOSTOME</t>
  </si>
  <si>
    <t>RAZANAMANGA JEANNELICE</t>
  </si>
  <si>
    <t>RASOANOMENJANAHARY GEORGETTE</t>
  </si>
  <si>
    <t>EPP TARANANTSOA ANKITRY</t>
  </si>
  <si>
    <t>DAMY FISAORA</t>
  </si>
  <si>
    <t>RASOAMANANKAVANA PIERRETTE</t>
  </si>
  <si>
    <t>EPP ANDALOA BEDARO</t>
  </si>
  <si>
    <t>MANAGNANDRO LAMBO MARSON FULGENCE</t>
  </si>
  <si>
    <t>ANJARASOA FLORENTINE</t>
  </si>
  <si>
    <t>EPP ANKAMENA/TANANTSOA</t>
  </si>
  <si>
    <t>NOFISOA ROSINE</t>
  </si>
  <si>
    <t>MOSA</t>
  </si>
  <si>
    <t>EPP ANKILIMIARY CENTRE</t>
  </si>
  <si>
    <t>MANAHIRA LÉONEL</t>
  </si>
  <si>
    <t>HANTA ZAFINDRAFIORENA JEANINE</t>
  </si>
  <si>
    <t>SOANAVEREE</t>
  </si>
  <si>
    <t>SAILAMBO FIRAISANTSOA</t>
  </si>
  <si>
    <t>EPP BEDARO</t>
  </si>
  <si>
    <t>MARA VORIHERY JUSTIN</t>
  </si>
  <si>
    <t>RAZAFINDRATENA MARIE MARCELETTE</t>
  </si>
  <si>
    <t>MARA MAHAZOLILY</t>
  </si>
  <si>
    <t>ANDRIAMBELOMANANA JOHN ALEXANDRE</t>
  </si>
  <si>
    <t>EPP MORAFENO</t>
  </si>
  <si>
    <t>MAMENOSOA</t>
  </si>
  <si>
    <t>RALAHIKOA GEORGES</t>
  </si>
  <si>
    <t>MAMISOA NADIA JUDICAEL</t>
  </si>
  <si>
    <t>RAZAFIMANDIMBY JEAN FELICIEN</t>
  </si>
  <si>
    <t>EPP TANAMBAO</t>
  </si>
  <si>
    <t>TIANDRAINY CAMILLE</t>
  </si>
  <si>
    <t>RASOANAMBININA BLANDINE</t>
  </si>
  <si>
    <t>RAZANASOA LUCIE</t>
  </si>
  <si>
    <t>MAHO GAZETEE</t>
  </si>
  <si>
    <t>T2      T3</t>
  </si>
  <si>
    <t>EPP TARANTY BAS</t>
  </si>
  <si>
    <t>SIJA GUSTAVINE</t>
  </si>
  <si>
    <t>MANOHISOA SOAFIAVY TOHANDRAINY</t>
  </si>
  <si>
    <t>EPP TARANTY-AMBENDRA</t>
  </si>
  <si>
    <t>SOROGNAZEE</t>
  </si>
  <si>
    <t>HAOVA ZELIRAE</t>
  </si>
  <si>
    <t>EPP ANDAVABAZA</t>
  </si>
  <si>
    <t>MONJA TSIMIATOA</t>
  </si>
  <si>
    <t>MAHO LANJIRAY</t>
  </si>
  <si>
    <t>T1      T2</t>
  </si>
  <si>
    <t>EPP ANDRANOGISO</t>
  </si>
  <si>
    <t>RAZAFIMBOLOKOE VORIAMAE JULIENNE</t>
  </si>
  <si>
    <t>FOENDRAZA BONNE CHANCE</t>
  </si>
  <si>
    <t>EPP ANKASIKITOKA</t>
  </si>
  <si>
    <t>FAGNAHISOA BERTRICE</t>
  </si>
  <si>
    <t>MARA TSIMIREKE</t>
  </si>
  <si>
    <t>EPP BEHARA</t>
  </si>
  <si>
    <t>TSIRAIKE MANDAMAFIORINA JOSEPH</t>
  </si>
  <si>
    <t>RAKONIAINA HERINJAKA RICHARDO</t>
  </si>
  <si>
    <t>TEMA ZAFISOA LYDIA</t>
  </si>
  <si>
    <t>TEMA MALALA BRUCILLA</t>
  </si>
  <si>
    <t>MOSA REMIFAHATSE</t>
  </si>
  <si>
    <t>MANANDAHY JEAN PRIMEX</t>
  </si>
  <si>
    <t>LAHA MAHAVELO</t>
  </si>
  <si>
    <t>VITAGNALY EDOUARD</t>
  </si>
  <si>
    <t>EPP FANDIOVA</t>
  </si>
  <si>
    <t>MOSA TSIHALA</t>
  </si>
  <si>
    <t>TSINAMPOIZIKO SERGE</t>
  </si>
  <si>
    <t>EPP HELIBONDRO</t>
  </si>
  <si>
    <t>RAZAFIMAHEFA HONORE</t>
  </si>
  <si>
    <t>MBOLA VONDILY</t>
  </si>
  <si>
    <t>RAFIDISON MONJA ALIX</t>
  </si>
  <si>
    <t>LAMBO MEDITASH</t>
  </si>
  <si>
    <t>LAHITIAKO ALIJAONA NARCISSE NORBERT</t>
  </si>
  <si>
    <t>EPP MASIABIBY</t>
  </si>
  <si>
    <t>MIZA ESTELLE</t>
  </si>
  <si>
    <t>SOJA REMANDAMY</t>
  </si>
  <si>
    <t>LAHA MAMPITOHY</t>
  </si>
  <si>
    <t>RASOAMALALA MANJOSOA JEROME</t>
  </si>
  <si>
    <t>EPP ANDREGNARA</t>
  </si>
  <si>
    <t>JEAN MAKA ZAFIMANDIMBY</t>
  </si>
  <si>
    <t>EPP ANKERA/SNTP</t>
  </si>
  <si>
    <t>TOVASOA LALA</t>
  </si>
  <si>
    <t>EPP ANKIRIKIRIKA</t>
  </si>
  <si>
    <t>HAOVA VOLOLONIRINA BIEN -VENUE NOMENJANAHARY</t>
  </si>
  <si>
    <t>DAMY TOVONTSOA</t>
  </si>
  <si>
    <t>MARA MASON</t>
  </si>
  <si>
    <t>LAHA MBEHOAFAKA</t>
  </si>
  <si>
    <t>T1  T2  T3  T4</t>
  </si>
  <si>
    <t>EPP BEALOKE</t>
  </si>
  <si>
    <t>MAHO CHRISTINE</t>
  </si>
  <si>
    <t>EPP ESATRA BEVIA</t>
  </si>
  <si>
    <t>MIZA ANJARASOA TSIAFAKAZEE</t>
  </si>
  <si>
    <t>T1   T2</t>
  </si>
  <si>
    <t>EPP RANOMAINTY</t>
  </si>
  <si>
    <t>FARAVAVY DAUPHINE</t>
  </si>
  <si>
    <t>EPP AMBANIZA</t>
  </si>
  <si>
    <t>SAMBO AVIAGNOMBY</t>
  </si>
  <si>
    <t>VOLA VARASOA</t>
  </si>
  <si>
    <t>EPP AMBASY CENTRE</t>
  </si>
  <si>
    <t>LAHA FIRAZAGNA JOCELYN</t>
  </si>
  <si>
    <t>EPP AMBASY TANAMBAO</t>
  </si>
  <si>
    <t>VAHA TAHIE</t>
  </si>
  <si>
    <t>EPP AMBOLOVOHITSE TANAMIARY</t>
  </si>
  <si>
    <t>RAZANADRAINY TSITOHARA ARISTIDE</t>
  </si>
  <si>
    <t>T1 T4 T5</t>
  </si>
  <si>
    <t>MONJA MAHASAMBATSE</t>
  </si>
  <si>
    <t>EPP AMBOLOVOHITSY</t>
  </si>
  <si>
    <t>MARY TOETSOA</t>
  </si>
  <si>
    <t>EPP AMPASIMPOLAKA</t>
  </si>
  <si>
    <t>KAZY MAROVAVY</t>
  </si>
  <si>
    <t>EPP ANKARA BERANO</t>
  </si>
  <si>
    <t>SIJA SOA</t>
  </si>
  <si>
    <t>EPP BEVOANGY</t>
  </si>
  <si>
    <t>MAKA MAMELONDRAY</t>
  </si>
  <si>
    <t>ZAVATSOA FANOMEZANJANAHARY FRANCOISE</t>
  </si>
  <si>
    <t>EPP MANITSEVO</t>
  </si>
  <si>
    <t>LAMBO FAMORIA</t>
  </si>
  <si>
    <t>MONJA MAHATONDRA PROSPER</t>
  </si>
  <si>
    <t>EPP MAROAIKY II</t>
  </si>
  <si>
    <t>AFISAZIE ESTINE</t>
  </si>
  <si>
    <t>EPP AMBOETSE</t>
  </si>
  <si>
    <t>EPP IFOTAKA CENTRE</t>
  </si>
  <si>
    <t>DAMY MIANDRISOA JEAN RENE</t>
  </si>
  <si>
    <t>EPP ANKILEHAMBA</t>
  </si>
  <si>
    <t>RETSIKIVY MANANDAHY</t>
  </si>
  <si>
    <t>EPP BEVALAY</t>
  </si>
  <si>
    <t>TEMA</t>
  </si>
  <si>
    <t>EPP EBELO</t>
  </si>
  <si>
    <t>RAVELOMPANAHY SOLONIAINA LOVASOA OLIVA</t>
  </si>
  <si>
    <t>MASY SITRAPOKO NIRIKO</t>
  </si>
  <si>
    <t>EPP KAPILA</t>
  </si>
  <si>
    <t>SOJA FAHAMARO MBEAHY</t>
  </si>
  <si>
    <t>T2 T3</t>
  </si>
  <si>
    <t>EPP MORARO</t>
  </si>
  <si>
    <t>SOAMILITSE YVETTE</t>
  </si>
  <si>
    <t>TAHINASOA NOMENJANAHARY AFERNANDE</t>
  </si>
  <si>
    <t>EPP VOHIBONDRO</t>
  </si>
  <si>
    <t>LAMBO JOHN</t>
  </si>
  <si>
    <t>ECOLE COMMUNAUTAIRE AMBATOSAROTSY</t>
  </si>
  <si>
    <t>EPP TSIVORY</t>
  </si>
  <si>
    <t>RAMAROLAHY</t>
  </si>
  <si>
    <t>T1   T2  T3</t>
  </si>
  <si>
    <t>ECOLE COMMUNAUTAIRE AMBINANY</t>
  </si>
  <si>
    <t>MANANKERY JEAN BAPTISTE</t>
  </si>
  <si>
    <t>T1   T2  T3  T4</t>
  </si>
  <si>
    <t>EPP ADABOTELO</t>
  </si>
  <si>
    <t>SOLOFONJANAHARY LOUIS DE GONZAGUE</t>
  </si>
  <si>
    <t>EPP SOAMANONGA</t>
  </si>
  <si>
    <t>RAZAFIMAHATRATRA PROFIT</t>
  </si>
  <si>
    <t>EPP TAMOTAMO-BAS</t>
  </si>
  <si>
    <t>RAHAOVANIRINA VOLA CHRISTINE</t>
  </si>
  <si>
    <t>EPP VOLAZATO</t>
  </si>
  <si>
    <t>HOVA RAZAFITIANA ARDINE</t>
  </si>
  <si>
    <t>EPP EMIEBA</t>
  </si>
  <si>
    <t>EPP MAROMBY</t>
  </si>
  <si>
    <t>ALBERTHINE RAZAFINDRADENISE NATALIE</t>
  </si>
  <si>
    <t>EPP ERAMAMY</t>
  </si>
  <si>
    <t>HARENASOA NOMENY ANGELE</t>
  </si>
  <si>
    <t>EPP ESIRA</t>
  </si>
  <si>
    <t>VOLA FRANCINE RAZAFINDRAHOVA</t>
  </si>
  <si>
    <t>EPP MITRAY</t>
  </si>
  <si>
    <t>RAHARISON SOLOFONIRINA FRANCISCO</t>
  </si>
  <si>
    <t>T4 T5</t>
  </si>
  <si>
    <t>TEMA TSIRATSY ROSELINE</t>
  </si>
  <si>
    <t>EPP AMBATOMASY</t>
  </si>
  <si>
    <t>LIAFARAE JANNIE</t>
  </si>
  <si>
    <t>T2      T4</t>
  </si>
  <si>
    <t>EPP AMBALAGNE</t>
  </si>
  <si>
    <t>RATIATANINDRAZANA JEANNE NATACHA</t>
  </si>
  <si>
    <t>EPP ANDROVANOMBY</t>
  </si>
  <si>
    <t>TEMA LOHALALAE</t>
  </si>
  <si>
    <t>EPP BEBAKAKA</t>
  </si>
  <si>
    <t>MAHAZOLAHY LAHINJAFY GASTON</t>
  </si>
  <si>
    <t>EPP BEKIRIA I</t>
  </si>
  <si>
    <t>MAHO SASETY FLORENTINE</t>
  </si>
  <si>
    <t>EPP BELAY</t>
  </si>
  <si>
    <t>KAZY SINOLO</t>
  </si>
  <si>
    <t>EPP BETIOKY</t>
  </si>
  <si>
    <t>LAZAKOABY REMANONJO ROSALIE GERMAINE</t>
  </si>
  <si>
    <t>EPP IFOTAKA</t>
  </si>
  <si>
    <t>MANANTSOLO JACQUIS</t>
  </si>
  <si>
    <t>TAFITA BIENVENU</t>
  </si>
  <si>
    <t>MOSA TSITOROA JOSEPH</t>
  </si>
  <si>
    <t>EPP MATSANDRY</t>
  </si>
  <si>
    <t>DAMY SAMBEANTANA</t>
  </si>
  <si>
    <t>EPP AMBOVO</t>
  </si>
  <si>
    <t>SANA TAMIRIE TAHIENDRAHA</t>
  </si>
  <si>
    <t>EPP ANALOALO</t>
  </si>
  <si>
    <t>MANAMPEHE JEAN BAPTISTE</t>
  </si>
  <si>
    <t>EPP ANJAHAMAVELO II</t>
  </si>
  <si>
    <t>MAMENOSOA ODILE</t>
  </si>
  <si>
    <t>EPP ANJAMAHAVELO</t>
  </si>
  <si>
    <t>LAMBO MINDRIAHY</t>
  </si>
  <si>
    <t>T3  T4</t>
  </si>
  <si>
    <t>EPP ANKATRAFAY</t>
  </si>
  <si>
    <t>KAZY SAFIDISOA FLORENTINE</t>
  </si>
  <si>
    <t>EPP ANKAZOTA</t>
  </si>
  <si>
    <t>IALY VORISAOTSY</t>
  </si>
  <si>
    <t>ANDRIANANTENAINA LOUIS BERNARD</t>
  </si>
  <si>
    <t>EPP ANKILIBE</t>
  </si>
  <si>
    <t>VONINIAINA LYDIA</t>
  </si>
  <si>
    <t>EPP ANKILIMANJOSOA</t>
  </si>
  <si>
    <t>TANTELINIRIENTSOA RANGAVITA</t>
  </si>
  <si>
    <t>EPP BERAKETA</t>
  </si>
  <si>
    <t>IALY FANOMEZANTSOA RELIMBEZA</t>
  </si>
  <si>
    <t>MAMPILAMY BERTRAND</t>
  </si>
  <si>
    <t>EPP FENOAIVO</t>
  </si>
  <si>
    <t>DAME LEONCE FAHAROE</t>
  </si>
  <si>
    <t>EPP TSARAMPIOKY</t>
  </si>
  <si>
    <t>JULIA</t>
  </si>
  <si>
    <t>EDWIGE</t>
  </si>
  <si>
    <t>EPP TSILEHA II</t>
  </si>
  <si>
    <t>MARA MITAHISOA</t>
  </si>
  <si>
    <t>ECOLE COMMUNAUTAIRE AMPAMATA</t>
  </si>
  <si>
    <t>VAHA</t>
  </si>
  <si>
    <t>EPP AMBANINATO</t>
  </si>
  <si>
    <t>MARA JUSTIN MAMPILAMY</t>
  </si>
  <si>
    <t>T1  T3</t>
  </si>
  <si>
    <t>VOLA RAZOEMIRA DITE ROSELINE</t>
  </si>
  <si>
    <t>SAILAMBO TANTEE</t>
  </si>
  <si>
    <t>EPP ANTSEJEBY</t>
  </si>
  <si>
    <t>FARALAHY JEAN ABEL</t>
  </si>
  <si>
    <t>EPP BETANIMENA</t>
  </si>
  <si>
    <t>LIMBERAZA MAKA ARGENTIN</t>
  </si>
  <si>
    <t>EPP MAHABO</t>
  </si>
  <si>
    <t>SIJA ZANASOA LALÀNA</t>
  </si>
  <si>
    <t>EPP AMBIA</t>
  </si>
  <si>
    <t>VAVY SERAPHINE</t>
  </si>
  <si>
    <t>EPP ANIVORANO</t>
  </si>
  <si>
    <t>FANAMPINDRAINY JEANNE ESTELINE</t>
  </si>
  <si>
    <t>EPP MAHALY</t>
  </si>
  <si>
    <t>ZAFINAY EDWIGE</t>
  </si>
  <si>
    <t>EPP AMBATOTSIVALA</t>
  </si>
  <si>
    <t>RASOANANTENAINA ELYSA</t>
  </si>
  <si>
    <t>EPP ANDRAMBOETO</t>
  </si>
  <si>
    <t>RAMANAHIRANTSOA VENANCE SEDAR</t>
  </si>
  <si>
    <t>EPP ANDRANONDAMBO</t>
  </si>
  <si>
    <t>ZAFIMARO BERNARDINE</t>
  </si>
  <si>
    <t>EPP BEFIHAMY</t>
  </si>
  <si>
    <t>MOSA AUGUSTIN MAHAVILY</t>
  </si>
  <si>
    <t>EPP BESAKOA NORD</t>
  </si>
  <si>
    <t>LAHIALY JAEN DE DIEU</t>
  </si>
  <si>
    <t>EPP ESAKA</t>
  </si>
  <si>
    <t>MAKA GILBERT BERNARDIN</t>
  </si>
  <si>
    <t>EPP MAROHOTRO</t>
  </si>
  <si>
    <t>RAMAHEFAMANANA LUTHEUR MORCIEN</t>
  </si>
  <si>
    <t>HOVA SAPHIR</t>
  </si>
  <si>
    <t>EPP SOASERANA</t>
  </si>
  <si>
    <t>RABEFISOKO FARAVAVY ALPHONSINE</t>
  </si>
  <si>
    <t>EPP TANANDAVA NORD</t>
  </si>
  <si>
    <t>RAMANANTENASOA SOPHIE EMELINE</t>
  </si>
  <si>
    <t>EPP TSILOAKARIVO</t>
  </si>
  <si>
    <t>MARIA LIASOAE ODETTE</t>
  </si>
  <si>
    <t>ECOLE COMMUNAUTAIRE ANJANDOAKA</t>
  </si>
  <si>
    <t>VAVINIRINA AUGUSTINE</t>
  </si>
  <si>
    <t>ECOLE COMMUNAUTAIRE BEREA</t>
  </si>
  <si>
    <t>RAZAFINDRASOANOMENJANAHARY ANGELINE PATRICIA</t>
  </si>
  <si>
    <t>EPP ANALAMENA</t>
  </si>
  <si>
    <t>MAHO ODETTE ZEMENY</t>
  </si>
  <si>
    <t>EPP ANTANAMBAO</t>
  </si>
  <si>
    <t>DAMY</t>
  </si>
  <si>
    <t>T1  T2</t>
  </si>
  <si>
    <t>EPP BEFIHAMY NORD</t>
  </si>
  <si>
    <t>RASOANANTENAINA CLARA</t>
  </si>
  <si>
    <t>EPP MAROTSIRAKA</t>
  </si>
  <si>
    <t>HAINGONIAIKO MARINAH</t>
  </si>
  <si>
    <t>EPP SOASERANA II</t>
  </si>
  <si>
    <t>RAZAFINDRAGNANATSY JEAN-BOSCO</t>
  </si>
  <si>
    <t>T1  T2  T3</t>
  </si>
  <si>
    <t>EPP TOMBOHANY</t>
  </si>
  <si>
    <t>MONJA MAHATAMPETSE ELI STEPHAN</t>
  </si>
  <si>
    <t>T1   T2  T3  T4  T5</t>
  </si>
  <si>
    <t>EPP ANKARAMENA</t>
  </si>
  <si>
    <t>FAHAROA PHIDÈL</t>
  </si>
  <si>
    <t>EPP ANKILIMILOPAKY</t>
  </si>
  <si>
    <t>LAMBO MAHAFAHETSE ARMAND</t>
  </si>
  <si>
    <t>RAVAONANTENAINA ANGELINE</t>
  </si>
  <si>
    <t>EPP BESANDRAHY</t>
  </si>
  <si>
    <t>LAMBO NAMBOARY</t>
  </si>
  <si>
    <t>EPP BESOMOTSOY</t>
  </si>
  <si>
    <t>DAMY RAJAOMANAMPATSA SYNPHONIA FLORENT</t>
  </si>
  <si>
    <t>EPP MAHAZOARIVO</t>
  </si>
  <si>
    <t>ANDRIAMAHASONJO BARTHELEMY</t>
  </si>
  <si>
    <t>EPP MASIAPIA</t>
  </si>
  <si>
    <t>RAZAKASOA BIEN EXPRÈS</t>
  </si>
  <si>
    <t>EPP RANOBE</t>
  </si>
  <si>
    <t>IALY TOGNENDRAZA JOSEPH</t>
  </si>
  <si>
    <t>EPP SAHANANDRA</t>
  </si>
  <si>
    <t>KAZY SALAKASOA</t>
  </si>
  <si>
    <t>EPP ANKILIMALAINDIO</t>
  </si>
  <si>
    <t>TEMA AVIREZEE DELTHOPHINE</t>
  </si>
  <si>
    <t>MOSA REMANDAHATSE</t>
  </si>
  <si>
    <t>EPP EZAMBE</t>
  </si>
  <si>
    <t>RAZAFIKINALY FANEVANIAINA</t>
  </si>
  <si>
    <t>VAHA MPANOMPOE VELOMPANAHY ERNESTINE</t>
  </si>
  <si>
    <t>LAMBO FARALAHY</t>
  </si>
  <si>
    <t>EPP MANDRIAMPASY</t>
  </si>
  <si>
    <t>MARY SOANAFENO</t>
  </si>
  <si>
    <t>KAZY GIRADIE</t>
  </si>
  <si>
    <t>EPP SAMPONA</t>
  </si>
  <si>
    <t>MASY FOMEISOA BERNADETTE</t>
  </si>
  <si>
    <t>VOLA RAZAFIARISOAFLORENCE</t>
  </si>
  <si>
    <t>EPP VAHAVOLA</t>
  </si>
  <si>
    <t>LAHA SOLONIAINA</t>
  </si>
  <si>
    <t>SAILAMBO LAHANDRAZANA SYLVESTRINA</t>
  </si>
  <si>
    <t>SAY SOANAVALE</t>
  </si>
  <si>
    <t>ECOLE COMMUNAUTAIRE ANKILIBE MAROAKY</t>
  </si>
  <si>
    <t>MARA TOLIANTSOA</t>
  </si>
  <si>
    <t>EPP AMPASIMAZAVA</t>
  </si>
  <si>
    <t>RANDRIANANTENAINA MAHASOROKE BERNARD</t>
  </si>
  <si>
    <t>EPP ANALAKELY</t>
  </si>
  <si>
    <t>SOJA MANIRISOA</t>
  </si>
  <si>
    <t>EPP ANKILIMIARY AMBONY CENTRE</t>
  </si>
  <si>
    <t>LIMBESOA HARLINE</t>
  </si>
  <si>
    <t>T1  T4</t>
  </si>
  <si>
    <t>EPP ANTOBY-TALIMANA</t>
  </si>
  <si>
    <t>SANA RAMAMPISOA CYNTHE</t>
  </si>
  <si>
    <t>EPP ANTSOVELA VILLE</t>
  </si>
  <si>
    <t>NATASOA YVETTE</t>
  </si>
  <si>
    <t>EPP BEBEA</t>
  </si>
  <si>
    <t>FANOMEZANTSOA ALPHONSINE</t>
  </si>
  <si>
    <t>EPP BETANINANDROKA</t>
  </si>
  <si>
    <t>FAFIRANO PRISCA ALEXIS</t>
  </si>
  <si>
    <t>EPP MAHATOMOTSE</t>
  </si>
  <si>
    <t>HAOVA</t>
  </si>
  <si>
    <t>EPP TANANDAVA SUD</t>
  </si>
  <si>
    <t>SOJA MAMITASOA</t>
  </si>
  <si>
    <t>ZAFIFANOMEZANTSOA MARIE ESTELA</t>
  </si>
  <si>
    <t>T1  T2  T4</t>
  </si>
  <si>
    <t>EPP ANTARALAVA</t>
  </si>
  <si>
    <t>MONJA CLAUDE</t>
  </si>
  <si>
    <t>EPP TOMBOARIVO</t>
  </si>
  <si>
    <t>IALY FAMALEANTSOA</t>
  </si>
  <si>
    <t>ECOLE COMMUNAUTAIRE BEMANATEZA</t>
  </si>
  <si>
    <t>EPP TRANOMARO</t>
  </si>
  <si>
    <t>LAHA MIAROSOA TSIMIVALO</t>
  </si>
  <si>
    <t>VARASOA EVARISTINE</t>
  </si>
  <si>
    <t>EPP AMBOROPOTSY</t>
  </si>
  <si>
    <t>REALY CLEMENT URBAIN</t>
  </si>
  <si>
    <t>T2  T3  T4  T5</t>
  </si>
  <si>
    <t>MIHA ETIENNE FAHAMARO</t>
  </si>
  <si>
    <t>EPP ANDOHARANOMAMY</t>
  </si>
  <si>
    <t>RAZAFINDREHERY TOJESOA AURELIEN</t>
  </si>
  <si>
    <t>T3  T4  T5</t>
  </si>
  <si>
    <t>EPP AMPIHA</t>
  </si>
  <si>
    <t>RAZAFINDREHERY VOADISOA GENEVIEVE</t>
  </si>
  <si>
    <t>EPP ANKARAHARA AMANDA</t>
  </si>
  <si>
    <t>MIHA TSIMANATAHY CHRISTIAN</t>
  </si>
  <si>
    <t>EPP TSILAMAHA II</t>
  </si>
  <si>
    <t>MIZA FANAZAVANA CLARISSE</t>
  </si>
  <si>
    <t>T1  T2  T3  T4  T5</t>
  </si>
  <si>
    <t>EPP ANKAZOABO</t>
  </si>
  <si>
    <t>SAMBAE MARISOA JOHNSIN</t>
  </si>
  <si>
    <t>EPP ANTSIRA</t>
  </si>
  <si>
    <t>SAMBO MAHATSEHATSE</t>
  </si>
  <si>
    <t>EPP RANOLAVA</t>
  </si>
  <si>
    <t>TADIDISOA FOMEY NDRANAHARY</t>
  </si>
  <si>
    <t>EPP TRANOVONDRO</t>
  </si>
  <si>
    <t>SOJA FOTERA FAMOLAHA</t>
  </si>
  <si>
    <t>EPP TSILAMAHA I</t>
  </si>
  <si>
    <t>VOLA HOLIAE</t>
  </si>
  <si>
    <t>EPP AMPIRIKY</t>
  </si>
  <si>
    <t>JOLI</t>
  </si>
  <si>
    <t>T4  T5</t>
  </si>
  <si>
    <t>EPP ANKILITELO</t>
  </si>
  <si>
    <t>JEAN LOUESSE</t>
  </si>
  <si>
    <t>RAOELISON TAHIRY MAMONJY JEAN EDOUARD</t>
  </si>
  <si>
    <t>EPP BEVAHY</t>
  </si>
  <si>
    <t>VAVISOA NASENINA</t>
  </si>
  <si>
    <t>EPP BEVOVOKA</t>
  </si>
  <si>
    <t>RANDRIAMAMPIONONA JEAN CHRISOSTOME</t>
  </si>
  <si>
    <t>EPP IMANJOLA</t>
  </si>
  <si>
    <t>RASOARIMALALA IRENE FLEURIE</t>
  </si>
  <si>
    <t>RAZAFINDRASIKINA Léa</t>
  </si>
  <si>
    <t xml:space="preserve">CONSEILLER PEDAGOGIQUE au Bureau CISCO </t>
  </si>
  <si>
    <t>CISCO AMBOASARY SUD</t>
  </si>
  <si>
    <t>Fomateur</t>
  </si>
  <si>
    <t>TAXI-BROUSSE</t>
  </si>
  <si>
    <t>RATSARAFIDY Nahatsinjo Espérance</t>
  </si>
  <si>
    <t>GASIMANDOVA Ravala Justin</t>
  </si>
  <si>
    <t>MAHARAKA Roman</t>
  </si>
  <si>
    <t>RAVELOMANANTSOA BERNARDIN</t>
  </si>
  <si>
    <t>CHEF DE DIVISION DE LA FORMATION ADMINISTRATIVE ET PEDAGOGIQUE</t>
  </si>
  <si>
    <t>CHRISTINE MANASSE</t>
  </si>
  <si>
    <t>DIRECTEUR</t>
  </si>
  <si>
    <t>DREN ANOSY</t>
  </si>
  <si>
    <t>Supervieur</t>
  </si>
  <si>
    <t>Convoiturage administrative</t>
  </si>
  <si>
    <t>RANDRIANANDRASANA BERTHIN</t>
  </si>
  <si>
    <t>CHEF SERVICE PLANIFICATION REGIONALE</t>
  </si>
  <si>
    <t>MOTO</t>
  </si>
  <si>
    <t>IFOTAKA</t>
  </si>
  <si>
    <t>MBOLA SOANDRO THEOPHILE</t>
  </si>
  <si>
    <t>CHEF DE DIVISION DE L'INSPECTION DE L'ENCADREMENT PEDAGOGIQUE</t>
  </si>
  <si>
    <t>MAROMBY</t>
  </si>
  <si>
    <t>TRANOMARO</t>
  </si>
  <si>
    <t>TOHANDRAY CLOVIS</t>
  </si>
  <si>
    <t>Responsable Bureau Local de l'Office de l'Education de Masse et du Civisme</t>
  </si>
  <si>
    <t>TSIVORY</t>
  </si>
  <si>
    <t>RAHERIHANITRA BIORTENCE SYLVIA</t>
  </si>
  <si>
    <t>Traitement et classement de dossiers des ENF</t>
  </si>
  <si>
    <t xml:space="preserve">Logistique </t>
  </si>
  <si>
    <t>-</t>
  </si>
  <si>
    <t>AMBOASARY-SUD</t>
  </si>
  <si>
    <t>RALALARITIANA Josette</t>
  </si>
  <si>
    <t>Responsable carte scolaire</t>
  </si>
  <si>
    <t>REFALIA CELESTIN</t>
  </si>
  <si>
    <t>Responsable statistique</t>
  </si>
  <si>
    <t>LIAHINEZE JEANNE MORAVELO</t>
  </si>
  <si>
    <t>Secretaire planification</t>
  </si>
  <si>
    <t>MOSA FAHAROA</t>
  </si>
  <si>
    <t>SECRETAIRE</t>
  </si>
  <si>
    <t>RANDRIANANTENAINA ANDRINIRINA</t>
  </si>
  <si>
    <t>COMPTABLE CISCO</t>
  </si>
  <si>
    <t>TAOLAGNARO</t>
  </si>
  <si>
    <t>RAZANAKOLONA JEAN PAUL</t>
  </si>
  <si>
    <t xml:space="preserve">CHEF DE DIVISION DES INFRASTRUCTURES DES INTRANTS DU PATRIMOINE FONCIER DES AFFAIRES JURIDIQUES </t>
  </si>
  <si>
    <t>FAMENOSOA PHILIBERTHINE</t>
  </si>
  <si>
    <t>RSE</t>
  </si>
  <si>
    <t>LAHANAMBININA Joroe Josiane</t>
  </si>
  <si>
    <t xml:space="preserve">Responsable Gestion de Risques et Catastrophes </t>
  </si>
  <si>
    <t>MONJA JEAN MANAMBITSOA</t>
  </si>
  <si>
    <t xml:space="preserve">CHEF DE DIVISION DE LA PLANIFICATION LOCALE </t>
  </si>
  <si>
    <t>RAVAHOAVY Valery Capistran</t>
  </si>
  <si>
    <t xml:space="preserve"> Chef de Division Chargé des Bureaux l’Administration et des     Finances</t>
  </si>
  <si>
    <t>Arrêtée à la somme de :</t>
  </si>
  <si>
    <t>Le Régisseur</t>
  </si>
  <si>
    <t>Le Billeteur</t>
  </si>
  <si>
    <t>RAMAMPANDRINIAINA TSIKIVY</t>
  </si>
  <si>
    <t xml:space="preserve"> ZAP IFOTAKA I</t>
  </si>
  <si>
    <t>Résident</t>
  </si>
  <si>
    <t>LAHA JANVIER</t>
  </si>
  <si>
    <t xml:space="preserve"> ZAP IFOTAKA II</t>
  </si>
  <si>
    <t>MAHANDRY Mahazosoa</t>
  </si>
  <si>
    <t xml:space="preserve"> ZAP AMBOASARY I</t>
  </si>
  <si>
    <t xml:space="preserve"> ZAP I</t>
  </si>
  <si>
    <t>MBOLA Soandro Calvin</t>
  </si>
  <si>
    <t xml:space="preserve"> ZAP AMBOASARY II</t>
  </si>
  <si>
    <t xml:space="preserve"> ZAP II</t>
  </si>
  <si>
    <t>SORONTSOA</t>
  </si>
  <si>
    <t xml:space="preserve"> ZAP AMBOASARY III</t>
  </si>
  <si>
    <t xml:space="preserve"> ZAP III</t>
  </si>
  <si>
    <t>FITOBEA EDWIN</t>
  </si>
  <si>
    <t xml:space="preserve"> ZAP BEHARA I</t>
  </si>
  <si>
    <t>TSIMIHATAKY RAMBELSON</t>
  </si>
  <si>
    <t xml:space="preserve"> ZAP BEHARA II</t>
  </si>
  <si>
    <t>RAZANADRAKOTO Dieu Donné</t>
  </si>
  <si>
    <t xml:space="preserve"> ZAP TSIVORY</t>
  </si>
  <si>
    <t>FILAZANTSOA MAMPILA</t>
  </si>
  <si>
    <t xml:space="preserve"> ZAP EBELO</t>
  </si>
  <si>
    <t>VONJINOMENJANAHARY MARCO RICHARD</t>
  </si>
  <si>
    <t xml:space="preserve"> ZAP TRANOMARO</t>
  </si>
  <si>
    <t>LIMBERAZA</t>
  </si>
  <si>
    <t xml:space="preserve"> ZAP MAROMBY</t>
  </si>
  <si>
    <t>LAHINANTENAINA Ratsitoherina Rostin</t>
  </si>
  <si>
    <t xml:space="preserve"> ZAP ESIRA</t>
  </si>
  <si>
    <t>LAHA SOLONDRAINY JUSTIN</t>
  </si>
  <si>
    <t xml:space="preserve"> ZAP MAHABO</t>
  </si>
  <si>
    <t>RAFALINANTENAINA Thomaturge</t>
  </si>
  <si>
    <t xml:space="preserve"> ZAP MANEVY</t>
  </si>
  <si>
    <t xml:space="preserve">DAVID Gabriel </t>
  </si>
  <si>
    <t xml:space="preserve"> ZAP MAHALY</t>
  </si>
  <si>
    <t>NAZOTOANY YOLANDE</t>
  </si>
  <si>
    <t xml:space="preserve"> ZAP TANANDAVA-SUD</t>
  </si>
  <si>
    <t>RANDRIANAMBININTSOA CHRISTIN</t>
  </si>
  <si>
    <t xml:space="preserve"> ZAP BERANO VILLE</t>
  </si>
  <si>
    <t>MARA MANANKEVITSE</t>
  </si>
  <si>
    <t xml:space="preserve"> ZAP SAMPONA</t>
  </si>
  <si>
    <t>LAMBO</t>
  </si>
  <si>
    <t xml:space="preserve"> ZAP TOMBOARIVO</t>
  </si>
  <si>
    <t>RASOANIRINA Yvonne</t>
  </si>
  <si>
    <t xml:space="preserve"> ZAP MAROTSIRAKA</t>
  </si>
  <si>
    <t>RAZAFINDRABE Philemon</t>
  </si>
  <si>
    <t xml:space="preserve"> ZAP ELONTY</t>
  </si>
  <si>
    <t xml:space="preserve">MBOLA TSIMIJETSY </t>
  </si>
  <si>
    <t xml:space="preserve"> ZAP RANOBE</t>
  </si>
  <si>
    <t xml:space="preserve"> DE DIVISION DE LA FORMATION ADMINISTRATIVE ET PEDAGOGIQUE</t>
  </si>
  <si>
    <t>SAMBO PHILIBERT RAZANATSAHARA</t>
  </si>
  <si>
    <t>CHEF DE DIVISION DE LA GESTION DES RESSOURCES HUMAINES</t>
  </si>
  <si>
    <t xml:space="preserve"> DE DIVISION DE LA PLANIFICATION LOCALE </t>
  </si>
  <si>
    <t>Regisseur</t>
  </si>
  <si>
    <t xml:space="preserve">  de Division Chargé des Bureaux l’Administration et des     Finances</t>
  </si>
  <si>
    <t>Billeteur</t>
  </si>
  <si>
    <t>FANAMPY MIRELLA ARMANDINE</t>
  </si>
  <si>
    <t>IALY FAGNOLAGNANTSOA PAUL</t>
  </si>
  <si>
    <t>T2_T3</t>
  </si>
  <si>
    <t>SOAMIHARE</t>
  </si>
  <si>
    <t>T1_T2</t>
  </si>
  <si>
    <t>MAROLAHY DAVID</t>
  </si>
  <si>
    <t>SAILAMBO</t>
  </si>
  <si>
    <t>EPP ANTSIVAVY</t>
  </si>
  <si>
    <t>SAMBO JEAN PIERRE</t>
  </si>
  <si>
    <t>MANOROAHY MELANIE</t>
  </si>
  <si>
    <t>EPP BEFAITSY</t>
  </si>
  <si>
    <t>MARY EDMEE</t>
  </si>
  <si>
    <t>NAFINDRA PUISSANTE</t>
  </si>
  <si>
    <t>EPP MAROMENA</t>
  </si>
  <si>
    <t>MARA MANAHIAZE</t>
  </si>
  <si>
    <t>ECOLE COMMUNAUTAIRE PEPINIERE</t>
  </si>
  <si>
    <t>MARA TSITOHAGNA</t>
  </si>
  <si>
    <t>T1_T2_T3_T4</t>
  </si>
  <si>
    <t>BASEE CELINE</t>
  </si>
  <si>
    <t>MASY ZELILISOA EDOXIE</t>
  </si>
  <si>
    <t>MONJA MORAMANA</t>
  </si>
  <si>
    <t>T1_T2_T3</t>
  </si>
  <si>
    <t>EPP VOHIBASIA</t>
  </si>
  <si>
    <t>MIHA TSIKIVY</t>
  </si>
  <si>
    <t>RAZAFINDRALAVA SOJA FRANCK</t>
  </si>
  <si>
    <t>EPP VOHIBOLA</t>
  </si>
  <si>
    <t>MONJA MAMPITOHISOA</t>
  </si>
  <si>
    <t>T3_T5</t>
  </si>
  <si>
    <t>MAHATOLY</t>
  </si>
  <si>
    <t>MAHARANGA JOSEPHE</t>
  </si>
  <si>
    <t>MONJA LAMBO ALPHONSE</t>
  </si>
  <si>
    <t>T4_T5</t>
  </si>
  <si>
    <t>EPP AMPOTOBATO</t>
  </si>
  <si>
    <t>LAHA MANANTO JEAN</t>
  </si>
  <si>
    <t>EPP ANDAVABOAY</t>
  </si>
  <si>
    <t>MASY SOLOSOA</t>
  </si>
  <si>
    <t>IALY SOLONDRAINY DIDIER</t>
  </si>
  <si>
    <t>BARIJONA VORILAHATSE MARTHIN</t>
  </si>
  <si>
    <t>EPP ANARAFITO</t>
  </si>
  <si>
    <t>NOME ZAFY GERVAIS</t>
  </si>
  <si>
    <t>EPP ANKOBAY</t>
  </si>
  <si>
    <t>MBOLA FANOMEZA</t>
  </si>
  <si>
    <t>EPP BETSIRIRY</t>
  </si>
  <si>
    <t>MBOLA TSIHEKEGNE</t>
  </si>
  <si>
    <t>T2_T3_T4</t>
  </si>
  <si>
    <t>EPP EKINTSO</t>
  </si>
  <si>
    <t>SAMBEGASY FRANCAITTE</t>
  </si>
  <si>
    <t>T3_T4</t>
  </si>
  <si>
    <t>RADERANDRAINY DESIRE</t>
  </si>
  <si>
    <t>ECOLE COMMUNAUTAIRE AMBOLOVOHITSY</t>
  </si>
  <si>
    <t>MIHA ROMAIN</t>
  </si>
  <si>
    <t>EPP ANARAMAZAVA</t>
  </si>
  <si>
    <t>MIHA REMATAVIMANA JEAN DE DIEU</t>
  </si>
  <si>
    <t>T1_T2_T3_T4_T5</t>
  </si>
  <si>
    <t>EPP BEMANDRESY</t>
  </si>
  <si>
    <t>TIRISOA MONJA ALFRED</t>
  </si>
  <si>
    <t>TSITARANY ARNAULD</t>
  </si>
  <si>
    <t>ECOLE COMMUNAUTAIRE FANJAKAMANDROSO</t>
  </si>
  <si>
    <t>FILIANISOA</t>
  </si>
  <si>
    <t>ECOLE COMMUNAUTAIRE SOASIRANABE</t>
  </si>
  <si>
    <t>RANDRIAHANITRINIAINA YVES CHRISTIAN ALBERT</t>
  </si>
  <si>
    <t>ECOLE COMMUNAUTAIRE TANAMASY</t>
  </si>
  <si>
    <t>KATSITA MARSON</t>
  </si>
  <si>
    <t>EPP AMBATOMANAKY</t>
  </si>
  <si>
    <t>KRISISOA FRANÇOISE</t>
  </si>
  <si>
    <t>EPP BEADABO/SIRANIA</t>
  </si>
  <si>
    <t>RANDRIAMASY PAUL JEREMIE ALSON</t>
  </si>
  <si>
    <t>EPP BESAKOA/NORD</t>
  </si>
  <si>
    <t>RANDRIAMAHATRATRA JEAN CHARLES THIERRY</t>
  </si>
  <si>
    <t>EPP VORONKATSA</t>
  </si>
  <si>
    <t>RAMBINISOA TITUS</t>
  </si>
  <si>
    <t>RAMANGALAHITSIRESY NDRIAMIHAJA MAHATOKY FIDELYS</t>
  </si>
  <si>
    <t>EPP AGNARA</t>
  </si>
  <si>
    <t>VOLA EDWIGE</t>
  </si>
  <si>
    <t>ALDA RAZAFINDRAMANO FALIFALY BERTHOL DINA</t>
  </si>
  <si>
    <t>SAMBO VORIABY</t>
  </si>
  <si>
    <t>FITAHIANTSOA SOANAMBOARINA</t>
  </si>
  <si>
    <t>LAHA HENDRESOA</t>
  </si>
  <si>
    <t>EPP ANKILIMITOMBO</t>
  </si>
  <si>
    <t>ZAFEMANDIMBY ZEMEIE</t>
  </si>
  <si>
    <t>SANA HERISOA</t>
  </si>
  <si>
    <t>EPP BESELY</t>
  </si>
  <si>
    <t>MONJA TSIKIZAHE</t>
  </si>
  <si>
    <t>MARA TSIFANIGNE</t>
  </si>
  <si>
    <t>RAMAROLAHY RAFALIMANANA</t>
  </si>
  <si>
    <t>RAVELOMANANTSOA MAMY-TIANA</t>
  </si>
  <si>
    <t>HARINDRAINY NOELSON</t>
  </si>
  <si>
    <t>FRANCKLIN DESAY</t>
  </si>
  <si>
    <t>ECOLE COMMUNAUTAIRE ANDRANOMANINTSY</t>
  </si>
  <si>
    <t>SAMBO MISOKOTRIAMAFY</t>
  </si>
  <si>
    <t>DAME MAHATOKY SAMUEL LEON</t>
  </si>
  <si>
    <t>EPP ANKILIABO</t>
  </si>
  <si>
    <t>RETSITANDROKELAHY DAMY</t>
  </si>
  <si>
    <t>EPP BEFANTSIOLOTSY</t>
  </si>
  <si>
    <t>MBOLA HAVANTAGNE</t>
  </si>
  <si>
    <t>EPP FANGIDRATY</t>
  </si>
  <si>
    <t>MARAVELO JEAN CHRISTOPHE</t>
  </si>
  <si>
    <t>EPP FITANANTSOA</t>
  </si>
  <si>
    <t>MIHA VAHOLAHY</t>
  </si>
  <si>
    <t>EPP SOATAMEA</t>
  </si>
  <si>
    <t>MBEHOFANTATSE</t>
  </si>
  <si>
    <t>EPP TSIMANATEBOLY</t>
  </si>
  <si>
    <t>RASOAFARA JULIETTE</t>
  </si>
  <si>
    <t>EPP AMBINDA</t>
  </si>
  <si>
    <t>RANDRIAMAHALY JEAN NICO</t>
  </si>
  <si>
    <t>EPP ANALAMBAKOA</t>
  </si>
  <si>
    <t>LEONNON MARCELIN ANDRE</t>
  </si>
  <si>
    <t>EPP ANKILY</t>
  </si>
  <si>
    <t>MONJA BRECHARD</t>
  </si>
  <si>
    <t>EPP BESAKOA AMBANY</t>
  </si>
  <si>
    <t>LAHIMANJAKA DAIHO</t>
  </si>
  <si>
    <t>EPP REBATRA</t>
  </si>
  <si>
    <t>TSIOLANA MANANDAHY</t>
  </si>
  <si>
    <t>EPP VAZAHALAVA</t>
  </si>
  <si>
    <t>LAMBO RABEARIVELO FIADANANA</t>
  </si>
  <si>
    <t>EPP AMBOTAKY</t>
  </si>
  <si>
    <t>SAY RAZAFISOLO MELIREZE</t>
  </si>
  <si>
    <t>EPP ANTSAVOA</t>
  </si>
  <si>
    <t>SIJA SOANARINE</t>
  </si>
  <si>
    <t>EPP ANTSEVA</t>
  </si>
  <si>
    <t>RAFANOMEZANTSOA DIEU FREEDOM</t>
  </si>
  <si>
    <t>EPP SAHAKONDRO</t>
  </si>
  <si>
    <t>FELANIAINA HARRIS</t>
  </si>
  <si>
    <t>EPP AMBONAIVO</t>
  </si>
  <si>
    <t>MOSA NESTOR</t>
  </si>
  <si>
    <t>RAZAFIARISON ANTOININE LÉA</t>
  </si>
  <si>
    <t>EPP BELAFA</t>
  </si>
  <si>
    <t>RAZANDRAMANAMBOATSY FANAHY ROBERT</t>
  </si>
  <si>
    <t>SAMBONIAINA ZANADRAY</t>
  </si>
  <si>
    <t>EPP SAKAHALA</t>
  </si>
  <si>
    <t>MOSA ZOROSOA MODESTE</t>
  </si>
  <si>
    <t>VALASOA CELESTIN</t>
  </si>
  <si>
    <t>EPP ANTSARIKA</t>
  </si>
  <si>
    <t>MOSA MANAGNATOE</t>
  </si>
  <si>
    <t>MBOLA TSIMAHANGO</t>
  </si>
  <si>
    <t>EPP BEHALIMBORO</t>
  </si>
  <si>
    <t>VAHA KONTELINE</t>
  </si>
  <si>
    <t>EPP ANDRANOGOA</t>
  </si>
  <si>
    <t>IALY RANDRIANANTENAINA GERTIN</t>
  </si>
  <si>
    <t>MBOLA MAHALIGNY JOACHMIN</t>
  </si>
  <si>
    <t>EPP ANKILIMANARA</t>
  </si>
  <si>
    <t>MONJA FOIVATO</t>
  </si>
  <si>
    <t>EPP ELANJA ANDROANDRIA</t>
  </si>
  <si>
    <t>SAILAMBO SOAFINIDIDRAE</t>
  </si>
  <si>
    <t>EPP EZAKA</t>
  </si>
  <si>
    <t>DAMY MANDIGNESOA</t>
  </si>
  <si>
    <t>DAMY MAHARAOKE</t>
  </si>
  <si>
    <t>EPP MANINDRA</t>
  </si>
  <si>
    <t>SIJA MAGNAMPIAZY NATHALIE</t>
  </si>
  <si>
    <t>DAMY FAMALAE</t>
  </si>
  <si>
    <t>EPP VOAVONTO</t>
  </si>
  <si>
    <t>MARA MANAMPAHETSE</t>
  </si>
  <si>
    <t>EPP ANKILIMAHATSIAROVA</t>
  </si>
  <si>
    <t>MONJA HERISOA JOCELYN</t>
  </si>
  <si>
    <t>EPP ELOMAKA</t>
  </si>
  <si>
    <t>MARA TSITANDY</t>
  </si>
  <si>
    <t>TOLIVOATSY</t>
  </si>
  <si>
    <t>EPP MAROMANDROSO</t>
  </si>
  <si>
    <t>BEROBIA FORTAISE</t>
  </si>
  <si>
    <t>EPP ANDROMASY</t>
  </si>
  <si>
    <t>REHENIKA OLIVIER</t>
  </si>
  <si>
    <t>EPP MANANDAVENOKA</t>
  </si>
  <si>
    <t>MANJOVORY ROSTIN</t>
  </si>
  <si>
    <t>EPP AMBANDAGNIRA</t>
  </si>
  <si>
    <t>RAZANAMBOAVONJY TIANIHOANAHY ETIENNETTE</t>
  </si>
  <si>
    <t>EPP AMBOHIMANDROSO</t>
  </si>
  <si>
    <t>T2_T3_T4_T5</t>
  </si>
  <si>
    <t>MASY FOMEISOA JOSIANE</t>
  </si>
  <si>
    <t>SOARAZA</t>
  </si>
  <si>
    <t>EPP AMPILIRA</t>
  </si>
  <si>
    <t>MARA MAHARO</t>
  </si>
  <si>
    <t>EPP ANARATOKA</t>
  </si>
  <si>
    <t>MANAMBELO</t>
  </si>
  <si>
    <t>EPP ANDROPILANY</t>
  </si>
  <si>
    <t>MAHANDRY RANDRIANAVONANDRASANA MAURICE</t>
  </si>
  <si>
    <t>EPP ANJAMIARY</t>
  </si>
  <si>
    <t>MIHA LOKOVATO PAUL</t>
  </si>
  <si>
    <t>EPP ANKENIHENY</t>
  </si>
  <si>
    <t>RAZAFIMANDIMBY FREDERIC TSIHEJE</t>
  </si>
  <si>
    <t>EPP BEZA</t>
  </si>
  <si>
    <t>RAVOLARISOA MONIQUE</t>
  </si>
  <si>
    <t>EPP ANKOTIKA</t>
  </si>
  <si>
    <t>HAJANOMENJANAHARY ALAIN SAVOKA</t>
  </si>
  <si>
    <t>EPP BELENALENA</t>
  </si>
  <si>
    <t>RAMIARISOA VIOLETTE LAURIENNE</t>
  </si>
  <si>
    <t>EPP TSILANJA</t>
  </si>
  <si>
    <t>FANERA TOHANDRAINY MAHEFASOA</t>
  </si>
  <si>
    <t>Responsable Construction au Bureau CISCO</t>
  </si>
  <si>
    <t>TIRINDRAY Jean Dieu Donnée</t>
  </si>
  <si>
    <t>Responsable Depositeur conmptable au Bureau CISCO</t>
  </si>
  <si>
    <t>RAZANAPANAHY Minosoa Norolina</t>
  </si>
  <si>
    <t>Responsable Préscolaire au Bureau CISCO</t>
  </si>
  <si>
    <t>RAVAOARIRAVAKA LYS HORTENCIA</t>
  </si>
  <si>
    <t>SECRETAIRE RESSOURCES HUMAINES</t>
  </si>
  <si>
    <t>Taolagnaro</t>
  </si>
  <si>
    <t>EPP AMBOASARY-SUD</t>
  </si>
  <si>
    <t xml:space="preserve">Responsable Santé Scolaire au Bureau CISCO </t>
  </si>
  <si>
    <t>ANDRIANANTENAINA BRIAND ESTHERIOS</t>
  </si>
  <si>
    <t>Assistant Technique en Informatique au BUREAU CISCO AMBOASARY SUD</t>
  </si>
  <si>
    <t xml:space="preserve">MINISTERE DE L'EDUCATION NATIONALE </t>
  </si>
  <si>
    <t>Total:</t>
  </si>
  <si>
    <t xml:space="preserve">      Projet d'Appui à l'Education de Base  - " PAEB "</t>
  </si>
  <si>
    <t xml:space="preserve">corrigé </t>
  </si>
  <si>
    <t>Ar</t>
  </si>
  <si>
    <t>ARIARY</t>
  </si>
  <si>
    <t>PLAN DE TRAVAIL BUDGETAIRE ANNUEL 2022-2023</t>
  </si>
  <si>
    <t xml:space="preserve">PASSATION DE MARCHE / DEBLOCAGE DE FONDS </t>
  </si>
  <si>
    <t xml:space="preserve">Période </t>
  </si>
  <si>
    <t>à base de 3800Ar=1USD</t>
  </si>
  <si>
    <t xml:space="preserve"> A DECAISSER EN 2022-2023 (En Ariary)</t>
  </si>
  <si>
    <t>Plan De Décaissement mensuel 2022-2023 (En Ariary)</t>
  </si>
  <si>
    <t>DIRECTION</t>
  </si>
  <si>
    <t>Types Activités</t>
  </si>
  <si>
    <t>Résultats attendus/cibles</t>
  </si>
  <si>
    <t xml:space="preserve">Délai (jours)  </t>
  </si>
  <si>
    <t xml:space="preserve">Régions bénéficiaires </t>
  </si>
  <si>
    <t xml:space="preserve"> Directions sous-composantes </t>
  </si>
  <si>
    <t>Autres intervenants</t>
  </si>
  <si>
    <t>Nature dépense</t>
  </si>
  <si>
    <t>N° de compte PIP/PCOP</t>
  </si>
  <si>
    <t>Source de financement (GPE/IDA)</t>
  </si>
  <si>
    <t xml:space="preserve">DLI /          NON DLI </t>
  </si>
  <si>
    <t>Coût unitaire (Ar)</t>
  </si>
  <si>
    <t>Unité</t>
  </si>
  <si>
    <t>Nombre / Quantité</t>
  </si>
  <si>
    <t>Budget PTAB 2021 révisé (IDA -GPE) en Ariary</t>
  </si>
  <si>
    <t>GPE</t>
  </si>
  <si>
    <t>Janv</t>
  </si>
  <si>
    <t>Févr.</t>
  </si>
  <si>
    <t>Avr.</t>
  </si>
  <si>
    <t>Juil.</t>
  </si>
  <si>
    <t>Sept.</t>
  </si>
  <si>
    <t>Oct.</t>
  </si>
  <si>
    <t>Nov.</t>
  </si>
  <si>
    <t>Déc.</t>
  </si>
  <si>
    <t>Total</t>
  </si>
  <si>
    <t>Activité 1 : Cours de remédiation pour les Chefs Zap et les enseignants sur les deux matières de base (Maths et Malagasy)</t>
  </si>
  <si>
    <t>22 Chef Zap et 218 enseignants formés</t>
  </si>
  <si>
    <t>FORMATION</t>
  </si>
  <si>
    <t>Cours de remédiations pour les Chefs ZAP</t>
  </si>
  <si>
    <t>22 chefs ZAP formés</t>
  </si>
  <si>
    <t>Lettre de cotation</t>
  </si>
  <si>
    <t>Cisco AMBOASARY SUD</t>
  </si>
  <si>
    <t>Indemnité des 4 Formateurs et 2 logisticien et pour 5 jours</t>
  </si>
  <si>
    <t>DLI</t>
  </si>
  <si>
    <t>H/J</t>
  </si>
  <si>
    <t>Hébergement  des 4 Formateurs et 2 logisticiens</t>
  </si>
  <si>
    <t>H/N</t>
  </si>
  <si>
    <t>Frais de déplacement des 4 Formateurs et 2 logisticiens  1 superviseur (aller/retour)</t>
  </si>
  <si>
    <t>frais</t>
  </si>
  <si>
    <t>Indemnité des 20 chefs ZAP pour 5 jours</t>
  </si>
  <si>
    <t>Indemnité des 2 chefs ZAP pour 5 jours</t>
  </si>
  <si>
    <t xml:space="preserve">Hébergement  des 20 chefs ZAP </t>
  </si>
  <si>
    <t>carburant pour déplacement de 22 chefs Zap (45 km)</t>
  </si>
  <si>
    <t>Litre</t>
  </si>
  <si>
    <t>Indemnité 1 superviseur DREN pour 5 jours</t>
  </si>
  <si>
    <t>Hébergement  des 1 superviseur DREN pour 5 jours</t>
  </si>
  <si>
    <t>Frais de déplacement de 1 superviseur DREN pour 5 jours</t>
  </si>
  <si>
    <t xml:space="preserve">Bloc Note PM </t>
  </si>
  <si>
    <t>CPE</t>
  </si>
  <si>
    <t>pièce</t>
  </si>
  <si>
    <t>stylos 2 couleurs</t>
  </si>
  <si>
    <t>kraft</t>
  </si>
  <si>
    <t>rouleau</t>
  </si>
  <si>
    <t>Marker</t>
  </si>
  <si>
    <t>boîte</t>
  </si>
  <si>
    <t>Masking tape</t>
  </si>
  <si>
    <t>Papier velin</t>
  </si>
  <si>
    <t>rame</t>
  </si>
  <si>
    <t>Indemnité de l'enchaiminiment de fond</t>
  </si>
  <si>
    <t>Hebergemnent à l' enchaiminiment de fond</t>
  </si>
  <si>
    <t>Nuité</t>
  </si>
  <si>
    <t>Frais de déplacement à l'enchaiminiment de fond</t>
  </si>
  <si>
    <t>Indemnité de billeteur pour 1 jour d'activité</t>
  </si>
  <si>
    <t>h/j</t>
  </si>
  <si>
    <t xml:space="preserve">Hébergement  du billeteur </t>
  </si>
  <si>
    <t>h/n</t>
  </si>
  <si>
    <t>Frais de déplacement de billeteur (aller/retour)</t>
  </si>
  <si>
    <t>Cours de remédiations pour les enseignants</t>
  </si>
  <si>
    <t>218 enseignants formés</t>
  </si>
  <si>
    <t>Indemnité des 218 enseignants pendant 03 jours d'activités</t>
  </si>
  <si>
    <t>frais de déplacement des 218 enseignants (23km)</t>
  </si>
  <si>
    <t>à pied</t>
  </si>
  <si>
    <t>Indemnité des 10 formateurs, 5 superviseurs et 5 logisticiens pendant 3 jours d'activité</t>
  </si>
  <si>
    <t>Hébergement des 10 formateurs, 5 superviseurs et 5 logisticiens pendant 3 jours d'activité</t>
  </si>
  <si>
    <t>carburant de déplacement de 5 superviseurs (aller/retour) pour 20 km</t>
  </si>
  <si>
    <t>litre</t>
  </si>
  <si>
    <t xml:space="preserve"> frais de déplacement  des  4 formateurs et 2 logisticiens</t>
  </si>
  <si>
    <t xml:space="preserve"> frais de déplacement  des  2 formateurs et 1 logisticiens</t>
  </si>
  <si>
    <t>Frais de déplacement de 2 billeteur (aller/retour)</t>
  </si>
  <si>
    <t>Frais de déplacement de 1 billeteur (aller/retour)</t>
  </si>
  <si>
    <t>Photocopie du support de formation de 218 enseignants ( 90 pages)</t>
  </si>
  <si>
    <t>feuille</t>
  </si>
  <si>
    <t>Activité 2: Formation  des enseignants sur la gestion de classe multigrade</t>
  </si>
  <si>
    <t xml:space="preserve">145  Enseignants formés </t>
  </si>
  <si>
    <t>Former les enseignants sur la gestion de classe multigrade</t>
  </si>
  <si>
    <t>145 enseignants formés</t>
  </si>
  <si>
    <t>Indemnité des 22 chefs ZAP, 10 Formateur, 5 superviseur,  et 5 logisticiens pour 3 jours d'activités</t>
  </si>
  <si>
    <t>Hébergement des 20 chefs ZAP, 10 Formateur et 5 superviseur,   5 logisticiens pour 3jours d'activités</t>
  </si>
  <si>
    <t>Hébergement des 5 billeteurs</t>
  </si>
  <si>
    <t xml:space="preserve"> frais de déplacement  des  4 formateurs, 2 logisticiens et 2 billeteurs</t>
  </si>
  <si>
    <t xml:space="preserve"> frais de déplacement  des  2 formateurs, 1 logisticiens et 1 billeteurs</t>
  </si>
  <si>
    <t>Carburant pour les 22 chefs ZAP (25 km)</t>
  </si>
  <si>
    <t>Indemnité des 145 enseignants pour 3 jours d'activités</t>
  </si>
  <si>
    <t>Frais de déplacement des 145 enseignants aller/retour (21 km)</t>
  </si>
  <si>
    <t>pied</t>
  </si>
  <si>
    <t>Indemnité de 5 billeteurs pour 1 jour d'activité</t>
  </si>
  <si>
    <t xml:space="preserve">Hébergement de 5 billeteurs </t>
  </si>
  <si>
    <t xml:space="preserve">Photocopie des pièces justificatives </t>
  </si>
  <si>
    <t>Photocopie du support de formation de 292 enseignants ( 50 pages)</t>
  </si>
  <si>
    <t>Activité 3: Suivi au niveau des établissements</t>
  </si>
  <si>
    <t>60 établisssements visités</t>
  </si>
  <si>
    <t>ATELIER</t>
  </si>
  <si>
    <t xml:space="preserve">Mener un atelier de constitution de focus de suivi </t>
  </si>
  <si>
    <t>Focus de suivi  constitué</t>
  </si>
  <si>
    <t>CISCO ARIVONIMAMO</t>
  </si>
  <si>
    <t>Indemnités de 6 concepteur et 1 superviseur et 1 billeuteur pour 2 jour</t>
  </si>
  <si>
    <t>frais de déplacement de 7 concepteur et 1 billeuteur</t>
  </si>
  <si>
    <t>Photocopie des grilles de suivi (30 pages)</t>
  </si>
  <si>
    <t>MISSION</t>
  </si>
  <si>
    <t>Suivi au niveau des établissements</t>
  </si>
  <si>
    <t>Indemnités des 20 équipes CISCO, 2 superviseur  pour 5 jours d'activités</t>
  </si>
  <si>
    <t>Hébergement des 20 équipes CISCO, 2 superviseur  pour 5 jours d'activités</t>
  </si>
  <si>
    <t>Frais de déplacement des 20 équipes CISCO aller/retour (65 km)</t>
  </si>
  <si>
    <t>Ariary</t>
  </si>
  <si>
    <t>carburant de déplacement de 2 superviseur (aller/retour) pour 65 km</t>
  </si>
  <si>
    <t>Activité 4: Evaluer du projet</t>
  </si>
  <si>
    <t>un examen standart organisé et réalisé</t>
  </si>
  <si>
    <t>Preparer, valider et envoyer les propositions des sujets d'examen standart au MEN</t>
  </si>
  <si>
    <t>un sujet d'examen par niveau (T1 à T4) envoyé au MEN</t>
  </si>
  <si>
    <t>Indemnités 3 encadreurs, 9 enseignants, 1 logistics 3 jours d'atelier</t>
  </si>
  <si>
    <t>Indemnités 1 billeteur 3 jours d'atelier</t>
  </si>
  <si>
    <t>Hébergement 3 encadreurs et 9 enseignants 3 jours d'atelier</t>
  </si>
  <si>
    <t>Hébergement 1 billeteur 3 jours d'atelier</t>
  </si>
  <si>
    <t>stylos</t>
  </si>
  <si>
    <t>Hébergement 3 encadreurs, 9 enseignants, et 1 billeteur 2 jours d'atelier</t>
  </si>
  <si>
    <t>Frais de déplacement des 3 encadreurs, 9 enseignants, 1 logistics et 1 billeteur aller/retour (25 km)</t>
  </si>
  <si>
    <t xml:space="preserve">Photocopie du support d'atelier </t>
  </si>
  <si>
    <t>RECAP DU PTBA 2022 PAR PCOP</t>
  </si>
  <si>
    <t>1$ = 3800Ar</t>
  </si>
  <si>
    <t>INTITULE DU COMPTE</t>
  </si>
  <si>
    <t>En Ariary</t>
  </si>
  <si>
    <t>En USD</t>
  </si>
  <si>
    <t>RECAP DU PTBA 2022 PAR ACTIVITE</t>
  </si>
  <si>
    <t>Code d'activité</t>
  </si>
  <si>
    <t>ACTIVITE</t>
  </si>
  <si>
    <t>PERIODE</t>
  </si>
  <si>
    <r>
      <rPr>
        <b/>
        <u/>
        <sz val="12"/>
        <color theme="1"/>
        <rFont val="Times New Roman"/>
        <family val="1"/>
      </rPr>
      <t>Activité 1:</t>
    </r>
    <r>
      <rPr>
        <sz val="12"/>
        <color theme="1"/>
        <rFont val="Times New Roman"/>
        <family val="1"/>
      </rPr>
      <t xml:space="preserve"> Cours de remédiation pour les Chefs Zap et les enseignants sur les deux matières de base (Maths et Malagasy)</t>
    </r>
  </si>
  <si>
    <t>03 Janvier au 11 mai 2022</t>
  </si>
  <si>
    <t>22 Chef Zap et 292 enseignants formés</t>
  </si>
  <si>
    <r>
      <rPr>
        <b/>
        <u/>
        <sz val="12"/>
        <rFont val="Times New Roman"/>
        <family val="1"/>
      </rPr>
      <t>Activité 2:</t>
    </r>
    <r>
      <rPr>
        <sz val="12"/>
        <rFont val="Times New Roman"/>
        <family val="1"/>
      </rPr>
      <t xml:space="preserve"> Formation  des enseignants sur la gestion de classe multigrade</t>
    </r>
  </si>
  <si>
    <t>12 janvier au 14 janvier 2022</t>
  </si>
  <si>
    <t xml:space="preserve">170 Enseignants formés </t>
  </si>
  <si>
    <r>
      <rPr>
        <b/>
        <u/>
        <sz val="12"/>
        <color theme="1"/>
        <rFont val="Times New Roman"/>
        <family val="1"/>
      </rPr>
      <t>Activité 3:</t>
    </r>
    <r>
      <rPr>
        <sz val="12"/>
        <color theme="1"/>
        <rFont val="Times New Roman"/>
        <family val="1"/>
      </rPr>
      <t xml:space="preserve"> Suivi au niveau des établissements</t>
    </r>
  </si>
  <si>
    <t>16 fevrier au 24 fevrier 2022</t>
  </si>
  <si>
    <r>
      <rPr>
        <b/>
        <u/>
        <sz val="12"/>
        <color theme="1"/>
        <rFont val="Times New Roman"/>
        <family val="1"/>
      </rPr>
      <t>Activité 3 :</t>
    </r>
    <r>
      <rPr>
        <sz val="12"/>
        <color theme="1"/>
        <rFont val="Times New Roman"/>
        <family val="1"/>
      </rPr>
      <t xml:space="preserve"> Evaluer du projet</t>
    </r>
  </si>
  <si>
    <t>RAM A4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</si>
</sst>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1" formatCode="_-* #,##0_-;\-* #,##0_-;_-* &quot;-&quot;_-;_-@_-"/>
    <numFmt numFmtId="43" formatCode="_-* #,##0.00_-;\-* #,##0.00_-;_-* &quot;-&quot;??_-;_-@_-"/>
    <numFmt numFmtId="164" formatCode="_-* #,##0\ _€_-;\-* #,##0\ _€_-;_-* &quot;-&quot;\ _€_-;_-@_-"/>
    <numFmt numFmtId="165" formatCode="_-* #,##0.00\ _€_-;\-* #,##0.00\ _€_-;_-* &quot;-&quot;??\ _€_-;_-@_-"/>
    <numFmt numFmtId="166" formatCode="_(* #,##0.00_);_(* \(#,##0.00\);_(* &quot;-&quot;??_);_(@_)"/>
    <numFmt numFmtId="167" formatCode="[$-40C]d\-mmm\-yy;@"/>
    <numFmt numFmtId="168" formatCode="_-* #,##0\ _€_-;\-* #,##0\ _€_-;_-* &quot;-&quot;??\ _€_-;_-@_-"/>
    <numFmt numFmtId="169" formatCode="#,##0.0"/>
    <numFmt numFmtId="170" formatCode="&quot;   &quot;@"/>
    <numFmt numFmtId="171" formatCode="&quot;      &quot;@"/>
    <numFmt numFmtId="172" formatCode="&quot;         &quot;@"/>
    <numFmt numFmtId="173" formatCode="&quot;            &quot;@"/>
    <numFmt numFmtId="174" formatCode="[&gt;=0.05]#,##0.0;[&lt;=-0.05]\-#,##0.0;?0.0"/>
    <numFmt numFmtId="175" formatCode="[Black]#,##0.0;[Black]\-#,##0.0;;"/>
    <numFmt numFmtId="176" formatCode="_-* #,##0.00\ _F_-;\-* #,##0.00\ _F_-;_-* &quot;-&quot;??\ _F_-;_-@_-"/>
    <numFmt numFmtId="177" formatCode="#,##0.00;[Red]\(#,##0.00\);_*\-"/>
    <numFmt numFmtId="178" formatCode="#,##0;[Red]\(#,##0\);_*\-"/>
    <numFmt numFmtId="179" formatCode="_-* #,##0\ _€_-;\-* #,##0\ _€_-;_-* \-??\ _€_-;_-@_-"/>
    <numFmt numFmtId="180" formatCode="dd\-mmm\-yy;@"/>
    <numFmt numFmtId="181" formatCode="[$-40C]dd\-mmm\-yy;@"/>
    <numFmt numFmtId="182" formatCode="&quot; &quot;#,##0&quot; &quot;;&quot;-&quot;#,##0&quot; &quot;;&quot; -&quot;00&quot; &quot;;&quot; &quot;@&quot; &quot;"/>
    <numFmt numFmtId="183" formatCode="_-* #,##0.0\ _€_-;\-* #,##0.0\ _€_-;_-* &quot;-&quot;??\ _€_-;_-@_-"/>
    <numFmt numFmtId="184" formatCode="#,###"/>
    <numFmt numFmtId="185" formatCode="_-* #,##0_-;\-* #,##0_-;_-* &quot;-&quot;??_-;_-@_-"/>
    <numFmt numFmtId="186" formatCode="_-* #,##0.00,_€_-;\-* #,##0.00,_€_-;_-* \-??\ _€_-;_-@_-"/>
    <numFmt numFmtId="187" formatCode="_-* #,##0.00\ _€_-;\-* #,##0.00\ _€_-;_-* &quot;-&quot;\ _€_-;_-@_-"/>
    <numFmt numFmtId="188" formatCode="_ * #,##0.00_)\ _A_r_ ;_ * \(#,##0.00\)\ _A_r_ ;_ * &quot;-&quot;??_)\ _A_r_ ;_ @_ "/>
    <numFmt numFmtId="189" formatCode="_ * #,##0_)\ _A_r_ ;_ * \(#,##0\)\ _A_r_ ;_ * &quot;-&quot;_)\ _A_r_ ;_ @_ "/>
    <numFmt numFmtId="190" formatCode="#,##0_ ;\-#,##0\ "/>
    <numFmt numFmtId="191" formatCode="0;[Red]0"/>
  </numFmts>
  <fonts count="208">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Times New Roman"/>
      <family val="2"/>
    </font>
    <font>
      <sz val="10"/>
      <name val="Arial"/>
      <family val="2"/>
    </font>
    <font>
      <sz val="10"/>
      <name val="Times New Roman"/>
      <family val="1"/>
    </font>
    <font>
      <b/>
      <sz val="10"/>
      <name val="Arial"/>
      <family val="2"/>
    </font>
    <font>
      <b/>
      <sz val="10"/>
      <color rgb="FFFF0000"/>
      <name val="Arial"/>
      <family val="2"/>
    </font>
    <font>
      <sz val="12"/>
      <color theme="1"/>
      <name val="Calibri"/>
      <family val="2"/>
      <scheme val="minor"/>
    </font>
    <font>
      <b/>
      <sz val="11"/>
      <color indexed="8"/>
      <name val="Calibri"/>
      <family val="2"/>
    </font>
    <font>
      <sz val="9"/>
      <color theme="1"/>
      <name val="Calibri"/>
      <family val="2"/>
      <scheme val="minor"/>
    </font>
    <font>
      <u/>
      <sz val="11"/>
      <color theme="10"/>
      <name val="Calibri"/>
      <family val="2"/>
      <scheme val="minor"/>
    </font>
    <font>
      <sz val="12"/>
      <name val="Univers"/>
      <family val="2"/>
    </font>
    <font>
      <sz val="8"/>
      <name val="Arial"/>
      <family val="2"/>
    </font>
    <font>
      <sz val="10"/>
      <name val="Geneva"/>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9"/>
      <name val="Calibri"/>
      <family val="2"/>
    </font>
    <font>
      <sz val="12"/>
      <name val="Univers"/>
      <family val="2"/>
    </font>
    <font>
      <u/>
      <sz val="12"/>
      <color indexed="12"/>
      <name val="Helv"/>
    </font>
    <font>
      <sz val="12"/>
      <name val="Helv"/>
    </font>
    <font>
      <sz val="10"/>
      <name val="Tms Rmn"/>
    </font>
    <font>
      <sz val="9"/>
      <name val="Times New Roman"/>
      <family val="1"/>
    </font>
    <font>
      <sz val="10"/>
      <name val="MS Sans Serif"/>
      <family val="2"/>
    </font>
    <font>
      <u/>
      <sz val="11"/>
      <color theme="10"/>
      <name val="Calibri"/>
      <family val="2"/>
    </font>
    <font>
      <u/>
      <sz val="11"/>
      <color rgb="FF0000FF"/>
      <name val="Calibri"/>
      <family val="2"/>
      <scheme val="minor"/>
    </font>
    <font>
      <sz val="10"/>
      <color theme="1"/>
      <name val="Times New Roman"/>
      <family val="2"/>
    </font>
    <font>
      <sz val="11"/>
      <color rgb="FF000000"/>
      <name val="Calibri"/>
      <family val="2"/>
    </font>
    <font>
      <sz val="11"/>
      <color rgb="FF000000"/>
      <name val="Calibri"/>
      <family val="2"/>
      <scheme val="minor"/>
    </font>
    <font>
      <sz val="10"/>
      <color theme="1"/>
      <name val="Times New Roman"/>
      <family val="1"/>
    </font>
    <font>
      <sz val="10"/>
      <color theme="1"/>
      <name val="Arial"/>
      <family val="2"/>
    </font>
    <font>
      <sz val="18"/>
      <color theme="3"/>
      <name val="Cambria"/>
      <family val="2"/>
      <scheme val="major"/>
    </font>
    <font>
      <b/>
      <sz val="12"/>
      <color theme="1"/>
      <name val="Arial"/>
      <family val="2"/>
    </font>
    <font>
      <b/>
      <sz val="14"/>
      <color theme="1"/>
      <name val="Arial"/>
      <family val="2"/>
    </font>
    <font>
      <b/>
      <sz val="11"/>
      <color theme="1"/>
      <name val="Arial"/>
      <family val="2"/>
    </font>
    <font>
      <i/>
      <sz val="10"/>
      <name val="Arial"/>
      <family val="2"/>
    </font>
    <font>
      <b/>
      <sz val="10"/>
      <color theme="1"/>
      <name val="Arial"/>
      <family val="2"/>
    </font>
    <font>
      <i/>
      <sz val="10"/>
      <color theme="1"/>
      <name val="Arial"/>
      <family val="2"/>
    </font>
    <font>
      <b/>
      <sz val="12"/>
      <name val="Arial"/>
      <family val="2"/>
    </font>
    <font>
      <sz val="11"/>
      <color indexed="8"/>
      <name val="Calibri"/>
      <family val="2"/>
      <charset val="1"/>
    </font>
    <font>
      <b/>
      <sz val="12"/>
      <name val="Times New Roman"/>
      <family val="1"/>
      <charset val="1"/>
    </font>
    <font>
      <sz val="12"/>
      <name val="Times New Roman"/>
      <family val="1"/>
      <charset val="1"/>
    </font>
    <font>
      <b/>
      <sz val="18"/>
      <name val="Times New Roman"/>
      <family val="1"/>
      <charset val="1"/>
    </font>
    <font>
      <b/>
      <sz val="11"/>
      <name val="Times New Roman"/>
      <family val="1"/>
      <charset val="1"/>
    </font>
    <font>
      <sz val="11"/>
      <name val="Times New Roman"/>
      <family val="1"/>
      <charset val="1"/>
    </font>
    <font>
      <b/>
      <i/>
      <sz val="12"/>
      <name val="Times New Roman"/>
      <family val="1"/>
      <charset val="1"/>
    </font>
    <font>
      <i/>
      <sz val="12"/>
      <name val="Times New Roman"/>
      <family val="1"/>
      <charset val="1"/>
    </font>
    <font>
      <b/>
      <sz val="13"/>
      <name val="Times New Roman"/>
      <family val="1"/>
      <charset val="1"/>
    </font>
    <font>
      <sz val="13"/>
      <color indexed="8"/>
      <name val="Times New Roman"/>
      <family val="1"/>
      <charset val="1"/>
    </font>
    <font>
      <b/>
      <sz val="12"/>
      <color indexed="8"/>
      <name val="Times New Roman"/>
      <family val="1"/>
      <charset val="1"/>
    </font>
    <font>
      <sz val="12"/>
      <color indexed="8"/>
      <name val="Times New Roman"/>
      <family val="1"/>
      <charset val="1"/>
    </font>
    <font>
      <i/>
      <sz val="12"/>
      <color indexed="8"/>
      <name val="Times New Roman"/>
      <family val="1"/>
      <charset val="1"/>
    </font>
    <font>
      <sz val="10"/>
      <color indexed="8"/>
      <name val="Times New Roman"/>
      <family val="1"/>
      <charset val="1"/>
    </font>
    <font>
      <sz val="11"/>
      <color indexed="8"/>
      <name val="Times New Roman"/>
      <family val="1"/>
      <charset val="1"/>
    </font>
    <font>
      <sz val="12"/>
      <name val="Calibri"/>
      <family val="2"/>
      <scheme val="minor"/>
    </font>
    <font>
      <b/>
      <sz val="12"/>
      <color indexed="8"/>
      <name val="Times New Roman"/>
      <family val="1"/>
    </font>
    <font>
      <b/>
      <sz val="12"/>
      <name val="Times New Roman"/>
      <family val="1"/>
    </font>
    <font>
      <sz val="12"/>
      <name val="Times New Roman"/>
      <family val="1"/>
    </font>
    <font>
      <sz val="12"/>
      <color rgb="FFFF0000"/>
      <name val="Times New Roman"/>
      <family val="1"/>
    </font>
    <font>
      <b/>
      <sz val="18"/>
      <name val="Times New Roman"/>
      <family val="1"/>
    </font>
    <font>
      <b/>
      <sz val="11"/>
      <name val="Times New Roman"/>
      <family val="1"/>
    </font>
    <font>
      <sz val="11"/>
      <name val="Times New Roman"/>
      <family val="1"/>
    </font>
    <font>
      <sz val="11"/>
      <color rgb="FFFF0000"/>
      <name val="Times New Roman"/>
      <family val="1"/>
    </font>
    <font>
      <b/>
      <i/>
      <sz val="12"/>
      <name val="Times New Roman"/>
      <family val="1"/>
    </font>
    <font>
      <i/>
      <sz val="12"/>
      <name val="Times New Roman"/>
      <family val="1"/>
    </font>
    <font>
      <i/>
      <sz val="12"/>
      <color rgb="FFFF0000"/>
      <name val="Times New Roman"/>
      <family val="1"/>
    </font>
    <font>
      <b/>
      <sz val="13"/>
      <name val="Times New Roman"/>
      <family val="1"/>
    </font>
    <font>
      <b/>
      <sz val="13"/>
      <color rgb="FFFF0000"/>
      <name val="Times New Roman"/>
      <family val="1"/>
    </font>
    <font>
      <sz val="13"/>
      <color theme="1"/>
      <name val="Times New Roman"/>
      <family val="1"/>
    </font>
    <font>
      <b/>
      <sz val="12"/>
      <color theme="1"/>
      <name val="Times New Roman"/>
      <family val="1"/>
    </font>
    <font>
      <b/>
      <sz val="12"/>
      <color rgb="FFFF0000"/>
      <name val="Times New Roman"/>
      <family val="1"/>
    </font>
    <font>
      <sz val="12"/>
      <color theme="1"/>
      <name val="Times New Roman"/>
      <family val="1"/>
    </font>
    <font>
      <i/>
      <sz val="12"/>
      <color theme="1"/>
      <name val="Times New Roman"/>
      <family val="1"/>
    </font>
    <font>
      <sz val="11"/>
      <color theme="1"/>
      <name val="Times New Roman"/>
      <family val="1"/>
    </font>
    <font>
      <b/>
      <i/>
      <sz val="12"/>
      <color theme="1"/>
      <name val="Times New Roman"/>
      <family val="1"/>
    </font>
    <font>
      <sz val="11"/>
      <color rgb="FF1F497D"/>
      <name val="Calibri"/>
      <family val="2"/>
    </font>
    <font>
      <sz val="11"/>
      <color rgb="FF002060"/>
      <name val="Calibri"/>
      <family val="2"/>
    </font>
    <font>
      <sz val="7"/>
      <color theme="1"/>
      <name val="Times New Roman"/>
      <family val="1"/>
    </font>
    <font>
      <sz val="12"/>
      <name val="Calibri"/>
      <family val="2"/>
    </font>
    <font>
      <b/>
      <sz val="11"/>
      <color theme="1"/>
      <name val="Times New Roman"/>
      <family val="1"/>
    </font>
    <font>
      <sz val="12"/>
      <color indexed="8"/>
      <name val="Times New Roman"/>
      <family val="1"/>
    </font>
    <font>
      <sz val="12"/>
      <color rgb="FF000000"/>
      <name val="Times New Roman"/>
      <family val="1"/>
    </font>
    <font>
      <sz val="13"/>
      <name val="Times New Roman"/>
      <family val="1"/>
    </font>
    <font>
      <sz val="12"/>
      <color rgb="FF00B050"/>
      <name val="Times New Roman"/>
      <family val="1"/>
    </font>
    <font>
      <b/>
      <i/>
      <sz val="18"/>
      <name val="Times New Roman"/>
      <family val="1"/>
    </font>
    <font>
      <b/>
      <i/>
      <sz val="18"/>
      <name val="Times New Roman"/>
      <family val="1"/>
      <charset val="1"/>
    </font>
    <font>
      <b/>
      <i/>
      <sz val="11"/>
      <name val="Times New Roman"/>
      <family val="1"/>
    </font>
    <font>
      <b/>
      <i/>
      <sz val="11"/>
      <name val="Times New Roman"/>
      <family val="1"/>
      <charset val="1"/>
    </font>
    <font>
      <i/>
      <sz val="11"/>
      <name val="Times New Roman"/>
      <family val="1"/>
      <charset val="1"/>
    </font>
    <font>
      <sz val="12"/>
      <color rgb="FF000000"/>
      <name val="Calibri"/>
      <family val="2"/>
      <charset val="1"/>
    </font>
    <font>
      <b/>
      <i/>
      <sz val="13"/>
      <name val="Times New Roman"/>
      <family val="1"/>
      <charset val="1"/>
    </font>
    <font>
      <sz val="13"/>
      <color rgb="FF000000"/>
      <name val="Times New Roman"/>
      <family val="1"/>
      <charset val="1"/>
    </font>
    <font>
      <b/>
      <sz val="12"/>
      <color rgb="FF000000"/>
      <name val="Times New Roman"/>
      <family val="1"/>
      <charset val="1"/>
    </font>
    <font>
      <b/>
      <i/>
      <sz val="12"/>
      <color rgb="FF000000"/>
      <name val="Times New Roman"/>
      <family val="1"/>
      <charset val="1"/>
    </font>
    <font>
      <b/>
      <sz val="12"/>
      <color rgb="FF000000"/>
      <name val="Times New Roman"/>
      <family val="1"/>
    </font>
    <font>
      <b/>
      <i/>
      <sz val="16"/>
      <color theme="1"/>
      <name val="Times New Roman"/>
      <family val="1"/>
    </font>
    <font>
      <b/>
      <sz val="12"/>
      <color theme="1"/>
      <name val="Calibri"/>
      <family val="2"/>
      <scheme val="minor"/>
    </font>
    <font>
      <i/>
      <sz val="12"/>
      <color rgb="FF000000"/>
      <name val="Times New Roman"/>
      <family val="1"/>
      <charset val="1"/>
    </font>
    <font>
      <i/>
      <sz val="12"/>
      <color rgb="FF000000"/>
      <name val="Times New Roman"/>
      <family val="1"/>
    </font>
    <font>
      <b/>
      <i/>
      <sz val="16"/>
      <color rgb="FF000000"/>
      <name val="Times New Roman"/>
      <family val="1"/>
    </font>
    <font>
      <sz val="12"/>
      <color rgb="FF000000"/>
      <name val="Times New Roman"/>
      <family val="1"/>
      <charset val="1"/>
    </font>
    <font>
      <sz val="10"/>
      <color rgb="FF000000"/>
      <name val="Times New Roman"/>
      <family val="1"/>
      <charset val="1"/>
    </font>
    <font>
      <b/>
      <sz val="12"/>
      <name val="Calibri"/>
      <family val="2"/>
      <charset val="1"/>
    </font>
    <font>
      <i/>
      <sz val="12"/>
      <color rgb="FF333333"/>
      <name val="Calibri"/>
      <family val="2"/>
      <charset val="1"/>
    </font>
    <font>
      <b/>
      <sz val="12"/>
      <color rgb="FF333333"/>
      <name val="Calibri"/>
      <family val="2"/>
      <charset val="1"/>
    </font>
    <font>
      <i/>
      <vertAlign val="superscript"/>
      <sz val="12"/>
      <color rgb="FF333333"/>
      <name val="Calibri"/>
      <family val="2"/>
      <charset val="1"/>
    </font>
    <font>
      <sz val="12"/>
      <color theme="1"/>
      <name val="Arial Narrow"/>
      <family val="2"/>
    </font>
    <font>
      <b/>
      <sz val="12"/>
      <color theme="1"/>
      <name val="Arial Narrow"/>
      <family val="2"/>
    </font>
    <font>
      <i/>
      <sz val="12"/>
      <color theme="1"/>
      <name val="Arial Narrow"/>
      <family val="2"/>
    </font>
    <font>
      <b/>
      <i/>
      <sz val="12"/>
      <color rgb="FF000000"/>
      <name val="Times New Roman"/>
      <family val="1"/>
    </font>
    <font>
      <sz val="11"/>
      <color rgb="FF000000"/>
      <name val="Times New Roman"/>
      <family val="1"/>
      <charset val="1"/>
    </font>
    <font>
      <b/>
      <sz val="9"/>
      <color indexed="81"/>
      <name val="Tahoma"/>
      <family val="2"/>
    </font>
    <font>
      <sz val="9"/>
      <color indexed="81"/>
      <name val="Tahoma"/>
      <family val="2"/>
    </font>
    <font>
      <sz val="10"/>
      <color rgb="FFFF0000"/>
      <name val="Arial"/>
      <family val="2"/>
    </font>
    <font>
      <b/>
      <sz val="12"/>
      <name val="Calibri"/>
      <family val="2"/>
    </font>
    <font>
      <b/>
      <sz val="11"/>
      <color rgb="FF1F497D"/>
      <name val="Calibri"/>
      <family val="2"/>
    </font>
    <font>
      <b/>
      <sz val="11"/>
      <color rgb="FF002060"/>
      <name val="Calibri"/>
      <family val="2"/>
    </font>
    <font>
      <b/>
      <i/>
      <sz val="12"/>
      <color indexed="8"/>
      <name val="Times New Roman"/>
      <family val="1"/>
      <charset val="1"/>
    </font>
    <font>
      <b/>
      <sz val="11"/>
      <color indexed="8"/>
      <name val="Calibri"/>
      <family val="2"/>
      <charset val="1"/>
    </font>
    <font>
      <b/>
      <sz val="11"/>
      <color rgb="FF000000"/>
      <name val="Calibri"/>
      <family val="2"/>
    </font>
    <font>
      <b/>
      <sz val="10"/>
      <color rgb="FF000000"/>
      <name val="Times New Roman"/>
      <family val="1"/>
      <charset val="1"/>
    </font>
    <font>
      <b/>
      <i/>
      <sz val="12"/>
      <color rgb="FF333333"/>
      <name val="Calibri"/>
      <family val="2"/>
      <charset val="1"/>
    </font>
    <font>
      <b/>
      <sz val="12"/>
      <name val="Arial Narrow"/>
      <family val="2"/>
    </font>
    <font>
      <sz val="12"/>
      <name val="Arial Narrow"/>
      <family val="2"/>
    </font>
    <font>
      <b/>
      <sz val="12"/>
      <name val="Calibri"/>
      <family val="2"/>
      <scheme val="minor"/>
    </font>
    <font>
      <sz val="11"/>
      <name val="Calibri"/>
      <family val="2"/>
    </font>
    <font>
      <sz val="11"/>
      <name val="Calibri"/>
      <family val="2"/>
      <charset val="1"/>
    </font>
    <font>
      <sz val="11"/>
      <name val="Calibri"/>
      <family val="2"/>
      <scheme val="minor"/>
    </font>
    <font>
      <sz val="7"/>
      <name val="Times New Roman"/>
      <family val="1"/>
    </font>
    <font>
      <b/>
      <sz val="16"/>
      <color theme="1"/>
      <name val="Times New Roman"/>
      <family val="1"/>
    </font>
    <font>
      <b/>
      <sz val="24"/>
      <name val="Times New Roman"/>
      <family val="1"/>
    </font>
    <font>
      <i/>
      <sz val="12"/>
      <color rgb="FF333333"/>
      <name val="Times New Roman"/>
      <family val="1"/>
    </font>
    <font>
      <i/>
      <vertAlign val="superscript"/>
      <sz val="12"/>
      <color rgb="FF333333"/>
      <name val="Times New Roman"/>
      <family val="1"/>
    </font>
    <font>
      <b/>
      <sz val="14"/>
      <color theme="1"/>
      <name val="Calibri"/>
      <family val="2"/>
      <scheme val="minor"/>
    </font>
    <font>
      <sz val="12"/>
      <color rgb="FF333333"/>
      <name val="Times New Roman"/>
      <family val="1"/>
    </font>
    <font>
      <b/>
      <i/>
      <sz val="12"/>
      <color indexed="8"/>
      <name val="Times New Roman"/>
      <family val="1"/>
    </font>
    <font>
      <i/>
      <sz val="12"/>
      <color indexed="8"/>
      <name val="Times New Roman"/>
      <family val="1"/>
    </font>
    <font>
      <sz val="12"/>
      <color rgb="FF1F497D"/>
      <name val="Times New Roman"/>
      <family val="1"/>
    </font>
    <font>
      <b/>
      <i/>
      <sz val="12"/>
      <color rgb="FFFF0000"/>
      <name val="Times New Roman"/>
      <family val="1"/>
    </font>
    <font>
      <b/>
      <i/>
      <sz val="14"/>
      <color theme="1"/>
      <name val="Times New Roman"/>
      <family val="1"/>
    </font>
    <font>
      <i/>
      <sz val="14"/>
      <color theme="1"/>
      <name val="Times New Roman"/>
      <family val="1"/>
    </font>
    <font>
      <sz val="14"/>
      <color theme="1"/>
      <name val="Calibri"/>
      <family val="2"/>
      <scheme val="minor"/>
    </font>
    <font>
      <b/>
      <sz val="16"/>
      <color theme="1"/>
      <name val="Calibri"/>
      <family val="2"/>
      <scheme val="minor"/>
    </font>
    <font>
      <sz val="16"/>
      <color theme="1"/>
      <name val="Calibri"/>
      <family val="2"/>
      <scheme val="minor"/>
    </font>
    <font>
      <sz val="12"/>
      <color theme="3"/>
      <name val="Times New Roman"/>
      <family val="1"/>
    </font>
    <font>
      <sz val="12"/>
      <color theme="4"/>
      <name val="Times New Roman"/>
      <family val="1"/>
    </font>
    <font>
      <i/>
      <sz val="12"/>
      <color theme="4"/>
      <name val="Times New Roman"/>
      <family val="1"/>
    </font>
    <font>
      <b/>
      <i/>
      <sz val="12"/>
      <color theme="4"/>
      <name val="Times New Roman"/>
      <family val="1"/>
    </font>
    <font>
      <b/>
      <sz val="12"/>
      <color theme="4"/>
      <name val="Times New Roman"/>
      <family val="1"/>
    </font>
    <font>
      <b/>
      <sz val="12"/>
      <color theme="3"/>
      <name val="Times New Roman"/>
      <family val="1"/>
    </font>
    <font>
      <b/>
      <sz val="11"/>
      <color theme="4"/>
      <name val="Calibri"/>
      <family val="2"/>
      <scheme val="minor"/>
    </font>
    <font>
      <sz val="11"/>
      <color rgb="FF000000"/>
      <name val="Calibri"/>
      <family val="2"/>
      <charset val="1"/>
    </font>
    <font>
      <sz val="12"/>
      <color indexed="8"/>
      <name val="Times New Roman"/>
      <family val="2"/>
    </font>
    <font>
      <b/>
      <sz val="18"/>
      <color theme="1"/>
      <name val="Calibri"/>
      <family val="2"/>
      <scheme val="minor"/>
    </font>
    <font>
      <b/>
      <sz val="14"/>
      <color rgb="FFFF0000"/>
      <name val="Calibri"/>
      <family val="2"/>
      <scheme val="minor"/>
    </font>
    <font>
      <b/>
      <u/>
      <sz val="12"/>
      <color theme="1"/>
      <name val="Calibri"/>
      <family val="2"/>
      <scheme val="minor"/>
    </font>
    <font>
      <sz val="12"/>
      <color rgb="FF000000"/>
      <name val="Calibri"/>
      <family val="2"/>
      <scheme val="minor"/>
    </font>
    <font>
      <b/>
      <sz val="12"/>
      <color rgb="FFFF0000"/>
      <name val="Arial Narrow"/>
      <family val="2"/>
    </font>
    <font>
      <b/>
      <sz val="12"/>
      <color rgb="FFFF0000"/>
      <name val="Calibri"/>
      <family val="2"/>
      <scheme val="minor"/>
    </font>
    <font>
      <b/>
      <u/>
      <sz val="11"/>
      <color theme="1"/>
      <name val="Calibri"/>
      <family val="2"/>
      <scheme val="minor"/>
    </font>
    <font>
      <b/>
      <sz val="10"/>
      <name val="Times New Roman"/>
      <family val="1"/>
    </font>
    <font>
      <b/>
      <u/>
      <sz val="10"/>
      <name val="Times New Roman"/>
      <family val="1"/>
    </font>
    <font>
      <b/>
      <sz val="12"/>
      <color rgb="FF000000"/>
      <name val="Arial Narrow"/>
      <family val="2"/>
    </font>
    <font>
      <b/>
      <sz val="14"/>
      <name val="Calibri"/>
      <family val="2"/>
      <scheme val="minor"/>
    </font>
    <font>
      <b/>
      <i/>
      <sz val="12"/>
      <name val="Calibri"/>
      <family val="2"/>
      <scheme val="minor"/>
    </font>
    <font>
      <sz val="14"/>
      <color theme="1"/>
      <name val="Times New Roman"/>
      <family val="1"/>
    </font>
    <font>
      <sz val="14"/>
      <name val="Times New Roman"/>
      <family val="1"/>
    </font>
    <font>
      <sz val="16"/>
      <color theme="1"/>
      <name val="Times New Roman"/>
      <family val="1"/>
    </font>
    <font>
      <sz val="14"/>
      <color rgb="FF000000"/>
      <name val="Times New Roman"/>
      <family val="1"/>
    </font>
    <font>
      <b/>
      <u/>
      <sz val="14"/>
      <name val="Times New Roman"/>
      <family val="1"/>
    </font>
    <font>
      <b/>
      <sz val="14"/>
      <name val="Times New Roman"/>
      <family val="1"/>
    </font>
    <font>
      <b/>
      <sz val="12"/>
      <color theme="0"/>
      <name val="Times New Roman"/>
      <family val="1"/>
    </font>
    <font>
      <sz val="12"/>
      <color rgb="FF000000"/>
      <name val="Calibri"/>
      <family val="2"/>
    </font>
    <font>
      <sz val="11"/>
      <color rgb="FF000000"/>
      <name val="Arial"/>
      <family val="2"/>
    </font>
    <font>
      <sz val="11"/>
      <name val="Arial"/>
      <family val="2"/>
    </font>
    <font>
      <b/>
      <u/>
      <sz val="12"/>
      <color theme="1"/>
      <name val="Times New Roman"/>
      <family val="1"/>
    </font>
    <font>
      <b/>
      <u/>
      <sz val="12"/>
      <name val="Times New Roman"/>
      <family val="1"/>
    </font>
  </fonts>
  <fills count="11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rgb="FFCCFFFF"/>
        <bgColor indexed="64"/>
      </patternFill>
    </fill>
    <fill>
      <patternFill patternType="solid">
        <fgColor theme="0"/>
        <bgColor indexed="64"/>
      </patternFill>
    </fill>
    <fill>
      <patternFill patternType="solid">
        <fgColor theme="8" tint="0.599963377788628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indexed="51"/>
        <bgColor indexed="52"/>
      </patternFill>
    </fill>
    <fill>
      <patternFill patternType="solid">
        <fgColor indexed="50"/>
        <bgColor indexed="22"/>
      </patternFill>
    </fill>
    <fill>
      <patternFill patternType="solid">
        <fgColor indexed="13"/>
        <bgColor indexed="34"/>
      </patternFill>
    </fill>
    <fill>
      <patternFill patternType="solid">
        <fgColor indexed="24"/>
        <bgColor indexed="55"/>
      </patternFill>
    </fill>
    <fill>
      <patternFill patternType="solid">
        <fgColor indexed="47"/>
        <bgColor indexed="45"/>
      </patternFill>
    </fill>
    <fill>
      <patternFill patternType="solid">
        <fgColor indexed="22"/>
        <bgColor indexed="31"/>
      </patternFill>
    </fill>
    <fill>
      <patternFill patternType="solid">
        <fgColor theme="7"/>
        <bgColor indexed="64"/>
      </patternFill>
    </fill>
    <fill>
      <patternFill patternType="solid">
        <fgColor rgb="FF92D050"/>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rgb="FFFFFFFF"/>
        <bgColor rgb="FF000000"/>
      </patternFill>
    </fill>
    <fill>
      <patternFill patternType="solid">
        <fgColor theme="0"/>
        <bgColor rgb="FF000000"/>
      </patternFill>
    </fill>
    <fill>
      <patternFill patternType="solid">
        <fgColor theme="4" tint="0.79998168889431442"/>
        <bgColor indexed="64"/>
      </patternFill>
    </fill>
    <fill>
      <patternFill patternType="solid">
        <fgColor rgb="FFFF0000"/>
        <bgColor indexed="64"/>
      </patternFill>
    </fill>
    <fill>
      <patternFill patternType="solid">
        <fgColor rgb="FFFFC000"/>
        <bgColor rgb="FFFF9900"/>
      </patternFill>
    </fill>
    <fill>
      <patternFill patternType="solid">
        <fgColor rgb="FF92D050"/>
        <bgColor rgb="FFBFBFBF"/>
      </patternFill>
    </fill>
    <fill>
      <patternFill patternType="solid">
        <fgColor rgb="FFFFFF00"/>
        <bgColor rgb="FFFFFF00"/>
      </patternFill>
    </fill>
    <fill>
      <patternFill patternType="solid">
        <fgColor rgb="FF8FAADC"/>
        <bgColor rgb="FF969696"/>
      </patternFill>
    </fill>
    <fill>
      <patternFill patternType="solid">
        <fgColor rgb="FFF4B183"/>
        <bgColor rgb="FFFF99CC"/>
      </patternFill>
    </fill>
    <fill>
      <patternFill patternType="solid">
        <fgColor rgb="FFBFBFBF"/>
        <bgColor rgb="FFB4C7E7"/>
      </patternFill>
    </fill>
    <fill>
      <patternFill patternType="solid">
        <fgColor rgb="FFFFFF00"/>
        <bgColor rgb="FFE7E6E6"/>
      </patternFill>
    </fill>
    <fill>
      <patternFill patternType="solid">
        <fgColor rgb="FFFFFFFF"/>
        <bgColor rgb="FFF2F2F2"/>
      </patternFill>
    </fill>
    <fill>
      <patternFill patternType="solid">
        <fgColor rgb="FFE2F0D9"/>
        <bgColor rgb="FFE7E6E6"/>
      </patternFill>
    </fill>
    <fill>
      <patternFill patternType="solid">
        <fgColor rgb="FFE7E6E6"/>
        <bgColor rgb="FFEDEDED"/>
      </patternFill>
    </fill>
    <fill>
      <patternFill patternType="solid">
        <fgColor rgb="FF8FDFEF"/>
        <bgColor indexed="64"/>
      </patternFill>
    </fill>
    <fill>
      <patternFill patternType="solid">
        <fgColor theme="5" tint="0.59999389629810485"/>
        <bgColor indexed="64"/>
      </patternFill>
    </fill>
    <fill>
      <patternFill patternType="solid">
        <fgColor theme="8" tint="0.39994506668294322"/>
        <bgColor indexed="64"/>
      </patternFill>
    </fill>
    <fill>
      <patternFill patternType="solid">
        <fgColor theme="5" tint="0.39994506668294322"/>
        <bgColor indexed="64"/>
      </patternFill>
    </fill>
    <fill>
      <patternFill patternType="solid">
        <fgColor theme="0" tint="-0.24994659260841701"/>
        <bgColor indexed="64"/>
      </patternFill>
    </fill>
    <fill>
      <patternFill patternType="solid">
        <fgColor rgb="FF00FF00"/>
        <bgColor indexed="64"/>
      </patternFill>
    </fill>
    <fill>
      <patternFill patternType="solid">
        <fgColor theme="2" tint="-9.9978637043366805E-2"/>
        <bgColor indexed="64"/>
      </patternFill>
    </fill>
    <fill>
      <patternFill patternType="solid">
        <fgColor rgb="FFFFFF00"/>
        <bgColor rgb="FF000000"/>
      </patternFill>
    </fill>
    <fill>
      <patternFill patternType="solid">
        <fgColor theme="0" tint="-0.14999847407452621"/>
        <bgColor indexed="64"/>
      </patternFill>
    </fill>
    <fill>
      <patternFill patternType="solid">
        <fgColor theme="3" tint="0.79998168889431442"/>
        <bgColor indexed="64"/>
      </patternFill>
    </fill>
    <fill>
      <patternFill patternType="lightGray"/>
    </fill>
    <fill>
      <patternFill patternType="lightGray">
        <bgColor rgb="FFFFFF00"/>
      </patternFill>
    </fill>
    <fill>
      <patternFill patternType="lightGray">
        <bgColor rgb="FFFF0000"/>
      </patternFill>
    </fill>
    <fill>
      <patternFill patternType="solid">
        <fgColor theme="4"/>
        <bgColor indexed="64"/>
      </patternFill>
    </fill>
    <fill>
      <patternFill patternType="lightGray">
        <bgColor theme="4"/>
      </patternFill>
    </fill>
    <fill>
      <patternFill patternType="solid">
        <fgColor theme="9"/>
        <bgColor indexed="64"/>
      </patternFill>
    </fill>
    <fill>
      <patternFill patternType="lightGray">
        <bgColor theme="9"/>
      </patternFill>
    </fill>
    <fill>
      <patternFill patternType="solid">
        <fgColor rgb="FF00B050"/>
        <bgColor indexed="64"/>
      </patternFill>
    </fill>
    <fill>
      <patternFill patternType="solid">
        <fgColor theme="6" tint="0.39997558519241921"/>
        <bgColor indexed="46"/>
      </patternFill>
    </fill>
    <fill>
      <patternFill patternType="solid">
        <fgColor theme="5" tint="0.39997558519241921"/>
        <bgColor indexed="46"/>
      </patternFill>
    </fill>
    <fill>
      <patternFill patternType="solid">
        <fgColor theme="0"/>
        <bgColor indexed="46"/>
      </patternFill>
    </fill>
    <fill>
      <patternFill patternType="solid">
        <fgColor theme="4" tint="0.39997558519241921"/>
        <bgColor indexed="64"/>
      </patternFill>
    </fill>
    <fill>
      <patternFill patternType="solid">
        <fgColor theme="9" tint="-0.249977111117893"/>
        <bgColor indexed="64"/>
      </patternFill>
    </fill>
    <fill>
      <patternFill patternType="solid">
        <fgColor theme="4" tint="0.39997558519241921"/>
        <bgColor indexed="46"/>
      </patternFill>
    </fill>
    <fill>
      <patternFill patternType="solid">
        <fgColor rgb="FFFFFFFF"/>
        <bgColor indexed="64"/>
      </patternFill>
    </fill>
  </fills>
  <borders count="10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style="thin">
        <color indexed="64"/>
      </right>
      <top/>
      <bottom style="thin">
        <color indexed="64"/>
      </bottom>
      <diagonal/>
    </border>
    <border>
      <left style="thin">
        <color indexed="64"/>
      </left>
      <right style="thin">
        <color indexed="64"/>
      </right>
      <top style="double">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style="thin">
        <color indexed="64"/>
      </bottom>
      <diagonal/>
    </border>
    <border>
      <left/>
      <right/>
      <top/>
      <bottom style="thin">
        <color indexed="64"/>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3C3C3C"/>
      </left>
      <right style="thin">
        <color rgb="FF3C3C3C"/>
      </right>
      <top style="thin">
        <color rgb="FF3C3C3C"/>
      </top>
      <bottom style="thin">
        <color rgb="FF3C3C3C"/>
      </bottom>
      <diagonal/>
    </border>
    <border>
      <left style="thin">
        <color rgb="FF3C3C3C"/>
      </left>
      <right style="thin">
        <color rgb="FF3C3C3C"/>
      </right>
      <top style="thin">
        <color rgb="FF3C3C3C"/>
      </top>
      <bottom/>
      <diagonal/>
    </border>
    <border>
      <left style="thin">
        <color rgb="FF3C3C3C"/>
      </left>
      <right/>
      <top style="thin">
        <color rgb="FF3C3C3C"/>
      </top>
      <bottom style="thin">
        <color rgb="FF3C3C3C"/>
      </bottom>
      <diagonal/>
    </border>
    <border>
      <left style="thin">
        <color rgb="FF3C3C3C"/>
      </left>
      <right style="thin">
        <color rgb="FF3C3C3C"/>
      </right>
      <top/>
      <bottom style="thin">
        <color rgb="FF3C3C3C"/>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style="thin">
        <color rgb="FF000000"/>
      </bottom>
      <diagonal/>
    </border>
    <border>
      <left style="thin">
        <color indexed="8"/>
      </left>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8"/>
      </left>
      <right/>
      <top style="thin">
        <color indexed="8"/>
      </top>
      <bottom style="thin">
        <color indexed="8"/>
      </bottom>
      <diagonal/>
    </border>
    <border>
      <left style="thin">
        <color indexed="8"/>
      </left>
      <right/>
      <top/>
      <bottom style="thin">
        <color indexed="8"/>
      </bottom>
      <diagonal/>
    </border>
    <border>
      <left style="thin">
        <color rgb="FF000000"/>
      </left>
      <right/>
      <top style="thin">
        <color rgb="FF000000"/>
      </top>
      <bottom/>
      <diagonal/>
    </border>
    <border>
      <left/>
      <right style="thin">
        <color indexed="8"/>
      </right>
      <top style="thin">
        <color indexed="8"/>
      </top>
      <bottom style="thin">
        <color indexed="8"/>
      </bottom>
      <diagonal/>
    </border>
    <border>
      <left/>
      <right style="thin">
        <color indexed="64"/>
      </right>
      <top style="thin">
        <color indexed="64"/>
      </top>
      <bottom style="thin">
        <color indexed="64"/>
      </bottom>
      <diagonal/>
    </border>
    <border>
      <left/>
      <right/>
      <top style="thin">
        <color auto="1"/>
      </top>
      <bottom style="thin">
        <color auto="1"/>
      </bottom>
      <diagonal/>
    </border>
    <border>
      <left style="thin">
        <color indexed="8"/>
      </left>
      <right style="thin">
        <color indexed="8"/>
      </right>
      <top style="thin">
        <color indexed="8"/>
      </top>
      <bottom/>
      <diagonal/>
    </border>
    <border>
      <left/>
      <right style="thin">
        <color rgb="FF000000"/>
      </right>
      <top/>
      <bottom style="thin">
        <color rgb="FF000000"/>
      </bottom>
      <diagonal/>
    </border>
    <border>
      <left style="thin">
        <color auto="1"/>
      </left>
      <right style="thin">
        <color auto="1"/>
      </right>
      <top style="thin">
        <color auto="1"/>
      </top>
      <bottom/>
      <diagonal/>
    </border>
    <border>
      <left style="thin">
        <color auto="1"/>
      </left>
      <right/>
      <top style="thin">
        <color auto="1"/>
      </top>
      <bottom/>
      <diagonal/>
    </border>
    <border>
      <left style="thin">
        <color indexed="8"/>
      </left>
      <right/>
      <top style="thin">
        <color indexed="8"/>
      </top>
      <bottom/>
      <diagonal/>
    </border>
    <border>
      <left style="thin">
        <color indexed="64"/>
      </left>
      <right/>
      <top style="thin">
        <color indexed="64"/>
      </top>
      <bottom/>
      <diagonal/>
    </border>
    <border>
      <left style="thin">
        <color indexed="8"/>
      </left>
      <right/>
      <top style="thin">
        <color indexed="8"/>
      </top>
      <bottom style="thin">
        <color indexed="8"/>
      </bottom>
      <diagonal/>
    </border>
    <border>
      <left/>
      <right/>
      <top style="thin">
        <color auto="1"/>
      </top>
      <bottom style="thin">
        <color auto="1"/>
      </bottom>
      <diagonal/>
    </border>
    <border>
      <left/>
      <right style="thin">
        <color indexed="64"/>
      </right>
      <top style="thin">
        <color indexed="64"/>
      </top>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style="thin">
        <color indexed="8"/>
      </right>
      <top/>
      <bottom/>
      <diagonal/>
    </border>
    <border>
      <left style="thin">
        <color indexed="8"/>
      </left>
      <right/>
      <top/>
      <bottom/>
      <diagonal/>
    </border>
    <border>
      <left style="thin">
        <color indexed="64"/>
      </left>
      <right style="thin">
        <color indexed="64"/>
      </right>
      <top style="double">
        <color indexed="64"/>
      </top>
      <bottom/>
      <diagonal/>
    </border>
    <border>
      <left/>
      <right style="thin">
        <color indexed="64"/>
      </right>
      <top/>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style="thin">
        <color rgb="FF000000"/>
      </top>
      <bottom/>
      <diagonal/>
    </border>
    <border>
      <left/>
      <right style="thin">
        <color rgb="FF000000"/>
      </right>
      <top/>
      <bottom/>
      <diagonal/>
    </border>
    <border>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s>
  <cellStyleXfs count="597">
    <xf numFmtId="0" fontId="0" fillId="0" borderId="0"/>
    <xf numFmtId="165" fontId="4" fillId="0" borderId="0" applyFon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0" fillId="32" borderId="0" applyNumberFormat="0" applyBorder="0" applyAlignment="0" applyProtection="0"/>
    <xf numFmtId="0" fontId="22" fillId="0" borderId="0"/>
    <xf numFmtId="166" fontId="22" fillId="0" borderId="0" applyFont="0" applyFill="0" applyBorder="0" applyAlignment="0" applyProtection="0"/>
    <xf numFmtId="0" fontId="21" fillId="0" borderId="0"/>
    <xf numFmtId="0" fontId="26" fillId="0" borderId="0"/>
    <xf numFmtId="43" fontId="26" fillId="0" borderId="0" applyFont="0" applyFill="0" applyBorder="0" applyAlignment="0" applyProtection="0"/>
    <xf numFmtId="41" fontId="26"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165" fontId="4" fillId="0" borderId="0" applyFont="0" applyFill="0" applyBorder="0" applyAlignment="0" applyProtection="0"/>
    <xf numFmtId="0" fontId="28" fillId="0" borderId="0">
      <alignment vertical="center"/>
    </xf>
    <xf numFmtId="170" fontId="23" fillId="0" borderId="0" applyFont="0" applyFill="0" applyBorder="0" applyAlignment="0" applyProtection="0"/>
    <xf numFmtId="171" fontId="23" fillId="0" borderId="0" applyFont="0" applyFill="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7"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172" fontId="23" fillId="0" borderId="0" applyFont="0" applyFill="0" applyBorder="0" applyAlignment="0" applyProtection="0"/>
    <xf numFmtId="173" fontId="23" fillId="0" borderId="0" applyFont="0" applyFill="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38" borderId="0" applyNumberFormat="0" applyBorder="0" applyAlignment="0" applyProtection="0"/>
    <xf numFmtId="0" fontId="33" fillId="38" borderId="0" applyNumberFormat="0" applyBorder="0" applyAlignment="0" applyProtection="0"/>
    <xf numFmtId="0" fontId="33" fillId="41" borderId="0" applyNumberFormat="0" applyBorder="0" applyAlignment="0" applyProtection="0"/>
    <xf numFmtId="0" fontId="33" fillId="41"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4" fillId="45" borderId="0" applyNumberFormat="0" applyBorder="0" applyAlignment="0" applyProtection="0"/>
    <xf numFmtId="0" fontId="34" fillId="45" borderId="0" applyNumberFormat="0" applyBorder="0" applyAlignment="0" applyProtection="0"/>
    <xf numFmtId="0" fontId="34" fillId="42"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3" borderId="0" applyNumberFormat="0" applyBorder="0" applyAlignment="0" applyProtection="0"/>
    <xf numFmtId="0" fontId="34" fillId="46"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48" borderId="0" applyNumberFormat="0" applyBorder="0" applyAlignment="0" applyProtection="0"/>
    <xf numFmtId="0" fontId="34" fillId="49" borderId="0" applyNumberFormat="0" applyBorder="0" applyAlignment="0" applyProtection="0"/>
    <xf numFmtId="0" fontId="34" fillId="49" borderId="0" applyNumberFormat="0" applyBorder="0" applyAlignment="0" applyProtection="0"/>
    <xf numFmtId="0" fontId="34" fillId="50"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1" borderId="0" applyNumberFormat="0" applyBorder="0" applyAlignment="0" applyProtection="0"/>
    <xf numFmtId="0" fontId="34" fillId="46"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7" borderId="0" applyNumberFormat="0" applyBorder="0" applyAlignment="0" applyProtection="0"/>
    <xf numFmtId="0" fontId="34" fillId="52" borderId="0" applyNumberFormat="0" applyBorder="0" applyAlignment="0" applyProtection="0"/>
    <xf numFmtId="0" fontId="34" fillId="52" borderId="0" applyNumberFormat="0" applyBorder="0" applyAlignment="0" applyProtection="0"/>
    <xf numFmtId="0" fontId="32"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6" fillId="53" borderId="14" applyNumberFormat="0" applyAlignment="0" applyProtection="0"/>
    <xf numFmtId="0" fontId="37" fillId="0" borderId="15" applyNumberFormat="0" applyFill="0" applyAlignment="0" applyProtection="0"/>
    <xf numFmtId="0" fontId="37" fillId="0" borderId="15" applyNumberFormat="0" applyFill="0" applyAlignment="0" applyProtection="0"/>
    <xf numFmtId="166" fontId="33" fillId="0" borderId="0" applyFont="0" applyFill="0" applyBorder="0" applyAlignment="0" applyProtection="0"/>
    <xf numFmtId="3" fontId="30" fillId="0" borderId="0"/>
    <xf numFmtId="3" fontId="49" fillId="0" borderId="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22" fillId="54" borderId="16"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38" fillId="40" borderId="14" applyNumberFormat="0" applyAlignment="0" applyProtection="0"/>
    <xf numFmtId="0" fontId="50" fillId="0" borderId="0" applyNumberFormat="0" applyFill="0" applyBorder="0" applyAlignment="0" applyProtection="0">
      <alignment vertical="top"/>
      <protection locked="0"/>
    </xf>
    <xf numFmtId="169" fontId="23" fillId="0" borderId="0" applyFont="0" applyFill="0" applyBorder="0" applyAlignment="0" applyProtection="0"/>
    <xf numFmtId="3" fontId="23" fillId="0" borderId="0" applyFont="0" applyFill="0" applyBorder="0" applyAlignment="0" applyProtection="0"/>
    <xf numFmtId="0" fontId="39" fillId="36" borderId="0" applyNumberFormat="0" applyBorder="0" applyAlignment="0" applyProtection="0"/>
    <xf numFmtId="0" fontId="39" fillId="36" borderId="0" applyNumberFormat="0" applyBorder="0" applyAlignment="0" applyProtection="0"/>
    <xf numFmtId="0" fontId="55" fillId="0" borderId="0" applyNumberFormat="0" applyFill="0" applyBorder="0" applyAlignment="0" applyProtection="0">
      <alignment vertical="top"/>
      <protection locked="0"/>
    </xf>
    <xf numFmtId="0" fontId="29" fillId="0" borderId="0" applyNumberFormat="0" applyFill="0" applyBorder="0" applyAlignment="0" applyProtection="0"/>
    <xf numFmtId="0" fontId="56" fillId="0" borderId="0" applyNumberForma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9" fontId="22" fillId="0" borderId="0" applyFont="0" applyFill="0" applyBorder="0" applyAlignment="0" applyProtection="0"/>
    <xf numFmtId="166" fontId="57" fillId="0" borderId="0" applyFont="0" applyFill="0" applyBorder="0" applyAlignment="0" applyProtection="0"/>
    <xf numFmtId="166" fontId="58"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51" fillId="0" borderId="0" applyFont="0" applyFill="0" applyBorder="0" applyAlignment="0" applyProtection="0"/>
    <xf numFmtId="176" fontId="22" fillId="0" borderId="0" applyFont="0" applyFill="0" applyBorder="0" applyAlignment="0" applyProtection="0"/>
    <xf numFmtId="166" fontId="4" fillId="0" borderId="0" applyFont="0" applyFill="0" applyBorder="0" applyAlignment="0" applyProtection="0"/>
    <xf numFmtId="43" fontId="4" fillId="0" borderId="0" applyFont="0" applyFill="0" applyBorder="0" applyAlignment="0" applyProtection="0"/>
    <xf numFmtId="0" fontId="40" fillId="55" borderId="0" applyNumberFormat="0" applyBorder="0" applyAlignment="0" applyProtection="0"/>
    <xf numFmtId="0" fontId="40" fillId="55" borderId="0" applyNumberFormat="0" applyBorder="0" applyAlignment="0" applyProtection="0"/>
    <xf numFmtId="0" fontId="52" fillId="0" borderId="0"/>
    <xf numFmtId="0" fontId="22" fillId="0" borderId="0"/>
    <xf numFmtId="0" fontId="22" fillId="0" borderId="0"/>
    <xf numFmtId="0" fontId="4" fillId="0" borderId="0"/>
    <xf numFmtId="0" fontId="22" fillId="0" borderId="0"/>
    <xf numFmtId="0" fontId="4" fillId="0" borderId="0"/>
    <xf numFmtId="0" fontId="51" fillId="0" borderId="0"/>
    <xf numFmtId="0" fontId="22" fillId="0" borderId="0"/>
    <xf numFmtId="0" fontId="22" fillId="0" borderId="0"/>
    <xf numFmtId="0" fontId="22" fillId="0" borderId="0"/>
    <xf numFmtId="0" fontId="4" fillId="0" borderId="0"/>
    <xf numFmtId="0" fontId="4" fillId="0" borderId="0"/>
    <xf numFmtId="0" fontId="28" fillId="0" borderId="0">
      <alignment vertical="center"/>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9" fillId="0" borderId="0"/>
    <xf numFmtId="0" fontId="22" fillId="0" borderId="0"/>
    <xf numFmtId="0" fontId="22" fillId="0" borderId="0"/>
    <xf numFmtId="0" fontId="59" fillId="0" borderId="0"/>
    <xf numFmtId="0" fontId="22" fillId="0" borderId="0"/>
    <xf numFmtId="0" fontId="22" fillId="0" borderId="0"/>
    <xf numFmtId="0" fontId="22" fillId="0" borderId="0"/>
    <xf numFmtId="0" fontId="22" fillId="0" borderId="0"/>
    <xf numFmtId="0" fontId="4" fillId="0" borderId="0"/>
    <xf numFmtId="0" fontId="59" fillId="0" borderId="0"/>
    <xf numFmtId="0" fontId="59" fillId="0" borderId="0"/>
    <xf numFmtId="0" fontId="59" fillId="0" borderId="0"/>
    <xf numFmtId="0" fontId="31" fillId="0" borderId="0"/>
    <xf numFmtId="0" fontId="22" fillId="0" borderId="0"/>
    <xf numFmtId="0" fontId="57" fillId="0" borderId="0"/>
    <xf numFmtId="0" fontId="58" fillId="0" borderId="0"/>
    <xf numFmtId="0" fontId="28" fillId="0" borderId="0">
      <alignment vertical="center"/>
    </xf>
    <xf numFmtId="0" fontId="4"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4" fillId="0" borderId="0"/>
    <xf numFmtId="0" fontId="4" fillId="0" borderId="0"/>
    <xf numFmtId="0" fontId="4" fillId="0" borderId="0"/>
    <xf numFmtId="0" fontId="4" fillId="0" borderId="0"/>
    <xf numFmtId="0" fontId="4" fillId="0" borderId="0"/>
    <xf numFmtId="0" fontId="4" fillId="0" borderId="0"/>
    <xf numFmtId="0" fontId="54" fillId="0" borderId="0"/>
    <xf numFmtId="0" fontId="54" fillId="0" borderId="0"/>
    <xf numFmtId="0" fontId="54" fillId="0" borderId="0"/>
    <xf numFmtId="0" fontId="54" fillId="0" borderId="0"/>
    <xf numFmtId="0" fontId="54" fillId="0" borderId="0"/>
    <xf numFmtId="0" fontId="54" fillId="0" borderId="0"/>
    <xf numFmtId="0" fontId="22" fillId="0" borderId="0"/>
    <xf numFmtId="0" fontId="22" fillId="0" borderId="0"/>
    <xf numFmtId="0" fontId="22" fillId="0" borderId="0"/>
    <xf numFmtId="0" fontId="22" fillId="0" borderId="0"/>
    <xf numFmtId="0" fontId="31" fillId="0" borderId="0"/>
    <xf numFmtId="0" fontId="22" fillId="0" borderId="0"/>
    <xf numFmtId="0" fontId="60" fillId="0" borderId="0"/>
    <xf numFmtId="0" fontId="22" fillId="0" borderId="0"/>
    <xf numFmtId="0" fontId="4" fillId="0" borderId="0"/>
    <xf numFmtId="0" fontId="22" fillId="0" borderId="0"/>
    <xf numFmtId="0" fontId="4"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4" fillId="0" borderId="0"/>
    <xf numFmtId="0" fontId="22" fillId="0" borderId="0"/>
    <xf numFmtId="0" fontId="22" fillId="0" borderId="0"/>
    <xf numFmtId="0" fontId="22"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3" fillId="0" borderId="0" applyFill="0" applyBorder="0" applyAlignment="0" applyProtection="0">
      <alignment horizontal="right"/>
    </xf>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61" fillId="0" borderId="0" applyFont="0" applyFill="0" applyBorder="0" applyAlignment="0" applyProtection="0"/>
    <xf numFmtId="175" fontId="23" fillId="0" borderId="0" applyFont="0" applyFill="0" applyBorder="0" applyAlignment="0" applyProtection="0"/>
    <xf numFmtId="9" fontId="4"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7"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5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8" fillId="0" borderId="0" applyFont="0" applyFill="0" applyBorder="0" applyAlignment="0" applyProtection="0"/>
    <xf numFmtId="9" fontId="54" fillId="0" borderId="0" applyFont="0" applyFill="0" applyBorder="0" applyAlignment="0" applyProtection="0"/>
    <xf numFmtId="0" fontId="53" fillId="0" borderId="0"/>
    <xf numFmtId="0" fontId="41" fillId="37" borderId="0" applyNumberFormat="0" applyBorder="0" applyAlignment="0" applyProtection="0"/>
    <xf numFmtId="0" fontId="41" fillId="37" borderId="0" applyNumberFormat="0" applyBorder="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2" fillId="53" borderId="17"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62" fillId="0" borderId="0" applyNumberFormat="0" applyFill="0" applyBorder="0" applyAlignment="0" applyProtection="0"/>
    <xf numFmtId="0" fontId="45" fillId="0" borderId="18" applyNumberFormat="0" applyFill="0" applyAlignment="0" applyProtection="0"/>
    <xf numFmtId="0" fontId="45" fillId="0" borderId="18"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7" fillId="0" borderId="20" applyNumberFormat="0" applyFill="0" applyAlignment="0" applyProtection="0"/>
    <xf numFmtId="0" fontId="47" fillId="0" borderId="20" applyNumberFormat="0" applyFill="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 fillId="0" borderId="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27" fillId="0" borderId="21" applyNumberFormat="0" applyFill="0" applyAlignment="0" applyProtection="0"/>
    <xf numFmtId="0" fontId="48" fillId="56" borderId="22" applyNumberFormat="0" applyAlignment="0" applyProtection="0"/>
    <xf numFmtId="0" fontId="48" fillId="56" borderId="22" applyNumberFormat="0" applyAlignment="0" applyProtection="0"/>
    <xf numFmtId="0" fontId="4" fillId="0" borderId="0"/>
    <xf numFmtId="0" fontId="4" fillId="0" borderId="0"/>
    <xf numFmtId="0" fontId="4" fillId="0" borderId="0"/>
    <xf numFmtId="0" fontId="4" fillId="0" borderId="0"/>
    <xf numFmtId="0" fontId="4" fillId="0" borderId="0"/>
    <xf numFmtId="43" fontId="26" fillId="0" borderId="0" applyFont="0" applyFill="0" applyBorder="0" applyAlignment="0" applyProtection="0"/>
    <xf numFmtId="0" fontId="4" fillId="0" borderId="0"/>
    <xf numFmtId="166" fontId="4" fillId="0" borderId="0" applyFont="0" applyFill="0" applyBorder="0" applyAlignment="0" applyProtection="0"/>
    <xf numFmtId="0" fontId="70" fillId="0" borderId="0"/>
    <xf numFmtId="0" fontId="120" fillId="0" borderId="0"/>
    <xf numFmtId="0" fontId="4" fillId="0" borderId="0"/>
    <xf numFmtId="165" fontId="4" fillId="0" borderId="0" applyFont="0" applyFill="0" applyBorder="0" applyAlignment="0" applyProtection="0"/>
    <xf numFmtId="0" fontId="182" fillId="0" borderId="0"/>
    <xf numFmtId="186" fontId="182" fillId="0" borderId="0" applyBorder="0" applyProtection="0"/>
    <xf numFmtId="0" fontId="21" fillId="0" borderId="0"/>
    <xf numFmtId="0" fontId="183" fillId="0" borderId="0"/>
    <xf numFmtId="165" fontId="2" fillId="0" borderId="0" applyFont="0" applyFill="0" applyBorder="0" applyAlignment="0" applyProtection="0"/>
    <xf numFmtId="0" fontId="2" fillId="0" borderId="0"/>
    <xf numFmtId="188" fontId="1" fillId="0" borderId="0" applyFont="0" applyFill="0" applyBorder="0" applyAlignment="0" applyProtection="0"/>
    <xf numFmtId="0" fontId="1" fillId="0" borderId="0"/>
    <xf numFmtId="0" fontId="1" fillId="0" borderId="0"/>
    <xf numFmtId="0" fontId="182" fillId="0" borderId="0"/>
    <xf numFmtId="189" fontId="1" fillId="0" borderId="0" applyFont="0" applyFill="0" applyBorder="0" applyAlignment="0" applyProtection="0"/>
    <xf numFmtId="41" fontId="4" fillId="0" borderId="0" applyFont="0" applyFill="0" applyBorder="0" applyAlignment="0" applyProtection="0"/>
    <xf numFmtId="0" fontId="203" fillId="0" borderId="0"/>
    <xf numFmtId="43" fontId="4" fillId="0" borderId="0" applyFont="0" applyFill="0" applyBorder="0" applyAlignment="0" applyProtection="0"/>
  </cellStyleXfs>
  <cellXfs count="3579">
    <xf numFmtId="0" fontId="0" fillId="0" borderId="0" xfId="0"/>
    <xf numFmtId="0" fontId="22" fillId="0" borderId="10" xfId="43" applyBorder="1" applyAlignment="1">
      <alignment horizontal="center" vertical="center"/>
    </xf>
    <xf numFmtId="167" fontId="25" fillId="0" borderId="10" xfId="43" applyNumberFormat="1" applyFont="1" applyBorder="1" applyAlignment="1">
      <alignment horizontal="right" vertical="center"/>
    </xf>
    <xf numFmtId="4" fontId="22" fillId="0" borderId="10" xfId="43" applyNumberFormat="1" applyBorder="1" applyAlignment="1">
      <alignment vertical="center"/>
    </xf>
    <xf numFmtId="0" fontId="22" fillId="0" borderId="11" xfId="43" applyBorder="1" applyAlignment="1">
      <alignment vertical="center" wrapText="1"/>
    </xf>
    <xf numFmtId="0" fontId="22" fillId="0" borderId="11" xfId="0" applyFont="1" applyBorder="1" applyAlignment="1">
      <alignment vertical="center" wrapText="1"/>
    </xf>
    <xf numFmtId="0" fontId="22" fillId="0" borderId="11" xfId="43" applyBorder="1" applyAlignment="1">
      <alignment vertical="center"/>
    </xf>
    <xf numFmtId="0" fontId="22" fillId="0" borderId="13" xfId="43" applyBorder="1" applyAlignment="1">
      <alignment vertical="center"/>
    </xf>
    <xf numFmtId="0" fontId="24" fillId="0" borderId="11" xfId="43" applyFont="1" applyBorder="1" applyAlignment="1">
      <alignment vertical="center"/>
    </xf>
    <xf numFmtId="0" fontId="22" fillId="0" borderId="11" xfId="43" applyBorder="1" applyAlignment="1">
      <alignment horizontal="center" vertical="center"/>
    </xf>
    <xf numFmtId="0" fontId="24" fillId="0" borderId="12" xfId="43" applyFont="1" applyBorder="1" applyAlignment="1">
      <alignment vertical="center"/>
    </xf>
    <xf numFmtId="0" fontId="22" fillId="0" borderId="12" xfId="43" applyBorder="1" applyAlignment="1">
      <alignment vertical="center" wrapText="1"/>
    </xf>
    <xf numFmtId="3" fontId="22" fillId="0" borderId="11" xfId="43" applyNumberFormat="1" applyBorder="1" applyAlignment="1">
      <alignment vertical="center"/>
    </xf>
    <xf numFmtId="0" fontId="22" fillId="0" borderId="10" xfId="43" applyBorder="1" applyAlignment="1">
      <alignment vertical="center" wrapText="1"/>
    </xf>
    <xf numFmtId="168" fontId="22" fillId="0" borderId="10" xfId="1" applyNumberFormat="1" applyFont="1" applyFill="1" applyBorder="1" applyAlignment="1">
      <alignment horizontal="right" vertical="center"/>
    </xf>
    <xf numFmtId="168" fontId="22" fillId="0" borderId="27" xfId="1" applyNumberFormat="1" applyFont="1" applyFill="1" applyBorder="1" applyAlignment="1">
      <alignment horizontal="right" vertical="center"/>
    </xf>
    <xf numFmtId="0" fontId="22" fillId="0" borderId="27" xfId="43" applyBorder="1" applyAlignment="1">
      <alignment vertical="center" wrapText="1"/>
    </xf>
    <xf numFmtId="0" fontId="22" fillId="0" borderId="23" xfId="43" applyBorder="1" applyAlignment="1">
      <alignment vertical="center" wrapText="1"/>
    </xf>
    <xf numFmtId="0" fontId="64" fillId="0" borderId="0" xfId="0" applyFont="1" applyAlignment="1">
      <alignment horizontal="left" vertical="center"/>
    </xf>
    <xf numFmtId="0" fontId="24" fillId="33" borderId="10" xfId="43" applyFont="1" applyFill="1" applyBorder="1" applyAlignment="1">
      <alignment horizontal="right" vertical="center" wrapText="1"/>
    </xf>
    <xf numFmtId="3" fontId="24" fillId="33" borderId="11" xfId="43" applyNumberFormat="1" applyFont="1" applyFill="1" applyBorder="1" applyAlignment="1">
      <alignment vertical="center"/>
    </xf>
    <xf numFmtId="0" fontId="24" fillId="33" borderId="27" xfId="43" applyFont="1" applyFill="1" applyBorder="1" applyAlignment="1">
      <alignment horizontal="right" vertical="center" wrapText="1"/>
    </xf>
    <xf numFmtId="3" fontId="24" fillId="33" borderId="27" xfId="43" applyNumberFormat="1" applyFont="1" applyFill="1" applyBorder="1" applyAlignment="1">
      <alignment vertical="center"/>
    </xf>
    <xf numFmtId="0" fontId="22" fillId="33" borderId="10" xfId="43" applyFill="1" applyBorder="1" applyAlignment="1">
      <alignment vertical="center"/>
    </xf>
    <xf numFmtId="0" fontId="24" fillId="34" borderId="23" xfId="43" applyFont="1" applyFill="1" applyBorder="1" applyAlignment="1">
      <alignment horizontal="right" vertical="center" wrapText="1"/>
    </xf>
    <xf numFmtId="3" fontId="63" fillId="34" borderId="23" xfId="0" applyNumberFormat="1" applyFont="1" applyFill="1" applyBorder="1" applyAlignment="1">
      <alignment vertical="center"/>
    </xf>
    <xf numFmtId="0" fontId="24" fillId="33" borderId="23" xfId="43" applyFont="1" applyFill="1" applyBorder="1" applyAlignment="1">
      <alignment horizontal="right" vertical="center" wrapText="1"/>
    </xf>
    <xf numFmtId="0" fontId="22" fillId="33" borderId="23" xfId="43" applyFill="1" applyBorder="1" applyAlignment="1">
      <alignment vertical="center" wrapText="1"/>
    </xf>
    <xf numFmtId="3" fontId="24" fillId="33" borderId="23" xfId="43" applyNumberFormat="1" applyFont="1" applyFill="1" applyBorder="1" applyAlignment="1">
      <alignment vertical="center"/>
    </xf>
    <xf numFmtId="0" fontId="22" fillId="33" borderId="12" xfId="43" applyFill="1" applyBorder="1" applyAlignment="1">
      <alignment vertical="center" wrapText="1"/>
    </xf>
    <xf numFmtId="0" fontId="24" fillId="33" borderId="27" xfId="43" applyFont="1" applyFill="1" applyBorder="1" applyAlignment="1">
      <alignment vertical="center"/>
    </xf>
    <xf numFmtId="0" fontId="24" fillId="57" borderId="10" xfId="43" applyFont="1" applyFill="1" applyBorder="1" applyAlignment="1">
      <alignment horizontal="left" vertical="center" wrapText="1"/>
    </xf>
    <xf numFmtId="0" fontId="24" fillId="57" borderId="11" xfId="0" applyFont="1" applyFill="1" applyBorder="1" applyAlignment="1">
      <alignment vertical="center" wrapText="1"/>
    </xf>
    <xf numFmtId="0" fontId="24" fillId="57" borderId="10" xfId="43" applyFont="1" applyFill="1" applyBorder="1" applyAlignment="1">
      <alignment vertical="center" wrapText="1"/>
    </xf>
    <xf numFmtId="0" fontId="24" fillId="34" borderId="13" xfId="43" applyFont="1" applyFill="1" applyBorder="1" applyAlignment="1">
      <alignment vertical="center"/>
    </xf>
    <xf numFmtId="0" fontId="24" fillId="34" borderId="13" xfId="43" applyFont="1" applyFill="1" applyBorder="1" applyAlignment="1">
      <alignment horizontal="center" vertical="center" wrapText="1"/>
    </xf>
    <xf numFmtId="167" fontId="25" fillId="34" borderId="13" xfId="43" applyNumberFormat="1" applyFont="1" applyFill="1" applyBorder="1" applyAlignment="1">
      <alignment horizontal="right" vertical="center"/>
    </xf>
    <xf numFmtId="0" fontId="24" fillId="34" borderId="10" xfId="43" applyFont="1" applyFill="1" applyBorder="1" applyAlignment="1">
      <alignment vertical="center"/>
    </xf>
    <xf numFmtId="0" fontId="0" fillId="34" borderId="10" xfId="0" applyFill="1" applyBorder="1"/>
    <xf numFmtId="3" fontId="22" fillId="34" borderId="11" xfId="43" applyNumberFormat="1" applyFill="1" applyBorder="1" applyAlignment="1">
      <alignment vertical="center"/>
    </xf>
    <xf numFmtId="0" fontId="22" fillId="34" borderId="11" xfId="43" applyFill="1" applyBorder="1" applyAlignment="1">
      <alignment vertical="center" wrapText="1"/>
    </xf>
    <xf numFmtId="0" fontId="22" fillId="34" borderId="10" xfId="43" applyFill="1" applyBorder="1" applyAlignment="1">
      <alignment vertical="center"/>
    </xf>
    <xf numFmtId="4" fontId="22" fillId="34" borderId="10" xfId="43" applyNumberFormat="1" applyFill="1" applyBorder="1" applyAlignment="1">
      <alignment vertical="center"/>
    </xf>
    <xf numFmtId="0" fontId="24" fillId="34" borderId="12" xfId="43" applyFont="1" applyFill="1" applyBorder="1" applyAlignment="1">
      <alignment vertical="center"/>
    </xf>
    <xf numFmtId="0" fontId="24" fillId="34" borderId="12" xfId="43" applyFont="1" applyFill="1" applyBorder="1" applyAlignment="1">
      <alignment vertical="center" wrapText="1"/>
    </xf>
    <xf numFmtId="3" fontId="22" fillId="34" borderId="12" xfId="43" applyNumberFormat="1" applyFill="1" applyBorder="1" applyAlignment="1">
      <alignment vertical="center"/>
    </xf>
    <xf numFmtId="0" fontId="22" fillId="34" borderId="23" xfId="43" applyFill="1" applyBorder="1" applyAlignment="1">
      <alignment vertical="center" wrapText="1"/>
    </xf>
    <xf numFmtId="0" fontId="24" fillId="34" borderId="11" xfId="43" applyFont="1" applyFill="1" applyBorder="1" applyAlignment="1">
      <alignment vertical="center" wrapText="1"/>
    </xf>
    <xf numFmtId="3" fontId="22" fillId="34" borderId="27" xfId="43" applyNumberFormat="1" applyFill="1" applyBorder="1" applyAlignment="1">
      <alignment vertical="center"/>
    </xf>
    <xf numFmtId="0" fontId="0" fillId="34" borderId="27" xfId="0" applyFill="1" applyBorder="1"/>
    <xf numFmtId="0" fontId="22" fillId="34" borderId="27" xfId="43" applyFill="1" applyBorder="1" applyAlignment="1">
      <alignment vertical="center" wrapText="1"/>
    </xf>
    <xf numFmtId="0" fontId="22" fillId="34" borderId="23" xfId="43" applyFill="1" applyBorder="1" applyAlignment="1">
      <alignment vertical="center"/>
    </xf>
    <xf numFmtId="0" fontId="24" fillId="34" borderId="27" xfId="43" applyFont="1" applyFill="1" applyBorder="1" applyAlignment="1">
      <alignment vertical="center" wrapText="1"/>
    </xf>
    <xf numFmtId="0" fontId="65" fillId="0" borderId="23" xfId="0" applyFont="1" applyBorder="1" applyAlignment="1">
      <alignment horizontal="center" vertical="center"/>
    </xf>
    <xf numFmtId="168" fontId="22" fillId="0" borderId="27" xfId="1" applyNumberFormat="1" applyFont="1" applyFill="1" applyBorder="1" applyAlignment="1">
      <alignment vertical="center" wrapText="1"/>
    </xf>
    <xf numFmtId="0" fontId="24" fillId="57" borderId="23" xfId="43" applyFont="1" applyFill="1" applyBorder="1" applyAlignment="1">
      <alignment horizontal="center" vertical="center" wrapText="1"/>
    </xf>
    <xf numFmtId="0" fontId="19" fillId="0" borderId="23" xfId="0" applyFont="1" applyBorder="1" applyAlignment="1">
      <alignment horizontal="center"/>
    </xf>
    <xf numFmtId="0" fontId="19" fillId="33" borderId="23" xfId="0" applyFont="1" applyFill="1" applyBorder="1" applyAlignment="1">
      <alignment horizontal="center"/>
    </xf>
    <xf numFmtId="9" fontId="24" fillId="57" borderId="23" xfId="2" applyFont="1" applyFill="1" applyBorder="1" applyAlignment="1">
      <alignment horizontal="center" vertical="center" wrapText="1"/>
    </xf>
    <xf numFmtId="0" fontId="19" fillId="0" borderId="23" xfId="0" applyFont="1" applyBorder="1" applyAlignment="1">
      <alignment horizontal="center" vertical="center"/>
    </xf>
    <xf numFmtId="3" fontId="19" fillId="0" borderId="23" xfId="0" applyNumberFormat="1" applyFont="1" applyBorder="1" applyAlignment="1">
      <alignment horizontal="center" vertical="center"/>
    </xf>
    <xf numFmtId="0" fontId="0" fillId="0" borderId="23" xfId="0" applyBorder="1" applyAlignment="1">
      <alignment vertical="center"/>
    </xf>
    <xf numFmtId="9" fontId="19" fillId="0" borderId="23" xfId="2" applyFont="1" applyBorder="1" applyAlignment="1">
      <alignment horizontal="center" vertical="center"/>
    </xf>
    <xf numFmtId="0" fontId="19" fillId="34" borderId="23" xfId="0" applyFont="1" applyFill="1" applyBorder="1" applyAlignment="1">
      <alignment horizontal="center"/>
    </xf>
    <xf numFmtId="3" fontId="19" fillId="34" borderId="23" xfId="0" applyNumberFormat="1" applyFont="1" applyFill="1" applyBorder="1" applyAlignment="1">
      <alignment horizontal="center" vertical="center"/>
    </xf>
    <xf numFmtId="9" fontId="19" fillId="34" borderId="23" xfId="2" applyFont="1" applyFill="1" applyBorder="1" applyAlignment="1">
      <alignment horizontal="center" vertical="center"/>
    </xf>
    <xf numFmtId="168" fontId="22" fillId="0" borderId="23" xfId="1" applyNumberFormat="1" applyFont="1" applyFill="1" applyBorder="1" applyAlignment="1">
      <alignment horizontal="right" vertical="center"/>
    </xf>
    <xf numFmtId="3" fontId="0" fillId="0" borderId="0" xfId="0" applyNumberFormat="1"/>
    <xf numFmtId="0" fontId="22" fillId="0" borderId="27" xfId="43" applyBorder="1" applyAlignment="1">
      <alignment horizontal="center" vertical="center"/>
    </xf>
    <xf numFmtId="0" fontId="22" fillId="0" borderId="27" xfId="0" applyFont="1" applyBorder="1" applyAlignment="1">
      <alignment vertical="center" wrapText="1"/>
    </xf>
    <xf numFmtId="3" fontId="66" fillId="34" borderId="11" xfId="43" applyNumberFormat="1" applyFont="1" applyFill="1" applyBorder="1" applyAlignment="1">
      <alignment vertical="center"/>
    </xf>
    <xf numFmtId="165" fontId="0" fillId="0" borderId="0" xfId="1" applyFont="1"/>
    <xf numFmtId="165" fontId="0" fillId="0" borderId="0" xfId="0" applyNumberFormat="1"/>
    <xf numFmtId="3" fontId="22" fillId="0" borderId="23" xfId="43" applyNumberFormat="1" applyBorder="1" applyAlignment="1">
      <alignment vertical="center"/>
    </xf>
    <xf numFmtId="168" fontId="24" fillId="34" borderId="23" xfId="1" applyNumberFormat="1" applyFont="1" applyFill="1" applyBorder="1" applyAlignment="1">
      <alignment vertical="center" wrapText="1"/>
    </xf>
    <xf numFmtId="3" fontId="24" fillId="34" borderId="23" xfId="43" applyNumberFormat="1" applyFont="1" applyFill="1" applyBorder="1" applyAlignment="1">
      <alignment vertical="center"/>
    </xf>
    <xf numFmtId="0" fontId="22" fillId="0" borderId="12" xfId="43" applyBorder="1" applyAlignment="1">
      <alignment vertical="center"/>
    </xf>
    <xf numFmtId="0" fontId="24" fillId="0" borderId="27" xfId="43" applyFont="1" applyBorder="1" applyAlignment="1">
      <alignment vertical="center"/>
    </xf>
    <xf numFmtId="0" fontId="24" fillId="57" borderId="23" xfId="43" applyFont="1" applyFill="1" applyBorder="1" applyAlignment="1">
      <alignment horizontal="left" vertical="center" wrapText="1"/>
    </xf>
    <xf numFmtId="168" fontId="22" fillId="0" borderId="11" xfId="1" applyNumberFormat="1" applyFont="1" applyFill="1" applyBorder="1" applyAlignment="1">
      <alignment vertical="center" wrapText="1"/>
    </xf>
    <xf numFmtId="0" fontId="22" fillId="34" borderId="10" xfId="43" applyFill="1" applyBorder="1" applyAlignment="1">
      <alignment vertical="center" wrapText="1"/>
    </xf>
    <xf numFmtId="0" fontId="22" fillId="58" borderId="10" xfId="43" applyFill="1" applyBorder="1" applyAlignment="1">
      <alignment vertical="center" wrapText="1"/>
    </xf>
    <xf numFmtId="0" fontId="24" fillId="58" borderId="11" xfId="43" applyFont="1" applyFill="1" applyBorder="1" applyAlignment="1">
      <alignment vertical="center" wrapText="1"/>
    </xf>
    <xf numFmtId="0" fontId="24" fillId="34" borderId="10" xfId="43" applyFont="1" applyFill="1" applyBorder="1" applyAlignment="1">
      <alignment horizontal="right" vertical="center" wrapText="1"/>
    </xf>
    <xf numFmtId="3" fontId="22" fillId="58" borderId="10" xfId="43" applyNumberFormat="1" applyFill="1" applyBorder="1" applyAlignment="1">
      <alignment vertical="center"/>
    </xf>
    <xf numFmtId="0" fontId="22" fillId="58" borderId="11" xfId="43" applyFill="1" applyBorder="1" applyAlignment="1">
      <alignment vertical="center" wrapText="1"/>
    </xf>
    <xf numFmtId="177" fontId="61" fillId="0" borderId="0" xfId="0" applyNumberFormat="1" applyFont="1" applyAlignment="1">
      <alignment vertical="center"/>
    </xf>
    <xf numFmtId="177" fontId="67" fillId="59" borderId="23" xfId="0" applyNumberFormat="1" applyFont="1" applyFill="1" applyBorder="1" applyAlignment="1">
      <alignment horizontal="center" vertical="center"/>
    </xf>
    <xf numFmtId="177" fontId="61" fillId="0" borderId="23" xfId="0" applyNumberFormat="1" applyFont="1" applyBorder="1" applyAlignment="1">
      <alignment horizontal="left" vertical="center" wrapText="1"/>
    </xf>
    <xf numFmtId="177" fontId="67" fillId="59" borderId="23" xfId="0" applyNumberFormat="1" applyFont="1" applyFill="1" applyBorder="1" applyAlignment="1">
      <alignment horizontal="right" vertical="center"/>
    </xf>
    <xf numFmtId="177" fontId="67" fillId="0" borderId="0" xfId="0" applyNumberFormat="1" applyFont="1" applyAlignment="1">
      <alignment vertical="center"/>
    </xf>
    <xf numFmtId="177" fontId="61" fillId="60" borderId="23" xfId="0" applyNumberFormat="1" applyFont="1" applyFill="1" applyBorder="1" applyAlignment="1">
      <alignment horizontal="center" vertical="center"/>
    </xf>
    <xf numFmtId="177" fontId="67" fillId="60" borderId="23" xfId="0" applyNumberFormat="1" applyFont="1" applyFill="1" applyBorder="1" applyAlignment="1">
      <alignment horizontal="center" vertical="center"/>
    </xf>
    <xf numFmtId="3" fontId="24" fillId="34" borderId="11" xfId="43" applyNumberFormat="1" applyFont="1" applyFill="1" applyBorder="1" applyAlignment="1">
      <alignment vertical="center"/>
    </xf>
    <xf numFmtId="3" fontId="24" fillId="34" borderId="27" xfId="43" applyNumberFormat="1" applyFont="1" applyFill="1" applyBorder="1" applyAlignment="1">
      <alignment vertical="center"/>
    </xf>
    <xf numFmtId="0" fontId="22" fillId="0" borderId="23" xfId="43" applyBorder="1" applyAlignment="1">
      <alignment horizontal="left" vertical="center" wrapText="1"/>
    </xf>
    <xf numFmtId="0" fontId="24" fillId="0" borderId="13" xfId="43" applyFont="1" applyBorder="1" applyAlignment="1">
      <alignment vertical="center"/>
    </xf>
    <xf numFmtId="0" fontId="22" fillId="0" borderId="13" xfId="43" applyBorder="1" applyAlignment="1">
      <alignment horizontal="left" vertical="center" wrapText="1"/>
    </xf>
    <xf numFmtId="168" fontId="0" fillId="0" borderId="0" xfId="0" applyNumberFormat="1"/>
    <xf numFmtId="0" fontId="24" fillId="34" borderId="10" xfId="43" applyFont="1" applyFill="1" applyBorder="1" applyAlignment="1">
      <alignment horizontal="left" vertical="center" wrapText="1"/>
    </xf>
    <xf numFmtId="177" fontId="67" fillId="61" borderId="23" xfId="0" applyNumberFormat="1" applyFont="1" applyFill="1" applyBorder="1" applyAlignment="1">
      <alignment horizontal="center" vertical="center"/>
    </xf>
    <xf numFmtId="178" fontId="67" fillId="61" borderId="23" xfId="0" applyNumberFormat="1" applyFont="1" applyFill="1" applyBorder="1" applyAlignment="1">
      <alignment horizontal="center" vertical="center"/>
    </xf>
    <xf numFmtId="177" fontId="61" fillId="0" borderId="23" xfId="0" applyNumberFormat="1" applyFont="1" applyBorder="1" applyAlignment="1">
      <alignment vertical="center" wrapText="1"/>
    </xf>
    <xf numFmtId="177" fontId="68" fillId="0" borderId="23" xfId="0" applyNumberFormat="1" applyFont="1" applyBorder="1" applyAlignment="1">
      <alignment vertical="center"/>
    </xf>
    <xf numFmtId="177" fontId="22" fillId="0" borderId="23" xfId="0" applyNumberFormat="1" applyFont="1" applyBorder="1" applyAlignment="1">
      <alignment horizontal="left" vertical="center" indent="2"/>
    </xf>
    <xf numFmtId="177" fontId="61" fillId="0" borderId="23" xfId="0" applyNumberFormat="1" applyFont="1" applyBorder="1" applyAlignment="1">
      <alignment horizontal="left" vertical="center" indent="2"/>
    </xf>
    <xf numFmtId="177" fontId="61" fillId="61" borderId="23" xfId="0" applyNumberFormat="1" applyFont="1" applyFill="1" applyBorder="1" applyAlignment="1">
      <alignment horizontal="center" vertical="center"/>
    </xf>
    <xf numFmtId="3" fontId="19" fillId="0" borderId="0" xfId="0" applyNumberFormat="1" applyFont="1"/>
    <xf numFmtId="0" fontId="0" fillId="0" borderId="0" xfId="0" applyAlignment="1">
      <alignment horizontal="right"/>
    </xf>
    <xf numFmtId="0" fontId="22" fillId="34" borderId="13" xfId="43" applyFill="1" applyBorder="1" applyAlignment="1">
      <alignment vertical="center" wrapText="1"/>
    </xf>
    <xf numFmtId="168" fontId="22" fillId="34" borderId="27" xfId="1" applyNumberFormat="1" applyFont="1" applyFill="1" applyBorder="1" applyAlignment="1">
      <alignment vertical="center" wrapText="1"/>
    </xf>
    <xf numFmtId="3" fontId="22" fillId="34" borderId="10" xfId="43" applyNumberFormat="1" applyFill="1" applyBorder="1" applyAlignment="1">
      <alignment vertical="center"/>
    </xf>
    <xf numFmtId="178" fontId="63" fillId="0" borderId="23" xfId="0" applyNumberFormat="1" applyFont="1" applyBorder="1" applyAlignment="1">
      <alignment horizontal="center" vertical="center"/>
    </xf>
    <xf numFmtId="178" fontId="63" fillId="59" borderId="23" xfId="0" applyNumberFormat="1" applyFont="1" applyFill="1" applyBorder="1" applyAlignment="1">
      <alignment horizontal="center" vertical="center" wrapText="1"/>
    </xf>
    <xf numFmtId="178" fontId="63" fillId="59" borderId="23" xfId="0" applyNumberFormat="1" applyFont="1" applyFill="1" applyBorder="1" applyAlignment="1">
      <alignment horizontal="center" vertical="center"/>
    </xf>
    <xf numFmtId="178" fontId="69" fillId="0" borderId="23" xfId="0" applyNumberFormat="1" applyFont="1" applyBorder="1" applyAlignment="1">
      <alignment horizontal="center" vertical="center"/>
    </xf>
    <xf numFmtId="178" fontId="63" fillId="59" borderId="10" xfId="0" applyNumberFormat="1" applyFont="1" applyFill="1" applyBorder="1" applyAlignment="1">
      <alignment horizontal="center" vertical="center"/>
    </xf>
    <xf numFmtId="177" fontId="67" fillId="62" borderId="23" xfId="0" applyNumberFormat="1" applyFont="1" applyFill="1" applyBorder="1" applyAlignment="1">
      <alignment horizontal="center" vertical="center"/>
    </xf>
    <xf numFmtId="177" fontId="67" fillId="62" borderId="23" xfId="0" applyNumberFormat="1" applyFont="1" applyFill="1" applyBorder="1" applyAlignment="1">
      <alignment horizontal="center" vertical="center" wrapText="1"/>
    </xf>
    <xf numFmtId="177" fontId="67" fillId="62" borderId="10" xfId="0" applyNumberFormat="1" applyFont="1" applyFill="1" applyBorder="1" applyAlignment="1">
      <alignment horizontal="center" vertical="center" wrapText="1"/>
    </xf>
    <xf numFmtId="177" fontId="61" fillId="63" borderId="10" xfId="0" applyNumberFormat="1" applyFont="1" applyFill="1" applyBorder="1" applyAlignment="1">
      <alignment vertical="center"/>
    </xf>
    <xf numFmtId="0" fontId="19" fillId="33" borderId="23" xfId="0" applyFont="1" applyFill="1" applyBorder="1" applyAlignment="1">
      <alignment horizontal="left" wrapText="1"/>
    </xf>
    <xf numFmtId="0" fontId="71" fillId="0" borderId="0" xfId="579" applyFont="1" applyAlignment="1">
      <alignment horizontal="center" vertical="center" wrapText="1"/>
    </xf>
    <xf numFmtId="0" fontId="71" fillId="0" borderId="0" xfId="579" applyFont="1" applyAlignment="1">
      <alignment vertical="center" wrapText="1"/>
    </xf>
    <xf numFmtId="0" fontId="71" fillId="0" borderId="0" xfId="579" applyFont="1" applyAlignment="1">
      <alignment horizontal="center" wrapText="1"/>
    </xf>
    <xf numFmtId="0" fontId="72" fillId="0" borderId="0" xfId="579" applyFont="1" applyAlignment="1">
      <alignment horizontal="center" vertical="center"/>
    </xf>
    <xf numFmtId="0" fontId="72" fillId="0" borderId="0" xfId="579" applyFont="1" applyAlignment="1">
      <alignment vertical="center"/>
    </xf>
    <xf numFmtId="165" fontId="72" fillId="0" borderId="0" xfId="1" applyFont="1" applyFill="1" applyBorder="1" applyAlignment="1" applyProtection="1">
      <alignment vertical="center"/>
    </xf>
    <xf numFmtId="165" fontId="72" fillId="0" borderId="0" xfId="1" applyFont="1" applyFill="1" applyBorder="1" applyAlignment="1" applyProtection="1">
      <alignment horizontal="center" vertical="center"/>
    </xf>
    <xf numFmtId="179" fontId="72" fillId="0" borderId="0" xfId="1" applyNumberFormat="1" applyFont="1" applyFill="1" applyBorder="1" applyAlignment="1" applyProtection="1">
      <alignment horizontal="center" vertical="center"/>
    </xf>
    <xf numFmtId="0" fontId="73" fillId="0" borderId="0" xfId="579" applyFont="1" applyAlignment="1">
      <alignment horizontal="left" vertical="center" wrapText="1"/>
    </xf>
    <xf numFmtId="0" fontId="73" fillId="0" borderId="0" xfId="579" applyFont="1" applyAlignment="1">
      <alignment horizontal="center" vertical="center" wrapText="1"/>
    </xf>
    <xf numFmtId="165" fontId="73" fillId="0" borderId="0" xfId="1" applyFont="1" applyFill="1" applyBorder="1" applyAlignment="1" applyProtection="1">
      <alignment horizontal="left" vertical="center" wrapText="1"/>
    </xf>
    <xf numFmtId="165" fontId="73" fillId="0" borderId="0" xfId="1" applyFont="1" applyFill="1" applyBorder="1" applyAlignment="1" applyProtection="1">
      <alignment horizontal="center" vertical="center" wrapText="1"/>
    </xf>
    <xf numFmtId="179" fontId="73" fillId="0" borderId="0" xfId="1" applyNumberFormat="1" applyFont="1" applyFill="1" applyBorder="1" applyAlignment="1" applyProtection="1">
      <alignment horizontal="center" vertical="center" wrapText="1"/>
    </xf>
    <xf numFmtId="0" fontId="72" fillId="0" borderId="0" xfId="579" applyFont="1" applyAlignment="1">
      <alignment horizontal="left" vertical="center"/>
    </xf>
    <xf numFmtId="0" fontId="74" fillId="0" borderId="0" xfId="579" applyFont="1" applyAlignment="1">
      <alignment horizontal="center" vertical="center" wrapText="1"/>
    </xf>
    <xf numFmtId="0" fontId="74" fillId="0" borderId="0" xfId="579" applyFont="1" applyAlignment="1">
      <alignment vertical="center" wrapText="1"/>
    </xf>
    <xf numFmtId="0" fontId="74" fillId="0" borderId="0" xfId="579" applyFont="1" applyAlignment="1">
      <alignment horizontal="center" wrapText="1"/>
    </xf>
    <xf numFmtId="0" fontId="75" fillId="0" borderId="0" xfId="579" applyFont="1" applyAlignment="1">
      <alignment horizontal="center" vertical="center"/>
    </xf>
    <xf numFmtId="0" fontId="75" fillId="0" borderId="0" xfId="579" applyFont="1" applyAlignment="1">
      <alignment vertical="center"/>
    </xf>
    <xf numFmtId="165" fontId="75" fillId="0" borderId="0" xfId="1" applyFont="1" applyFill="1" applyBorder="1" applyAlignment="1" applyProtection="1">
      <alignment vertical="center"/>
    </xf>
    <xf numFmtId="165" fontId="75" fillId="0" borderId="0" xfId="1" applyFont="1" applyFill="1" applyBorder="1" applyAlignment="1" applyProtection="1">
      <alignment horizontal="center" vertical="center"/>
    </xf>
    <xf numFmtId="179" fontId="75" fillId="0" borderId="0" xfId="1" applyNumberFormat="1" applyFont="1" applyFill="1" applyBorder="1" applyAlignment="1" applyProtection="1">
      <alignment horizontal="center" vertical="center"/>
    </xf>
    <xf numFmtId="180" fontId="76" fillId="0" borderId="28" xfId="43" applyNumberFormat="1" applyFont="1" applyBorder="1" applyAlignment="1">
      <alignment horizontal="center" vertical="center" wrapText="1"/>
    </xf>
    <xf numFmtId="180" fontId="76" fillId="0" borderId="28" xfId="579" applyNumberFormat="1" applyFont="1" applyBorder="1" applyAlignment="1">
      <alignment horizontal="center" vertical="center"/>
    </xf>
    <xf numFmtId="0" fontId="71" fillId="0" borderId="28" xfId="43" applyFont="1" applyBorder="1" applyAlignment="1">
      <alignment horizontal="center" vertical="center" wrapText="1"/>
    </xf>
    <xf numFmtId="165" fontId="77" fillId="66" borderId="28" xfId="1" applyFont="1" applyFill="1" applyBorder="1" applyAlignment="1" applyProtection="1">
      <alignment horizontal="center" vertical="center"/>
    </xf>
    <xf numFmtId="0" fontId="78" fillId="67" borderId="28" xfId="579" applyFont="1" applyFill="1" applyBorder="1" applyAlignment="1">
      <alignment vertical="center" wrapText="1"/>
    </xf>
    <xf numFmtId="0" fontId="78" fillId="67" borderId="28" xfId="579" applyFont="1" applyFill="1" applyBorder="1" applyAlignment="1">
      <alignment horizontal="center" vertical="center" wrapText="1"/>
    </xf>
    <xf numFmtId="0" fontId="78" fillId="67" borderId="28" xfId="579" applyFont="1" applyFill="1" applyBorder="1" applyAlignment="1">
      <alignment horizontal="left" vertical="center" wrapText="1"/>
    </xf>
    <xf numFmtId="165" fontId="78" fillId="67" borderId="28" xfId="1" applyFont="1" applyFill="1" applyBorder="1" applyAlignment="1" applyProtection="1">
      <alignment horizontal="left" vertical="center" wrapText="1"/>
    </xf>
    <xf numFmtId="165" fontId="78" fillId="67" borderId="28" xfId="1" applyFont="1" applyFill="1" applyBorder="1" applyAlignment="1" applyProtection="1">
      <alignment horizontal="center" vertical="center" wrapText="1"/>
    </xf>
    <xf numFmtId="179" fontId="78" fillId="67" borderId="28" xfId="1" applyNumberFormat="1" applyFont="1" applyFill="1" applyBorder="1" applyAlignment="1" applyProtection="1">
      <alignment horizontal="center" vertical="center" wrapText="1"/>
    </xf>
    <xf numFmtId="165" fontId="78" fillId="67" borderId="28" xfId="1" applyFont="1" applyFill="1" applyBorder="1" applyAlignment="1" applyProtection="1">
      <alignment vertical="center" wrapText="1"/>
    </xf>
    <xf numFmtId="0" fontId="79" fillId="0" borderId="0" xfId="579" applyFont="1"/>
    <xf numFmtId="0" fontId="80" fillId="68" borderId="28" xfId="579" applyFont="1" applyFill="1" applyBorder="1" applyAlignment="1">
      <alignment horizontal="center" vertical="center" wrapText="1"/>
    </xf>
    <xf numFmtId="0" fontId="80" fillId="68" borderId="28" xfId="579" applyFont="1" applyFill="1" applyBorder="1" applyAlignment="1">
      <alignment horizontal="left" vertical="center" wrapText="1"/>
    </xf>
    <xf numFmtId="165" fontId="80" fillId="68" borderId="28" xfId="1" applyFont="1" applyFill="1" applyBorder="1" applyAlignment="1" applyProtection="1">
      <alignment horizontal="left" vertical="center" wrapText="1"/>
    </xf>
    <xf numFmtId="165" fontId="80" fillId="68" borderId="28" xfId="1" applyFont="1" applyFill="1" applyBorder="1" applyAlignment="1" applyProtection="1">
      <alignment horizontal="center" vertical="center" wrapText="1"/>
    </xf>
    <xf numFmtId="179" fontId="80" fillId="68" borderId="28" xfId="1" applyNumberFormat="1" applyFont="1" applyFill="1" applyBorder="1" applyAlignment="1" applyProtection="1">
      <alignment horizontal="center" vertical="center" wrapText="1"/>
    </xf>
    <xf numFmtId="0" fontId="80" fillId="68" borderId="28" xfId="579" applyFont="1" applyFill="1" applyBorder="1" applyAlignment="1">
      <alignment vertical="center" wrapText="1"/>
    </xf>
    <xf numFmtId="0" fontId="81" fillId="0" borderId="0" xfId="579" applyFont="1"/>
    <xf numFmtId="0" fontId="80" fillId="69" borderId="28" xfId="579" applyFont="1" applyFill="1" applyBorder="1" applyAlignment="1">
      <alignment horizontal="center" vertical="center" wrapText="1"/>
    </xf>
    <xf numFmtId="0" fontId="82" fillId="69" borderId="28" xfId="579" applyFont="1" applyFill="1" applyBorder="1" applyAlignment="1">
      <alignment horizontal="center" wrapText="1"/>
    </xf>
    <xf numFmtId="0" fontId="82" fillId="69" borderId="28" xfId="579" applyFont="1" applyFill="1" applyBorder="1" applyAlignment="1">
      <alignment horizontal="center" vertical="center" wrapText="1"/>
    </xf>
    <xf numFmtId="0" fontId="82" fillId="69" borderId="28" xfId="579" applyFont="1" applyFill="1" applyBorder="1" applyAlignment="1">
      <alignment horizontal="left" wrapText="1"/>
    </xf>
    <xf numFmtId="165" fontId="82" fillId="69" borderId="28" xfId="1" applyFont="1" applyFill="1" applyBorder="1" applyAlignment="1" applyProtection="1">
      <alignment horizontal="left" wrapText="1"/>
    </xf>
    <xf numFmtId="165" fontId="82" fillId="69" borderId="28" xfId="1" applyFont="1" applyFill="1" applyBorder="1" applyAlignment="1" applyProtection="1">
      <alignment horizontal="center" wrapText="1"/>
    </xf>
    <xf numFmtId="179" fontId="82" fillId="69" borderId="28" xfId="1" applyNumberFormat="1" applyFont="1" applyFill="1" applyBorder="1" applyAlignment="1" applyProtection="1">
      <alignment horizontal="center" vertical="center"/>
    </xf>
    <xf numFmtId="165" fontId="81" fillId="69" borderId="28" xfId="1" applyFont="1" applyFill="1" applyBorder="1" applyAlignment="1" applyProtection="1">
      <alignment horizontal="center"/>
    </xf>
    <xf numFmtId="0" fontId="83" fillId="0" borderId="28" xfId="579" applyFont="1" applyBorder="1" applyAlignment="1">
      <alignment horizontal="right" vertical="center" wrapText="1"/>
    </xf>
    <xf numFmtId="0" fontId="81" fillId="0" borderId="28" xfId="579" applyFont="1" applyBorder="1" applyAlignment="1">
      <alignment vertical="center" wrapText="1"/>
    </xf>
    <xf numFmtId="0" fontId="81" fillId="0" borderId="28" xfId="579" applyFont="1" applyBorder="1" applyAlignment="1">
      <alignment horizontal="center" wrapText="1"/>
    </xf>
    <xf numFmtId="180" fontId="81" fillId="0" borderId="28" xfId="579" applyNumberFormat="1" applyFont="1" applyBorder="1" applyAlignment="1">
      <alignment horizontal="center" vertical="center"/>
    </xf>
    <xf numFmtId="0" fontId="81" fillId="0" borderId="28" xfId="579" applyFont="1" applyBorder="1" applyAlignment="1">
      <alignment horizontal="center" vertical="center"/>
    </xf>
    <xf numFmtId="0" fontId="81" fillId="0" borderId="28" xfId="579" applyFont="1" applyBorder="1" applyAlignment="1">
      <alignment horizontal="center"/>
    </xf>
    <xf numFmtId="0" fontId="81" fillId="0" borderId="28" xfId="579" applyFont="1" applyBorder="1"/>
    <xf numFmtId="165" fontId="81" fillId="0" borderId="28" xfId="1" applyFont="1" applyFill="1" applyBorder="1" applyAlignment="1" applyProtection="1"/>
    <xf numFmtId="165" fontId="81" fillId="0" borderId="28" xfId="1" applyFont="1" applyFill="1" applyBorder="1" applyAlignment="1" applyProtection="1">
      <alignment horizontal="center"/>
    </xf>
    <xf numFmtId="179" fontId="81" fillId="0" borderId="28" xfId="1" applyNumberFormat="1" applyFont="1" applyFill="1" applyBorder="1" applyAlignment="1" applyProtection="1">
      <alignment horizontal="center" vertical="center"/>
    </xf>
    <xf numFmtId="0" fontId="84" fillId="0" borderId="28" xfId="579" applyFont="1" applyBorder="1" applyAlignment="1">
      <alignment horizontal="center" vertical="center" wrapText="1"/>
    </xf>
    <xf numFmtId="0" fontId="83" fillId="0" borderId="28" xfId="579" applyFont="1" applyBorder="1" applyAlignment="1">
      <alignment vertical="center" wrapText="1"/>
    </xf>
    <xf numFmtId="0" fontId="80" fillId="0" borderId="28" xfId="579" applyFont="1" applyBorder="1" applyAlignment="1">
      <alignment horizontal="left" vertical="center" wrapText="1"/>
    </xf>
    <xf numFmtId="0" fontId="80" fillId="0" borderId="28" xfId="579" applyFont="1" applyBorder="1" applyAlignment="1">
      <alignment horizontal="center" wrapText="1"/>
    </xf>
    <xf numFmtId="180" fontId="81" fillId="0" borderId="28" xfId="579" applyNumberFormat="1" applyFont="1" applyBorder="1" applyAlignment="1">
      <alignment horizontal="center" vertical="center" wrapText="1"/>
    </xf>
    <xf numFmtId="0" fontId="81" fillId="0" borderId="28" xfId="579" applyFont="1" applyBorder="1" applyAlignment="1">
      <alignment horizontal="center" vertical="center" wrapText="1"/>
    </xf>
    <xf numFmtId="0" fontId="81" fillId="0" borderId="28" xfId="579" applyFont="1" applyBorder="1" applyAlignment="1">
      <alignment vertical="center"/>
    </xf>
    <xf numFmtId="0" fontId="81" fillId="0" borderId="28" xfId="579" applyFont="1" applyBorder="1" applyAlignment="1">
      <alignment horizontal="left" vertical="center" wrapText="1"/>
    </xf>
    <xf numFmtId="0" fontId="81" fillId="0" borderId="29" xfId="579" applyFont="1" applyBorder="1" applyAlignment="1">
      <alignment horizontal="center" vertical="center"/>
    </xf>
    <xf numFmtId="0" fontId="82" fillId="69" borderId="29" xfId="579" applyFont="1" applyFill="1" applyBorder="1" applyAlignment="1">
      <alignment horizontal="left" wrapText="1"/>
    </xf>
    <xf numFmtId="0" fontId="83" fillId="33" borderId="30" xfId="579" applyFont="1" applyFill="1" applyBorder="1" applyAlignment="1">
      <alignment horizontal="right" vertical="center" wrapText="1"/>
    </xf>
    <xf numFmtId="0" fontId="70" fillId="33" borderId="10" xfId="579" applyFill="1" applyBorder="1" applyAlignment="1">
      <alignment vertical="center" wrapText="1"/>
    </xf>
    <xf numFmtId="0" fontId="80" fillId="0" borderId="31" xfId="579" applyFont="1" applyBorder="1" applyAlignment="1">
      <alignment horizontal="center" vertical="center" wrapText="1"/>
    </xf>
    <xf numFmtId="0" fontId="80" fillId="0" borderId="28" xfId="579" applyFont="1" applyBorder="1" applyAlignment="1">
      <alignment horizontal="center" vertical="center" wrapText="1"/>
    </xf>
    <xf numFmtId="2" fontId="85" fillId="0" borderId="11" xfId="1" applyNumberFormat="1" applyFont="1" applyFill="1" applyBorder="1" applyAlignment="1"/>
    <xf numFmtId="0" fontId="81" fillId="0" borderId="29" xfId="579" applyFont="1" applyBorder="1" applyAlignment="1">
      <alignment horizontal="center"/>
    </xf>
    <xf numFmtId="0" fontId="70" fillId="33" borderId="10" xfId="579" applyFill="1" applyBorder="1" applyAlignment="1">
      <alignment wrapText="1"/>
    </xf>
    <xf numFmtId="0" fontId="81" fillId="0" borderId="0" xfId="579" applyFont="1" applyAlignment="1">
      <alignment vertical="center" wrapText="1"/>
    </xf>
    <xf numFmtId="165" fontId="81" fillId="0" borderId="10" xfId="1" applyFont="1" applyFill="1" applyBorder="1" applyAlignment="1" applyProtection="1"/>
    <xf numFmtId="0" fontId="81" fillId="0" borderId="10" xfId="579" applyFont="1" applyBorder="1" applyAlignment="1">
      <alignment horizontal="center"/>
    </xf>
    <xf numFmtId="179" fontId="81" fillId="0" borderId="31" xfId="1" applyNumberFormat="1" applyFont="1" applyFill="1" applyBorder="1" applyAlignment="1" applyProtection="1">
      <alignment horizontal="center" vertical="center"/>
    </xf>
    <xf numFmtId="0" fontId="83" fillId="0" borderId="30" xfId="579" applyFont="1" applyBorder="1" applyAlignment="1">
      <alignment horizontal="right" vertical="center" wrapText="1"/>
    </xf>
    <xf numFmtId="0" fontId="70" fillId="0" borderId="10" xfId="579" applyBorder="1" applyAlignment="1">
      <alignment vertical="center" wrapText="1"/>
    </xf>
    <xf numFmtId="0" fontId="70" fillId="0" borderId="10" xfId="579" applyBorder="1" applyAlignment="1">
      <alignment wrapText="1"/>
    </xf>
    <xf numFmtId="0" fontId="81" fillId="0" borderId="28" xfId="579" applyFont="1" applyBorder="1" applyAlignment="1">
      <alignment horizontal="left" vertical="center"/>
    </xf>
    <xf numFmtId="165" fontId="81" fillId="0" borderId="32" xfId="1" applyFont="1" applyFill="1" applyBorder="1" applyAlignment="1" applyProtection="1">
      <alignment vertical="center"/>
    </xf>
    <xf numFmtId="0" fontId="81" fillId="0" borderId="32" xfId="579" applyFont="1" applyBorder="1" applyAlignment="1">
      <alignment horizontal="center" vertical="center"/>
    </xf>
    <xf numFmtId="2" fontId="81" fillId="0" borderId="28" xfId="1" applyNumberFormat="1" applyFont="1" applyFill="1" applyBorder="1" applyAlignment="1" applyProtection="1">
      <alignment vertical="center"/>
    </xf>
    <xf numFmtId="2" fontId="0" fillId="0" borderId="10" xfId="1" applyNumberFormat="1" applyFont="1" applyFill="1" applyBorder="1" applyAlignment="1">
      <alignment horizontal="right" vertical="center"/>
    </xf>
    <xf numFmtId="0" fontId="85" fillId="0" borderId="10" xfId="0" applyFont="1" applyBorder="1" applyAlignment="1">
      <alignment horizontal="center" vertical="center"/>
    </xf>
    <xf numFmtId="0" fontId="81" fillId="0" borderId="0" xfId="579" applyFont="1" applyAlignment="1">
      <alignment horizontal="left" vertical="center" wrapText="1"/>
    </xf>
    <xf numFmtId="0" fontId="0" fillId="0" borderId="10" xfId="0" applyBorder="1" applyAlignment="1">
      <alignment horizontal="left" wrapText="1"/>
    </xf>
    <xf numFmtId="0" fontId="70" fillId="0" borderId="0" xfId="579" applyAlignment="1">
      <alignment vertical="center" wrapText="1"/>
    </xf>
    <xf numFmtId="0" fontId="0" fillId="0" borderId="10" xfId="0" applyBorder="1"/>
    <xf numFmtId="2" fontId="26" fillId="0" borderId="10" xfId="0" applyNumberFormat="1" applyFont="1" applyBorder="1" applyAlignment="1">
      <alignment vertical="center"/>
    </xf>
    <xf numFmtId="0" fontId="0" fillId="0" borderId="10" xfId="0" applyBorder="1" applyAlignment="1">
      <alignment wrapText="1"/>
    </xf>
    <xf numFmtId="165" fontId="81" fillId="0" borderId="28" xfId="1" applyFont="1" applyFill="1" applyBorder="1" applyAlignment="1" applyProtection="1">
      <alignment vertical="center"/>
    </xf>
    <xf numFmtId="2" fontId="0" fillId="0" borderId="0" xfId="1" applyNumberFormat="1" applyFont="1" applyFill="1" applyBorder="1" applyAlignment="1">
      <alignment horizontal="right" vertical="center"/>
    </xf>
    <xf numFmtId="0" fontId="80" fillId="0" borderId="28" xfId="579" applyFont="1" applyBorder="1" applyAlignment="1">
      <alignment horizontal="left" wrapText="1"/>
    </xf>
    <xf numFmtId="0" fontId="83" fillId="0" borderId="28" xfId="579" applyFont="1" applyBorder="1" applyAlignment="1">
      <alignment horizontal="center" vertical="center" wrapText="1"/>
    </xf>
    <xf numFmtId="0" fontId="78" fillId="67" borderId="33" xfId="579" applyFont="1" applyFill="1" applyBorder="1" applyAlignment="1">
      <alignment horizontal="center" vertical="center" wrapText="1"/>
    </xf>
    <xf numFmtId="165" fontId="78" fillId="67" borderId="33" xfId="1" applyFont="1" applyFill="1" applyBorder="1" applyAlignment="1" applyProtection="1">
      <alignment horizontal="center" vertical="center" wrapText="1"/>
    </xf>
    <xf numFmtId="179" fontId="78" fillId="67" borderId="32" xfId="1" applyNumberFormat="1" applyFont="1" applyFill="1" applyBorder="1" applyAlignment="1" applyProtection="1">
      <alignment horizontal="center" vertical="center" wrapText="1"/>
    </xf>
    <xf numFmtId="0" fontId="81" fillId="0" borderId="0" xfId="579" applyFont="1" applyAlignment="1">
      <alignment horizontal="center" vertical="center" wrapText="1"/>
    </xf>
    <xf numFmtId="0" fontId="81" fillId="0" borderId="0" xfId="579" applyFont="1" applyAlignment="1">
      <alignment horizontal="center" wrapText="1"/>
    </xf>
    <xf numFmtId="180" fontId="81" fillId="0" borderId="0" xfId="579" applyNumberFormat="1" applyFont="1" applyAlignment="1">
      <alignment horizontal="center" vertical="center" wrapText="1"/>
    </xf>
    <xf numFmtId="180" fontId="81" fillId="0" borderId="0" xfId="579" applyNumberFormat="1" applyFont="1" applyAlignment="1">
      <alignment horizontal="center" vertical="center"/>
    </xf>
    <xf numFmtId="0" fontId="81" fillId="0" borderId="0" xfId="579" applyFont="1" applyAlignment="1">
      <alignment horizontal="center" vertical="center"/>
    </xf>
    <xf numFmtId="0" fontId="81" fillId="0" borderId="0" xfId="579" applyFont="1" applyAlignment="1">
      <alignment horizontal="center"/>
    </xf>
    <xf numFmtId="165" fontId="81" fillId="0" borderId="0" xfId="1" applyFont="1" applyFill="1" applyBorder="1" applyAlignment="1" applyProtection="1"/>
    <xf numFmtId="165" fontId="81" fillId="0" borderId="0" xfId="1" applyFont="1" applyFill="1" applyBorder="1" applyAlignment="1" applyProtection="1">
      <alignment horizontal="center"/>
    </xf>
    <xf numFmtId="179" fontId="81" fillId="0" borderId="0" xfId="1" applyNumberFormat="1" applyFont="1" applyFill="1" applyBorder="1" applyAlignment="1" applyProtection="1">
      <alignment horizontal="center" vertical="center"/>
    </xf>
    <xf numFmtId="165" fontId="86" fillId="0" borderId="10" xfId="1" applyFont="1" applyFill="1" applyBorder="1" applyAlignment="1" applyProtection="1">
      <alignment horizontal="center"/>
    </xf>
    <xf numFmtId="0" fontId="87" fillId="0" borderId="0" xfId="0" applyFont="1" applyAlignment="1">
      <alignment horizontal="center" vertical="center" wrapText="1"/>
    </xf>
    <xf numFmtId="0" fontId="87" fillId="0" borderId="0" xfId="0" applyFont="1" applyAlignment="1">
      <alignment vertical="center" wrapText="1"/>
    </xf>
    <xf numFmtId="0" fontId="87" fillId="0" borderId="0" xfId="0" applyFont="1" applyAlignment="1">
      <alignment horizontal="center" wrapText="1"/>
    </xf>
    <xf numFmtId="0" fontId="88" fillId="0" borderId="0" xfId="0" applyFont="1" applyAlignment="1">
      <alignment horizontal="center" vertical="center"/>
    </xf>
    <xf numFmtId="0" fontId="88" fillId="0" borderId="0" xfId="0" applyFont="1" applyAlignment="1">
      <alignment vertical="center"/>
    </xf>
    <xf numFmtId="165" fontId="88" fillId="0" borderId="0" xfId="1" applyFont="1" applyFill="1" applyAlignment="1">
      <alignment vertical="center"/>
    </xf>
    <xf numFmtId="165" fontId="88" fillId="0" borderId="0" xfId="1" applyFont="1" applyFill="1" applyAlignment="1">
      <alignment horizontal="center" vertical="center"/>
    </xf>
    <xf numFmtId="168" fontId="88" fillId="0" borderId="0" xfId="1" applyNumberFormat="1" applyFont="1" applyFill="1" applyAlignment="1">
      <alignment horizontal="center" vertical="center"/>
    </xf>
    <xf numFmtId="165" fontId="89" fillId="0" borderId="0" xfId="1" applyFont="1" applyFill="1" applyAlignment="1">
      <alignment vertical="center"/>
    </xf>
    <xf numFmtId="0" fontId="89" fillId="0" borderId="0" xfId="0" applyFont="1" applyAlignment="1">
      <alignment vertical="center"/>
    </xf>
    <xf numFmtId="0" fontId="90" fillId="0" borderId="0" xfId="0" applyFont="1" applyAlignment="1">
      <alignment horizontal="left" vertical="center" wrapText="1"/>
    </xf>
    <xf numFmtId="0" fontId="90" fillId="0" borderId="0" xfId="0" applyFont="1" applyAlignment="1">
      <alignment horizontal="center" vertical="center" wrapText="1"/>
    </xf>
    <xf numFmtId="165" fontId="90" fillId="0" borderId="0" xfId="1" applyFont="1" applyFill="1" applyAlignment="1">
      <alignment horizontal="left" vertical="center" wrapText="1"/>
    </xf>
    <xf numFmtId="165" fontId="90" fillId="0" borderId="0" xfId="1" applyFont="1" applyFill="1" applyAlignment="1">
      <alignment horizontal="center" vertical="center" wrapText="1"/>
    </xf>
    <xf numFmtId="168" fontId="90" fillId="0" borderId="0" xfId="1" applyNumberFormat="1" applyFont="1" applyFill="1" applyAlignment="1">
      <alignment horizontal="center" vertical="center" wrapText="1"/>
    </xf>
    <xf numFmtId="0" fontId="88" fillId="0" borderId="0" xfId="0" applyFont="1" applyAlignment="1">
      <alignment horizontal="left" vertical="center"/>
    </xf>
    <xf numFmtId="0" fontId="89" fillId="0" borderId="0" xfId="0" applyFont="1" applyAlignment="1">
      <alignment horizontal="left" vertical="center"/>
    </xf>
    <xf numFmtId="0" fontId="91" fillId="0" borderId="0" xfId="0" applyFont="1" applyAlignment="1">
      <alignment horizontal="center" vertical="center" wrapText="1"/>
    </xf>
    <xf numFmtId="0" fontId="91" fillId="0" borderId="0" xfId="0" applyFont="1" applyAlignment="1">
      <alignment vertical="center" wrapText="1"/>
    </xf>
    <xf numFmtId="0" fontId="91" fillId="0" borderId="0" xfId="0" applyFont="1" applyAlignment="1">
      <alignment horizontal="center" wrapText="1"/>
    </xf>
    <xf numFmtId="0" fontId="92" fillId="0" borderId="0" xfId="0" applyFont="1" applyAlignment="1">
      <alignment horizontal="center" vertical="center"/>
    </xf>
    <xf numFmtId="0" fontId="92" fillId="0" borderId="0" xfId="0" applyFont="1" applyAlignment="1">
      <alignment vertical="center"/>
    </xf>
    <xf numFmtId="165" fontId="92" fillId="0" borderId="0" xfId="1" applyFont="1" applyFill="1" applyAlignment="1">
      <alignment vertical="center"/>
    </xf>
    <xf numFmtId="165" fontId="92" fillId="0" borderId="0" xfId="1" applyFont="1" applyFill="1" applyAlignment="1">
      <alignment horizontal="center" vertical="center"/>
    </xf>
    <xf numFmtId="168" fontId="92" fillId="0" borderId="0" xfId="1" applyNumberFormat="1" applyFont="1" applyFill="1" applyAlignment="1">
      <alignment horizontal="center" vertical="center"/>
    </xf>
    <xf numFmtId="165" fontId="93" fillId="0" borderId="0" xfId="1" applyFont="1" applyFill="1" applyAlignment="1">
      <alignment vertical="center"/>
    </xf>
    <xf numFmtId="181" fontId="94" fillId="0" borderId="10" xfId="43" applyNumberFormat="1" applyFont="1" applyBorder="1" applyAlignment="1">
      <alignment horizontal="center" vertical="center" wrapText="1"/>
    </xf>
    <xf numFmtId="181" fontId="94" fillId="0" borderId="10" xfId="0" applyNumberFormat="1" applyFont="1" applyBorder="1" applyAlignment="1">
      <alignment horizontal="center" vertical="center"/>
    </xf>
    <xf numFmtId="0" fontId="87" fillId="0" borderId="10" xfId="43" applyFont="1" applyBorder="1" applyAlignment="1">
      <alignment horizontal="center" vertical="center" wrapText="1"/>
    </xf>
    <xf numFmtId="165" fontId="95" fillId="34" borderId="10" xfId="1" applyFont="1" applyFill="1" applyBorder="1" applyAlignment="1">
      <alignment horizontal="center" vertical="center"/>
    </xf>
    <xf numFmtId="165" fontId="96" fillId="34" borderId="10" xfId="1" applyFont="1" applyFill="1" applyBorder="1" applyAlignment="1">
      <alignment horizontal="center" vertical="center"/>
    </xf>
    <xf numFmtId="0" fontId="97" fillId="72" borderId="10" xfId="0" applyFont="1" applyFill="1" applyBorder="1" applyAlignment="1">
      <alignment horizontal="center" vertical="center" wrapText="1"/>
    </xf>
    <xf numFmtId="0" fontId="97" fillId="72" borderId="10" xfId="0" applyFont="1" applyFill="1" applyBorder="1" applyAlignment="1">
      <alignment horizontal="left" vertical="center" wrapText="1"/>
    </xf>
    <xf numFmtId="165" fontId="97" fillId="72" borderId="10" xfId="1" applyFont="1" applyFill="1" applyBorder="1" applyAlignment="1">
      <alignment horizontal="left" vertical="center" wrapText="1"/>
    </xf>
    <xf numFmtId="165" fontId="97" fillId="72" borderId="10" xfId="1" applyFont="1" applyFill="1" applyBorder="1" applyAlignment="1">
      <alignment horizontal="center" vertical="center" wrapText="1"/>
    </xf>
    <xf numFmtId="168" fontId="97" fillId="72" borderId="10" xfId="1" applyNumberFormat="1" applyFont="1" applyFill="1" applyBorder="1" applyAlignment="1">
      <alignment horizontal="center" vertical="center" wrapText="1"/>
    </xf>
    <xf numFmtId="165" fontId="97" fillId="72" borderId="10" xfId="1" applyFont="1" applyFill="1" applyBorder="1" applyAlignment="1">
      <alignment vertical="center" wrapText="1"/>
    </xf>
    <xf numFmtId="165" fontId="98" fillId="72" borderId="10" xfId="1" applyFont="1" applyFill="1" applyBorder="1" applyAlignment="1">
      <alignment vertical="center" wrapText="1"/>
    </xf>
    <xf numFmtId="0" fontId="99" fillId="0" borderId="0" xfId="0" applyFont="1"/>
    <xf numFmtId="0" fontId="100" fillId="73" borderId="10" xfId="0" applyFont="1" applyFill="1" applyBorder="1" applyAlignment="1">
      <alignment horizontal="center" vertical="center" wrapText="1"/>
    </xf>
    <xf numFmtId="0" fontId="100" fillId="73" borderId="10" xfId="0" applyFont="1" applyFill="1" applyBorder="1" applyAlignment="1">
      <alignment horizontal="left" vertical="center" wrapText="1"/>
    </xf>
    <xf numFmtId="165" fontId="100" fillId="73" borderId="10" xfId="1" applyFont="1" applyFill="1" applyBorder="1" applyAlignment="1">
      <alignment horizontal="left" vertical="center" wrapText="1"/>
    </xf>
    <xf numFmtId="165" fontId="100" fillId="73" borderId="10" xfId="1" applyFont="1" applyFill="1" applyBorder="1" applyAlignment="1">
      <alignment horizontal="center" vertical="center" wrapText="1"/>
    </xf>
    <xf numFmtId="168" fontId="100" fillId="73" borderId="10" xfId="1" applyNumberFormat="1" applyFont="1" applyFill="1" applyBorder="1" applyAlignment="1">
      <alignment horizontal="center" vertical="center" wrapText="1"/>
    </xf>
    <xf numFmtId="0" fontId="100" fillId="73" borderId="10" xfId="0" applyFont="1" applyFill="1" applyBorder="1" applyAlignment="1">
      <alignment vertical="center" wrapText="1"/>
    </xf>
    <xf numFmtId="0" fontId="101" fillId="73" borderId="10" xfId="0" applyFont="1" applyFill="1" applyBorder="1" applyAlignment="1">
      <alignment horizontal="left" vertical="center" wrapText="1"/>
    </xf>
    <xf numFmtId="0" fontId="102" fillId="0" borderId="0" xfId="0" applyFont="1"/>
    <xf numFmtId="0" fontId="100" fillId="74" borderId="10" xfId="0" applyFont="1" applyFill="1" applyBorder="1" applyAlignment="1">
      <alignment horizontal="center" vertical="center" wrapText="1"/>
    </xf>
    <xf numFmtId="0" fontId="103" fillId="74" borderId="10" xfId="0" applyFont="1" applyFill="1" applyBorder="1" applyAlignment="1">
      <alignment horizontal="center" wrapText="1"/>
    </xf>
    <xf numFmtId="0" fontId="103" fillId="74" borderId="10" xfId="0" applyFont="1" applyFill="1" applyBorder="1" applyAlignment="1">
      <alignment horizontal="center" vertical="center" wrapText="1"/>
    </xf>
    <xf numFmtId="0" fontId="103" fillId="74" borderId="10" xfId="0" applyFont="1" applyFill="1" applyBorder="1" applyAlignment="1">
      <alignment horizontal="left" wrapText="1"/>
    </xf>
    <xf numFmtId="165" fontId="103" fillId="74" borderId="10" xfId="1" applyFont="1" applyFill="1" applyBorder="1" applyAlignment="1">
      <alignment horizontal="left" wrapText="1"/>
    </xf>
    <xf numFmtId="165" fontId="103" fillId="74" borderId="10" xfId="1" applyFont="1" applyFill="1" applyBorder="1" applyAlignment="1">
      <alignment horizontal="center" wrapText="1"/>
    </xf>
    <xf numFmtId="168" fontId="103" fillId="74" borderId="10" xfId="1" applyNumberFormat="1" applyFont="1" applyFill="1" applyBorder="1" applyAlignment="1">
      <alignment horizontal="center" vertical="center"/>
    </xf>
    <xf numFmtId="165" fontId="102" fillId="74" borderId="10" xfId="1" applyFont="1" applyFill="1" applyBorder="1" applyAlignment="1">
      <alignment horizontal="center"/>
    </xf>
    <xf numFmtId="165" fontId="89" fillId="74" borderId="10" xfId="1" applyFont="1" applyFill="1" applyBorder="1" applyAlignment="1">
      <alignment horizontal="center"/>
    </xf>
    <xf numFmtId="0" fontId="60" fillId="0" borderId="10" xfId="0" applyFont="1" applyBorder="1" applyAlignment="1">
      <alignment horizontal="right" vertical="center" wrapText="1"/>
    </xf>
    <xf numFmtId="0" fontId="102" fillId="0" borderId="10" xfId="0" applyFont="1" applyBorder="1" applyAlignment="1">
      <alignment vertical="center" wrapText="1"/>
    </xf>
    <xf numFmtId="0" fontId="102" fillId="0" borderId="10" xfId="0" applyFont="1" applyBorder="1" applyAlignment="1">
      <alignment horizontal="center" wrapText="1"/>
    </xf>
    <xf numFmtId="181" fontId="102" fillId="0" borderId="10" xfId="0" applyNumberFormat="1" applyFont="1" applyBorder="1" applyAlignment="1">
      <alignment horizontal="center" vertical="center"/>
    </xf>
    <xf numFmtId="0" fontId="102" fillId="0" borderId="10" xfId="0" applyFont="1" applyBorder="1" applyAlignment="1">
      <alignment horizontal="center" vertical="center"/>
    </xf>
    <xf numFmtId="0" fontId="102" fillId="0" borderId="10" xfId="0" applyFont="1" applyBorder="1" applyAlignment="1">
      <alignment horizontal="center"/>
    </xf>
    <xf numFmtId="0" fontId="102" fillId="0" borderId="10" xfId="0" applyFont="1" applyBorder="1"/>
    <xf numFmtId="165" fontId="102" fillId="0" borderId="10" xfId="1" applyFont="1" applyBorder="1"/>
    <xf numFmtId="165" fontId="102" fillId="0" borderId="10" xfId="1" applyFont="1" applyBorder="1" applyAlignment="1">
      <alignment horizontal="center"/>
    </xf>
    <xf numFmtId="168" fontId="102" fillId="0" borderId="10" xfId="1" applyNumberFormat="1" applyFont="1" applyBorder="1" applyAlignment="1">
      <alignment horizontal="center" vertical="center"/>
    </xf>
    <xf numFmtId="165" fontId="89" fillId="0" borderId="10" xfId="1" applyFont="1" applyBorder="1" applyAlignment="1">
      <alignment horizontal="center"/>
    </xf>
    <xf numFmtId="0" fontId="104" fillId="0" borderId="10" xfId="0" applyFont="1" applyBorder="1" applyAlignment="1">
      <alignment horizontal="center" vertical="center" wrapText="1"/>
    </xf>
    <xf numFmtId="0" fontId="103" fillId="74" borderId="34" xfId="0" applyFont="1" applyFill="1" applyBorder="1" applyAlignment="1">
      <alignment wrapText="1"/>
    </xf>
    <xf numFmtId="0" fontId="103" fillId="74" borderId="35" xfId="0" applyFont="1" applyFill="1" applyBorder="1" applyAlignment="1">
      <alignment wrapText="1"/>
    </xf>
    <xf numFmtId="165" fontId="105" fillId="74" borderId="10" xfId="1" applyFont="1" applyFill="1" applyBorder="1" applyAlignment="1">
      <alignment horizontal="center" wrapText="1"/>
    </xf>
    <xf numFmtId="0" fontId="60" fillId="0" borderId="10" xfId="0" applyFont="1" applyBorder="1" applyAlignment="1">
      <alignment vertical="center" wrapText="1"/>
    </xf>
    <xf numFmtId="181" fontId="102" fillId="0" borderId="10" xfId="0" applyNumberFormat="1" applyFont="1" applyBorder="1" applyAlignment="1">
      <alignment horizontal="center" vertical="center" wrapText="1"/>
    </xf>
    <xf numFmtId="0" fontId="102" fillId="0" borderId="10" xfId="0" applyFont="1" applyBorder="1" applyAlignment="1">
      <alignment horizontal="center" vertical="center" wrapText="1"/>
    </xf>
    <xf numFmtId="168" fontId="22" fillId="0" borderId="10" xfId="1" applyNumberFormat="1" applyFont="1" applyFill="1" applyBorder="1" applyAlignment="1">
      <alignment horizontal="center"/>
    </xf>
    <xf numFmtId="0" fontId="22" fillId="0" borderId="10" xfId="0" applyFont="1" applyBorder="1" applyAlignment="1">
      <alignment horizontal="center"/>
    </xf>
    <xf numFmtId="0" fontId="106" fillId="75" borderId="10" xfId="0" applyFont="1" applyFill="1" applyBorder="1" applyAlignment="1">
      <alignment horizontal="left" vertical="center" wrapText="1"/>
    </xf>
    <xf numFmtId="0" fontId="21" fillId="0" borderId="10" xfId="45" applyBorder="1" applyAlignment="1">
      <alignment vertical="center"/>
    </xf>
    <xf numFmtId="0" fontId="106" fillId="75" borderId="11" xfId="0" applyFont="1" applyFill="1" applyBorder="1" applyAlignment="1">
      <alignment horizontal="left" vertical="center" wrapText="1"/>
    </xf>
    <xf numFmtId="0" fontId="106" fillId="76" borderId="10" xfId="0" applyFont="1" applyFill="1" applyBorder="1" applyAlignment="1">
      <alignment horizontal="left" vertical="center" wrapText="1"/>
    </xf>
    <xf numFmtId="0" fontId="89" fillId="0" borderId="10" xfId="0" applyFont="1" applyBorder="1" applyAlignment="1">
      <alignment horizontal="center"/>
    </xf>
    <xf numFmtId="165" fontId="102" fillId="0" borderId="0" xfId="1" applyFont="1" applyAlignment="1">
      <alignment horizontal="center"/>
    </xf>
    <xf numFmtId="0" fontId="21" fillId="0" borderId="0" xfId="45"/>
    <xf numFmtId="0" fontId="106" fillId="75" borderId="11" xfId="0" applyFont="1" applyFill="1" applyBorder="1" applyAlignment="1">
      <alignment vertical="center" wrapText="1"/>
    </xf>
    <xf numFmtId="168" fontId="22" fillId="0" borderId="10" xfId="1" applyNumberFormat="1" applyFont="1" applyFill="1" applyBorder="1" applyAlignment="1">
      <alignment horizontal="right"/>
    </xf>
    <xf numFmtId="0" fontId="106" fillId="75" borderId="10" xfId="0" applyFont="1" applyFill="1" applyBorder="1" applyAlignment="1">
      <alignment horizontal="center" vertical="center"/>
    </xf>
    <xf numFmtId="168" fontId="22" fillId="0" borderId="10" xfId="1" applyNumberFormat="1" applyFont="1" applyFill="1" applyBorder="1" applyAlignment="1">
      <alignment horizontal="left"/>
    </xf>
    <xf numFmtId="168" fontId="61" fillId="58" borderId="10" xfId="1" applyNumberFormat="1" applyFont="1" applyFill="1" applyBorder="1" applyAlignment="1">
      <alignment horizontal="left" vertical="center" wrapText="1"/>
    </xf>
    <xf numFmtId="165" fontId="89" fillId="0" borderId="10" xfId="1" applyFont="1" applyBorder="1"/>
    <xf numFmtId="0" fontId="107" fillId="76" borderId="10" xfId="0" applyFont="1" applyFill="1" applyBorder="1" applyAlignment="1">
      <alignment horizontal="left" vertical="center" wrapText="1"/>
    </xf>
    <xf numFmtId="168" fontId="22" fillId="58" borderId="10" xfId="1" applyNumberFormat="1" applyFont="1" applyFill="1" applyBorder="1" applyAlignment="1">
      <alignment horizontal="right"/>
    </xf>
    <xf numFmtId="0" fontId="107" fillId="75" borderId="36" xfId="0" applyFont="1" applyFill="1" applyBorder="1" applyAlignment="1">
      <alignment horizontal="left" vertical="center" wrapText="1"/>
    </xf>
    <xf numFmtId="0" fontId="102" fillId="0" borderId="10" xfId="0" applyFont="1" applyBorder="1" applyAlignment="1">
      <alignment vertical="center"/>
    </xf>
    <xf numFmtId="0" fontId="102" fillId="0" borderId="10" xfId="0" applyFont="1" applyBorder="1" applyAlignment="1">
      <alignment horizontal="left" vertical="center" wrapText="1"/>
    </xf>
    <xf numFmtId="0" fontId="102" fillId="0" borderId="11" xfId="0" applyFont="1" applyBorder="1" applyAlignment="1">
      <alignment horizontal="center" vertical="center"/>
    </xf>
    <xf numFmtId="0" fontId="100" fillId="0" borderId="10" xfId="0" applyFont="1" applyBorder="1" applyAlignment="1">
      <alignment horizontal="center" wrapText="1"/>
    </xf>
    <xf numFmtId="0" fontId="100" fillId="0" borderId="10" xfId="0" applyFont="1" applyBorder="1" applyAlignment="1">
      <alignment horizontal="left" vertical="center" wrapText="1"/>
    </xf>
    <xf numFmtId="0" fontId="100" fillId="0" borderId="10" xfId="0" applyFont="1" applyBorder="1" applyAlignment="1">
      <alignment horizontal="left" wrapText="1"/>
    </xf>
    <xf numFmtId="0" fontId="60" fillId="0" borderId="10" xfId="0" applyFont="1" applyBorder="1" applyAlignment="1">
      <alignment horizontal="center" vertical="center" wrapText="1"/>
    </xf>
    <xf numFmtId="0" fontId="97" fillId="72" borderId="37" xfId="0" applyFont="1" applyFill="1" applyBorder="1" applyAlignment="1">
      <alignment horizontal="center" vertical="center" wrapText="1"/>
    </xf>
    <xf numFmtId="165" fontId="97" fillId="72" borderId="37" xfId="1" applyFont="1" applyFill="1" applyBorder="1" applyAlignment="1">
      <alignment horizontal="center" vertical="center" wrapText="1"/>
    </xf>
    <xf numFmtId="168" fontId="97" fillId="72" borderId="13" xfId="1" applyNumberFormat="1" applyFont="1" applyFill="1" applyBorder="1" applyAlignment="1">
      <alignment horizontal="center" vertical="center" wrapText="1"/>
    </xf>
    <xf numFmtId="0" fontId="102" fillId="0" borderId="0" xfId="0" applyFont="1" applyAlignment="1">
      <alignment horizontal="center" vertical="center" wrapText="1"/>
    </xf>
    <xf numFmtId="0" fontId="102" fillId="0" borderId="0" xfId="0" applyFont="1" applyAlignment="1">
      <alignment vertical="center" wrapText="1"/>
    </xf>
    <xf numFmtId="0" fontId="102" fillId="0" borderId="0" xfId="0" applyFont="1" applyAlignment="1">
      <alignment horizontal="center" wrapText="1"/>
    </xf>
    <xf numFmtId="181" fontId="102" fillId="0" borderId="0" xfId="0" applyNumberFormat="1" applyFont="1" applyAlignment="1">
      <alignment horizontal="center" vertical="center" wrapText="1"/>
    </xf>
    <xf numFmtId="181" fontId="102" fillId="0" borderId="0" xfId="0" applyNumberFormat="1" applyFont="1" applyAlignment="1">
      <alignment horizontal="center" vertical="center"/>
    </xf>
    <xf numFmtId="0" fontId="102" fillId="0" borderId="0" xfId="0" applyFont="1" applyAlignment="1">
      <alignment horizontal="center" vertical="center"/>
    </xf>
    <xf numFmtId="0" fontId="102" fillId="0" borderId="0" xfId="0" applyFont="1" applyAlignment="1">
      <alignment horizontal="center"/>
    </xf>
    <xf numFmtId="165" fontId="102" fillId="0" borderId="0" xfId="1" applyFont="1"/>
    <xf numFmtId="168" fontId="102" fillId="0" borderId="0" xfId="1" applyNumberFormat="1" applyFont="1" applyAlignment="1">
      <alignment horizontal="center" vertical="center"/>
    </xf>
    <xf numFmtId="165" fontId="89" fillId="0" borderId="0" xfId="1" applyFont="1" applyAlignment="1">
      <alignment horizontal="center"/>
    </xf>
    <xf numFmtId="0" fontId="88" fillId="0" borderId="0" xfId="0" applyFont="1" applyAlignment="1">
      <alignment horizontal="right" vertical="center"/>
    </xf>
    <xf numFmtId="0" fontId="90" fillId="0" borderId="0" xfId="0" applyFont="1" applyAlignment="1">
      <alignment horizontal="right" vertical="center" wrapText="1"/>
    </xf>
    <xf numFmtId="0" fontId="92" fillId="0" borderId="0" xfId="0" applyFont="1" applyAlignment="1">
      <alignment horizontal="right" vertical="center"/>
    </xf>
    <xf numFmtId="0" fontId="97" fillId="72" borderId="10" xfId="0" applyFont="1" applyFill="1" applyBorder="1" applyAlignment="1">
      <alignment horizontal="right" vertical="center" wrapText="1"/>
    </xf>
    <xf numFmtId="0" fontId="100" fillId="73" borderId="10" xfId="0" applyFont="1" applyFill="1" applyBorder="1" applyAlignment="1">
      <alignment horizontal="right" vertical="center" wrapText="1"/>
    </xf>
    <xf numFmtId="0" fontId="103" fillId="74" borderId="10" xfId="0" applyFont="1" applyFill="1" applyBorder="1" applyAlignment="1">
      <alignment horizontal="right" wrapText="1"/>
    </xf>
    <xf numFmtId="0" fontId="0" fillId="58" borderId="10" xfId="0" applyFill="1" applyBorder="1" applyAlignment="1">
      <alignment vertical="center" wrapText="1"/>
    </xf>
    <xf numFmtId="0" fontId="102" fillId="0" borderId="10" xfId="0" applyFont="1" applyBorder="1" applyAlignment="1">
      <alignment horizontal="right" vertical="center"/>
    </xf>
    <xf numFmtId="165" fontId="102" fillId="0" borderId="10" xfId="1" applyFont="1" applyBorder="1" applyAlignment="1">
      <alignment vertical="center"/>
    </xf>
    <xf numFmtId="165" fontId="102" fillId="0" borderId="10" xfId="1" applyFont="1" applyBorder="1" applyAlignment="1">
      <alignment horizontal="center" vertical="center"/>
    </xf>
    <xf numFmtId="168" fontId="102" fillId="0" borderId="0" xfId="0" applyNumberFormat="1" applyFont="1" applyAlignment="1">
      <alignment vertical="center"/>
    </xf>
    <xf numFmtId="0" fontId="102" fillId="0" borderId="0" xfId="0" applyFont="1" applyAlignment="1">
      <alignment vertical="center"/>
    </xf>
    <xf numFmtId="0" fontId="103" fillId="74" borderId="10" xfId="0" applyFont="1" applyFill="1" applyBorder="1" applyAlignment="1">
      <alignment horizontal="right" vertical="center" wrapText="1"/>
    </xf>
    <xf numFmtId="0" fontId="103" fillId="74" borderId="10" xfId="0" applyFont="1" applyFill="1" applyBorder="1" applyAlignment="1">
      <alignment horizontal="left" vertical="center" wrapText="1"/>
    </xf>
    <xf numFmtId="165" fontId="103" fillId="74" borderId="10" xfId="1" applyFont="1" applyFill="1" applyBorder="1" applyAlignment="1">
      <alignment horizontal="left" vertical="center" wrapText="1"/>
    </xf>
    <xf numFmtId="165" fontId="103" fillId="74" borderId="10" xfId="1" applyFont="1" applyFill="1" applyBorder="1" applyAlignment="1">
      <alignment horizontal="center" vertical="center" wrapText="1"/>
    </xf>
    <xf numFmtId="165" fontId="102" fillId="74" borderId="10" xfId="1" applyFont="1" applyFill="1" applyBorder="1" applyAlignment="1">
      <alignment horizontal="center" vertical="center"/>
    </xf>
    <xf numFmtId="0" fontId="26" fillId="0" borderId="10" xfId="0" quotePrefix="1" applyFont="1" applyBorder="1" applyAlignment="1">
      <alignment horizontal="justify" vertical="center" wrapText="1"/>
    </xf>
    <xf numFmtId="0" fontId="26" fillId="0" borderId="10" xfId="0" quotePrefix="1" applyFont="1" applyBorder="1" applyAlignment="1">
      <alignment horizontal="justify" vertical="center"/>
    </xf>
    <xf numFmtId="0" fontId="102" fillId="0" borderId="10" xfId="0" quotePrefix="1" applyFont="1" applyBorder="1" applyAlignment="1">
      <alignment vertical="center" wrapText="1"/>
    </xf>
    <xf numFmtId="0" fontId="0" fillId="58" borderId="10" xfId="0" applyFill="1" applyBorder="1" applyAlignment="1">
      <alignment wrapText="1"/>
    </xf>
    <xf numFmtId="0" fontId="102" fillId="0" borderId="0" xfId="0" applyFont="1" applyAlignment="1">
      <alignment horizontal="right"/>
    </xf>
    <xf numFmtId="0" fontId="87" fillId="0" borderId="0" xfId="0" applyFont="1" applyAlignment="1">
      <alignment horizontal="center" vertical="top" wrapText="1"/>
    </xf>
    <xf numFmtId="0" fontId="87" fillId="0" borderId="0" xfId="0" applyFont="1" applyAlignment="1">
      <alignment vertical="top" wrapText="1"/>
    </xf>
    <xf numFmtId="0" fontId="88" fillId="0" borderId="0" xfId="0" applyFont="1" applyAlignment="1">
      <alignment horizontal="center" vertical="top"/>
    </xf>
    <xf numFmtId="0" fontId="88" fillId="0" borderId="0" xfId="0" applyFont="1" applyAlignment="1">
      <alignment vertical="top"/>
    </xf>
    <xf numFmtId="165" fontId="88" fillId="0" borderId="0" xfId="1" applyFont="1" applyFill="1" applyAlignment="1">
      <alignment vertical="top"/>
    </xf>
    <xf numFmtId="165" fontId="88" fillId="0" borderId="0" xfId="1" applyFont="1" applyFill="1" applyAlignment="1">
      <alignment horizontal="center" vertical="top"/>
    </xf>
    <xf numFmtId="168" fontId="88" fillId="0" borderId="0" xfId="1" applyNumberFormat="1" applyFont="1" applyFill="1" applyAlignment="1">
      <alignment horizontal="center" vertical="top"/>
    </xf>
    <xf numFmtId="0" fontId="90" fillId="0" borderId="0" xfId="0" applyFont="1" applyAlignment="1">
      <alignment horizontal="left" vertical="top" wrapText="1"/>
    </xf>
    <xf numFmtId="0" fontId="90" fillId="0" borderId="0" xfId="0" applyFont="1" applyAlignment="1">
      <alignment horizontal="center" vertical="top" wrapText="1"/>
    </xf>
    <xf numFmtId="165" fontId="90" fillId="0" borderId="0" xfId="1" applyFont="1" applyFill="1" applyAlignment="1">
      <alignment horizontal="left" vertical="top" wrapText="1"/>
    </xf>
    <xf numFmtId="165" fontId="90" fillId="0" borderId="0" xfId="1" applyFont="1" applyFill="1" applyAlignment="1">
      <alignment horizontal="center" vertical="top" wrapText="1"/>
    </xf>
    <xf numFmtId="168" fontId="90" fillId="0" borderId="0" xfId="1" applyNumberFormat="1" applyFont="1" applyFill="1" applyAlignment="1">
      <alignment horizontal="center" vertical="top" wrapText="1"/>
    </xf>
    <xf numFmtId="0" fontId="88" fillId="0" borderId="0" xfId="0" applyFont="1" applyAlignment="1">
      <alignment horizontal="left" vertical="top"/>
    </xf>
    <xf numFmtId="0" fontId="91" fillId="0" borderId="0" xfId="0" applyFont="1" applyAlignment="1">
      <alignment horizontal="center" vertical="top" wrapText="1"/>
    </xf>
    <xf numFmtId="0" fontId="91" fillId="0" borderId="0" xfId="0" applyFont="1" applyAlignment="1">
      <alignment vertical="top" wrapText="1"/>
    </xf>
    <xf numFmtId="0" fontId="92" fillId="0" borderId="0" xfId="0" applyFont="1" applyAlignment="1">
      <alignment horizontal="center" vertical="top"/>
    </xf>
    <xf numFmtId="0" fontId="92" fillId="0" borderId="0" xfId="0" applyFont="1" applyAlignment="1">
      <alignment vertical="top"/>
    </xf>
    <xf numFmtId="165" fontId="92" fillId="0" borderId="0" xfId="1" applyFont="1" applyFill="1" applyAlignment="1">
      <alignment vertical="top"/>
    </xf>
    <xf numFmtId="165" fontId="92" fillId="0" borderId="0" xfId="1" applyFont="1" applyFill="1" applyAlignment="1">
      <alignment horizontal="center" vertical="top"/>
    </xf>
    <xf numFmtId="168" fontId="92" fillId="0" borderId="0" xfId="1" applyNumberFormat="1" applyFont="1" applyFill="1" applyAlignment="1">
      <alignment horizontal="center" vertical="top"/>
    </xf>
    <xf numFmtId="181" fontId="94" fillId="0" borderId="10" xfId="43" applyNumberFormat="1" applyFont="1" applyBorder="1" applyAlignment="1">
      <alignment horizontal="center" vertical="top" wrapText="1"/>
    </xf>
    <xf numFmtId="181" fontId="94" fillId="0" borderId="10" xfId="0" applyNumberFormat="1" applyFont="1" applyBorder="1" applyAlignment="1">
      <alignment horizontal="center" vertical="top"/>
    </xf>
    <xf numFmtId="0" fontId="87" fillId="0" borderId="10" xfId="43" applyFont="1" applyBorder="1" applyAlignment="1">
      <alignment horizontal="center" vertical="top" wrapText="1"/>
    </xf>
    <xf numFmtId="165" fontId="95" fillId="34" borderId="10" xfId="1" applyFont="1" applyFill="1" applyBorder="1" applyAlignment="1">
      <alignment horizontal="center" vertical="top"/>
    </xf>
    <xf numFmtId="0" fontId="97" fillId="72" borderId="10" xfId="0" applyFont="1" applyFill="1" applyBorder="1" applyAlignment="1">
      <alignment horizontal="center" vertical="top" wrapText="1"/>
    </xf>
    <xf numFmtId="0" fontId="97" fillId="72" borderId="10" xfId="0" applyFont="1" applyFill="1" applyBorder="1" applyAlignment="1">
      <alignment horizontal="left" vertical="top" wrapText="1"/>
    </xf>
    <xf numFmtId="165" fontId="97" fillId="72" borderId="10" xfId="1" applyFont="1" applyFill="1" applyBorder="1" applyAlignment="1">
      <alignment horizontal="left" vertical="top" wrapText="1"/>
    </xf>
    <xf numFmtId="165" fontId="97" fillId="72" borderId="10" xfId="1" applyFont="1" applyFill="1" applyBorder="1" applyAlignment="1">
      <alignment horizontal="center" vertical="top" wrapText="1"/>
    </xf>
    <xf numFmtId="168" fontId="97" fillId="72" borderId="10" xfId="1" applyNumberFormat="1" applyFont="1" applyFill="1" applyBorder="1" applyAlignment="1">
      <alignment horizontal="center" vertical="top" wrapText="1"/>
    </xf>
    <xf numFmtId="165" fontId="97" fillId="72" borderId="10" xfId="1" applyFont="1" applyFill="1" applyBorder="1" applyAlignment="1">
      <alignment vertical="top" wrapText="1"/>
    </xf>
    <xf numFmtId="0" fontId="99" fillId="0" borderId="0" xfId="0" applyFont="1" applyAlignment="1">
      <alignment vertical="top"/>
    </xf>
    <xf numFmtId="0" fontId="100" fillId="73" borderId="10" xfId="0" applyFont="1" applyFill="1" applyBorder="1" applyAlignment="1">
      <alignment horizontal="center" vertical="top" wrapText="1"/>
    </xf>
    <xf numFmtId="0" fontId="100" fillId="73" borderId="10" xfId="0" applyFont="1" applyFill="1" applyBorder="1" applyAlignment="1">
      <alignment horizontal="left" vertical="top" wrapText="1"/>
    </xf>
    <xf numFmtId="165" fontId="100" fillId="73" borderId="10" xfId="1" applyFont="1" applyFill="1" applyBorder="1" applyAlignment="1">
      <alignment horizontal="left" vertical="top" wrapText="1"/>
    </xf>
    <xf numFmtId="165" fontId="100" fillId="73" borderId="10" xfId="1" applyFont="1" applyFill="1" applyBorder="1" applyAlignment="1">
      <alignment horizontal="center" vertical="top" wrapText="1"/>
    </xf>
    <xf numFmtId="168" fontId="100" fillId="73" borderId="10" xfId="1" applyNumberFormat="1" applyFont="1" applyFill="1" applyBorder="1" applyAlignment="1">
      <alignment horizontal="center" vertical="top" wrapText="1"/>
    </xf>
    <xf numFmtId="0" fontId="100" fillId="73" borderId="10" xfId="0" applyFont="1" applyFill="1" applyBorder="1" applyAlignment="1">
      <alignment vertical="top" wrapText="1"/>
    </xf>
    <xf numFmtId="0" fontId="102" fillId="0" borderId="0" xfId="0" applyFont="1" applyAlignment="1">
      <alignment vertical="top"/>
    </xf>
    <xf numFmtId="0" fontId="100" fillId="74" borderId="10" xfId="0" applyFont="1" applyFill="1" applyBorder="1" applyAlignment="1">
      <alignment horizontal="center" vertical="top" wrapText="1"/>
    </xf>
    <xf numFmtId="0" fontId="103" fillId="74" borderId="10" xfId="0" applyFont="1" applyFill="1" applyBorder="1" applyAlignment="1">
      <alignment horizontal="center" vertical="top" wrapText="1"/>
    </xf>
    <xf numFmtId="0" fontId="103" fillId="74" borderId="10" xfId="0" applyFont="1" applyFill="1" applyBorder="1" applyAlignment="1">
      <alignment horizontal="left" vertical="top" wrapText="1"/>
    </xf>
    <xf numFmtId="165" fontId="103" fillId="74" borderId="10" xfId="1" applyFont="1" applyFill="1" applyBorder="1" applyAlignment="1">
      <alignment horizontal="left" vertical="top" wrapText="1"/>
    </xf>
    <xf numFmtId="165" fontId="103" fillId="74" borderId="10" xfId="1" applyFont="1" applyFill="1" applyBorder="1" applyAlignment="1">
      <alignment horizontal="center" vertical="top" wrapText="1"/>
    </xf>
    <xf numFmtId="168" fontId="103" fillId="74" borderId="10" xfId="1" applyNumberFormat="1" applyFont="1" applyFill="1" applyBorder="1" applyAlignment="1">
      <alignment horizontal="center" vertical="top"/>
    </xf>
    <xf numFmtId="165" fontId="102" fillId="74" borderId="10" xfId="1" applyFont="1" applyFill="1" applyBorder="1" applyAlignment="1">
      <alignment horizontal="center" vertical="top"/>
    </xf>
    <xf numFmtId="0" fontId="60" fillId="0" borderId="10" xfId="0" applyFont="1" applyBorder="1" applyAlignment="1">
      <alignment horizontal="right" vertical="top" wrapText="1"/>
    </xf>
    <xf numFmtId="0" fontId="102" fillId="0" borderId="10" xfId="0" applyFont="1" applyBorder="1" applyAlignment="1">
      <alignment vertical="top" wrapText="1"/>
    </xf>
    <xf numFmtId="0" fontId="102" fillId="0" borderId="10" xfId="0" applyFont="1" applyBorder="1" applyAlignment="1">
      <alignment horizontal="center" vertical="top" wrapText="1"/>
    </xf>
    <xf numFmtId="181" fontId="102" fillId="0" borderId="10" xfId="0" applyNumberFormat="1" applyFont="1" applyBorder="1" applyAlignment="1">
      <alignment horizontal="center" vertical="top"/>
    </xf>
    <xf numFmtId="0" fontId="102" fillId="0" borderId="10" xfId="0" applyFont="1" applyBorder="1" applyAlignment="1">
      <alignment horizontal="center" vertical="top"/>
    </xf>
    <xf numFmtId="0" fontId="102" fillId="0" borderId="10" xfId="0" applyFont="1" applyBorder="1" applyAlignment="1">
      <alignment vertical="top"/>
    </xf>
    <xf numFmtId="165" fontId="102" fillId="0" borderId="10" xfId="1" applyFont="1" applyBorder="1" applyAlignment="1">
      <alignment vertical="top"/>
    </xf>
    <xf numFmtId="165" fontId="102" fillId="0" borderId="10" xfId="1" applyFont="1" applyBorder="1" applyAlignment="1">
      <alignment horizontal="center" vertical="top"/>
    </xf>
    <xf numFmtId="168" fontId="102" fillId="0" borderId="10" xfId="1" applyNumberFormat="1" applyFont="1" applyBorder="1" applyAlignment="1">
      <alignment horizontal="center" vertical="top"/>
    </xf>
    <xf numFmtId="0" fontId="104" fillId="0" borderId="10" xfId="0" applyFont="1" applyBorder="1" applyAlignment="1">
      <alignment horizontal="center" vertical="top" wrapText="1"/>
    </xf>
    <xf numFmtId="0" fontId="60" fillId="0" borderId="10" xfId="0" applyFont="1" applyBorder="1" applyAlignment="1">
      <alignment vertical="top" wrapText="1"/>
    </xf>
    <xf numFmtId="0" fontId="100" fillId="0" borderId="10" xfId="0" applyFont="1" applyBorder="1" applyAlignment="1">
      <alignment horizontal="left" vertical="top" wrapText="1"/>
    </xf>
    <xf numFmtId="0" fontId="100" fillId="0" borderId="10" xfId="0" applyFont="1" applyBorder="1" applyAlignment="1">
      <alignment horizontal="center" vertical="top" wrapText="1"/>
    </xf>
    <xf numFmtId="181" fontId="102" fillId="0" borderId="10" xfId="0" applyNumberFormat="1" applyFont="1" applyBorder="1" applyAlignment="1">
      <alignment horizontal="center" vertical="top" wrapText="1"/>
    </xf>
    <xf numFmtId="0" fontId="102" fillId="0" borderId="10" xfId="0" applyFont="1" applyBorder="1" applyAlignment="1">
      <alignment horizontal="left" vertical="top" wrapText="1"/>
    </xf>
    <xf numFmtId="0" fontId="102" fillId="0" borderId="11" xfId="0" applyFont="1" applyBorder="1" applyAlignment="1">
      <alignment horizontal="center" vertical="top"/>
    </xf>
    <xf numFmtId="0" fontId="60" fillId="0" borderId="10" xfId="0" applyFont="1" applyBorder="1" applyAlignment="1">
      <alignment horizontal="center" vertical="top" wrapText="1"/>
    </xf>
    <xf numFmtId="0" fontId="97" fillId="72" borderId="37" xfId="0" applyFont="1" applyFill="1" applyBorder="1" applyAlignment="1">
      <alignment horizontal="center" vertical="top" wrapText="1"/>
    </xf>
    <xf numFmtId="165" fontId="97" fillId="72" borderId="37" xfId="1" applyFont="1" applyFill="1" applyBorder="1" applyAlignment="1">
      <alignment horizontal="center" vertical="top" wrapText="1"/>
    </xf>
    <xf numFmtId="168" fontId="97" fillId="72" borderId="13" xfId="1" applyNumberFormat="1" applyFont="1" applyFill="1" applyBorder="1" applyAlignment="1">
      <alignment horizontal="center" vertical="top" wrapText="1"/>
    </xf>
    <xf numFmtId="181" fontId="89" fillId="0" borderId="10" xfId="0" applyNumberFormat="1" applyFont="1" applyBorder="1" applyAlignment="1">
      <alignment horizontal="center" vertical="top" wrapText="1"/>
    </xf>
    <xf numFmtId="181" fontId="89" fillId="0" borderId="10" xfId="0" applyNumberFormat="1" applyFont="1" applyBorder="1" applyAlignment="1">
      <alignment horizontal="center" vertical="top"/>
    </xf>
    <xf numFmtId="0" fontId="104" fillId="58" borderId="10" xfId="0" applyFont="1" applyFill="1" applyBorder="1" applyAlignment="1">
      <alignment horizontal="justify" vertical="top"/>
    </xf>
    <xf numFmtId="0" fontId="102" fillId="0" borderId="10" xfId="0" applyFont="1" applyBorder="1" applyAlignment="1">
      <alignment horizontal="left" vertical="top"/>
    </xf>
    <xf numFmtId="3" fontId="102" fillId="0" borderId="10" xfId="1" applyNumberFormat="1" applyFont="1" applyBorder="1" applyAlignment="1">
      <alignment vertical="top"/>
    </xf>
    <xf numFmtId="3" fontId="102" fillId="0" borderId="10" xfId="0" applyNumberFormat="1" applyFont="1" applyBorder="1" applyAlignment="1">
      <alignment horizontal="center" vertical="top"/>
    </xf>
    <xf numFmtId="3" fontId="102" fillId="0" borderId="10" xfId="1" applyNumberFormat="1" applyFont="1" applyBorder="1" applyAlignment="1">
      <alignment horizontal="center" vertical="top"/>
    </xf>
    <xf numFmtId="0" fontId="88" fillId="0" borderId="10" xfId="0" applyFont="1" applyBorder="1" applyAlignment="1">
      <alignment vertical="top" wrapText="1"/>
    </xf>
    <xf numFmtId="0" fontId="104" fillId="58" borderId="0" xfId="0" applyFont="1" applyFill="1" applyAlignment="1">
      <alignment horizontal="justify" vertical="top"/>
    </xf>
    <xf numFmtId="3" fontId="89" fillId="0" borderId="10" xfId="1" applyNumberFormat="1" applyFont="1" applyBorder="1" applyAlignment="1">
      <alignment horizontal="center" vertical="top"/>
    </xf>
    <xf numFmtId="0" fontId="89" fillId="0" borderId="10" xfId="0" applyFont="1" applyBorder="1" applyAlignment="1">
      <alignment vertical="top" wrapText="1"/>
    </xf>
    <xf numFmtId="3" fontId="103" fillId="74" borderId="10" xfId="1" applyNumberFormat="1" applyFont="1" applyFill="1" applyBorder="1" applyAlignment="1">
      <alignment horizontal="left" vertical="top" wrapText="1"/>
    </xf>
    <xf numFmtId="3" fontId="103" fillId="74" borderId="10" xfId="0" applyNumberFormat="1" applyFont="1" applyFill="1" applyBorder="1" applyAlignment="1">
      <alignment horizontal="center" vertical="top" wrapText="1"/>
    </xf>
    <xf numFmtId="3" fontId="103" fillId="74" borderId="10" xfId="1" applyNumberFormat="1" applyFont="1" applyFill="1" applyBorder="1" applyAlignment="1">
      <alignment horizontal="center" vertical="top" wrapText="1"/>
    </xf>
    <xf numFmtId="181" fontId="88" fillId="0" borderId="10" xfId="0" applyNumberFormat="1" applyFont="1" applyBorder="1" applyAlignment="1">
      <alignment horizontal="center" vertical="top" wrapText="1"/>
    </xf>
    <xf numFmtId="181" fontId="88" fillId="0" borderId="10" xfId="0" applyNumberFormat="1" applyFont="1" applyBorder="1" applyAlignment="1">
      <alignment horizontal="center" vertical="top"/>
    </xf>
    <xf numFmtId="181" fontId="102" fillId="58" borderId="10" xfId="0" applyNumberFormat="1" applyFont="1" applyFill="1" applyBorder="1" applyAlignment="1">
      <alignment horizontal="center" vertical="top" wrapText="1"/>
    </xf>
    <xf numFmtId="181" fontId="102" fillId="58" borderId="10" xfId="0" applyNumberFormat="1" applyFont="1" applyFill="1" applyBorder="1" applyAlignment="1">
      <alignment horizontal="center" vertical="top"/>
    </xf>
    <xf numFmtId="168" fontId="89" fillId="0" borderId="10" xfId="1" applyNumberFormat="1" applyFont="1" applyBorder="1" applyAlignment="1">
      <alignment horizontal="center" vertical="top"/>
    </xf>
    <xf numFmtId="0" fontId="102" fillId="0" borderId="0" xfId="0" applyFont="1" applyAlignment="1">
      <alignment horizontal="center" vertical="top" wrapText="1"/>
    </xf>
    <xf numFmtId="0" fontId="102" fillId="0" borderId="0" xfId="0" applyFont="1" applyAlignment="1">
      <alignment vertical="top" wrapText="1"/>
    </xf>
    <xf numFmtId="181" fontId="102" fillId="0" borderId="0" xfId="0" applyNumberFormat="1" applyFont="1" applyAlignment="1">
      <alignment horizontal="center" vertical="top" wrapText="1"/>
    </xf>
    <xf numFmtId="181" fontId="102" fillId="0" borderId="0" xfId="0" applyNumberFormat="1" applyFont="1" applyAlignment="1">
      <alignment horizontal="center" vertical="top"/>
    </xf>
    <xf numFmtId="0" fontId="102" fillId="0" borderId="0" xfId="0" applyFont="1" applyAlignment="1">
      <alignment horizontal="center" vertical="top"/>
    </xf>
    <xf numFmtId="165" fontId="102" fillId="0" borderId="0" xfId="1" applyFont="1" applyAlignment="1">
      <alignment vertical="top"/>
    </xf>
    <xf numFmtId="165" fontId="102" fillId="0" borderId="0" xfId="1" applyFont="1" applyAlignment="1">
      <alignment horizontal="center" vertical="top"/>
    </xf>
    <xf numFmtId="168" fontId="102" fillId="0" borderId="0" xfId="1" applyNumberFormat="1" applyFont="1" applyAlignment="1">
      <alignment horizontal="center" vertical="top"/>
    </xf>
    <xf numFmtId="167" fontId="23" fillId="77" borderId="38" xfId="43" applyNumberFormat="1" applyFont="1" applyFill="1" applyBorder="1" applyAlignment="1">
      <alignment horizontal="center" vertical="center"/>
    </xf>
    <xf numFmtId="167" fontId="23" fillId="77" borderId="37" xfId="45" applyNumberFormat="1" applyFont="1" applyFill="1" applyBorder="1" applyAlignment="1">
      <alignment horizontal="center" vertical="center"/>
    </xf>
    <xf numFmtId="168" fontId="0" fillId="0" borderId="39" xfId="1" applyNumberFormat="1" applyFont="1" applyFill="1" applyBorder="1" applyAlignment="1">
      <alignment vertical="center" wrapText="1"/>
    </xf>
    <xf numFmtId="182" fontId="58" fillId="0" borderId="39" xfId="1" applyNumberFormat="1" applyFont="1" applyFill="1" applyBorder="1" applyAlignment="1">
      <alignment vertical="center"/>
    </xf>
    <xf numFmtId="182" fontId="58" fillId="0" borderId="0" xfId="1" applyNumberFormat="1" applyFont="1" applyFill="1" applyBorder="1" applyAlignment="1">
      <alignment vertical="center"/>
    </xf>
    <xf numFmtId="0" fontId="0" fillId="0" borderId="39" xfId="0" applyBorder="1" applyAlignment="1">
      <alignment vertical="center" wrapText="1"/>
    </xf>
    <xf numFmtId="0" fontId="0" fillId="0" borderId="39" xfId="0" applyBorder="1" applyAlignment="1">
      <alignment vertical="center"/>
    </xf>
    <xf numFmtId="0" fontId="0" fillId="0" borderId="39" xfId="0" applyBorder="1" applyAlignment="1">
      <alignment horizontal="left" vertical="center" wrapText="1"/>
    </xf>
    <xf numFmtId="0" fontId="0" fillId="0" borderId="39" xfId="0" applyBorder="1" applyAlignment="1">
      <alignment horizontal="left" vertical="top" wrapText="1"/>
    </xf>
    <xf numFmtId="0" fontId="58" fillId="0" borderId="39" xfId="0" applyFont="1" applyBorder="1" applyAlignment="1">
      <alignment vertical="center" wrapText="1"/>
    </xf>
    <xf numFmtId="168" fontId="0" fillId="0" borderId="42" xfId="1" applyNumberFormat="1" applyFont="1" applyFill="1" applyBorder="1" applyAlignment="1">
      <alignment vertical="center" wrapText="1"/>
    </xf>
    <xf numFmtId="0" fontId="0" fillId="0" borderId="10" xfId="0" applyBorder="1" applyAlignment="1">
      <alignment vertical="center" wrapText="1"/>
    </xf>
    <xf numFmtId="0" fontId="109" fillId="0" borderId="10" xfId="0" applyFont="1" applyBorder="1" applyAlignment="1">
      <alignment horizontal="left" vertical="center" wrapText="1"/>
    </xf>
    <xf numFmtId="0" fontId="58" fillId="0" borderId="43" xfId="0" applyFont="1" applyBorder="1" applyAlignment="1">
      <alignment horizontal="left" vertical="center" wrapText="1"/>
    </xf>
    <xf numFmtId="0" fontId="58" fillId="0" borderId="39" xfId="402" applyBorder="1" applyAlignment="1">
      <alignment horizontal="left" vertical="center" wrapText="1"/>
    </xf>
    <xf numFmtId="0" fontId="88" fillId="0" borderId="10" xfId="0" applyFont="1" applyBorder="1" applyAlignment="1">
      <alignment horizontal="center" vertical="center" wrapText="1"/>
    </xf>
    <xf numFmtId="168" fontId="0" fillId="0" borderId="10" xfId="1" applyNumberFormat="1" applyFont="1" applyFill="1" applyBorder="1" applyAlignment="1">
      <alignment vertical="center" wrapText="1"/>
    </xf>
    <xf numFmtId="168" fontId="0" fillId="0" borderId="0" xfId="1" applyNumberFormat="1" applyFont="1" applyFill="1" applyBorder="1" applyAlignment="1">
      <alignment vertical="center" wrapText="1"/>
    </xf>
    <xf numFmtId="168" fontId="110" fillId="73" borderId="10" xfId="1" applyNumberFormat="1" applyFont="1" applyFill="1" applyBorder="1" applyAlignment="1">
      <alignment horizontal="center" vertical="center" wrapText="1"/>
    </xf>
    <xf numFmtId="168" fontId="102" fillId="0" borderId="0" xfId="0" applyNumberFormat="1" applyFont="1"/>
    <xf numFmtId="165" fontId="100" fillId="73" borderId="10" xfId="0" applyNumberFormat="1" applyFont="1" applyFill="1" applyBorder="1" applyAlignment="1">
      <alignment vertical="center" wrapText="1"/>
    </xf>
    <xf numFmtId="0" fontId="103" fillId="0" borderId="10" xfId="0" applyFont="1" applyBorder="1" applyAlignment="1">
      <alignment vertical="center" wrapText="1"/>
    </xf>
    <xf numFmtId="0" fontId="103" fillId="0" borderId="10" xfId="0" applyFont="1" applyBorder="1" applyAlignment="1">
      <alignment horizontal="center" vertical="center" wrapText="1"/>
    </xf>
    <xf numFmtId="14" fontId="103" fillId="0" borderId="10" xfId="0" applyNumberFormat="1" applyFont="1" applyBorder="1" applyAlignment="1">
      <alignment horizontal="center" vertical="center" wrapText="1"/>
    </xf>
    <xf numFmtId="165" fontId="103" fillId="0" borderId="10" xfId="1" applyFont="1" applyFill="1" applyBorder="1" applyAlignment="1">
      <alignment horizontal="center" vertical="center" wrapText="1"/>
    </xf>
    <xf numFmtId="168" fontId="103" fillId="0" borderId="10" xfId="1" applyNumberFormat="1" applyFont="1" applyFill="1" applyBorder="1" applyAlignment="1">
      <alignment horizontal="center" vertical="center" wrapText="1"/>
    </xf>
    <xf numFmtId="168" fontId="103" fillId="0" borderId="10" xfId="1" applyNumberFormat="1" applyFont="1" applyFill="1" applyBorder="1" applyAlignment="1">
      <alignment horizontal="center" vertical="center"/>
    </xf>
    <xf numFmtId="165" fontId="102" fillId="0" borderId="10" xfId="1" applyFont="1" applyFill="1" applyBorder="1" applyAlignment="1">
      <alignment horizontal="center" vertical="center"/>
    </xf>
    <xf numFmtId="165" fontId="102" fillId="58" borderId="10" xfId="1" applyFont="1" applyFill="1" applyBorder="1" applyAlignment="1">
      <alignment horizontal="center" vertical="center"/>
    </xf>
    <xf numFmtId="0" fontId="103" fillId="0" borderId="10" xfId="0" applyFont="1" applyBorder="1" applyAlignment="1">
      <alignment horizontal="left" vertical="center" wrapText="1"/>
    </xf>
    <xf numFmtId="0" fontId="103" fillId="0" borderId="10" xfId="0" applyFont="1" applyBorder="1" applyAlignment="1">
      <alignment horizontal="left" wrapText="1"/>
    </xf>
    <xf numFmtId="165" fontId="103" fillId="0" borderId="10" xfId="1" applyFont="1" applyFill="1" applyBorder="1" applyAlignment="1">
      <alignment horizontal="left" vertical="center" wrapText="1"/>
    </xf>
    <xf numFmtId="168" fontId="103" fillId="0" borderId="10" xfId="1" applyNumberFormat="1" applyFont="1" applyFill="1" applyBorder="1" applyAlignment="1">
      <alignment horizontal="left" vertical="center" wrapText="1"/>
    </xf>
    <xf numFmtId="165" fontId="102" fillId="0" borderId="10" xfId="1" applyFont="1" applyFill="1" applyBorder="1" applyAlignment="1">
      <alignment horizontal="center"/>
    </xf>
    <xf numFmtId="165" fontId="102" fillId="58" borderId="10" xfId="1" applyFont="1" applyFill="1" applyBorder="1" applyAlignment="1">
      <alignment horizontal="center"/>
    </xf>
    <xf numFmtId="0" fontId="103" fillId="74" borderId="10" xfId="0" applyFont="1" applyFill="1" applyBorder="1" applyAlignment="1">
      <alignment horizontal="left"/>
    </xf>
    <xf numFmtId="14" fontId="103" fillId="0" borderId="10" xfId="0" applyNumberFormat="1" applyFont="1" applyBorder="1" applyAlignment="1">
      <alignment vertical="center" wrapText="1"/>
    </xf>
    <xf numFmtId="0" fontId="103" fillId="0" borderId="11" xfId="0" applyFont="1" applyBorder="1" applyAlignment="1">
      <alignment vertical="center" wrapText="1"/>
    </xf>
    <xf numFmtId="0" fontId="103" fillId="0" borderId="10" xfId="0" applyFont="1" applyBorder="1" applyAlignment="1">
      <alignment horizontal="center" wrapText="1"/>
    </xf>
    <xf numFmtId="165" fontId="103" fillId="0" borderId="10" xfId="1" applyFont="1" applyFill="1" applyBorder="1" applyAlignment="1">
      <alignment horizontal="left" wrapText="1"/>
    </xf>
    <xf numFmtId="165" fontId="103" fillId="0" borderId="10" xfId="1" applyFont="1" applyFill="1" applyBorder="1" applyAlignment="1">
      <alignment horizontal="center" wrapText="1"/>
    </xf>
    <xf numFmtId="14" fontId="103" fillId="0" borderId="11" xfId="0" applyNumberFormat="1" applyFont="1" applyBorder="1" applyAlignment="1">
      <alignment vertical="center" wrapText="1"/>
    </xf>
    <xf numFmtId="0" fontId="103" fillId="0" borderId="11" xfId="0" applyFont="1" applyBorder="1" applyAlignment="1">
      <alignment horizontal="center" vertical="center" wrapText="1"/>
    </xf>
    <xf numFmtId="165" fontId="103" fillId="0" borderId="10" xfId="0" applyNumberFormat="1" applyFont="1" applyBorder="1" applyAlignment="1">
      <alignment horizontal="left" wrapText="1"/>
    </xf>
    <xf numFmtId="0" fontId="60" fillId="0" borderId="11" xfId="0" applyFont="1" applyBorder="1" applyAlignment="1">
      <alignment vertical="center" wrapText="1"/>
    </xf>
    <xf numFmtId="0" fontId="96" fillId="0" borderId="11" xfId="0" applyFont="1" applyBorder="1" applyAlignment="1">
      <alignment horizontal="center" vertical="center" wrapText="1"/>
    </xf>
    <xf numFmtId="0" fontId="103" fillId="0" borderId="10" xfId="0" applyFont="1" applyBorder="1" applyAlignment="1">
      <alignment horizontal="center" vertical="center"/>
    </xf>
    <xf numFmtId="0" fontId="0" fillId="58" borderId="10" xfId="0" applyFill="1" applyBorder="1" applyAlignment="1">
      <alignment horizontal="center" vertical="center"/>
    </xf>
    <xf numFmtId="0" fontId="100" fillId="74" borderId="10" xfId="0" applyFont="1" applyFill="1" applyBorder="1" applyAlignment="1">
      <alignment horizontal="left" vertical="center" wrapText="1"/>
    </xf>
    <xf numFmtId="0" fontId="100" fillId="74" borderId="10" xfId="0" applyFont="1" applyFill="1" applyBorder="1" applyAlignment="1">
      <alignment horizontal="center" wrapText="1"/>
    </xf>
    <xf numFmtId="181" fontId="102" fillId="74" borderId="10" xfId="0" applyNumberFormat="1" applyFont="1" applyFill="1" applyBorder="1" applyAlignment="1">
      <alignment horizontal="center" vertical="center" wrapText="1"/>
    </xf>
    <xf numFmtId="181" fontId="102" fillId="74" borderId="10" xfId="0" applyNumberFormat="1" applyFont="1" applyFill="1" applyBorder="1" applyAlignment="1">
      <alignment horizontal="center" vertical="center"/>
    </xf>
    <xf numFmtId="0" fontId="102" fillId="74" borderId="10" xfId="0" applyFont="1" applyFill="1" applyBorder="1" applyAlignment="1">
      <alignment horizontal="center" vertical="center"/>
    </xf>
    <xf numFmtId="0" fontId="102" fillId="74" borderId="10" xfId="0" applyFont="1" applyFill="1" applyBorder="1" applyAlignment="1">
      <alignment horizontal="center"/>
    </xf>
    <xf numFmtId="0" fontId="102" fillId="74" borderId="10" xfId="0" applyFont="1" applyFill="1" applyBorder="1"/>
    <xf numFmtId="165" fontId="102" fillId="74" borderId="10" xfId="1" applyFont="1" applyFill="1" applyBorder="1"/>
    <xf numFmtId="183" fontId="102" fillId="74" borderId="10" xfId="1" applyNumberFormat="1" applyFont="1" applyFill="1" applyBorder="1"/>
    <xf numFmtId="165" fontId="103" fillId="0" borderId="10" xfId="1" applyFont="1" applyFill="1" applyBorder="1" applyAlignment="1">
      <alignment horizontal="center" vertical="center"/>
    </xf>
    <xf numFmtId="168" fontId="102" fillId="0" borderId="10" xfId="1" applyNumberFormat="1" applyFont="1" applyFill="1" applyBorder="1" applyAlignment="1">
      <alignment horizontal="center" vertical="center"/>
    </xf>
    <xf numFmtId="165" fontId="111" fillId="0" borderId="29" xfId="1" applyFont="1" applyFill="1" applyBorder="1" applyAlignment="1" applyProtection="1"/>
    <xf numFmtId="177" fontId="61" fillId="34" borderId="0" xfId="0" applyNumberFormat="1" applyFont="1" applyFill="1" applyAlignment="1">
      <alignment vertical="center"/>
    </xf>
    <xf numFmtId="168" fontId="100" fillId="73" borderId="10" xfId="0" applyNumberFormat="1" applyFont="1" applyFill="1" applyBorder="1" applyAlignment="1">
      <alignment vertical="center" wrapText="1"/>
    </xf>
    <xf numFmtId="165" fontId="87" fillId="0" borderId="10" xfId="1" applyFont="1" applyFill="1" applyBorder="1" applyAlignment="1">
      <alignment horizontal="center" vertical="center" wrapText="1"/>
    </xf>
    <xf numFmtId="0" fontId="100" fillId="74" borderId="10" xfId="0" applyFont="1" applyFill="1" applyBorder="1" applyAlignment="1">
      <alignment horizontal="left" wrapText="1"/>
    </xf>
    <xf numFmtId="0" fontId="60" fillId="78" borderId="10" xfId="0" applyFont="1" applyFill="1" applyBorder="1" applyAlignment="1">
      <alignment vertical="center" wrapText="1"/>
    </xf>
    <xf numFmtId="0" fontId="102" fillId="78" borderId="10" xfId="0" applyFont="1" applyFill="1" applyBorder="1" applyAlignment="1">
      <alignment vertical="center" wrapText="1"/>
    </xf>
    <xf numFmtId="0" fontId="102" fillId="78" borderId="10" xfId="0" applyFont="1" applyFill="1" applyBorder="1" applyAlignment="1">
      <alignment horizontal="left" vertical="center" wrapText="1"/>
    </xf>
    <xf numFmtId="0" fontId="102" fillId="78" borderId="10" xfId="0" applyFont="1" applyFill="1" applyBorder="1" applyAlignment="1">
      <alignment horizontal="center" wrapText="1"/>
    </xf>
    <xf numFmtId="181" fontId="102" fillId="78" borderId="10" xfId="0" applyNumberFormat="1" applyFont="1" applyFill="1" applyBorder="1" applyAlignment="1">
      <alignment horizontal="center" vertical="center" wrapText="1"/>
    </xf>
    <xf numFmtId="181" fontId="102" fillId="78" borderId="10" xfId="0" applyNumberFormat="1" applyFont="1" applyFill="1" applyBorder="1" applyAlignment="1">
      <alignment horizontal="center" vertical="center"/>
    </xf>
    <xf numFmtId="0" fontId="102" fillId="78" borderId="10" xfId="0" applyFont="1" applyFill="1" applyBorder="1" applyAlignment="1">
      <alignment horizontal="center" vertical="center"/>
    </xf>
    <xf numFmtId="0" fontId="102" fillId="78" borderId="10" xfId="0" applyFont="1" applyFill="1" applyBorder="1" applyAlignment="1">
      <alignment horizontal="center"/>
    </xf>
    <xf numFmtId="0" fontId="102" fillId="78" borderId="11" xfId="0" applyFont="1" applyFill="1" applyBorder="1" applyAlignment="1">
      <alignment horizontal="center" vertical="center"/>
    </xf>
    <xf numFmtId="0" fontId="102" fillId="78" borderId="10" xfId="0" applyFont="1" applyFill="1" applyBorder="1"/>
    <xf numFmtId="165" fontId="102" fillId="78" borderId="10" xfId="1" applyFont="1" applyFill="1" applyBorder="1"/>
    <xf numFmtId="165" fontId="102" fillId="78" borderId="10" xfId="1" applyFont="1" applyFill="1" applyBorder="1" applyAlignment="1">
      <alignment horizontal="center"/>
    </xf>
    <xf numFmtId="168" fontId="102" fillId="78" borderId="10" xfId="1" applyNumberFormat="1" applyFont="1" applyFill="1" applyBorder="1" applyAlignment="1">
      <alignment horizontal="center" vertical="center"/>
    </xf>
    <xf numFmtId="165" fontId="89" fillId="78" borderId="10" xfId="1" applyFont="1" applyFill="1" applyBorder="1" applyAlignment="1">
      <alignment horizontal="center"/>
    </xf>
    <xf numFmtId="0" fontId="102" fillId="78" borderId="0" xfId="0" applyFont="1" applyFill="1"/>
    <xf numFmtId="0" fontId="60" fillId="78" borderId="10" xfId="0" applyFont="1" applyFill="1" applyBorder="1" applyAlignment="1">
      <alignment horizontal="right" vertical="center" wrapText="1"/>
    </xf>
    <xf numFmtId="0" fontId="100" fillId="78" borderId="10" xfId="0" applyFont="1" applyFill="1" applyBorder="1" applyAlignment="1">
      <alignment horizontal="center" wrapText="1"/>
    </xf>
    <xf numFmtId="165" fontId="113" fillId="72" borderId="10" xfId="1" applyFont="1" applyFill="1" applyBorder="1" applyAlignment="1">
      <alignment horizontal="center" vertical="center" wrapText="1"/>
    </xf>
    <xf numFmtId="165" fontId="102" fillId="73" borderId="10" xfId="1" applyFont="1" applyFill="1" applyBorder="1" applyAlignment="1">
      <alignment horizontal="center" vertical="center" wrapText="1"/>
    </xf>
    <xf numFmtId="0" fontId="105" fillId="74" borderId="10" xfId="0" applyFont="1" applyFill="1" applyBorder="1" applyAlignment="1">
      <alignment horizontal="center" vertical="center" wrapText="1"/>
    </xf>
    <xf numFmtId="0" fontId="105" fillId="74" borderId="10" xfId="0" applyFont="1" applyFill="1" applyBorder="1" applyAlignment="1">
      <alignment horizontal="center" wrapText="1"/>
    </xf>
    <xf numFmtId="0" fontId="105" fillId="74" borderId="10" xfId="0" applyFont="1" applyFill="1" applyBorder="1" applyAlignment="1">
      <alignment horizontal="left" wrapText="1"/>
    </xf>
    <xf numFmtId="165" fontId="105" fillId="74" borderId="10" xfId="1" applyFont="1" applyFill="1" applyBorder="1" applyAlignment="1">
      <alignment horizontal="center" vertical="center" wrapText="1"/>
    </xf>
    <xf numFmtId="168" fontId="105" fillId="74" borderId="10" xfId="1" applyNumberFormat="1" applyFont="1" applyFill="1" applyBorder="1" applyAlignment="1">
      <alignment horizontal="center" vertical="center"/>
    </xf>
    <xf numFmtId="165" fontId="100" fillId="74" borderId="10" xfId="1" applyFont="1" applyFill="1" applyBorder="1" applyAlignment="1">
      <alignment horizontal="center"/>
    </xf>
    <xf numFmtId="165" fontId="100" fillId="74" borderId="10" xfId="1" applyFont="1" applyFill="1" applyBorder="1" applyAlignment="1">
      <alignment horizontal="center" vertical="center"/>
    </xf>
    <xf numFmtId="0" fontId="100" fillId="0" borderId="0" xfId="0" applyFont="1"/>
    <xf numFmtId="0" fontId="100" fillId="0" borderId="10" xfId="0" applyFont="1" applyBorder="1" applyAlignment="1">
      <alignment horizontal="center" vertical="center" wrapText="1"/>
    </xf>
    <xf numFmtId="167" fontId="102" fillId="0" borderId="10" xfId="0" applyNumberFormat="1" applyFont="1" applyBorder="1" applyAlignment="1">
      <alignment horizontal="center" vertical="center" wrapText="1"/>
    </xf>
    <xf numFmtId="0" fontId="89" fillId="0" borderId="10" xfId="0" applyFont="1" applyBorder="1" applyAlignment="1">
      <alignment vertical="center" wrapText="1"/>
    </xf>
    <xf numFmtId="0" fontId="114" fillId="0" borderId="10" xfId="0" applyFont="1" applyBorder="1" applyAlignment="1">
      <alignment horizontal="center" vertical="center"/>
    </xf>
    <xf numFmtId="165" fontId="100" fillId="0" borderId="10" xfId="1" applyFont="1" applyFill="1" applyBorder="1" applyAlignment="1">
      <alignment horizontal="center" vertical="center"/>
    </xf>
    <xf numFmtId="165" fontId="61" fillId="0" borderId="0" xfId="1" applyFont="1"/>
    <xf numFmtId="0" fontId="102" fillId="0" borderId="13" xfId="0" applyFont="1" applyBorder="1" applyAlignment="1">
      <alignment horizontal="center" vertical="center" wrapText="1"/>
    </xf>
    <xf numFmtId="165" fontId="100" fillId="0" borderId="10" xfId="1" applyFont="1" applyBorder="1" applyAlignment="1">
      <alignment horizontal="center" vertical="center"/>
    </xf>
    <xf numFmtId="0" fontId="60" fillId="34" borderId="10" xfId="0" applyFont="1" applyFill="1" applyBorder="1" applyAlignment="1">
      <alignment horizontal="right" vertical="center" wrapText="1"/>
    </xf>
    <xf numFmtId="0" fontId="60" fillId="0" borderId="27" xfId="0" applyFont="1" applyBorder="1" applyAlignment="1">
      <alignment horizontal="right" vertical="center" wrapText="1"/>
    </xf>
    <xf numFmtId="0" fontId="102" fillId="0" borderId="27" xfId="0" applyFont="1" applyBorder="1" applyAlignment="1">
      <alignment horizontal="left" vertical="center" wrapText="1"/>
    </xf>
    <xf numFmtId="0" fontId="89" fillId="0" borderId="10" xfId="0" applyFont="1" applyBorder="1" applyAlignment="1">
      <alignment horizontal="left" vertical="center" wrapText="1"/>
    </xf>
    <xf numFmtId="165" fontId="100" fillId="0" borderId="0" xfId="1" applyFont="1" applyFill="1" applyAlignment="1">
      <alignment horizontal="center" vertical="center"/>
    </xf>
    <xf numFmtId="0" fontId="104" fillId="0" borderId="10" xfId="0" applyFont="1" applyBorder="1" applyAlignment="1">
      <alignment horizontal="right" vertical="center" wrapText="1"/>
    </xf>
    <xf numFmtId="168" fontId="100" fillId="0" borderId="10" xfId="1" applyNumberFormat="1" applyFont="1" applyFill="1" applyBorder="1" applyAlignment="1">
      <alignment horizontal="center" vertical="center"/>
    </xf>
    <xf numFmtId="165" fontId="102" fillId="0" borderId="0" xfId="1" applyFont="1" applyFill="1"/>
    <xf numFmtId="0" fontId="102" fillId="0" borderId="27" xfId="0" applyFont="1" applyBorder="1" applyAlignment="1">
      <alignment vertical="center" wrapText="1"/>
    </xf>
    <xf numFmtId="0" fontId="104" fillId="0" borderId="13" xfId="0" applyFont="1" applyBorder="1" applyAlignment="1">
      <alignment horizontal="right" vertical="center" wrapText="1"/>
    </xf>
    <xf numFmtId="0" fontId="102" fillId="58" borderId="10" xfId="0" applyFont="1" applyFill="1" applyBorder="1" applyAlignment="1">
      <alignment horizontal="center" vertical="center"/>
    </xf>
    <xf numFmtId="165" fontId="102" fillId="0" borderId="10" xfId="0" applyNumberFormat="1" applyFont="1" applyBorder="1" applyAlignment="1">
      <alignment horizontal="center" vertical="center"/>
    </xf>
    <xf numFmtId="15" fontId="102" fillId="0" borderId="10" xfId="0" applyNumberFormat="1" applyFont="1" applyBorder="1" applyAlignment="1">
      <alignment horizontal="center" vertical="center" wrapText="1"/>
    </xf>
    <xf numFmtId="168" fontId="85" fillId="58" borderId="10" xfId="0" applyNumberFormat="1" applyFont="1" applyFill="1" applyBorder="1" applyAlignment="1">
      <alignment horizontal="center" vertical="center"/>
    </xf>
    <xf numFmtId="0" fontId="114" fillId="0" borderId="10" xfId="0" applyFont="1" applyBorder="1" applyAlignment="1">
      <alignment horizontal="left" vertical="center" wrapText="1"/>
    </xf>
    <xf numFmtId="165" fontId="102" fillId="0" borderId="0" xfId="1" applyFont="1" applyFill="1" applyAlignment="1">
      <alignment horizontal="center" vertical="center"/>
    </xf>
    <xf numFmtId="0" fontId="114" fillId="0" borderId="10" xfId="0" applyFont="1" applyBorder="1" applyAlignment="1">
      <alignment vertical="center" wrapText="1"/>
    </xf>
    <xf numFmtId="165" fontId="100" fillId="0" borderId="0" xfId="1" applyFont="1" applyAlignment="1">
      <alignment horizontal="center" vertical="center"/>
    </xf>
    <xf numFmtId="165" fontId="102" fillId="0" borderId="0" xfId="1" applyFont="1" applyAlignment="1">
      <alignment horizontal="center" vertical="center"/>
    </xf>
    <xf numFmtId="13" fontId="102" fillId="0" borderId="0" xfId="1" applyNumberFormat="1" applyFont="1" applyAlignment="1">
      <alignment horizontal="center"/>
    </xf>
    <xf numFmtId="184" fontId="71" fillId="0" borderId="0" xfId="0" applyNumberFormat="1" applyFont="1" applyAlignment="1">
      <alignment horizontal="center" vertical="center" wrapText="1"/>
    </xf>
    <xf numFmtId="184" fontId="94" fillId="0" borderId="0" xfId="0" applyNumberFormat="1" applyFont="1" applyAlignment="1">
      <alignment horizontal="center" vertical="center" wrapText="1"/>
    </xf>
    <xf numFmtId="184" fontId="71" fillId="0" borderId="0" xfId="0" applyNumberFormat="1" applyFont="1" applyAlignment="1">
      <alignment vertical="center" wrapText="1"/>
    </xf>
    <xf numFmtId="184" fontId="76" fillId="0" borderId="0" xfId="0" applyNumberFormat="1" applyFont="1" applyAlignment="1">
      <alignment horizontal="center" vertical="center" wrapText="1"/>
    </xf>
    <xf numFmtId="14" fontId="77" fillId="0" borderId="0" xfId="0" applyNumberFormat="1" applyFont="1" applyAlignment="1">
      <alignment horizontal="center" vertical="center"/>
    </xf>
    <xf numFmtId="184" fontId="77" fillId="0" borderId="0" xfId="0" applyNumberFormat="1" applyFont="1" applyAlignment="1">
      <alignment horizontal="center" vertical="center" wrapText="1"/>
    </xf>
    <xf numFmtId="184" fontId="77" fillId="0" borderId="0" xfId="0" applyNumberFormat="1" applyFont="1" applyAlignment="1">
      <alignment horizontal="center" vertical="center"/>
    </xf>
    <xf numFmtId="184" fontId="88" fillId="0" borderId="0" xfId="0" applyNumberFormat="1" applyFont="1" applyAlignment="1">
      <alignment horizontal="center" vertical="center"/>
    </xf>
    <xf numFmtId="184" fontId="72" fillId="0" borderId="0" xfId="0" applyNumberFormat="1" applyFont="1" applyAlignment="1">
      <alignment vertical="center"/>
    </xf>
    <xf numFmtId="184" fontId="72" fillId="0" borderId="0" xfId="0" applyNumberFormat="1" applyFont="1" applyAlignment="1">
      <alignment horizontal="center" vertical="center"/>
    </xf>
    <xf numFmtId="3" fontId="72" fillId="0" borderId="0" xfId="1" applyNumberFormat="1" applyFont="1" applyBorder="1" applyAlignment="1" applyProtection="1">
      <alignment horizontal="center" vertical="center"/>
    </xf>
    <xf numFmtId="184" fontId="72" fillId="0" borderId="0" xfId="1" applyNumberFormat="1" applyFont="1" applyBorder="1" applyAlignment="1" applyProtection="1">
      <alignment horizontal="center" vertical="center"/>
    </xf>
    <xf numFmtId="184" fontId="72" fillId="0" borderId="0" xfId="1" applyNumberFormat="1" applyFont="1" applyBorder="1" applyAlignment="1" applyProtection="1">
      <alignment vertical="center"/>
    </xf>
    <xf numFmtId="184" fontId="0" fillId="0" borderId="0" xfId="0" applyNumberFormat="1"/>
    <xf numFmtId="184" fontId="73" fillId="0" borderId="0" xfId="0" applyNumberFormat="1" applyFont="1" applyAlignment="1">
      <alignment horizontal="left" vertical="center" wrapText="1"/>
    </xf>
    <xf numFmtId="184" fontId="73" fillId="0" borderId="0" xfId="0" applyNumberFormat="1" applyFont="1" applyAlignment="1">
      <alignment horizontal="center" vertical="center" wrapText="1"/>
    </xf>
    <xf numFmtId="184" fontId="115" fillId="0" borderId="0" xfId="0" applyNumberFormat="1" applyFont="1" applyAlignment="1">
      <alignment horizontal="center" vertical="center" wrapText="1"/>
    </xf>
    <xf numFmtId="184" fontId="116" fillId="0" borderId="0" xfId="0" applyNumberFormat="1" applyFont="1" applyAlignment="1">
      <alignment horizontal="center" vertical="center" wrapText="1"/>
    </xf>
    <xf numFmtId="14" fontId="116" fillId="0" borderId="0" xfId="0" applyNumberFormat="1" applyFont="1" applyAlignment="1">
      <alignment horizontal="center" vertical="center" wrapText="1"/>
    </xf>
    <xf numFmtId="184" fontId="116" fillId="0" borderId="0" xfId="0" applyNumberFormat="1" applyFont="1" applyAlignment="1">
      <alignment horizontal="left" vertical="center" wrapText="1"/>
    </xf>
    <xf numFmtId="184" fontId="87" fillId="0" borderId="0" xfId="0" applyNumberFormat="1" applyFont="1" applyAlignment="1">
      <alignment horizontal="center" vertical="center" wrapText="1"/>
    </xf>
    <xf numFmtId="3" fontId="73" fillId="0" borderId="0" xfId="1" applyNumberFormat="1" applyFont="1" applyBorder="1" applyAlignment="1" applyProtection="1">
      <alignment horizontal="center" vertical="center" wrapText="1"/>
    </xf>
    <xf numFmtId="184" fontId="73" fillId="0" borderId="0" xfId="1" applyNumberFormat="1" applyFont="1" applyBorder="1" applyAlignment="1" applyProtection="1">
      <alignment horizontal="center" vertical="center" wrapText="1"/>
    </xf>
    <xf numFmtId="184" fontId="72" fillId="0" borderId="0" xfId="0" applyNumberFormat="1" applyFont="1" applyAlignment="1">
      <alignment horizontal="left" vertical="center"/>
    </xf>
    <xf numFmtId="184" fontId="74" fillId="0" borderId="0" xfId="0" applyNumberFormat="1" applyFont="1" applyAlignment="1">
      <alignment horizontal="center" vertical="center" wrapText="1"/>
    </xf>
    <xf numFmtId="184" fontId="117" fillId="0" borderId="0" xfId="0" applyNumberFormat="1" applyFont="1" applyAlignment="1">
      <alignment horizontal="center" vertical="center" wrapText="1"/>
    </xf>
    <xf numFmtId="184" fontId="74" fillId="0" borderId="0" xfId="0" applyNumberFormat="1" applyFont="1" applyAlignment="1">
      <alignment vertical="center" wrapText="1"/>
    </xf>
    <xf numFmtId="184" fontId="118" fillId="0" borderId="0" xfId="0" applyNumberFormat="1" applyFont="1" applyAlignment="1">
      <alignment horizontal="center" vertical="center" wrapText="1"/>
    </xf>
    <xf numFmtId="14" fontId="119" fillId="0" borderId="0" xfId="0" applyNumberFormat="1" applyFont="1" applyAlignment="1">
      <alignment horizontal="center" vertical="center"/>
    </xf>
    <xf numFmtId="184" fontId="119" fillId="0" borderId="0" xfId="0" applyNumberFormat="1" applyFont="1" applyAlignment="1">
      <alignment horizontal="center" vertical="center" wrapText="1"/>
    </xf>
    <xf numFmtId="184" fontId="119" fillId="0" borderId="0" xfId="0" applyNumberFormat="1" applyFont="1" applyAlignment="1">
      <alignment horizontal="center" vertical="center"/>
    </xf>
    <xf numFmtId="184" fontId="75" fillId="0" borderId="0" xfId="0" applyNumberFormat="1" applyFont="1" applyAlignment="1">
      <alignment vertical="center"/>
    </xf>
    <xf numFmtId="184" fontId="75" fillId="0" borderId="0" xfId="0" applyNumberFormat="1" applyFont="1" applyAlignment="1">
      <alignment horizontal="center" vertical="center"/>
    </xf>
    <xf numFmtId="3" fontId="75" fillId="0" borderId="0" xfId="1" applyNumberFormat="1" applyFont="1" applyBorder="1" applyAlignment="1" applyProtection="1">
      <alignment horizontal="center" vertical="center"/>
    </xf>
    <xf numFmtId="184" fontId="75" fillId="0" borderId="0" xfId="1" applyNumberFormat="1" applyFont="1" applyBorder="1" applyAlignment="1" applyProtection="1">
      <alignment horizontal="center" vertical="center"/>
    </xf>
    <xf numFmtId="184" fontId="75" fillId="0" borderId="0" xfId="1" applyNumberFormat="1" applyFont="1" applyBorder="1" applyAlignment="1" applyProtection="1">
      <alignment vertical="center"/>
    </xf>
    <xf numFmtId="14" fontId="76" fillId="0" borderId="45" xfId="580" applyNumberFormat="1" applyFont="1" applyBorder="1" applyAlignment="1">
      <alignment horizontal="center" vertical="center" wrapText="1"/>
    </xf>
    <xf numFmtId="14" fontId="76" fillId="0" borderId="45" xfId="0" applyNumberFormat="1" applyFont="1" applyBorder="1" applyAlignment="1">
      <alignment horizontal="center" vertical="center"/>
    </xf>
    <xf numFmtId="184" fontId="76" fillId="0" borderId="45" xfId="580" applyNumberFormat="1" applyFont="1" applyBorder="1" applyAlignment="1">
      <alignment horizontal="center" vertical="center" wrapText="1"/>
    </xf>
    <xf numFmtId="184" fontId="77" fillId="81" borderId="45" xfId="1" applyNumberFormat="1" applyFont="1" applyFill="1" applyBorder="1" applyAlignment="1" applyProtection="1">
      <alignment horizontal="center" vertical="center"/>
    </xf>
    <xf numFmtId="184" fontId="121" fillId="82" borderId="45" xfId="0" applyNumberFormat="1" applyFont="1" applyFill="1" applyBorder="1" applyAlignment="1">
      <alignment horizontal="center" vertical="center" wrapText="1"/>
    </xf>
    <xf numFmtId="184" fontId="87" fillId="82" borderId="45" xfId="0" applyNumberFormat="1" applyFont="1" applyFill="1" applyBorder="1" applyAlignment="1">
      <alignment horizontal="center" vertical="center" wrapText="1"/>
    </xf>
    <xf numFmtId="184" fontId="78" fillId="82" borderId="45" xfId="0" applyNumberFormat="1" applyFont="1" applyFill="1" applyBorder="1" applyAlignment="1">
      <alignment horizontal="left" vertical="center" wrapText="1"/>
    </xf>
    <xf numFmtId="184" fontId="78" fillId="82" borderId="45" xfId="0" applyNumberFormat="1" applyFont="1" applyFill="1" applyBorder="1" applyAlignment="1">
      <alignment horizontal="center" vertical="center" wrapText="1"/>
    </xf>
    <xf numFmtId="3" fontId="78" fillId="82" borderId="45" xfId="1" applyNumberFormat="1" applyFont="1" applyFill="1" applyBorder="1" applyAlignment="1" applyProtection="1">
      <alignment horizontal="center" vertical="center" wrapText="1"/>
    </xf>
    <xf numFmtId="184" fontId="78" fillId="82" borderId="45" xfId="1" applyNumberFormat="1" applyFont="1" applyFill="1" applyBorder="1" applyAlignment="1" applyProtection="1">
      <alignment horizontal="center" vertical="center" wrapText="1"/>
    </xf>
    <xf numFmtId="184" fontId="78" fillId="82" borderId="45" xfId="1" applyNumberFormat="1" applyFont="1" applyFill="1" applyBorder="1" applyAlignment="1" applyProtection="1">
      <alignment vertical="center" wrapText="1"/>
    </xf>
    <xf numFmtId="184" fontId="122" fillId="0" borderId="0" xfId="0" applyNumberFormat="1" applyFont="1"/>
    <xf numFmtId="184" fontId="124" fillId="83" borderId="45" xfId="0" applyNumberFormat="1" applyFont="1" applyFill="1" applyBorder="1" applyAlignment="1">
      <alignment horizontal="center" vertical="center" wrapText="1"/>
    </xf>
    <xf numFmtId="184" fontId="125" fillId="83" borderId="45" xfId="0" applyNumberFormat="1" applyFont="1" applyFill="1" applyBorder="1" applyAlignment="1">
      <alignment horizontal="center" vertical="center" wrapText="1"/>
    </xf>
    <xf numFmtId="184" fontId="123" fillId="83" borderId="45" xfId="0" applyNumberFormat="1" applyFont="1" applyFill="1" applyBorder="1" applyAlignment="1">
      <alignment horizontal="left" vertical="center" wrapText="1"/>
    </xf>
    <xf numFmtId="184" fontId="123" fillId="83" borderId="45" xfId="0" applyNumberFormat="1" applyFont="1" applyFill="1" applyBorder="1" applyAlignment="1">
      <alignment horizontal="center" vertical="center" wrapText="1"/>
    </xf>
    <xf numFmtId="3" fontId="123" fillId="83" borderId="45" xfId="1" applyNumberFormat="1" applyFont="1" applyFill="1" applyBorder="1" applyAlignment="1" applyProtection="1">
      <alignment horizontal="center" vertical="center" wrapText="1"/>
    </xf>
    <xf numFmtId="184" fontId="123" fillId="83" borderId="45" xfId="1" applyNumberFormat="1" applyFont="1" applyFill="1" applyBorder="1" applyAlignment="1" applyProtection="1">
      <alignment horizontal="center" vertical="center" wrapText="1"/>
    </xf>
    <xf numFmtId="184" fontId="123" fillId="83" borderId="45" xfId="0" applyNumberFormat="1" applyFont="1" applyFill="1" applyBorder="1" applyAlignment="1">
      <alignment vertical="center" wrapText="1"/>
    </xf>
    <xf numFmtId="0" fontId="100" fillId="74" borderId="45" xfId="0" applyFont="1" applyFill="1" applyBorder="1" applyAlignment="1">
      <alignment horizontal="center" vertical="center" wrapText="1"/>
    </xf>
    <xf numFmtId="0" fontId="103" fillId="74" borderId="45" xfId="0" applyFont="1" applyFill="1" applyBorder="1" applyAlignment="1">
      <alignment horizontal="center" wrapText="1"/>
    </xf>
    <xf numFmtId="0" fontId="103" fillId="74" borderId="45" xfId="0" applyFont="1" applyFill="1" applyBorder="1" applyAlignment="1">
      <alignment horizontal="center" vertical="center" wrapText="1"/>
    </xf>
    <xf numFmtId="0" fontId="103" fillId="74" borderId="45" xfId="0" applyFont="1" applyFill="1" applyBorder="1" applyAlignment="1">
      <alignment horizontal="left" wrapText="1"/>
    </xf>
    <xf numFmtId="3" fontId="103" fillId="74" borderId="45" xfId="1" applyNumberFormat="1" applyFont="1" applyFill="1" applyBorder="1" applyAlignment="1">
      <alignment horizontal="center" wrapText="1"/>
    </xf>
    <xf numFmtId="168" fontId="126" fillId="74" borderId="45" xfId="1" applyNumberFormat="1" applyFont="1" applyFill="1" applyBorder="1" applyAlignment="1">
      <alignment horizontal="center" vertical="center"/>
    </xf>
    <xf numFmtId="165" fontId="102" fillId="74" borderId="45" xfId="1" applyFont="1" applyFill="1" applyBorder="1" applyAlignment="1">
      <alignment horizontal="center"/>
    </xf>
    <xf numFmtId="0" fontId="100" fillId="0" borderId="45" xfId="0" applyFont="1" applyBorder="1" applyAlignment="1">
      <alignment horizontal="center" vertical="center" wrapText="1"/>
    </xf>
    <xf numFmtId="0" fontId="127" fillId="34" borderId="46" xfId="0" applyFont="1" applyFill="1" applyBorder="1" applyAlignment="1">
      <alignment horizontal="center" vertical="center" wrapText="1"/>
    </xf>
    <xf numFmtId="0" fontId="103" fillId="0" borderId="45" xfId="0" applyFont="1" applyBorder="1" applyAlignment="1">
      <alignment horizontal="center" vertical="center" wrapText="1"/>
    </xf>
    <xf numFmtId="0" fontId="103" fillId="0" borderId="45" xfId="0" applyFont="1" applyBorder="1" applyAlignment="1">
      <alignment horizontal="left" vertical="center" wrapText="1"/>
    </xf>
    <xf numFmtId="14" fontId="103" fillId="0" borderId="45" xfId="0" applyNumberFormat="1" applyFont="1" applyBorder="1" applyAlignment="1">
      <alignment horizontal="center" vertical="center" wrapText="1"/>
    </xf>
    <xf numFmtId="0" fontId="112" fillId="0" borderId="46" xfId="0" applyFont="1" applyBorder="1" applyAlignment="1">
      <alignment horizontal="center" vertical="center"/>
    </xf>
    <xf numFmtId="3" fontId="103" fillId="0" borderId="45" xfId="1" applyNumberFormat="1" applyFont="1" applyFill="1" applyBorder="1" applyAlignment="1">
      <alignment horizontal="center" vertical="center" wrapText="1"/>
    </xf>
    <xf numFmtId="3" fontId="103" fillId="62" borderId="45" xfId="1" applyNumberFormat="1" applyFont="1" applyFill="1" applyBorder="1" applyAlignment="1">
      <alignment horizontal="center" vertical="center" wrapText="1"/>
    </xf>
    <xf numFmtId="168" fontId="103" fillId="62" borderId="45" xfId="1" applyNumberFormat="1" applyFont="1" applyFill="1" applyBorder="1" applyAlignment="1">
      <alignment horizontal="center" vertical="center"/>
    </xf>
    <xf numFmtId="165" fontId="102" fillId="0" borderId="45" xfId="1" applyFont="1" applyFill="1" applyBorder="1" applyAlignment="1">
      <alignment horizontal="center" vertical="center"/>
    </xf>
    <xf numFmtId="0" fontId="0" fillId="0" borderId="45" xfId="0" applyBorder="1" applyAlignment="1">
      <alignment vertical="center"/>
    </xf>
    <xf numFmtId="0" fontId="127" fillId="0" borderId="46" xfId="0" applyFont="1" applyBorder="1" applyAlignment="1">
      <alignment horizontal="center" vertical="center" wrapText="1"/>
    </xf>
    <xf numFmtId="168" fontId="103" fillId="0" borderId="45" xfId="1" applyNumberFormat="1" applyFont="1" applyFill="1" applyBorder="1" applyAlignment="1">
      <alignment horizontal="center" vertical="center"/>
    </xf>
    <xf numFmtId="165" fontId="0" fillId="0" borderId="45" xfId="0" applyNumberFormat="1" applyBorder="1" applyAlignment="1">
      <alignment vertical="center"/>
    </xf>
    <xf numFmtId="0" fontId="127" fillId="34" borderId="45" xfId="0" applyFont="1" applyFill="1" applyBorder="1" applyAlignment="1">
      <alignment horizontal="center" vertical="center" wrapText="1"/>
    </xf>
    <xf numFmtId="0" fontId="127" fillId="0" borderId="45" xfId="0" applyFont="1" applyBorder="1" applyAlignment="1">
      <alignment horizontal="center" vertical="center" wrapText="1"/>
    </xf>
    <xf numFmtId="184" fontId="123" fillId="84" borderId="45" xfId="0" applyNumberFormat="1" applyFont="1" applyFill="1" applyBorder="1" applyAlignment="1">
      <alignment horizontal="center" vertical="center" wrapText="1"/>
    </xf>
    <xf numFmtId="184" fontId="128" fillId="84" borderId="45" xfId="0" applyNumberFormat="1" applyFont="1" applyFill="1" applyBorder="1" applyAlignment="1">
      <alignment horizontal="center" wrapText="1"/>
    </xf>
    <xf numFmtId="184" fontId="128" fillId="84" borderId="45" xfId="0" applyNumberFormat="1" applyFont="1" applyFill="1" applyBorder="1" applyAlignment="1">
      <alignment horizontal="center" vertical="center" wrapText="1"/>
    </xf>
    <xf numFmtId="184" fontId="129" fillId="84" borderId="45" xfId="0" applyNumberFormat="1" applyFont="1" applyFill="1" applyBorder="1" applyAlignment="1">
      <alignment horizontal="center" vertical="center" wrapText="1"/>
    </xf>
    <xf numFmtId="184" fontId="128" fillId="84" borderId="45" xfId="0" applyNumberFormat="1" applyFont="1" applyFill="1" applyBorder="1" applyAlignment="1">
      <alignment horizontal="left" wrapText="1"/>
    </xf>
    <xf numFmtId="3" fontId="128" fillId="84" borderId="45" xfId="1" applyNumberFormat="1" applyFont="1" applyFill="1" applyBorder="1" applyAlignment="1" applyProtection="1">
      <alignment horizontal="center" vertical="center" wrapText="1"/>
    </xf>
    <xf numFmtId="184" fontId="130" fillId="84" borderId="45" xfId="1" applyNumberFormat="1" applyFont="1" applyFill="1" applyBorder="1" applyAlignment="1" applyProtection="1">
      <alignment horizontal="center" vertical="center"/>
    </xf>
    <xf numFmtId="184" fontId="131" fillId="84" borderId="45" xfId="1" applyNumberFormat="1" applyFont="1" applyFill="1" applyBorder="1" applyAlignment="1" applyProtection="1">
      <alignment horizontal="center"/>
    </xf>
    <xf numFmtId="184" fontId="132" fillId="0" borderId="45" xfId="0" applyNumberFormat="1" applyFont="1" applyBorder="1" applyAlignment="1">
      <alignment horizontal="right" vertical="center" wrapText="1"/>
    </xf>
    <xf numFmtId="184" fontId="133" fillId="85" borderId="47" xfId="0" applyNumberFormat="1" applyFont="1" applyFill="1" applyBorder="1" applyAlignment="1">
      <alignment horizontal="center" vertical="center" wrapText="1"/>
    </xf>
    <xf numFmtId="184" fontId="129" fillId="0" borderId="45" xfId="0" applyNumberFormat="1" applyFont="1" applyBorder="1" applyAlignment="1">
      <alignment horizontal="center" vertical="center" wrapText="1"/>
    </xf>
    <xf numFmtId="184" fontId="131" fillId="0" borderId="45" xfId="0" applyNumberFormat="1" applyFont="1" applyBorder="1" applyAlignment="1">
      <alignment vertical="center" wrapText="1"/>
    </xf>
    <xf numFmtId="184" fontId="128" fillId="0" borderId="45" xfId="0" applyNumberFormat="1" applyFont="1" applyBorder="1" applyAlignment="1">
      <alignment horizontal="center" vertical="center" wrapText="1"/>
    </xf>
    <xf numFmtId="14" fontId="128" fillId="0" borderId="45" xfId="0" applyNumberFormat="1" applyFont="1" applyBorder="1" applyAlignment="1">
      <alignment horizontal="center" vertical="center"/>
    </xf>
    <xf numFmtId="184" fontId="128" fillId="0" borderId="45" xfId="0" applyNumberFormat="1" applyFont="1" applyBorder="1" applyAlignment="1">
      <alignment horizontal="center" vertical="center"/>
    </xf>
    <xf numFmtId="184" fontId="128" fillId="86" borderId="45" xfId="0" applyNumberFormat="1" applyFont="1" applyFill="1" applyBorder="1" applyAlignment="1">
      <alignment horizontal="center" vertical="center" wrapText="1"/>
    </xf>
    <xf numFmtId="184" fontId="129" fillId="86" borderId="45" xfId="0" applyNumberFormat="1" applyFont="1" applyFill="1" applyBorder="1" applyAlignment="1">
      <alignment horizontal="center" vertical="center" wrapText="1"/>
    </xf>
    <xf numFmtId="184" fontId="128" fillId="86" borderId="45" xfId="0" applyNumberFormat="1" applyFont="1" applyFill="1" applyBorder="1" applyAlignment="1">
      <alignment horizontal="left" wrapText="1"/>
    </xf>
    <xf numFmtId="3" fontId="128" fillId="86" borderId="45" xfId="1" applyNumberFormat="1" applyFont="1" applyFill="1" applyBorder="1" applyAlignment="1" applyProtection="1">
      <alignment horizontal="center" vertical="center" wrapText="1"/>
    </xf>
    <xf numFmtId="3" fontId="124" fillId="86" borderId="45" xfId="1" applyNumberFormat="1" applyFont="1" applyFill="1" applyBorder="1" applyAlignment="1" applyProtection="1">
      <alignment horizontal="center" vertical="center" wrapText="1"/>
    </xf>
    <xf numFmtId="184" fontId="128" fillId="86" borderId="45" xfId="1" applyNumberFormat="1" applyFont="1" applyFill="1" applyBorder="1" applyAlignment="1" applyProtection="1">
      <alignment horizontal="center" vertical="center"/>
    </xf>
    <xf numFmtId="184" fontId="131" fillId="86" borderId="45" xfId="1" applyNumberFormat="1" applyFont="1" applyFill="1" applyBorder="1" applyAlignment="1" applyProtection="1">
      <alignment horizontal="center"/>
    </xf>
    <xf numFmtId="184" fontId="131" fillId="86" borderId="45" xfId="1" applyNumberFormat="1" applyFont="1" applyFill="1" applyBorder="1" applyAlignment="1" applyProtection="1">
      <alignment horizontal="center" vertical="center"/>
    </xf>
    <xf numFmtId="184" fontId="0" fillId="86" borderId="0" xfId="0" applyNumberFormat="1" applyFill="1"/>
    <xf numFmtId="184" fontId="133" fillId="87" borderId="47" xfId="0" applyNumberFormat="1" applyFont="1" applyFill="1" applyBorder="1" applyAlignment="1">
      <alignment horizontal="center" vertical="center" wrapText="1"/>
    </xf>
    <xf numFmtId="184" fontId="128" fillId="0" borderId="45" xfId="0" applyNumberFormat="1" applyFont="1" applyBorder="1" applyAlignment="1">
      <alignment horizontal="center" wrapText="1"/>
    </xf>
    <xf numFmtId="184" fontId="112" fillId="0" borderId="45" xfId="0" applyNumberFormat="1" applyFont="1" applyBorder="1" applyAlignment="1">
      <alignment horizontal="center" vertical="center"/>
    </xf>
    <xf numFmtId="184" fontId="131" fillId="0" borderId="45" xfId="0" applyNumberFormat="1" applyFont="1" applyBorder="1"/>
    <xf numFmtId="184" fontId="131" fillId="0" borderId="45" xfId="0" applyNumberFormat="1" applyFont="1" applyBorder="1" applyAlignment="1">
      <alignment horizontal="center" vertical="center"/>
    </xf>
    <xf numFmtId="3" fontId="131" fillId="0" borderId="45" xfId="1" applyNumberFormat="1" applyFont="1" applyBorder="1" applyAlignment="1" applyProtection="1">
      <alignment horizontal="center" vertical="center"/>
    </xf>
    <xf numFmtId="184" fontId="131" fillId="0" borderId="45" xfId="1" applyNumberFormat="1" applyFont="1" applyBorder="1" applyAlignment="1" applyProtection="1">
      <alignment horizontal="center" vertical="center"/>
    </xf>
    <xf numFmtId="184" fontId="131" fillId="0" borderId="45" xfId="1" applyNumberFormat="1" applyFont="1" applyBorder="1" applyAlignment="1" applyProtection="1">
      <alignment horizontal="center"/>
    </xf>
    <xf numFmtId="184" fontId="134" fillId="0" borderId="47" xfId="0" applyNumberFormat="1" applyFont="1" applyBorder="1" applyAlignment="1">
      <alignment horizontal="center" vertical="center" wrapText="1"/>
    </xf>
    <xf numFmtId="184" fontId="135" fillId="85" borderId="47" xfId="0" applyNumberFormat="1" applyFont="1" applyFill="1" applyBorder="1" applyAlignment="1">
      <alignment horizontal="center" vertical="center" wrapText="1"/>
    </xf>
    <xf numFmtId="3" fontId="123" fillId="0" borderId="45" xfId="1" applyNumberFormat="1" applyFont="1" applyBorder="1" applyAlignment="1" applyProtection="1">
      <alignment horizontal="center" vertical="center"/>
    </xf>
    <xf numFmtId="184" fontId="135" fillId="87" borderId="47" xfId="0" applyNumberFormat="1" applyFont="1" applyFill="1" applyBorder="1" applyAlignment="1">
      <alignment horizontal="center" vertical="center" wrapText="1"/>
    </xf>
    <xf numFmtId="184" fontId="134" fillId="0" borderId="48" xfId="0" applyNumberFormat="1" applyFont="1" applyBorder="1" applyAlignment="1">
      <alignment horizontal="center" vertical="center" wrapText="1"/>
    </xf>
    <xf numFmtId="184" fontId="135" fillId="85" borderId="49" xfId="0" applyNumberFormat="1" applyFont="1" applyFill="1" applyBorder="1" applyAlignment="1">
      <alignment horizontal="center" vertical="center" wrapText="1"/>
    </xf>
    <xf numFmtId="184" fontId="134" fillId="0" borderId="45" xfId="0" applyNumberFormat="1" applyFont="1" applyBorder="1" applyAlignment="1">
      <alignment horizontal="center" vertical="center" wrapText="1"/>
    </xf>
    <xf numFmtId="184" fontId="135" fillId="87" borderId="49" xfId="0" applyNumberFormat="1" applyFont="1" applyFill="1" applyBorder="1" applyAlignment="1">
      <alignment horizontal="center" vertical="center" wrapText="1"/>
    </xf>
    <xf numFmtId="184" fontId="134" fillId="0" borderId="50" xfId="0" applyNumberFormat="1" applyFont="1" applyBorder="1" applyAlignment="1">
      <alignment horizontal="center" vertical="center" wrapText="1"/>
    </xf>
    <xf numFmtId="184" fontId="132" fillId="0" borderId="45" xfId="0" applyNumberFormat="1" applyFont="1" applyBorder="1" applyAlignment="1">
      <alignment horizontal="center" vertical="center" wrapText="1"/>
    </xf>
    <xf numFmtId="184" fontId="131" fillId="0" borderId="45" xfId="0" applyNumberFormat="1" applyFont="1" applyBorder="1" applyAlignment="1">
      <alignment horizontal="center" vertical="center" wrapText="1"/>
    </xf>
    <xf numFmtId="184" fontId="0" fillId="0" borderId="0" xfId="0" applyNumberFormat="1" applyAlignment="1">
      <alignment horizontal="center" vertical="center"/>
    </xf>
    <xf numFmtId="184" fontId="134" fillId="88" borderId="47" xfId="0" applyNumberFormat="1" applyFont="1" applyFill="1" applyBorder="1" applyAlignment="1">
      <alignment horizontal="center" vertical="center" wrapText="1"/>
    </xf>
    <xf numFmtId="168" fontId="105" fillId="74" borderId="45" xfId="1" applyNumberFormat="1" applyFont="1" applyFill="1" applyBorder="1" applyAlignment="1">
      <alignment horizontal="center" vertical="center" wrapText="1"/>
    </xf>
    <xf numFmtId="0" fontId="105" fillId="74" borderId="45" xfId="0" applyFont="1" applyFill="1" applyBorder="1" applyAlignment="1">
      <alignment horizontal="center" vertical="center" wrapText="1"/>
    </xf>
    <xf numFmtId="165" fontId="105" fillId="74" borderId="46" xfId="1" applyFont="1" applyFill="1" applyBorder="1" applyAlignment="1">
      <alignment horizontal="center" vertical="center" wrapText="1"/>
    </xf>
    <xf numFmtId="165" fontId="102" fillId="74" borderId="45" xfId="1" applyFont="1" applyFill="1" applyBorder="1" applyAlignment="1">
      <alignment horizontal="center" vertical="center"/>
    </xf>
    <xf numFmtId="0" fontId="137" fillId="0" borderId="45" xfId="0" applyFont="1" applyBorder="1" applyAlignment="1">
      <alignment horizontal="center" vertical="center"/>
    </xf>
    <xf numFmtId="0" fontId="138" fillId="34" borderId="51" xfId="0" applyFont="1" applyFill="1" applyBorder="1" applyAlignment="1">
      <alignment horizontal="center" vertical="center" wrapText="1"/>
    </xf>
    <xf numFmtId="0" fontId="137" fillId="0" borderId="45" xfId="0" applyFont="1" applyBorder="1" applyAlignment="1">
      <alignment horizontal="center" vertical="center" wrapText="1"/>
    </xf>
    <xf numFmtId="14" fontId="137" fillId="0" borderId="45" xfId="0" applyNumberFormat="1" applyFont="1" applyBorder="1" applyAlignment="1">
      <alignment horizontal="center" vertical="center"/>
    </xf>
    <xf numFmtId="0" fontId="137" fillId="0" borderId="45" xfId="45" applyFont="1" applyBorder="1" applyAlignment="1">
      <alignment horizontal="center" vertical="center"/>
    </xf>
    <xf numFmtId="168" fontId="137" fillId="0" borderId="45" xfId="1" applyNumberFormat="1" applyFont="1" applyFill="1" applyBorder="1" applyAlignment="1">
      <alignment horizontal="center" vertical="center"/>
    </xf>
    <xf numFmtId="168" fontId="137" fillId="0" borderId="46" xfId="1" applyNumberFormat="1" applyFont="1" applyFill="1" applyBorder="1" applyAlignment="1">
      <alignment horizontal="center" vertical="center"/>
    </xf>
    <xf numFmtId="168" fontId="26" fillId="0" borderId="45" xfId="0" applyNumberFormat="1" applyFont="1" applyBorder="1" applyAlignment="1">
      <alignment horizontal="center" vertical="center"/>
    </xf>
    <xf numFmtId="168" fontId="137" fillId="0" borderId="45" xfId="0" applyNumberFormat="1" applyFont="1" applyBorder="1" applyAlignment="1">
      <alignment horizontal="center" vertical="center"/>
    </xf>
    <xf numFmtId="0" fontId="26" fillId="0" borderId="0" xfId="0" applyFont="1" applyAlignment="1">
      <alignment horizontal="center" vertical="center"/>
    </xf>
    <xf numFmtId="0" fontId="138" fillId="0" borderId="51" xfId="0" applyFont="1" applyBorder="1" applyAlignment="1">
      <alignment horizontal="center" vertical="center" wrapText="1"/>
    </xf>
    <xf numFmtId="0" fontId="139" fillId="0" borderId="45" xfId="0" applyFont="1" applyBorder="1" applyAlignment="1">
      <alignment horizontal="center" vertical="center" wrapText="1"/>
    </xf>
    <xf numFmtId="16" fontId="137" fillId="0" borderId="45" xfId="0" applyNumberFormat="1" applyFont="1" applyBorder="1" applyAlignment="1">
      <alignment horizontal="center" vertical="center"/>
    </xf>
    <xf numFmtId="0" fontId="138" fillId="34" borderId="45" xfId="0" applyFont="1" applyFill="1" applyBorder="1" applyAlignment="1">
      <alignment horizontal="center" vertical="center" wrapText="1"/>
    </xf>
    <xf numFmtId="0" fontId="137" fillId="0" borderId="51" xfId="0" applyFont="1" applyBorder="1" applyAlignment="1">
      <alignment horizontal="center" vertical="center" wrapText="1"/>
    </xf>
    <xf numFmtId="0" fontId="138" fillId="0" borderId="45" xfId="0" applyFont="1" applyBorder="1" applyAlignment="1">
      <alignment horizontal="center" vertical="center" wrapText="1"/>
    </xf>
    <xf numFmtId="168" fontId="137" fillId="0" borderId="45" xfId="1" applyNumberFormat="1" applyFont="1" applyBorder="1" applyAlignment="1">
      <alignment horizontal="center" vertical="center"/>
    </xf>
    <xf numFmtId="165" fontId="137" fillId="0" borderId="45" xfId="1" applyFont="1" applyFill="1" applyBorder="1" applyAlignment="1">
      <alignment horizontal="center" vertical="center"/>
    </xf>
    <xf numFmtId="185" fontId="137" fillId="0" borderId="45" xfId="0" applyNumberFormat="1" applyFont="1" applyBorder="1" applyAlignment="1">
      <alignment horizontal="center" vertical="center"/>
    </xf>
    <xf numFmtId="168" fontId="137" fillId="0" borderId="46" xfId="1" applyNumberFormat="1" applyFont="1" applyBorder="1" applyAlignment="1">
      <alignment horizontal="center" vertical="center"/>
    </xf>
    <xf numFmtId="0" fontId="26" fillId="0" borderId="45" xfId="0" applyFont="1" applyBorder="1" applyAlignment="1">
      <alignment horizontal="center" vertical="center"/>
    </xf>
    <xf numFmtId="168" fontId="26" fillId="0" borderId="45" xfId="1" applyNumberFormat="1" applyFont="1" applyFill="1" applyBorder="1" applyAlignment="1">
      <alignment horizontal="center" vertical="center"/>
    </xf>
    <xf numFmtId="0" fontId="26" fillId="0" borderId="45" xfId="0" applyFont="1" applyBorder="1" applyAlignment="1">
      <alignment horizontal="center" vertical="center" wrapText="1"/>
    </xf>
    <xf numFmtId="184" fontId="128" fillId="84" borderId="45" xfId="1" applyNumberFormat="1" applyFont="1" applyFill="1" applyBorder="1" applyAlignment="1" applyProtection="1">
      <alignment horizontal="center" vertical="center"/>
    </xf>
    <xf numFmtId="184" fontId="132" fillId="0" borderId="45" xfId="0" applyNumberFormat="1" applyFont="1" applyBorder="1" applyAlignment="1">
      <alignment vertical="center" wrapText="1"/>
    </xf>
    <xf numFmtId="184" fontId="123" fillId="0" borderId="45" xfId="0" applyNumberFormat="1" applyFont="1" applyBorder="1" applyAlignment="1">
      <alignment horizontal="center" vertical="center" wrapText="1"/>
    </xf>
    <xf numFmtId="184" fontId="140" fillId="0" borderId="45" xfId="0" applyNumberFormat="1" applyFont="1" applyBorder="1" applyAlignment="1">
      <alignment horizontal="center" vertical="center" wrapText="1"/>
    </xf>
    <xf numFmtId="184" fontId="123" fillId="0" borderId="45" xfId="0" applyNumberFormat="1" applyFont="1" applyBorder="1" applyAlignment="1">
      <alignment horizontal="left" vertical="center" wrapText="1"/>
    </xf>
    <xf numFmtId="184" fontId="124" fillId="0" borderId="45" xfId="0" applyNumberFormat="1" applyFont="1" applyBorder="1" applyAlignment="1">
      <alignment horizontal="center" vertical="center" wrapText="1"/>
    </xf>
    <xf numFmtId="14" fontId="128" fillId="0" borderId="45" xfId="0" applyNumberFormat="1" applyFont="1" applyBorder="1" applyAlignment="1">
      <alignment horizontal="center" vertical="center" wrapText="1"/>
    </xf>
    <xf numFmtId="184" fontId="131" fillId="0" borderId="45" xfId="0" applyNumberFormat="1" applyFont="1" applyBorder="1" applyAlignment="1">
      <alignment horizontal="left" vertical="center" wrapText="1"/>
    </xf>
    <xf numFmtId="184" fontId="128" fillId="0" borderId="51" xfId="0" applyNumberFormat="1" applyFont="1" applyBorder="1" applyAlignment="1">
      <alignment horizontal="center" vertical="center" wrapText="1"/>
    </xf>
    <xf numFmtId="184" fontId="141" fillId="0" borderId="45" xfId="0" applyNumberFormat="1" applyFont="1" applyBorder="1" applyAlignment="1">
      <alignment horizontal="center" vertical="center" wrapText="1"/>
    </xf>
    <xf numFmtId="14" fontId="124" fillId="0" borderId="45" xfId="0" applyNumberFormat="1" applyFont="1" applyBorder="1" applyAlignment="1">
      <alignment horizontal="center" wrapText="1"/>
    </xf>
    <xf numFmtId="184" fontId="124" fillId="0" borderId="45" xfId="0" applyNumberFormat="1" applyFont="1" applyBorder="1" applyAlignment="1">
      <alignment horizontal="left" wrapText="1"/>
    </xf>
    <xf numFmtId="184" fontId="121" fillId="82" borderId="37" xfId="0" applyNumberFormat="1" applyFont="1" applyFill="1" applyBorder="1" applyAlignment="1">
      <alignment horizontal="center" vertical="center" wrapText="1"/>
    </xf>
    <xf numFmtId="184" fontId="87" fillId="82" borderId="37" xfId="0" applyNumberFormat="1" applyFont="1" applyFill="1" applyBorder="1" applyAlignment="1">
      <alignment horizontal="center" vertical="center" wrapText="1"/>
    </xf>
    <xf numFmtId="184" fontId="78" fillId="82" borderId="37" xfId="0" applyNumberFormat="1" applyFont="1" applyFill="1" applyBorder="1" applyAlignment="1">
      <alignment horizontal="center" vertical="center" wrapText="1"/>
    </xf>
    <xf numFmtId="3" fontId="78" fillId="82" borderId="37" xfId="1" applyNumberFormat="1" applyFont="1" applyFill="1" applyBorder="1" applyAlignment="1" applyProtection="1">
      <alignment horizontal="center" vertical="center" wrapText="1"/>
    </xf>
    <xf numFmtId="184" fontId="78" fillId="82" borderId="13" xfId="1" applyNumberFormat="1" applyFont="1" applyFill="1" applyBorder="1" applyAlignment="1" applyProtection="1">
      <alignment horizontal="center" vertical="center" wrapText="1"/>
    </xf>
    <xf numFmtId="184" fontId="131" fillId="0" borderId="0" xfId="0" applyNumberFormat="1" applyFont="1"/>
    <xf numFmtId="184" fontId="131" fillId="0" borderId="0" xfId="0" applyNumberFormat="1" applyFont="1" applyAlignment="1">
      <alignment horizontal="center" vertical="center" wrapText="1"/>
    </xf>
    <xf numFmtId="184" fontId="129" fillId="0" borderId="0" xfId="0" applyNumberFormat="1" applyFont="1" applyAlignment="1">
      <alignment horizontal="center" vertical="center" wrapText="1"/>
    </xf>
    <xf numFmtId="184" fontId="131" fillId="0" borderId="0" xfId="0" applyNumberFormat="1" applyFont="1" applyAlignment="1">
      <alignment vertical="center" wrapText="1"/>
    </xf>
    <xf numFmtId="184" fontId="128" fillId="0" borderId="0" xfId="0" applyNumberFormat="1" applyFont="1" applyAlignment="1">
      <alignment horizontal="center" vertical="center" wrapText="1"/>
    </xf>
    <xf numFmtId="14" fontId="128" fillId="0" borderId="0" xfId="0" applyNumberFormat="1" applyFont="1" applyAlignment="1">
      <alignment horizontal="center" vertical="center" wrapText="1"/>
    </xf>
    <xf numFmtId="14" fontId="128" fillId="0" borderId="0" xfId="0" applyNumberFormat="1" applyFont="1" applyAlignment="1">
      <alignment horizontal="center" vertical="center"/>
    </xf>
    <xf numFmtId="184" fontId="128" fillId="0" borderId="0" xfId="0" applyNumberFormat="1" applyFont="1" applyAlignment="1">
      <alignment horizontal="center" vertical="center"/>
    </xf>
    <xf numFmtId="184" fontId="128" fillId="0" borderId="0" xfId="0" applyNumberFormat="1" applyFont="1" applyAlignment="1">
      <alignment horizontal="center" wrapText="1"/>
    </xf>
    <xf numFmtId="184" fontId="112" fillId="0" borderId="0" xfId="0" applyNumberFormat="1" applyFont="1" applyAlignment="1">
      <alignment horizontal="center" vertical="center"/>
    </xf>
    <xf numFmtId="184" fontId="131" fillId="0" borderId="0" xfId="0" applyNumberFormat="1" applyFont="1" applyAlignment="1">
      <alignment horizontal="center" vertical="center"/>
    </xf>
    <xf numFmtId="3" fontId="131" fillId="0" borderId="0" xfId="1" applyNumberFormat="1" applyFont="1" applyAlignment="1">
      <alignment horizontal="center" vertical="center"/>
    </xf>
    <xf numFmtId="3" fontId="131" fillId="0" borderId="0" xfId="1" applyNumberFormat="1" applyFont="1" applyBorder="1" applyAlignment="1" applyProtection="1">
      <alignment horizontal="center" vertical="center"/>
    </xf>
    <xf numFmtId="184" fontId="131" fillId="0" borderId="0" xfId="1" applyNumberFormat="1" applyFont="1" applyBorder="1" applyAlignment="1" applyProtection="1">
      <alignment horizontal="center" vertical="center"/>
    </xf>
    <xf numFmtId="184" fontId="131" fillId="0" borderId="0" xfId="1" applyNumberFormat="1" applyFont="1" applyAlignment="1">
      <alignment horizontal="center"/>
    </xf>
    <xf numFmtId="184" fontId="131" fillId="0" borderId="0" xfId="1" applyNumberFormat="1" applyFont="1" applyAlignment="1">
      <alignment horizontal="center" vertical="center"/>
    </xf>
    <xf numFmtId="0" fontId="87" fillId="0" borderId="0" xfId="0" applyFont="1" applyAlignment="1">
      <alignment horizontal="left" vertical="center" wrapText="1"/>
    </xf>
    <xf numFmtId="165" fontId="87" fillId="0" borderId="0" xfId="1" applyFont="1" applyFill="1" applyAlignment="1">
      <alignment horizontal="left" vertical="center" wrapText="1"/>
    </xf>
    <xf numFmtId="165" fontId="87" fillId="0" borderId="0" xfId="1" applyFont="1" applyFill="1" applyAlignment="1">
      <alignment horizontal="center" vertical="center" wrapText="1"/>
    </xf>
    <xf numFmtId="168" fontId="87" fillId="0" borderId="0" xfId="1" applyNumberFormat="1" applyFont="1" applyFill="1" applyAlignment="1">
      <alignment horizontal="center" vertical="center" wrapText="1"/>
    </xf>
    <xf numFmtId="165" fontId="95" fillId="34" borderId="51" xfId="1" applyFont="1" applyFill="1" applyBorder="1" applyAlignment="1">
      <alignment horizontal="center" vertical="center"/>
    </xf>
    <xf numFmtId="165" fontId="95" fillId="34" borderId="45" xfId="1" applyFont="1" applyFill="1" applyBorder="1" applyAlignment="1">
      <alignment horizontal="center" vertical="center"/>
    </xf>
    <xf numFmtId="181" fontId="94" fillId="0" borderId="45" xfId="43" applyNumberFormat="1" applyFont="1" applyBorder="1" applyAlignment="1">
      <alignment horizontal="center" vertical="center" wrapText="1"/>
    </xf>
    <xf numFmtId="181" fontId="94" fillId="0" borderId="45" xfId="0" applyNumberFormat="1" applyFont="1" applyBorder="1" applyAlignment="1">
      <alignment horizontal="center" vertical="center"/>
    </xf>
    <xf numFmtId="0" fontId="87" fillId="0" borderId="45" xfId="43" applyFont="1" applyBorder="1" applyAlignment="1">
      <alignment horizontal="center" vertical="center" wrapText="1"/>
    </xf>
    <xf numFmtId="165" fontId="95" fillId="34" borderId="46" xfId="1" applyFont="1" applyFill="1" applyBorder="1" applyAlignment="1">
      <alignment horizontal="center" vertical="center"/>
    </xf>
    <xf numFmtId="17" fontId="95" fillId="34" borderId="45" xfId="1" applyNumberFormat="1" applyFont="1" applyFill="1" applyBorder="1" applyAlignment="1">
      <alignment horizontal="center" vertical="center"/>
    </xf>
    <xf numFmtId="0" fontId="87" fillId="72" borderId="45" xfId="0" applyFont="1" applyFill="1" applyBorder="1" applyAlignment="1">
      <alignment horizontal="center" vertical="center" wrapText="1"/>
    </xf>
    <xf numFmtId="0" fontId="87" fillId="72" borderId="45" xfId="0" applyFont="1" applyFill="1" applyBorder="1" applyAlignment="1">
      <alignment horizontal="left" vertical="center" wrapText="1"/>
    </xf>
    <xf numFmtId="165" fontId="87" fillId="72" borderId="45" xfId="1" applyFont="1" applyFill="1" applyBorder="1" applyAlignment="1">
      <alignment horizontal="left" vertical="center" wrapText="1"/>
    </xf>
    <xf numFmtId="165" fontId="87" fillId="72" borderId="45" xfId="1" applyFont="1" applyFill="1" applyBorder="1" applyAlignment="1">
      <alignment horizontal="center" vertical="center" wrapText="1"/>
    </xf>
    <xf numFmtId="168" fontId="87" fillId="72" borderId="45" xfId="1" applyNumberFormat="1" applyFont="1" applyFill="1" applyBorder="1" applyAlignment="1">
      <alignment horizontal="center" vertical="center" wrapText="1"/>
    </xf>
    <xf numFmtId="165" fontId="87" fillId="72" borderId="45" xfId="1" applyFont="1" applyFill="1" applyBorder="1" applyAlignment="1">
      <alignment vertical="center" wrapText="1"/>
    </xf>
    <xf numFmtId="165" fontId="87" fillId="72" borderId="46" xfId="1" applyFont="1" applyFill="1" applyBorder="1" applyAlignment="1">
      <alignment vertical="center" wrapText="1"/>
    </xf>
    <xf numFmtId="0" fontId="102" fillId="0" borderId="45" xfId="0" applyFont="1" applyBorder="1"/>
    <xf numFmtId="0" fontId="100" fillId="73" borderId="45" xfId="0" applyFont="1" applyFill="1" applyBorder="1" applyAlignment="1">
      <alignment horizontal="center" vertical="center" wrapText="1"/>
    </xf>
    <xf numFmtId="0" fontId="100" fillId="73" borderId="45" xfId="0" applyFont="1" applyFill="1" applyBorder="1" applyAlignment="1">
      <alignment horizontal="left" vertical="center" wrapText="1"/>
    </xf>
    <xf numFmtId="165" fontId="100" fillId="73" borderId="45" xfId="1" applyFont="1" applyFill="1" applyBorder="1" applyAlignment="1">
      <alignment horizontal="left" vertical="center" wrapText="1"/>
    </xf>
    <xf numFmtId="165" fontId="100" fillId="73" borderId="45" xfId="1" applyFont="1" applyFill="1" applyBorder="1" applyAlignment="1">
      <alignment horizontal="center" vertical="center" wrapText="1"/>
    </xf>
    <xf numFmtId="168" fontId="100" fillId="73" borderId="45" xfId="1" applyNumberFormat="1" applyFont="1" applyFill="1" applyBorder="1" applyAlignment="1">
      <alignment horizontal="center" vertical="center" wrapText="1"/>
    </xf>
    <xf numFmtId="0" fontId="100" fillId="73" borderId="45" xfId="0" applyFont="1" applyFill="1" applyBorder="1" applyAlignment="1">
      <alignment vertical="center" wrapText="1"/>
    </xf>
    <xf numFmtId="0" fontId="100" fillId="73" borderId="46" xfId="0" applyFont="1" applyFill="1" applyBorder="1" applyAlignment="1">
      <alignment horizontal="left" vertical="center" wrapText="1"/>
    </xf>
    <xf numFmtId="165" fontId="103" fillId="74" borderId="45" xfId="1" applyFont="1" applyFill="1" applyBorder="1" applyAlignment="1">
      <alignment horizontal="left" wrapText="1"/>
    </xf>
    <xf numFmtId="165" fontId="103" fillId="74" borderId="45" xfId="1" applyFont="1" applyFill="1" applyBorder="1" applyAlignment="1">
      <alignment horizontal="center" wrapText="1"/>
    </xf>
    <xf numFmtId="168" fontId="103" fillId="74" borderId="45" xfId="1" applyNumberFormat="1" applyFont="1" applyFill="1" applyBorder="1" applyAlignment="1">
      <alignment horizontal="center" vertical="center"/>
    </xf>
    <xf numFmtId="165" fontId="102" fillId="74" borderId="46" xfId="1" applyFont="1" applyFill="1" applyBorder="1" applyAlignment="1">
      <alignment horizontal="center"/>
    </xf>
    <xf numFmtId="0" fontId="102" fillId="0" borderId="45" xfId="0" applyFont="1" applyBorder="1" applyAlignment="1">
      <alignment horizontal="center" vertical="center" wrapText="1"/>
    </xf>
    <xf numFmtId="0" fontId="102" fillId="0" borderId="45" xfId="0" applyFont="1" applyBorder="1" applyAlignment="1">
      <alignment vertical="center" wrapText="1"/>
    </xf>
    <xf numFmtId="0" fontId="102" fillId="0" borderId="45" xfId="0" applyFont="1" applyBorder="1" applyAlignment="1">
      <alignment horizontal="center" wrapText="1"/>
    </xf>
    <xf numFmtId="181" fontId="102" fillId="0" borderId="45" xfId="0" applyNumberFormat="1" applyFont="1" applyBorder="1" applyAlignment="1">
      <alignment horizontal="center" vertical="center"/>
    </xf>
    <xf numFmtId="0" fontId="102" fillId="0" borderId="45" xfId="0" applyFont="1" applyBorder="1" applyAlignment="1">
      <alignment horizontal="center" vertical="center"/>
    </xf>
    <xf numFmtId="0" fontId="102" fillId="0" borderId="45" xfId="0" applyFont="1" applyBorder="1" applyAlignment="1">
      <alignment horizontal="center"/>
    </xf>
    <xf numFmtId="165" fontId="102" fillId="0" borderId="45" xfId="1" applyFont="1" applyBorder="1"/>
    <xf numFmtId="165" fontId="102" fillId="0" borderId="45" xfId="1" applyFont="1" applyBorder="1" applyAlignment="1">
      <alignment horizontal="center"/>
    </xf>
    <xf numFmtId="168" fontId="102" fillId="0" borderId="45" xfId="1" applyNumberFormat="1" applyFont="1" applyBorder="1" applyAlignment="1">
      <alignment horizontal="center" vertical="center"/>
    </xf>
    <xf numFmtId="165" fontId="102" fillId="0" borderId="46" xfId="1" applyFont="1" applyBorder="1" applyAlignment="1">
      <alignment horizontal="center"/>
    </xf>
    <xf numFmtId="0" fontId="100" fillId="0" borderId="45" xfId="0" applyFont="1" applyBorder="1" applyAlignment="1">
      <alignment horizontal="left" vertical="center" wrapText="1"/>
    </xf>
    <xf numFmtId="0" fontId="100" fillId="0" borderId="45" xfId="0" applyFont="1" applyBorder="1" applyAlignment="1">
      <alignment horizontal="center" wrapText="1"/>
    </xf>
    <xf numFmtId="181" fontId="102" fillId="0" borderId="45" xfId="0" applyNumberFormat="1" applyFont="1" applyBorder="1" applyAlignment="1">
      <alignment horizontal="center" vertical="center" wrapText="1"/>
    </xf>
    <xf numFmtId="0" fontId="102" fillId="0" borderId="45" xfId="0" applyFont="1" applyBorder="1" applyAlignment="1">
      <alignment vertical="center"/>
    </xf>
    <xf numFmtId="0" fontId="100" fillId="74" borderId="45" xfId="0" applyFont="1" applyFill="1" applyBorder="1" applyAlignment="1">
      <alignment horizontal="left" wrapText="1"/>
    </xf>
    <xf numFmtId="165" fontId="105" fillId="74" borderId="45" xfId="1" applyFont="1" applyFill="1" applyBorder="1" applyAlignment="1">
      <alignment horizontal="center" wrapText="1"/>
    </xf>
    <xf numFmtId="0" fontId="102" fillId="58" borderId="45" xfId="0" applyFont="1" applyFill="1" applyBorder="1" applyAlignment="1">
      <alignment vertical="center" wrapText="1"/>
    </xf>
    <xf numFmtId="0" fontId="102" fillId="0" borderId="45" xfId="0" applyFont="1" applyBorder="1" applyAlignment="1">
      <alignment horizontal="left" vertical="center" wrapText="1"/>
    </xf>
    <xf numFmtId="0" fontId="102" fillId="0" borderId="45" xfId="0" quotePrefix="1" applyFont="1" applyBorder="1" applyAlignment="1">
      <alignment horizontal="left" vertical="center" wrapText="1"/>
    </xf>
    <xf numFmtId="0" fontId="102" fillId="0" borderId="51" xfId="0" applyFont="1" applyBorder="1" applyAlignment="1">
      <alignment horizontal="left" vertical="center"/>
    </xf>
    <xf numFmtId="0" fontId="102" fillId="0" borderId="46" xfId="0" applyFont="1" applyBorder="1" applyAlignment="1">
      <alignment horizontal="center" vertical="center"/>
    </xf>
    <xf numFmtId="0" fontId="102" fillId="0" borderId="45" xfId="0" applyFont="1" applyBorder="1" applyAlignment="1">
      <alignment horizontal="left" vertical="center"/>
    </xf>
    <xf numFmtId="165" fontId="102" fillId="0" borderId="45" xfId="0" applyNumberFormat="1" applyFont="1" applyBorder="1"/>
    <xf numFmtId="181" fontId="102" fillId="58" borderId="45" xfId="0" applyNumberFormat="1" applyFont="1" applyFill="1" applyBorder="1" applyAlignment="1">
      <alignment horizontal="center" vertical="center" wrapText="1"/>
    </xf>
    <xf numFmtId="181" fontId="102" fillId="58" borderId="45" xfId="0" applyNumberFormat="1" applyFont="1" applyFill="1" applyBorder="1" applyAlignment="1">
      <alignment horizontal="center" vertical="center"/>
    </xf>
    <xf numFmtId="0" fontId="88" fillId="0" borderId="45" xfId="0" applyFont="1" applyBorder="1" applyAlignment="1">
      <alignment horizontal="center" vertical="center"/>
    </xf>
    <xf numFmtId="0" fontId="111" fillId="0" borderId="28" xfId="579" applyFont="1" applyBorder="1" applyAlignment="1">
      <alignment horizontal="left" vertical="center" wrapText="1"/>
    </xf>
    <xf numFmtId="165" fontId="88" fillId="0" borderId="10" xfId="1" applyFont="1" applyBorder="1"/>
    <xf numFmtId="0" fontId="102" fillId="58" borderId="10" xfId="0" applyFont="1" applyFill="1" applyBorder="1" applyAlignment="1">
      <alignment vertical="center" wrapText="1"/>
    </xf>
    <xf numFmtId="0" fontId="102" fillId="0" borderId="10" xfId="0" applyFont="1" applyBorder="1" applyAlignment="1">
      <alignment horizontal="left" vertical="center"/>
    </xf>
    <xf numFmtId="0" fontId="100" fillId="74" borderId="10" xfId="0" applyFont="1" applyFill="1" applyBorder="1" applyAlignment="1">
      <alignment horizontal="left" vertical="center"/>
    </xf>
    <xf numFmtId="0" fontId="100" fillId="74" borderId="46" xfId="0" applyFont="1" applyFill="1" applyBorder="1" applyAlignment="1">
      <alignment horizontal="left" wrapText="1"/>
    </xf>
    <xf numFmtId="0" fontId="88" fillId="0" borderId="10" xfId="0" applyFont="1" applyBorder="1" applyAlignment="1">
      <alignment vertical="center" wrapText="1"/>
    </xf>
    <xf numFmtId="0" fontId="102" fillId="89" borderId="10" xfId="0" applyFont="1" applyFill="1" applyBorder="1" applyAlignment="1">
      <alignment horizontal="center" vertical="center" wrapText="1"/>
    </xf>
    <xf numFmtId="0" fontId="100" fillId="89" borderId="10" xfId="0" applyFont="1" applyFill="1" applyBorder="1" applyAlignment="1">
      <alignment horizontal="left" vertical="center"/>
    </xf>
    <xf numFmtId="0" fontId="100" fillId="89" borderId="10" xfId="0" applyFont="1" applyFill="1" applyBorder="1" applyAlignment="1">
      <alignment horizontal="left" wrapText="1"/>
    </xf>
    <xf numFmtId="0" fontId="102" fillId="58" borderId="10" xfId="0" applyFont="1" applyFill="1" applyBorder="1" applyAlignment="1">
      <alignment horizontal="center" vertical="center" wrapText="1"/>
    </xf>
    <xf numFmtId="167" fontId="102" fillId="0" borderId="10" xfId="0" applyNumberFormat="1" applyFont="1" applyBorder="1" applyAlignment="1">
      <alignment horizontal="center" vertical="center"/>
    </xf>
    <xf numFmtId="0" fontId="102" fillId="58" borderId="10" xfId="0" applyFont="1" applyFill="1" applyBorder="1"/>
    <xf numFmtId="168" fontId="102" fillId="58" borderId="10" xfId="1" applyNumberFormat="1" applyFont="1" applyFill="1" applyBorder="1" applyAlignment="1">
      <alignment horizontal="center" vertical="center"/>
    </xf>
    <xf numFmtId="165" fontId="102" fillId="58" borderId="46" xfId="1" applyFont="1" applyFill="1" applyBorder="1" applyAlignment="1">
      <alignment horizontal="center"/>
    </xf>
    <xf numFmtId="0" fontId="102" fillId="58" borderId="0" xfId="0" applyFont="1" applyFill="1"/>
    <xf numFmtId="0" fontId="102" fillId="0" borderId="52" xfId="0" applyFont="1" applyBorder="1" applyAlignment="1">
      <alignment vertical="center" wrapText="1"/>
    </xf>
    <xf numFmtId="0" fontId="87" fillId="72" borderId="10" xfId="0" applyFont="1" applyFill="1" applyBorder="1" applyAlignment="1">
      <alignment horizontal="center" vertical="center" wrapText="1"/>
    </xf>
    <xf numFmtId="0" fontId="87" fillId="72" borderId="10" xfId="0" applyFont="1" applyFill="1" applyBorder="1" applyAlignment="1">
      <alignment horizontal="left" vertical="center" wrapText="1"/>
    </xf>
    <xf numFmtId="165" fontId="87" fillId="72" borderId="10" xfId="1" applyFont="1" applyFill="1" applyBorder="1" applyAlignment="1">
      <alignment horizontal="left" vertical="center" wrapText="1"/>
    </xf>
    <xf numFmtId="165" fontId="87" fillId="72" borderId="10" xfId="1" applyFont="1" applyFill="1" applyBorder="1" applyAlignment="1">
      <alignment horizontal="center" vertical="center" wrapText="1"/>
    </xf>
    <xf numFmtId="168" fontId="87" fillId="72" borderId="10" xfId="1" applyNumberFormat="1" applyFont="1" applyFill="1" applyBorder="1" applyAlignment="1">
      <alignment horizontal="center" vertical="center" wrapText="1"/>
    </xf>
    <xf numFmtId="165" fontId="87" fillId="72" borderId="10" xfId="1" applyFont="1" applyFill="1" applyBorder="1" applyAlignment="1">
      <alignment vertical="center" wrapText="1"/>
    </xf>
    <xf numFmtId="0" fontId="87" fillId="72" borderId="37" xfId="0" applyFont="1" applyFill="1" applyBorder="1" applyAlignment="1">
      <alignment horizontal="center" vertical="center" wrapText="1"/>
    </xf>
    <xf numFmtId="165" fontId="87" fillId="72" borderId="37" xfId="1" applyFont="1" applyFill="1" applyBorder="1" applyAlignment="1">
      <alignment horizontal="center" vertical="center" wrapText="1"/>
    </xf>
    <xf numFmtId="168" fontId="87" fillId="72" borderId="13" xfId="1" applyNumberFormat="1" applyFont="1" applyFill="1" applyBorder="1" applyAlignment="1">
      <alignment horizontal="center" vertical="center" wrapText="1"/>
    </xf>
    <xf numFmtId="0" fontId="87" fillId="0" borderId="51" xfId="43" applyFont="1" applyBorder="1" applyAlignment="1">
      <alignment horizontal="center" vertical="center" wrapText="1"/>
    </xf>
    <xf numFmtId="0" fontId="102" fillId="0" borderId="51" xfId="0" applyFont="1" applyBorder="1" applyAlignment="1">
      <alignment horizontal="center" vertical="center"/>
    </xf>
    <xf numFmtId="168" fontId="100" fillId="73" borderId="10" xfId="0" applyNumberFormat="1" applyFont="1" applyFill="1" applyBorder="1" applyAlignment="1">
      <alignment horizontal="center" vertical="center" wrapText="1"/>
    </xf>
    <xf numFmtId="168" fontId="103" fillId="74" borderId="10" xfId="0" applyNumberFormat="1" applyFont="1" applyFill="1" applyBorder="1" applyAlignment="1">
      <alignment horizontal="center" wrapText="1"/>
    </xf>
    <xf numFmtId="15" fontId="88" fillId="0" borderId="10" xfId="0" quotePrefix="1" applyNumberFormat="1" applyFont="1" applyBorder="1" applyAlignment="1">
      <alignment horizontal="center" vertical="center" wrapText="1"/>
    </xf>
    <xf numFmtId="0" fontId="88" fillId="0" borderId="10" xfId="0" applyFont="1" applyBorder="1" applyAlignment="1">
      <alignment horizontal="left" vertical="top" wrapText="1"/>
    </xf>
    <xf numFmtId="0" fontId="102" fillId="0" borderId="51" xfId="0" applyFont="1" applyBorder="1"/>
    <xf numFmtId="168" fontId="102" fillId="0" borderId="51" xfId="1" applyNumberFormat="1" applyFont="1" applyBorder="1"/>
    <xf numFmtId="0" fontId="102" fillId="0" borderId="51" xfId="0" applyFont="1" applyBorder="1" applyAlignment="1">
      <alignment horizontal="center"/>
    </xf>
    <xf numFmtId="168" fontId="88" fillId="0" borderId="10" xfId="1" applyNumberFormat="1" applyFont="1" applyFill="1" applyBorder="1" applyAlignment="1">
      <alignment horizontal="center" vertical="center"/>
    </xf>
    <xf numFmtId="168" fontId="102" fillId="0" borderId="10" xfId="1" applyNumberFormat="1" applyFont="1" applyBorder="1" applyAlignment="1">
      <alignment horizontal="center"/>
    </xf>
    <xf numFmtId="0" fontId="100" fillId="0" borderId="51" xfId="0" applyFont="1" applyBorder="1" applyAlignment="1">
      <alignment horizontal="left" vertical="center" wrapText="1"/>
    </xf>
    <xf numFmtId="0" fontId="60" fillId="0" borderId="51" xfId="0" applyFont="1" applyBorder="1" applyAlignment="1">
      <alignment horizontal="right" vertical="center" wrapText="1"/>
    </xf>
    <xf numFmtId="0" fontId="88" fillId="0" borderId="51" xfId="0" applyFont="1" applyBorder="1" applyAlignment="1">
      <alignment vertical="center" wrapText="1"/>
    </xf>
    <xf numFmtId="0" fontId="102" fillId="0" borderId="51" xfId="0" applyFont="1" applyBorder="1" applyAlignment="1">
      <alignment vertical="center" wrapText="1"/>
    </xf>
    <xf numFmtId="15" fontId="100" fillId="0" borderId="51" xfId="0" applyNumberFormat="1" applyFont="1" applyBorder="1" applyAlignment="1">
      <alignment horizontal="left" vertical="center" wrapText="1"/>
    </xf>
    <xf numFmtId="0" fontId="100" fillId="0" borderId="51" xfId="0" applyFont="1" applyBorder="1" applyAlignment="1">
      <alignment horizontal="center" vertical="center" wrapText="1"/>
    </xf>
    <xf numFmtId="15" fontId="88" fillId="0" borderId="51" xfId="0" quotePrefix="1" applyNumberFormat="1" applyFont="1" applyBorder="1" applyAlignment="1">
      <alignment horizontal="center" vertical="center" wrapText="1"/>
    </xf>
    <xf numFmtId="0" fontId="88" fillId="0" borderId="51" xfId="0" applyFont="1" applyBorder="1" applyAlignment="1">
      <alignment vertical="top" wrapText="1"/>
    </xf>
    <xf numFmtId="0" fontId="102" fillId="0" borderId="52" xfId="0" applyFont="1" applyBorder="1"/>
    <xf numFmtId="15" fontId="88" fillId="0" borderId="10" xfId="0" applyNumberFormat="1" applyFont="1" applyBorder="1" applyAlignment="1">
      <alignment horizontal="center" vertical="center" wrapText="1"/>
    </xf>
    <xf numFmtId="0" fontId="88" fillId="58" borderId="10" xfId="0" applyFont="1" applyFill="1" applyBorder="1" applyAlignment="1">
      <alignment horizontal="left" vertical="top" wrapText="1"/>
    </xf>
    <xf numFmtId="0" fontId="102" fillId="0" borderId="51" xfId="0" applyFont="1" applyBorder="1" applyAlignment="1">
      <alignment horizontal="center" vertical="center" wrapText="1"/>
    </xf>
    <xf numFmtId="0" fontId="102" fillId="0" borderId="54" xfId="0" applyFont="1" applyBorder="1"/>
    <xf numFmtId="0" fontId="60" fillId="0" borderId="51" xfId="0" applyFont="1" applyBorder="1" applyAlignment="1">
      <alignment vertical="center" wrapText="1"/>
    </xf>
    <xf numFmtId="0" fontId="102" fillId="0" borderId="51" xfId="0" applyFont="1" applyBorder="1" applyAlignment="1">
      <alignment vertical="top"/>
    </xf>
    <xf numFmtId="0" fontId="100" fillId="0" borderId="13" xfId="0" applyFont="1" applyBorder="1" applyAlignment="1">
      <alignment horizontal="center" vertical="center" wrapText="1"/>
    </xf>
    <xf numFmtId="0" fontId="102" fillId="0" borderId="13" xfId="0" applyFont="1" applyBorder="1" applyAlignment="1">
      <alignment vertical="top"/>
    </xf>
    <xf numFmtId="0" fontId="102" fillId="0" borderId="13" xfId="0" applyFont="1" applyBorder="1" applyAlignment="1">
      <alignment horizontal="center" vertical="top"/>
    </xf>
    <xf numFmtId="0" fontId="102" fillId="0" borderId="37" xfId="0" applyFont="1" applyBorder="1" applyAlignment="1">
      <alignment vertical="top"/>
    </xf>
    <xf numFmtId="0" fontId="21" fillId="0" borderId="10" xfId="45" applyBorder="1" applyAlignment="1">
      <alignment vertical="center" wrapText="1"/>
    </xf>
    <xf numFmtId="168" fontId="102" fillId="74" borderId="10" xfId="1" applyNumberFormat="1" applyFont="1" applyFill="1" applyBorder="1" applyAlignment="1">
      <alignment horizontal="center"/>
    </xf>
    <xf numFmtId="0" fontId="88" fillId="58" borderId="10" xfId="0" applyFont="1" applyFill="1" applyBorder="1" applyAlignment="1">
      <alignment vertical="center" wrapText="1"/>
    </xf>
    <xf numFmtId="0" fontId="94" fillId="58" borderId="10" xfId="0" applyFont="1" applyFill="1" applyBorder="1" applyAlignment="1">
      <alignment horizontal="left" vertical="center" wrapText="1"/>
    </xf>
    <xf numFmtId="0" fontId="87" fillId="58" borderId="10" xfId="0" applyFont="1" applyFill="1" applyBorder="1" applyAlignment="1">
      <alignment horizontal="center" vertical="center" wrapText="1"/>
    </xf>
    <xf numFmtId="0" fontId="88" fillId="0" borderId="13" xfId="0" applyFont="1" applyBorder="1" applyAlignment="1">
      <alignment horizontal="center" vertical="center" wrapText="1"/>
    </xf>
    <xf numFmtId="168" fontId="88" fillId="0" borderId="13" xfId="1" applyNumberFormat="1" applyFont="1" applyFill="1" applyBorder="1" applyAlignment="1">
      <alignment horizontal="center" vertical="center" wrapText="1"/>
    </xf>
    <xf numFmtId="0" fontId="103" fillId="58" borderId="10" xfId="0" applyFont="1" applyFill="1" applyBorder="1" applyAlignment="1">
      <alignment horizontal="left" wrapText="1"/>
    </xf>
    <xf numFmtId="0" fontId="103" fillId="58" borderId="10" xfId="0" applyFont="1" applyFill="1" applyBorder="1" applyAlignment="1">
      <alignment horizontal="center" vertical="center" wrapText="1"/>
    </xf>
    <xf numFmtId="168" fontId="102" fillId="58" borderId="10" xfId="1" applyNumberFormat="1" applyFont="1" applyFill="1" applyBorder="1" applyAlignment="1">
      <alignment horizontal="center"/>
    </xf>
    <xf numFmtId="0" fontId="103" fillId="58" borderId="10" xfId="0" applyFont="1" applyFill="1" applyBorder="1" applyAlignment="1">
      <alignment horizontal="center" wrapText="1"/>
    </xf>
    <xf numFmtId="168" fontId="103" fillId="58" borderId="13" xfId="0" applyNumberFormat="1" applyFont="1" applyFill="1" applyBorder="1" applyAlignment="1">
      <alignment horizontal="center" vertical="center" wrapText="1"/>
    </xf>
    <xf numFmtId="168" fontId="88" fillId="0" borderId="46" xfId="1" applyNumberFormat="1" applyFont="1" applyFill="1" applyBorder="1" applyAlignment="1">
      <alignment vertical="center" wrapText="1"/>
    </xf>
    <xf numFmtId="0" fontId="88" fillId="0" borderId="10" xfId="0" applyFont="1" applyBorder="1" applyAlignment="1">
      <alignment horizontal="center" vertical="center"/>
    </xf>
    <xf numFmtId="0" fontId="88" fillId="58" borderId="51" xfId="0" applyFont="1" applyFill="1" applyBorder="1" applyAlignment="1">
      <alignment vertical="center" wrapText="1"/>
    </xf>
    <xf numFmtId="0" fontId="60" fillId="90" borderId="12" xfId="0" applyFont="1" applyFill="1" applyBorder="1" applyAlignment="1">
      <alignment horizontal="right" vertical="center" wrapText="1"/>
    </xf>
    <xf numFmtId="0" fontId="87" fillId="90" borderId="40" xfId="0" applyFont="1" applyFill="1" applyBorder="1" applyAlignment="1">
      <alignment horizontal="left" vertical="top"/>
    </xf>
    <xf numFmtId="0" fontId="102" fillId="90" borderId="12" xfId="0" applyFont="1" applyFill="1" applyBorder="1"/>
    <xf numFmtId="0" fontId="100" fillId="90" borderId="12" xfId="0" applyFont="1" applyFill="1" applyBorder="1" applyAlignment="1">
      <alignment horizontal="center" wrapText="1"/>
    </xf>
    <xf numFmtId="15" fontId="88" fillId="90" borderId="12" xfId="0" quotePrefix="1" applyNumberFormat="1" applyFont="1" applyFill="1" applyBorder="1" applyAlignment="1">
      <alignment horizontal="center" vertical="center" wrapText="1"/>
    </xf>
    <xf numFmtId="181" fontId="102" fillId="90" borderId="12" xfId="0" applyNumberFormat="1" applyFont="1" applyFill="1" applyBorder="1" applyAlignment="1">
      <alignment horizontal="center" vertical="center"/>
    </xf>
    <xf numFmtId="0" fontId="102" fillId="90" borderId="12" xfId="0" applyFont="1" applyFill="1" applyBorder="1" applyAlignment="1">
      <alignment horizontal="center" vertical="center"/>
    </xf>
    <xf numFmtId="0" fontId="102" fillId="90" borderId="12" xfId="0" applyFont="1" applyFill="1" applyBorder="1" applyAlignment="1">
      <alignment horizontal="center"/>
    </xf>
    <xf numFmtId="165" fontId="102" fillId="90" borderId="12" xfId="1" applyFont="1" applyFill="1" applyBorder="1"/>
    <xf numFmtId="168" fontId="102" fillId="90" borderId="12" xfId="0" applyNumberFormat="1" applyFont="1" applyFill="1" applyBorder="1" applyAlignment="1">
      <alignment horizontal="center"/>
    </xf>
    <xf numFmtId="168" fontId="88" fillId="90" borderId="55" xfId="1" applyNumberFormat="1" applyFont="1" applyFill="1" applyBorder="1" applyAlignment="1">
      <alignment vertical="center" wrapText="1"/>
    </xf>
    <xf numFmtId="168" fontId="102" fillId="90" borderId="12" xfId="1" applyNumberFormat="1" applyFont="1" applyFill="1" applyBorder="1" applyAlignment="1">
      <alignment horizontal="center"/>
    </xf>
    <xf numFmtId="0" fontId="102" fillId="90" borderId="0" xfId="0" applyFont="1" applyFill="1"/>
    <xf numFmtId="0" fontId="60" fillId="58" borderId="51" xfId="0" applyFont="1" applyFill="1" applyBorder="1" applyAlignment="1">
      <alignment horizontal="right" vertical="center" wrapText="1"/>
    </xf>
    <xf numFmtId="17" fontId="88" fillId="0" borderId="51" xfId="0" applyNumberFormat="1" applyFont="1" applyBorder="1" applyAlignment="1">
      <alignment vertical="top" wrapText="1"/>
    </xf>
    <xf numFmtId="17" fontId="88" fillId="0" borderId="51" xfId="0" applyNumberFormat="1" applyFont="1" applyBorder="1" applyAlignment="1">
      <alignment horizontal="right" vertical="top" wrapText="1"/>
    </xf>
    <xf numFmtId="168" fontId="102" fillId="0" borderId="10" xfId="1" applyNumberFormat="1" applyFont="1" applyBorder="1"/>
    <xf numFmtId="168" fontId="102" fillId="0" borderId="51" xfId="0" applyNumberFormat="1" applyFont="1" applyBorder="1" applyAlignment="1">
      <alignment horizontal="center"/>
    </xf>
    <xf numFmtId="168" fontId="102" fillId="0" borderId="51" xfId="1" applyNumberFormat="1" applyFont="1" applyBorder="1" applyAlignment="1">
      <alignment horizontal="center"/>
    </xf>
    <xf numFmtId="0" fontId="60" fillId="58" borderId="51" xfId="0" applyFont="1" applyFill="1" applyBorder="1" applyAlignment="1">
      <alignment vertical="center" wrapText="1"/>
    </xf>
    <xf numFmtId="0" fontId="102" fillId="0" borderId="51" xfId="0" applyFont="1" applyBorder="1" applyAlignment="1">
      <alignment vertical="top" wrapText="1"/>
    </xf>
    <xf numFmtId="168" fontId="102" fillId="0" borderId="10" xfId="1" applyNumberFormat="1" applyFont="1" applyBorder="1" applyAlignment="1">
      <alignment vertical="center"/>
    </xf>
    <xf numFmtId="168" fontId="102" fillId="0" borderId="51" xfId="1" applyNumberFormat="1" applyFont="1" applyFill="1" applyBorder="1" applyAlignment="1">
      <alignment horizontal="center"/>
    </xf>
    <xf numFmtId="168" fontId="88" fillId="0" borderId="46" xfId="1" applyNumberFormat="1" applyFont="1" applyFill="1" applyBorder="1" applyAlignment="1">
      <alignment horizontal="center" vertical="center" wrapText="1"/>
    </xf>
    <xf numFmtId="168" fontId="102" fillId="0" borderId="51" xfId="1" applyNumberFormat="1" applyFont="1" applyBorder="1" applyAlignment="1">
      <alignment horizontal="center" vertical="center"/>
    </xf>
    <xf numFmtId="168" fontId="88" fillId="0" borderId="10" xfId="1" applyNumberFormat="1" applyFont="1" applyFill="1" applyBorder="1" applyAlignment="1">
      <alignment horizontal="center" vertical="center" wrapText="1"/>
    </xf>
    <xf numFmtId="0" fontId="60" fillId="90" borderId="51" xfId="0" applyFont="1" applyFill="1" applyBorder="1" applyAlignment="1">
      <alignment horizontal="right" vertical="center" wrapText="1"/>
    </xf>
    <xf numFmtId="0" fontId="87" fillId="90" borderId="46" xfId="0" applyFont="1" applyFill="1" applyBorder="1" applyAlignment="1">
      <alignment horizontal="left" vertical="top"/>
    </xf>
    <xf numFmtId="0" fontId="102" fillId="90" borderId="51" xfId="0" applyFont="1" applyFill="1" applyBorder="1"/>
    <xf numFmtId="0" fontId="100" fillId="90" borderId="51" xfId="0" applyFont="1" applyFill="1" applyBorder="1" applyAlignment="1">
      <alignment horizontal="center" wrapText="1"/>
    </xf>
    <xf numFmtId="15" fontId="88" fillId="90" borderId="51" xfId="0" quotePrefix="1" applyNumberFormat="1" applyFont="1" applyFill="1" applyBorder="1" applyAlignment="1">
      <alignment horizontal="center" vertical="center" wrapText="1"/>
    </xf>
    <xf numFmtId="181" fontId="102" fillId="90" borderId="51" xfId="0" applyNumberFormat="1" applyFont="1" applyFill="1" applyBorder="1" applyAlignment="1">
      <alignment horizontal="center" vertical="center"/>
    </xf>
    <xf numFmtId="0" fontId="102" fillId="90" borderId="51" xfId="0" applyFont="1" applyFill="1" applyBorder="1" applyAlignment="1">
      <alignment horizontal="center" vertical="center"/>
    </xf>
    <xf numFmtId="0" fontId="102" fillId="90" borderId="51" xfId="0" applyFont="1" applyFill="1" applyBorder="1" applyAlignment="1">
      <alignment horizontal="center"/>
    </xf>
    <xf numFmtId="165" fontId="102" fillId="90" borderId="51" xfId="1" applyFont="1" applyFill="1" applyBorder="1"/>
    <xf numFmtId="168" fontId="102" fillId="90" borderId="51" xfId="0" applyNumberFormat="1" applyFont="1" applyFill="1" applyBorder="1" applyAlignment="1">
      <alignment horizontal="center"/>
    </xf>
    <xf numFmtId="168" fontId="88" fillId="90" borderId="56" xfId="1" applyNumberFormat="1" applyFont="1" applyFill="1" applyBorder="1" applyAlignment="1">
      <alignment vertical="center" wrapText="1"/>
    </xf>
    <xf numFmtId="168" fontId="102" fillId="90" borderId="51" xfId="1" applyNumberFormat="1" applyFont="1" applyFill="1" applyBorder="1" applyAlignment="1">
      <alignment horizontal="center"/>
    </xf>
    <xf numFmtId="0" fontId="60" fillId="58" borderId="10" xfId="0" applyFont="1" applyFill="1" applyBorder="1" applyAlignment="1">
      <alignment vertical="center" wrapText="1"/>
    </xf>
    <xf numFmtId="168" fontId="88" fillId="0" borderId="10" xfId="1" applyNumberFormat="1" applyFont="1" applyFill="1" applyBorder="1" applyAlignment="1">
      <alignment vertical="center" wrapText="1"/>
    </xf>
    <xf numFmtId="0" fontId="88" fillId="0" borderId="51" xfId="0" applyFont="1" applyBorder="1" applyAlignment="1">
      <alignment horizontal="center" vertical="center" wrapText="1"/>
    </xf>
    <xf numFmtId="168" fontId="88" fillId="0" borderId="51" xfId="1" applyNumberFormat="1" applyFont="1" applyFill="1" applyBorder="1" applyAlignment="1">
      <alignment horizontal="center" vertical="center"/>
    </xf>
    <xf numFmtId="0" fontId="60" fillId="58" borderId="51" xfId="0" quotePrefix="1" applyFont="1" applyFill="1" applyBorder="1" applyAlignment="1">
      <alignment vertical="center" wrapText="1"/>
    </xf>
    <xf numFmtId="0" fontId="100" fillId="0" borderId="51" xfId="0" applyFont="1" applyBorder="1" applyAlignment="1">
      <alignment horizontal="center" wrapText="1"/>
    </xf>
    <xf numFmtId="181" fontId="102" fillId="0" borderId="51" xfId="0" applyNumberFormat="1" applyFont="1" applyBorder="1" applyAlignment="1">
      <alignment horizontal="center" vertical="center"/>
    </xf>
    <xf numFmtId="165" fontId="102" fillId="0" borderId="51" xfId="1" applyFont="1" applyBorder="1"/>
    <xf numFmtId="168" fontId="102" fillId="0" borderId="10" xfId="0" applyNumberFormat="1" applyFont="1" applyBorder="1" applyAlignment="1">
      <alignment horizontal="center"/>
    </xf>
    <xf numFmtId="168" fontId="88" fillId="0" borderId="10" xfId="1" applyNumberFormat="1" applyFont="1" applyFill="1" applyBorder="1" applyAlignment="1">
      <alignment vertical="center"/>
    </xf>
    <xf numFmtId="177" fontId="144" fillId="0" borderId="0" xfId="0" applyNumberFormat="1" applyFont="1" applyAlignment="1">
      <alignment vertical="center"/>
    </xf>
    <xf numFmtId="0" fontId="137" fillId="0" borderId="45" xfId="0" applyFont="1" applyBorder="1" applyAlignment="1">
      <alignment vertical="center"/>
    </xf>
    <xf numFmtId="0" fontId="138" fillId="34" borderId="51" xfId="0" applyFont="1" applyFill="1" applyBorder="1" applyAlignment="1">
      <alignment vertical="center" wrapText="1"/>
    </xf>
    <xf numFmtId="168" fontId="137" fillId="0" borderId="45" xfId="1" applyNumberFormat="1" applyFont="1" applyFill="1" applyBorder="1" applyAlignment="1">
      <alignment vertical="center"/>
    </xf>
    <xf numFmtId="168" fontId="137" fillId="0" borderId="46" xfId="1" applyNumberFormat="1" applyFont="1" applyFill="1" applyBorder="1" applyAlignment="1">
      <alignment vertical="center"/>
    </xf>
    <xf numFmtId="168" fontId="26" fillId="0" borderId="45" xfId="0" applyNumberFormat="1" applyFont="1" applyBorder="1" applyAlignment="1">
      <alignment vertical="center"/>
    </xf>
    <xf numFmtId="168" fontId="137" fillId="0" borderId="45" xfId="0" applyNumberFormat="1" applyFont="1" applyBorder="1" applyAlignment="1">
      <alignment vertical="center"/>
    </xf>
    <xf numFmtId="0" fontId="26" fillId="0" borderId="0" xfId="0" applyFont="1" applyAlignment="1">
      <alignment vertical="center"/>
    </xf>
    <xf numFmtId="0" fontId="138" fillId="0" borderId="51" xfId="0" applyFont="1" applyBorder="1" applyAlignment="1">
      <alignment vertical="center" wrapText="1"/>
    </xf>
    <xf numFmtId="0" fontId="138" fillId="34" borderId="45" xfId="0" applyFont="1" applyFill="1" applyBorder="1" applyAlignment="1">
      <alignment vertical="center" wrapText="1"/>
    </xf>
    <xf numFmtId="0" fontId="138" fillId="0" borderId="45" xfId="0" applyFont="1" applyBorder="1" applyAlignment="1">
      <alignment vertical="center" wrapText="1"/>
    </xf>
    <xf numFmtId="168" fontId="137" fillId="0" borderId="45" xfId="1" applyNumberFormat="1" applyFont="1" applyBorder="1" applyAlignment="1">
      <alignment vertical="center"/>
    </xf>
    <xf numFmtId="165" fontId="137" fillId="0" borderId="45" xfId="1" applyFont="1" applyFill="1" applyBorder="1" applyAlignment="1">
      <alignment vertical="center"/>
    </xf>
    <xf numFmtId="168" fontId="137" fillId="0" borderId="46" xfId="1" applyNumberFormat="1" applyFont="1" applyBorder="1" applyAlignment="1">
      <alignment vertical="center"/>
    </xf>
    <xf numFmtId="0" fontId="26" fillId="0" borderId="45" xfId="0" applyFont="1" applyBorder="1" applyAlignment="1">
      <alignment vertical="center"/>
    </xf>
    <xf numFmtId="168" fontId="26" fillId="0" borderId="45" xfId="1" applyNumberFormat="1" applyFont="1" applyFill="1" applyBorder="1" applyAlignment="1">
      <alignment vertical="center"/>
    </xf>
    <xf numFmtId="0" fontId="127" fillId="34" borderId="46" xfId="0" applyFont="1" applyFill="1" applyBorder="1" applyAlignment="1">
      <alignment vertical="center" wrapText="1"/>
    </xf>
    <xf numFmtId="165" fontId="102" fillId="0" borderId="45" xfId="1" applyFont="1" applyFill="1" applyBorder="1" applyAlignment="1">
      <alignment vertical="center"/>
    </xf>
    <xf numFmtId="0" fontId="127" fillId="0" borderId="46" xfId="0" applyFont="1" applyBorder="1" applyAlignment="1">
      <alignment vertical="center" wrapText="1"/>
    </xf>
    <xf numFmtId="168" fontId="103" fillId="0" borderId="45" xfId="1" applyNumberFormat="1" applyFont="1" applyFill="1" applyBorder="1" applyAlignment="1">
      <alignment vertical="center"/>
    </xf>
    <xf numFmtId="0" fontId="127" fillId="34" borderId="45" xfId="0" applyFont="1" applyFill="1" applyBorder="1" applyAlignment="1">
      <alignment vertical="center" wrapText="1"/>
    </xf>
    <xf numFmtId="0" fontId="127" fillId="0" borderId="45" xfId="0" applyFont="1" applyBorder="1" applyAlignment="1">
      <alignment vertical="center" wrapText="1"/>
    </xf>
    <xf numFmtId="0" fontId="100" fillId="74" borderId="45" xfId="0" applyFont="1" applyFill="1" applyBorder="1" applyAlignment="1">
      <alignment vertical="center" wrapText="1"/>
    </xf>
    <xf numFmtId="168" fontId="103" fillId="74" borderId="45" xfId="1" applyNumberFormat="1" applyFont="1" applyFill="1" applyBorder="1" applyAlignment="1">
      <alignment vertical="center"/>
    </xf>
    <xf numFmtId="181" fontId="102" fillId="0" borderId="45" xfId="0" applyNumberFormat="1" applyFont="1" applyBorder="1" applyAlignment="1">
      <alignment vertical="center"/>
    </xf>
    <xf numFmtId="168" fontId="102" fillId="0" borderId="45" xfId="1" applyNumberFormat="1" applyFont="1" applyBorder="1" applyAlignment="1">
      <alignment vertical="center"/>
    </xf>
    <xf numFmtId="184" fontId="131" fillId="0" borderId="45" xfId="0" applyNumberFormat="1" applyFont="1" applyBorder="1" applyAlignment="1">
      <alignment vertical="center"/>
    </xf>
    <xf numFmtId="184" fontId="131" fillId="0" borderId="45" xfId="1" applyNumberFormat="1" applyFont="1" applyBorder="1" applyAlignment="1" applyProtection="1">
      <alignment vertical="center"/>
    </xf>
    <xf numFmtId="184" fontId="135" fillId="85" borderId="47" xfId="0" applyNumberFormat="1" applyFont="1" applyFill="1" applyBorder="1" applyAlignment="1">
      <alignment vertical="center" wrapText="1"/>
    </xf>
    <xf numFmtId="184" fontId="135" fillId="87" borderId="47" xfId="0" applyNumberFormat="1" applyFont="1" applyFill="1" applyBorder="1" applyAlignment="1">
      <alignment vertical="center" wrapText="1"/>
    </xf>
    <xf numFmtId="184" fontId="135" fillId="85" borderId="49" xfId="0" applyNumberFormat="1" applyFont="1" applyFill="1" applyBorder="1" applyAlignment="1">
      <alignment vertical="center" wrapText="1"/>
    </xf>
    <xf numFmtId="184" fontId="135" fillId="87" borderId="49" xfId="0" applyNumberFormat="1" applyFont="1" applyFill="1" applyBorder="1" applyAlignment="1">
      <alignment vertical="center" wrapText="1"/>
    </xf>
    <xf numFmtId="184" fontId="0" fillId="0" borderId="0" xfId="0" applyNumberFormat="1" applyAlignment="1">
      <alignment vertical="center"/>
    </xf>
    <xf numFmtId="0" fontId="100" fillId="0" borderId="45" xfId="0" applyFont="1" applyBorder="1" applyAlignment="1">
      <alignment vertical="center" wrapText="1"/>
    </xf>
    <xf numFmtId="184" fontId="145" fillId="85" borderId="47" xfId="0" applyNumberFormat="1" applyFont="1" applyFill="1" applyBorder="1" applyAlignment="1">
      <alignment vertical="center" wrapText="1"/>
    </xf>
    <xf numFmtId="184" fontId="145" fillId="87" borderId="47" xfId="0" applyNumberFormat="1" applyFont="1" applyFill="1" applyBorder="1" applyAlignment="1">
      <alignment vertical="center" wrapText="1"/>
    </xf>
    <xf numFmtId="0" fontId="100" fillId="0" borderId="10" xfId="0" applyFont="1" applyBorder="1" applyAlignment="1">
      <alignment vertical="center" wrapText="1"/>
    </xf>
    <xf numFmtId="0" fontId="146" fillId="75" borderId="10" xfId="0" applyFont="1" applyFill="1" applyBorder="1" applyAlignment="1">
      <alignment horizontal="left" vertical="center" wrapText="1"/>
    </xf>
    <xf numFmtId="0" fontId="146" fillId="75" borderId="11" xfId="0" applyFont="1" applyFill="1" applyBorder="1" applyAlignment="1">
      <alignment horizontal="left" vertical="center" wrapText="1"/>
    </xf>
    <xf numFmtId="0" fontId="146" fillId="76" borderId="10" xfId="0" applyFont="1" applyFill="1" applyBorder="1" applyAlignment="1">
      <alignment horizontal="left" vertical="center" wrapText="1"/>
    </xf>
    <xf numFmtId="0" fontId="146" fillId="75" borderId="11" xfId="0" applyFont="1" applyFill="1" applyBorder="1" applyAlignment="1">
      <alignment vertical="center" wrapText="1"/>
    </xf>
    <xf numFmtId="0" fontId="147" fillId="76" borderId="10" xfId="0" applyFont="1" applyFill="1" applyBorder="1" applyAlignment="1">
      <alignment horizontal="left" vertical="center" wrapText="1"/>
    </xf>
    <xf numFmtId="0" fontId="147" fillId="75" borderId="36" xfId="0" applyFont="1" applyFill="1" applyBorder="1" applyAlignment="1">
      <alignment horizontal="left" vertical="center" wrapText="1"/>
    </xf>
    <xf numFmtId="0" fontId="105" fillId="0" borderId="10" xfId="0" applyFont="1" applyBorder="1" applyAlignment="1">
      <alignment vertical="center" wrapText="1"/>
    </xf>
    <xf numFmtId="0" fontId="105" fillId="74" borderId="10" xfId="0" applyFont="1" applyFill="1" applyBorder="1" applyAlignment="1">
      <alignment horizontal="left" vertical="center" wrapText="1"/>
    </xf>
    <xf numFmtId="0" fontId="105" fillId="0" borderId="11" xfId="0" applyFont="1" applyBorder="1" applyAlignment="1">
      <alignment vertical="center" wrapText="1"/>
    </xf>
    <xf numFmtId="0" fontId="149" fillId="33" borderId="10" xfId="579" applyFont="1" applyFill="1" applyBorder="1" applyAlignment="1">
      <alignment vertical="center" wrapText="1"/>
    </xf>
    <xf numFmtId="0" fontId="149" fillId="0" borderId="10" xfId="579" applyFont="1" applyBorder="1" applyAlignment="1">
      <alignment vertical="center" wrapText="1"/>
    </xf>
    <xf numFmtId="0" fontId="19" fillId="0" borderId="39" xfId="0" applyFont="1" applyBorder="1" applyAlignment="1">
      <alignment vertical="center" wrapText="1"/>
    </xf>
    <xf numFmtId="0" fontId="19" fillId="0" borderId="39" xfId="0" applyFont="1" applyBorder="1" applyAlignment="1">
      <alignment horizontal="left" vertical="center" wrapText="1"/>
    </xf>
    <xf numFmtId="0" fontId="150" fillId="0" borderId="39" xfId="0" applyFont="1" applyBorder="1" applyAlignment="1">
      <alignment vertical="center" wrapText="1"/>
    </xf>
    <xf numFmtId="0" fontId="19" fillId="0" borderId="10" xfId="0" applyFont="1" applyBorder="1" applyAlignment="1">
      <alignment vertical="center" wrapText="1"/>
    </xf>
    <xf numFmtId="0" fontId="150" fillId="0" borderId="43" xfId="0" applyFont="1" applyBorder="1" applyAlignment="1">
      <alignment horizontal="left" vertical="center" wrapText="1"/>
    </xf>
    <xf numFmtId="0" fontId="19" fillId="58" borderId="10" xfId="0" applyFont="1" applyFill="1" applyBorder="1" applyAlignment="1">
      <alignment vertical="center" wrapText="1"/>
    </xf>
    <xf numFmtId="0" fontId="100" fillId="0" borderId="0" xfId="0" applyFont="1" applyAlignment="1">
      <alignment vertical="center" wrapText="1"/>
    </xf>
    <xf numFmtId="0" fontId="99" fillId="0" borderId="0" xfId="0" applyFont="1" applyAlignment="1">
      <alignment vertical="center"/>
    </xf>
    <xf numFmtId="165" fontId="102" fillId="74" borderId="45" xfId="1" applyFont="1" applyFill="1" applyBorder="1" applyAlignment="1">
      <alignment vertical="center"/>
    </xf>
    <xf numFmtId="165" fontId="102" fillId="0" borderId="45" xfId="1" applyFont="1" applyBorder="1" applyAlignment="1">
      <alignment vertical="center"/>
    </xf>
    <xf numFmtId="0" fontId="105" fillId="74" borderId="34" xfId="0" applyFont="1" applyFill="1" applyBorder="1" applyAlignment="1">
      <alignment vertical="center" wrapText="1"/>
    </xf>
    <xf numFmtId="165" fontId="89" fillId="0" borderId="10" xfId="1" applyFont="1" applyBorder="1" applyAlignment="1">
      <alignment horizontal="center" vertical="center"/>
    </xf>
    <xf numFmtId="0" fontId="22" fillId="0" borderId="10" xfId="0" applyFont="1" applyBorder="1" applyAlignment="1">
      <alignment horizontal="center" vertical="center"/>
    </xf>
    <xf numFmtId="0" fontId="89" fillId="0" borderId="10" xfId="0" applyFont="1" applyBorder="1" applyAlignment="1">
      <alignment horizontal="center" vertical="center"/>
    </xf>
    <xf numFmtId="165" fontId="89" fillId="0" borderId="10" xfId="1" applyFont="1" applyBorder="1" applyAlignment="1">
      <alignment vertical="center"/>
    </xf>
    <xf numFmtId="0" fontId="105" fillId="74" borderId="10" xfId="0" applyFont="1" applyFill="1" applyBorder="1" applyAlignment="1">
      <alignment horizontal="left" vertical="center"/>
    </xf>
    <xf numFmtId="0" fontId="102" fillId="74" borderId="10" xfId="0" applyFont="1" applyFill="1" applyBorder="1" applyAlignment="1">
      <alignment vertical="center"/>
    </xf>
    <xf numFmtId="165" fontId="102" fillId="74" borderId="10" xfId="1" applyFont="1" applyFill="1" applyBorder="1" applyAlignment="1">
      <alignment vertical="center"/>
    </xf>
    <xf numFmtId="0" fontId="148" fillId="69" borderId="29" xfId="579" applyFont="1" applyFill="1" applyBorder="1" applyAlignment="1">
      <alignment horizontal="left" vertical="center" wrapText="1"/>
    </xf>
    <xf numFmtId="165" fontId="82" fillId="69" borderId="28" xfId="1" applyFont="1" applyFill="1" applyBorder="1" applyAlignment="1" applyProtection="1">
      <alignment horizontal="center" vertical="center" wrapText="1"/>
    </xf>
    <xf numFmtId="0" fontId="81" fillId="0" borderId="0" xfId="579" applyFont="1" applyAlignment="1">
      <alignment vertical="center"/>
    </xf>
    <xf numFmtId="165" fontId="111" fillId="0" borderId="29" xfId="1" applyFont="1" applyFill="1" applyBorder="1" applyAlignment="1" applyProtection="1">
      <alignment vertical="center"/>
    </xf>
    <xf numFmtId="165" fontId="81" fillId="0" borderId="28" xfId="1" applyFont="1" applyFill="1" applyBorder="1" applyAlignment="1" applyProtection="1">
      <alignment horizontal="center" vertical="center"/>
    </xf>
    <xf numFmtId="165" fontId="81" fillId="0" borderId="10" xfId="1" applyFont="1" applyFill="1" applyBorder="1" applyAlignment="1" applyProtection="1">
      <alignment vertical="center"/>
    </xf>
    <xf numFmtId="0" fontId="81" fillId="0" borderId="10" xfId="579" applyFont="1" applyBorder="1" applyAlignment="1">
      <alignment horizontal="center" vertical="center"/>
    </xf>
    <xf numFmtId="165" fontId="86" fillId="0" borderId="10" xfId="1" applyFont="1" applyFill="1" applyBorder="1" applyAlignment="1" applyProtection="1">
      <alignment horizontal="center" vertical="center"/>
    </xf>
    <xf numFmtId="0" fontId="0" fillId="0" borderId="10" xfId="0" applyBorder="1" applyAlignment="1">
      <alignment vertical="center"/>
    </xf>
    <xf numFmtId="181" fontId="89" fillId="0" borderId="10" xfId="0" applyNumberFormat="1" applyFont="1" applyBorder="1" applyAlignment="1">
      <alignment horizontal="center" vertical="center"/>
    </xf>
    <xf numFmtId="0" fontId="104" fillId="58" borderId="10" xfId="0" applyFont="1" applyFill="1" applyBorder="1" applyAlignment="1">
      <alignment horizontal="justify" vertical="center"/>
    </xf>
    <xf numFmtId="3" fontId="102" fillId="0" borderId="10" xfId="0" applyNumberFormat="1" applyFont="1" applyBorder="1" applyAlignment="1">
      <alignment horizontal="center" vertical="center"/>
    </xf>
    <xf numFmtId="0" fontId="104" fillId="58" borderId="0" xfId="0" applyFont="1" applyFill="1" applyAlignment="1">
      <alignment horizontal="justify" vertical="center"/>
    </xf>
    <xf numFmtId="181" fontId="88" fillId="0" borderId="10" xfId="0" applyNumberFormat="1" applyFont="1" applyBorder="1" applyAlignment="1">
      <alignment horizontal="center" vertical="center"/>
    </xf>
    <xf numFmtId="181" fontId="102" fillId="58" borderId="10" xfId="0" applyNumberFormat="1" applyFont="1" applyFill="1" applyBorder="1" applyAlignment="1">
      <alignment horizontal="center" vertical="center"/>
    </xf>
    <xf numFmtId="165" fontId="102" fillId="0" borderId="0" xfId="1" applyFont="1" applyAlignment="1">
      <alignment vertical="center"/>
    </xf>
    <xf numFmtId="165" fontId="89" fillId="0" borderId="0" xfId="1" applyFont="1" applyAlignment="1">
      <alignment horizontal="center" vertical="center"/>
    </xf>
    <xf numFmtId="0" fontId="90" fillId="0" borderId="0" xfId="0" applyFont="1" applyAlignment="1">
      <alignment vertical="center" wrapText="1"/>
    </xf>
    <xf numFmtId="0" fontId="103" fillId="74" borderId="10" xfId="0" applyFont="1" applyFill="1" applyBorder="1" applyAlignment="1">
      <alignment vertical="center" wrapText="1"/>
    </xf>
    <xf numFmtId="0" fontId="97" fillId="72" borderId="10" xfId="0" applyFont="1" applyFill="1" applyBorder="1" applyAlignment="1">
      <alignment vertical="center" wrapText="1"/>
    </xf>
    <xf numFmtId="0" fontId="22" fillId="0" borderId="10" xfId="0" applyFont="1" applyBorder="1" applyAlignment="1">
      <alignment vertical="center"/>
    </xf>
    <xf numFmtId="168" fontId="22" fillId="0" borderId="10" xfId="1" applyNumberFormat="1" applyFont="1" applyFill="1" applyBorder="1" applyAlignment="1">
      <alignment vertical="center"/>
    </xf>
    <xf numFmtId="168" fontId="22" fillId="58" borderId="10" xfId="1" applyNumberFormat="1" applyFont="1" applyFill="1" applyBorder="1" applyAlignment="1">
      <alignment vertical="center"/>
    </xf>
    <xf numFmtId="0" fontId="105" fillId="0" borderId="45" xfId="0" applyFont="1" applyBorder="1" applyAlignment="1">
      <alignment horizontal="center" vertical="center" wrapText="1"/>
    </xf>
    <xf numFmtId="168" fontId="105" fillId="62" borderId="45" xfId="1" applyNumberFormat="1" applyFont="1" applyFill="1" applyBorder="1" applyAlignment="1">
      <alignment vertical="center"/>
    </xf>
    <xf numFmtId="0" fontId="100" fillId="0" borderId="0" xfId="0" applyFont="1" applyAlignment="1">
      <alignment vertical="center"/>
    </xf>
    <xf numFmtId="14" fontId="124" fillId="0" borderId="45" xfId="0" applyNumberFormat="1" applyFont="1" applyBorder="1" applyAlignment="1">
      <alignment horizontal="center" vertical="center"/>
    </xf>
    <xf numFmtId="184" fontId="124" fillId="0" borderId="45" xfId="0" applyNumberFormat="1" applyFont="1" applyBorder="1" applyAlignment="1">
      <alignment horizontal="center" vertical="center"/>
    </xf>
    <xf numFmtId="184" fontId="124" fillId="86" borderId="45" xfId="1" applyNumberFormat="1" applyFont="1" applyFill="1" applyBorder="1" applyAlignment="1" applyProtection="1">
      <alignment vertical="center"/>
    </xf>
    <xf numFmtId="184" fontId="19" fillId="86" borderId="0" xfId="0" applyNumberFormat="1" applyFont="1" applyFill="1" applyAlignment="1">
      <alignment vertical="center"/>
    </xf>
    <xf numFmtId="184" fontId="123" fillId="0" borderId="45" xfId="0" applyNumberFormat="1" applyFont="1" applyBorder="1" applyAlignment="1">
      <alignment vertical="center"/>
    </xf>
    <xf numFmtId="184" fontId="123" fillId="0" borderId="45" xfId="1" applyNumberFormat="1" applyFont="1" applyBorder="1" applyAlignment="1" applyProtection="1">
      <alignment vertical="center"/>
    </xf>
    <xf numFmtId="184" fontId="19" fillId="0" borderId="0" xfId="0" applyNumberFormat="1" applyFont="1" applyAlignment="1">
      <alignment vertical="center"/>
    </xf>
    <xf numFmtId="0" fontId="138" fillId="0" borderId="45" xfId="0" applyFont="1" applyBorder="1" applyAlignment="1">
      <alignment vertical="center"/>
    </xf>
    <xf numFmtId="0" fontId="138" fillId="0" borderId="45" xfId="0" applyFont="1" applyBorder="1" applyAlignment="1">
      <alignment horizontal="center" vertical="center"/>
    </xf>
    <xf numFmtId="14" fontId="138" fillId="0" borderId="45" xfId="0" applyNumberFormat="1" applyFont="1" applyBorder="1" applyAlignment="1">
      <alignment horizontal="center" vertical="center"/>
    </xf>
    <xf numFmtId="168" fontId="138" fillId="0" borderId="46" xfId="1" applyNumberFormat="1" applyFont="1" applyFill="1" applyBorder="1" applyAlignment="1">
      <alignment vertical="center"/>
    </xf>
    <xf numFmtId="168" fontId="127" fillId="0" borderId="45" xfId="0" applyNumberFormat="1" applyFont="1" applyBorder="1" applyAlignment="1">
      <alignment vertical="center"/>
    </xf>
    <xf numFmtId="0" fontId="127" fillId="0" borderId="0" xfId="0" applyFont="1" applyAlignment="1">
      <alignment vertical="center"/>
    </xf>
    <xf numFmtId="165" fontId="138" fillId="0" borderId="45" xfId="1" applyFont="1" applyFill="1" applyBorder="1" applyAlignment="1">
      <alignment vertical="center"/>
    </xf>
    <xf numFmtId="168" fontId="3" fillId="0" borderId="45" xfId="0" applyNumberFormat="1" applyFont="1" applyBorder="1" applyAlignment="1">
      <alignment vertical="center"/>
    </xf>
    <xf numFmtId="0" fontId="3" fillId="0" borderId="0" xfId="0" applyFont="1" applyAlignment="1">
      <alignment vertical="center"/>
    </xf>
    <xf numFmtId="0" fontId="127" fillId="0" borderId="45" xfId="0" applyFont="1" applyBorder="1" applyAlignment="1">
      <alignment vertical="center"/>
    </xf>
    <xf numFmtId="0" fontId="127" fillId="0" borderId="45" xfId="0" applyFont="1" applyBorder="1" applyAlignment="1">
      <alignment horizontal="center" vertical="center"/>
    </xf>
    <xf numFmtId="3" fontId="105" fillId="0" borderId="57" xfId="1" applyNumberFormat="1" applyFont="1" applyFill="1" applyBorder="1" applyAlignment="1">
      <alignment vertical="center" wrapText="1"/>
    </xf>
    <xf numFmtId="0" fontId="3" fillId="0" borderId="45" xfId="0" applyFont="1" applyBorder="1" applyAlignment="1">
      <alignment vertical="center"/>
    </xf>
    <xf numFmtId="0" fontId="3" fillId="0" borderId="45" xfId="0" applyFont="1" applyBorder="1" applyAlignment="1">
      <alignment horizontal="center" vertical="center"/>
    </xf>
    <xf numFmtId="168" fontId="3" fillId="0" borderId="45" xfId="1" applyNumberFormat="1" applyFont="1" applyFill="1" applyBorder="1" applyAlignment="1">
      <alignment vertical="center"/>
    </xf>
    <xf numFmtId="165" fontId="105" fillId="74" borderId="45" xfId="1" applyFont="1" applyFill="1" applyBorder="1" applyAlignment="1">
      <alignment horizontal="center" vertical="center" wrapText="1"/>
    </xf>
    <xf numFmtId="165" fontId="95" fillId="34" borderId="57" xfId="1" applyFont="1" applyFill="1" applyBorder="1" applyAlignment="1">
      <alignment horizontal="center" vertical="center"/>
    </xf>
    <xf numFmtId="168" fontId="138" fillId="34" borderId="46" xfId="1" applyNumberFormat="1" applyFont="1" applyFill="1" applyBorder="1" applyAlignment="1">
      <alignment vertical="center"/>
    </xf>
    <xf numFmtId="164" fontId="123" fillId="34" borderId="45" xfId="1" applyNumberFormat="1" applyFont="1" applyFill="1" applyBorder="1" applyAlignment="1" applyProtection="1">
      <alignment vertical="center"/>
    </xf>
    <xf numFmtId="165" fontId="88" fillId="78" borderId="0" xfId="1" applyFont="1" applyFill="1" applyAlignment="1">
      <alignment vertical="center"/>
    </xf>
    <xf numFmtId="0" fontId="88" fillId="78" borderId="0" xfId="0" applyFont="1" applyFill="1" applyAlignment="1">
      <alignment vertical="center"/>
    </xf>
    <xf numFmtId="0" fontId="88" fillId="78" borderId="0" xfId="0" applyFont="1" applyFill="1" applyAlignment="1">
      <alignment horizontal="left" vertical="center"/>
    </xf>
    <xf numFmtId="165" fontId="92" fillId="78" borderId="0" xfId="1" applyFont="1" applyFill="1" applyAlignment="1">
      <alignment vertical="center"/>
    </xf>
    <xf numFmtId="165" fontId="87" fillId="78" borderId="0" xfId="1" applyFont="1" applyFill="1" applyBorder="1" applyAlignment="1">
      <alignment horizontal="center" vertical="center"/>
    </xf>
    <xf numFmtId="0" fontId="137" fillId="78" borderId="57" xfId="0" applyFont="1" applyFill="1" applyBorder="1" applyAlignment="1">
      <alignment vertical="center"/>
    </xf>
    <xf numFmtId="0" fontId="3" fillId="78" borderId="57" xfId="0" applyFont="1" applyFill="1" applyBorder="1" applyAlignment="1">
      <alignment vertical="center"/>
    </xf>
    <xf numFmtId="0" fontId="26" fillId="78" borderId="57" xfId="0" applyFont="1" applyFill="1" applyBorder="1" applyAlignment="1">
      <alignment vertical="center"/>
    </xf>
    <xf numFmtId="165" fontId="102" fillId="78" borderId="0" xfId="1" applyFont="1" applyFill="1" applyAlignment="1">
      <alignment horizontal="center" vertical="center"/>
    </xf>
    <xf numFmtId="185" fontId="138" fillId="34" borderId="45" xfId="0" applyNumberFormat="1" applyFont="1" applyFill="1" applyBorder="1" applyAlignment="1">
      <alignment vertical="center"/>
    </xf>
    <xf numFmtId="168" fontId="127" fillId="34" borderId="45" xfId="1" applyNumberFormat="1" applyFont="1" applyFill="1" applyBorder="1" applyAlignment="1">
      <alignment vertical="center"/>
    </xf>
    <xf numFmtId="168" fontId="127" fillId="78" borderId="57" xfId="0" applyNumberFormat="1" applyFont="1" applyFill="1" applyBorder="1" applyAlignment="1">
      <alignment vertical="center"/>
    </xf>
    <xf numFmtId="165" fontId="97" fillId="91" borderId="10" xfId="1" applyFont="1" applyFill="1" applyBorder="1" applyAlignment="1">
      <alignment horizontal="center" vertical="center" wrapText="1"/>
    </xf>
    <xf numFmtId="165" fontId="100" fillId="92" borderId="10" xfId="1" applyFont="1" applyFill="1" applyBorder="1" applyAlignment="1">
      <alignment horizontal="center" vertical="center" wrapText="1"/>
    </xf>
    <xf numFmtId="165" fontId="105" fillId="93" borderId="10" xfId="1" applyFont="1" applyFill="1" applyBorder="1" applyAlignment="1">
      <alignment horizontal="center" vertical="center" wrapText="1"/>
    </xf>
    <xf numFmtId="0" fontId="100" fillId="73" borderId="57" xfId="0" applyFont="1" applyFill="1" applyBorder="1" applyAlignment="1">
      <alignment horizontal="left" vertical="center" wrapText="1"/>
    </xf>
    <xf numFmtId="165" fontId="100" fillId="73" borderId="57" xfId="1" applyFont="1" applyFill="1" applyBorder="1" applyAlignment="1">
      <alignment horizontal="center" vertical="center" wrapText="1"/>
    </xf>
    <xf numFmtId="0" fontId="94" fillId="0" borderId="45" xfId="0" applyFont="1" applyBorder="1" applyAlignment="1">
      <alignment vertical="center" wrapText="1"/>
    </xf>
    <xf numFmtId="0" fontId="95" fillId="0" borderId="45" xfId="0" applyFont="1" applyBorder="1" applyAlignment="1">
      <alignment vertical="center" wrapText="1"/>
    </xf>
    <xf numFmtId="0" fontId="88" fillId="0" borderId="45" xfId="0" applyFont="1" applyBorder="1" applyAlignment="1">
      <alignment vertical="center" wrapText="1"/>
    </xf>
    <xf numFmtId="184" fontId="94" fillId="0" borderId="45" xfId="0" applyNumberFormat="1" applyFont="1" applyBorder="1" applyAlignment="1">
      <alignment vertical="center" wrapText="1"/>
    </xf>
    <xf numFmtId="184" fontId="95" fillId="0" borderId="45" xfId="0" applyNumberFormat="1" applyFont="1" applyBorder="1" applyAlignment="1">
      <alignment vertical="center" wrapText="1"/>
    </xf>
    <xf numFmtId="0" fontId="153" fillId="0" borderId="45" xfId="0" applyFont="1" applyBorder="1" applyAlignment="1">
      <alignment vertical="center" wrapText="1"/>
    </xf>
    <xf numFmtId="0" fontId="154" fillId="0" borderId="45" xfId="0" applyFont="1" applyBorder="1" applyAlignment="1">
      <alignment vertical="center" wrapText="1"/>
    </xf>
    <xf numFmtId="0" fontId="153" fillId="0" borderId="51" xfId="0" applyFont="1" applyBorder="1" applyAlignment="1">
      <alignment vertical="center" wrapText="1"/>
    </xf>
    <xf numFmtId="0" fontId="154" fillId="0" borderId="51" xfId="0" applyFont="1" applyBorder="1" applyAlignment="1">
      <alignment vertical="center" wrapText="1"/>
    </xf>
    <xf numFmtId="0" fontId="155" fillId="0" borderId="45" xfId="0" applyFont="1" applyBorder="1" applyAlignment="1">
      <alignment vertical="center" wrapText="1"/>
    </xf>
    <xf numFmtId="0" fontId="85" fillId="0" borderId="45" xfId="0" applyFont="1" applyBorder="1" applyAlignment="1">
      <alignment vertical="center" wrapText="1"/>
    </xf>
    <xf numFmtId="0" fontId="95" fillId="74" borderId="34" xfId="0" applyFont="1" applyFill="1" applyBorder="1" applyAlignment="1">
      <alignment vertical="center" wrapText="1"/>
    </xf>
    <xf numFmtId="0" fontId="95" fillId="0" borderId="10" xfId="0" applyFont="1" applyBorder="1" applyAlignment="1">
      <alignment vertical="center" wrapText="1"/>
    </xf>
    <xf numFmtId="0" fontId="95" fillId="0" borderId="11" xfId="0" applyFont="1" applyBorder="1" applyAlignment="1">
      <alignment vertical="center" wrapText="1"/>
    </xf>
    <xf numFmtId="0" fontId="157" fillId="33" borderId="10" xfId="579" applyFont="1" applyFill="1" applyBorder="1" applyAlignment="1">
      <alignment vertical="center" wrapText="1"/>
    </xf>
    <xf numFmtId="0" fontId="157" fillId="0" borderId="10" xfId="579" applyFont="1" applyBorder="1" applyAlignment="1">
      <alignment vertical="center" wrapText="1"/>
    </xf>
    <xf numFmtId="0" fontId="23" fillId="0" borderId="51" xfId="0" applyFont="1" applyBorder="1" applyAlignment="1">
      <alignment vertical="center" wrapText="1"/>
    </xf>
    <xf numFmtId="0" fontId="23" fillId="58" borderId="51" xfId="0" applyFont="1" applyFill="1" applyBorder="1" applyAlignment="1">
      <alignment vertical="center" wrapText="1"/>
    </xf>
    <xf numFmtId="0" fontId="23" fillId="58" borderId="10" xfId="0" applyFont="1" applyFill="1" applyBorder="1" applyAlignment="1">
      <alignment vertical="center" wrapText="1"/>
    </xf>
    <xf numFmtId="0" fontId="23" fillId="58" borderId="51" xfId="0" quotePrefix="1" applyFont="1" applyFill="1" applyBorder="1" applyAlignment="1">
      <alignment vertical="center" wrapText="1"/>
    </xf>
    <xf numFmtId="0" fontId="158" fillId="0" borderId="39" xfId="0" applyFont="1" applyBorder="1" applyAlignment="1">
      <alignment vertical="center" wrapText="1"/>
    </xf>
    <xf numFmtId="0" fontId="88" fillId="0" borderId="10" xfId="0" quotePrefix="1" applyFont="1" applyBorder="1" applyAlignment="1">
      <alignment vertical="center" wrapText="1"/>
    </xf>
    <xf numFmtId="0" fontId="88" fillId="0" borderId="10" xfId="0" applyFont="1" applyBorder="1" applyAlignment="1">
      <alignment vertical="center"/>
    </xf>
    <xf numFmtId="0" fontId="88" fillId="0" borderId="0" xfId="0" applyFont="1" applyAlignment="1">
      <alignment vertical="center" wrapText="1"/>
    </xf>
    <xf numFmtId="165" fontId="100" fillId="0" borderId="10" xfId="1" applyFont="1" applyBorder="1" applyAlignment="1">
      <alignment horizontal="center"/>
    </xf>
    <xf numFmtId="168" fontId="102" fillId="74" borderId="10" xfId="1" applyNumberFormat="1" applyFont="1" applyFill="1" applyBorder="1" applyAlignment="1">
      <alignment horizontal="center" vertical="center"/>
    </xf>
    <xf numFmtId="165" fontId="131" fillId="0" borderId="45" xfId="1" applyFont="1" applyBorder="1" applyAlignment="1" applyProtection="1">
      <alignment vertical="center"/>
    </xf>
    <xf numFmtId="165" fontId="123" fillId="0" borderId="45" xfId="1" applyFont="1" applyBorder="1" applyAlignment="1" applyProtection="1">
      <alignment vertical="center"/>
    </xf>
    <xf numFmtId="165" fontId="138" fillId="0" borderId="46" xfId="1" applyFont="1" applyFill="1" applyBorder="1" applyAlignment="1">
      <alignment vertical="center"/>
    </xf>
    <xf numFmtId="165" fontId="137" fillId="0" borderId="46" xfId="1" applyFont="1" applyFill="1" applyBorder="1" applyAlignment="1">
      <alignment vertical="center"/>
    </xf>
    <xf numFmtId="165" fontId="138" fillId="0" borderId="45" xfId="1" applyFont="1" applyBorder="1" applyAlignment="1">
      <alignment vertical="center"/>
    </xf>
    <xf numFmtId="165" fontId="137" fillId="0" borderId="45" xfId="1" applyFont="1" applyBorder="1" applyAlignment="1">
      <alignment vertical="center"/>
    </xf>
    <xf numFmtId="165" fontId="127" fillId="0" borderId="45" xfId="1" applyFont="1" applyFill="1" applyBorder="1" applyAlignment="1">
      <alignment vertical="center"/>
    </xf>
    <xf numFmtId="165" fontId="3" fillId="0" borderId="45" xfId="1" applyFont="1" applyFill="1" applyBorder="1" applyAlignment="1">
      <alignment vertical="center"/>
    </xf>
    <xf numFmtId="165" fontId="26" fillId="0" borderId="45" xfId="1" applyFont="1" applyFill="1" applyBorder="1" applyAlignment="1">
      <alignment vertical="center"/>
    </xf>
    <xf numFmtId="165" fontId="102" fillId="0" borderId="45" xfId="1" applyFont="1" applyBorder="1" applyAlignment="1">
      <alignment horizontal="center" vertical="center"/>
    </xf>
    <xf numFmtId="165" fontId="100" fillId="74" borderId="10" xfId="1" applyFont="1" applyFill="1" applyBorder="1" applyAlignment="1">
      <alignment horizontal="left" wrapText="1"/>
    </xf>
    <xf numFmtId="165" fontId="100" fillId="74" borderId="10" xfId="1" applyFont="1" applyFill="1" applyBorder="1" applyAlignment="1">
      <alignment vertical="center"/>
    </xf>
    <xf numFmtId="165" fontId="88" fillId="0" borderId="10" xfId="1" applyFont="1" applyFill="1" applyBorder="1" applyAlignment="1">
      <alignment horizontal="center" vertical="center"/>
    </xf>
    <xf numFmtId="165" fontId="102" fillId="0" borderId="51" xfId="1" applyFont="1" applyBorder="1" applyAlignment="1">
      <alignment horizontal="center" vertical="center"/>
    </xf>
    <xf numFmtId="165" fontId="58" fillId="0" borderId="0" xfId="1" applyFont="1" applyFill="1" applyBorder="1" applyAlignment="1">
      <alignment vertical="center"/>
    </xf>
    <xf numFmtId="165" fontId="58" fillId="0" borderId="39" xfId="1" applyFont="1" applyFill="1" applyBorder="1" applyAlignment="1">
      <alignment vertical="center"/>
    </xf>
    <xf numFmtId="165" fontId="22" fillId="0" borderId="10" xfId="1" applyFont="1" applyFill="1" applyBorder="1" applyAlignment="1">
      <alignment horizontal="center" vertical="center"/>
    </xf>
    <xf numFmtId="165" fontId="88" fillId="0" borderId="45" xfId="1" applyFont="1" applyBorder="1" applyAlignment="1">
      <alignment horizontal="center" vertical="center"/>
    </xf>
    <xf numFmtId="165" fontId="85" fillId="0" borderId="11" xfId="1" applyFont="1" applyFill="1" applyBorder="1" applyAlignment="1">
      <alignment vertical="center"/>
    </xf>
    <xf numFmtId="165" fontId="0" fillId="0" borderId="10" xfId="1" applyFont="1" applyFill="1" applyBorder="1" applyAlignment="1">
      <alignment horizontal="right" vertical="center"/>
    </xf>
    <xf numFmtId="165" fontId="26" fillId="0" borderId="10" xfId="1" applyFont="1" applyFill="1" applyBorder="1" applyAlignment="1">
      <alignment vertical="center"/>
    </xf>
    <xf numFmtId="165" fontId="0" fillId="0" borderId="0" xfId="1" applyFont="1" applyFill="1" applyBorder="1" applyAlignment="1">
      <alignment horizontal="right" vertical="center"/>
    </xf>
    <xf numFmtId="165" fontId="85" fillId="58" borderId="10" xfId="1" applyFont="1" applyFill="1" applyBorder="1" applyAlignment="1">
      <alignment horizontal="center" vertical="center"/>
    </xf>
    <xf numFmtId="177" fontId="63" fillId="0" borderId="10" xfId="0" applyNumberFormat="1" applyFont="1" applyBorder="1" applyAlignment="1">
      <alignment horizontal="center" vertical="center"/>
    </xf>
    <xf numFmtId="177" fontId="63" fillId="63" borderId="10" xfId="0" applyNumberFormat="1" applyFont="1" applyFill="1" applyBorder="1" applyAlignment="1">
      <alignment horizontal="center" vertical="center"/>
    </xf>
    <xf numFmtId="177" fontId="63" fillId="59" borderId="10" xfId="0" applyNumberFormat="1" applyFont="1" applyFill="1" applyBorder="1" applyAlignment="1">
      <alignment horizontal="center" vertical="center"/>
    </xf>
    <xf numFmtId="0" fontId="102" fillId="0" borderId="57" xfId="0" applyFont="1" applyBorder="1" applyAlignment="1">
      <alignment vertical="center"/>
    </xf>
    <xf numFmtId="165" fontId="102" fillId="0" borderId="57" xfId="1" applyFont="1" applyBorder="1" applyAlignment="1">
      <alignment vertical="center"/>
    </xf>
    <xf numFmtId="165" fontId="102" fillId="0" borderId="57" xfId="1" applyFont="1" applyBorder="1" applyAlignment="1">
      <alignment horizontal="center" vertical="center"/>
    </xf>
    <xf numFmtId="168" fontId="102" fillId="0" borderId="57" xfId="1" applyNumberFormat="1" applyFont="1" applyBorder="1" applyAlignment="1">
      <alignment horizontal="center" vertical="center"/>
    </xf>
    <xf numFmtId="0" fontId="103" fillId="74" borderId="57" xfId="0" applyFont="1" applyFill="1" applyBorder="1" applyAlignment="1">
      <alignment horizontal="left" vertical="center" wrapText="1"/>
    </xf>
    <xf numFmtId="0" fontId="103" fillId="74" borderId="57" xfId="0" applyFont="1" applyFill="1" applyBorder="1" applyAlignment="1">
      <alignment horizontal="center" vertical="center" wrapText="1"/>
    </xf>
    <xf numFmtId="0" fontId="103" fillId="74" borderId="57" xfId="0" applyFont="1" applyFill="1" applyBorder="1" applyAlignment="1">
      <alignment vertical="center" wrapText="1"/>
    </xf>
    <xf numFmtId="165" fontId="103" fillId="74" borderId="57" xfId="1" applyFont="1" applyFill="1" applyBorder="1" applyAlignment="1">
      <alignment horizontal="left" vertical="center" wrapText="1"/>
    </xf>
    <xf numFmtId="165" fontId="103" fillId="74" borderId="57" xfId="1" applyFont="1" applyFill="1" applyBorder="1" applyAlignment="1">
      <alignment horizontal="center" vertical="center" wrapText="1"/>
    </xf>
    <xf numFmtId="168" fontId="103" fillId="74" borderId="57" xfId="1" applyNumberFormat="1" applyFont="1" applyFill="1" applyBorder="1" applyAlignment="1">
      <alignment horizontal="center" vertical="center"/>
    </xf>
    <xf numFmtId="165" fontId="102" fillId="74" borderId="57" xfId="1" applyFont="1" applyFill="1" applyBorder="1" applyAlignment="1">
      <alignment horizontal="center" vertical="center"/>
    </xf>
    <xf numFmtId="165" fontId="160" fillId="94" borderId="57" xfId="1" applyFont="1" applyFill="1" applyBorder="1" applyAlignment="1">
      <alignment horizontal="center" vertical="center"/>
    </xf>
    <xf numFmtId="168" fontId="102" fillId="94" borderId="57" xfId="1" applyNumberFormat="1" applyFont="1" applyFill="1" applyBorder="1" applyAlignment="1">
      <alignment horizontal="center" vertical="center"/>
    </xf>
    <xf numFmtId="165" fontId="102" fillId="0" borderId="58" xfId="1" applyFont="1" applyBorder="1" applyAlignment="1">
      <alignment horizontal="center" vertical="center"/>
    </xf>
    <xf numFmtId="165" fontId="102" fillId="0" borderId="58" xfId="1" applyFont="1" applyFill="1" applyBorder="1" applyAlignment="1">
      <alignment horizontal="center" vertical="center"/>
    </xf>
    <xf numFmtId="165" fontId="102" fillId="74" borderId="58" xfId="1" applyFont="1" applyFill="1" applyBorder="1" applyAlignment="1">
      <alignment horizontal="center" vertical="center"/>
    </xf>
    <xf numFmtId="165" fontId="100" fillId="0" borderId="58" xfId="1" applyFont="1" applyFill="1" applyBorder="1" applyAlignment="1">
      <alignment horizontal="center" vertical="center"/>
    </xf>
    <xf numFmtId="182" fontId="58" fillId="0" borderId="59" xfId="1" applyNumberFormat="1" applyFont="1" applyFill="1" applyBorder="1" applyAlignment="1">
      <alignment vertical="center"/>
    </xf>
    <xf numFmtId="168" fontId="102" fillId="0" borderId="58" xfId="1" applyNumberFormat="1" applyFont="1" applyBorder="1" applyAlignment="1">
      <alignment horizontal="center" vertical="center"/>
    </xf>
    <xf numFmtId="165" fontId="102" fillId="0" borderId="56" xfId="1" applyFont="1" applyBorder="1" applyAlignment="1">
      <alignment horizontal="center" vertical="center"/>
    </xf>
    <xf numFmtId="165" fontId="102" fillId="0" borderId="57" xfId="1" applyFont="1" applyFill="1" applyBorder="1" applyAlignment="1">
      <alignment vertical="center"/>
    </xf>
    <xf numFmtId="165" fontId="102" fillId="74" borderId="57" xfId="1" applyFont="1" applyFill="1" applyBorder="1" applyAlignment="1">
      <alignment vertical="center"/>
    </xf>
    <xf numFmtId="165" fontId="100" fillId="73" borderId="57" xfId="1" applyFont="1" applyFill="1" applyBorder="1" applyAlignment="1">
      <alignment vertical="center" wrapText="1"/>
    </xf>
    <xf numFmtId="165" fontId="105" fillId="74" borderId="57" xfId="1" applyFont="1" applyFill="1" applyBorder="1" applyAlignment="1">
      <alignment vertical="center" wrapText="1"/>
    </xf>
    <xf numFmtId="164" fontId="124" fillId="34" borderId="57" xfId="1" applyNumberFormat="1" applyFont="1" applyFill="1" applyBorder="1" applyAlignment="1" applyProtection="1">
      <alignment vertical="center" wrapText="1"/>
    </xf>
    <xf numFmtId="184" fontId="131" fillId="78" borderId="57" xfId="1" applyNumberFormat="1" applyFont="1" applyFill="1" applyBorder="1" applyAlignment="1" applyProtection="1">
      <alignment vertical="center"/>
    </xf>
    <xf numFmtId="165" fontId="97" fillId="72" borderId="57" xfId="1" applyFont="1" applyFill="1" applyBorder="1" applyAlignment="1">
      <alignment vertical="center" wrapText="1"/>
    </xf>
    <xf numFmtId="165" fontId="105" fillId="74" borderId="57" xfId="1" applyFont="1" applyFill="1" applyBorder="1" applyAlignment="1">
      <alignment horizontal="center" vertical="center" wrapText="1"/>
    </xf>
    <xf numFmtId="0" fontId="102" fillId="0" borderId="57" xfId="0" applyFont="1" applyBorder="1"/>
    <xf numFmtId="165" fontId="102" fillId="0" borderId="57" xfId="0" applyNumberFormat="1" applyFont="1" applyBorder="1"/>
    <xf numFmtId="165" fontId="102" fillId="0" borderId="57" xfId="1" applyFont="1" applyBorder="1" applyAlignment="1">
      <alignment horizontal="center"/>
    </xf>
    <xf numFmtId="0" fontId="102" fillId="58" borderId="57" xfId="0" applyFont="1" applyFill="1" applyBorder="1"/>
    <xf numFmtId="165" fontId="102" fillId="0" borderId="57" xfId="1" applyFont="1" applyFill="1" applyBorder="1" applyAlignment="1">
      <alignment horizontal="center" vertical="center"/>
    </xf>
    <xf numFmtId="165" fontId="81" fillId="0" borderId="57" xfId="1" applyFont="1" applyFill="1" applyBorder="1" applyAlignment="1" applyProtection="1">
      <alignment horizontal="center" vertical="center"/>
    </xf>
    <xf numFmtId="165" fontId="100" fillId="0" borderId="57" xfId="1" applyFont="1" applyFill="1" applyBorder="1" applyAlignment="1">
      <alignment horizontal="center" vertical="center"/>
    </xf>
    <xf numFmtId="0" fontId="137" fillId="0" borderId="57" xfId="0" applyFont="1" applyBorder="1" applyAlignment="1">
      <alignment vertical="center"/>
    </xf>
    <xf numFmtId="0" fontId="3" fillId="0" borderId="57" xfId="0" applyFont="1" applyBorder="1" applyAlignment="1">
      <alignment vertical="center"/>
    </xf>
    <xf numFmtId="0" fontId="26" fillId="0" borderId="57" xfId="0" applyFont="1" applyBorder="1" applyAlignment="1">
      <alignment vertical="center"/>
    </xf>
    <xf numFmtId="182" fontId="58" fillId="0" borderId="57" xfId="1" applyNumberFormat="1" applyFont="1" applyFill="1" applyBorder="1" applyAlignment="1">
      <alignment vertical="center"/>
    </xf>
    <xf numFmtId="0" fontId="0" fillId="0" borderId="57" xfId="0" applyBorder="1" applyAlignment="1">
      <alignment vertical="center" wrapText="1"/>
    </xf>
    <xf numFmtId="168" fontId="102" fillId="0" borderId="57" xfId="1" applyNumberFormat="1" applyFont="1" applyFill="1" applyBorder="1" applyAlignment="1">
      <alignment horizontal="center" vertical="center"/>
    </xf>
    <xf numFmtId="165" fontId="102" fillId="0" borderId="57" xfId="1" applyFont="1" applyBorder="1"/>
    <xf numFmtId="165" fontId="102" fillId="0" borderId="58" xfId="1" applyFont="1" applyFill="1" applyBorder="1" applyAlignment="1">
      <alignment vertical="center"/>
    </xf>
    <xf numFmtId="165" fontId="0" fillId="0" borderId="58" xfId="0" applyNumberFormat="1" applyBorder="1" applyAlignment="1">
      <alignment vertical="center"/>
    </xf>
    <xf numFmtId="165" fontId="102" fillId="74" borderId="58" xfId="1" applyFont="1" applyFill="1" applyBorder="1" applyAlignment="1">
      <alignment vertical="center"/>
    </xf>
    <xf numFmtId="165" fontId="102" fillId="0" borderId="58" xfId="1" applyFont="1" applyBorder="1" applyAlignment="1">
      <alignment vertical="center"/>
    </xf>
    <xf numFmtId="184" fontId="131" fillId="0" borderId="58" xfId="1" applyNumberFormat="1" applyFont="1" applyBorder="1" applyAlignment="1" applyProtection="1">
      <alignment vertical="center"/>
    </xf>
    <xf numFmtId="164" fontId="123" fillId="34" borderId="58" xfId="1" applyNumberFormat="1" applyFont="1" applyFill="1" applyBorder="1" applyAlignment="1" applyProtection="1">
      <alignment vertical="center"/>
    </xf>
    <xf numFmtId="168" fontId="138" fillId="34" borderId="58" xfId="1" applyNumberFormat="1" applyFont="1" applyFill="1" applyBorder="1" applyAlignment="1">
      <alignment vertical="center"/>
    </xf>
    <xf numFmtId="168" fontId="137" fillId="0" borderId="58" xfId="0" applyNumberFormat="1" applyFont="1" applyBorder="1" applyAlignment="1">
      <alignment vertical="center"/>
    </xf>
    <xf numFmtId="0" fontId="137" fillId="0" borderId="58" xfId="0" applyFont="1" applyBorder="1" applyAlignment="1">
      <alignment vertical="center"/>
    </xf>
    <xf numFmtId="185" fontId="138" fillId="34" borderId="58" xfId="0" applyNumberFormat="1" applyFont="1" applyFill="1" applyBorder="1" applyAlignment="1">
      <alignment vertical="center"/>
    </xf>
    <xf numFmtId="0" fontId="3" fillId="0" borderId="58" xfId="0" applyFont="1" applyBorder="1" applyAlignment="1">
      <alignment vertical="center"/>
    </xf>
    <xf numFmtId="0" fontId="26" fillId="0" borderId="58" xfId="0" applyFont="1" applyBorder="1" applyAlignment="1">
      <alignment vertical="center"/>
    </xf>
    <xf numFmtId="168" fontId="127" fillId="34" borderId="58" xfId="1" applyNumberFormat="1" applyFont="1" applyFill="1" applyBorder="1" applyAlignment="1">
      <alignment vertical="center"/>
    </xf>
    <xf numFmtId="165" fontId="102" fillId="0" borderId="58" xfId="1" applyFont="1" applyBorder="1" applyAlignment="1">
      <alignment horizontal="center"/>
    </xf>
    <xf numFmtId="165" fontId="88" fillId="0" borderId="58" xfId="1" applyFont="1" applyBorder="1" applyAlignment="1">
      <alignment horizontal="center" vertical="center"/>
    </xf>
    <xf numFmtId="165" fontId="102" fillId="58" borderId="58" xfId="1" applyFont="1" applyFill="1" applyBorder="1" applyAlignment="1">
      <alignment horizontal="center"/>
    </xf>
    <xf numFmtId="165" fontId="81" fillId="0" borderId="60" xfId="1" applyFont="1" applyFill="1" applyBorder="1" applyAlignment="1" applyProtection="1">
      <alignment horizontal="center" vertical="center"/>
    </xf>
    <xf numFmtId="165" fontId="100" fillId="0" borderId="58" xfId="1" applyFont="1" applyBorder="1" applyAlignment="1">
      <alignment horizontal="center" vertical="center"/>
    </xf>
    <xf numFmtId="164" fontId="105" fillId="34" borderId="57" xfId="1" applyNumberFormat="1" applyFont="1" applyFill="1" applyBorder="1" applyAlignment="1">
      <alignment vertical="center" wrapText="1"/>
    </xf>
    <xf numFmtId="165" fontId="89" fillId="74" borderId="57" xfId="1" applyFont="1" applyFill="1" applyBorder="1" applyAlignment="1">
      <alignment vertical="center"/>
    </xf>
    <xf numFmtId="165" fontId="89" fillId="0" borderId="57" xfId="1" applyFont="1" applyBorder="1" applyAlignment="1">
      <alignment vertical="center"/>
    </xf>
    <xf numFmtId="184" fontId="131" fillId="0" borderId="57" xfId="1" applyNumberFormat="1" applyFont="1" applyBorder="1" applyAlignment="1" applyProtection="1">
      <alignment vertical="center"/>
    </xf>
    <xf numFmtId="184" fontId="0" fillId="0" borderId="57" xfId="0" applyNumberFormat="1" applyBorder="1" applyAlignment="1">
      <alignment vertical="center"/>
    </xf>
    <xf numFmtId="164" fontId="123" fillId="34" borderId="57" xfId="1" applyNumberFormat="1" applyFont="1" applyFill="1" applyBorder="1" applyAlignment="1" applyProtection="1">
      <alignment vertical="center"/>
    </xf>
    <xf numFmtId="168" fontId="138" fillId="34" borderId="57" xfId="1" applyNumberFormat="1" applyFont="1" applyFill="1" applyBorder="1" applyAlignment="1">
      <alignment vertical="center"/>
    </xf>
    <xf numFmtId="185" fontId="138" fillId="34" borderId="57" xfId="0" applyNumberFormat="1" applyFont="1" applyFill="1" applyBorder="1" applyAlignment="1">
      <alignment vertical="center"/>
    </xf>
    <xf numFmtId="168" fontId="127" fillId="34" borderId="57" xfId="1" applyNumberFormat="1" applyFont="1" applyFill="1" applyBorder="1" applyAlignment="1">
      <alignment vertical="center"/>
    </xf>
    <xf numFmtId="165" fontId="97" fillId="72" borderId="57" xfId="1" applyFont="1" applyFill="1" applyBorder="1" applyAlignment="1">
      <alignment horizontal="center" vertical="center" wrapText="1"/>
    </xf>
    <xf numFmtId="165" fontId="89" fillId="0" borderId="57" xfId="1" applyFont="1" applyBorder="1" applyAlignment="1">
      <alignment horizontal="center" vertical="center"/>
    </xf>
    <xf numFmtId="165" fontId="105" fillId="74" borderId="57" xfId="1" applyFont="1" applyFill="1" applyBorder="1" applyAlignment="1">
      <alignment horizontal="center" wrapText="1"/>
    </xf>
    <xf numFmtId="165" fontId="102" fillId="58" borderId="57" xfId="1" applyFont="1" applyFill="1" applyBorder="1" applyAlignment="1">
      <alignment horizontal="center"/>
    </xf>
    <xf numFmtId="0" fontId="81" fillId="0" borderId="57" xfId="579" applyFont="1" applyBorder="1" applyAlignment="1">
      <alignment vertical="center"/>
    </xf>
    <xf numFmtId="168" fontId="102" fillId="0" borderId="57" xfId="1" applyNumberFormat="1" applyFont="1" applyBorder="1" applyAlignment="1">
      <alignment horizontal="center"/>
    </xf>
    <xf numFmtId="168" fontId="102" fillId="0" borderId="57" xfId="0" applyNumberFormat="1" applyFont="1" applyBorder="1" applyAlignment="1">
      <alignment vertical="center"/>
    </xf>
    <xf numFmtId="0" fontId="0" fillId="0" borderId="57" xfId="0" applyBorder="1"/>
    <xf numFmtId="164" fontId="124" fillId="78" borderId="57" xfId="1" applyNumberFormat="1" applyFont="1" applyFill="1" applyBorder="1" applyAlignment="1" applyProtection="1">
      <alignment vertical="center" wrapText="1"/>
    </xf>
    <xf numFmtId="165" fontId="100" fillId="34" borderId="10" xfId="1" applyFont="1" applyFill="1" applyBorder="1" applyAlignment="1">
      <alignment horizontal="center"/>
    </xf>
    <xf numFmtId="165" fontId="102" fillId="34" borderId="10" xfId="1" applyFont="1" applyFill="1" applyBorder="1" applyAlignment="1">
      <alignment horizontal="center"/>
    </xf>
    <xf numFmtId="165" fontId="102" fillId="34" borderId="58" xfId="1" applyFont="1" applyFill="1" applyBorder="1" applyAlignment="1">
      <alignment horizontal="center"/>
    </xf>
    <xf numFmtId="165" fontId="102" fillId="34" borderId="57" xfId="1" applyFont="1" applyFill="1" applyBorder="1" applyAlignment="1">
      <alignment horizontal="center"/>
    </xf>
    <xf numFmtId="0" fontId="102" fillId="34" borderId="57" xfId="0" applyFont="1" applyFill="1" applyBorder="1"/>
    <xf numFmtId="165" fontId="160" fillId="94" borderId="51" xfId="1" applyFont="1" applyFill="1" applyBorder="1" applyAlignment="1">
      <alignment horizontal="center" vertical="center"/>
    </xf>
    <xf numFmtId="181" fontId="94" fillId="0" borderId="61" xfId="43" applyNumberFormat="1" applyFont="1" applyBorder="1" applyAlignment="1">
      <alignment horizontal="center" vertical="center" wrapText="1"/>
    </xf>
    <xf numFmtId="181" fontId="94" fillId="0" borderId="61" xfId="0" applyNumberFormat="1" applyFont="1" applyBorder="1" applyAlignment="1">
      <alignment horizontal="center" vertical="center"/>
    </xf>
    <xf numFmtId="0" fontId="87" fillId="0" borderId="61" xfId="43" applyFont="1" applyBorder="1" applyAlignment="1">
      <alignment horizontal="center" vertical="center" wrapText="1"/>
    </xf>
    <xf numFmtId="165" fontId="95" fillId="34" borderId="61" xfId="1" applyFont="1" applyFill="1" applyBorder="1" applyAlignment="1">
      <alignment horizontal="center" vertical="center"/>
    </xf>
    <xf numFmtId="165" fontId="96" fillId="34" borderId="61" xfId="1" applyFont="1" applyFill="1" applyBorder="1" applyAlignment="1">
      <alignment horizontal="center" vertical="center"/>
    </xf>
    <xf numFmtId="0" fontId="100" fillId="73" borderId="61" xfId="0" applyFont="1" applyFill="1" applyBorder="1" applyAlignment="1">
      <alignment horizontal="center" vertical="center" wrapText="1"/>
    </xf>
    <xf numFmtId="0" fontId="100" fillId="73" borderId="61" xfId="0" applyFont="1" applyFill="1" applyBorder="1" applyAlignment="1">
      <alignment vertical="center" wrapText="1"/>
    </xf>
    <xf numFmtId="0" fontId="100" fillId="73" borderId="61" xfId="0" applyFont="1" applyFill="1" applyBorder="1" applyAlignment="1">
      <alignment horizontal="left" vertical="center" wrapText="1"/>
    </xf>
    <xf numFmtId="165" fontId="100" fillId="73" borderId="61" xfId="1" applyFont="1" applyFill="1" applyBorder="1" applyAlignment="1">
      <alignment horizontal="left" vertical="center" wrapText="1"/>
    </xf>
    <xf numFmtId="165" fontId="100" fillId="73" borderId="61" xfId="1" applyFont="1" applyFill="1" applyBorder="1" applyAlignment="1">
      <alignment horizontal="center" vertical="center" wrapText="1"/>
    </xf>
    <xf numFmtId="168" fontId="100" fillId="73" borderId="61" xfId="1" applyNumberFormat="1" applyFont="1" applyFill="1" applyBorder="1" applyAlignment="1">
      <alignment horizontal="center" vertical="center" wrapText="1"/>
    </xf>
    <xf numFmtId="0" fontId="100" fillId="74" borderId="61" xfId="0" applyFont="1" applyFill="1" applyBorder="1" applyAlignment="1">
      <alignment horizontal="center" vertical="center" wrapText="1"/>
    </xf>
    <xf numFmtId="0" fontId="103" fillId="74" borderId="61" xfId="0" applyFont="1" applyFill="1" applyBorder="1" applyAlignment="1">
      <alignment vertical="center" wrapText="1"/>
    </xf>
    <xf numFmtId="0" fontId="103" fillId="74" borderId="61" xfId="0" applyFont="1" applyFill="1" applyBorder="1" applyAlignment="1">
      <alignment horizontal="center" vertical="center" wrapText="1"/>
    </xf>
    <xf numFmtId="0" fontId="103" fillId="74" borderId="61" xfId="0" applyFont="1" applyFill="1" applyBorder="1" applyAlignment="1">
      <alignment horizontal="left" vertical="center" wrapText="1"/>
    </xf>
    <xf numFmtId="165" fontId="103" fillId="74" borderId="61" xfId="1" applyFont="1" applyFill="1" applyBorder="1" applyAlignment="1">
      <alignment horizontal="left" vertical="center" wrapText="1"/>
    </xf>
    <xf numFmtId="165" fontId="103" fillId="74" borderId="61" xfId="1" applyFont="1" applyFill="1" applyBorder="1" applyAlignment="1">
      <alignment horizontal="center" vertical="center" wrapText="1"/>
    </xf>
    <xf numFmtId="168" fontId="103" fillId="74" borderId="61" xfId="1" applyNumberFormat="1" applyFont="1" applyFill="1" applyBorder="1" applyAlignment="1">
      <alignment horizontal="center" vertical="center"/>
    </xf>
    <xf numFmtId="165" fontId="102" fillId="74" borderId="61" xfId="1" applyFont="1" applyFill="1" applyBorder="1" applyAlignment="1">
      <alignment horizontal="center" vertical="center"/>
    </xf>
    <xf numFmtId="165" fontId="102" fillId="74" borderId="63" xfId="1" applyFont="1" applyFill="1" applyBorder="1" applyAlignment="1">
      <alignment horizontal="center" vertical="center"/>
    </xf>
    <xf numFmtId="1" fontId="88" fillId="0" borderId="0" xfId="0" applyNumberFormat="1" applyFont="1" applyAlignment="1">
      <alignment horizontal="center" vertical="center"/>
    </xf>
    <xf numFmtId="1" fontId="92" fillId="0" borderId="0" xfId="0" applyNumberFormat="1" applyFont="1" applyAlignment="1">
      <alignment horizontal="center" vertical="center"/>
    </xf>
    <xf numFmtId="1" fontId="125" fillId="0" borderId="46" xfId="0" applyNumberFormat="1" applyFont="1" applyBorder="1" applyAlignment="1">
      <alignment horizontal="center" vertical="center"/>
    </xf>
    <xf numFmtId="1" fontId="112" fillId="0" borderId="46" xfId="0" applyNumberFormat="1" applyFont="1" applyBorder="1" applyAlignment="1">
      <alignment horizontal="center" vertical="center"/>
    </xf>
    <xf numFmtId="1" fontId="102" fillId="0" borderId="45" xfId="0" applyNumberFormat="1" applyFont="1" applyBorder="1" applyAlignment="1">
      <alignment horizontal="center" vertical="center"/>
    </xf>
    <xf numFmtId="1" fontId="112" fillId="0" borderId="45" xfId="0" applyNumberFormat="1" applyFont="1" applyBorder="1" applyAlignment="1">
      <alignment horizontal="center" vertical="center"/>
    </xf>
    <xf numFmtId="1" fontId="125" fillId="0" borderId="45" xfId="0" applyNumberFormat="1" applyFont="1" applyBorder="1" applyAlignment="1">
      <alignment horizontal="center" vertical="center"/>
    </xf>
    <xf numFmtId="1" fontId="138" fillId="0" borderId="45" xfId="45" applyNumberFormat="1" applyFont="1" applyBorder="1" applyAlignment="1">
      <alignment horizontal="center" vertical="center"/>
    </xf>
    <xf numFmtId="1" fontId="137" fillId="0" borderId="45" xfId="45" applyNumberFormat="1" applyFont="1" applyBorder="1" applyAlignment="1">
      <alignment horizontal="center" vertical="center"/>
    </xf>
    <xf numFmtId="1" fontId="102" fillId="0" borderId="10" xfId="0" applyNumberFormat="1" applyFont="1" applyBorder="1" applyAlignment="1">
      <alignment horizontal="center" vertical="center"/>
    </xf>
    <xf numFmtId="1" fontId="21" fillId="0" borderId="10" xfId="45" applyNumberFormat="1" applyBorder="1" applyAlignment="1">
      <alignment horizontal="center" vertical="center"/>
    </xf>
    <xf numFmtId="1" fontId="21" fillId="0" borderId="0" xfId="45" applyNumberFormat="1" applyAlignment="1">
      <alignment horizontal="center" vertical="center"/>
    </xf>
    <xf numFmtId="1" fontId="102" fillId="0" borderId="45" xfId="0" applyNumberFormat="1" applyFont="1" applyBorder="1" applyAlignment="1">
      <alignment horizontal="center"/>
    </xf>
    <xf numFmtId="1" fontId="102" fillId="0" borderId="10" xfId="0" applyNumberFormat="1" applyFont="1" applyBorder="1" applyAlignment="1">
      <alignment horizontal="center"/>
    </xf>
    <xf numFmtId="1" fontId="102" fillId="74" borderId="10" xfId="0" applyNumberFormat="1" applyFont="1" applyFill="1" applyBorder="1" applyAlignment="1">
      <alignment horizontal="center"/>
    </xf>
    <xf numFmtId="1" fontId="102" fillId="74" borderId="10" xfId="0" applyNumberFormat="1" applyFont="1" applyFill="1" applyBorder="1" applyAlignment="1">
      <alignment horizontal="center" vertical="center"/>
    </xf>
    <xf numFmtId="1" fontId="103" fillId="0" borderId="10" xfId="0" applyNumberFormat="1" applyFont="1" applyBorder="1" applyAlignment="1">
      <alignment horizontal="center" vertical="center"/>
    </xf>
    <xf numFmtId="1" fontId="81" fillId="0" borderId="28" xfId="579" applyNumberFormat="1" applyFont="1" applyBorder="1" applyAlignment="1">
      <alignment horizontal="center" vertical="center"/>
    </xf>
    <xf numFmtId="1" fontId="102" fillId="0" borderId="0" xfId="0" applyNumberFormat="1" applyFont="1" applyAlignment="1">
      <alignment horizontal="center" vertical="center"/>
    </xf>
    <xf numFmtId="0" fontId="97" fillId="72" borderId="10" xfId="0" applyFont="1" applyFill="1" applyBorder="1" applyAlignment="1">
      <alignment vertical="center"/>
    </xf>
    <xf numFmtId="0" fontId="100" fillId="73" borderId="10" xfId="0" applyFont="1" applyFill="1" applyBorder="1" applyAlignment="1">
      <alignment vertical="center"/>
    </xf>
    <xf numFmtId="0" fontId="87" fillId="0" borderId="0" xfId="0" applyFont="1" applyAlignment="1">
      <alignment horizontal="center" vertical="center"/>
    </xf>
    <xf numFmtId="0" fontId="87" fillId="0" borderId="0" xfId="0" applyFont="1" applyAlignment="1">
      <alignment vertical="center"/>
    </xf>
    <xf numFmtId="0" fontId="90" fillId="0" borderId="0" xfId="0" applyFont="1" applyAlignment="1">
      <alignment horizontal="left" vertical="center"/>
    </xf>
    <xf numFmtId="0" fontId="90" fillId="0" borderId="0" xfId="0" applyFont="1" applyAlignment="1">
      <alignment horizontal="center" vertical="center"/>
    </xf>
    <xf numFmtId="0" fontId="90" fillId="0" borderId="0" xfId="0" applyFont="1" applyAlignment="1">
      <alignment vertical="center"/>
    </xf>
    <xf numFmtId="1" fontId="90" fillId="0" borderId="0" xfId="0" applyNumberFormat="1" applyFont="1" applyAlignment="1">
      <alignment horizontal="center" vertical="center"/>
    </xf>
    <xf numFmtId="165" fontId="90" fillId="0" borderId="0" xfId="1" applyFont="1" applyFill="1" applyAlignment="1">
      <alignment horizontal="left" vertical="center"/>
    </xf>
    <xf numFmtId="165" fontId="90" fillId="0" borderId="0" xfId="1" applyFont="1" applyFill="1" applyAlignment="1">
      <alignment horizontal="center" vertical="center"/>
    </xf>
    <xf numFmtId="168" fontId="90" fillId="0" borderId="0" xfId="1" applyNumberFormat="1" applyFont="1" applyFill="1" applyAlignment="1">
      <alignment horizontal="center" vertical="center"/>
    </xf>
    <xf numFmtId="0" fontId="91" fillId="0" borderId="0" xfId="0" applyFont="1" applyAlignment="1">
      <alignment horizontal="center" vertical="center"/>
    </xf>
    <xf numFmtId="0" fontId="91" fillId="0" borderId="0" xfId="0" applyFont="1" applyAlignment="1">
      <alignment vertical="center"/>
    </xf>
    <xf numFmtId="181" fontId="94" fillId="0" borderId="10" xfId="43" applyNumberFormat="1" applyFont="1" applyBorder="1" applyAlignment="1">
      <alignment horizontal="center" vertical="center"/>
    </xf>
    <xf numFmtId="0" fontId="97" fillId="72" borderId="10" xfId="0" applyFont="1" applyFill="1" applyBorder="1" applyAlignment="1">
      <alignment horizontal="center" vertical="center"/>
    </xf>
    <xf numFmtId="1" fontId="97" fillId="72" borderId="10" xfId="0" applyNumberFormat="1" applyFont="1" applyFill="1" applyBorder="1" applyAlignment="1">
      <alignment horizontal="center" vertical="center"/>
    </xf>
    <xf numFmtId="0" fontId="97" fillId="72" borderId="10" xfId="0" applyFont="1" applyFill="1" applyBorder="1" applyAlignment="1">
      <alignment horizontal="left" vertical="center"/>
    </xf>
    <xf numFmtId="165" fontId="97" fillId="72" borderId="10" xfId="1" applyFont="1" applyFill="1" applyBorder="1" applyAlignment="1">
      <alignment horizontal="left" vertical="center"/>
    </xf>
    <xf numFmtId="165" fontId="97" fillId="72" borderId="10" xfId="1" applyFont="1" applyFill="1" applyBorder="1" applyAlignment="1">
      <alignment horizontal="center" vertical="center"/>
    </xf>
    <xf numFmtId="168" fontId="97" fillId="72" borderId="10" xfId="1" applyNumberFormat="1" applyFont="1" applyFill="1" applyBorder="1" applyAlignment="1">
      <alignment horizontal="center" vertical="center"/>
    </xf>
    <xf numFmtId="165" fontId="97" fillId="91" borderId="10" xfId="1" applyFont="1" applyFill="1" applyBorder="1" applyAlignment="1">
      <alignment horizontal="center" vertical="center"/>
    </xf>
    <xf numFmtId="0" fontId="100" fillId="73" borderId="10" xfId="0" applyFont="1" applyFill="1" applyBorder="1" applyAlignment="1">
      <alignment horizontal="center" vertical="center"/>
    </xf>
    <xf numFmtId="1" fontId="100" fillId="73" borderId="10" xfId="0" applyNumberFormat="1" applyFont="1" applyFill="1" applyBorder="1" applyAlignment="1">
      <alignment horizontal="center" vertical="center"/>
    </xf>
    <xf numFmtId="0" fontId="100" fillId="73" borderId="10" xfId="0" applyFont="1" applyFill="1" applyBorder="1" applyAlignment="1">
      <alignment horizontal="left" vertical="center"/>
    </xf>
    <xf numFmtId="165" fontId="100" fillId="73" borderId="10" xfId="1" applyFont="1" applyFill="1" applyBorder="1" applyAlignment="1">
      <alignment horizontal="left" vertical="center"/>
    </xf>
    <xf numFmtId="165" fontId="100" fillId="73" borderId="10" xfId="1" applyFont="1" applyFill="1" applyBorder="1" applyAlignment="1">
      <alignment horizontal="center" vertical="center"/>
    </xf>
    <xf numFmtId="168" fontId="100" fillId="73" borderId="10" xfId="1" applyNumberFormat="1" applyFont="1" applyFill="1" applyBorder="1" applyAlignment="1">
      <alignment horizontal="center" vertical="center"/>
    </xf>
    <xf numFmtId="165" fontId="100" fillId="92" borderId="10" xfId="1" applyFont="1" applyFill="1" applyBorder="1" applyAlignment="1">
      <alignment horizontal="center" vertical="center"/>
    </xf>
    <xf numFmtId="0" fontId="100" fillId="74" borderId="10" xfId="0" applyFont="1" applyFill="1" applyBorder="1" applyAlignment="1">
      <alignment horizontal="center" vertical="center"/>
    </xf>
    <xf numFmtId="0" fontId="105" fillId="74" borderId="45" xfId="0" applyFont="1" applyFill="1" applyBorder="1" applyAlignment="1">
      <alignment horizontal="left"/>
    </xf>
    <xf numFmtId="0" fontId="103" fillId="74" borderId="10" xfId="0" applyFont="1" applyFill="1" applyBorder="1" applyAlignment="1">
      <alignment horizontal="center" vertical="center"/>
    </xf>
    <xf numFmtId="0" fontId="103" fillId="74" borderId="10" xfId="0" applyFont="1" applyFill="1" applyBorder="1" applyAlignment="1">
      <alignment vertical="center"/>
    </xf>
    <xf numFmtId="1" fontId="103" fillId="74" borderId="10" xfId="0" applyNumberFormat="1" applyFont="1" applyFill="1" applyBorder="1" applyAlignment="1">
      <alignment horizontal="center" vertical="center"/>
    </xf>
    <xf numFmtId="0" fontId="103" fillId="74" borderId="10" xfId="0" applyFont="1" applyFill="1" applyBorder="1" applyAlignment="1">
      <alignment horizontal="left" vertical="center"/>
    </xf>
    <xf numFmtId="165" fontId="103" fillId="74" borderId="10" xfId="1" applyFont="1" applyFill="1" applyBorder="1" applyAlignment="1">
      <alignment horizontal="left" vertical="center"/>
    </xf>
    <xf numFmtId="165" fontId="105" fillId="74" borderId="10" xfId="1" applyFont="1" applyFill="1" applyBorder="1" applyAlignment="1">
      <alignment horizontal="center" vertical="center"/>
    </xf>
    <xf numFmtId="165" fontId="105" fillId="93" borderId="10" xfId="1" applyFont="1" applyFill="1" applyBorder="1" applyAlignment="1">
      <alignment horizontal="center" vertical="center"/>
    </xf>
    <xf numFmtId="0" fontId="105" fillId="0" borderId="45" xfId="0" applyFont="1" applyBorder="1" applyAlignment="1">
      <alignment vertical="center"/>
    </xf>
    <xf numFmtId="0" fontId="105" fillId="0" borderId="45" xfId="0" applyFont="1" applyBorder="1" applyAlignment="1">
      <alignment horizontal="center" vertical="center"/>
    </xf>
    <xf numFmtId="14" fontId="105" fillId="0" borderId="45" xfId="0" applyNumberFormat="1" applyFont="1" applyBorder="1" applyAlignment="1">
      <alignment horizontal="center" vertical="center"/>
    </xf>
    <xf numFmtId="165" fontId="105" fillId="0" borderId="45" xfId="1" applyFont="1" applyFill="1" applyBorder="1" applyAlignment="1">
      <alignment vertical="center"/>
    </xf>
    <xf numFmtId="165" fontId="105" fillId="62" borderId="45" xfId="1" applyFont="1" applyFill="1" applyBorder="1" applyAlignment="1">
      <alignment vertical="center"/>
    </xf>
    <xf numFmtId="164" fontId="105" fillId="34" borderId="45" xfId="1" applyNumberFormat="1" applyFont="1" applyFill="1" applyBorder="1" applyAlignment="1">
      <alignment vertical="center"/>
    </xf>
    <xf numFmtId="164" fontId="105" fillId="34" borderId="58" xfId="1" applyNumberFormat="1" applyFont="1" applyFill="1" applyBorder="1" applyAlignment="1">
      <alignment vertical="center"/>
    </xf>
    <xf numFmtId="164" fontId="105" fillId="34" borderId="57" xfId="1" applyNumberFormat="1" applyFont="1" applyFill="1" applyBorder="1" applyAlignment="1">
      <alignment vertical="center"/>
    </xf>
    <xf numFmtId="0" fontId="103" fillId="0" borderId="45" xfId="0" applyFont="1" applyBorder="1" applyAlignment="1">
      <alignment vertical="center"/>
    </xf>
    <xf numFmtId="0" fontId="103" fillId="0" borderId="45" xfId="0" applyFont="1" applyBorder="1" applyAlignment="1">
      <alignment horizontal="center" vertical="center"/>
    </xf>
    <xf numFmtId="14" fontId="103" fillId="0" borderId="45" xfId="0" applyNumberFormat="1" applyFont="1" applyBorder="1" applyAlignment="1">
      <alignment horizontal="center" vertical="center"/>
    </xf>
    <xf numFmtId="165" fontId="103" fillId="62" borderId="45" xfId="1" applyFont="1" applyFill="1" applyBorder="1" applyAlignment="1">
      <alignment vertical="center"/>
    </xf>
    <xf numFmtId="0" fontId="103" fillId="74" borderId="45" xfId="0" applyFont="1" applyFill="1" applyBorder="1" applyAlignment="1">
      <alignment vertical="center"/>
    </xf>
    <xf numFmtId="0" fontId="103" fillId="74" borderId="45" xfId="0" applyFont="1" applyFill="1" applyBorder="1" applyAlignment="1">
      <alignment horizontal="center" vertical="center"/>
    </xf>
    <xf numFmtId="1" fontId="103" fillId="74" borderId="45" xfId="0" applyNumberFormat="1" applyFont="1" applyFill="1" applyBorder="1" applyAlignment="1">
      <alignment horizontal="center" vertical="center"/>
    </xf>
    <xf numFmtId="165" fontId="103" fillId="74" borderId="45" xfId="1" applyFont="1" applyFill="1" applyBorder="1" applyAlignment="1">
      <alignment vertical="center"/>
    </xf>
    <xf numFmtId="0" fontId="100" fillId="73" borderId="45" xfId="0" applyFont="1" applyFill="1" applyBorder="1" applyAlignment="1">
      <alignment vertical="center"/>
    </xf>
    <xf numFmtId="1" fontId="100" fillId="73" borderId="45" xfId="0" applyNumberFormat="1" applyFont="1" applyFill="1" applyBorder="1" applyAlignment="1">
      <alignment horizontal="center" vertical="center"/>
    </xf>
    <xf numFmtId="165" fontId="100" fillId="73" borderId="45" xfId="1" applyFont="1" applyFill="1" applyBorder="1" applyAlignment="1">
      <alignment vertical="center"/>
    </xf>
    <xf numFmtId="168" fontId="100" fillId="73" borderId="45" xfId="1" applyNumberFormat="1" applyFont="1" applyFill="1" applyBorder="1" applyAlignment="1">
      <alignment vertical="center"/>
    </xf>
    <xf numFmtId="165" fontId="100" fillId="73" borderId="58" xfId="1" applyFont="1" applyFill="1" applyBorder="1" applyAlignment="1">
      <alignment vertical="center"/>
    </xf>
    <xf numFmtId="165" fontId="100" fillId="73" borderId="57" xfId="1" applyFont="1" applyFill="1" applyBorder="1" applyAlignment="1">
      <alignment vertical="center"/>
    </xf>
    <xf numFmtId="184" fontId="140" fillId="84" borderId="45" xfId="0" applyNumberFormat="1" applyFont="1" applyFill="1" applyBorder="1" applyAlignment="1">
      <alignment horizontal="left" vertical="center"/>
    </xf>
    <xf numFmtId="165" fontId="105" fillId="74" borderId="45" xfId="1" applyFont="1" applyFill="1" applyBorder="1" applyAlignment="1">
      <alignment vertical="center"/>
    </xf>
    <xf numFmtId="165" fontId="105" fillId="74" borderId="58" xfId="1" applyFont="1" applyFill="1" applyBorder="1" applyAlignment="1">
      <alignment vertical="center"/>
    </xf>
    <xf numFmtId="165" fontId="105" fillId="74" borderId="57" xfId="1" applyFont="1" applyFill="1" applyBorder="1" applyAlignment="1">
      <alignment vertical="center"/>
    </xf>
    <xf numFmtId="184" fontId="124" fillId="0" borderId="45" xfId="0" applyNumberFormat="1" applyFont="1" applyBorder="1" applyAlignment="1">
      <alignment vertical="center"/>
    </xf>
    <xf numFmtId="184" fontId="124" fillId="86" borderId="45" xfId="0" applyNumberFormat="1" applyFont="1" applyFill="1" applyBorder="1" applyAlignment="1">
      <alignment vertical="center"/>
    </xf>
    <xf numFmtId="1" fontId="140" fillId="86" borderId="45" xfId="0" applyNumberFormat="1" applyFont="1" applyFill="1" applyBorder="1" applyAlignment="1">
      <alignment horizontal="center" vertical="center"/>
    </xf>
    <xf numFmtId="165" fontId="124" fillId="86" borderId="45" xfId="1" applyFont="1" applyFill="1" applyBorder="1" applyAlignment="1" applyProtection="1">
      <alignment vertical="center"/>
    </xf>
    <xf numFmtId="164" fontId="124" fillId="34" borderId="45" xfId="1" applyNumberFormat="1" applyFont="1" applyFill="1" applyBorder="1" applyAlignment="1" applyProtection="1">
      <alignment vertical="center"/>
    </xf>
    <xf numFmtId="164" fontId="124" fillId="34" borderId="58" xfId="1" applyNumberFormat="1" applyFont="1" applyFill="1" applyBorder="1" applyAlignment="1" applyProtection="1">
      <alignment vertical="center"/>
    </xf>
    <xf numFmtId="164" fontId="124" fillId="34" borderId="57" xfId="1" applyNumberFormat="1" applyFont="1" applyFill="1" applyBorder="1" applyAlignment="1" applyProtection="1">
      <alignment vertical="center"/>
    </xf>
    <xf numFmtId="184" fontId="128" fillId="0" borderId="45" xfId="0" applyNumberFormat="1" applyFont="1" applyBorder="1" applyAlignment="1">
      <alignment vertical="center"/>
    </xf>
    <xf numFmtId="184" fontId="134" fillId="0" borderId="47" xfId="0" applyNumberFormat="1" applyFont="1" applyBorder="1" applyAlignment="1">
      <alignment vertical="center"/>
    </xf>
    <xf numFmtId="184" fontId="152" fillId="0" borderId="47" xfId="0" applyNumberFormat="1" applyFont="1" applyBorder="1" applyAlignment="1">
      <alignment vertical="center"/>
    </xf>
    <xf numFmtId="184" fontId="134" fillId="0" borderId="48" xfId="0" applyNumberFormat="1" applyFont="1" applyBorder="1" applyAlignment="1">
      <alignment vertical="center"/>
    </xf>
    <xf numFmtId="184" fontId="152" fillId="0" borderId="45" xfId="0" applyNumberFormat="1" applyFont="1" applyBorder="1" applyAlignment="1">
      <alignment vertical="center"/>
    </xf>
    <xf numFmtId="184" fontId="134" fillId="0" borderId="50" xfId="0" applyNumberFormat="1" applyFont="1" applyBorder="1" applyAlignment="1">
      <alignment vertical="center"/>
    </xf>
    <xf numFmtId="184" fontId="134" fillId="88" borderId="47" xfId="0" applyNumberFormat="1" applyFont="1" applyFill="1" applyBorder="1" applyAlignment="1">
      <alignment vertical="center"/>
    </xf>
    <xf numFmtId="0" fontId="100" fillId="74" borderId="45" xfId="0" applyFont="1" applyFill="1" applyBorder="1" applyAlignment="1">
      <alignment horizontal="center" vertical="center"/>
    </xf>
    <xf numFmtId="0" fontId="105" fillId="74" borderId="45" xfId="0" applyFont="1" applyFill="1" applyBorder="1" applyAlignment="1">
      <alignment horizontal="left" vertical="center"/>
    </xf>
    <xf numFmtId="0" fontId="103" fillId="74" borderId="45" xfId="0" applyFont="1" applyFill="1" applyBorder="1" applyAlignment="1">
      <alignment horizontal="left" vertical="center"/>
    </xf>
    <xf numFmtId="165" fontId="103" fillId="74" borderId="45" xfId="1" applyFont="1" applyFill="1" applyBorder="1" applyAlignment="1">
      <alignment horizontal="left" vertical="center"/>
    </xf>
    <xf numFmtId="165" fontId="103" fillId="74" borderId="45" xfId="0" applyNumberFormat="1" applyFont="1" applyFill="1" applyBorder="1" applyAlignment="1">
      <alignment horizontal="center" vertical="center"/>
    </xf>
    <xf numFmtId="165" fontId="105" fillId="74" borderId="45" xfId="1" applyFont="1" applyFill="1" applyBorder="1" applyAlignment="1">
      <alignment horizontal="center" vertical="center"/>
    </xf>
    <xf numFmtId="0" fontId="139" fillId="0" borderId="45" xfId="0" applyFont="1" applyBorder="1" applyAlignment="1">
      <alignment vertical="center"/>
    </xf>
    <xf numFmtId="0" fontId="97" fillId="72" borderId="53" xfId="0" applyFont="1" applyFill="1" applyBorder="1" applyAlignment="1">
      <alignment horizontal="left" vertical="center"/>
    </xf>
    <xf numFmtId="0" fontId="97" fillId="72" borderId="52" xfId="0" applyFont="1" applyFill="1" applyBorder="1" applyAlignment="1">
      <alignment horizontal="left" vertical="center"/>
    </xf>
    <xf numFmtId="165" fontId="97" fillId="72" borderId="58" xfId="1" applyFont="1" applyFill="1" applyBorder="1" applyAlignment="1">
      <alignment horizontal="center" vertical="center"/>
    </xf>
    <xf numFmtId="165" fontId="97" fillId="72" borderId="57" xfId="1" applyFont="1" applyFill="1" applyBorder="1" applyAlignment="1">
      <alignment horizontal="center" vertical="center"/>
    </xf>
    <xf numFmtId="0" fontId="100" fillId="73" borderId="53" xfId="0" applyFont="1" applyFill="1" applyBorder="1" applyAlignment="1">
      <alignment horizontal="left" vertical="center"/>
    </xf>
    <xf numFmtId="0" fontId="100" fillId="73" borderId="52" xfId="0" applyFont="1" applyFill="1" applyBorder="1" applyAlignment="1">
      <alignment horizontal="left" vertical="center"/>
    </xf>
    <xf numFmtId="165" fontId="100" fillId="73" borderId="58" xfId="1" applyFont="1" applyFill="1" applyBorder="1" applyAlignment="1">
      <alignment horizontal="center" vertical="center"/>
    </xf>
    <xf numFmtId="165" fontId="100" fillId="73" borderId="57" xfId="1" applyFont="1" applyFill="1" applyBorder="1" applyAlignment="1">
      <alignment horizontal="center" vertical="center"/>
    </xf>
    <xf numFmtId="0" fontId="103" fillId="74" borderId="34" xfId="0" applyFont="1" applyFill="1" applyBorder="1" applyAlignment="1">
      <alignment vertical="center"/>
    </xf>
    <xf numFmtId="0" fontId="103" fillId="74" borderId="34" xfId="0" applyFont="1" applyFill="1" applyBorder="1" applyAlignment="1">
      <alignment horizontal="center" vertical="center"/>
    </xf>
    <xf numFmtId="0" fontId="103" fillId="74" borderId="35" xfId="0" applyFont="1" applyFill="1" applyBorder="1" applyAlignment="1">
      <alignment horizontal="center" vertical="center"/>
    </xf>
    <xf numFmtId="165" fontId="105" fillId="74" borderId="58" xfId="1" applyFont="1" applyFill="1" applyBorder="1" applyAlignment="1">
      <alignment horizontal="center" vertical="center"/>
    </xf>
    <xf numFmtId="165" fontId="105" fillId="74" borderId="57" xfId="1" applyFont="1" applyFill="1" applyBorder="1" applyAlignment="1">
      <alignment horizontal="center" vertical="center"/>
    </xf>
    <xf numFmtId="168" fontId="61" fillId="58" borderId="10" xfId="1" applyNumberFormat="1" applyFont="1" applyFill="1" applyBorder="1" applyAlignment="1">
      <alignment vertical="center"/>
    </xf>
    <xf numFmtId="0" fontId="100" fillId="74" borderId="45" xfId="0" applyFont="1" applyFill="1" applyBorder="1" applyAlignment="1">
      <alignment horizontal="left"/>
    </xf>
    <xf numFmtId="0" fontId="103" fillId="74" borderId="45" xfId="0" applyFont="1" applyFill="1" applyBorder="1" applyAlignment="1">
      <alignment horizontal="center"/>
    </xf>
    <xf numFmtId="1" fontId="103" fillId="74" borderId="45" xfId="0" applyNumberFormat="1" applyFont="1" applyFill="1" applyBorder="1" applyAlignment="1">
      <alignment horizontal="center"/>
    </xf>
    <xf numFmtId="0" fontId="103" fillId="74" borderId="45" xfId="0" applyFont="1" applyFill="1" applyBorder="1" applyAlignment="1">
      <alignment horizontal="left"/>
    </xf>
    <xf numFmtId="165" fontId="103" fillId="74" borderId="45" xfId="1" applyFont="1" applyFill="1" applyBorder="1" applyAlignment="1">
      <alignment horizontal="left"/>
    </xf>
    <xf numFmtId="165" fontId="105" fillId="74" borderId="45" xfId="1" applyFont="1" applyFill="1" applyBorder="1" applyAlignment="1">
      <alignment horizontal="center"/>
    </xf>
    <xf numFmtId="165" fontId="105" fillId="74" borderId="58" xfId="1" applyFont="1" applyFill="1" applyBorder="1" applyAlignment="1">
      <alignment horizontal="center"/>
    </xf>
    <xf numFmtId="165" fontId="105" fillId="74" borderId="57" xfId="1" applyFont="1" applyFill="1" applyBorder="1" applyAlignment="1">
      <alignment horizontal="center"/>
    </xf>
    <xf numFmtId="165" fontId="102" fillId="0" borderId="45" xfId="1" applyFont="1" applyBorder="1" applyAlignment="1"/>
    <xf numFmtId="165" fontId="88" fillId="0" borderId="10" xfId="1" applyFont="1" applyBorder="1" applyAlignment="1"/>
    <xf numFmtId="165" fontId="88" fillId="0" borderId="58" xfId="1" applyFont="1" applyBorder="1" applyAlignment="1"/>
    <xf numFmtId="0" fontId="102" fillId="58" borderId="10" xfId="0" applyFont="1" applyFill="1" applyBorder="1" applyAlignment="1">
      <alignment vertical="center"/>
    </xf>
    <xf numFmtId="165" fontId="102" fillId="0" borderId="10" xfId="1" applyFont="1" applyBorder="1" applyAlignment="1"/>
    <xf numFmtId="0" fontId="100" fillId="74" borderId="10" xfId="0" applyFont="1" applyFill="1" applyBorder="1" applyAlignment="1">
      <alignment horizontal="left"/>
    </xf>
    <xf numFmtId="1" fontId="100" fillId="74" borderId="10" xfId="0" applyNumberFormat="1" applyFont="1" applyFill="1" applyBorder="1" applyAlignment="1">
      <alignment horizontal="left"/>
    </xf>
    <xf numFmtId="165" fontId="100" fillId="74" borderId="10" xfId="1" applyFont="1" applyFill="1" applyBorder="1" applyAlignment="1">
      <alignment horizontal="left"/>
    </xf>
    <xf numFmtId="0" fontId="102" fillId="89" borderId="10" xfId="0" applyFont="1" applyFill="1" applyBorder="1" applyAlignment="1">
      <alignment horizontal="center" vertical="center"/>
    </xf>
    <xf numFmtId="0" fontId="100" fillId="89" borderId="10" xfId="0" applyFont="1" applyFill="1" applyBorder="1" applyAlignment="1">
      <alignment horizontal="left"/>
    </xf>
    <xf numFmtId="0" fontId="100" fillId="0" borderId="10" xfId="0" applyFont="1" applyBorder="1" applyAlignment="1">
      <alignment horizontal="center"/>
    </xf>
    <xf numFmtId="165" fontId="102" fillId="0" borderId="0" xfId="1" applyFont="1" applyAlignment="1"/>
    <xf numFmtId="0" fontId="100" fillId="74" borderId="53" xfId="0" applyFont="1" applyFill="1" applyBorder="1" applyAlignment="1">
      <alignment horizontal="left"/>
    </xf>
    <xf numFmtId="0" fontId="100" fillId="74" borderId="52" xfId="0" applyFont="1" applyFill="1" applyBorder="1" applyAlignment="1">
      <alignment horizontal="left"/>
    </xf>
    <xf numFmtId="165" fontId="102" fillId="74" borderId="10" xfId="1" applyFont="1" applyFill="1" applyBorder="1" applyAlignment="1"/>
    <xf numFmtId="14" fontId="103" fillId="0" borderId="10" xfId="0" applyNumberFormat="1" applyFont="1" applyBorder="1" applyAlignment="1">
      <alignment horizontal="center" vertical="center"/>
    </xf>
    <xf numFmtId="0" fontId="103" fillId="0" borderId="10" xfId="0" applyFont="1" applyBorder="1" applyAlignment="1">
      <alignment vertical="center"/>
    </xf>
    <xf numFmtId="0" fontId="103" fillId="0" borderId="10" xfId="0" applyFont="1" applyBorder="1" applyAlignment="1">
      <alignment horizontal="left" vertical="center"/>
    </xf>
    <xf numFmtId="165" fontId="103" fillId="0" borderId="10" xfId="1" applyFont="1" applyFill="1" applyBorder="1" applyAlignment="1">
      <alignment horizontal="left" vertical="center"/>
    </xf>
    <xf numFmtId="168" fontId="103" fillId="0" borderId="10" xfId="1" applyNumberFormat="1" applyFont="1" applyFill="1" applyBorder="1" applyAlignment="1">
      <alignment horizontal="left" vertical="center"/>
    </xf>
    <xf numFmtId="0" fontId="103" fillId="0" borderId="11" xfId="0" applyFont="1" applyBorder="1" applyAlignment="1">
      <alignment vertical="center"/>
    </xf>
    <xf numFmtId="14" fontId="103" fillId="0" borderId="11" xfId="0" applyNumberFormat="1" applyFont="1" applyBorder="1" applyAlignment="1">
      <alignment horizontal="center" vertical="center"/>
    </xf>
    <xf numFmtId="0" fontId="103" fillId="0" borderId="11" xfId="0" applyFont="1" applyBorder="1" applyAlignment="1">
      <alignment horizontal="center" vertical="center"/>
    </xf>
    <xf numFmtId="165" fontId="103" fillId="0" borderId="10" xfId="0" applyNumberFormat="1" applyFont="1" applyBorder="1" applyAlignment="1">
      <alignment horizontal="left" vertical="center"/>
    </xf>
    <xf numFmtId="0" fontId="96" fillId="0" borderId="11" xfId="0" applyFont="1" applyBorder="1" applyAlignment="1">
      <alignment horizontal="center" vertical="center"/>
    </xf>
    <xf numFmtId="0" fontId="80" fillId="69" borderId="28" xfId="579" applyFont="1" applyFill="1" applyBorder="1" applyAlignment="1">
      <alignment horizontal="center" vertical="center"/>
    </xf>
    <xf numFmtId="0" fontId="82" fillId="69" borderId="28" xfId="579" applyFont="1" applyFill="1" applyBorder="1" applyAlignment="1">
      <alignment horizontal="left" vertical="center"/>
    </xf>
    <xf numFmtId="0" fontId="82" fillId="69" borderId="28" xfId="579" applyFont="1" applyFill="1" applyBorder="1" applyAlignment="1">
      <alignment horizontal="center" vertical="center"/>
    </xf>
    <xf numFmtId="0" fontId="82" fillId="69" borderId="28" xfId="579" applyFont="1" applyFill="1" applyBorder="1" applyAlignment="1">
      <alignment vertical="center"/>
    </xf>
    <xf numFmtId="1" fontId="82" fillId="69" borderId="28" xfId="579" applyNumberFormat="1" applyFont="1" applyFill="1" applyBorder="1" applyAlignment="1">
      <alignment horizontal="center" vertical="center"/>
    </xf>
    <xf numFmtId="165" fontId="82" fillId="69" borderId="28" xfId="1" applyFont="1" applyFill="1" applyBorder="1" applyAlignment="1" applyProtection="1">
      <alignment horizontal="left" vertical="center"/>
    </xf>
    <xf numFmtId="165" fontId="82" fillId="69" borderId="28" xfId="1" applyFont="1" applyFill="1" applyBorder="1" applyAlignment="1" applyProtection="1">
      <alignment horizontal="center" vertical="center"/>
    </xf>
    <xf numFmtId="0" fontId="80" fillId="0" borderId="31" xfId="579" applyFont="1" applyBorder="1" applyAlignment="1">
      <alignment horizontal="center" vertical="center"/>
    </xf>
    <xf numFmtId="0" fontId="80" fillId="0" borderId="28" xfId="579" applyFont="1" applyBorder="1" applyAlignment="1">
      <alignment horizontal="center" vertical="center"/>
    </xf>
    <xf numFmtId="0" fontId="70" fillId="0" borderId="0" xfId="579" applyAlignment="1">
      <alignment vertical="center"/>
    </xf>
    <xf numFmtId="0" fontId="105" fillId="74" borderId="10" xfId="0" applyFont="1" applyFill="1" applyBorder="1" applyAlignment="1">
      <alignment horizontal="center" vertical="center"/>
    </xf>
    <xf numFmtId="1" fontId="105" fillId="74" borderId="10" xfId="0" applyNumberFormat="1" applyFont="1" applyFill="1" applyBorder="1" applyAlignment="1">
      <alignment horizontal="center"/>
    </xf>
    <xf numFmtId="0" fontId="105" fillId="74" borderId="10" xfId="0" applyFont="1" applyFill="1" applyBorder="1" applyAlignment="1">
      <alignment horizontal="left"/>
    </xf>
    <xf numFmtId="0" fontId="100" fillId="0" borderId="10" xfId="0" applyFont="1" applyBorder="1" applyAlignment="1">
      <alignment horizontal="center" vertical="center"/>
    </xf>
    <xf numFmtId="165" fontId="61" fillId="0" borderId="0" xfId="1" applyFont="1" applyAlignment="1"/>
    <xf numFmtId="0" fontId="102" fillId="0" borderId="13" xfId="0" applyFont="1" applyBorder="1" applyAlignment="1">
      <alignment horizontal="center" vertical="center"/>
    </xf>
    <xf numFmtId="1" fontId="103" fillId="74" borderId="10" xfId="0" applyNumberFormat="1" applyFont="1" applyFill="1" applyBorder="1" applyAlignment="1">
      <alignment horizontal="center"/>
    </xf>
    <xf numFmtId="165" fontId="103" fillId="74" borderId="10" xfId="1" applyFont="1" applyFill="1" applyBorder="1" applyAlignment="1">
      <alignment horizontal="center" vertical="center"/>
    </xf>
    <xf numFmtId="0" fontId="100" fillId="0" borderId="10" xfId="0" applyFont="1" applyBorder="1" applyAlignment="1">
      <alignment horizontal="left" vertical="center"/>
    </xf>
    <xf numFmtId="165" fontId="102" fillId="0" borderId="0" xfId="1" applyFont="1" applyFill="1" applyAlignment="1"/>
    <xf numFmtId="0" fontId="104" fillId="0" borderId="10" xfId="0" applyFont="1" applyBorder="1" applyAlignment="1">
      <alignment horizontal="center" vertical="center"/>
    </xf>
    <xf numFmtId="15" fontId="102" fillId="0" borderId="10" xfId="0" applyNumberFormat="1" applyFont="1" applyBorder="1" applyAlignment="1">
      <alignment horizontal="center" vertical="center"/>
    </xf>
    <xf numFmtId="15" fontId="88" fillId="0" borderId="10" xfId="0" quotePrefix="1" applyNumberFormat="1" applyFont="1" applyBorder="1" applyAlignment="1">
      <alignment horizontal="center" vertical="center"/>
    </xf>
    <xf numFmtId="0" fontId="100" fillId="0" borderId="51" xfId="0" applyFont="1" applyBorder="1" applyAlignment="1">
      <alignment horizontal="left" vertical="center"/>
    </xf>
    <xf numFmtId="15" fontId="100" fillId="0" borderId="51" xfId="0" applyNumberFormat="1" applyFont="1" applyBorder="1" applyAlignment="1">
      <alignment horizontal="left" vertical="center"/>
    </xf>
    <xf numFmtId="0" fontId="100" fillId="0" borderId="51" xfId="0" applyFont="1" applyBorder="1" applyAlignment="1">
      <alignment horizontal="center" vertical="center"/>
    </xf>
    <xf numFmtId="15" fontId="88" fillId="0" borderId="51" xfId="0" quotePrefix="1" applyNumberFormat="1" applyFont="1" applyBorder="1" applyAlignment="1">
      <alignment horizontal="center" vertical="center"/>
    </xf>
    <xf numFmtId="15" fontId="88" fillId="0" borderId="10" xfId="0" applyNumberFormat="1" applyFont="1" applyBorder="1" applyAlignment="1">
      <alignment horizontal="center" vertical="center"/>
    </xf>
    <xf numFmtId="0" fontId="100" fillId="0" borderId="13" xfId="0" applyFont="1" applyBorder="1" applyAlignment="1">
      <alignment horizontal="center" vertical="center"/>
    </xf>
    <xf numFmtId="0" fontId="94" fillId="58" borderId="10" xfId="0" applyFont="1" applyFill="1" applyBorder="1" applyAlignment="1">
      <alignment horizontal="left" vertical="center"/>
    </xf>
    <xf numFmtId="0" fontId="87" fillId="58" borderId="10" xfId="0" applyFont="1" applyFill="1" applyBorder="1" applyAlignment="1">
      <alignment horizontal="center" vertical="center"/>
    </xf>
    <xf numFmtId="0" fontId="88" fillId="0" borderId="13" xfId="0" applyFont="1" applyBorder="1" applyAlignment="1">
      <alignment horizontal="center" vertical="center"/>
    </xf>
    <xf numFmtId="0" fontId="103" fillId="58" borderId="10" xfId="0" applyFont="1" applyFill="1" applyBorder="1" applyAlignment="1">
      <alignment horizontal="center" vertical="center"/>
    </xf>
    <xf numFmtId="165" fontId="103" fillId="58" borderId="13" xfId="1" applyFont="1" applyFill="1" applyBorder="1" applyAlignment="1">
      <alignment horizontal="center" vertical="center"/>
    </xf>
    <xf numFmtId="168" fontId="88" fillId="0" borderId="46" xfId="1" applyNumberFormat="1" applyFont="1" applyFill="1" applyBorder="1" applyAlignment="1">
      <alignment vertical="center"/>
    </xf>
    <xf numFmtId="15" fontId="88" fillId="90" borderId="12" xfId="0" quotePrefix="1" applyNumberFormat="1" applyFont="1" applyFill="1" applyBorder="1" applyAlignment="1">
      <alignment horizontal="center" vertical="center"/>
    </xf>
    <xf numFmtId="168" fontId="88" fillId="90" borderId="55" xfId="1" applyNumberFormat="1" applyFont="1" applyFill="1" applyBorder="1" applyAlignment="1">
      <alignment vertical="center"/>
    </xf>
    <xf numFmtId="168" fontId="88" fillId="0" borderId="46" xfId="1" applyNumberFormat="1" applyFont="1" applyFill="1" applyBorder="1" applyAlignment="1">
      <alignment horizontal="center" vertical="center"/>
    </xf>
    <xf numFmtId="15" fontId="88" fillId="90" borderId="51" xfId="0" quotePrefix="1" applyNumberFormat="1" applyFont="1" applyFill="1" applyBorder="1" applyAlignment="1">
      <alignment horizontal="center" vertical="center"/>
    </xf>
    <xf numFmtId="168" fontId="88" fillId="90" borderId="56" xfId="1" applyNumberFormat="1" applyFont="1" applyFill="1" applyBorder="1" applyAlignment="1">
      <alignment vertical="center"/>
    </xf>
    <xf numFmtId="0" fontId="88" fillId="0" borderId="51" xfId="0" applyFont="1" applyBorder="1" applyAlignment="1">
      <alignment horizontal="center" vertical="center"/>
    </xf>
    <xf numFmtId="165" fontId="0" fillId="0" borderId="39" xfId="1" applyFont="1" applyFill="1" applyBorder="1" applyAlignment="1">
      <alignment vertical="center"/>
    </xf>
    <xf numFmtId="168" fontId="0" fillId="0" borderId="39" xfId="1" applyNumberFormat="1" applyFont="1" applyFill="1" applyBorder="1" applyAlignment="1">
      <alignment vertical="center"/>
    </xf>
    <xf numFmtId="0" fontId="0" fillId="0" borderId="39" xfId="0" applyBorder="1" applyAlignment="1">
      <alignment horizontal="center" vertical="center"/>
    </xf>
    <xf numFmtId="0" fontId="103" fillId="74" borderId="41" xfId="0" applyFont="1" applyFill="1" applyBorder="1" applyAlignment="1">
      <alignment horizontal="left" vertical="center"/>
    </xf>
    <xf numFmtId="0" fontId="103" fillId="74" borderId="37" xfId="0" applyFont="1" applyFill="1" applyBorder="1" applyAlignment="1">
      <alignment horizontal="left" vertical="center"/>
    </xf>
    <xf numFmtId="0" fontId="0" fillId="0" borderId="59" xfId="0" applyBorder="1" applyAlignment="1">
      <alignment vertical="center"/>
    </xf>
    <xf numFmtId="0" fontId="0" fillId="0" borderId="57" xfId="0" applyBorder="1" applyAlignment="1">
      <alignment vertical="center"/>
    </xf>
    <xf numFmtId="168" fontId="0" fillId="0" borderId="42" xfId="1" applyNumberFormat="1" applyFont="1" applyFill="1" applyBorder="1" applyAlignment="1">
      <alignment vertical="center"/>
    </xf>
    <xf numFmtId="165" fontId="0" fillId="0" borderId="42" xfId="1" applyFont="1" applyFill="1" applyBorder="1" applyAlignment="1">
      <alignment vertical="center"/>
    </xf>
    <xf numFmtId="168" fontId="0" fillId="0" borderId="10" xfId="1" applyNumberFormat="1" applyFont="1" applyFill="1" applyBorder="1" applyAlignment="1">
      <alignment vertical="center"/>
    </xf>
    <xf numFmtId="168" fontId="0" fillId="0" borderId="0" xfId="1" applyNumberFormat="1" applyFont="1" applyFill="1" applyBorder="1" applyAlignment="1">
      <alignment vertical="center"/>
    </xf>
    <xf numFmtId="0" fontId="103" fillId="74" borderId="57" xfId="0" applyFont="1" applyFill="1" applyBorder="1" applyAlignment="1">
      <alignment horizontal="left" vertical="center"/>
    </xf>
    <xf numFmtId="0" fontId="103" fillId="74" borderId="57" xfId="0" applyFont="1" applyFill="1" applyBorder="1" applyAlignment="1">
      <alignment horizontal="center" vertical="center"/>
    </xf>
    <xf numFmtId="0" fontId="103" fillId="74" borderId="57" xfId="0" applyFont="1" applyFill="1" applyBorder="1" applyAlignment="1">
      <alignment vertical="center"/>
    </xf>
    <xf numFmtId="1" fontId="103" fillId="74" borderId="57" xfId="0" applyNumberFormat="1" applyFont="1" applyFill="1" applyBorder="1" applyAlignment="1">
      <alignment horizontal="center" vertical="center"/>
    </xf>
    <xf numFmtId="165" fontId="103" fillId="74" borderId="57" xfId="1" applyFont="1" applyFill="1" applyBorder="1" applyAlignment="1">
      <alignment horizontal="left" vertical="center"/>
    </xf>
    <xf numFmtId="165" fontId="103" fillId="74" borderId="57" xfId="1" applyFont="1" applyFill="1" applyBorder="1" applyAlignment="1">
      <alignment horizontal="center" vertical="center"/>
    </xf>
    <xf numFmtId="168" fontId="100" fillId="73" borderId="10" xfId="0" applyNumberFormat="1" applyFont="1" applyFill="1" applyBorder="1" applyAlignment="1">
      <alignment vertical="center"/>
    </xf>
    <xf numFmtId="0" fontId="100" fillId="73" borderId="58" xfId="0" applyFont="1" applyFill="1" applyBorder="1" applyAlignment="1">
      <alignment horizontal="left" vertical="center"/>
    </xf>
    <xf numFmtId="0" fontId="100" fillId="73" borderId="57" xfId="0" applyFont="1" applyFill="1" applyBorder="1" applyAlignment="1">
      <alignment horizontal="left" vertical="center"/>
    </xf>
    <xf numFmtId="165" fontId="97" fillId="72" borderId="10" xfId="1" applyFont="1" applyFill="1" applyBorder="1" applyAlignment="1">
      <alignment vertical="center"/>
    </xf>
    <xf numFmtId="165" fontId="97" fillId="72" borderId="58" xfId="1" applyFont="1" applyFill="1" applyBorder="1" applyAlignment="1">
      <alignment vertical="center"/>
    </xf>
    <xf numFmtId="165" fontId="97" fillId="72" borderId="57" xfId="1" applyFont="1" applyFill="1" applyBorder="1" applyAlignment="1">
      <alignment vertical="center"/>
    </xf>
    <xf numFmtId="0" fontId="60" fillId="0" borderId="10" xfId="0" applyFont="1" applyBorder="1" applyAlignment="1">
      <alignment horizontal="center" vertical="center"/>
    </xf>
    <xf numFmtId="0" fontId="97" fillId="72" borderId="34" xfId="0" applyFont="1" applyFill="1" applyBorder="1" applyAlignment="1">
      <alignment horizontal="left" vertical="center"/>
    </xf>
    <xf numFmtId="0" fontId="97" fillId="72" borderId="35" xfId="0" applyFont="1" applyFill="1" applyBorder="1" applyAlignment="1">
      <alignment horizontal="left" vertical="center"/>
    </xf>
    <xf numFmtId="0" fontId="97" fillId="72" borderId="37" xfId="0" applyFont="1" applyFill="1" applyBorder="1" applyAlignment="1">
      <alignment horizontal="center" vertical="center"/>
    </xf>
    <xf numFmtId="0" fontId="97" fillId="72" borderId="37" xfId="0" applyFont="1" applyFill="1" applyBorder="1" applyAlignment="1">
      <alignment vertical="center"/>
    </xf>
    <xf numFmtId="1" fontId="97" fillId="72" borderId="37" xfId="0" applyNumberFormat="1" applyFont="1" applyFill="1" applyBorder="1" applyAlignment="1">
      <alignment horizontal="center" vertical="center"/>
    </xf>
    <xf numFmtId="165" fontId="97" fillId="72" borderId="37" xfId="1" applyFont="1" applyFill="1" applyBorder="1" applyAlignment="1">
      <alignment horizontal="center" vertical="center"/>
    </xf>
    <xf numFmtId="168" fontId="97" fillId="72" borderId="13" xfId="1" applyNumberFormat="1" applyFont="1" applyFill="1" applyBorder="1" applyAlignment="1">
      <alignment horizontal="center" vertical="center"/>
    </xf>
    <xf numFmtId="0" fontId="100" fillId="73" borderId="53" xfId="0" applyFont="1" applyFill="1" applyBorder="1" applyAlignment="1">
      <alignment horizontal="center" vertical="center"/>
    </xf>
    <xf numFmtId="0" fontId="100" fillId="73" borderId="52" xfId="0" applyFont="1" applyFill="1" applyBorder="1" applyAlignment="1">
      <alignment horizontal="center" vertical="center"/>
    </xf>
    <xf numFmtId="3" fontId="103" fillId="74" borderId="10" xfId="0" applyNumberFormat="1" applyFont="1" applyFill="1" applyBorder="1" applyAlignment="1">
      <alignment horizontal="center" vertical="center"/>
    </xf>
    <xf numFmtId="1" fontId="87" fillId="0" borderId="62" xfId="43" applyNumberFormat="1" applyFont="1" applyBorder="1" applyAlignment="1">
      <alignment horizontal="center" vertical="center"/>
    </xf>
    <xf numFmtId="0" fontId="87" fillId="0" borderId="62" xfId="43" applyFont="1" applyBorder="1" applyAlignment="1">
      <alignment horizontal="center" vertical="center"/>
    </xf>
    <xf numFmtId="0" fontId="103" fillId="93" borderId="61" xfId="0" applyFont="1" applyFill="1" applyBorder="1" applyAlignment="1">
      <alignment horizontal="center" vertical="center" wrapText="1"/>
    </xf>
    <xf numFmtId="165" fontId="103" fillId="93" borderId="61" xfId="1" applyFont="1" applyFill="1" applyBorder="1" applyAlignment="1">
      <alignment horizontal="center" vertical="center" wrapText="1"/>
    </xf>
    <xf numFmtId="0" fontId="87" fillId="71" borderId="62" xfId="43" applyFont="1" applyFill="1" applyBorder="1" applyAlignment="1">
      <alignment horizontal="center" vertical="center" wrapText="1"/>
    </xf>
    <xf numFmtId="0" fontId="87" fillId="0" borderId="62" xfId="43" applyFont="1" applyBorder="1" applyAlignment="1">
      <alignment horizontal="center" vertical="center" wrapText="1"/>
    </xf>
    <xf numFmtId="0" fontId="97" fillId="72" borderId="34" xfId="0" applyFont="1" applyFill="1" applyBorder="1" applyAlignment="1">
      <alignment horizontal="left" vertical="center" wrapText="1"/>
    </xf>
    <xf numFmtId="0" fontId="97" fillId="72" borderId="53" xfId="0" applyFont="1" applyFill="1" applyBorder="1" applyAlignment="1">
      <alignment horizontal="left" vertical="center" wrapText="1"/>
    </xf>
    <xf numFmtId="0" fontId="100" fillId="73" borderId="53" xfId="0" applyFont="1" applyFill="1" applyBorder="1" applyAlignment="1">
      <alignment horizontal="left" vertical="center" wrapText="1"/>
    </xf>
    <xf numFmtId="184" fontId="140" fillId="84" borderId="45" xfId="0" applyNumberFormat="1" applyFont="1" applyFill="1" applyBorder="1" applyAlignment="1">
      <alignment horizontal="left" vertical="center" wrapText="1"/>
    </xf>
    <xf numFmtId="0" fontId="105" fillId="74" borderId="45" xfId="0" applyFont="1" applyFill="1" applyBorder="1" applyAlignment="1">
      <alignment horizontal="left" vertical="center" wrapText="1"/>
    </xf>
    <xf numFmtId="0" fontId="103" fillId="74" borderId="45" xfId="0" applyFont="1" applyFill="1" applyBorder="1" applyAlignment="1">
      <alignment vertical="center" wrapText="1"/>
    </xf>
    <xf numFmtId="0" fontId="105" fillId="74" borderId="45" xfId="0" applyFont="1" applyFill="1" applyBorder="1" applyAlignment="1">
      <alignment horizontal="left" wrapText="1"/>
    </xf>
    <xf numFmtId="0" fontId="103" fillId="74" borderId="40" xfId="0" applyFont="1" applyFill="1" applyBorder="1" applyAlignment="1">
      <alignment horizontal="left" vertical="center" wrapText="1"/>
    </xf>
    <xf numFmtId="165" fontId="160" fillId="94" borderId="53" xfId="1" applyFont="1" applyFill="1" applyBorder="1" applyAlignment="1">
      <alignment horizontal="center" vertical="center"/>
    </xf>
    <xf numFmtId="165" fontId="160" fillId="94" borderId="52" xfId="1" applyFont="1" applyFill="1" applyBorder="1" applyAlignment="1">
      <alignment horizontal="center" vertical="center"/>
    </xf>
    <xf numFmtId="0" fontId="0" fillId="95" borderId="0" xfId="0" applyFill="1" applyAlignment="1">
      <alignment vertical="center"/>
    </xf>
    <xf numFmtId="0" fontId="0" fillId="0" borderId="0" xfId="0" applyAlignment="1">
      <alignment vertical="center"/>
    </xf>
    <xf numFmtId="3" fontId="0" fillId="0" borderId="0" xfId="0" applyNumberFormat="1" applyAlignment="1">
      <alignment vertical="center"/>
    </xf>
    <xf numFmtId="165" fontId="0" fillId="0" borderId="0" xfId="1" applyFont="1" applyAlignment="1">
      <alignment vertical="center"/>
    </xf>
    <xf numFmtId="0" fontId="0" fillId="95" borderId="0" xfId="0" applyFill="1" applyAlignment="1">
      <alignment vertical="center" wrapText="1"/>
    </xf>
    <xf numFmtId="0" fontId="19" fillId="0" borderId="0" xfId="0" applyFont="1" applyAlignment="1">
      <alignment vertical="center"/>
    </xf>
    <xf numFmtId="165" fontId="19" fillId="0" borderId="0" xfId="1" applyFont="1" applyAlignment="1">
      <alignment vertical="center"/>
    </xf>
    <xf numFmtId="165" fontId="19" fillId="0" borderId="0" xfId="0" applyNumberFormat="1" applyFont="1" applyAlignment="1">
      <alignment vertical="center"/>
    </xf>
    <xf numFmtId="0" fontId="0" fillId="0" borderId="0" xfId="0" applyAlignment="1">
      <alignment horizontal="center" vertical="center"/>
    </xf>
    <xf numFmtId="165" fontId="19" fillId="34" borderId="0" xfId="1" applyFont="1" applyFill="1" applyAlignment="1">
      <alignment vertical="center"/>
    </xf>
    <xf numFmtId="0" fontId="87" fillId="0" borderId="62" xfId="43" applyFont="1" applyBorder="1" applyAlignment="1">
      <alignment vertical="center"/>
    </xf>
    <xf numFmtId="0" fontId="87" fillId="71" borderId="62" xfId="43" applyFont="1" applyFill="1" applyBorder="1" applyAlignment="1">
      <alignment vertical="center"/>
    </xf>
    <xf numFmtId="181" fontId="87" fillId="34" borderId="62" xfId="0" applyNumberFormat="1" applyFont="1" applyFill="1" applyBorder="1" applyAlignment="1">
      <alignment vertical="center"/>
    </xf>
    <xf numFmtId="181" fontId="87" fillId="0" borderId="62" xfId="0" applyNumberFormat="1" applyFont="1" applyBorder="1" applyAlignment="1">
      <alignment vertical="center"/>
    </xf>
    <xf numFmtId="181" fontId="87" fillId="0" borderId="13" xfId="0" applyNumberFormat="1" applyFont="1" applyBorder="1" applyAlignment="1">
      <alignment vertical="center"/>
    </xf>
    <xf numFmtId="165" fontId="87" fillId="0" borderId="62" xfId="1" applyFont="1" applyFill="1" applyBorder="1" applyAlignment="1">
      <alignment vertical="center"/>
    </xf>
    <xf numFmtId="168" fontId="87" fillId="71" borderId="62" xfId="1" applyNumberFormat="1" applyFont="1" applyFill="1" applyBorder="1" applyAlignment="1">
      <alignment horizontal="center" vertical="center" wrapText="1"/>
    </xf>
    <xf numFmtId="0" fontId="88" fillId="0" borderId="0" xfId="0" applyFont="1" applyAlignment="1">
      <alignment horizontal="center" vertical="center" wrapText="1"/>
    </xf>
    <xf numFmtId="0" fontId="92" fillId="0" borderId="0" xfId="0" applyFont="1" applyAlignment="1">
      <alignment horizontal="center" vertical="center" wrapText="1"/>
    </xf>
    <xf numFmtId="0" fontId="3" fillId="0" borderId="45" xfId="0" applyFont="1" applyBorder="1" applyAlignment="1">
      <alignment horizontal="center" vertical="center" wrapText="1"/>
    </xf>
    <xf numFmtId="0" fontId="102" fillId="74" borderId="10" xfId="0" applyFont="1" applyFill="1" applyBorder="1" applyAlignment="1">
      <alignment horizontal="center" wrapText="1"/>
    </xf>
    <xf numFmtId="0" fontId="102" fillId="74" borderId="10" xfId="0" applyFont="1" applyFill="1" applyBorder="1" applyAlignment="1">
      <alignment horizontal="center" vertical="center" wrapText="1"/>
    </xf>
    <xf numFmtId="168" fontId="88" fillId="0" borderId="51" xfId="1" applyNumberFormat="1" applyFont="1" applyFill="1" applyBorder="1" applyAlignment="1">
      <alignment horizontal="center" vertical="center" wrapText="1"/>
    </xf>
    <xf numFmtId="165" fontId="160" fillId="94" borderId="53" xfId="1" applyFont="1" applyFill="1" applyBorder="1" applyAlignment="1">
      <alignment horizontal="center" vertical="center" wrapText="1"/>
    </xf>
    <xf numFmtId="0" fontId="156" fillId="75" borderId="10" xfId="0" applyFont="1" applyFill="1" applyBorder="1" applyAlignment="1">
      <alignment vertical="center" wrapText="1"/>
    </xf>
    <xf numFmtId="0" fontId="87" fillId="0" borderId="41" xfId="43" applyFont="1" applyBorder="1" applyAlignment="1">
      <alignment vertical="center" wrapText="1"/>
    </xf>
    <xf numFmtId="0" fontId="87" fillId="0" borderId="62" xfId="43" applyFont="1" applyBorder="1" applyAlignment="1">
      <alignment vertical="center" wrapText="1"/>
    </xf>
    <xf numFmtId="0" fontId="105" fillId="74" borderId="45" xfId="0" applyFont="1" applyFill="1" applyBorder="1" applyAlignment="1">
      <alignment wrapText="1"/>
    </xf>
    <xf numFmtId="184" fontId="140" fillId="84" borderId="45" xfId="0" applyNumberFormat="1" applyFont="1" applyFill="1" applyBorder="1" applyAlignment="1">
      <alignment vertical="center" wrapText="1"/>
    </xf>
    <xf numFmtId="0" fontId="105" fillId="74" borderId="45" xfId="0" applyFont="1" applyFill="1" applyBorder="1" applyAlignment="1">
      <alignment vertical="center" wrapText="1"/>
    </xf>
    <xf numFmtId="0" fontId="97" fillId="72" borderId="53" xfId="0" applyFont="1" applyFill="1" applyBorder="1" applyAlignment="1">
      <alignment vertical="center" wrapText="1"/>
    </xf>
    <xf numFmtId="0" fontId="100" fillId="73" borderId="53" xfId="0" applyFont="1" applyFill="1" applyBorder="1" applyAlignment="1">
      <alignment vertical="center" wrapText="1"/>
    </xf>
    <xf numFmtId="0" fontId="156" fillId="76" borderId="10" xfId="0" applyFont="1" applyFill="1" applyBorder="1" applyAlignment="1">
      <alignment vertical="center" wrapText="1"/>
    </xf>
    <xf numFmtId="0" fontId="100" fillId="74" borderId="45" xfId="0" applyFont="1" applyFill="1" applyBorder="1" applyAlignment="1">
      <alignment wrapText="1"/>
    </xf>
    <xf numFmtId="0" fontId="102" fillId="0" borderId="45" xfId="0" quotePrefix="1" applyFont="1" applyBorder="1" applyAlignment="1">
      <alignment vertical="center" wrapText="1"/>
    </xf>
    <xf numFmtId="0" fontId="100" fillId="74" borderId="10" xfId="0" applyFont="1" applyFill="1" applyBorder="1" applyAlignment="1">
      <alignment wrapText="1"/>
    </xf>
    <xf numFmtId="0" fontId="100" fillId="89" borderId="10" xfId="0" applyFont="1" applyFill="1" applyBorder="1" applyAlignment="1">
      <alignment wrapText="1"/>
    </xf>
    <xf numFmtId="0" fontId="100" fillId="74" borderId="53" xfId="0" applyFont="1" applyFill="1" applyBorder="1" applyAlignment="1">
      <alignment wrapText="1"/>
    </xf>
    <xf numFmtId="0" fontId="95" fillId="74" borderId="10" xfId="0" applyFont="1" applyFill="1" applyBorder="1" applyAlignment="1">
      <alignment vertical="center" wrapText="1"/>
    </xf>
    <xf numFmtId="0" fontId="87" fillId="74" borderId="10" xfId="0" applyFont="1" applyFill="1" applyBorder="1" applyAlignment="1">
      <alignment vertical="center" wrapText="1"/>
    </xf>
    <xf numFmtId="0" fontId="77" fillId="69" borderId="29" xfId="579" applyFont="1" applyFill="1" applyBorder="1" applyAlignment="1">
      <alignment vertical="center" wrapText="1"/>
    </xf>
    <xf numFmtId="0" fontId="105" fillId="74" borderId="10" xfId="0" applyFont="1" applyFill="1" applyBorder="1" applyAlignment="1">
      <alignment wrapText="1"/>
    </xf>
    <xf numFmtId="0" fontId="103" fillId="74" borderId="41" xfId="0" applyFont="1" applyFill="1" applyBorder="1" applyAlignment="1">
      <alignment vertical="center" wrapText="1"/>
    </xf>
    <xf numFmtId="0" fontId="109" fillId="0" borderId="10" xfId="0" applyFont="1" applyBorder="1" applyAlignment="1">
      <alignment vertical="center" wrapText="1"/>
    </xf>
    <xf numFmtId="0" fontId="156" fillId="0" borderId="39" xfId="402" applyFont="1" applyBorder="1" applyAlignment="1">
      <alignment vertical="center" wrapText="1"/>
    </xf>
    <xf numFmtId="0" fontId="85" fillId="0" borderId="10" xfId="0" quotePrefix="1" applyFont="1" applyBorder="1" applyAlignment="1">
      <alignment vertical="center" wrapText="1"/>
    </xf>
    <xf numFmtId="0" fontId="97" fillId="72" borderId="34" xfId="0" applyFont="1" applyFill="1" applyBorder="1" applyAlignment="1">
      <alignment vertical="center" wrapText="1"/>
    </xf>
    <xf numFmtId="165" fontId="160" fillId="94" borderId="53" xfId="1" applyFont="1" applyFill="1" applyBorder="1" applyAlignment="1">
      <alignment vertical="center" wrapText="1"/>
    </xf>
    <xf numFmtId="0" fontId="87" fillId="72" borderId="53" xfId="0" applyFont="1" applyFill="1" applyBorder="1" applyAlignment="1">
      <alignment horizontal="left" vertical="center" wrapText="1"/>
    </xf>
    <xf numFmtId="0" fontId="83" fillId="33" borderId="30" xfId="579" applyFont="1" applyFill="1" applyBorder="1" applyAlignment="1">
      <alignment horizontal="center" vertical="center"/>
    </xf>
    <xf numFmtId="0" fontId="60" fillId="78" borderId="51" xfId="0" applyFont="1" applyFill="1" applyBorder="1" applyAlignment="1">
      <alignment horizontal="center" vertical="center"/>
    </xf>
    <xf numFmtId="165" fontId="131" fillId="0" borderId="58" xfId="1" applyFont="1" applyBorder="1" applyAlignment="1" applyProtection="1">
      <alignment vertical="center"/>
    </xf>
    <xf numFmtId="165" fontId="131" fillId="0" borderId="57" xfId="1" applyFont="1" applyBorder="1" applyAlignment="1" applyProtection="1">
      <alignment vertical="center"/>
    </xf>
    <xf numFmtId="168" fontId="138" fillId="34" borderId="45" xfId="1" applyNumberFormat="1" applyFont="1" applyFill="1" applyBorder="1" applyAlignment="1">
      <alignment vertical="center"/>
    </xf>
    <xf numFmtId="1" fontId="87" fillId="0" borderId="41" xfId="43" applyNumberFormat="1" applyFont="1" applyBorder="1" applyAlignment="1">
      <alignment horizontal="center" vertical="center"/>
    </xf>
    <xf numFmtId="0" fontId="100" fillId="0" borderId="45" xfId="0" applyFont="1" applyBorder="1" applyAlignment="1">
      <alignment horizontal="center" vertical="center"/>
    </xf>
    <xf numFmtId="0" fontId="100" fillId="78" borderId="45" xfId="0" applyFont="1" applyFill="1" applyBorder="1" applyAlignment="1">
      <alignment horizontal="center" vertical="center"/>
    </xf>
    <xf numFmtId="0" fontId="60" fillId="78" borderId="45" xfId="0" applyFont="1" applyFill="1" applyBorder="1" applyAlignment="1">
      <alignment horizontal="center" vertical="center"/>
    </xf>
    <xf numFmtId="0" fontId="104" fillId="0" borderId="45" xfId="0" applyFont="1" applyBorder="1" applyAlignment="1">
      <alignment horizontal="center" vertical="center"/>
    </xf>
    <xf numFmtId="184" fontId="151" fillId="0" borderId="45" xfId="0" applyNumberFormat="1" applyFont="1" applyBorder="1" applyAlignment="1">
      <alignment horizontal="center" vertical="center"/>
    </xf>
    <xf numFmtId="184" fontId="132" fillId="0" borderId="45" xfId="0" applyNumberFormat="1" applyFont="1" applyBorder="1" applyAlignment="1">
      <alignment horizontal="center" vertical="center"/>
    </xf>
    <xf numFmtId="0" fontId="60" fillId="0" borderId="11" xfId="0" applyFont="1" applyBorder="1" applyAlignment="1">
      <alignment horizontal="center" vertical="center"/>
    </xf>
    <xf numFmtId="0" fontId="83" fillId="0" borderId="30" xfId="579" applyFont="1" applyBorder="1" applyAlignment="1">
      <alignment horizontal="center" vertical="center"/>
    </xf>
    <xf numFmtId="0" fontId="60" fillId="34" borderId="10" xfId="0" applyFont="1" applyFill="1" applyBorder="1" applyAlignment="1">
      <alignment horizontal="center" vertical="center"/>
    </xf>
    <xf numFmtId="0" fontId="60" fillId="0" borderId="27" xfId="0" applyFont="1" applyBorder="1" applyAlignment="1">
      <alignment horizontal="center" vertical="center"/>
    </xf>
    <xf numFmtId="0" fontId="104" fillId="0" borderId="13" xfId="0" applyFont="1" applyBorder="1" applyAlignment="1">
      <alignment horizontal="center" vertical="center"/>
    </xf>
    <xf numFmtId="0" fontId="60" fillId="0" borderId="51" xfId="0" applyFont="1" applyBorder="1" applyAlignment="1">
      <alignment horizontal="center" vertical="center"/>
    </xf>
    <xf numFmtId="0" fontId="60" fillId="90" borderId="12" xfId="0" applyFont="1" applyFill="1" applyBorder="1" applyAlignment="1">
      <alignment horizontal="center" vertical="center"/>
    </xf>
    <xf numFmtId="0" fontId="60" fillId="90" borderId="51" xfId="0" applyFont="1" applyFill="1" applyBorder="1" applyAlignment="1">
      <alignment horizontal="center" vertical="center"/>
    </xf>
    <xf numFmtId="0" fontId="60" fillId="78" borderId="10" xfId="0" applyFont="1" applyFill="1" applyBorder="1" applyAlignment="1">
      <alignment horizontal="center" vertical="center"/>
    </xf>
    <xf numFmtId="0" fontId="97" fillId="72" borderId="46" xfId="0" applyFont="1" applyFill="1" applyBorder="1" applyAlignment="1">
      <alignment vertical="center"/>
    </xf>
    <xf numFmtId="0" fontId="100" fillId="73" borderId="46" xfId="0" applyFont="1" applyFill="1" applyBorder="1" applyAlignment="1">
      <alignment vertical="center"/>
    </xf>
    <xf numFmtId="0" fontId="100" fillId="89" borderId="10" xfId="0" applyFont="1" applyFill="1" applyBorder="1" applyAlignment="1">
      <alignment horizontal="left" vertical="center" wrapText="1"/>
    </xf>
    <xf numFmtId="0" fontId="100" fillId="73" borderId="53" xfId="0" applyFont="1" applyFill="1" applyBorder="1" applyAlignment="1">
      <alignment horizontal="center" vertical="center" wrapText="1"/>
    </xf>
    <xf numFmtId="0" fontId="102" fillId="0" borderId="51" xfId="0" applyFont="1" applyBorder="1" applyAlignment="1">
      <alignment vertical="center"/>
    </xf>
    <xf numFmtId="0" fontId="111" fillId="0" borderId="28" xfId="579" applyFont="1" applyBorder="1" applyAlignment="1">
      <alignment vertical="center"/>
    </xf>
    <xf numFmtId="0" fontId="105" fillId="74" borderId="10" xfId="0" applyFont="1" applyFill="1" applyBorder="1" applyAlignment="1">
      <alignment vertical="center"/>
    </xf>
    <xf numFmtId="0" fontId="114" fillId="0" borderId="10" xfId="0" applyFont="1" applyBorder="1" applyAlignment="1">
      <alignment vertical="center"/>
    </xf>
    <xf numFmtId="167" fontId="102" fillId="0" borderId="10" xfId="0" applyNumberFormat="1" applyFont="1" applyBorder="1" applyAlignment="1">
      <alignment vertical="center"/>
    </xf>
    <xf numFmtId="165" fontId="102" fillId="0" borderId="10" xfId="0" applyNumberFormat="1" applyFont="1" applyBorder="1" applyAlignment="1">
      <alignment vertical="center"/>
    </xf>
    <xf numFmtId="0" fontId="102" fillId="90" borderId="12" xfId="0" applyFont="1" applyFill="1" applyBorder="1" applyAlignment="1">
      <alignment vertical="center"/>
    </xf>
    <xf numFmtId="0" fontId="102" fillId="90" borderId="51" xfId="0" applyFont="1" applyFill="1" applyBorder="1" applyAlignment="1">
      <alignment vertical="center"/>
    </xf>
    <xf numFmtId="165" fontId="160" fillId="94" borderId="53" xfId="1" applyFont="1" applyFill="1" applyBorder="1" applyAlignment="1">
      <alignment vertical="center"/>
    </xf>
    <xf numFmtId="0" fontId="97" fillId="72" borderId="34" xfId="0" applyFont="1" applyFill="1" applyBorder="1" applyAlignment="1">
      <alignment vertical="center"/>
    </xf>
    <xf numFmtId="0" fontId="100" fillId="73" borderId="58" xfId="0" applyFont="1" applyFill="1" applyBorder="1" applyAlignment="1">
      <alignment vertical="center"/>
    </xf>
    <xf numFmtId="165" fontId="160" fillId="94" borderId="46" xfId="1" applyFont="1" applyFill="1" applyBorder="1" applyAlignment="1">
      <alignment vertical="center"/>
    </xf>
    <xf numFmtId="0" fontId="100" fillId="74" borderId="45" xfId="0" applyFont="1" applyFill="1" applyBorder="1" applyAlignment="1">
      <alignment horizontal="left" vertical="center" wrapText="1"/>
    </xf>
    <xf numFmtId="0" fontId="100" fillId="74" borderId="45" xfId="0" applyFont="1" applyFill="1" applyBorder="1" applyAlignment="1">
      <alignment horizontal="left" vertical="center"/>
    </xf>
    <xf numFmtId="165" fontId="88" fillId="0" borderId="10" xfId="1" applyFont="1" applyBorder="1" applyAlignment="1">
      <alignment vertical="center"/>
    </xf>
    <xf numFmtId="165" fontId="88" fillId="0" borderId="58" xfId="1" applyFont="1" applyBorder="1" applyAlignment="1">
      <alignment vertical="center"/>
    </xf>
    <xf numFmtId="0" fontId="100" fillId="74" borderId="10" xfId="0" applyFont="1" applyFill="1" applyBorder="1" applyAlignment="1">
      <alignment vertical="center" wrapText="1"/>
    </xf>
    <xf numFmtId="0" fontId="100" fillId="74" borderId="10" xfId="0" applyFont="1" applyFill="1" applyBorder="1" applyAlignment="1">
      <alignment vertical="center"/>
    </xf>
    <xf numFmtId="1" fontId="100" fillId="74" borderId="10" xfId="0" applyNumberFormat="1" applyFont="1" applyFill="1" applyBorder="1" applyAlignment="1">
      <alignment horizontal="left" vertical="center"/>
    </xf>
    <xf numFmtId="165" fontId="100" fillId="74" borderId="10" xfId="1" applyFont="1" applyFill="1" applyBorder="1" applyAlignment="1">
      <alignment horizontal="left" vertical="center"/>
    </xf>
    <xf numFmtId="165" fontId="100" fillId="74" borderId="10" xfId="1" applyFont="1" applyFill="1" applyBorder="1" applyAlignment="1">
      <alignment horizontal="left" vertical="center" wrapText="1"/>
    </xf>
    <xf numFmtId="0" fontId="100" fillId="89" borderId="10" xfId="0" applyFont="1" applyFill="1" applyBorder="1" applyAlignment="1">
      <alignment vertical="center" wrapText="1"/>
    </xf>
    <xf numFmtId="165" fontId="100" fillId="34" borderId="10" xfId="1" applyFont="1" applyFill="1" applyBorder="1" applyAlignment="1">
      <alignment horizontal="center" vertical="center"/>
    </xf>
    <xf numFmtId="165" fontId="102" fillId="0" borderId="57" xfId="0" applyNumberFormat="1" applyFont="1" applyBorder="1" applyAlignment="1">
      <alignment vertical="center"/>
    </xf>
    <xf numFmtId="165" fontId="102" fillId="58" borderId="58" xfId="1" applyFont="1" applyFill="1" applyBorder="1" applyAlignment="1">
      <alignment horizontal="center" vertical="center"/>
    </xf>
    <xf numFmtId="165" fontId="102" fillId="58" borderId="57" xfId="1" applyFont="1" applyFill="1" applyBorder="1" applyAlignment="1">
      <alignment horizontal="center" vertical="center"/>
    </xf>
    <xf numFmtId="0" fontId="102" fillId="58" borderId="57" xfId="0" applyFont="1" applyFill="1" applyBorder="1" applyAlignment="1">
      <alignment vertical="center"/>
    </xf>
    <xf numFmtId="0" fontId="102" fillId="58" borderId="0" xfId="0" applyFont="1" applyFill="1" applyAlignment="1">
      <alignment vertical="center"/>
    </xf>
    <xf numFmtId="165" fontId="102" fillId="34" borderId="10" xfId="1" applyFont="1" applyFill="1" applyBorder="1" applyAlignment="1">
      <alignment horizontal="center" vertical="center"/>
    </xf>
    <xf numFmtId="165" fontId="102" fillId="34" borderId="58" xfId="1" applyFont="1" applyFill="1" applyBorder="1" applyAlignment="1">
      <alignment horizontal="center" vertical="center"/>
    </xf>
    <xf numFmtId="165" fontId="102" fillId="34" borderId="57" xfId="1" applyFont="1" applyFill="1" applyBorder="1" applyAlignment="1">
      <alignment horizontal="center" vertical="center"/>
    </xf>
    <xf numFmtId="0" fontId="102" fillId="34" borderId="57" xfId="0" applyFont="1" applyFill="1" applyBorder="1" applyAlignment="1">
      <alignment vertical="center"/>
    </xf>
    <xf numFmtId="0" fontId="100" fillId="74" borderId="46" xfId="0" applyFont="1" applyFill="1" applyBorder="1" applyAlignment="1">
      <alignment horizontal="left" vertical="center" wrapText="1"/>
    </xf>
    <xf numFmtId="0" fontId="100" fillId="74" borderId="53" xfId="0" applyFont="1" applyFill="1" applyBorder="1" applyAlignment="1">
      <alignment vertical="center" wrapText="1"/>
    </xf>
    <xf numFmtId="0" fontId="100" fillId="74" borderId="53" xfId="0" applyFont="1" applyFill="1" applyBorder="1" applyAlignment="1">
      <alignment horizontal="left" vertical="center"/>
    </xf>
    <xf numFmtId="0" fontId="100" fillId="74" borderId="52" xfId="0" applyFont="1" applyFill="1" applyBorder="1" applyAlignment="1">
      <alignment horizontal="left" vertical="center"/>
    </xf>
    <xf numFmtId="1" fontId="105" fillId="74" borderId="10" xfId="0" applyNumberFormat="1" applyFont="1" applyFill="1" applyBorder="1" applyAlignment="1">
      <alignment horizontal="center" vertical="center"/>
    </xf>
    <xf numFmtId="165" fontId="61" fillId="0" borderId="0" xfId="1" applyFont="1" applyAlignment="1">
      <alignment vertical="center"/>
    </xf>
    <xf numFmtId="165" fontId="102" fillId="0" borderId="0" xfId="1" applyFont="1" applyFill="1" applyAlignment="1">
      <alignment vertical="center"/>
    </xf>
    <xf numFmtId="0" fontId="105" fillId="74" borderId="10" xfId="0" applyFont="1" applyFill="1" applyBorder="1" applyAlignment="1">
      <alignment vertical="center" wrapText="1"/>
    </xf>
    <xf numFmtId="165" fontId="102" fillId="0" borderId="51" xfId="1" applyFont="1" applyBorder="1" applyAlignment="1">
      <alignment vertical="center"/>
    </xf>
    <xf numFmtId="0" fontId="88" fillId="58" borderId="10" xfId="0" applyFont="1" applyFill="1" applyBorder="1" applyAlignment="1">
      <alignment horizontal="left" vertical="center" wrapText="1"/>
    </xf>
    <xf numFmtId="0" fontId="102" fillId="0" borderId="13" xfId="0" applyFont="1" applyBorder="1" applyAlignment="1">
      <alignment vertical="center"/>
    </xf>
    <xf numFmtId="0" fontId="103" fillId="58" borderId="10" xfId="0" applyFont="1" applyFill="1" applyBorder="1" applyAlignment="1">
      <alignment horizontal="left" vertical="center"/>
    </xf>
    <xf numFmtId="168" fontId="102" fillId="58" borderId="58" xfId="1" applyNumberFormat="1" applyFont="1" applyFill="1" applyBorder="1" applyAlignment="1">
      <alignment horizontal="center" vertical="center"/>
    </xf>
    <xf numFmtId="168" fontId="102" fillId="58" borderId="57" xfId="1" applyNumberFormat="1" applyFont="1" applyFill="1" applyBorder="1" applyAlignment="1">
      <alignment horizontal="center" vertical="center"/>
    </xf>
    <xf numFmtId="0" fontId="87" fillId="90" borderId="40" xfId="0" applyFont="1" applyFill="1" applyBorder="1" applyAlignment="1">
      <alignment horizontal="left" vertical="center" wrapText="1"/>
    </xf>
    <xf numFmtId="0" fontId="88" fillId="90" borderId="12" xfId="0" applyFont="1" applyFill="1" applyBorder="1" applyAlignment="1">
      <alignment vertical="center" wrapText="1"/>
    </xf>
    <xf numFmtId="0" fontId="100" fillId="90" borderId="12" xfId="0" applyFont="1" applyFill="1" applyBorder="1" applyAlignment="1">
      <alignment horizontal="center" vertical="center"/>
    </xf>
    <xf numFmtId="0" fontId="102" fillId="90" borderId="12" xfId="0" applyFont="1" applyFill="1" applyBorder="1" applyAlignment="1">
      <alignment horizontal="center" vertical="center" wrapText="1"/>
    </xf>
    <xf numFmtId="1" fontId="102" fillId="90" borderId="12" xfId="0" applyNumberFormat="1" applyFont="1" applyFill="1" applyBorder="1" applyAlignment="1">
      <alignment horizontal="center" vertical="center"/>
    </xf>
    <xf numFmtId="165" fontId="102" fillId="90" borderId="12" xfId="1" applyFont="1" applyFill="1" applyBorder="1" applyAlignment="1">
      <alignment vertical="center"/>
    </xf>
    <xf numFmtId="165" fontId="102" fillId="90" borderId="12" xfId="1" applyFont="1" applyFill="1" applyBorder="1" applyAlignment="1">
      <alignment horizontal="center" vertical="center"/>
    </xf>
    <xf numFmtId="0" fontId="102" fillId="90" borderId="57" xfId="0" applyFont="1" applyFill="1" applyBorder="1" applyAlignment="1">
      <alignment vertical="center"/>
    </xf>
    <xf numFmtId="0" fontId="102" fillId="90" borderId="0" xfId="0" applyFont="1" applyFill="1" applyAlignment="1">
      <alignment vertical="center"/>
    </xf>
    <xf numFmtId="17" fontId="88" fillId="0" borderId="51" xfId="0" applyNumberFormat="1" applyFont="1" applyBorder="1" applyAlignment="1">
      <alignment vertical="center" wrapText="1"/>
    </xf>
    <xf numFmtId="17" fontId="88" fillId="0" borderId="51" xfId="0" applyNumberFormat="1" applyFont="1" applyBorder="1" applyAlignment="1">
      <alignment horizontal="right" vertical="center"/>
    </xf>
    <xf numFmtId="168" fontId="102" fillId="0" borderId="56" xfId="1" applyNumberFormat="1" applyFont="1" applyBorder="1" applyAlignment="1">
      <alignment horizontal="center" vertical="center"/>
    </xf>
    <xf numFmtId="168" fontId="102" fillId="0" borderId="51" xfId="1" applyNumberFormat="1" applyFont="1" applyFill="1" applyBorder="1" applyAlignment="1">
      <alignment horizontal="center" vertical="center"/>
    </xf>
    <xf numFmtId="168" fontId="102" fillId="0" borderId="56" xfId="1" applyNumberFormat="1" applyFont="1" applyFill="1" applyBorder="1" applyAlignment="1">
      <alignment horizontal="center" vertical="center"/>
    </xf>
    <xf numFmtId="0" fontId="87" fillId="90" borderId="46" xfId="0" applyFont="1" applyFill="1" applyBorder="1" applyAlignment="1">
      <alignment horizontal="left" vertical="center" wrapText="1"/>
    </xf>
    <xf numFmtId="0" fontId="88" fillId="90" borderId="51" xfId="0" applyFont="1" applyFill="1" applyBorder="1" applyAlignment="1">
      <alignment vertical="center" wrapText="1"/>
    </xf>
    <xf numFmtId="0" fontId="100" fillId="90" borderId="51" xfId="0" applyFont="1" applyFill="1" applyBorder="1" applyAlignment="1">
      <alignment horizontal="center" vertical="center"/>
    </xf>
    <xf numFmtId="0" fontId="102" fillId="90" borderId="51" xfId="0" applyFont="1" applyFill="1" applyBorder="1" applyAlignment="1">
      <alignment horizontal="center" vertical="center" wrapText="1"/>
    </xf>
    <xf numFmtId="1" fontId="102" fillId="90" borderId="51" xfId="0" applyNumberFormat="1" applyFont="1" applyFill="1" applyBorder="1" applyAlignment="1">
      <alignment horizontal="center" vertical="center"/>
    </xf>
    <xf numFmtId="165" fontId="102" fillId="90" borderId="51" xfId="1" applyFont="1" applyFill="1" applyBorder="1" applyAlignment="1">
      <alignment vertical="center"/>
    </xf>
    <xf numFmtId="165" fontId="102" fillId="90" borderId="51" xfId="1" applyFont="1" applyFill="1" applyBorder="1" applyAlignment="1">
      <alignment horizontal="center" vertical="center"/>
    </xf>
    <xf numFmtId="0" fontId="87" fillId="71" borderId="62" xfId="43" applyFont="1" applyFill="1" applyBorder="1" applyAlignment="1">
      <alignment horizontal="center" vertical="center"/>
    </xf>
    <xf numFmtId="181" fontId="87" fillId="34" borderId="62" xfId="0" applyNumberFormat="1" applyFont="1" applyFill="1" applyBorder="1" applyAlignment="1">
      <alignment horizontal="center" vertical="center"/>
    </xf>
    <xf numFmtId="181" fontId="87" fillId="0" borderId="62" xfId="0" applyNumberFormat="1" applyFont="1" applyBorder="1" applyAlignment="1">
      <alignment horizontal="center" vertical="center"/>
    </xf>
    <xf numFmtId="165" fontId="87" fillId="0" borderId="62" xfId="1" applyFont="1" applyFill="1" applyBorder="1" applyAlignment="1">
      <alignment horizontal="center" vertical="center"/>
    </xf>
    <xf numFmtId="165" fontId="102" fillId="0" borderId="0" xfId="0" applyNumberFormat="1" applyFont="1" applyAlignment="1">
      <alignment vertical="center"/>
    </xf>
    <xf numFmtId="0" fontId="60" fillId="0" borderId="62" xfId="0" applyFont="1" applyBorder="1" applyAlignment="1">
      <alignment horizontal="center" vertical="center"/>
    </xf>
    <xf numFmtId="0" fontId="88" fillId="0" borderId="62" xfId="0" applyFont="1" applyBorder="1" applyAlignment="1">
      <alignment vertical="center" wrapText="1"/>
    </xf>
    <xf numFmtId="15" fontId="100" fillId="0" borderId="62" xfId="0" applyNumberFormat="1" applyFont="1" applyBorder="1" applyAlignment="1">
      <alignment horizontal="left" vertical="center"/>
    </xf>
    <xf numFmtId="0" fontId="100" fillId="0" borderId="62" xfId="0" applyFont="1" applyBorder="1" applyAlignment="1">
      <alignment horizontal="center" vertical="center"/>
    </xf>
    <xf numFmtId="15" fontId="88" fillId="0" borderId="62" xfId="0" quotePrefix="1" applyNumberFormat="1" applyFont="1" applyBorder="1" applyAlignment="1">
      <alignment horizontal="center" vertical="center"/>
    </xf>
    <xf numFmtId="181" fontId="102" fillId="0" borderId="62" xfId="0" applyNumberFormat="1" applyFont="1" applyBorder="1" applyAlignment="1">
      <alignment horizontal="center" vertical="center"/>
    </xf>
    <xf numFmtId="0" fontId="102" fillId="0" borderId="62" xfId="0" applyFont="1" applyBorder="1" applyAlignment="1">
      <alignment horizontal="center" vertical="center"/>
    </xf>
    <xf numFmtId="0" fontId="102" fillId="0" borderId="62" xfId="0" applyFont="1" applyBorder="1" applyAlignment="1">
      <alignment horizontal="center" vertical="center" wrapText="1"/>
    </xf>
    <xf numFmtId="1" fontId="21" fillId="0" borderId="62" xfId="45" applyNumberFormat="1" applyBorder="1" applyAlignment="1">
      <alignment horizontal="center" vertical="center"/>
    </xf>
    <xf numFmtId="165" fontId="88" fillId="0" borderId="62" xfId="1" applyFont="1" applyFill="1" applyBorder="1" applyAlignment="1">
      <alignment horizontal="center" vertical="center"/>
    </xf>
    <xf numFmtId="0" fontId="60" fillId="0" borderId="61" xfId="0" applyFont="1" applyBorder="1" applyAlignment="1">
      <alignment horizontal="center" vertical="center"/>
    </xf>
    <xf numFmtId="0" fontId="88" fillId="0" borderId="61" xfId="0" applyFont="1" applyBorder="1" applyAlignment="1">
      <alignment vertical="center" wrapText="1"/>
    </xf>
    <xf numFmtId="0" fontId="100" fillId="0" borderId="61" xfId="0" applyFont="1" applyBorder="1" applyAlignment="1">
      <alignment horizontal="left" vertical="center"/>
    </xf>
    <xf numFmtId="0" fontId="100" fillId="0" borderId="61" xfId="0" applyFont="1" applyBorder="1" applyAlignment="1">
      <alignment horizontal="center" vertical="center"/>
    </xf>
    <xf numFmtId="15" fontId="88" fillId="0" borderId="61" xfId="0" quotePrefix="1" applyNumberFormat="1" applyFont="1" applyBorder="1" applyAlignment="1">
      <alignment horizontal="center" vertical="center"/>
    </xf>
    <xf numFmtId="181" fontId="102" fillId="0" borderId="61" xfId="0" applyNumberFormat="1" applyFont="1" applyBorder="1" applyAlignment="1">
      <alignment horizontal="center" vertical="center"/>
    </xf>
    <xf numFmtId="0" fontId="102" fillId="0" borderId="61" xfId="0" applyFont="1" applyBorder="1" applyAlignment="1">
      <alignment horizontal="center" vertical="center"/>
    </xf>
    <xf numFmtId="0" fontId="102" fillId="0" borderId="61" xfId="0" applyFont="1" applyBorder="1" applyAlignment="1">
      <alignment horizontal="center" vertical="center" wrapText="1"/>
    </xf>
    <xf numFmtId="1" fontId="21" fillId="0" borderId="61" xfId="45" applyNumberFormat="1" applyBorder="1" applyAlignment="1">
      <alignment horizontal="center" vertical="center"/>
    </xf>
    <xf numFmtId="165" fontId="88" fillId="0" borderId="61" xfId="1" applyFont="1" applyFill="1" applyBorder="1" applyAlignment="1">
      <alignment horizontal="center" vertical="center"/>
    </xf>
    <xf numFmtId="15" fontId="88" fillId="0" borderId="61" xfId="0" applyNumberFormat="1" applyFont="1" applyBorder="1" applyAlignment="1">
      <alignment horizontal="center" vertical="center"/>
    </xf>
    <xf numFmtId="0" fontId="102" fillId="0" borderId="61" xfId="0" applyFont="1" applyBorder="1" applyAlignment="1">
      <alignment vertical="center"/>
    </xf>
    <xf numFmtId="0" fontId="60" fillId="0" borderId="61" xfId="0" applyFont="1" applyBorder="1" applyAlignment="1">
      <alignment vertical="center" wrapText="1"/>
    </xf>
    <xf numFmtId="0" fontId="23" fillId="0" borderId="61" xfId="0" applyFont="1" applyBorder="1" applyAlignment="1">
      <alignment vertical="center" wrapText="1"/>
    </xf>
    <xf numFmtId="0" fontId="21" fillId="0" borderId="61" xfId="45" applyBorder="1" applyAlignment="1">
      <alignment vertical="center"/>
    </xf>
    <xf numFmtId="0" fontId="100" fillId="74" borderId="61" xfId="0" applyFont="1" applyFill="1" applyBorder="1" applyAlignment="1">
      <alignment horizontal="center" vertical="center"/>
    </xf>
    <xf numFmtId="0" fontId="103" fillId="74" borderId="61" xfId="0" applyFont="1" applyFill="1" applyBorder="1" applyAlignment="1">
      <alignment vertical="center"/>
    </xf>
    <xf numFmtId="1" fontId="103" fillId="74" borderId="61" xfId="0" applyNumberFormat="1" applyFont="1" applyFill="1" applyBorder="1" applyAlignment="1">
      <alignment horizontal="center" vertical="center"/>
    </xf>
    <xf numFmtId="0" fontId="103" fillId="74" borderId="61" xfId="0" applyFont="1" applyFill="1" applyBorder="1" applyAlignment="1">
      <alignment horizontal="left" vertical="center"/>
    </xf>
    <xf numFmtId="0" fontId="103" fillId="74" borderId="61" xfId="0" applyFont="1" applyFill="1" applyBorder="1" applyAlignment="1">
      <alignment horizontal="center" vertical="center"/>
    </xf>
    <xf numFmtId="165" fontId="103" fillId="74" borderId="61" xfId="1" applyFont="1" applyFill="1" applyBorder="1" applyAlignment="1">
      <alignment horizontal="left" vertical="center"/>
    </xf>
    <xf numFmtId="165" fontId="103" fillId="74" borderId="61" xfId="1" applyFont="1" applyFill="1" applyBorder="1" applyAlignment="1">
      <alignment horizontal="center" vertical="center"/>
    </xf>
    <xf numFmtId="0" fontId="102" fillId="58" borderId="61" xfId="0" applyFont="1" applyFill="1" applyBorder="1" applyAlignment="1">
      <alignment horizontal="center" vertical="center"/>
    </xf>
    <xf numFmtId="0" fontId="88" fillId="58" borderId="61" xfId="0" applyFont="1" applyFill="1" applyBorder="1" applyAlignment="1">
      <alignment vertical="center" wrapText="1"/>
    </xf>
    <xf numFmtId="0" fontId="94" fillId="58" borderId="61" xfId="0" applyFont="1" applyFill="1" applyBorder="1" applyAlignment="1">
      <alignment horizontal="left" vertical="center"/>
    </xf>
    <xf numFmtId="0" fontId="87" fillId="58" borderId="61" xfId="0" applyFont="1" applyFill="1" applyBorder="1" applyAlignment="1">
      <alignment horizontal="center" vertical="center"/>
    </xf>
    <xf numFmtId="0" fontId="88" fillId="0" borderId="61" xfId="0" applyFont="1" applyBorder="1" applyAlignment="1">
      <alignment horizontal="center" vertical="center"/>
    </xf>
    <xf numFmtId="168" fontId="88" fillId="0" borderId="61" xfId="1" applyNumberFormat="1" applyFont="1" applyFill="1" applyBorder="1" applyAlignment="1">
      <alignment horizontal="center" vertical="center" wrapText="1"/>
    </xf>
    <xf numFmtId="0" fontId="103" fillId="58" borderId="61" xfId="0" applyFont="1" applyFill="1" applyBorder="1" applyAlignment="1">
      <alignment horizontal="center" vertical="center"/>
    </xf>
    <xf numFmtId="165" fontId="103" fillId="58" borderId="61" xfId="1" applyFont="1" applyFill="1" applyBorder="1" applyAlignment="1">
      <alignment horizontal="center" vertical="center"/>
    </xf>
    <xf numFmtId="168" fontId="88" fillId="0" borderId="61" xfId="1" applyNumberFormat="1" applyFont="1" applyFill="1" applyBorder="1" applyAlignment="1">
      <alignment vertical="center"/>
    </xf>
    <xf numFmtId="0" fontId="103" fillId="0" borderId="61" xfId="0" applyFont="1" applyBorder="1" applyAlignment="1">
      <alignment vertical="center"/>
    </xf>
    <xf numFmtId="0" fontId="103" fillId="0" borderId="61" xfId="0" applyFont="1" applyBorder="1" applyAlignment="1">
      <alignment horizontal="center" vertical="center"/>
    </xf>
    <xf numFmtId="168" fontId="103" fillId="0" borderId="61" xfId="1" applyNumberFormat="1" applyFont="1" applyFill="1" applyBorder="1" applyAlignment="1">
      <alignment horizontal="center" vertical="center"/>
    </xf>
    <xf numFmtId="168" fontId="88" fillId="0" borderId="56" xfId="1" applyNumberFormat="1" applyFont="1" applyFill="1" applyBorder="1" applyAlignment="1">
      <alignment vertical="center"/>
    </xf>
    <xf numFmtId="1" fontId="103" fillId="0" borderId="61" xfId="0" applyNumberFormat="1" applyFont="1" applyBorder="1" applyAlignment="1">
      <alignment horizontal="center" vertical="center"/>
    </xf>
    <xf numFmtId="0" fontId="103" fillId="0" borderId="61" xfId="0" applyFont="1" applyBorder="1" applyAlignment="1">
      <alignment horizontal="left" vertical="center"/>
    </xf>
    <xf numFmtId="165" fontId="103" fillId="0" borderId="61" xfId="1" applyFont="1" applyFill="1" applyBorder="1" applyAlignment="1">
      <alignment horizontal="left" vertical="center"/>
    </xf>
    <xf numFmtId="165" fontId="105" fillId="0" borderId="61" xfId="1" applyFont="1" applyFill="1" applyBorder="1" applyAlignment="1">
      <alignment horizontal="center" vertical="center"/>
    </xf>
    <xf numFmtId="165" fontId="105" fillId="0" borderId="63" xfId="1" applyFont="1" applyFill="1" applyBorder="1" applyAlignment="1">
      <alignment horizontal="center" vertical="center"/>
    </xf>
    <xf numFmtId="165" fontId="105" fillId="0" borderId="61" xfId="1" applyFont="1" applyFill="1" applyBorder="1" applyAlignment="1">
      <alignment horizontal="center" vertical="center" wrapText="1"/>
    </xf>
    <xf numFmtId="0" fontId="100" fillId="34" borderId="10" xfId="0" applyFont="1" applyFill="1" applyBorder="1" applyAlignment="1">
      <alignment vertical="center" wrapText="1"/>
    </xf>
    <xf numFmtId="165" fontId="105" fillId="0" borderId="10" xfId="1" applyFont="1" applyBorder="1" applyAlignment="1">
      <alignment horizontal="center" vertical="center"/>
    </xf>
    <xf numFmtId="1" fontId="102" fillId="0" borderId="61" xfId="0" applyNumberFormat="1" applyFont="1" applyBorder="1" applyAlignment="1">
      <alignment horizontal="center" vertical="center"/>
    </xf>
    <xf numFmtId="165" fontId="22" fillId="0" borderId="61" xfId="1" applyFont="1" applyFill="1" applyBorder="1" applyAlignment="1">
      <alignment horizontal="center" vertical="center"/>
    </xf>
    <xf numFmtId="165" fontId="102" fillId="0" borderId="61" xfId="1" applyFont="1" applyBorder="1" applyAlignment="1">
      <alignment horizontal="center" vertical="center"/>
    </xf>
    <xf numFmtId="168" fontId="102" fillId="0" borderId="61" xfId="1" applyNumberFormat="1" applyFont="1" applyBorder="1" applyAlignment="1">
      <alignment horizontal="center" vertical="center"/>
    </xf>
    <xf numFmtId="165" fontId="102" fillId="0" borderId="63" xfId="1" applyFont="1" applyBorder="1" applyAlignment="1">
      <alignment horizontal="center" vertical="center"/>
    </xf>
    <xf numFmtId="165" fontId="89" fillId="0" borderId="61" xfId="1" applyFont="1" applyBorder="1" applyAlignment="1">
      <alignment horizontal="center" vertical="center"/>
    </xf>
    <xf numFmtId="0" fontId="0" fillId="0" borderId="61" xfId="0" applyBorder="1"/>
    <xf numFmtId="0" fontId="102" fillId="0" borderId="61" xfId="0" applyFont="1" applyBorder="1" applyAlignment="1">
      <alignment vertical="center" wrapText="1"/>
    </xf>
    <xf numFmtId="165" fontId="102" fillId="0" borderId="61" xfId="1" applyFont="1" applyBorder="1" applyAlignment="1">
      <alignment vertical="center"/>
    </xf>
    <xf numFmtId="1" fontId="102" fillId="78" borderId="10" xfId="0" applyNumberFormat="1" applyFont="1" applyFill="1" applyBorder="1" applyAlignment="1">
      <alignment horizontal="center"/>
    </xf>
    <xf numFmtId="0" fontId="88" fillId="0" borderId="62" xfId="0" applyFont="1" applyBorder="1" applyAlignment="1">
      <alignment vertical="center"/>
    </xf>
    <xf numFmtId="0" fontId="88" fillId="0" borderId="61" xfId="0" applyFont="1" applyBorder="1" applyAlignment="1">
      <alignment vertical="center"/>
    </xf>
    <xf numFmtId="0" fontId="102" fillId="0" borderId="62" xfId="0" applyFont="1" applyBorder="1" applyAlignment="1">
      <alignment vertical="center"/>
    </xf>
    <xf numFmtId="165" fontId="102" fillId="0" borderId="62" xfId="1" applyFont="1" applyBorder="1" applyAlignment="1">
      <alignment vertical="center"/>
    </xf>
    <xf numFmtId="168" fontId="102" fillId="0" borderId="62" xfId="1" applyNumberFormat="1" applyFont="1" applyBorder="1" applyAlignment="1">
      <alignment horizontal="center" vertical="center"/>
    </xf>
    <xf numFmtId="168" fontId="102" fillId="0" borderId="66" xfId="1" applyNumberFormat="1" applyFont="1" applyBorder="1" applyAlignment="1">
      <alignment horizontal="center" vertical="center"/>
    </xf>
    <xf numFmtId="0" fontId="88" fillId="58" borderId="61" xfId="0" applyFont="1" applyFill="1" applyBorder="1" applyAlignment="1">
      <alignment horizontal="left" vertical="center" wrapText="1"/>
    </xf>
    <xf numFmtId="0" fontId="105" fillId="74" borderId="61" xfId="0" applyFont="1" applyFill="1" applyBorder="1" applyAlignment="1">
      <alignment horizontal="left" vertical="center" wrapText="1"/>
    </xf>
    <xf numFmtId="0" fontId="105" fillId="74" borderId="61" xfId="0" applyFont="1" applyFill="1" applyBorder="1" applyAlignment="1">
      <alignment vertical="center" wrapText="1"/>
    </xf>
    <xf numFmtId="0" fontId="105" fillId="74" borderId="61" xfId="0" applyFont="1" applyFill="1" applyBorder="1" applyAlignment="1">
      <alignment horizontal="left" vertical="center"/>
    </xf>
    <xf numFmtId="0" fontId="103" fillId="58" borderId="61" xfId="0" applyFont="1" applyFill="1" applyBorder="1" applyAlignment="1">
      <alignment horizontal="left" vertical="center"/>
    </xf>
    <xf numFmtId="165" fontId="102" fillId="58" borderId="61" xfId="1" applyFont="1" applyFill="1" applyBorder="1" applyAlignment="1">
      <alignment horizontal="center" vertical="center"/>
    </xf>
    <xf numFmtId="168" fontId="102" fillId="58" borderId="61" xfId="1" applyNumberFormat="1" applyFont="1" applyFill="1" applyBorder="1" applyAlignment="1">
      <alignment horizontal="center" vertical="center"/>
    </xf>
    <xf numFmtId="0" fontId="102" fillId="58" borderId="61" xfId="0" applyFont="1" applyFill="1" applyBorder="1" applyAlignment="1">
      <alignment vertical="center"/>
    </xf>
    <xf numFmtId="165" fontId="103" fillId="93" borderId="61" xfId="1" applyFont="1" applyFill="1" applyBorder="1" applyAlignment="1">
      <alignment horizontal="center" vertical="center"/>
    </xf>
    <xf numFmtId="0" fontId="87" fillId="0" borderId="61" xfId="0" applyFont="1" applyBorder="1" applyAlignment="1">
      <alignment horizontal="left" vertical="center" wrapText="1"/>
    </xf>
    <xf numFmtId="165" fontId="102" fillId="0" borderId="61" xfId="1" applyFont="1" applyFill="1" applyBorder="1" applyAlignment="1">
      <alignment vertical="center"/>
    </xf>
    <xf numFmtId="165" fontId="102" fillId="0" borderId="61" xfId="1" applyFont="1" applyFill="1" applyBorder="1" applyAlignment="1">
      <alignment horizontal="center" vertical="center"/>
    </xf>
    <xf numFmtId="0" fontId="87" fillId="0" borderId="46" xfId="0" applyFont="1" applyBorder="1" applyAlignment="1">
      <alignment horizontal="left" vertical="center" wrapText="1"/>
    </xf>
    <xf numFmtId="1" fontId="102" fillId="0" borderId="51" xfId="0" applyNumberFormat="1" applyFont="1" applyBorder="1" applyAlignment="1">
      <alignment horizontal="center" vertical="center"/>
    </xf>
    <xf numFmtId="165" fontId="102" fillId="0" borderId="51" xfId="1" applyFont="1" applyFill="1" applyBorder="1" applyAlignment="1">
      <alignment vertical="center"/>
    </xf>
    <xf numFmtId="165" fontId="102" fillId="0" borderId="51" xfId="1" applyFont="1" applyFill="1" applyBorder="1" applyAlignment="1">
      <alignment horizontal="center" vertical="center"/>
    </xf>
    <xf numFmtId="165" fontId="87" fillId="0" borderId="10" xfId="1" applyFont="1" applyBorder="1" applyAlignment="1">
      <alignment horizontal="center" vertical="center"/>
    </xf>
    <xf numFmtId="165" fontId="102" fillId="0" borderId="63" xfId="1" applyFont="1" applyFill="1" applyBorder="1" applyAlignment="1">
      <alignment vertical="center"/>
    </xf>
    <xf numFmtId="0" fontId="103" fillId="0" borderId="47" xfId="0" applyFont="1" applyBorder="1" applyAlignment="1">
      <alignment vertical="center"/>
    </xf>
    <xf numFmtId="0" fontId="102" fillId="0" borderId="57" xfId="0" applyFont="1" applyBorder="1" applyAlignment="1">
      <alignment horizontal="center" vertical="center"/>
    </xf>
    <xf numFmtId="1" fontId="102" fillId="0" borderId="57" xfId="0" applyNumberFormat="1" applyFont="1" applyBorder="1" applyAlignment="1">
      <alignment horizontal="center" vertical="center"/>
    </xf>
    <xf numFmtId="0" fontId="103" fillId="0" borderId="57" xfId="0" applyFont="1" applyBorder="1" applyAlignment="1">
      <alignment vertical="center"/>
    </xf>
    <xf numFmtId="165" fontId="103" fillId="0" borderId="57" xfId="1" applyFont="1" applyFill="1" applyBorder="1" applyAlignment="1">
      <alignment horizontal="center" vertical="center"/>
    </xf>
    <xf numFmtId="165" fontId="100" fillId="74" borderId="57" xfId="1" applyFont="1" applyFill="1" applyBorder="1" applyAlignment="1">
      <alignment vertical="center"/>
    </xf>
    <xf numFmtId="165" fontId="88" fillId="0" borderId="57" xfId="1" applyFont="1" applyFill="1" applyBorder="1" applyAlignment="1">
      <alignment horizontal="center" vertical="center"/>
    </xf>
    <xf numFmtId="165" fontId="100" fillId="0" borderId="51" xfId="1" applyFont="1" applyFill="1" applyBorder="1" applyAlignment="1">
      <alignment horizontal="center" vertical="center"/>
    </xf>
    <xf numFmtId="165" fontId="100" fillId="0" borderId="61" xfId="1" applyFont="1" applyFill="1" applyBorder="1" applyAlignment="1">
      <alignment horizontal="center" vertical="center"/>
    </xf>
    <xf numFmtId="1" fontId="102" fillId="78" borderId="10" xfId="0" applyNumberFormat="1" applyFont="1" applyFill="1" applyBorder="1" applyAlignment="1">
      <alignment horizontal="center" vertical="center"/>
    </xf>
    <xf numFmtId="165" fontId="103" fillId="62" borderId="57" xfId="1" applyFont="1" applyFill="1" applyBorder="1" applyAlignment="1">
      <alignment vertical="center"/>
    </xf>
    <xf numFmtId="168" fontId="100" fillId="73" borderId="71" xfId="1" applyNumberFormat="1" applyFont="1" applyFill="1" applyBorder="1" applyAlignment="1">
      <alignment horizontal="center" vertical="center"/>
    </xf>
    <xf numFmtId="168" fontId="102" fillId="0" borderId="71" xfId="1" applyNumberFormat="1" applyFont="1" applyBorder="1" applyAlignment="1">
      <alignment horizontal="center" vertical="center"/>
    </xf>
    <xf numFmtId="168" fontId="102" fillId="0" borderId="71" xfId="1" applyNumberFormat="1" applyFont="1" applyFill="1" applyBorder="1" applyAlignment="1">
      <alignment horizontal="center" vertical="center"/>
    </xf>
    <xf numFmtId="168" fontId="103" fillId="74" borderId="71" xfId="1" applyNumberFormat="1" applyFont="1" applyFill="1" applyBorder="1" applyAlignment="1">
      <alignment horizontal="center" vertical="center"/>
    </xf>
    <xf numFmtId="168" fontId="88" fillId="0" borderId="71" xfId="1" applyNumberFormat="1" applyFont="1" applyFill="1" applyBorder="1" applyAlignment="1">
      <alignment vertical="center"/>
    </xf>
    <xf numFmtId="168" fontId="88" fillId="0" borderId="71" xfId="1" applyNumberFormat="1" applyFont="1" applyFill="1" applyBorder="1" applyAlignment="1">
      <alignment horizontal="center" vertical="center"/>
    </xf>
    <xf numFmtId="0" fontId="103" fillId="74" borderId="71" xfId="0" applyFont="1" applyFill="1" applyBorder="1" applyAlignment="1">
      <alignment horizontal="center" vertical="center"/>
    </xf>
    <xf numFmtId="168" fontId="102" fillId="94" borderId="71" xfId="1" applyNumberFormat="1" applyFont="1" applyFill="1" applyBorder="1" applyAlignment="1">
      <alignment horizontal="center" vertical="center"/>
    </xf>
    <xf numFmtId="165" fontId="111" fillId="0" borderId="57" xfId="1" applyFont="1" applyFill="1" applyBorder="1" applyAlignment="1" applyProtection="1">
      <alignment vertical="center"/>
    </xf>
    <xf numFmtId="165" fontId="103" fillId="58" borderId="57" xfId="1" applyFont="1" applyFill="1" applyBorder="1" applyAlignment="1">
      <alignment horizontal="center" vertical="center"/>
    </xf>
    <xf numFmtId="0" fontId="102" fillId="0" borderId="46" xfId="0" applyFont="1" applyBorder="1" applyAlignment="1">
      <alignment vertical="center" wrapText="1"/>
    </xf>
    <xf numFmtId="0" fontId="88" fillId="0" borderId="39" xfId="0" applyFont="1" applyBorder="1" applyAlignment="1">
      <alignment vertical="center" wrapText="1"/>
    </xf>
    <xf numFmtId="0" fontId="111" fillId="0" borderId="0" xfId="579" applyFont="1" applyAlignment="1">
      <alignment vertical="center"/>
    </xf>
    <xf numFmtId="165" fontId="102" fillId="0" borderId="10" xfId="1" applyFont="1" applyFill="1" applyBorder="1" applyAlignment="1">
      <alignment vertical="center"/>
    </xf>
    <xf numFmtId="165" fontId="102" fillId="0" borderId="46" xfId="1" applyFont="1" applyFill="1" applyBorder="1" applyAlignment="1">
      <alignment vertical="center"/>
    </xf>
    <xf numFmtId="0" fontId="102" fillId="0" borderId="39" xfId="0" applyFont="1" applyBorder="1" applyAlignment="1">
      <alignment horizontal="left" vertical="center" wrapText="1"/>
    </xf>
    <xf numFmtId="0" fontId="102" fillId="0" borderId="39" xfId="0" applyFont="1" applyBorder="1" applyAlignment="1">
      <alignment vertical="center" wrapText="1"/>
    </xf>
    <xf numFmtId="0" fontId="102" fillId="58" borderId="51" xfId="0" applyFont="1" applyFill="1" applyBorder="1" applyAlignment="1">
      <alignment vertical="center" wrapText="1"/>
    </xf>
    <xf numFmtId="168" fontId="103" fillId="0" borderId="71" xfId="1" applyNumberFormat="1" applyFont="1" applyFill="1" applyBorder="1" applyAlignment="1">
      <alignment vertical="center"/>
    </xf>
    <xf numFmtId="168" fontId="102" fillId="58" borderId="71" xfId="1" applyNumberFormat="1" applyFont="1" applyFill="1" applyBorder="1" applyAlignment="1">
      <alignment horizontal="center" vertical="center"/>
    </xf>
    <xf numFmtId="168" fontId="103" fillId="0" borderId="71" xfId="1" applyNumberFormat="1" applyFont="1" applyFill="1" applyBorder="1" applyAlignment="1">
      <alignment horizontal="center" vertical="center"/>
    </xf>
    <xf numFmtId="0" fontId="102" fillId="0" borderId="57" xfId="0" applyFont="1" applyBorder="1" applyAlignment="1">
      <alignment vertical="center" wrapText="1"/>
    </xf>
    <xf numFmtId="0" fontId="111" fillId="0" borderId="57" xfId="579" applyFont="1" applyBorder="1" applyAlignment="1">
      <alignment vertical="center"/>
    </xf>
    <xf numFmtId="0" fontId="111" fillId="0" borderId="57" xfId="579" applyFont="1" applyBorder="1" applyAlignment="1">
      <alignment horizontal="center" vertical="center"/>
    </xf>
    <xf numFmtId="165" fontId="88" fillId="0" borderId="57" xfId="1" applyFont="1" applyFill="1" applyBorder="1" applyAlignment="1">
      <alignment vertical="center"/>
    </xf>
    <xf numFmtId="184" fontId="162" fillId="0" borderId="57" xfId="0" applyNumberFormat="1" applyFont="1" applyBorder="1" applyAlignment="1">
      <alignment vertical="center"/>
    </xf>
    <xf numFmtId="165" fontId="112" fillId="0" borderId="57" xfId="1" applyFont="1" applyBorder="1" applyAlignment="1" applyProtection="1">
      <alignment vertical="center"/>
    </xf>
    <xf numFmtId="0" fontId="100" fillId="34" borderId="57" xfId="0" applyFont="1" applyFill="1" applyBorder="1" applyAlignment="1">
      <alignment vertical="center" wrapText="1"/>
    </xf>
    <xf numFmtId="168" fontId="88" fillId="0" borderId="57" xfId="1" applyNumberFormat="1" applyFont="1" applyFill="1" applyBorder="1" applyAlignment="1">
      <alignment vertical="center"/>
    </xf>
    <xf numFmtId="165" fontId="112" fillId="0" borderId="57" xfId="1" applyFont="1" applyFill="1" applyBorder="1" applyAlignment="1">
      <alignment vertical="center"/>
    </xf>
    <xf numFmtId="168" fontId="102" fillId="0" borderId="57" xfId="1" applyNumberFormat="1" applyFont="1" applyFill="1" applyBorder="1" applyAlignment="1">
      <alignment vertical="center"/>
    </xf>
    <xf numFmtId="165" fontId="102" fillId="0" borderId="57" xfId="1" applyFont="1" applyFill="1" applyBorder="1" applyAlignment="1">
      <alignment horizontal="right" vertical="center"/>
    </xf>
    <xf numFmtId="0" fontId="102" fillId="34" borderId="57" xfId="0" applyFont="1" applyFill="1" applyBorder="1" applyAlignment="1">
      <alignment horizontal="center" vertical="center"/>
    </xf>
    <xf numFmtId="0" fontId="88" fillId="34" borderId="57" xfId="0" applyFont="1" applyFill="1" applyBorder="1" applyAlignment="1">
      <alignment vertical="center" wrapText="1"/>
    </xf>
    <xf numFmtId="0" fontId="102" fillId="34" borderId="57" xfId="0" applyFont="1" applyFill="1" applyBorder="1" applyAlignment="1">
      <alignment horizontal="center" vertical="center" wrapText="1"/>
    </xf>
    <xf numFmtId="1" fontId="100" fillId="34" borderId="57" xfId="0" applyNumberFormat="1" applyFont="1" applyFill="1" applyBorder="1" applyAlignment="1">
      <alignment vertical="center"/>
    </xf>
    <xf numFmtId="165" fontId="102" fillId="34" borderId="57" xfId="1" applyFont="1" applyFill="1" applyBorder="1" applyAlignment="1">
      <alignment vertical="center"/>
    </xf>
    <xf numFmtId="0" fontId="100" fillId="34" borderId="57" xfId="0" applyFont="1" applyFill="1" applyBorder="1" applyAlignment="1">
      <alignment horizontal="center" vertical="center"/>
    </xf>
    <xf numFmtId="0" fontId="102" fillId="34" borderId="57" xfId="0" applyFont="1" applyFill="1" applyBorder="1" applyAlignment="1">
      <alignment vertical="center" wrapText="1"/>
    </xf>
    <xf numFmtId="181" fontId="102" fillId="34" borderId="57" xfId="0" applyNumberFormat="1" applyFont="1" applyFill="1" applyBorder="1" applyAlignment="1">
      <alignment horizontal="center" vertical="center"/>
    </xf>
    <xf numFmtId="0" fontId="105" fillId="34" borderId="57" xfId="0" applyFont="1" applyFill="1" applyBorder="1" applyAlignment="1">
      <alignment vertical="center" wrapText="1"/>
    </xf>
    <xf numFmtId="0" fontId="95" fillId="34" borderId="57" xfId="0" applyFont="1" applyFill="1" applyBorder="1" applyAlignment="1">
      <alignment vertical="center" wrapText="1"/>
    </xf>
    <xf numFmtId="0" fontId="103" fillId="34" borderId="57" xfId="0" applyFont="1" applyFill="1" applyBorder="1" applyAlignment="1">
      <alignment horizontal="center" vertical="center"/>
    </xf>
    <xf numFmtId="14" fontId="103" fillId="34" borderId="57" xfId="0" applyNumberFormat="1" applyFont="1" applyFill="1" applyBorder="1" applyAlignment="1">
      <alignment horizontal="center" vertical="center"/>
    </xf>
    <xf numFmtId="0" fontId="103" fillId="34" borderId="57" xfId="0" applyFont="1" applyFill="1" applyBorder="1" applyAlignment="1">
      <alignment horizontal="center" vertical="center" wrapText="1"/>
    </xf>
    <xf numFmtId="0" fontId="103" fillId="34" borderId="57" xfId="0" applyFont="1" applyFill="1" applyBorder="1" applyAlignment="1">
      <alignment vertical="center"/>
    </xf>
    <xf numFmtId="0" fontId="102" fillId="34" borderId="57" xfId="0" applyFont="1" applyFill="1" applyBorder="1" applyAlignment="1">
      <alignment horizontal="left" vertical="center"/>
    </xf>
    <xf numFmtId="184" fontId="88" fillId="0" borderId="47" xfId="0" applyNumberFormat="1" applyFont="1" applyBorder="1" applyAlignment="1">
      <alignment vertical="center" wrapText="1"/>
    </xf>
    <xf numFmtId="184" fontId="112" fillId="0" borderId="45" xfId="0" applyNumberFormat="1" applyFont="1" applyBorder="1" applyAlignment="1">
      <alignment vertical="center"/>
    </xf>
    <xf numFmtId="184" fontId="129" fillId="0" borderId="45" xfId="0" applyNumberFormat="1" applyFont="1" applyBorder="1" applyAlignment="1">
      <alignment horizontal="center" vertical="center"/>
    </xf>
    <xf numFmtId="14" fontId="129" fillId="0" borderId="45" xfId="0" applyNumberFormat="1" applyFont="1" applyBorder="1" applyAlignment="1">
      <alignment horizontal="center" vertical="center"/>
    </xf>
    <xf numFmtId="184" fontId="129" fillId="0" borderId="45" xfId="0" applyNumberFormat="1" applyFont="1" applyBorder="1" applyAlignment="1">
      <alignment vertical="center"/>
    </xf>
    <xf numFmtId="165" fontId="112" fillId="0" borderId="45" xfId="1" applyFont="1" applyBorder="1" applyAlignment="1" applyProtection="1">
      <alignment vertical="center"/>
    </xf>
    <xf numFmtId="184" fontId="112" fillId="0" borderId="45" xfId="1" applyNumberFormat="1" applyFont="1" applyBorder="1" applyAlignment="1" applyProtection="1">
      <alignment vertical="center"/>
    </xf>
    <xf numFmtId="184" fontId="112" fillId="0" borderId="58" xfId="1" applyNumberFormat="1" applyFont="1" applyBorder="1" applyAlignment="1" applyProtection="1">
      <alignment vertical="center"/>
    </xf>
    <xf numFmtId="184" fontId="112" fillId="0" borderId="57" xfId="1" applyNumberFormat="1" applyFont="1" applyBorder="1" applyAlignment="1" applyProtection="1">
      <alignment vertical="center"/>
    </xf>
    <xf numFmtId="184" fontId="162" fillId="0" borderId="47" xfId="0" applyNumberFormat="1" applyFont="1" applyBorder="1" applyAlignment="1">
      <alignment vertical="center"/>
    </xf>
    <xf numFmtId="184" fontId="165" fillId="0" borderId="47" xfId="0" applyNumberFormat="1" applyFont="1" applyBorder="1" applyAlignment="1">
      <alignment vertical="center" wrapText="1"/>
    </xf>
    <xf numFmtId="184" fontId="162" fillId="0" borderId="48" xfId="0" applyNumberFormat="1" applyFont="1" applyBorder="1" applyAlignment="1">
      <alignment vertical="center"/>
    </xf>
    <xf numFmtId="184" fontId="165" fillId="0" borderId="49" xfId="0" applyNumberFormat="1" applyFont="1" applyBorder="1" applyAlignment="1">
      <alignment vertical="center" wrapText="1"/>
    </xf>
    <xf numFmtId="184" fontId="162" fillId="0" borderId="50" xfId="0" applyNumberFormat="1" applyFont="1" applyBorder="1" applyAlignment="1">
      <alignment vertical="center"/>
    </xf>
    <xf numFmtId="165" fontId="112" fillId="0" borderId="58" xfId="1" applyFont="1" applyBorder="1" applyAlignment="1" applyProtection="1">
      <alignment vertical="center"/>
    </xf>
    <xf numFmtId="14" fontId="102" fillId="0" borderId="45" xfId="0" applyNumberFormat="1" applyFont="1" applyBorder="1" applyAlignment="1">
      <alignment horizontal="center" vertical="center"/>
    </xf>
    <xf numFmtId="1" fontId="102" fillId="0" borderId="45" xfId="45" applyNumberFormat="1" applyFont="1" applyBorder="1" applyAlignment="1">
      <alignment horizontal="center" vertical="center"/>
    </xf>
    <xf numFmtId="168" fontId="102" fillId="0" borderId="45" xfId="0" applyNumberFormat="1" applyFont="1" applyBorder="1" applyAlignment="1">
      <alignment vertical="center"/>
    </xf>
    <xf numFmtId="168" fontId="102" fillId="0" borderId="46" xfId="1" applyNumberFormat="1" applyFont="1" applyFill="1" applyBorder="1" applyAlignment="1">
      <alignment vertical="center"/>
    </xf>
    <xf numFmtId="168" fontId="102" fillId="0" borderId="45" xfId="1" applyNumberFormat="1" applyFont="1" applyFill="1" applyBorder="1" applyAlignment="1">
      <alignment vertical="center"/>
    </xf>
    <xf numFmtId="168" fontId="102" fillId="0" borderId="58" xfId="0" applyNumberFormat="1" applyFont="1" applyBorder="1" applyAlignment="1">
      <alignment vertical="center"/>
    </xf>
    <xf numFmtId="0" fontId="102" fillId="0" borderId="58" xfId="0" applyFont="1" applyBorder="1" applyAlignment="1">
      <alignment vertical="center"/>
    </xf>
    <xf numFmtId="16" fontId="102" fillId="0" borderId="45" xfId="0" applyNumberFormat="1" applyFont="1" applyBorder="1" applyAlignment="1">
      <alignment horizontal="center" vertical="center"/>
    </xf>
    <xf numFmtId="168" fontId="102" fillId="0" borderId="58" xfId="1" applyNumberFormat="1" applyFont="1" applyFill="1" applyBorder="1" applyAlignment="1">
      <alignment vertical="center"/>
    </xf>
    <xf numFmtId="185" fontId="102" fillId="0" borderId="45" xfId="0" applyNumberFormat="1" applyFont="1" applyBorder="1" applyAlignment="1">
      <alignment vertical="center"/>
    </xf>
    <xf numFmtId="185" fontId="102" fillId="0" borderId="58" xfId="0" applyNumberFormat="1" applyFont="1" applyBorder="1" applyAlignment="1">
      <alignment vertical="center"/>
    </xf>
    <xf numFmtId="185" fontId="102" fillId="0" borderId="57" xfId="0" applyNumberFormat="1" applyFont="1" applyBorder="1" applyAlignment="1">
      <alignment vertical="center"/>
    </xf>
    <xf numFmtId="0" fontId="102" fillId="0" borderId="10" xfId="45" applyFont="1" applyBorder="1" applyAlignment="1">
      <alignment vertical="center"/>
    </xf>
    <xf numFmtId="1" fontId="102" fillId="0" borderId="10" xfId="45" applyNumberFormat="1" applyFont="1" applyBorder="1" applyAlignment="1">
      <alignment horizontal="center" vertical="center"/>
    </xf>
    <xf numFmtId="1" fontId="102" fillId="0" borderId="0" xfId="45" applyNumberFormat="1" applyFont="1" applyAlignment="1">
      <alignment horizontal="center" vertical="center"/>
    </xf>
    <xf numFmtId="0" fontId="86" fillId="69" borderId="28" xfId="579" applyFont="1" applyFill="1" applyBorder="1" applyAlignment="1">
      <alignment horizontal="center" vertical="center"/>
    </xf>
    <xf numFmtId="0" fontId="166" fillId="69" borderId="29" xfId="579" applyFont="1" applyFill="1" applyBorder="1" applyAlignment="1">
      <alignment horizontal="left" vertical="center" wrapText="1"/>
    </xf>
    <xf numFmtId="0" fontId="95" fillId="69" borderId="29" xfId="579" applyFont="1" applyFill="1" applyBorder="1" applyAlignment="1">
      <alignment vertical="center" wrapText="1"/>
    </xf>
    <xf numFmtId="0" fontId="167" fillId="69" borderId="28" xfId="579" applyFont="1" applyFill="1" applyBorder="1" applyAlignment="1">
      <alignment horizontal="left" vertical="center"/>
    </xf>
    <xf numFmtId="0" fontId="167" fillId="69" borderId="28" xfId="579" applyFont="1" applyFill="1" applyBorder="1" applyAlignment="1">
      <alignment horizontal="center" vertical="center"/>
    </xf>
    <xf numFmtId="0" fontId="167" fillId="69" borderId="28" xfId="579" applyFont="1" applyFill="1" applyBorder="1" applyAlignment="1">
      <alignment horizontal="center" vertical="center" wrapText="1"/>
    </xf>
    <xf numFmtId="0" fontId="167" fillId="69" borderId="28" xfId="579" applyFont="1" applyFill="1" applyBorder="1" applyAlignment="1">
      <alignment vertical="center"/>
    </xf>
    <xf numFmtId="1" fontId="167" fillId="69" borderId="28" xfId="579" applyNumberFormat="1" applyFont="1" applyFill="1" applyBorder="1" applyAlignment="1">
      <alignment horizontal="center" vertical="center"/>
    </xf>
    <xf numFmtId="165" fontId="167" fillId="69" borderId="28" xfId="1" applyFont="1" applyFill="1" applyBorder="1" applyAlignment="1" applyProtection="1">
      <alignment horizontal="center" vertical="center"/>
    </xf>
    <xf numFmtId="179" fontId="167" fillId="69" borderId="28" xfId="1" applyNumberFormat="1" applyFont="1" applyFill="1" applyBorder="1" applyAlignment="1" applyProtection="1">
      <alignment horizontal="center" vertical="center"/>
    </xf>
    <xf numFmtId="165" fontId="167" fillId="69" borderId="28" xfId="1" applyFont="1" applyFill="1" applyBorder="1" applyAlignment="1" applyProtection="1">
      <alignment horizontal="center" vertical="center" wrapText="1"/>
    </xf>
    <xf numFmtId="180" fontId="111" fillId="0" borderId="28" xfId="579" applyNumberFormat="1" applyFont="1" applyBorder="1" applyAlignment="1">
      <alignment horizontal="center" vertical="center"/>
    </xf>
    <xf numFmtId="0" fontId="111" fillId="0" borderId="28" xfId="579" applyFont="1" applyBorder="1" applyAlignment="1">
      <alignment horizontal="center" vertical="center"/>
    </xf>
    <xf numFmtId="0" fontId="111" fillId="0" borderId="28" xfId="579" applyFont="1" applyBorder="1" applyAlignment="1">
      <alignment horizontal="center" vertical="center" wrapText="1"/>
    </xf>
    <xf numFmtId="1" fontId="111" fillId="0" borderId="28" xfId="579" applyNumberFormat="1" applyFont="1" applyBorder="1" applyAlignment="1">
      <alignment horizontal="center" vertical="center"/>
    </xf>
    <xf numFmtId="179" fontId="111" fillId="0" borderId="28" xfId="1" applyNumberFormat="1" applyFont="1" applyFill="1" applyBorder="1" applyAlignment="1" applyProtection="1">
      <alignment horizontal="center" vertical="center"/>
    </xf>
    <xf numFmtId="165" fontId="111" fillId="0" borderId="28" xfId="1" applyFont="1" applyFill="1" applyBorder="1" applyAlignment="1" applyProtection="1">
      <alignment horizontal="center" vertical="center"/>
    </xf>
    <xf numFmtId="165" fontId="111" fillId="0" borderId="60" xfId="1" applyFont="1" applyFill="1" applyBorder="1" applyAlignment="1" applyProtection="1">
      <alignment horizontal="center" vertical="center"/>
    </xf>
    <xf numFmtId="165" fontId="111" fillId="0" borderId="57" xfId="1" applyFont="1" applyFill="1" applyBorder="1" applyAlignment="1" applyProtection="1">
      <alignment horizontal="center" vertical="center"/>
    </xf>
    <xf numFmtId="165" fontId="111" fillId="0" borderId="32" xfId="1" applyFont="1" applyFill="1" applyBorder="1" applyAlignment="1" applyProtection="1">
      <alignment vertical="center"/>
    </xf>
    <xf numFmtId="165" fontId="111" fillId="0" borderId="28" xfId="1" applyFont="1" applyFill="1" applyBorder="1" applyAlignment="1" applyProtection="1">
      <alignment vertical="center"/>
    </xf>
    <xf numFmtId="165" fontId="88" fillId="58" borderId="10" xfId="1" applyFont="1" applyFill="1" applyBorder="1" applyAlignment="1">
      <alignment horizontal="center" vertical="center"/>
    </xf>
    <xf numFmtId="1" fontId="102" fillId="0" borderId="62" xfId="45" applyNumberFormat="1" applyFont="1" applyBorder="1" applyAlignment="1">
      <alignment horizontal="center" vertical="center"/>
    </xf>
    <xf numFmtId="1" fontId="102" fillId="0" borderId="61" xfId="45" applyNumberFormat="1" applyFont="1" applyBorder="1" applyAlignment="1">
      <alignment horizontal="center" vertical="center"/>
    </xf>
    <xf numFmtId="0" fontId="102" fillId="0" borderId="61" xfId="45" applyFont="1" applyBorder="1" applyAlignment="1">
      <alignment vertical="center"/>
    </xf>
    <xf numFmtId="0" fontId="87" fillId="72" borderId="10" xfId="0" applyFont="1" applyFill="1" applyBorder="1" applyAlignment="1">
      <alignment vertical="center"/>
    </xf>
    <xf numFmtId="0" fontId="87" fillId="72" borderId="10" xfId="0" applyFont="1" applyFill="1" applyBorder="1" applyAlignment="1">
      <alignment vertical="center" wrapText="1"/>
    </xf>
    <xf numFmtId="1" fontId="87" fillId="72" borderId="10" xfId="0" applyNumberFormat="1" applyFont="1" applyFill="1" applyBorder="1" applyAlignment="1">
      <alignment horizontal="center" vertical="center"/>
    </xf>
    <xf numFmtId="0" fontId="87" fillId="72" borderId="10" xfId="0" applyFont="1" applyFill="1" applyBorder="1" applyAlignment="1">
      <alignment horizontal="left" vertical="center"/>
    </xf>
    <xf numFmtId="0" fontId="87" fillId="72" borderId="10" xfId="0" applyFont="1" applyFill="1" applyBorder="1" applyAlignment="1">
      <alignment horizontal="center" vertical="center"/>
    </xf>
    <xf numFmtId="165" fontId="87" fillId="72" borderId="10" xfId="1" applyFont="1" applyFill="1" applyBorder="1" applyAlignment="1">
      <alignment horizontal="left" vertical="center"/>
    </xf>
    <xf numFmtId="165" fontId="87" fillId="72" borderId="10" xfId="1" applyFont="1" applyFill="1" applyBorder="1" applyAlignment="1">
      <alignment horizontal="center" vertical="center"/>
    </xf>
    <xf numFmtId="168" fontId="87" fillId="72" borderId="10" xfId="1" applyNumberFormat="1" applyFont="1" applyFill="1" applyBorder="1" applyAlignment="1">
      <alignment horizontal="center" vertical="center"/>
    </xf>
    <xf numFmtId="165" fontId="102" fillId="0" borderId="45" xfId="0" applyNumberFormat="1" applyFont="1" applyBorder="1" applyAlignment="1">
      <alignment vertical="center"/>
    </xf>
    <xf numFmtId="165" fontId="102" fillId="0" borderId="58" xfId="0" applyNumberFormat="1" applyFont="1" applyBorder="1" applyAlignment="1">
      <alignment vertical="center"/>
    </xf>
    <xf numFmtId="184" fontId="102" fillId="0" borderId="57" xfId="0" applyNumberFormat="1" applyFont="1" applyBorder="1" applyAlignment="1">
      <alignment vertical="center"/>
    </xf>
    <xf numFmtId="184" fontId="102" fillId="0" borderId="0" xfId="0" applyNumberFormat="1" applyFont="1" applyAlignment="1">
      <alignment vertical="center"/>
    </xf>
    <xf numFmtId="0" fontId="87" fillId="72" borderId="46" xfId="0" applyFont="1" applyFill="1" applyBorder="1" applyAlignment="1">
      <alignment vertical="center"/>
    </xf>
    <xf numFmtId="0" fontId="87" fillId="72" borderId="53" xfId="0" applyFont="1" applyFill="1" applyBorder="1" applyAlignment="1">
      <alignment vertical="center" wrapText="1"/>
    </xf>
    <xf numFmtId="0" fontId="87" fillId="72" borderId="53" xfId="0" applyFont="1" applyFill="1" applyBorder="1" applyAlignment="1">
      <alignment horizontal="left" vertical="center"/>
    </xf>
    <xf numFmtId="0" fontId="87" fillId="72" borderId="52" xfId="0" applyFont="1" applyFill="1" applyBorder="1" applyAlignment="1">
      <alignment horizontal="left" vertical="center"/>
    </xf>
    <xf numFmtId="165" fontId="87" fillId="72" borderId="58" xfId="1" applyFont="1" applyFill="1" applyBorder="1" applyAlignment="1">
      <alignment horizontal="center" vertical="center"/>
    </xf>
    <xf numFmtId="165" fontId="87" fillId="72" borderId="57" xfId="1" applyFont="1" applyFill="1" applyBorder="1" applyAlignment="1">
      <alignment horizontal="center" vertical="center"/>
    </xf>
    <xf numFmtId="165" fontId="87" fillId="72" borderId="57" xfId="1" applyFont="1" applyFill="1" applyBorder="1" applyAlignment="1">
      <alignment horizontal="center" vertical="center" wrapText="1"/>
    </xf>
    <xf numFmtId="0" fontId="88" fillId="75" borderId="10" xfId="0" applyFont="1" applyFill="1" applyBorder="1" applyAlignment="1">
      <alignment vertical="center" wrapText="1"/>
    </xf>
    <xf numFmtId="0" fontId="88" fillId="76" borderId="10" xfId="0" applyFont="1" applyFill="1" applyBorder="1" applyAlignment="1">
      <alignment vertical="center" wrapText="1"/>
    </xf>
    <xf numFmtId="0" fontId="168" fillId="75" borderId="10" xfId="0" applyFont="1" applyFill="1" applyBorder="1" applyAlignment="1">
      <alignment horizontal="center" vertical="center"/>
    </xf>
    <xf numFmtId="168" fontId="102" fillId="58" borderId="10" xfId="1" applyNumberFormat="1" applyFont="1" applyFill="1" applyBorder="1" applyAlignment="1">
      <alignment vertical="center"/>
    </xf>
    <xf numFmtId="168" fontId="88" fillId="58" borderId="10" xfId="1" applyNumberFormat="1" applyFont="1" applyFill="1" applyBorder="1" applyAlignment="1">
      <alignment vertical="center"/>
    </xf>
    <xf numFmtId="0" fontId="111" fillId="0" borderId="30" xfId="579" applyFont="1" applyBorder="1" applyAlignment="1">
      <alignment horizontal="center" vertical="center"/>
    </xf>
    <xf numFmtId="0" fontId="88" fillId="0" borderId="10" xfId="579" applyFont="1" applyBorder="1" applyAlignment="1">
      <alignment vertical="center" wrapText="1"/>
    </xf>
    <xf numFmtId="165" fontId="102" fillId="0" borderId="10" xfId="1" applyFont="1" applyFill="1" applyBorder="1" applyAlignment="1">
      <alignment horizontal="right" vertical="center"/>
    </xf>
    <xf numFmtId="0" fontId="102" fillId="0" borderId="27" xfId="0" applyFont="1" applyBorder="1" applyAlignment="1">
      <alignment horizontal="center" vertical="center"/>
    </xf>
    <xf numFmtId="0" fontId="88" fillId="58" borderId="51" xfId="0" quotePrefix="1" applyFont="1" applyFill="1" applyBorder="1" applyAlignment="1">
      <alignment vertical="center" wrapText="1"/>
    </xf>
    <xf numFmtId="167" fontId="88" fillId="77" borderId="38" xfId="43" applyNumberFormat="1" applyFont="1" applyFill="1" applyBorder="1" applyAlignment="1">
      <alignment horizontal="center" vertical="center"/>
    </xf>
    <xf numFmtId="167" fontId="88" fillId="77" borderId="37" xfId="45" applyNumberFormat="1" applyFont="1" applyFill="1" applyBorder="1" applyAlignment="1">
      <alignment horizontal="center" vertical="center"/>
    </xf>
    <xf numFmtId="165" fontId="102" fillId="0" borderId="39" xfId="1" applyFont="1" applyFill="1" applyBorder="1" applyAlignment="1">
      <alignment vertical="center"/>
    </xf>
    <xf numFmtId="182" fontId="112" fillId="0" borderId="39" xfId="1" applyNumberFormat="1" applyFont="1" applyFill="1" applyBorder="1" applyAlignment="1">
      <alignment vertical="center"/>
    </xf>
    <xf numFmtId="168" fontId="102" fillId="0" borderId="39" xfId="1" applyNumberFormat="1" applyFont="1" applyFill="1" applyBorder="1" applyAlignment="1">
      <alignment vertical="center"/>
    </xf>
    <xf numFmtId="182" fontId="112" fillId="0" borderId="59" xfId="1" applyNumberFormat="1" applyFont="1" applyFill="1" applyBorder="1" applyAlignment="1">
      <alignment vertical="center"/>
    </xf>
    <xf numFmtId="182" fontId="112" fillId="0" borderId="57" xfId="1" applyNumberFormat="1" applyFont="1" applyFill="1" applyBorder="1" applyAlignment="1">
      <alignment vertical="center"/>
    </xf>
    <xf numFmtId="165" fontId="112" fillId="0" borderId="39" xfId="1" applyFont="1" applyFill="1" applyBorder="1" applyAlignment="1">
      <alignment vertical="center"/>
    </xf>
    <xf numFmtId="0" fontId="102" fillId="0" borderId="39" xfId="0" applyFont="1" applyBorder="1" applyAlignment="1">
      <alignment vertical="center"/>
    </xf>
    <xf numFmtId="0" fontId="102" fillId="0" borderId="39" xfId="0" applyFont="1" applyBorder="1" applyAlignment="1">
      <alignment horizontal="center" vertical="center"/>
    </xf>
    <xf numFmtId="0" fontId="102" fillId="0" borderId="59" xfId="0" applyFont="1" applyBorder="1" applyAlignment="1">
      <alignment vertical="center"/>
    </xf>
    <xf numFmtId="168" fontId="102" fillId="0" borderId="42" xfId="1" applyNumberFormat="1" applyFont="1" applyFill="1" applyBorder="1" applyAlignment="1">
      <alignment vertical="center"/>
    </xf>
    <xf numFmtId="165" fontId="102" fillId="0" borderId="42" xfId="1" applyFont="1" applyFill="1" applyBorder="1" applyAlignment="1">
      <alignment vertical="center"/>
    </xf>
    <xf numFmtId="0" fontId="88" fillId="0" borderId="39" xfId="402" applyFont="1" applyBorder="1" applyAlignment="1">
      <alignment vertical="center" wrapText="1"/>
    </xf>
    <xf numFmtId="168" fontId="102" fillId="0" borderId="10" xfId="1" applyNumberFormat="1" applyFont="1" applyFill="1" applyBorder="1" applyAlignment="1">
      <alignment vertical="center"/>
    </xf>
    <xf numFmtId="168" fontId="102" fillId="0" borderId="0" xfId="1" applyNumberFormat="1" applyFont="1" applyFill="1" applyBorder="1" applyAlignment="1">
      <alignment vertical="center"/>
    </xf>
    <xf numFmtId="165" fontId="87" fillId="72" borderId="10" xfId="1" applyFont="1" applyFill="1" applyBorder="1" applyAlignment="1">
      <alignment vertical="center"/>
    </xf>
    <xf numFmtId="165" fontId="87" fillId="72" borderId="58" xfId="1" applyFont="1" applyFill="1" applyBorder="1" applyAlignment="1">
      <alignment vertical="center"/>
    </xf>
    <xf numFmtId="165" fontId="87" fillId="72" borderId="57" xfId="1" applyFont="1" applyFill="1" applyBorder="1" applyAlignment="1">
      <alignment vertical="center"/>
    </xf>
    <xf numFmtId="165" fontId="87" fillId="72" borderId="57" xfId="1" applyFont="1" applyFill="1" applyBorder="1" applyAlignment="1">
      <alignment vertical="center" wrapText="1"/>
    </xf>
    <xf numFmtId="0" fontId="87" fillId="72" borderId="34" xfId="0" applyFont="1" applyFill="1" applyBorder="1" applyAlignment="1">
      <alignment vertical="center"/>
    </xf>
    <xf numFmtId="0" fontId="87" fillId="72" borderId="34" xfId="0" applyFont="1" applyFill="1" applyBorder="1" applyAlignment="1">
      <alignment horizontal="left" vertical="center" wrapText="1"/>
    </xf>
    <xf numFmtId="0" fontId="87" fillId="72" borderId="34" xfId="0" applyFont="1" applyFill="1" applyBorder="1" applyAlignment="1">
      <alignment vertical="center" wrapText="1"/>
    </xf>
    <xf numFmtId="0" fontId="87" fillId="72" borderId="34" xfId="0" applyFont="1" applyFill="1" applyBorder="1" applyAlignment="1">
      <alignment horizontal="left" vertical="center"/>
    </xf>
    <xf numFmtId="0" fontId="87" fillId="72" borderId="35" xfId="0" applyFont="1" applyFill="1" applyBorder="1" applyAlignment="1">
      <alignment horizontal="left" vertical="center"/>
    </xf>
    <xf numFmtId="0" fontId="87" fillId="72" borderId="37" xfId="0" applyFont="1" applyFill="1" applyBorder="1" applyAlignment="1">
      <alignment vertical="center"/>
    </xf>
    <xf numFmtId="1" fontId="87" fillId="72" borderId="37" xfId="0" applyNumberFormat="1" applyFont="1" applyFill="1" applyBorder="1" applyAlignment="1">
      <alignment horizontal="center" vertical="center"/>
    </xf>
    <xf numFmtId="0" fontId="87" fillId="72" borderId="37" xfId="0" applyFont="1" applyFill="1" applyBorder="1" applyAlignment="1">
      <alignment horizontal="center" vertical="center"/>
    </xf>
    <xf numFmtId="165" fontId="87" fillId="72" borderId="37" xfId="1" applyFont="1" applyFill="1" applyBorder="1" applyAlignment="1">
      <alignment horizontal="center" vertical="center"/>
    </xf>
    <xf numFmtId="168" fontId="87" fillId="72" borderId="13" xfId="1" applyNumberFormat="1" applyFont="1" applyFill="1" applyBorder="1" applyAlignment="1">
      <alignment horizontal="center" vertical="center"/>
    </xf>
    <xf numFmtId="0" fontId="102" fillId="58" borderId="10" xfId="0" applyFont="1" applyFill="1" applyBorder="1" applyAlignment="1">
      <alignment horizontal="justify" vertical="center"/>
    </xf>
    <xf numFmtId="0" fontId="102" fillId="58" borderId="0" xfId="0" applyFont="1" applyFill="1" applyAlignment="1">
      <alignment horizontal="justify" vertical="center"/>
    </xf>
    <xf numFmtId="165" fontId="100" fillId="94" borderId="46" xfId="1" applyFont="1" applyFill="1" applyBorder="1" applyAlignment="1">
      <alignment vertical="center"/>
    </xf>
    <xf numFmtId="165" fontId="100" fillId="94" borderId="53" xfId="1" applyFont="1" applyFill="1" applyBorder="1" applyAlignment="1">
      <alignment horizontal="center" vertical="center" wrapText="1"/>
    </xf>
    <xf numFmtId="165" fontId="100" fillId="94" borderId="53" xfId="1" applyFont="1" applyFill="1" applyBorder="1" applyAlignment="1">
      <alignment vertical="center" wrapText="1"/>
    </xf>
    <xf numFmtId="165" fontId="100" fillId="94" borderId="53" xfId="1" applyFont="1" applyFill="1" applyBorder="1" applyAlignment="1">
      <alignment horizontal="center" vertical="center"/>
    </xf>
    <xf numFmtId="165" fontId="100" fillId="94" borderId="53" xfId="1" applyFont="1" applyFill="1" applyBorder="1" applyAlignment="1">
      <alignment vertical="center"/>
    </xf>
    <xf numFmtId="165" fontId="100" fillId="94" borderId="52" xfId="1" applyFont="1" applyFill="1" applyBorder="1" applyAlignment="1">
      <alignment horizontal="center" vertical="center"/>
    </xf>
    <xf numFmtId="165" fontId="100" fillId="94" borderId="57" xfId="1" applyFont="1" applyFill="1" applyBorder="1" applyAlignment="1">
      <alignment horizontal="center" vertical="center"/>
    </xf>
    <xf numFmtId="0" fontId="111" fillId="0" borderId="67" xfId="579" applyFont="1" applyBorder="1" applyAlignment="1">
      <alignment horizontal="center" vertical="center"/>
    </xf>
    <xf numFmtId="179" fontId="111" fillId="0" borderId="70" xfId="1" applyNumberFormat="1" applyFont="1" applyFill="1" applyBorder="1" applyAlignment="1" applyProtection="1">
      <alignment horizontal="center" vertical="center"/>
    </xf>
    <xf numFmtId="165" fontId="167" fillId="69" borderId="73" xfId="1" applyFont="1" applyFill="1" applyBorder="1" applyAlignment="1" applyProtection="1">
      <alignment horizontal="left" vertical="center"/>
    </xf>
    <xf numFmtId="0" fontId="167" fillId="69" borderId="73" xfId="579" applyFont="1" applyFill="1" applyBorder="1" applyAlignment="1">
      <alignment horizontal="center" vertical="center"/>
    </xf>
    <xf numFmtId="165" fontId="167" fillId="69" borderId="73" xfId="1" applyFont="1" applyFill="1" applyBorder="1" applyAlignment="1" applyProtection="1">
      <alignment horizontal="center" vertical="center"/>
    </xf>
    <xf numFmtId="0" fontId="111" fillId="0" borderId="32" xfId="579" applyFont="1" applyBorder="1" applyAlignment="1">
      <alignment horizontal="center" vertical="center"/>
    </xf>
    <xf numFmtId="0" fontId="111" fillId="0" borderId="10" xfId="579" applyFont="1" applyBorder="1" applyAlignment="1">
      <alignment vertical="center" wrapText="1"/>
    </xf>
    <xf numFmtId="0" fontId="111" fillId="0" borderId="31" xfId="579" applyFont="1" applyBorder="1" applyAlignment="1">
      <alignment horizontal="center" vertical="center"/>
    </xf>
    <xf numFmtId="0" fontId="111" fillId="0" borderId="67" xfId="579" applyFont="1" applyBorder="1" applyAlignment="1">
      <alignment horizontal="center" vertical="center" wrapText="1"/>
    </xf>
    <xf numFmtId="1" fontId="111" fillId="0" borderId="70" xfId="579" applyNumberFormat="1" applyFont="1" applyBorder="1" applyAlignment="1">
      <alignment horizontal="center" vertical="center"/>
    </xf>
    <xf numFmtId="0" fontId="102" fillId="0" borderId="42" xfId="0" applyFont="1" applyBorder="1" applyAlignment="1">
      <alignment vertical="center" wrapText="1"/>
    </xf>
    <xf numFmtId="0" fontId="102" fillId="0" borderId="36" xfId="0" applyFont="1" applyBorder="1" applyAlignment="1">
      <alignment vertical="center" wrapText="1"/>
    </xf>
    <xf numFmtId="0" fontId="112" fillId="0" borderId="39" xfId="0" applyFont="1" applyBorder="1" applyAlignment="1">
      <alignment vertical="center" wrapText="1"/>
    </xf>
    <xf numFmtId="0" fontId="112" fillId="0" borderId="43" xfId="0" applyFont="1" applyBorder="1" applyAlignment="1">
      <alignment horizontal="left" vertical="center" wrapText="1"/>
    </xf>
    <xf numFmtId="0" fontId="112" fillId="0" borderId="74" xfId="0" applyFont="1" applyBorder="1" applyAlignment="1">
      <alignment horizontal="left" vertical="center" wrapText="1"/>
    </xf>
    <xf numFmtId="0" fontId="88" fillId="0" borderId="36" xfId="402" applyFont="1" applyBorder="1" applyAlignment="1">
      <alignment vertical="center" wrapText="1"/>
    </xf>
    <xf numFmtId="167" fontId="88" fillId="77" borderId="13" xfId="43" applyNumberFormat="1" applyFont="1" applyFill="1" applyBorder="1" applyAlignment="1">
      <alignment horizontal="center" vertical="center"/>
    </xf>
    <xf numFmtId="181" fontId="102" fillId="0" borderId="13" xfId="0" applyNumberFormat="1" applyFont="1" applyBorder="1" applyAlignment="1">
      <alignment horizontal="center" vertical="center"/>
    </xf>
    <xf numFmtId="165" fontId="105" fillId="74" borderId="10" xfId="1" applyFont="1" applyFill="1" applyBorder="1" applyAlignment="1">
      <alignment horizontal="left" vertical="center" wrapText="1"/>
    </xf>
    <xf numFmtId="165" fontId="105" fillId="74" borderId="10" xfId="1" applyFont="1" applyFill="1" applyBorder="1" applyAlignment="1">
      <alignment horizontal="left" vertical="center"/>
    </xf>
    <xf numFmtId="165" fontId="100" fillId="74" borderId="57" xfId="1" applyFont="1" applyFill="1" applyBorder="1" applyAlignment="1">
      <alignment horizontal="left" vertical="center"/>
    </xf>
    <xf numFmtId="165" fontId="102" fillId="0" borderId="63" xfId="0" applyNumberFormat="1" applyFont="1" applyBorder="1" applyAlignment="1">
      <alignment vertical="center"/>
    </xf>
    <xf numFmtId="0" fontId="102" fillId="34" borderId="63" xfId="0" applyFont="1" applyFill="1" applyBorder="1" applyAlignment="1">
      <alignment vertical="center" wrapText="1"/>
    </xf>
    <xf numFmtId="1" fontId="125" fillId="34" borderId="63" xfId="0" applyNumberFormat="1" applyFont="1" applyFill="1" applyBorder="1" applyAlignment="1">
      <alignment vertical="center"/>
    </xf>
    <xf numFmtId="0" fontId="105" fillId="34" borderId="57" xfId="0" applyFont="1" applyFill="1" applyBorder="1" applyAlignment="1">
      <alignment vertical="center"/>
    </xf>
    <xf numFmtId="3" fontId="105" fillId="34" borderId="57" xfId="1" applyNumberFormat="1" applyFont="1" applyFill="1" applyBorder="1" applyAlignment="1">
      <alignment vertical="center" wrapText="1"/>
    </xf>
    <xf numFmtId="165" fontId="105" fillId="34" borderId="57" xfId="1" applyFont="1" applyFill="1" applyBorder="1" applyAlignment="1">
      <alignment vertical="center"/>
    </xf>
    <xf numFmtId="184" fontId="162" fillId="0" borderId="45" xfId="0" applyNumberFormat="1" applyFont="1" applyBorder="1" applyAlignment="1">
      <alignment vertical="center"/>
    </xf>
    <xf numFmtId="184" fontId="112" fillId="0" borderId="63" xfId="1" applyNumberFormat="1" applyFont="1" applyBorder="1" applyAlignment="1" applyProtection="1">
      <alignment vertical="center"/>
    </xf>
    <xf numFmtId="184" fontId="112" fillId="34" borderId="57" xfId="0" applyNumberFormat="1" applyFont="1" applyFill="1" applyBorder="1" applyAlignment="1">
      <alignment horizontal="center" vertical="center"/>
    </xf>
    <xf numFmtId="184" fontId="165" fillId="34" borderId="47" xfId="0" applyNumberFormat="1" applyFont="1" applyFill="1" applyBorder="1" applyAlignment="1">
      <alignment vertical="center" wrapText="1"/>
    </xf>
    <xf numFmtId="184" fontId="95" fillId="34" borderId="57" xfId="0" applyNumberFormat="1" applyFont="1" applyFill="1" applyBorder="1" applyAlignment="1">
      <alignment vertical="center" wrapText="1"/>
    </xf>
    <xf numFmtId="184" fontId="112" fillId="34" borderId="57" xfId="0" applyNumberFormat="1" applyFont="1" applyFill="1" applyBorder="1" applyAlignment="1">
      <alignment vertical="center"/>
    </xf>
    <xf numFmtId="184" fontId="129" fillId="34" borderId="57" xfId="0" applyNumberFormat="1" applyFont="1" applyFill="1" applyBorder="1" applyAlignment="1">
      <alignment horizontal="center" vertical="center"/>
    </xf>
    <xf numFmtId="14" fontId="129" fillId="34" borderId="57" xfId="0" applyNumberFormat="1" applyFont="1" applyFill="1" applyBorder="1" applyAlignment="1">
      <alignment horizontal="center" vertical="center"/>
    </xf>
    <xf numFmtId="184" fontId="129" fillId="34" borderId="57" xfId="0" applyNumberFormat="1" applyFont="1" applyFill="1" applyBorder="1" applyAlignment="1">
      <alignment vertical="center"/>
    </xf>
    <xf numFmtId="184" fontId="129" fillId="34" borderId="57" xfId="0" applyNumberFormat="1" applyFont="1" applyFill="1" applyBorder="1" applyAlignment="1">
      <alignment horizontal="center" vertical="center" wrapText="1"/>
    </xf>
    <xf numFmtId="184" fontId="162" fillId="34" borderId="47" xfId="0" applyNumberFormat="1" applyFont="1" applyFill="1" applyBorder="1" applyAlignment="1">
      <alignment vertical="center"/>
    </xf>
    <xf numFmtId="1" fontId="125" fillId="34" borderId="57" xfId="0" applyNumberFormat="1" applyFont="1" applyFill="1" applyBorder="1" applyAlignment="1">
      <alignment vertical="center"/>
    </xf>
    <xf numFmtId="184" fontId="125" fillId="34" borderId="57" xfId="0" applyNumberFormat="1" applyFont="1" applyFill="1" applyBorder="1" applyAlignment="1">
      <alignment vertical="center"/>
    </xf>
    <xf numFmtId="165" fontId="125" fillId="34" borderId="57" xfId="1" applyFont="1" applyFill="1" applyBorder="1" applyAlignment="1" applyProtection="1">
      <alignment vertical="center"/>
    </xf>
    <xf numFmtId="184" fontId="112" fillId="0" borderId="75" xfId="0" applyNumberFormat="1" applyFont="1" applyBorder="1" applyAlignment="1">
      <alignment horizontal="center" vertical="center"/>
    </xf>
    <xf numFmtId="184" fontId="165" fillId="0" borderId="48" xfId="0" applyNumberFormat="1" applyFont="1" applyBorder="1" applyAlignment="1">
      <alignment vertical="center" wrapText="1"/>
    </xf>
    <xf numFmtId="184" fontId="95" fillId="0" borderId="75" xfId="0" applyNumberFormat="1" applyFont="1" applyBorder="1" applyAlignment="1">
      <alignment vertical="center" wrapText="1"/>
    </xf>
    <xf numFmtId="184" fontId="112" fillId="0" borderId="75" xfId="0" applyNumberFormat="1" applyFont="1" applyBorder="1" applyAlignment="1">
      <alignment vertical="center"/>
    </xf>
    <xf numFmtId="184" fontId="129" fillId="0" borderId="75" xfId="0" applyNumberFormat="1" applyFont="1" applyBorder="1" applyAlignment="1">
      <alignment horizontal="center" vertical="center"/>
    </xf>
    <xf numFmtId="14" fontId="129" fillId="0" borderId="75" xfId="0" applyNumberFormat="1" applyFont="1" applyBorder="1" applyAlignment="1">
      <alignment horizontal="center" vertical="center"/>
    </xf>
    <xf numFmtId="184" fontId="129" fillId="0" borderId="75" xfId="0" applyNumberFormat="1" applyFont="1" applyBorder="1" applyAlignment="1">
      <alignment vertical="center"/>
    </xf>
    <xf numFmtId="184" fontId="129" fillId="0" borderId="75" xfId="0" applyNumberFormat="1" applyFont="1" applyBorder="1" applyAlignment="1">
      <alignment horizontal="center" vertical="center" wrapText="1"/>
    </xf>
    <xf numFmtId="1" fontId="112" fillId="0" borderId="75" xfId="0" applyNumberFormat="1" applyFont="1" applyBorder="1" applyAlignment="1">
      <alignment horizontal="center" vertical="center"/>
    </xf>
    <xf numFmtId="165" fontId="112" fillId="0" borderId="75" xfId="1" applyFont="1" applyBorder="1" applyAlignment="1" applyProtection="1">
      <alignment vertical="center"/>
    </xf>
    <xf numFmtId="184" fontId="165" fillId="34" borderId="57" xfId="0" applyNumberFormat="1" applyFont="1" applyFill="1" applyBorder="1" applyAlignment="1">
      <alignment vertical="center" wrapText="1"/>
    </xf>
    <xf numFmtId="184" fontId="162" fillId="34" borderId="57" xfId="0" applyNumberFormat="1" applyFont="1" applyFill="1" applyBorder="1" applyAlignment="1">
      <alignment vertical="center"/>
    </xf>
    <xf numFmtId="168" fontId="102" fillId="0" borderId="63" xfId="1" applyNumberFormat="1" applyFont="1" applyFill="1" applyBorder="1" applyAlignment="1">
      <alignment vertical="center"/>
    </xf>
    <xf numFmtId="0" fontId="102" fillId="0" borderId="63" xfId="0" applyFont="1" applyBorder="1" applyAlignment="1">
      <alignment vertical="center"/>
    </xf>
    <xf numFmtId="0" fontId="102" fillId="0" borderId="63" xfId="0" applyFont="1" applyBorder="1" applyAlignment="1">
      <alignment horizontal="center" vertical="center"/>
    </xf>
    <xf numFmtId="0" fontId="103" fillId="0" borderId="63" xfId="0" applyFont="1" applyBorder="1" applyAlignment="1">
      <alignment vertical="center"/>
    </xf>
    <xf numFmtId="0" fontId="105" fillId="34" borderId="63" xfId="0" applyFont="1" applyFill="1" applyBorder="1" applyAlignment="1">
      <alignment vertical="center"/>
    </xf>
    <xf numFmtId="0" fontId="100" fillId="73" borderId="63" xfId="0" applyFont="1" applyFill="1" applyBorder="1" applyAlignment="1">
      <alignment vertical="center"/>
    </xf>
    <xf numFmtId="0" fontId="103" fillId="74" borderId="63" xfId="0" applyFont="1" applyFill="1" applyBorder="1" applyAlignment="1">
      <alignment vertical="center"/>
    </xf>
    <xf numFmtId="184" fontId="112" fillId="0" borderId="63" xfId="0" applyNumberFormat="1" applyFont="1" applyBorder="1" applyAlignment="1">
      <alignment vertical="center"/>
    </xf>
    <xf numFmtId="184" fontId="125" fillId="34" borderId="63" xfId="0" applyNumberFormat="1" applyFont="1" applyFill="1" applyBorder="1" applyAlignment="1">
      <alignment vertical="center"/>
    </xf>
    <xf numFmtId="184" fontId="112" fillId="0" borderId="76" xfId="0" applyNumberFormat="1" applyFont="1" applyBorder="1" applyAlignment="1">
      <alignment vertical="center"/>
    </xf>
    <xf numFmtId="165" fontId="103" fillId="74" borderId="63" xfId="0" applyNumberFormat="1" applyFont="1" applyFill="1" applyBorder="1" applyAlignment="1">
      <alignment horizontal="center" vertical="center"/>
    </xf>
    <xf numFmtId="0" fontId="87" fillId="72" borderId="63" xfId="0" applyFont="1" applyFill="1" applyBorder="1" applyAlignment="1">
      <alignment horizontal="center" vertical="center"/>
    </xf>
    <xf numFmtId="0" fontId="100" fillId="73" borderId="63" xfId="0" applyFont="1" applyFill="1" applyBorder="1" applyAlignment="1">
      <alignment horizontal="center" vertical="center"/>
    </xf>
    <xf numFmtId="0" fontId="103" fillId="74" borderId="63" xfId="0" applyFont="1" applyFill="1" applyBorder="1" applyAlignment="1">
      <alignment horizontal="center" vertical="center"/>
    </xf>
    <xf numFmtId="165" fontId="102" fillId="0" borderId="63" xfId="1" applyFont="1" applyBorder="1" applyAlignment="1">
      <alignment vertical="center"/>
    </xf>
    <xf numFmtId="0" fontId="88" fillId="0" borderId="63" xfId="0" applyFont="1" applyBorder="1" applyAlignment="1">
      <alignment horizontal="center" vertical="center"/>
    </xf>
    <xf numFmtId="0" fontId="168" fillId="75" borderId="63" xfId="0" applyFont="1" applyFill="1" applyBorder="1" applyAlignment="1">
      <alignment horizontal="center" vertical="center"/>
    </xf>
    <xf numFmtId="0" fontId="103" fillId="74" borderId="63" xfId="0" applyFont="1" applyFill="1" applyBorder="1" applyAlignment="1">
      <alignment horizontal="center"/>
    </xf>
    <xf numFmtId="0" fontId="102" fillId="0" borderId="63" xfId="0" applyFont="1" applyBorder="1" applyAlignment="1">
      <alignment horizontal="center"/>
    </xf>
    <xf numFmtId="0" fontId="100" fillId="74" borderId="63" xfId="0" applyFont="1" applyFill="1" applyBorder="1" applyAlignment="1">
      <alignment horizontal="left" vertical="center"/>
    </xf>
    <xf numFmtId="0" fontId="100" fillId="74" borderId="63" xfId="0" applyFont="1" applyFill="1" applyBorder="1" applyAlignment="1">
      <alignment horizontal="left"/>
    </xf>
    <xf numFmtId="0" fontId="102" fillId="74" borderId="63" xfId="0" applyFont="1" applyFill="1" applyBorder="1" applyAlignment="1">
      <alignment horizontal="center"/>
    </xf>
    <xf numFmtId="168" fontId="103" fillId="0" borderId="63" xfId="1" applyNumberFormat="1" applyFont="1" applyFill="1" applyBorder="1" applyAlignment="1">
      <alignment horizontal="center" vertical="center"/>
    </xf>
    <xf numFmtId="168" fontId="103" fillId="0" borderId="63" xfId="1" applyNumberFormat="1" applyFont="1" applyFill="1" applyBorder="1" applyAlignment="1">
      <alignment horizontal="left" vertical="center"/>
    </xf>
    <xf numFmtId="0" fontId="103" fillId="0" borderId="63" xfId="0" applyFont="1" applyBorder="1" applyAlignment="1">
      <alignment horizontal="center" vertical="center"/>
    </xf>
    <xf numFmtId="0" fontId="102" fillId="58" borderId="63" xfId="0" applyFont="1" applyFill="1" applyBorder="1" applyAlignment="1">
      <alignment horizontal="center" vertical="center"/>
    </xf>
    <xf numFmtId="0" fontId="102" fillId="74" borderId="63" xfId="0" applyFont="1" applyFill="1" applyBorder="1" applyAlignment="1">
      <alignment horizontal="center" vertical="center"/>
    </xf>
    <xf numFmtId="0" fontId="167" fillId="69" borderId="77" xfId="579" applyFont="1" applyFill="1" applyBorder="1" applyAlignment="1">
      <alignment horizontal="center" vertical="center"/>
    </xf>
    <xf numFmtId="0" fontId="111" fillId="0" borderId="63" xfId="579" applyFont="1" applyBorder="1" applyAlignment="1">
      <alignment horizontal="center" vertical="center"/>
    </xf>
    <xf numFmtId="0" fontId="111" fillId="0" borderId="79" xfId="579" applyFont="1" applyBorder="1" applyAlignment="1">
      <alignment horizontal="center" vertical="center"/>
    </xf>
    <xf numFmtId="0" fontId="105" fillId="74" borderId="63" xfId="0" applyFont="1" applyFill="1" applyBorder="1" applyAlignment="1">
      <alignment horizontal="center" vertical="center"/>
    </xf>
    <xf numFmtId="3" fontId="102" fillId="0" borderId="63" xfId="0" applyNumberFormat="1" applyFont="1" applyBorder="1" applyAlignment="1">
      <alignment horizontal="center" vertical="center"/>
    </xf>
    <xf numFmtId="0" fontId="102" fillId="0" borderId="78" xfId="0" applyFont="1" applyBorder="1" applyAlignment="1">
      <alignment horizontal="center" vertical="center"/>
    </xf>
    <xf numFmtId="0" fontId="103" fillId="58" borderId="63" xfId="0" applyFont="1" applyFill="1" applyBorder="1" applyAlignment="1">
      <alignment horizontal="center" vertical="center"/>
    </xf>
    <xf numFmtId="168" fontId="102" fillId="0" borderId="59" xfId="1" applyNumberFormat="1" applyFont="1" applyFill="1" applyBorder="1" applyAlignment="1">
      <alignment vertical="center"/>
    </xf>
    <xf numFmtId="168" fontId="102" fillId="0" borderId="69" xfId="1" applyNumberFormat="1" applyFont="1" applyFill="1" applyBorder="1" applyAlignment="1">
      <alignment vertical="center"/>
    </xf>
    <xf numFmtId="0" fontId="87" fillId="72" borderId="41" xfId="0" applyFont="1" applyFill="1" applyBorder="1" applyAlignment="1">
      <alignment horizontal="center" vertical="center"/>
    </xf>
    <xf numFmtId="168" fontId="100" fillId="73" borderId="71" xfId="1" applyNumberFormat="1" applyFont="1" applyFill="1" applyBorder="1" applyAlignment="1">
      <alignment vertical="center"/>
    </xf>
    <xf numFmtId="168" fontId="103" fillId="74" borderId="71" xfId="1" applyNumberFormat="1" applyFont="1" applyFill="1" applyBorder="1" applyAlignment="1">
      <alignment vertical="center"/>
    </xf>
    <xf numFmtId="184" fontId="112" fillId="0" borderId="71" xfId="1" applyNumberFormat="1" applyFont="1" applyBorder="1" applyAlignment="1" applyProtection="1">
      <alignment vertical="center"/>
    </xf>
    <xf numFmtId="168" fontId="102" fillId="0" borderId="71" xfId="0" applyNumberFormat="1" applyFont="1" applyBorder="1" applyAlignment="1">
      <alignment vertical="center"/>
    </xf>
    <xf numFmtId="168" fontId="87" fillId="72" borderId="71" xfId="1" applyNumberFormat="1" applyFont="1" applyFill="1" applyBorder="1" applyAlignment="1">
      <alignment horizontal="center" vertical="center"/>
    </xf>
    <xf numFmtId="0" fontId="100" fillId="74" borderId="71" xfId="0" applyFont="1" applyFill="1" applyBorder="1" applyAlignment="1">
      <alignment horizontal="left" vertical="center"/>
    </xf>
    <xf numFmtId="0" fontId="100" fillId="74" borderId="71" xfId="0" applyFont="1" applyFill="1" applyBorder="1" applyAlignment="1">
      <alignment horizontal="left"/>
    </xf>
    <xf numFmtId="168" fontId="102" fillId="74" borderId="71" xfId="1" applyNumberFormat="1" applyFont="1" applyFill="1" applyBorder="1" applyAlignment="1">
      <alignment horizontal="center" vertical="center"/>
    </xf>
    <xf numFmtId="165" fontId="100" fillId="73" borderId="71" xfId="1" applyFont="1" applyFill="1" applyBorder="1" applyAlignment="1">
      <alignment horizontal="center" vertical="center"/>
    </xf>
    <xf numFmtId="179" fontId="167" fillId="69" borderId="82" xfId="1" applyNumberFormat="1" applyFont="1" applyFill="1" applyBorder="1" applyAlignment="1" applyProtection="1">
      <alignment horizontal="center" vertical="center"/>
    </xf>
    <xf numFmtId="179" fontId="111" fillId="0" borderId="82" xfId="1" applyNumberFormat="1" applyFont="1" applyFill="1" applyBorder="1" applyAlignment="1" applyProtection="1">
      <alignment horizontal="center" vertical="center"/>
    </xf>
    <xf numFmtId="165" fontId="105" fillId="74" borderId="71" xfId="1" applyFont="1" applyFill="1" applyBorder="1" applyAlignment="1">
      <alignment horizontal="center" vertical="center"/>
    </xf>
    <xf numFmtId="165" fontId="102" fillId="0" borderId="71" xfId="1" applyFont="1" applyBorder="1" applyAlignment="1">
      <alignment horizontal="center" vertical="center"/>
    </xf>
    <xf numFmtId="165" fontId="102" fillId="0" borderId="71" xfId="1" applyFont="1" applyFill="1" applyBorder="1" applyAlignment="1">
      <alignment horizontal="center" vertical="center"/>
    </xf>
    <xf numFmtId="165" fontId="103" fillId="74" borderId="71" xfId="1" applyFont="1" applyFill="1" applyBorder="1" applyAlignment="1">
      <alignment horizontal="center" vertical="center"/>
    </xf>
    <xf numFmtId="168" fontId="102" fillId="0" borderId="81" xfId="1" applyNumberFormat="1" applyFont="1" applyBorder="1" applyAlignment="1">
      <alignment horizontal="center" vertical="center"/>
    </xf>
    <xf numFmtId="168" fontId="88" fillId="0" borderId="80" xfId="1" applyNumberFormat="1" applyFont="1" applyFill="1" applyBorder="1" applyAlignment="1">
      <alignment vertical="center"/>
    </xf>
    <xf numFmtId="168" fontId="88" fillId="0" borderId="80" xfId="1" applyNumberFormat="1" applyFont="1" applyFill="1" applyBorder="1" applyAlignment="1">
      <alignment horizontal="center" vertical="center"/>
    </xf>
    <xf numFmtId="168" fontId="102" fillId="0" borderId="43" xfId="1" applyNumberFormat="1" applyFont="1" applyFill="1" applyBorder="1" applyAlignment="1">
      <alignment vertical="center"/>
    </xf>
    <xf numFmtId="165" fontId="103" fillId="74" borderId="71" xfId="1" applyFont="1" applyFill="1" applyBorder="1" applyAlignment="1">
      <alignment horizontal="left" vertical="center"/>
    </xf>
    <xf numFmtId="168" fontId="87" fillId="72" borderId="37" xfId="1" applyNumberFormat="1" applyFont="1" applyFill="1" applyBorder="1" applyAlignment="1">
      <alignment horizontal="center" vertical="center"/>
    </xf>
    <xf numFmtId="165" fontId="167" fillId="69" borderId="57" xfId="1" applyFont="1" applyFill="1" applyBorder="1" applyAlignment="1" applyProtection="1">
      <alignment horizontal="center" vertical="center"/>
    </xf>
    <xf numFmtId="0" fontId="88" fillId="34" borderId="75" xfId="0" applyFont="1" applyFill="1" applyBorder="1" applyAlignment="1">
      <alignment vertical="center" wrapText="1"/>
    </xf>
    <xf numFmtId="1" fontId="100" fillId="34" borderId="57" xfId="45" applyNumberFormat="1" applyFont="1" applyFill="1" applyBorder="1" applyAlignment="1">
      <alignment vertical="center"/>
    </xf>
    <xf numFmtId="0" fontId="100" fillId="34" borderId="57" xfId="0" applyFont="1" applyFill="1" applyBorder="1" applyAlignment="1">
      <alignment vertical="center"/>
    </xf>
    <xf numFmtId="165" fontId="100" fillId="34" borderId="57" xfId="1" applyFont="1" applyFill="1" applyBorder="1" applyAlignment="1">
      <alignment vertical="center"/>
    </xf>
    <xf numFmtId="0" fontId="100" fillId="34" borderId="63" xfId="0" applyFont="1" applyFill="1" applyBorder="1" applyAlignment="1">
      <alignment vertical="center"/>
    </xf>
    <xf numFmtId="0" fontId="102" fillId="34" borderId="63" xfId="0" applyFont="1" applyFill="1" applyBorder="1" applyAlignment="1">
      <alignment horizontal="center" vertical="center"/>
    </xf>
    <xf numFmtId="0" fontId="102" fillId="34" borderId="72" xfId="0" applyFont="1" applyFill="1" applyBorder="1" applyAlignment="1">
      <alignment vertical="center" wrapText="1"/>
    </xf>
    <xf numFmtId="0" fontId="88" fillId="34" borderId="72" xfId="0" applyFont="1" applyFill="1" applyBorder="1" applyAlignment="1">
      <alignment vertical="center" wrapText="1"/>
    </xf>
    <xf numFmtId="0" fontId="102" fillId="34" borderId="72" xfId="0" applyFont="1" applyFill="1" applyBorder="1" applyAlignment="1">
      <alignment vertical="center"/>
    </xf>
    <xf numFmtId="0" fontId="102" fillId="34" borderId="72" xfId="0" applyFont="1" applyFill="1" applyBorder="1" applyAlignment="1">
      <alignment horizontal="center" vertical="center"/>
    </xf>
    <xf numFmtId="14" fontId="102" fillId="34" borderId="72" xfId="0" applyNumberFormat="1" applyFont="1" applyFill="1" applyBorder="1" applyAlignment="1">
      <alignment horizontal="center" vertical="center"/>
    </xf>
    <xf numFmtId="0" fontId="102" fillId="34" borderId="71" xfId="0" applyFont="1" applyFill="1" applyBorder="1" applyAlignment="1">
      <alignment horizontal="center" vertical="center"/>
    </xf>
    <xf numFmtId="0" fontId="102" fillId="34" borderId="80" xfId="0" applyFont="1" applyFill="1" applyBorder="1" applyAlignment="1">
      <alignment vertical="center" wrapText="1"/>
    </xf>
    <xf numFmtId="0" fontId="88" fillId="34" borderId="80" xfId="0" applyFont="1" applyFill="1" applyBorder="1" applyAlignment="1">
      <alignment vertical="center" wrapText="1"/>
    </xf>
    <xf numFmtId="0" fontId="102" fillId="34" borderId="80" xfId="0" applyFont="1" applyFill="1" applyBorder="1" applyAlignment="1">
      <alignment vertical="center"/>
    </xf>
    <xf numFmtId="0" fontId="102" fillId="34" borderId="80" xfId="0" applyFont="1" applyFill="1" applyBorder="1" applyAlignment="1">
      <alignment horizontal="center" vertical="center"/>
    </xf>
    <xf numFmtId="181" fontId="102" fillId="34" borderId="80" xfId="0" applyNumberFormat="1" applyFont="1" applyFill="1" applyBorder="1" applyAlignment="1">
      <alignment horizontal="center" vertical="center"/>
    </xf>
    <xf numFmtId="0" fontId="88" fillId="96" borderId="57" xfId="0" applyFont="1" applyFill="1" applyBorder="1" applyAlignment="1">
      <alignment vertical="center" wrapText="1"/>
    </xf>
    <xf numFmtId="0" fontId="102" fillId="34" borderId="57" xfId="45" applyFont="1" applyFill="1" applyBorder="1" applyAlignment="1">
      <alignment vertical="center"/>
    </xf>
    <xf numFmtId="165" fontId="100" fillId="34" borderId="63" xfId="1" applyFont="1" applyFill="1" applyBorder="1" applyAlignment="1">
      <alignment vertical="center"/>
    </xf>
    <xf numFmtId="165" fontId="87" fillId="34" borderId="57" xfId="1" applyFont="1" applyFill="1" applyBorder="1" applyAlignment="1">
      <alignment vertical="center"/>
    </xf>
    <xf numFmtId="0" fontId="102" fillId="34" borderId="65" xfId="0" applyFont="1" applyFill="1" applyBorder="1" applyAlignment="1">
      <alignment vertical="center" wrapText="1"/>
    </xf>
    <xf numFmtId="0" fontId="88" fillId="96" borderId="65" xfId="0" applyFont="1" applyFill="1" applyBorder="1" applyAlignment="1">
      <alignment vertical="center" wrapText="1"/>
    </xf>
    <xf numFmtId="0" fontId="102" fillId="34" borderId="65" xfId="0" applyFont="1" applyFill="1" applyBorder="1" applyAlignment="1">
      <alignment vertical="center"/>
    </xf>
    <xf numFmtId="0" fontId="102" fillId="34" borderId="65" xfId="0" applyFont="1" applyFill="1" applyBorder="1" applyAlignment="1">
      <alignment horizontal="center" vertical="center"/>
    </xf>
    <xf numFmtId="181" fontId="102" fillId="34" borderId="65" xfId="0" applyNumberFormat="1" applyFont="1" applyFill="1" applyBorder="1" applyAlignment="1">
      <alignment horizontal="center" vertical="center"/>
    </xf>
    <xf numFmtId="0" fontId="88" fillId="34" borderId="57" xfId="0" applyFont="1" applyFill="1" applyBorder="1" applyAlignment="1">
      <alignment vertical="center"/>
    </xf>
    <xf numFmtId="1" fontId="100" fillId="34" borderId="0" xfId="0" applyNumberFormat="1" applyFont="1" applyFill="1" applyAlignment="1">
      <alignment vertical="center"/>
    </xf>
    <xf numFmtId="0" fontId="88" fillId="34" borderId="63" xfId="0" applyFont="1" applyFill="1" applyBorder="1" applyAlignment="1">
      <alignment horizontal="center" vertical="center"/>
    </xf>
    <xf numFmtId="165" fontId="100" fillId="34" borderId="57" xfId="1" applyFont="1" applyFill="1" applyBorder="1" applyAlignment="1">
      <alignment horizontal="center" vertical="center"/>
    </xf>
    <xf numFmtId="168" fontId="102" fillId="34" borderId="57" xfId="1" applyNumberFormat="1" applyFont="1" applyFill="1" applyBorder="1" applyAlignment="1">
      <alignment vertical="center"/>
    </xf>
    <xf numFmtId="165" fontId="88" fillId="34" borderId="57" xfId="1" applyFont="1" applyFill="1" applyBorder="1" applyAlignment="1">
      <alignment vertical="center"/>
    </xf>
    <xf numFmtId="168" fontId="88" fillId="34" borderId="57" xfId="1" applyNumberFormat="1" applyFont="1" applyFill="1" applyBorder="1" applyAlignment="1">
      <alignment vertical="center"/>
    </xf>
    <xf numFmtId="1" fontId="100" fillId="34" borderId="57" xfId="0" applyNumberFormat="1" applyFont="1" applyFill="1" applyBorder="1" applyAlignment="1">
      <alignment horizontal="center" vertical="center"/>
    </xf>
    <xf numFmtId="0" fontId="102" fillId="0" borderId="28" xfId="0" applyFont="1" applyBorder="1" applyAlignment="1">
      <alignment vertical="center"/>
    </xf>
    <xf numFmtId="0" fontId="111" fillId="0" borderId="10" xfId="579" applyFont="1" applyBorder="1" applyAlignment="1">
      <alignment vertical="center"/>
    </xf>
    <xf numFmtId="165" fontId="102" fillId="0" borderId="63" xfId="1" applyFont="1" applyBorder="1" applyAlignment="1">
      <alignment horizontal="center"/>
    </xf>
    <xf numFmtId="165" fontId="88" fillId="0" borderId="63" xfId="1" applyFont="1" applyBorder="1" applyAlignment="1"/>
    <xf numFmtId="0" fontId="102" fillId="34" borderId="57" xfId="0" applyFont="1" applyFill="1" applyBorder="1" applyAlignment="1">
      <alignment horizontal="center"/>
    </xf>
    <xf numFmtId="0" fontId="102" fillId="34" borderId="57" xfId="0" applyFont="1" applyFill="1" applyBorder="1" applyAlignment="1">
      <alignment horizontal="center" wrapText="1"/>
    </xf>
    <xf numFmtId="165" fontId="102" fillId="34" borderId="57" xfId="1" applyFont="1" applyFill="1" applyBorder="1" applyAlignment="1"/>
    <xf numFmtId="0" fontId="102" fillId="34" borderId="63" xfId="0" applyFont="1" applyFill="1" applyBorder="1" applyAlignment="1">
      <alignment horizontal="center"/>
    </xf>
    <xf numFmtId="0" fontId="102" fillId="34" borderId="0" xfId="0" applyFont="1" applyFill="1" applyAlignment="1">
      <alignment vertical="center"/>
    </xf>
    <xf numFmtId="0" fontId="111" fillId="34" borderId="57" xfId="579" applyFont="1" applyFill="1" applyBorder="1" applyAlignment="1">
      <alignment vertical="center"/>
    </xf>
    <xf numFmtId="165" fontId="88" fillId="34" borderId="57" xfId="1" applyFont="1" applyFill="1" applyBorder="1" applyAlignment="1"/>
    <xf numFmtId="0" fontId="102" fillId="0" borderId="62" xfId="0" applyFont="1" applyBorder="1" applyAlignment="1">
      <alignment vertical="center" wrapText="1"/>
    </xf>
    <xf numFmtId="0" fontId="102" fillId="0" borderId="62" xfId="0" applyFont="1" applyBorder="1" applyAlignment="1">
      <alignment horizontal="left" vertical="center"/>
    </xf>
    <xf numFmtId="181" fontId="102" fillId="0" borderId="62" xfId="0" applyNumberFormat="1" applyFont="1" applyBorder="1" applyAlignment="1">
      <alignment horizontal="center" vertical="center" wrapText="1"/>
    </xf>
    <xf numFmtId="1" fontId="102" fillId="0" borderId="62" xfId="0" applyNumberFormat="1" applyFont="1" applyBorder="1" applyAlignment="1">
      <alignment horizontal="center" vertical="center"/>
    </xf>
    <xf numFmtId="165" fontId="102" fillId="0" borderId="62" xfId="1" applyFont="1" applyBorder="1" applyAlignment="1">
      <alignment horizontal="center" vertical="center"/>
    </xf>
    <xf numFmtId="0" fontId="111" fillId="0" borderId="83" xfId="579" applyFont="1" applyBorder="1" applyAlignment="1">
      <alignment vertical="center"/>
    </xf>
    <xf numFmtId="181" fontId="102" fillId="34" borderId="57" xfId="0" applyNumberFormat="1" applyFont="1" applyFill="1" applyBorder="1" applyAlignment="1">
      <alignment horizontal="center" vertical="center" wrapText="1"/>
    </xf>
    <xf numFmtId="165" fontId="102" fillId="58" borderId="63" xfId="1" applyFont="1" applyFill="1" applyBorder="1" applyAlignment="1">
      <alignment horizontal="center" vertical="center"/>
    </xf>
    <xf numFmtId="181" fontId="100" fillId="34" borderId="57" xfId="0" applyNumberFormat="1" applyFont="1" applyFill="1" applyBorder="1" applyAlignment="1">
      <alignment horizontal="center" vertical="center"/>
    </xf>
    <xf numFmtId="0" fontId="100" fillId="34" borderId="57" xfId="0" applyFont="1" applyFill="1" applyBorder="1" applyAlignment="1">
      <alignment horizontal="center" vertical="center" wrapText="1"/>
    </xf>
    <xf numFmtId="0" fontId="100" fillId="34" borderId="57" xfId="0" applyFont="1" applyFill="1" applyBorder="1" applyAlignment="1">
      <alignment horizontal="left" vertical="center"/>
    </xf>
    <xf numFmtId="0" fontId="100" fillId="34" borderId="63" xfId="0" applyFont="1" applyFill="1" applyBorder="1" applyAlignment="1">
      <alignment horizontal="center" vertical="center"/>
    </xf>
    <xf numFmtId="165" fontId="102" fillId="0" borderId="63" xfId="1" applyFont="1" applyFill="1" applyBorder="1" applyAlignment="1">
      <alignment horizontal="center" vertical="center"/>
    </xf>
    <xf numFmtId="165" fontId="100" fillId="74" borderId="57" xfId="1" applyFont="1" applyFill="1" applyBorder="1" applyAlignment="1">
      <alignment horizontal="center" vertical="center"/>
    </xf>
    <xf numFmtId="0" fontId="94" fillId="34" borderId="57" xfId="0" applyFont="1" applyFill="1" applyBorder="1" applyAlignment="1">
      <alignment vertical="center" wrapText="1"/>
    </xf>
    <xf numFmtId="0" fontId="105" fillId="34" borderId="57" xfId="0" applyFont="1" applyFill="1" applyBorder="1" applyAlignment="1">
      <alignment horizontal="center" vertical="center"/>
    </xf>
    <xf numFmtId="14" fontId="105" fillId="34" borderId="57" xfId="0" applyNumberFormat="1" applyFont="1" applyFill="1" applyBorder="1" applyAlignment="1">
      <alignment horizontal="center" vertical="center"/>
    </xf>
    <xf numFmtId="0" fontId="105" fillId="34" borderId="57" xfId="0" applyFont="1" applyFill="1" applyBorder="1" applyAlignment="1">
      <alignment horizontal="center" vertical="center" wrapText="1"/>
    </xf>
    <xf numFmtId="1" fontId="105" fillId="34" borderId="57" xfId="0" applyNumberFormat="1" applyFont="1" applyFill="1" applyBorder="1" applyAlignment="1">
      <alignment vertical="center"/>
    </xf>
    <xf numFmtId="0" fontId="105" fillId="34" borderId="57" xfId="0" applyFont="1" applyFill="1" applyBorder="1" applyAlignment="1">
      <alignment horizontal="left" vertical="center"/>
    </xf>
    <xf numFmtId="165" fontId="105" fillId="34" borderId="57" xfId="1" applyFont="1" applyFill="1" applyBorder="1" applyAlignment="1">
      <alignment horizontal="left" vertical="center"/>
    </xf>
    <xf numFmtId="168" fontId="105" fillId="34" borderId="63" xfId="1" applyNumberFormat="1" applyFont="1" applyFill="1" applyBorder="1" applyAlignment="1">
      <alignment horizontal="left" vertical="center"/>
    </xf>
    <xf numFmtId="165" fontId="105" fillId="34" borderId="57" xfId="1" applyFont="1" applyFill="1" applyBorder="1" applyAlignment="1">
      <alignment horizontal="center" vertical="center"/>
    </xf>
    <xf numFmtId="0" fontId="103" fillId="34" borderId="57" xfId="0" applyFont="1" applyFill="1" applyBorder="1" applyAlignment="1">
      <alignment vertical="center" wrapText="1"/>
    </xf>
    <xf numFmtId="0" fontId="103" fillId="34" borderId="62" xfId="0" applyFont="1" applyFill="1" applyBorder="1" applyAlignment="1">
      <alignment vertical="center"/>
    </xf>
    <xf numFmtId="0" fontId="103" fillId="34" borderId="57" xfId="0" applyFont="1" applyFill="1" applyBorder="1" applyAlignment="1">
      <alignment horizontal="left" vertical="center"/>
    </xf>
    <xf numFmtId="165" fontId="103" fillId="34" borderId="57" xfId="1" applyFont="1" applyFill="1" applyBorder="1" applyAlignment="1">
      <alignment horizontal="left" vertical="center"/>
    </xf>
    <xf numFmtId="0" fontId="103" fillId="34" borderId="63" xfId="0" applyFont="1" applyFill="1" applyBorder="1" applyAlignment="1">
      <alignment horizontal="center" vertical="center"/>
    </xf>
    <xf numFmtId="14" fontId="103" fillId="34" borderId="62" xfId="0" applyNumberFormat="1" applyFont="1" applyFill="1" applyBorder="1" applyAlignment="1">
      <alignment vertical="center"/>
    </xf>
    <xf numFmtId="14" fontId="103" fillId="34" borderId="57" xfId="0" applyNumberFormat="1" applyFont="1" applyFill="1" applyBorder="1" applyAlignment="1">
      <alignment vertical="center"/>
    </xf>
    <xf numFmtId="0" fontId="103" fillId="34" borderId="62" xfId="0" applyFont="1" applyFill="1" applyBorder="1" applyAlignment="1">
      <alignment vertical="center" wrapText="1"/>
    </xf>
    <xf numFmtId="165" fontId="103" fillId="34" borderId="57" xfId="1" applyFont="1" applyFill="1" applyBorder="1" applyAlignment="1">
      <alignment vertical="center"/>
    </xf>
    <xf numFmtId="0" fontId="103" fillId="34" borderId="63" xfId="0" applyFont="1" applyFill="1" applyBorder="1" applyAlignment="1">
      <alignment vertical="center"/>
    </xf>
    <xf numFmtId="165" fontId="103" fillId="34" borderId="57" xfId="0" applyNumberFormat="1" applyFont="1" applyFill="1" applyBorder="1" applyAlignment="1">
      <alignment vertical="center"/>
    </xf>
    <xf numFmtId="0" fontId="100" fillId="34" borderId="62" xfId="0" applyFont="1" applyFill="1" applyBorder="1" applyAlignment="1">
      <alignment vertical="center"/>
    </xf>
    <xf numFmtId="0" fontId="105" fillId="34" borderId="62" xfId="0" applyFont="1" applyFill="1" applyBorder="1" applyAlignment="1">
      <alignment vertical="center" wrapText="1"/>
    </xf>
    <xf numFmtId="0" fontId="94" fillId="34" borderId="62" xfId="0" applyFont="1" applyFill="1" applyBorder="1" applyAlignment="1">
      <alignment vertical="center" wrapText="1"/>
    </xf>
    <xf numFmtId="0" fontId="169" fillId="34" borderId="62" xfId="0" applyFont="1" applyFill="1" applyBorder="1" applyAlignment="1">
      <alignment vertical="center"/>
    </xf>
    <xf numFmtId="0" fontId="105" fillId="34" borderId="62" xfId="0" applyFont="1" applyFill="1" applyBorder="1" applyAlignment="1">
      <alignment vertical="center"/>
    </xf>
    <xf numFmtId="14" fontId="105" fillId="34" borderId="62" xfId="0" applyNumberFormat="1" applyFont="1" applyFill="1" applyBorder="1" applyAlignment="1">
      <alignment vertical="center"/>
    </xf>
    <xf numFmtId="165" fontId="111" fillId="0" borderId="10" xfId="1" applyFont="1" applyFill="1" applyBorder="1" applyAlignment="1" applyProtection="1">
      <alignment vertical="center"/>
    </xf>
    <xf numFmtId="165" fontId="102" fillId="0" borderId="28" xfId="1" applyFont="1" applyFill="1" applyBorder="1" applyAlignment="1">
      <alignment horizontal="right" vertical="center"/>
    </xf>
    <xf numFmtId="165" fontId="102" fillId="0" borderId="32" xfId="1" applyFont="1" applyFill="1" applyBorder="1" applyAlignment="1">
      <alignment horizontal="right" vertical="center"/>
    </xf>
    <xf numFmtId="0" fontId="88" fillId="0" borderId="79" xfId="0" applyFont="1" applyBorder="1" applyAlignment="1">
      <alignment horizontal="center" vertical="center"/>
    </xf>
    <xf numFmtId="165" fontId="111" fillId="0" borderId="84" xfId="1" applyFont="1" applyFill="1" applyBorder="1" applyAlignment="1" applyProtection="1">
      <alignment horizontal="center" vertical="center"/>
    </xf>
    <xf numFmtId="165" fontId="111" fillId="0" borderId="79" xfId="1" applyFont="1" applyFill="1" applyBorder="1" applyAlignment="1" applyProtection="1">
      <alignment horizontal="center" vertical="center"/>
    </xf>
    <xf numFmtId="179" fontId="111" fillId="0" borderId="0" xfId="1" applyNumberFormat="1" applyFont="1" applyFill="1" applyBorder="1" applyAlignment="1" applyProtection="1">
      <alignment horizontal="center" vertical="center"/>
    </xf>
    <xf numFmtId="165" fontId="111" fillId="0" borderId="0" xfId="1" applyFont="1" applyFill="1" applyBorder="1" applyAlignment="1" applyProtection="1">
      <alignment horizontal="center" vertical="center"/>
    </xf>
    <xf numFmtId="0" fontId="111" fillId="0" borderId="83" xfId="579" applyFont="1" applyBorder="1" applyAlignment="1">
      <alignment horizontal="center" vertical="center"/>
    </xf>
    <xf numFmtId="0" fontId="111" fillId="0" borderId="83" xfId="579" applyFont="1" applyBorder="1" applyAlignment="1">
      <alignment horizontal="center" vertical="center" wrapText="1"/>
    </xf>
    <xf numFmtId="1" fontId="111" fillId="0" borderId="83" xfId="579" applyNumberFormat="1" applyFont="1" applyBorder="1" applyAlignment="1">
      <alignment horizontal="center" vertical="center"/>
    </xf>
    <xf numFmtId="165" fontId="102" fillId="0" borderId="62" xfId="1" applyFont="1" applyFill="1" applyBorder="1" applyAlignment="1">
      <alignment horizontal="right" vertical="center"/>
    </xf>
    <xf numFmtId="0" fontId="111" fillId="0" borderId="85" xfId="579" applyFont="1" applyBorder="1" applyAlignment="1">
      <alignment horizontal="center" vertical="center"/>
    </xf>
    <xf numFmtId="0" fontId="111" fillId="0" borderId="62" xfId="579" applyFont="1" applyBorder="1" applyAlignment="1">
      <alignment vertical="center" wrapText="1"/>
    </xf>
    <xf numFmtId="0" fontId="88" fillId="0" borderId="62" xfId="579" applyFont="1" applyBorder="1" applyAlignment="1">
      <alignment vertical="center" wrapText="1"/>
    </xf>
    <xf numFmtId="0" fontId="111" fillId="0" borderId="86" xfId="579" applyFont="1" applyBorder="1" applyAlignment="1">
      <alignment horizontal="center" vertical="center"/>
    </xf>
    <xf numFmtId="180" fontId="111" fillId="0" borderId="83" xfId="579" applyNumberFormat="1" applyFont="1" applyBorder="1" applyAlignment="1">
      <alignment horizontal="center" vertical="center"/>
    </xf>
    <xf numFmtId="165" fontId="88" fillId="0" borderId="62" xfId="1" applyFont="1" applyFill="1" applyBorder="1" applyAlignment="1">
      <alignment vertical="center"/>
    </xf>
    <xf numFmtId="0" fontId="111" fillId="0" borderId="78" xfId="579" applyFont="1" applyBorder="1" applyAlignment="1">
      <alignment horizontal="center" vertical="center"/>
    </xf>
    <xf numFmtId="165" fontId="111" fillId="0" borderId="62" xfId="1" applyFont="1" applyFill="1" applyBorder="1" applyAlignment="1" applyProtection="1">
      <alignment vertical="center"/>
    </xf>
    <xf numFmtId="0" fontId="102" fillId="0" borderId="83" xfId="0" applyFont="1" applyBorder="1" applyAlignment="1">
      <alignment vertical="center"/>
    </xf>
    <xf numFmtId="165" fontId="102" fillId="0" borderId="87" xfId="1" applyFont="1" applyFill="1" applyBorder="1" applyAlignment="1">
      <alignment vertical="center"/>
    </xf>
    <xf numFmtId="0" fontId="88" fillId="0" borderId="88" xfId="0" applyFont="1" applyBorder="1" applyAlignment="1">
      <alignment horizontal="center" vertical="center"/>
    </xf>
    <xf numFmtId="0" fontId="88" fillId="0" borderId="78" xfId="0" applyFont="1" applyBorder="1" applyAlignment="1">
      <alignment horizontal="center" vertical="center"/>
    </xf>
    <xf numFmtId="0" fontId="111" fillId="0" borderId="68" xfId="579" applyFont="1" applyBorder="1" applyAlignment="1">
      <alignment horizontal="center" vertical="center"/>
    </xf>
    <xf numFmtId="0" fontId="111" fillId="0" borderId="13" xfId="579" applyFont="1" applyBorder="1" applyAlignment="1">
      <alignment vertical="center" wrapText="1"/>
    </xf>
    <xf numFmtId="0" fontId="88" fillId="0" borderId="13" xfId="579" applyFont="1" applyBorder="1" applyAlignment="1">
      <alignment vertical="center" wrapText="1"/>
    </xf>
    <xf numFmtId="0" fontId="111" fillId="0" borderId="33" xfId="579" applyFont="1" applyBorder="1" applyAlignment="1">
      <alignment horizontal="center" vertical="center"/>
    </xf>
    <xf numFmtId="180" fontId="111" fillId="0" borderId="32" xfId="579" applyNumberFormat="1" applyFont="1" applyBorder="1" applyAlignment="1">
      <alignment horizontal="center" vertical="center"/>
    </xf>
    <xf numFmtId="0" fontId="111" fillId="0" borderId="32" xfId="579" applyFont="1" applyBorder="1" applyAlignment="1">
      <alignment horizontal="center" vertical="center" wrapText="1"/>
    </xf>
    <xf numFmtId="0" fontId="102" fillId="0" borderId="32" xfId="0" applyFont="1" applyBorder="1" applyAlignment="1">
      <alignment vertical="center"/>
    </xf>
    <xf numFmtId="1" fontId="111" fillId="0" borderId="32" xfId="579" applyNumberFormat="1" applyFont="1" applyBorder="1" applyAlignment="1">
      <alignment horizontal="center" vertical="center"/>
    </xf>
    <xf numFmtId="0" fontId="111" fillId="0" borderId="32" xfId="579" applyFont="1" applyBorder="1" applyAlignment="1">
      <alignment vertical="center"/>
    </xf>
    <xf numFmtId="165" fontId="102" fillId="0" borderId="13" xfId="1" applyFont="1" applyFill="1" applyBorder="1" applyAlignment="1">
      <alignment vertical="center"/>
    </xf>
    <xf numFmtId="0" fontId="88" fillId="0" borderId="40" xfId="0" applyFont="1" applyBorder="1" applyAlignment="1">
      <alignment horizontal="center" vertical="center"/>
    </xf>
    <xf numFmtId="165" fontId="111" fillId="0" borderId="13" xfId="1" applyFont="1" applyFill="1" applyBorder="1" applyAlignment="1" applyProtection="1">
      <alignment vertical="center"/>
    </xf>
    <xf numFmtId="165" fontId="102" fillId="0" borderId="13" xfId="1" applyFont="1" applyFill="1" applyBorder="1" applyAlignment="1">
      <alignment horizontal="right" vertical="center"/>
    </xf>
    <xf numFmtId="0" fontId="111" fillId="0" borderId="40" xfId="579" applyFont="1" applyBorder="1" applyAlignment="1">
      <alignment horizontal="center" vertical="center"/>
    </xf>
    <xf numFmtId="0" fontId="100" fillId="73" borderId="13" xfId="0" applyFont="1" applyFill="1" applyBorder="1" applyAlignment="1">
      <alignment vertical="center"/>
    </xf>
    <xf numFmtId="0" fontId="100" fillId="73" borderId="13" xfId="0" applyFont="1" applyFill="1" applyBorder="1" applyAlignment="1">
      <alignment horizontal="left" vertical="center" wrapText="1"/>
    </xf>
    <xf numFmtId="0" fontId="100" fillId="73" borderId="13" xfId="0" applyFont="1" applyFill="1" applyBorder="1" applyAlignment="1">
      <alignment vertical="center" wrapText="1"/>
    </xf>
    <xf numFmtId="0" fontId="100" fillId="73" borderId="13" xfId="0" applyFont="1" applyFill="1" applyBorder="1" applyAlignment="1">
      <alignment horizontal="left" vertical="center"/>
    </xf>
    <xf numFmtId="0" fontId="100" fillId="73" borderId="13" xfId="0" applyFont="1" applyFill="1" applyBorder="1" applyAlignment="1">
      <alignment horizontal="center" vertical="center" wrapText="1"/>
    </xf>
    <xf numFmtId="1" fontId="100" fillId="73" borderId="13" xfId="0" applyNumberFormat="1" applyFont="1" applyFill="1" applyBorder="1" applyAlignment="1">
      <alignment horizontal="center" vertical="center"/>
    </xf>
    <xf numFmtId="0" fontId="100" fillId="73" borderId="13" xfId="0" applyFont="1" applyFill="1" applyBorder="1" applyAlignment="1">
      <alignment horizontal="center" vertical="center"/>
    </xf>
    <xf numFmtId="165" fontId="100" fillId="73" borderId="13" xfId="1" applyFont="1" applyFill="1" applyBorder="1" applyAlignment="1">
      <alignment horizontal="center" vertical="center"/>
    </xf>
    <xf numFmtId="0" fontId="100" fillId="73" borderId="40" xfId="0" applyFont="1" applyFill="1" applyBorder="1" applyAlignment="1">
      <alignment horizontal="center" vertical="center"/>
    </xf>
    <xf numFmtId="0" fontId="86" fillId="34" borderId="57" xfId="579" applyFont="1" applyFill="1" applyBorder="1" applyAlignment="1">
      <alignment horizontal="center" vertical="center"/>
    </xf>
    <xf numFmtId="0" fontId="86" fillId="34" borderId="57" xfId="579" applyFont="1" applyFill="1" applyBorder="1" applyAlignment="1">
      <alignment vertical="center" wrapText="1"/>
    </xf>
    <xf numFmtId="0" fontId="87" fillId="34" borderId="57" xfId="579" applyFont="1" applyFill="1" applyBorder="1" applyAlignment="1">
      <alignment vertical="center" wrapText="1"/>
    </xf>
    <xf numFmtId="180" fontId="86" fillId="34" borderId="57" xfId="579" applyNumberFormat="1" applyFont="1" applyFill="1" applyBorder="1" applyAlignment="1">
      <alignment horizontal="center" vertical="center"/>
    </xf>
    <xf numFmtId="0" fontId="86" fillId="34" borderId="57" xfId="579" applyFont="1" applyFill="1" applyBorder="1" applyAlignment="1">
      <alignment horizontal="center" vertical="center" wrapText="1"/>
    </xf>
    <xf numFmtId="0" fontId="86" fillId="34" borderId="57" xfId="579" applyFont="1" applyFill="1" applyBorder="1" applyAlignment="1">
      <alignment vertical="center"/>
    </xf>
    <xf numFmtId="1" fontId="86" fillId="34" borderId="57" xfId="579" applyNumberFormat="1" applyFont="1" applyFill="1" applyBorder="1" applyAlignment="1">
      <alignment vertical="center"/>
    </xf>
    <xf numFmtId="165" fontId="86" fillId="34" borderId="57" xfId="1" applyFont="1" applyFill="1" applyBorder="1" applyAlignment="1" applyProtection="1">
      <alignment vertical="center"/>
    </xf>
    <xf numFmtId="0" fontId="87" fillId="34" borderId="57" xfId="0" applyFont="1" applyFill="1" applyBorder="1" applyAlignment="1">
      <alignment horizontal="center" vertical="center"/>
    </xf>
    <xf numFmtId="165" fontId="100" fillId="34" borderId="57" xfId="1" applyFont="1" applyFill="1" applyBorder="1" applyAlignment="1">
      <alignment horizontal="right" vertical="center"/>
    </xf>
    <xf numFmtId="1" fontId="86" fillId="34" borderId="57" xfId="579" applyNumberFormat="1" applyFont="1" applyFill="1" applyBorder="1" applyAlignment="1">
      <alignment horizontal="center" vertical="center"/>
    </xf>
    <xf numFmtId="165" fontId="102" fillId="0" borderId="0" xfId="1" applyFont="1" applyBorder="1" applyAlignment="1">
      <alignment horizontal="center" vertical="center"/>
    </xf>
    <xf numFmtId="165" fontId="102" fillId="0" borderId="71" xfId="1" applyFont="1" applyBorder="1" applyAlignment="1">
      <alignment vertical="center"/>
    </xf>
    <xf numFmtId="165" fontId="102" fillId="0" borderId="71" xfId="1" applyFont="1" applyFill="1" applyBorder="1" applyAlignment="1">
      <alignment vertical="center"/>
    </xf>
    <xf numFmtId="0" fontId="87" fillId="34" borderId="57" xfId="0" applyFont="1" applyFill="1" applyBorder="1" applyAlignment="1">
      <alignment vertical="center" wrapText="1"/>
    </xf>
    <xf numFmtId="167" fontId="100" fillId="34" borderId="57" xfId="0" applyNumberFormat="1" applyFont="1" applyFill="1" applyBorder="1" applyAlignment="1">
      <alignment vertical="center"/>
    </xf>
    <xf numFmtId="3" fontId="100" fillId="34" borderId="63" xfId="0" applyNumberFormat="1" applyFont="1" applyFill="1" applyBorder="1" applyAlignment="1">
      <alignment vertical="center"/>
    </xf>
    <xf numFmtId="0" fontId="100" fillId="34" borderId="13" xfId="0" applyFont="1" applyFill="1" applyBorder="1" applyAlignment="1">
      <alignment vertical="center"/>
    </xf>
    <xf numFmtId="0" fontId="100" fillId="34" borderId="62" xfId="0" applyFont="1" applyFill="1" applyBorder="1" applyAlignment="1">
      <alignment vertical="center" wrapText="1"/>
    </xf>
    <xf numFmtId="0" fontId="100" fillId="0" borderId="0" xfId="0" applyFont="1" applyAlignment="1">
      <alignment horizontal="center" vertical="center"/>
    </xf>
    <xf numFmtId="0" fontId="100" fillId="34" borderId="0" xfId="0" applyFont="1" applyFill="1" applyAlignment="1">
      <alignment vertical="center"/>
    </xf>
    <xf numFmtId="15" fontId="100" fillId="34" borderId="57" xfId="0" applyNumberFormat="1" applyFont="1" applyFill="1" applyBorder="1" applyAlignment="1">
      <alignment vertical="center"/>
    </xf>
    <xf numFmtId="168" fontId="102" fillId="0" borderId="63" xfId="1" applyNumberFormat="1" applyFont="1" applyBorder="1" applyAlignment="1">
      <alignment horizontal="center" vertical="center"/>
    </xf>
    <xf numFmtId="0" fontId="100" fillId="34" borderId="57" xfId="45" applyFont="1" applyFill="1" applyBorder="1" applyAlignment="1">
      <alignment vertical="center"/>
    </xf>
    <xf numFmtId="0" fontId="87" fillId="34" borderId="57" xfId="0" applyFont="1" applyFill="1" applyBorder="1" applyAlignment="1">
      <alignment vertical="center"/>
    </xf>
    <xf numFmtId="15" fontId="87" fillId="34" borderId="57" xfId="0" quotePrefix="1" applyNumberFormat="1" applyFont="1" applyFill="1" applyBorder="1" applyAlignment="1">
      <alignment vertical="center"/>
    </xf>
    <xf numFmtId="181" fontId="100" fillId="34" borderId="57" xfId="0" applyNumberFormat="1" applyFont="1" applyFill="1" applyBorder="1" applyAlignment="1">
      <alignment vertical="center"/>
    </xf>
    <xf numFmtId="0" fontId="94" fillId="34" borderId="57" xfId="0" applyFont="1" applyFill="1" applyBorder="1" applyAlignment="1">
      <alignment vertical="center"/>
    </xf>
    <xf numFmtId="168" fontId="87" fillId="34" borderId="57" xfId="1" applyNumberFormat="1" applyFont="1" applyFill="1" applyBorder="1" applyAlignment="1">
      <alignment vertical="center" wrapText="1"/>
    </xf>
    <xf numFmtId="168" fontId="88" fillId="0" borderId="65" xfId="1" applyNumberFormat="1" applyFont="1" applyFill="1" applyBorder="1" applyAlignment="1">
      <alignment vertical="center"/>
    </xf>
    <xf numFmtId="168" fontId="102" fillId="0" borderId="78" xfId="1" applyNumberFormat="1" applyFont="1" applyBorder="1" applyAlignment="1">
      <alignment horizontal="center" vertical="center"/>
    </xf>
    <xf numFmtId="0" fontId="87" fillId="34" borderId="57" xfId="0" quotePrefix="1" applyFont="1" applyFill="1" applyBorder="1" applyAlignment="1">
      <alignment vertical="center" wrapText="1"/>
    </xf>
    <xf numFmtId="17" fontId="87" fillId="34" borderId="57" xfId="0" applyNumberFormat="1" applyFont="1" applyFill="1" applyBorder="1" applyAlignment="1">
      <alignment vertical="center" wrapText="1"/>
    </xf>
    <xf numFmtId="17" fontId="87" fillId="34" borderId="57" xfId="0" applyNumberFormat="1" applyFont="1" applyFill="1" applyBorder="1" applyAlignment="1">
      <alignment vertical="center"/>
    </xf>
    <xf numFmtId="182" fontId="112" fillId="0" borderId="0" xfId="1" applyNumberFormat="1" applyFont="1" applyFill="1" applyBorder="1" applyAlignment="1">
      <alignment vertical="center"/>
    </xf>
    <xf numFmtId="167" fontId="88" fillId="77" borderId="89" xfId="43" applyNumberFormat="1" applyFont="1" applyFill="1" applyBorder="1" applyAlignment="1">
      <alignment horizontal="center" vertical="center"/>
    </xf>
    <xf numFmtId="167" fontId="88" fillId="77" borderId="90" xfId="45" applyNumberFormat="1" applyFont="1" applyFill="1" applyBorder="1" applyAlignment="1">
      <alignment horizontal="center" vertical="center"/>
    </xf>
    <xf numFmtId="182" fontId="112" fillId="0" borderId="69" xfId="1" applyNumberFormat="1" applyFont="1" applyFill="1" applyBorder="1" applyAlignment="1">
      <alignment vertical="center"/>
    </xf>
    <xf numFmtId="165" fontId="112" fillId="0" borderId="62" xfId="1" applyFont="1" applyFill="1" applyBorder="1" applyAlignment="1">
      <alignment vertical="center"/>
    </xf>
    <xf numFmtId="182" fontId="125" fillId="34" borderId="57" xfId="1" applyNumberFormat="1" applyFont="1" applyFill="1" applyBorder="1" applyAlignment="1">
      <alignment vertical="center"/>
    </xf>
    <xf numFmtId="165" fontId="125" fillId="34" borderId="57" xfId="1" applyFont="1" applyFill="1" applyBorder="1" applyAlignment="1">
      <alignment vertical="center"/>
    </xf>
    <xf numFmtId="167" fontId="87" fillId="34" borderId="57" xfId="43" applyNumberFormat="1" applyFont="1" applyFill="1" applyBorder="1" applyAlignment="1">
      <alignment vertical="center"/>
    </xf>
    <xf numFmtId="167" fontId="87" fillId="34" borderId="57" xfId="45" applyNumberFormat="1" applyFont="1" applyFill="1" applyBorder="1" applyAlignment="1">
      <alignment vertical="center"/>
    </xf>
    <xf numFmtId="0" fontId="102" fillId="0" borderId="69" xfId="0" applyFont="1" applyBorder="1" applyAlignment="1">
      <alignment vertical="center"/>
    </xf>
    <xf numFmtId="0" fontId="88" fillId="0" borderId="42" xfId="0" applyFont="1" applyBorder="1" applyAlignment="1">
      <alignment vertical="center" wrapText="1"/>
    </xf>
    <xf numFmtId="0" fontId="102" fillId="0" borderId="42" xfId="0" applyFont="1" applyBorder="1" applyAlignment="1">
      <alignment horizontal="center" vertical="center"/>
    </xf>
    <xf numFmtId="0" fontId="88" fillId="0" borderId="13" xfId="0" applyFont="1" applyBorder="1" applyAlignment="1">
      <alignment vertical="center" wrapText="1"/>
    </xf>
    <xf numFmtId="0" fontId="102" fillId="0" borderId="36" xfId="0" applyFont="1" applyBorder="1" applyAlignment="1">
      <alignment horizontal="center" vertical="center"/>
    </xf>
    <xf numFmtId="1" fontId="102" fillId="0" borderId="13" xfId="45" applyNumberFormat="1" applyFont="1" applyBorder="1" applyAlignment="1">
      <alignment horizontal="center" vertical="center"/>
    </xf>
    <xf numFmtId="165" fontId="102" fillId="0" borderId="36" xfId="1" applyFont="1" applyFill="1" applyBorder="1" applyAlignment="1">
      <alignment vertical="center"/>
    </xf>
    <xf numFmtId="182" fontId="112" fillId="0" borderId="91" xfId="1" applyNumberFormat="1" applyFont="1" applyFill="1" applyBorder="1" applyAlignment="1">
      <alignment vertical="center"/>
    </xf>
    <xf numFmtId="165" fontId="112" fillId="0" borderId="13" xfId="1" applyFont="1" applyFill="1" applyBorder="1" applyAlignment="1">
      <alignment vertical="center"/>
    </xf>
    <xf numFmtId="0" fontId="100" fillId="74" borderId="13" xfId="0" applyFont="1" applyFill="1" applyBorder="1" applyAlignment="1">
      <alignment horizontal="center" vertical="center"/>
    </xf>
    <xf numFmtId="0" fontId="103" fillId="74" borderId="13" xfId="0" applyFont="1" applyFill="1" applyBorder="1" applyAlignment="1">
      <alignment horizontal="center" vertical="center" wrapText="1"/>
    </xf>
    <xf numFmtId="0" fontId="103" fillId="74" borderId="13" xfId="0" applyFont="1" applyFill="1" applyBorder="1" applyAlignment="1">
      <alignment vertical="center"/>
    </xf>
    <xf numFmtId="1" fontId="103" fillId="74" borderId="13" xfId="0" applyNumberFormat="1" applyFont="1" applyFill="1" applyBorder="1" applyAlignment="1">
      <alignment horizontal="center" vertical="center"/>
    </xf>
    <xf numFmtId="0" fontId="103" fillId="74" borderId="13" xfId="0" applyFont="1" applyFill="1" applyBorder="1" applyAlignment="1">
      <alignment horizontal="left" vertical="center"/>
    </xf>
    <xf numFmtId="0" fontId="103" fillId="74" borderId="13" xfId="0" applyFont="1" applyFill="1" applyBorder="1" applyAlignment="1">
      <alignment horizontal="center" vertical="center"/>
    </xf>
    <xf numFmtId="165" fontId="103" fillId="74" borderId="13" xfId="1" applyFont="1" applyFill="1" applyBorder="1" applyAlignment="1">
      <alignment horizontal="left" vertical="center"/>
    </xf>
    <xf numFmtId="0" fontId="103" fillId="74" borderId="40" xfId="0" applyFont="1" applyFill="1" applyBorder="1" applyAlignment="1">
      <alignment horizontal="center" vertical="center"/>
    </xf>
    <xf numFmtId="165" fontId="105" fillId="74" borderId="13" xfId="1" applyFont="1" applyFill="1" applyBorder="1" applyAlignment="1">
      <alignment horizontal="center" vertical="center"/>
    </xf>
    <xf numFmtId="181" fontId="100" fillId="34" borderId="57" xfId="0" applyNumberFormat="1" applyFont="1" applyFill="1" applyBorder="1" applyAlignment="1">
      <alignment vertical="center" wrapText="1"/>
    </xf>
    <xf numFmtId="0" fontId="102" fillId="0" borderId="42" xfId="0" applyFont="1" applyBorder="1" applyAlignment="1">
      <alignment vertical="center"/>
    </xf>
    <xf numFmtId="165" fontId="102" fillId="0" borderId="62" xfId="1" applyFont="1" applyFill="1" applyBorder="1" applyAlignment="1">
      <alignment vertical="center"/>
    </xf>
    <xf numFmtId="0" fontId="103" fillId="74" borderId="13" xfId="0" applyFont="1" applyFill="1" applyBorder="1" applyAlignment="1">
      <alignment horizontal="left" vertical="center" wrapText="1"/>
    </xf>
    <xf numFmtId="168" fontId="100" fillId="34" borderId="57" xfId="1" applyNumberFormat="1" applyFont="1" applyFill="1" applyBorder="1" applyAlignment="1">
      <alignment vertical="center"/>
    </xf>
    <xf numFmtId="0" fontId="102" fillId="0" borderId="92" xfId="0" applyFont="1" applyBorder="1" applyAlignment="1">
      <alignment vertical="center" wrapText="1"/>
    </xf>
    <xf numFmtId="0" fontId="112" fillId="0" borderId="42" xfId="0" applyFont="1" applyBorder="1" applyAlignment="1">
      <alignment vertical="center" wrapText="1"/>
    </xf>
    <xf numFmtId="165" fontId="103" fillId="74" borderId="13" xfId="1" applyFont="1" applyFill="1" applyBorder="1" applyAlignment="1">
      <alignment horizontal="center" vertical="center"/>
    </xf>
    <xf numFmtId="0" fontId="125" fillId="34" borderId="57" xfId="0" applyFont="1" applyFill="1" applyBorder="1" applyAlignment="1">
      <alignment vertical="center" wrapText="1"/>
    </xf>
    <xf numFmtId="0" fontId="102" fillId="0" borderId="42" xfId="0" applyFont="1" applyBorder="1" applyAlignment="1">
      <alignment horizontal="left" vertical="center" wrapText="1"/>
    </xf>
    <xf numFmtId="0" fontId="102" fillId="0" borderId="62" xfId="45" applyFont="1" applyBorder="1" applyAlignment="1">
      <alignment vertical="center"/>
    </xf>
    <xf numFmtId="0" fontId="102" fillId="0" borderId="36" xfId="0" applyFont="1" applyBorder="1" applyAlignment="1">
      <alignment horizontal="left" vertical="center" wrapText="1"/>
    </xf>
    <xf numFmtId="0" fontId="88" fillId="0" borderId="36" xfId="0" applyFont="1" applyBorder="1" applyAlignment="1">
      <alignment vertical="center" wrapText="1"/>
    </xf>
    <xf numFmtId="168" fontId="102" fillId="0" borderId="91" xfId="1" applyNumberFormat="1" applyFont="1" applyFill="1" applyBorder="1" applyAlignment="1">
      <alignment vertical="center"/>
    </xf>
    <xf numFmtId="168" fontId="102" fillId="0" borderId="93" xfId="1" applyNumberFormat="1" applyFont="1" applyFill="1" applyBorder="1" applyAlignment="1">
      <alignment vertical="center"/>
    </xf>
    <xf numFmtId="0" fontId="102" fillId="0" borderId="12" xfId="0" applyFont="1" applyBorder="1" applyAlignment="1">
      <alignment horizontal="center" vertical="center"/>
    </xf>
    <xf numFmtId="0" fontId="102" fillId="0" borderId="12" xfId="0" applyFont="1" applyBorder="1" applyAlignment="1">
      <alignment vertical="center" wrapText="1"/>
    </xf>
    <xf numFmtId="0" fontId="88" fillId="0" borderId="12" xfId="0" applyFont="1" applyBorder="1" applyAlignment="1">
      <alignment vertical="center" wrapText="1"/>
    </xf>
    <xf numFmtId="0" fontId="102" fillId="0" borderId="12" xfId="0" applyFont="1" applyBorder="1" applyAlignment="1">
      <alignment vertical="center"/>
    </xf>
    <xf numFmtId="167" fontId="88" fillId="77" borderId="12" xfId="43" applyNumberFormat="1" applyFont="1" applyFill="1" applyBorder="1" applyAlignment="1">
      <alignment horizontal="center" vertical="center"/>
    </xf>
    <xf numFmtId="1" fontId="102" fillId="0" borderId="12" xfId="45" applyNumberFormat="1" applyFont="1" applyBorder="1" applyAlignment="1">
      <alignment horizontal="center" vertical="center"/>
    </xf>
    <xf numFmtId="165" fontId="102" fillId="0" borderId="92" xfId="1" applyFont="1" applyFill="1" applyBorder="1" applyAlignment="1">
      <alignment vertical="center"/>
    </xf>
    <xf numFmtId="165" fontId="102" fillId="0" borderId="12" xfId="1" applyFont="1" applyFill="1" applyBorder="1" applyAlignment="1">
      <alignment vertical="center"/>
    </xf>
    <xf numFmtId="0" fontId="103" fillId="74" borderId="13" xfId="0" applyFont="1" applyFill="1" applyBorder="1" applyAlignment="1">
      <alignment vertical="center" wrapText="1"/>
    </xf>
    <xf numFmtId="0" fontId="112" fillId="0" borderId="94" xfId="0" applyFont="1" applyBorder="1" applyAlignment="1">
      <alignment horizontal="left" vertical="center" wrapText="1"/>
    </xf>
    <xf numFmtId="0" fontId="88" fillId="0" borderId="42" xfId="402" applyFont="1" applyBorder="1" applyAlignment="1">
      <alignment vertical="center" wrapText="1"/>
    </xf>
    <xf numFmtId="0" fontId="102" fillId="0" borderId="95" xfId="0" applyFont="1" applyBorder="1" applyAlignment="1">
      <alignment horizontal="left" vertical="center" wrapText="1"/>
    </xf>
    <xf numFmtId="0" fontId="88" fillId="0" borderId="92" xfId="0" applyFont="1" applyBorder="1" applyAlignment="1">
      <alignment vertical="center" wrapText="1"/>
    </xf>
    <xf numFmtId="181" fontId="102" fillId="0" borderId="12" xfId="0" applyNumberFormat="1" applyFont="1" applyBorder="1" applyAlignment="1">
      <alignment horizontal="center" vertical="center"/>
    </xf>
    <xf numFmtId="0" fontId="102" fillId="0" borderId="12" xfId="0" applyFont="1" applyBorder="1" applyAlignment="1">
      <alignment horizontal="center" vertical="center" wrapText="1"/>
    </xf>
    <xf numFmtId="0" fontId="112" fillId="0" borderId="95" xfId="0" applyFont="1" applyBorder="1" applyAlignment="1">
      <alignment horizontal="left" vertical="center" wrapText="1"/>
    </xf>
    <xf numFmtId="0" fontId="88" fillId="0" borderId="92" xfId="402" applyFont="1" applyBorder="1" applyAlignment="1">
      <alignment vertical="center" wrapText="1"/>
    </xf>
    <xf numFmtId="0" fontId="88" fillId="0" borderId="12" xfId="0" applyFont="1" applyBorder="1" applyAlignment="1">
      <alignment horizontal="center" vertical="center"/>
    </xf>
    <xf numFmtId="0" fontId="112" fillId="0" borderId="92" xfId="0" applyFont="1" applyBorder="1" applyAlignment="1">
      <alignment horizontal="left" vertical="center" wrapText="1"/>
    </xf>
    <xf numFmtId="165" fontId="100" fillId="73" borderId="13" xfId="1" applyFont="1" applyFill="1" applyBorder="1" applyAlignment="1">
      <alignment horizontal="left" vertical="center"/>
    </xf>
    <xf numFmtId="0" fontId="87" fillId="34" borderId="57" xfId="402" applyFont="1" applyFill="1" applyBorder="1" applyAlignment="1">
      <alignment vertical="center" wrapText="1"/>
    </xf>
    <xf numFmtId="181" fontId="89" fillId="0" borderId="62" xfId="0" applyNumberFormat="1" applyFont="1" applyBorder="1" applyAlignment="1">
      <alignment horizontal="center" vertical="center"/>
    </xf>
    <xf numFmtId="0" fontId="102" fillId="58" borderId="62" xfId="0" applyFont="1" applyFill="1" applyBorder="1" applyAlignment="1">
      <alignment horizontal="justify" vertical="center"/>
    </xf>
    <xf numFmtId="3" fontId="102" fillId="0" borderId="78" xfId="0" applyNumberFormat="1" applyFont="1" applyBorder="1" applyAlignment="1">
      <alignment horizontal="center" vertical="center"/>
    </xf>
    <xf numFmtId="165" fontId="102" fillId="0" borderId="62" xfId="1" applyFont="1" applyFill="1" applyBorder="1" applyAlignment="1">
      <alignment horizontal="center" vertical="center"/>
    </xf>
    <xf numFmtId="0" fontId="102" fillId="0" borderId="13" xfId="0" applyFont="1" applyBorder="1" applyAlignment="1">
      <alignment vertical="center" wrapText="1"/>
    </xf>
    <xf numFmtId="1" fontId="102" fillId="0" borderId="13" xfId="0" applyNumberFormat="1" applyFont="1" applyBorder="1" applyAlignment="1">
      <alignment horizontal="center" vertical="center"/>
    </xf>
    <xf numFmtId="165" fontId="102" fillId="0" borderId="13" xfId="1" applyFont="1" applyBorder="1" applyAlignment="1">
      <alignment vertical="center"/>
    </xf>
    <xf numFmtId="3" fontId="102" fillId="0" borderId="40" xfId="0" applyNumberFormat="1" applyFont="1" applyBorder="1" applyAlignment="1">
      <alignment horizontal="center" vertical="center"/>
    </xf>
    <xf numFmtId="165" fontId="102" fillId="0" borderId="13" xfId="1" applyFont="1" applyBorder="1" applyAlignment="1">
      <alignment horizontal="center" vertical="center"/>
    </xf>
    <xf numFmtId="3" fontId="103" fillId="74" borderId="40" xfId="0" applyNumberFormat="1" applyFont="1" applyFill="1" applyBorder="1" applyAlignment="1">
      <alignment horizontal="center" vertical="center"/>
    </xf>
    <xf numFmtId="181" fontId="101" fillId="34" borderId="57" xfId="0" applyNumberFormat="1" applyFont="1" applyFill="1" applyBorder="1" applyAlignment="1">
      <alignment vertical="center"/>
    </xf>
    <xf numFmtId="3" fontId="100" fillId="34" borderId="57" xfId="0" applyNumberFormat="1" applyFont="1" applyFill="1" applyBorder="1" applyAlignment="1">
      <alignment vertical="center"/>
    </xf>
    <xf numFmtId="168" fontId="102" fillId="0" borderId="96" xfId="1" applyNumberFormat="1" applyFont="1" applyBorder="1" applyAlignment="1">
      <alignment horizontal="center" vertical="center"/>
    </xf>
    <xf numFmtId="181" fontId="88" fillId="0" borderId="62" xfId="0" applyNumberFormat="1" applyFont="1" applyBorder="1" applyAlignment="1">
      <alignment horizontal="center" vertical="center"/>
    </xf>
    <xf numFmtId="181" fontId="102" fillId="58" borderId="62" xfId="0" applyNumberFormat="1" applyFont="1" applyFill="1" applyBorder="1" applyAlignment="1">
      <alignment horizontal="center" vertical="center"/>
    </xf>
    <xf numFmtId="181" fontId="102" fillId="58" borderId="13" xfId="0" applyNumberFormat="1" applyFont="1" applyFill="1" applyBorder="1" applyAlignment="1">
      <alignment horizontal="center" vertical="center"/>
    </xf>
    <xf numFmtId="165" fontId="100" fillId="94" borderId="40" xfId="1" applyFont="1" applyFill="1" applyBorder="1" applyAlignment="1">
      <alignment vertical="center"/>
    </xf>
    <xf numFmtId="165" fontId="100" fillId="94" borderId="41" xfId="1" applyFont="1" applyFill="1" applyBorder="1" applyAlignment="1">
      <alignment horizontal="center" vertical="center" wrapText="1"/>
    </xf>
    <xf numFmtId="165" fontId="100" fillId="94" borderId="41" xfId="1" applyFont="1" applyFill="1" applyBorder="1" applyAlignment="1">
      <alignment vertical="center" wrapText="1"/>
    </xf>
    <xf numFmtId="165" fontId="100" fillId="94" borderId="41" xfId="1" applyFont="1" applyFill="1" applyBorder="1" applyAlignment="1">
      <alignment horizontal="center" vertical="center"/>
    </xf>
    <xf numFmtId="165" fontId="100" fillId="94" borderId="41" xfId="1" applyFont="1" applyFill="1" applyBorder="1" applyAlignment="1">
      <alignment vertical="center"/>
    </xf>
    <xf numFmtId="165" fontId="100" fillId="94" borderId="13" xfId="1" applyFont="1" applyFill="1" applyBorder="1" applyAlignment="1">
      <alignment horizontal="center" vertical="center"/>
    </xf>
    <xf numFmtId="181" fontId="87" fillId="34" borderId="57" xfId="0" applyNumberFormat="1" applyFont="1" applyFill="1" applyBorder="1" applyAlignment="1">
      <alignment vertical="center"/>
    </xf>
    <xf numFmtId="165" fontId="100" fillId="73" borderId="61" xfId="0" applyNumberFormat="1" applyFont="1" applyFill="1" applyBorder="1" applyAlignment="1">
      <alignment vertical="center" wrapText="1"/>
    </xf>
    <xf numFmtId="0" fontId="100" fillId="0" borderId="61" xfId="0" applyFont="1" applyBorder="1" applyAlignment="1">
      <alignment horizontal="center" vertical="center" wrapText="1"/>
    </xf>
    <xf numFmtId="0" fontId="103" fillId="0" borderId="61" xfId="0" applyFont="1" applyBorder="1" applyAlignment="1">
      <alignment horizontal="left" vertical="center" wrapText="1"/>
    </xf>
    <xf numFmtId="0" fontId="103" fillId="0" borderId="61" xfId="0" applyFont="1" applyBorder="1" applyAlignment="1">
      <alignment vertical="center" wrapText="1"/>
    </xf>
    <xf numFmtId="0" fontId="103" fillId="0" borderId="61" xfId="0" applyFont="1" applyBorder="1" applyAlignment="1">
      <alignment horizontal="center" vertical="center" wrapText="1"/>
    </xf>
    <xf numFmtId="165" fontId="103" fillId="0" borderId="61" xfId="1" applyFont="1" applyFill="1" applyBorder="1" applyAlignment="1">
      <alignment horizontal="left" vertical="center" wrapText="1"/>
    </xf>
    <xf numFmtId="165" fontId="103" fillId="0" borderId="61" xfId="1" applyFont="1" applyFill="1" applyBorder="1" applyAlignment="1">
      <alignment horizontal="center" vertical="center" wrapText="1"/>
    </xf>
    <xf numFmtId="14" fontId="103" fillId="0" borderId="61" xfId="0" applyNumberFormat="1" applyFont="1" applyBorder="1" applyAlignment="1">
      <alignment horizontal="left" vertical="center" wrapText="1"/>
    </xf>
    <xf numFmtId="165" fontId="102" fillId="0" borderId="61" xfId="1" applyFont="1" applyFill="1" applyBorder="1" applyAlignment="1">
      <alignment horizontal="left" vertical="center" wrapText="1"/>
    </xf>
    <xf numFmtId="165" fontId="103" fillId="0" borderId="61" xfId="0" applyNumberFormat="1" applyFont="1" applyBorder="1" applyAlignment="1">
      <alignment vertical="center" wrapText="1"/>
    </xf>
    <xf numFmtId="0" fontId="170" fillId="0" borderId="61" xfId="0" applyFont="1" applyBorder="1" applyAlignment="1">
      <alignment horizontal="left" vertical="center" wrapText="1"/>
    </xf>
    <xf numFmtId="0" fontId="170" fillId="0" borderId="61" xfId="0" applyFont="1" applyBorder="1" applyAlignment="1">
      <alignment horizontal="center" vertical="center" wrapText="1"/>
    </xf>
    <xf numFmtId="165" fontId="170" fillId="0" borderId="61" xfId="0" applyNumberFormat="1" applyFont="1" applyBorder="1" applyAlignment="1">
      <alignment vertical="center" wrapText="1"/>
    </xf>
    <xf numFmtId="0" fontId="102" fillId="0" borderId="61" xfId="0" applyFont="1" applyBorder="1" applyAlignment="1">
      <alignment horizontal="left" vertical="center" wrapText="1"/>
    </xf>
    <xf numFmtId="165" fontId="103" fillId="0" borderId="61" xfId="1" applyFont="1" applyFill="1" applyBorder="1" applyAlignment="1">
      <alignment horizontal="center" vertical="center"/>
    </xf>
    <xf numFmtId="0" fontId="171" fillId="0" borderId="61" xfId="0" applyFont="1" applyBorder="1" applyAlignment="1">
      <alignment horizontal="center" vertical="center" wrapText="1"/>
    </xf>
    <xf numFmtId="0" fontId="111" fillId="0" borderId="60" xfId="579" applyFont="1" applyBorder="1" applyAlignment="1">
      <alignment horizontal="center" vertical="center" wrapText="1"/>
    </xf>
    <xf numFmtId="0" fontId="111" fillId="0" borderId="73" xfId="579" applyFont="1" applyBorder="1" applyAlignment="1">
      <alignment vertical="center"/>
    </xf>
    <xf numFmtId="184" fontId="162" fillId="0" borderId="13" xfId="0" applyNumberFormat="1" applyFont="1" applyBorder="1" applyAlignment="1">
      <alignment vertical="center"/>
    </xf>
    <xf numFmtId="0" fontId="103" fillId="0" borderId="76" xfId="0" applyFont="1" applyBorder="1" applyAlignment="1">
      <alignment horizontal="center" vertical="center" wrapText="1"/>
    </xf>
    <xf numFmtId="1" fontId="103" fillId="0" borderId="52" xfId="0" applyNumberFormat="1" applyFont="1" applyBorder="1" applyAlignment="1">
      <alignment horizontal="center" vertical="center"/>
    </xf>
    <xf numFmtId="1" fontId="111" fillId="0" borderId="97" xfId="579" applyNumberFormat="1" applyFont="1" applyBorder="1" applyAlignment="1">
      <alignment horizontal="center" vertical="center"/>
    </xf>
    <xf numFmtId="168" fontId="88" fillId="0" borderId="45" xfId="1" applyNumberFormat="1" applyFont="1" applyFill="1" applyBorder="1" applyAlignment="1">
      <alignment horizontal="center" vertical="center" wrapText="1"/>
    </xf>
    <xf numFmtId="168" fontId="88" fillId="0" borderId="48" xfId="1" applyNumberFormat="1" applyFont="1" applyFill="1" applyBorder="1" applyAlignment="1">
      <alignment vertical="center"/>
    </xf>
    <xf numFmtId="168" fontId="88" fillId="0" borderId="47" xfId="1" applyNumberFormat="1" applyFont="1" applyFill="1" applyBorder="1" applyAlignment="1">
      <alignment vertical="center"/>
    </xf>
    <xf numFmtId="168" fontId="102" fillId="58" borderId="47" xfId="1" applyNumberFormat="1" applyFont="1" applyFill="1" applyBorder="1" applyAlignment="1">
      <alignment vertical="center"/>
    </xf>
    <xf numFmtId="168" fontId="102" fillId="58" borderId="50" xfId="1" applyNumberFormat="1" applyFont="1" applyFill="1" applyBorder="1" applyAlignment="1">
      <alignment vertical="center"/>
    </xf>
    <xf numFmtId="168" fontId="88" fillId="0" borderId="50" xfId="1" applyNumberFormat="1" applyFont="1" applyFill="1" applyBorder="1" applyAlignment="1">
      <alignment vertical="center"/>
    </xf>
    <xf numFmtId="168" fontId="103" fillId="0" borderId="45" xfId="1" applyNumberFormat="1" applyFont="1" applyFill="1" applyBorder="1" applyAlignment="1">
      <alignment horizontal="left" vertical="center"/>
    </xf>
    <xf numFmtId="168" fontId="103" fillId="0" borderId="10" xfId="1" applyNumberFormat="1" applyFont="1" applyFill="1" applyBorder="1" applyAlignment="1">
      <alignment vertical="center"/>
    </xf>
    <xf numFmtId="168" fontId="88" fillId="0" borderId="39" xfId="1" applyNumberFormat="1" applyFont="1" applyFill="1" applyBorder="1" applyAlignment="1">
      <alignment vertical="center"/>
    </xf>
    <xf numFmtId="168" fontId="102" fillId="0" borderId="28" xfId="0" applyNumberFormat="1" applyFont="1" applyBorder="1" applyAlignment="1">
      <alignment vertical="center"/>
    </xf>
    <xf numFmtId="168" fontId="88" fillId="0" borderId="45" xfId="1" applyNumberFormat="1" applyFont="1" applyFill="1" applyBorder="1" applyAlignment="1">
      <alignment horizontal="center" vertical="center"/>
    </xf>
    <xf numFmtId="168" fontId="88" fillId="0" borderId="39" xfId="1" applyNumberFormat="1" applyFont="1" applyFill="1" applyBorder="1" applyAlignment="1">
      <alignment horizontal="center" vertical="center"/>
    </xf>
    <xf numFmtId="168" fontId="88" fillId="0" borderId="45" xfId="1" applyNumberFormat="1" applyFont="1" applyFill="1" applyBorder="1" applyAlignment="1">
      <alignment vertical="center"/>
    </xf>
    <xf numFmtId="168" fontId="102" fillId="0" borderId="39" xfId="1" applyNumberFormat="1" applyFont="1" applyBorder="1" applyAlignment="1">
      <alignment horizontal="center" vertical="center"/>
    </xf>
    <xf numFmtId="168" fontId="103" fillId="0" borderId="39" xfId="1" applyNumberFormat="1" applyFont="1" applyFill="1" applyBorder="1" applyAlignment="1">
      <alignment horizontal="center" vertical="center"/>
    </xf>
    <xf numFmtId="168" fontId="102" fillId="0" borderId="10" xfId="0" applyNumberFormat="1" applyFont="1" applyBorder="1" applyAlignment="1">
      <alignment vertical="center"/>
    </xf>
    <xf numFmtId="168" fontId="102" fillId="0" borderId="45" xfId="1" applyNumberFormat="1" applyFont="1" applyFill="1" applyBorder="1" applyAlignment="1">
      <alignment horizontal="center" vertical="center"/>
    </xf>
    <xf numFmtId="168" fontId="102" fillId="0" borderId="70" xfId="0" applyNumberFormat="1" applyFont="1" applyBorder="1" applyAlignment="1">
      <alignment vertical="center"/>
    </xf>
    <xf numFmtId="168" fontId="102" fillId="58" borderId="45" xfId="1" applyNumberFormat="1" applyFont="1" applyFill="1" applyBorder="1" applyAlignment="1">
      <alignment horizontal="center" vertical="center"/>
    </xf>
    <xf numFmtId="168" fontId="102" fillId="58" borderId="39" xfId="1" applyNumberFormat="1" applyFont="1" applyFill="1" applyBorder="1" applyAlignment="1">
      <alignment horizontal="center" vertical="center"/>
    </xf>
    <xf numFmtId="168" fontId="102" fillId="0" borderId="28" xfId="1" applyNumberFormat="1" applyFont="1" applyFill="1" applyBorder="1" applyAlignment="1">
      <alignment vertical="center"/>
    </xf>
    <xf numFmtId="168" fontId="102" fillId="0" borderId="46" xfId="1" applyNumberFormat="1" applyFont="1" applyBorder="1" applyAlignment="1">
      <alignment horizontal="center" vertical="center"/>
    </xf>
    <xf numFmtId="168" fontId="102" fillId="58" borderId="46" xfId="1" applyNumberFormat="1" applyFont="1" applyFill="1" applyBorder="1" applyAlignment="1">
      <alignment horizontal="center" vertical="center"/>
    </xf>
    <xf numFmtId="168" fontId="102" fillId="58" borderId="59" xfId="1" applyNumberFormat="1" applyFont="1" applyFill="1" applyBorder="1" applyAlignment="1">
      <alignment horizontal="center" vertical="center"/>
    </xf>
    <xf numFmtId="168" fontId="102" fillId="0" borderId="59" xfId="1" applyNumberFormat="1" applyFont="1" applyBorder="1" applyAlignment="1">
      <alignment horizontal="center" vertical="center"/>
    </xf>
    <xf numFmtId="168" fontId="100" fillId="34" borderId="98" xfId="1" applyNumberFormat="1" applyFont="1" applyFill="1" applyBorder="1" applyAlignment="1">
      <alignment vertical="center"/>
    </xf>
    <xf numFmtId="168" fontId="87" fillId="34" borderId="98" xfId="1" applyNumberFormat="1" applyFont="1" applyFill="1" applyBorder="1" applyAlignment="1">
      <alignment vertical="center"/>
    </xf>
    <xf numFmtId="168" fontId="105" fillId="34" borderId="98" xfId="1" applyNumberFormat="1" applyFont="1" applyFill="1" applyBorder="1" applyAlignment="1">
      <alignment vertical="center"/>
    </xf>
    <xf numFmtId="168" fontId="88" fillId="0" borderId="0" xfId="0" applyNumberFormat="1" applyFont="1" applyAlignment="1">
      <alignment vertical="center"/>
    </xf>
    <xf numFmtId="168" fontId="87" fillId="72" borderId="10" xfId="0" applyNumberFormat="1" applyFont="1" applyFill="1" applyBorder="1" applyAlignment="1">
      <alignment horizontal="center" vertical="center" wrapText="1"/>
    </xf>
    <xf numFmtId="168" fontId="112" fillId="0" borderId="10" xfId="1" applyNumberFormat="1" applyFont="1" applyBorder="1" applyAlignment="1" applyProtection="1">
      <alignment vertical="center"/>
    </xf>
    <xf numFmtId="168" fontId="111" fillId="0" borderId="45" xfId="1" applyNumberFormat="1" applyFont="1" applyFill="1" applyBorder="1" applyAlignment="1" applyProtection="1">
      <alignment vertical="center"/>
    </xf>
    <xf numFmtId="168" fontId="112" fillId="0" borderId="45" xfId="1" applyNumberFormat="1" applyFont="1" applyFill="1" applyBorder="1" applyAlignment="1">
      <alignment vertical="center"/>
    </xf>
    <xf numFmtId="168" fontId="103" fillId="0" borderId="61" xfId="1" applyNumberFormat="1" applyFont="1" applyFill="1" applyBorder="1" applyAlignment="1">
      <alignment horizontal="center" vertical="center" wrapText="1"/>
    </xf>
    <xf numFmtId="168" fontId="105" fillId="0" borderId="45" xfId="1" applyNumberFormat="1" applyFont="1" applyFill="1" applyBorder="1" applyAlignment="1">
      <alignment horizontal="center" vertical="center" wrapText="1"/>
    </xf>
    <xf numFmtId="168" fontId="105" fillId="34" borderId="98" xfId="1" applyNumberFormat="1" applyFont="1" applyFill="1" applyBorder="1" applyAlignment="1">
      <alignment vertical="center" wrapText="1"/>
    </xf>
    <xf numFmtId="168" fontId="103" fillId="0" borderId="45" xfId="1" applyNumberFormat="1" applyFont="1" applyFill="1" applyBorder="1" applyAlignment="1">
      <alignment horizontal="center" vertical="center" wrapText="1"/>
    </xf>
    <xf numFmtId="168" fontId="103" fillId="0" borderId="46" xfId="1" applyNumberFormat="1" applyFont="1" applyFill="1" applyBorder="1" applyAlignment="1">
      <alignment horizontal="center" vertical="center"/>
    </xf>
    <xf numFmtId="168" fontId="111" fillId="0" borderId="46" xfId="1" applyNumberFormat="1" applyFont="1" applyFill="1" applyBorder="1" applyAlignment="1" applyProtection="1">
      <alignment vertical="center"/>
    </xf>
    <xf numFmtId="168" fontId="102" fillId="0" borderId="46" xfId="1" applyNumberFormat="1" applyFont="1" applyFill="1" applyBorder="1" applyAlignment="1">
      <alignment horizontal="center" vertical="center"/>
    </xf>
    <xf numFmtId="168" fontId="102" fillId="0" borderId="73" xfId="1" applyNumberFormat="1" applyFont="1" applyFill="1" applyBorder="1" applyAlignment="1">
      <alignment vertical="center"/>
    </xf>
    <xf numFmtId="168" fontId="102" fillId="0" borderId="32" xfId="1" applyNumberFormat="1" applyFont="1" applyFill="1" applyBorder="1" applyAlignment="1">
      <alignment vertical="center"/>
    </xf>
    <xf numFmtId="168" fontId="111" fillId="0" borderId="10" xfId="1" applyNumberFormat="1" applyFont="1" applyFill="1" applyBorder="1" applyAlignment="1" applyProtection="1">
      <alignment vertical="center"/>
    </xf>
    <xf numFmtId="168" fontId="111" fillId="0" borderId="62" xfId="1" applyNumberFormat="1" applyFont="1" applyFill="1" applyBorder="1" applyAlignment="1" applyProtection="1">
      <alignment vertical="center"/>
    </xf>
    <xf numFmtId="168" fontId="111" fillId="0" borderId="61" xfId="1" applyNumberFormat="1" applyFont="1" applyFill="1" applyBorder="1" applyAlignment="1" applyProtection="1">
      <alignment vertical="center"/>
    </xf>
    <xf numFmtId="168" fontId="112" fillId="0" borderId="39" xfId="1" applyNumberFormat="1" applyFont="1" applyFill="1" applyBorder="1" applyAlignment="1">
      <alignment vertical="center"/>
    </xf>
    <xf numFmtId="168" fontId="112" fillId="0" borderId="10" xfId="1" applyNumberFormat="1" applyFont="1" applyFill="1" applyBorder="1" applyAlignment="1">
      <alignment vertical="center"/>
    </xf>
    <xf numFmtId="168" fontId="103" fillId="0" borderId="42" xfId="1" applyNumberFormat="1" applyFont="1" applyFill="1" applyBorder="1" applyAlignment="1">
      <alignment horizontal="center" vertical="center" wrapText="1"/>
    </xf>
    <xf numFmtId="168" fontId="103" fillId="0" borderId="39" xfId="1" applyNumberFormat="1" applyFont="1" applyFill="1" applyBorder="1" applyAlignment="1">
      <alignment horizontal="center" vertical="center" wrapText="1"/>
    </xf>
    <xf numFmtId="168" fontId="88" fillId="0" borderId="0" xfId="1" applyNumberFormat="1" applyFont="1" applyFill="1" applyAlignment="1">
      <alignment vertical="center"/>
    </xf>
    <xf numFmtId="168" fontId="89" fillId="0" borderId="0" xfId="1" applyNumberFormat="1" applyFont="1" applyFill="1" applyAlignment="1">
      <alignment vertical="center"/>
    </xf>
    <xf numFmtId="168" fontId="90" fillId="0" borderId="0" xfId="0" applyNumberFormat="1" applyFont="1" applyAlignment="1">
      <alignment horizontal="left" vertical="center"/>
    </xf>
    <xf numFmtId="168" fontId="88" fillId="0" borderId="0" xfId="0" applyNumberFormat="1" applyFont="1" applyAlignment="1">
      <alignment horizontal="left" vertical="center"/>
    </xf>
    <xf numFmtId="168" fontId="89" fillId="0" borderId="0" xfId="0" applyNumberFormat="1" applyFont="1" applyAlignment="1">
      <alignment horizontal="left" vertical="center"/>
    </xf>
    <xf numFmtId="168" fontId="92" fillId="0" borderId="0" xfId="1" applyNumberFormat="1" applyFont="1" applyFill="1" applyAlignment="1">
      <alignment vertical="center"/>
    </xf>
    <xf numFmtId="168" fontId="93" fillId="0" borderId="0" xfId="1" applyNumberFormat="1" applyFont="1" applyFill="1" applyAlignment="1">
      <alignment vertical="center"/>
    </xf>
    <xf numFmtId="168" fontId="92" fillId="0" borderId="0" xfId="0" applyNumberFormat="1" applyFont="1" applyAlignment="1">
      <alignment vertical="center"/>
    </xf>
    <xf numFmtId="168" fontId="89" fillId="0" borderId="0" xfId="0" applyNumberFormat="1" applyFont="1" applyAlignment="1">
      <alignment vertical="center"/>
    </xf>
    <xf numFmtId="168" fontId="89" fillId="0" borderId="10" xfId="1" applyNumberFormat="1" applyFont="1" applyBorder="1" applyAlignment="1">
      <alignment horizontal="center" vertical="center"/>
    </xf>
    <xf numFmtId="168" fontId="89" fillId="0" borderId="57" xfId="1" applyNumberFormat="1" applyFont="1" applyBorder="1" applyAlignment="1">
      <alignment horizontal="center" vertical="center"/>
    </xf>
    <xf numFmtId="168" fontId="102" fillId="0" borderId="57" xfId="1" applyNumberFormat="1" applyFont="1" applyBorder="1" applyAlignment="1">
      <alignment vertical="center"/>
    </xf>
    <xf numFmtId="168" fontId="102" fillId="0" borderId="45" xfId="0" applyNumberFormat="1" applyFont="1" applyBorder="1" applyAlignment="1">
      <alignment horizontal="center" vertical="center"/>
    </xf>
    <xf numFmtId="168" fontId="111" fillId="0" borderId="45" xfId="1" applyNumberFormat="1" applyFont="1" applyFill="1" applyBorder="1" applyAlignment="1" applyProtection="1">
      <alignment horizontal="center" vertical="center"/>
    </xf>
    <xf numFmtId="168" fontId="111" fillId="0" borderId="58" xfId="1" applyNumberFormat="1" applyFont="1" applyFill="1" applyBorder="1" applyAlignment="1" applyProtection="1">
      <alignment horizontal="center" vertical="center"/>
    </xf>
    <xf numFmtId="168" fontId="111" fillId="0" borderId="57" xfId="1" applyNumberFormat="1" applyFont="1" applyFill="1" applyBorder="1" applyAlignment="1" applyProtection="1">
      <alignment horizontal="center" vertical="center"/>
    </xf>
    <xf numFmtId="168" fontId="111" fillId="0" borderId="57" xfId="579" applyNumberFormat="1" applyFont="1" applyBorder="1" applyAlignment="1">
      <alignment vertical="center"/>
    </xf>
    <xf numFmtId="168" fontId="112" fillId="0" borderId="58" xfId="1" applyNumberFormat="1" applyFont="1" applyFill="1" applyBorder="1" applyAlignment="1">
      <alignment vertical="center"/>
    </xf>
    <xf numFmtId="168" fontId="112" fillId="0" borderId="57" xfId="1" applyNumberFormat="1" applyFont="1" applyFill="1" applyBorder="1" applyAlignment="1">
      <alignment vertical="center"/>
    </xf>
    <xf numFmtId="168" fontId="102" fillId="0" borderId="61" xfId="1" applyNumberFormat="1" applyFont="1" applyFill="1" applyBorder="1" applyAlignment="1">
      <alignment horizontal="center" vertical="center"/>
    </xf>
    <xf numFmtId="168" fontId="103" fillId="0" borderId="45" xfId="0" applyNumberFormat="1" applyFont="1" applyBorder="1" applyAlignment="1">
      <alignment horizontal="center" vertical="center" wrapText="1"/>
    </xf>
    <xf numFmtId="168" fontId="103" fillId="0" borderId="45" xfId="1" applyNumberFormat="1" applyFont="1" applyFill="1" applyBorder="1" applyAlignment="1">
      <alignment horizontal="left" vertical="center" wrapText="1"/>
    </xf>
    <xf numFmtId="168" fontId="102" fillId="0" borderId="58" xfId="1" applyNumberFormat="1" applyFont="1" applyFill="1" applyBorder="1" applyAlignment="1">
      <alignment horizontal="center" vertical="center"/>
    </xf>
    <xf numFmtId="168" fontId="103" fillId="0" borderId="57" xfId="1" applyNumberFormat="1" applyFont="1" applyFill="1" applyBorder="1" applyAlignment="1">
      <alignment horizontal="left" vertical="center" wrapText="1"/>
    </xf>
    <xf numFmtId="168" fontId="102" fillId="0" borderId="63" xfId="1" applyNumberFormat="1" applyFont="1" applyFill="1" applyBorder="1" applyAlignment="1">
      <alignment horizontal="center" vertical="center"/>
    </xf>
    <xf numFmtId="168" fontId="103" fillId="0" borderId="58" xfId="1" applyNumberFormat="1" applyFont="1" applyFill="1" applyBorder="1" applyAlignment="1">
      <alignment horizontal="left" vertical="center" wrapText="1"/>
    </xf>
    <xf numFmtId="168" fontId="102" fillId="0" borderId="45" xfId="1" applyNumberFormat="1" applyFont="1" applyFill="1" applyBorder="1" applyAlignment="1">
      <alignment horizontal="left" vertical="center" wrapText="1"/>
    </xf>
    <xf numFmtId="168" fontId="102" fillId="0" borderId="58" xfId="1" applyNumberFormat="1" applyFont="1" applyFill="1" applyBorder="1" applyAlignment="1">
      <alignment horizontal="left" vertical="center" wrapText="1"/>
    </xf>
    <xf numFmtId="168" fontId="102" fillId="0" borderId="57" xfId="1" applyNumberFormat="1" applyFont="1" applyFill="1" applyBorder="1" applyAlignment="1">
      <alignment horizontal="left" vertical="center" wrapText="1"/>
    </xf>
    <xf numFmtId="168" fontId="100" fillId="34" borderId="98" xfId="1" applyNumberFormat="1" applyFont="1" applyFill="1" applyBorder="1" applyAlignment="1">
      <alignment vertical="center" wrapText="1"/>
    </xf>
    <xf numFmtId="168" fontId="105" fillId="74" borderId="45" xfId="1" applyNumberFormat="1" applyFont="1" applyFill="1" applyBorder="1" applyAlignment="1">
      <alignment horizontal="center" vertical="center"/>
    </xf>
    <xf numFmtId="168" fontId="111" fillId="0" borderId="46" xfId="1" applyNumberFormat="1" applyFont="1" applyFill="1" applyBorder="1" applyAlignment="1" applyProtection="1">
      <alignment horizontal="center" vertical="center"/>
    </xf>
    <xf numFmtId="168" fontId="100" fillId="0" borderId="58" xfId="1" applyNumberFormat="1" applyFont="1" applyFill="1" applyBorder="1" applyAlignment="1">
      <alignment horizontal="center" vertical="center"/>
    </xf>
    <xf numFmtId="168" fontId="100" fillId="0" borderId="46" xfId="1" applyNumberFormat="1" applyFont="1" applyFill="1" applyBorder="1" applyAlignment="1">
      <alignment horizontal="center" vertical="center"/>
    </xf>
    <xf numFmtId="168" fontId="103" fillId="0" borderId="46" xfId="1" applyNumberFormat="1" applyFont="1" applyFill="1" applyBorder="1" applyAlignment="1">
      <alignment horizontal="center" vertical="center" wrapText="1"/>
    </xf>
    <xf numFmtId="168" fontId="102" fillId="0" borderId="10" xfId="1" applyNumberFormat="1" applyFont="1" applyFill="1" applyBorder="1" applyAlignment="1">
      <alignment horizontal="left" vertical="center" wrapText="1"/>
    </xf>
    <xf numFmtId="168" fontId="103" fillId="0" borderId="10" xfId="0" applyNumberFormat="1" applyFont="1" applyBorder="1" applyAlignment="1">
      <alignment horizontal="center" vertical="center" wrapText="1"/>
    </xf>
    <xf numFmtId="168" fontId="105" fillId="74" borderId="57" xfId="1" applyNumberFormat="1" applyFont="1" applyFill="1" applyBorder="1" applyAlignment="1">
      <alignment horizontal="center" vertical="center"/>
    </xf>
    <xf numFmtId="168" fontId="105" fillId="74" borderId="73" xfId="1" applyNumberFormat="1" applyFont="1" applyFill="1" applyBorder="1" applyAlignment="1">
      <alignment horizontal="center" vertical="center"/>
    </xf>
    <xf numFmtId="168" fontId="102" fillId="0" borderId="60" xfId="0" applyNumberFormat="1" applyFont="1" applyBorder="1" applyAlignment="1">
      <alignment vertical="center"/>
    </xf>
    <xf numFmtId="168" fontId="111" fillId="0" borderId="10" xfId="1" applyNumberFormat="1" applyFont="1" applyFill="1" applyBorder="1" applyAlignment="1" applyProtection="1">
      <alignment horizontal="center" vertical="center"/>
    </xf>
    <xf numFmtId="168" fontId="111" fillId="0" borderId="62" xfId="1" applyNumberFormat="1" applyFont="1" applyFill="1" applyBorder="1" applyAlignment="1" applyProtection="1">
      <alignment horizontal="center" vertical="center"/>
    </xf>
    <xf numFmtId="168" fontId="111" fillId="0" borderId="66" xfId="1" applyNumberFormat="1" applyFont="1" applyFill="1" applyBorder="1" applyAlignment="1" applyProtection="1">
      <alignment horizontal="center" vertical="center"/>
    </xf>
    <xf numFmtId="168" fontId="111" fillId="0" borderId="61" xfId="1" applyNumberFormat="1" applyFont="1" applyFill="1" applyBorder="1" applyAlignment="1" applyProtection="1">
      <alignment horizontal="center" vertical="center"/>
    </xf>
    <xf numFmtId="168" fontId="100" fillId="0" borderId="51" xfId="1" applyNumberFormat="1" applyFont="1" applyFill="1" applyBorder="1" applyAlignment="1">
      <alignment horizontal="center" vertical="center"/>
    </xf>
    <xf numFmtId="168" fontId="102" fillId="0" borderId="10" xfId="0" applyNumberFormat="1" applyFont="1" applyBorder="1" applyAlignment="1">
      <alignment vertical="center" wrapText="1"/>
    </xf>
    <xf numFmtId="168" fontId="102" fillId="0" borderId="39" xfId="1" applyNumberFormat="1" applyFont="1" applyFill="1" applyBorder="1" applyAlignment="1">
      <alignment horizontal="left" vertical="center" wrapText="1"/>
    </xf>
    <xf numFmtId="168" fontId="89" fillId="0" borderId="0" xfId="1" applyNumberFormat="1" applyFont="1" applyAlignment="1">
      <alignment horizontal="center" vertical="center"/>
    </xf>
    <xf numFmtId="168" fontId="102" fillId="0" borderId="0" xfId="1" applyNumberFormat="1" applyFont="1" applyFill="1" applyAlignment="1">
      <alignment horizontal="center" vertical="center"/>
    </xf>
    <xf numFmtId="168" fontId="111" fillId="0" borderId="45" xfId="579" applyNumberFormat="1" applyFont="1" applyBorder="1" applyAlignment="1">
      <alignment vertical="center"/>
    </xf>
    <xf numFmtId="168" fontId="111" fillId="0" borderId="62" xfId="579" applyNumberFormat="1" applyFont="1" applyBorder="1" applyAlignment="1">
      <alignment vertical="center"/>
    </xf>
    <xf numFmtId="168" fontId="111" fillId="0" borderId="61" xfId="579" applyNumberFormat="1" applyFont="1" applyBorder="1" applyAlignment="1">
      <alignment vertical="center"/>
    </xf>
    <xf numFmtId="168" fontId="102" fillId="0" borderId="0" xfId="1" applyNumberFormat="1" applyFont="1" applyAlignment="1">
      <alignment vertical="center"/>
    </xf>
    <xf numFmtId="0" fontId="172" fillId="0" borderId="0" xfId="0" applyFont="1"/>
    <xf numFmtId="0" fontId="174" fillId="0" borderId="0" xfId="0" applyFont="1"/>
    <xf numFmtId="0" fontId="172" fillId="0" borderId="0" xfId="0" applyFont="1" applyAlignment="1">
      <alignment vertical="center"/>
    </xf>
    <xf numFmtId="0" fontId="172" fillId="0" borderId="57" xfId="1" applyNumberFormat="1" applyFont="1" applyBorder="1" applyAlignment="1">
      <alignment horizontal="left" vertical="center"/>
    </xf>
    <xf numFmtId="0" fontId="172" fillId="0" borderId="57" xfId="0" applyFont="1" applyBorder="1" applyAlignment="1">
      <alignment vertical="center" wrapText="1"/>
    </xf>
    <xf numFmtId="0" fontId="164" fillId="97" borderId="57" xfId="0" applyFont="1" applyFill="1" applyBorder="1" applyAlignment="1">
      <alignment horizontal="center" vertical="center"/>
    </xf>
    <xf numFmtId="0" fontId="173" fillId="0" borderId="0" xfId="0" applyFont="1"/>
    <xf numFmtId="0" fontId="173" fillId="0" borderId="0" xfId="0" applyFont="1" applyAlignment="1">
      <alignment vertical="center"/>
    </xf>
    <xf numFmtId="0" fontId="164" fillId="0" borderId="57" xfId="0" applyFont="1" applyBorder="1" applyAlignment="1">
      <alignment horizontal="center" vertical="center"/>
    </xf>
    <xf numFmtId="168" fontId="100" fillId="34" borderId="99" xfId="1" applyNumberFormat="1" applyFont="1" applyFill="1" applyBorder="1" applyAlignment="1">
      <alignment vertical="center"/>
    </xf>
    <xf numFmtId="168" fontId="103" fillId="62" borderId="45" xfId="1" applyNumberFormat="1" applyFont="1" applyFill="1" applyBorder="1" applyAlignment="1">
      <alignment vertical="center"/>
    </xf>
    <xf numFmtId="168" fontId="112" fillId="0" borderId="45" xfId="1" applyNumberFormat="1" applyFont="1" applyBorder="1" applyAlignment="1" applyProtection="1">
      <alignment vertical="center"/>
    </xf>
    <xf numFmtId="168" fontId="103" fillId="58" borderId="45" xfId="1" applyNumberFormat="1" applyFont="1" applyFill="1" applyBorder="1" applyAlignment="1">
      <alignment horizontal="center" vertical="center"/>
    </xf>
    <xf numFmtId="168" fontId="103" fillId="62" borderId="10" xfId="1" applyNumberFormat="1" applyFont="1" applyFill="1" applyBorder="1" applyAlignment="1">
      <alignment vertical="center"/>
    </xf>
    <xf numFmtId="168" fontId="102" fillId="58" borderId="51" xfId="1" applyNumberFormat="1" applyFont="1" applyFill="1" applyBorder="1" applyAlignment="1">
      <alignment horizontal="center" vertical="center"/>
    </xf>
    <xf numFmtId="168" fontId="103" fillId="58" borderId="39" xfId="1" applyNumberFormat="1" applyFont="1" applyFill="1" applyBorder="1" applyAlignment="1">
      <alignment horizontal="center" vertical="center"/>
    </xf>
    <xf numFmtId="168" fontId="102" fillId="0" borderId="42" xfId="1" applyNumberFormat="1" applyFont="1" applyBorder="1" applyAlignment="1">
      <alignment horizontal="center" vertical="center"/>
    </xf>
    <xf numFmtId="168" fontId="87" fillId="0" borderId="0" xfId="0" applyNumberFormat="1" applyFont="1" applyAlignment="1">
      <alignment horizontal="center" vertical="center"/>
    </xf>
    <xf numFmtId="168" fontId="87" fillId="0" borderId="0" xfId="0" applyNumberFormat="1" applyFont="1" applyAlignment="1">
      <alignment vertical="center" wrapText="1"/>
    </xf>
    <xf numFmtId="168" fontId="87" fillId="0" borderId="0" xfId="0" applyNumberFormat="1" applyFont="1" applyAlignment="1">
      <alignment vertical="center"/>
    </xf>
    <xf numFmtId="168" fontId="88" fillId="0" borderId="0" xfId="0" applyNumberFormat="1" applyFont="1" applyAlignment="1">
      <alignment horizontal="center" vertical="center"/>
    </xf>
    <xf numFmtId="168" fontId="88" fillId="0" borderId="0" xfId="0" applyNumberFormat="1" applyFont="1" applyAlignment="1">
      <alignment horizontal="center" vertical="center" wrapText="1"/>
    </xf>
    <xf numFmtId="168" fontId="90" fillId="0" borderId="0" xfId="0" applyNumberFormat="1" applyFont="1" applyAlignment="1">
      <alignment horizontal="center" vertical="center"/>
    </xf>
    <xf numFmtId="168" fontId="90" fillId="0" borderId="0" xfId="0" applyNumberFormat="1" applyFont="1" applyAlignment="1">
      <alignment horizontal="left" vertical="center" wrapText="1"/>
    </xf>
    <xf numFmtId="168" fontId="90" fillId="0" borderId="0" xfId="0" applyNumberFormat="1" applyFont="1" applyAlignment="1">
      <alignment vertical="center" wrapText="1"/>
    </xf>
    <xf numFmtId="168" fontId="90" fillId="0" borderId="0" xfId="0" applyNumberFormat="1" applyFont="1" applyAlignment="1">
      <alignment horizontal="center" vertical="center" wrapText="1"/>
    </xf>
    <xf numFmtId="168" fontId="90" fillId="0" borderId="0" xfId="0" applyNumberFormat="1" applyFont="1" applyAlignment="1">
      <alignment vertical="center"/>
    </xf>
    <xf numFmtId="168" fontId="90" fillId="0" borderId="0" xfId="1" applyNumberFormat="1" applyFont="1" applyFill="1" applyAlignment="1">
      <alignment horizontal="left" vertical="center"/>
    </xf>
    <xf numFmtId="168" fontId="91" fillId="0" borderId="0" xfId="0" applyNumberFormat="1" applyFont="1" applyAlignment="1">
      <alignment horizontal="center" vertical="center"/>
    </xf>
    <xf numFmtId="168" fontId="91" fillId="0" borderId="0" xfId="0" applyNumberFormat="1" applyFont="1" applyAlignment="1">
      <alignment vertical="center" wrapText="1"/>
    </xf>
    <xf numFmtId="168" fontId="91" fillId="0" borderId="0" xfId="0" applyNumberFormat="1" applyFont="1" applyAlignment="1">
      <alignment vertical="center"/>
    </xf>
    <xf numFmtId="168" fontId="92" fillId="0" borderId="0" xfId="0" applyNumberFormat="1" applyFont="1" applyAlignment="1">
      <alignment horizontal="center" vertical="center"/>
    </xf>
    <xf numFmtId="168" fontId="92" fillId="0" borderId="0" xfId="0" applyNumberFormat="1" applyFont="1" applyAlignment="1">
      <alignment horizontal="center" vertical="center" wrapText="1"/>
    </xf>
    <xf numFmtId="168" fontId="87" fillId="0" borderId="41" xfId="43" applyNumberFormat="1" applyFont="1" applyBorder="1" applyAlignment="1">
      <alignment horizontal="center" vertical="center"/>
    </xf>
    <xf numFmtId="168" fontId="87" fillId="0" borderId="41" xfId="43" applyNumberFormat="1" applyFont="1" applyBorder="1" applyAlignment="1">
      <alignment vertical="center" wrapText="1"/>
    </xf>
    <xf numFmtId="168" fontId="87" fillId="0" borderId="13" xfId="0" applyNumberFormat="1" applyFont="1" applyBorder="1" applyAlignment="1">
      <alignment vertical="center"/>
    </xf>
    <xf numFmtId="168" fontId="95" fillId="34" borderId="10" xfId="1" applyNumberFormat="1" applyFont="1" applyFill="1" applyBorder="1" applyAlignment="1">
      <alignment horizontal="center" vertical="center"/>
    </xf>
    <xf numFmtId="168" fontId="96" fillId="34" borderId="10" xfId="1" applyNumberFormat="1" applyFont="1" applyFill="1" applyBorder="1" applyAlignment="1">
      <alignment horizontal="center" vertical="center"/>
    </xf>
    <xf numFmtId="168" fontId="112" fillId="0" borderId="10" xfId="0" applyNumberFormat="1" applyFont="1" applyBorder="1" applyAlignment="1">
      <alignment horizontal="center" vertical="center"/>
    </xf>
    <xf numFmtId="168" fontId="165" fillId="0" borderId="10" xfId="0" applyNumberFormat="1" applyFont="1" applyBorder="1" applyAlignment="1">
      <alignment vertical="center" wrapText="1"/>
    </xf>
    <xf numFmtId="168" fontId="95" fillId="0" borderId="10" xfId="0" applyNumberFormat="1" applyFont="1" applyBorder="1" applyAlignment="1">
      <alignment vertical="center" wrapText="1"/>
    </xf>
    <xf numFmtId="168" fontId="112" fillId="0" borderId="10" xfId="0" applyNumberFormat="1" applyFont="1" applyBorder="1" applyAlignment="1">
      <alignment vertical="center"/>
    </xf>
    <xf numFmtId="168" fontId="129" fillId="0" borderId="10" xfId="0" applyNumberFormat="1" applyFont="1" applyBorder="1" applyAlignment="1">
      <alignment horizontal="center" vertical="center"/>
    </xf>
    <xf numFmtId="168" fontId="129" fillId="0" borderId="10" xfId="0" applyNumberFormat="1" applyFont="1" applyBorder="1" applyAlignment="1">
      <alignment vertical="center"/>
    </xf>
    <xf numFmtId="168" fontId="129" fillId="0" borderId="10" xfId="0" applyNumberFormat="1" applyFont="1" applyBorder="1" applyAlignment="1">
      <alignment horizontal="center" vertical="center" wrapText="1"/>
    </xf>
    <xf numFmtId="168" fontId="162" fillId="0" borderId="10" xfId="0" applyNumberFormat="1" applyFont="1" applyBorder="1" applyAlignment="1">
      <alignment vertical="center"/>
    </xf>
    <xf numFmtId="168" fontId="102" fillId="0" borderId="10" xfId="0" applyNumberFormat="1" applyFont="1" applyBorder="1" applyAlignment="1">
      <alignment horizontal="center" vertical="center"/>
    </xf>
    <xf numFmtId="168" fontId="102" fillId="0" borderId="45" xfId="0" applyNumberFormat="1" applyFont="1" applyBorder="1" applyAlignment="1">
      <alignment vertical="center" wrapText="1"/>
    </xf>
    <xf numFmtId="168" fontId="88" fillId="75" borderId="45" xfId="0" applyNumberFormat="1" applyFont="1" applyFill="1" applyBorder="1" applyAlignment="1">
      <alignment vertical="center" wrapText="1"/>
    </xf>
    <xf numFmtId="168" fontId="102" fillId="0" borderId="10" xfId="0" applyNumberFormat="1" applyFont="1" applyBorder="1" applyAlignment="1">
      <alignment horizontal="center" vertical="center" wrapText="1"/>
    </xf>
    <xf numFmtId="168" fontId="102" fillId="0" borderId="46" xfId="0" applyNumberFormat="1" applyFont="1" applyBorder="1" applyAlignment="1">
      <alignment vertical="center" wrapText="1"/>
    </xf>
    <xf numFmtId="168" fontId="102" fillId="0" borderId="45" xfId="0" applyNumberFormat="1" applyFont="1" applyBorder="1" applyAlignment="1">
      <alignment horizontal="center" vertical="center" wrapText="1"/>
    </xf>
    <xf numFmtId="168" fontId="102" fillId="0" borderId="46" xfId="0" applyNumberFormat="1" applyFont="1" applyBorder="1" applyAlignment="1">
      <alignment horizontal="center" vertical="center"/>
    </xf>
    <xf numFmtId="168" fontId="102" fillId="58" borderId="46" xfId="0" applyNumberFormat="1" applyFont="1" applyFill="1" applyBorder="1" applyAlignment="1">
      <alignment vertical="center" wrapText="1"/>
    </xf>
    <xf numFmtId="168" fontId="102" fillId="0" borderId="45" xfId="0" quotePrefix="1" applyNumberFormat="1" applyFont="1" applyBorder="1" applyAlignment="1">
      <alignment vertical="center" wrapText="1"/>
    </xf>
    <xf numFmtId="168" fontId="88" fillId="0" borderId="46" xfId="0" applyNumberFormat="1" applyFont="1" applyBorder="1" applyAlignment="1">
      <alignment vertical="center" wrapText="1"/>
    </xf>
    <xf numFmtId="168" fontId="102" fillId="0" borderId="45" xfId="0" applyNumberFormat="1" applyFont="1" applyBorder="1" applyAlignment="1">
      <alignment horizontal="left" vertical="center"/>
    </xf>
    <xf numFmtId="168" fontId="100" fillId="0" borderId="45" xfId="0" applyNumberFormat="1" applyFont="1" applyBorder="1" applyAlignment="1">
      <alignment horizontal="center" vertical="center"/>
    </xf>
    <xf numFmtId="168" fontId="111" fillId="0" borderId="45" xfId="579" applyNumberFormat="1" applyFont="1" applyBorder="1" applyAlignment="1">
      <alignment horizontal="center" vertical="center"/>
    </xf>
    <xf numFmtId="168" fontId="111" fillId="0" borderId="46" xfId="579" applyNumberFormat="1" applyFont="1" applyBorder="1" applyAlignment="1">
      <alignment vertical="center" wrapText="1"/>
    </xf>
    <xf numFmtId="168" fontId="88" fillId="0" borderId="45" xfId="579" applyNumberFormat="1" applyFont="1" applyBorder="1" applyAlignment="1">
      <alignment vertical="center" wrapText="1"/>
    </xf>
    <xf numFmtId="168" fontId="111" fillId="0" borderId="45" xfId="579" applyNumberFormat="1" applyFont="1" applyBorder="1" applyAlignment="1">
      <alignment horizontal="center" vertical="center" wrapText="1"/>
    </xf>
    <xf numFmtId="168" fontId="111" fillId="0" borderId="46" xfId="579" applyNumberFormat="1" applyFont="1" applyBorder="1" applyAlignment="1">
      <alignment horizontal="center" vertical="center"/>
    </xf>
    <xf numFmtId="168" fontId="88" fillId="58" borderId="45" xfId="0" quotePrefix="1" applyNumberFormat="1" applyFont="1" applyFill="1" applyBorder="1" applyAlignment="1">
      <alignment vertical="center" wrapText="1"/>
    </xf>
    <xf numFmtId="168" fontId="88" fillId="0" borderId="45" xfId="0" quotePrefix="1" applyNumberFormat="1" applyFont="1" applyBorder="1" applyAlignment="1">
      <alignment horizontal="center" vertical="center"/>
    </xf>
    <xf numFmtId="168" fontId="88" fillId="0" borderId="45" xfId="0" applyNumberFormat="1" applyFont="1" applyBorder="1" applyAlignment="1">
      <alignment horizontal="center" vertical="center"/>
    </xf>
    <xf numFmtId="168" fontId="102" fillId="0" borderId="45" xfId="45" applyNumberFormat="1" applyFont="1" applyBorder="1" applyAlignment="1">
      <alignment vertical="center"/>
    </xf>
    <xf numFmtId="168" fontId="102" fillId="0" borderId="46" xfId="45" applyNumberFormat="1" applyFont="1" applyBorder="1" applyAlignment="1">
      <alignment horizontal="center" vertical="center"/>
    </xf>
    <xf numFmtId="168" fontId="88" fillId="0" borderId="45" xfId="0" applyNumberFormat="1" applyFont="1" applyBorder="1" applyAlignment="1">
      <alignment vertical="center" wrapText="1"/>
    </xf>
    <xf numFmtId="168" fontId="88" fillId="77" borderId="45" xfId="43" applyNumberFormat="1" applyFont="1" applyFill="1" applyBorder="1" applyAlignment="1">
      <alignment horizontal="center" vertical="center"/>
    </xf>
    <xf numFmtId="168" fontId="88" fillId="77" borderId="45" xfId="45" applyNumberFormat="1" applyFont="1" applyFill="1" applyBorder="1" applyAlignment="1">
      <alignment horizontal="center" vertical="center"/>
    </xf>
    <xf numFmtId="168" fontId="102" fillId="0" borderId="45" xfId="0" applyNumberFormat="1" applyFont="1" applyBorder="1" applyAlignment="1">
      <alignment horizontal="left" vertical="center" wrapText="1"/>
    </xf>
    <xf numFmtId="168" fontId="112" fillId="0" borderId="45" xfId="0" applyNumberFormat="1" applyFont="1" applyBorder="1" applyAlignment="1">
      <alignment horizontal="left" vertical="center" wrapText="1"/>
    </xf>
    <xf numFmtId="168" fontId="88" fillId="0" borderId="45" xfId="402" applyNumberFormat="1" applyFont="1" applyBorder="1" applyAlignment="1">
      <alignment vertical="center" wrapText="1"/>
    </xf>
    <xf numFmtId="168" fontId="102" fillId="58" borderId="45" xfId="0" applyNumberFormat="1" applyFont="1" applyFill="1" applyBorder="1" applyAlignment="1">
      <alignment vertical="center" wrapText="1"/>
    </xf>
    <xf numFmtId="168" fontId="88" fillId="0" borderId="45" xfId="0" quotePrefix="1" applyNumberFormat="1" applyFont="1" applyBorder="1" applyAlignment="1">
      <alignment vertical="center" wrapText="1"/>
    </xf>
    <xf numFmtId="168" fontId="100" fillId="0" borderId="61" xfId="0" applyNumberFormat="1" applyFont="1" applyBorder="1" applyAlignment="1">
      <alignment horizontal="center" vertical="center" wrapText="1"/>
    </xf>
    <xf numFmtId="168" fontId="103" fillId="0" borderId="61" xfId="0" applyNumberFormat="1" applyFont="1" applyBorder="1" applyAlignment="1">
      <alignment horizontal="left" vertical="center" wrapText="1"/>
    </xf>
    <xf numFmtId="168" fontId="103" fillId="0" borderId="61" xfId="0" applyNumberFormat="1" applyFont="1" applyBorder="1" applyAlignment="1">
      <alignment vertical="center" wrapText="1"/>
    </xf>
    <xf numFmtId="168" fontId="103" fillId="0" borderId="61" xfId="0" applyNumberFormat="1" applyFont="1" applyBorder="1" applyAlignment="1">
      <alignment horizontal="center" vertical="center" wrapText="1"/>
    </xf>
    <xf numFmtId="168" fontId="103" fillId="0" borderId="61" xfId="0" applyNumberFormat="1" applyFont="1" applyBorder="1" applyAlignment="1">
      <alignment horizontal="center" vertical="center"/>
    </xf>
    <xf numFmtId="168" fontId="89" fillId="0" borderId="45" xfId="0" applyNumberFormat="1" applyFont="1" applyBorder="1" applyAlignment="1">
      <alignment horizontal="center" vertical="center"/>
    </xf>
    <xf numFmtId="168" fontId="102" fillId="58" borderId="45" xfId="0" applyNumberFormat="1" applyFont="1" applyFill="1" applyBorder="1" applyAlignment="1">
      <alignment horizontal="justify" vertical="center"/>
    </xf>
    <xf numFmtId="168" fontId="100" fillId="34" borderId="98" xfId="0" applyNumberFormat="1" applyFont="1" applyFill="1" applyBorder="1" applyAlignment="1">
      <alignment vertical="center"/>
    </xf>
    <xf numFmtId="168" fontId="100" fillId="34" borderId="98" xfId="0" applyNumberFormat="1" applyFont="1" applyFill="1" applyBorder="1" applyAlignment="1">
      <alignment vertical="center" wrapText="1"/>
    </xf>
    <xf numFmtId="168" fontId="87" fillId="34" borderId="98" xfId="0" applyNumberFormat="1" applyFont="1" applyFill="1" applyBorder="1" applyAlignment="1">
      <alignment vertical="center" wrapText="1"/>
    </xf>
    <xf numFmtId="168" fontId="87" fillId="34" borderId="98" xfId="0" applyNumberFormat="1" applyFont="1" applyFill="1" applyBorder="1" applyAlignment="1">
      <alignment vertical="center"/>
    </xf>
    <xf numFmtId="168" fontId="100" fillId="34" borderId="99" xfId="0" applyNumberFormat="1" applyFont="1" applyFill="1" applyBorder="1" applyAlignment="1">
      <alignment vertical="center"/>
    </xf>
    <xf numFmtId="168" fontId="88" fillId="0" borderId="45" xfId="0" applyNumberFormat="1" applyFont="1" applyBorder="1" applyAlignment="1">
      <alignment horizontal="right" vertical="center"/>
    </xf>
    <xf numFmtId="168" fontId="87" fillId="34" borderId="98" xfId="0" quotePrefix="1" applyNumberFormat="1" applyFont="1" applyFill="1" applyBorder="1" applyAlignment="1">
      <alignment vertical="center"/>
    </xf>
    <xf numFmtId="168" fontId="100" fillId="34" borderId="98" xfId="45" applyNumberFormat="1" applyFont="1" applyFill="1" applyBorder="1" applyAlignment="1">
      <alignment vertical="center"/>
    </xf>
    <xf numFmtId="168" fontId="100" fillId="34" borderId="99" xfId="45" applyNumberFormat="1" applyFont="1" applyFill="1" applyBorder="1" applyAlignment="1">
      <alignment vertical="center"/>
    </xf>
    <xf numFmtId="168" fontId="88" fillId="76" borderId="45" xfId="0" applyNumberFormat="1" applyFont="1" applyFill="1" applyBorder="1" applyAlignment="1">
      <alignment vertical="center" wrapText="1"/>
    </xf>
    <xf numFmtId="168" fontId="87" fillId="96" borderId="98" xfId="0" applyNumberFormat="1" applyFont="1" applyFill="1" applyBorder="1" applyAlignment="1">
      <alignment vertical="center" wrapText="1"/>
    </xf>
    <xf numFmtId="168" fontId="101" fillId="34" borderId="98" xfId="1" applyNumberFormat="1" applyFont="1" applyFill="1" applyBorder="1" applyAlignment="1">
      <alignment vertical="center"/>
    </xf>
    <xf numFmtId="168" fontId="100" fillId="0" borderId="45" xfId="0" applyNumberFormat="1" applyFont="1" applyBorder="1" applyAlignment="1">
      <alignment horizontal="center" vertical="center" wrapText="1"/>
    </xf>
    <xf numFmtId="168" fontId="170" fillId="0" borderId="45" xfId="0" applyNumberFormat="1" applyFont="1" applyBorder="1" applyAlignment="1">
      <alignment horizontal="left" vertical="center" wrapText="1"/>
    </xf>
    <xf numFmtId="168" fontId="170" fillId="0" borderId="45" xfId="0" applyNumberFormat="1" applyFont="1" applyBorder="1" applyAlignment="1">
      <alignment horizontal="center" vertical="center" wrapText="1"/>
    </xf>
    <xf numFmtId="168" fontId="170" fillId="0" borderId="45" xfId="0" applyNumberFormat="1" applyFont="1" applyBorder="1" applyAlignment="1">
      <alignment vertical="center" wrapText="1"/>
    </xf>
    <xf numFmtId="168" fontId="171" fillId="0" borderId="46" xfId="0" applyNumberFormat="1" applyFont="1" applyBorder="1" applyAlignment="1">
      <alignment horizontal="center" vertical="center"/>
    </xf>
    <xf numFmtId="168" fontId="105" fillId="34" borderId="98" xfId="0" applyNumberFormat="1" applyFont="1" applyFill="1" applyBorder="1" applyAlignment="1">
      <alignment vertical="center" wrapText="1"/>
    </xf>
    <xf numFmtId="168" fontId="105" fillId="34" borderId="99" xfId="0" applyNumberFormat="1" applyFont="1" applyFill="1" applyBorder="1" applyAlignment="1">
      <alignment vertical="center"/>
    </xf>
    <xf numFmtId="168" fontId="103" fillId="0" borderId="45" xfId="0" applyNumberFormat="1" applyFont="1" applyBorder="1" applyAlignment="1">
      <alignment vertical="center" wrapText="1"/>
    </xf>
    <xf numFmtId="168" fontId="95" fillId="0" borderId="45" xfId="0" applyNumberFormat="1" applyFont="1" applyBorder="1" applyAlignment="1">
      <alignment vertical="center" wrapText="1"/>
    </xf>
    <xf numFmtId="168" fontId="96" fillId="0" borderId="45" xfId="0" applyNumberFormat="1" applyFont="1" applyBorder="1" applyAlignment="1">
      <alignment horizontal="center" vertical="center"/>
    </xf>
    <xf numFmtId="168" fontId="103" fillId="0" borderId="45" xfId="0" applyNumberFormat="1" applyFont="1" applyBorder="1" applyAlignment="1">
      <alignment horizontal="center" vertical="center"/>
    </xf>
    <xf numFmtId="168" fontId="103" fillId="0" borderId="45" xfId="0" applyNumberFormat="1" applyFont="1" applyBorder="1" applyAlignment="1">
      <alignment vertical="center"/>
    </xf>
    <xf numFmtId="168" fontId="103" fillId="0" borderId="46" xfId="0" applyNumberFormat="1" applyFont="1" applyBorder="1" applyAlignment="1">
      <alignment horizontal="center" vertical="center"/>
    </xf>
    <xf numFmtId="168" fontId="103" fillId="0" borderId="45" xfId="0" applyNumberFormat="1" applyFont="1" applyBorder="1" applyAlignment="1">
      <alignment horizontal="left" vertical="center"/>
    </xf>
    <xf numFmtId="168" fontId="102" fillId="58" borderId="45" xfId="0" applyNumberFormat="1" applyFont="1" applyFill="1" applyBorder="1" applyAlignment="1">
      <alignment horizontal="center" vertical="center"/>
    </xf>
    <xf numFmtId="168" fontId="111" fillId="0" borderId="45" xfId="579" applyNumberFormat="1" applyFont="1" applyBorder="1" applyAlignment="1">
      <alignment vertical="center" wrapText="1"/>
    </xf>
    <xf numFmtId="168" fontId="87" fillId="34" borderId="98" xfId="43" applyNumberFormat="1" applyFont="1" applyFill="1" applyBorder="1" applyAlignment="1">
      <alignment vertical="center"/>
    </xf>
    <xf numFmtId="168" fontId="87" fillId="34" borderId="98" xfId="45" applyNumberFormat="1" applyFont="1" applyFill="1" applyBorder="1" applyAlignment="1">
      <alignment vertical="center"/>
    </xf>
    <xf numFmtId="168" fontId="103" fillId="0" borderId="45" xfId="0" applyNumberFormat="1" applyFont="1" applyBorder="1" applyAlignment="1">
      <alignment horizontal="left" vertical="center" wrapText="1"/>
    </xf>
    <xf numFmtId="168" fontId="105" fillId="34" borderId="99" xfId="1" applyNumberFormat="1" applyFont="1" applyFill="1" applyBorder="1" applyAlignment="1">
      <alignment vertical="center" wrapText="1"/>
    </xf>
    <xf numFmtId="168" fontId="88" fillId="58" borderId="45" xfId="0" applyNumberFormat="1" applyFont="1" applyFill="1" applyBorder="1" applyAlignment="1">
      <alignment vertical="center" wrapText="1"/>
    </xf>
    <xf numFmtId="168" fontId="100" fillId="34" borderId="99" xfId="1" applyNumberFormat="1" applyFont="1" applyFill="1" applyBorder="1" applyAlignment="1">
      <alignment vertical="center" wrapText="1"/>
    </xf>
    <xf numFmtId="168" fontId="112" fillId="0" borderId="46" xfId="0" applyNumberFormat="1" applyFont="1" applyBorder="1" applyAlignment="1">
      <alignment horizontal="center" vertical="center"/>
    </xf>
    <xf numFmtId="168" fontId="112" fillId="0" borderId="45" xfId="0" applyNumberFormat="1" applyFont="1" applyBorder="1" applyAlignment="1">
      <alignment horizontal="center" vertical="center"/>
    </xf>
    <xf numFmtId="168" fontId="112" fillId="0" borderId="45" xfId="0" applyNumberFormat="1" applyFont="1" applyBorder="1" applyAlignment="1">
      <alignment vertical="center"/>
    </xf>
    <xf numFmtId="168" fontId="129" fillId="0" borderId="45" xfId="0" applyNumberFormat="1" applyFont="1" applyBorder="1" applyAlignment="1">
      <alignment horizontal="center" vertical="center"/>
    </xf>
    <xf numFmtId="168" fontId="129" fillId="0" borderId="45" xfId="0" applyNumberFormat="1" applyFont="1" applyBorder="1" applyAlignment="1">
      <alignment vertical="center"/>
    </xf>
    <xf numFmtId="168" fontId="129" fillId="0" borderId="45" xfId="0" applyNumberFormat="1" applyFont="1" applyBorder="1" applyAlignment="1">
      <alignment horizontal="center" vertical="center" wrapText="1"/>
    </xf>
    <xf numFmtId="168" fontId="162" fillId="0" borderId="45" xfId="0" applyNumberFormat="1" applyFont="1" applyBorder="1" applyAlignment="1">
      <alignment vertical="center"/>
    </xf>
    <xf numFmtId="168" fontId="112" fillId="0" borderId="58" xfId="1" applyNumberFormat="1" applyFont="1" applyBorder="1" applyAlignment="1" applyProtection="1">
      <alignment vertical="center"/>
    </xf>
    <xf numFmtId="168" fontId="112" fillId="0" borderId="57" xfId="1" applyNumberFormat="1" applyFont="1" applyBorder="1" applyAlignment="1" applyProtection="1">
      <alignment vertical="center"/>
    </xf>
    <xf numFmtId="168" fontId="165" fillId="0" borderId="45" xfId="0" applyNumberFormat="1" applyFont="1" applyBorder="1" applyAlignment="1">
      <alignment vertical="center" wrapText="1"/>
    </xf>
    <xf numFmtId="168" fontId="165" fillId="0" borderId="47" xfId="0" applyNumberFormat="1" applyFont="1" applyBorder="1" applyAlignment="1">
      <alignment vertical="center" wrapText="1"/>
    </xf>
    <xf numFmtId="168" fontId="162" fillId="0" borderId="47" xfId="0" applyNumberFormat="1" applyFont="1" applyBorder="1" applyAlignment="1">
      <alignment vertical="center"/>
    </xf>
    <xf numFmtId="168" fontId="102" fillId="0" borderId="47" xfId="0" applyNumberFormat="1" applyFont="1" applyBorder="1" applyAlignment="1">
      <alignment vertical="center" wrapText="1"/>
    </xf>
    <xf numFmtId="168" fontId="103" fillId="0" borderId="47" xfId="0" applyNumberFormat="1" applyFont="1" applyBorder="1" applyAlignment="1">
      <alignment vertical="center"/>
    </xf>
    <xf numFmtId="168" fontId="102" fillId="0" borderId="45" xfId="45" applyNumberFormat="1" applyFont="1" applyBorder="1" applyAlignment="1">
      <alignment horizontal="center" vertical="center"/>
    </xf>
    <xf numFmtId="168" fontId="102" fillId="0" borderId="47" xfId="0" applyNumberFormat="1" applyFont="1" applyBorder="1" applyAlignment="1">
      <alignment vertical="center"/>
    </xf>
    <xf numFmtId="168" fontId="88" fillId="0" borderId="47" xfId="0" applyNumberFormat="1" applyFont="1" applyBorder="1" applyAlignment="1">
      <alignment vertical="center"/>
    </xf>
    <xf numFmtId="168" fontId="102" fillId="0" borderId="47" xfId="45" applyNumberFormat="1" applyFont="1" applyBorder="1" applyAlignment="1">
      <alignment vertical="center"/>
    </xf>
    <xf numFmtId="168" fontId="88" fillId="0" borderId="48" xfId="0" applyNumberFormat="1" applyFont="1" applyBorder="1" applyAlignment="1">
      <alignment vertical="center"/>
    </xf>
    <xf numFmtId="168" fontId="88" fillId="0" borderId="57" xfId="0" applyNumberFormat="1" applyFont="1" applyBorder="1" applyAlignment="1">
      <alignment vertical="center"/>
    </xf>
    <xf numFmtId="168" fontId="88" fillId="0" borderId="13" xfId="0" applyNumberFormat="1" applyFont="1" applyBorder="1" applyAlignment="1">
      <alignment vertical="center"/>
    </xf>
    <xf numFmtId="168" fontId="102" fillId="0" borderId="49" xfId="0" applyNumberFormat="1" applyFont="1" applyBorder="1" applyAlignment="1">
      <alignment vertical="center" wrapText="1"/>
    </xf>
    <xf numFmtId="168" fontId="168" fillId="75" borderId="45" xfId="0" applyNumberFormat="1" applyFont="1" applyFill="1" applyBorder="1" applyAlignment="1">
      <alignment horizontal="center" vertical="center"/>
    </xf>
    <xf numFmtId="168" fontId="102" fillId="58" borderId="47" xfId="0" applyNumberFormat="1" applyFont="1" applyFill="1" applyBorder="1" applyAlignment="1">
      <alignment vertical="center" wrapText="1"/>
    </xf>
    <xf numFmtId="168" fontId="88" fillId="0" borderId="45" xfId="1" applyNumberFormat="1" applyFont="1" applyBorder="1" applyAlignment="1">
      <alignment horizontal="center" vertical="center"/>
    </xf>
    <xf numFmtId="168" fontId="88" fillId="0" borderId="58" xfId="1" applyNumberFormat="1" applyFont="1" applyBorder="1" applyAlignment="1">
      <alignment horizontal="center" vertical="center"/>
    </xf>
    <xf numFmtId="168" fontId="88" fillId="0" borderId="47" xfId="0" applyNumberFormat="1" applyFont="1" applyBorder="1" applyAlignment="1">
      <alignment vertical="center" wrapText="1"/>
    </xf>
    <xf numFmtId="168" fontId="102" fillId="58" borderId="45" xfId="0" applyNumberFormat="1" applyFont="1" applyFill="1" applyBorder="1" applyAlignment="1">
      <alignment vertical="center"/>
    </xf>
    <xf numFmtId="168" fontId="102" fillId="58" borderId="57" xfId="0" applyNumberFormat="1" applyFont="1" applyFill="1" applyBorder="1" applyAlignment="1">
      <alignment vertical="center"/>
    </xf>
    <xf numFmtId="168" fontId="102" fillId="0" borderId="51" xfId="0" applyNumberFormat="1" applyFont="1" applyBorder="1" applyAlignment="1">
      <alignment vertical="center" wrapText="1"/>
    </xf>
    <xf numFmtId="168" fontId="102" fillId="58" borderId="51" xfId="0" applyNumberFormat="1" applyFont="1" applyFill="1" applyBorder="1" applyAlignment="1">
      <alignment vertical="center" wrapText="1"/>
    </xf>
    <xf numFmtId="168" fontId="103" fillId="0" borderId="51" xfId="0" applyNumberFormat="1" applyFont="1" applyBorder="1" applyAlignment="1">
      <alignment vertical="center" wrapText="1"/>
    </xf>
    <xf numFmtId="168" fontId="111" fillId="0" borderId="51" xfId="579" applyNumberFormat="1" applyFont="1" applyBorder="1" applyAlignment="1">
      <alignment vertical="center" wrapText="1"/>
    </xf>
    <xf numFmtId="168" fontId="102" fillId="0" borderId="45" xfId="1" applyNumberFormat="1" applyFont="1" applyFill="1" applyBorder="1" applyAlignment="1">
      <alignment horizontal="right" vertical="center"/>
    </xf>
    <xf numFmtId="168" fontId="88" fillId="0" borderId="51" xfId="579" applyNumberFormat="1" applyFont="1" applyBorder="1" applyAlignment="1">
      <alignment vertical="center" wrapText="1"/>
    </xf>
    <xf numFmtId="168" fontId="111" fillId="0" borderId="58" xfId="579" applyNumberFormat="1" applyFont="1" applyBorder="1" applyAlignment="1">
      <alignment vertical="center"/>
    </xf>
    <xf numFmtId="168" fontId="88" fillId="0" borderId="51" xfId="0" applyNumberFormat="1" applyFont="1" applyBorder="1" applyAlignment="1">
      <alignment vertical="center" wrapText="1"/>
    </xf>
    <xf numFmtId="168" fontId="100" fillId="0" borderId="45" xfId="0" applyNumberFormat="1" applyFont="1" applyBorder="1" applyAlignment="1">
      <alignment horizontal="left" vertical="center"/>
    </xf>
    <xf numFmtId="168" fontId="102" fillId="78" borderId="45" xfId="0" applyNumberFormat="1" applyFont="1" applyFill="1" applyBorder="1" applyAlignment="1">
      <alignment horizontal="center" vertical="center"/>
    </xf>
    <xf numFmtId="168" fontId="88" fillId="58" borderId="45" xfId="1" applyNumberFormat="1" applyFont="1" applyFill="1" applyBorder="1" applyAlignment="1">
      <alignment horizontal="center" vertical="center"/>
    </xf>
    <xf numFmtId="168" fontId="88" fillId="0" borderId="45" xfId="0" applyNumberFormat="1" applyFont="1" applyBorder="1" applyAlignment="1">
      <alignment vertical="center"/>
    </xf>
    <xf numFmtId="168" fontId="94" fillId="58" borderId="45" xfId="0" applyNumberFormat="1" applyFont="1" applyFill="1" applyBorder="1" applyAlignment="1">
      <alignment horizontal="left" vertical="center"/>
    </xf>
    <xf numFmtId="168" fontId="87" fillId="58" borderId="45" xfId="0" applyNumberFormat="1" applyFont="1" applyFill="1" applyBorder="1" applyAlignment="1">
      <alignment horizontal="center" vertical="center"/>
    </xf>
    <xf numFmtId="168" fontId="103" fillId="58" borderId="45" xfId="0" applyNumberFormat="1" applyFont="1" applyFill="1" applyBorder="1" applyAlignment="1">
      <alignment horizontal="left" vertical="center"/>
    </xf>
    <xf numFmtId="168" fontId="103" fillId="58" borderId="45" xfId="0" applyNumberFormat="1" applyFont="1" applyFill="1" applyBorder="1" applyAlignment="1">
      <alignment horizontal="center" vertical="center"/>
    </xf>
    <xf numFmtId="168" fontId="103" fillId="58" borderId="0" xfId="0" applyNumberFormat="1" applyFont="1" applyFill="1" applyAlignment="1">
      <alignment horizontal="left" vertical="center"/>
    </xf>
    <xf numFmtId="168" fontId="88" fillId="58" borderId="51" xfId="0" applyNumberFormat="1" applyFont="1" applyFill="1" applyBorder="1" applyAlignment="1">
      <alignment vertical="center" wrapText="1"/>
    </xf>
    <xf numFmtId="168" fontId="88" fillId="0" borderId="51" xfId="402" applyNumberFormat="1" applyFont="1" applyBorder="1" applyAlignment="1">
      <alignment vertical="center" wrapText="1"/>
    </xf>
    <xf numFmtId="168" fontId="100" fillId="0" borderId="46" xfId="0" applyNumberFormat="1" applyFont="1" applyBorder="1" applyAlignment="1">
      <alignment horizontal="center" vertical="center" wrapText="1"/>
    </xf>
    <xf numFmtId="168" fontId="103" fillId="0" borderId="53" xfId="0" applyNumberFormat="1" applyFont="1" applyBorder="1" applyAlignment="1">
      <alignment horizontal="left" vertical="center" wrapText="1"/>
    </xf>
    <xf numFmtId="168" fontId="103" fillId="0" borderId="53" xfId="0" applyNumberFormat="1" applyFont="1" applyBorder="1" applyAlignment="1">
      <alignment horizontal="center" vertical="center" wrapText="1"/>
    </xf>
    <xf numFmtId="168" fontId="103" fillId="0" borderId="52" xfId="0" applyNumberFormat="1" applyFont="1" applyBorder="1" applyAlignment="1">
      <alignment horizontal="center" vertical="center" wrapText="1"/>
    </xf>
    <xf numFmtId="168" fontId="103" fillId="0" borderId="10" xfId="0" applyNumberFormat="1" applyFont="1" applyBorder="1" applyAlignment="1">
      <alignment vertical="center" wrapText="1"/>
    </xf>
    <xf numFmtId="168" fontId="103" fillId="0" borderId="10" xfId="0" applyNumberFormat="1" applyFont="1" applyBorder="1" applyAlignment="1">
      <alignment horizontal="center" vertical="center"/>
    </xf>
    <xf numFmtId="168" fontId="103" fillId="0" borderId="10" xfId="0" applyNumberFormat="1" applyFont="1" applyBorder="1" applyAlignment="1">
      <alignment horizontal="left" vertical="center" wrapText="1"/>
    </xf>
    <xf numFmtId="168" fontId="100" fillId="0" borderId="10" xfId="0" applyNumberFormat="1" applyFont="1" applyBorder="1" applyAlignment="1">
      <alignment horizontal="center" vertical="center" wrapText="1"/>
    </xf>
    <xf numFmtId="168" fontId="103" fillId="0" borderId="34" xfId="0" applyNumberFormat="1" applyFont="1" applyBorder="1" applyAlignment="1">
      <alignment horizontal="left" vertical="center" wrapText="1"/>
    </xf>
    <xf numFmtId="168" fontId="103" fillId="0" borderId="34" xfId="0" applyNumberFormat="1" applyFont="1" applyBorder="1" applyAlignment="1">
      <alignment horizontal="center" vertical="center" wrapText="1"/>
    </xf>
    <xf numFmtId="168" fontId="103" fillId="0" borderId="35" xfId="0" applyNumberFormat="1" applyFont="1" applyBorder="1" applyAlignment="1">
      <alignment horizontal="center" vertical="center" wrapText="1"/>
    </xf>
    <xf numFmtId="168" fontId="88" fillId="0" borderId="10" xfId="0" applyNumberFormat="1" applyFont="1" applyBorder="1" applyAlignment="1">
      <alignment vertical="center" wrapText="1"/>
    </xf>
    <xf numFmtId="168" fontId="102" fillId="58" borderId="10" xfId="0" applyNumberFormat="1" applyFont="1" applyFill="1" applyBorder="1" applyAlignment="1">
      <alignment horizontal="justify" vertical="center"/>
    </xf>
    <xf numFmtId="168" fontId="102" fillId="58" borderId="10" xfId="0" applyNumberFormat="1" applyFont="1" applyFill="1" applyBorder="1" applyAlignment="1">
      <alignment horizontal="center" vertical="center"/>
    </xf>
    <xf numFmtId="168" fontId="102" fillId="0" borderId="34" xfId="0" applyNumberFormat="1" applyFont="1" applyBorder="1" applyAlignment="1">
      <alignment vertical="center" wrapText="1"/>
    </xf>
    <xf numFmtId="168" fontId="88" fillId="0" borderId="34" xfId="0" applyNumberFormat="1" applyFont="1" applyBorder="1" applyAlignment="1">
      <alignment vertical="center" wrapText="1"/>
    </xf>
    <xf numFmtId="168" fontId="102" fillId="0" borderId="34" xfId="0" applyNumberFormat="1" applyFont="1" applyBorder="1" applyAlignment="1">
      <alignment vertical="center"/>
    </xf>
    <xf numFmtId="168" fontId="102" fillId="0" borderId="34" xfId="0" applyNumberFormat="1" applyFont="1" applyBorder="1" applyAlignment="1">
      <alignment horizontal="center" vertical="center"/>
    </xf>
    <xf numFmtId="168" fontId="102" fillId="58" borderId="34" xfId="0" applyNumberFormat="1" applyFont="1" applyFill="1" applyBorder="1" applyAlignment="1">
      <alignment horizontal="center" vertical="center"/>
    </xf>
    <xf numFmtId="168" fontId="102" fillId="58" borderId="34" xfId="0" applyNumberFormat="1" applyFont="1" applyFill="1" applyBorder="1" applyAlignment="1">
      <alignment horizontal="justify" vertical="center"/>
    </xf>
    <xf numFmtId="168" fontId="102" fillId="0" borderId="35" xfId="0" applyNumberFormat="1" applyFont="1" applyBorder="1" applyAlignment="1">
      <alignment horizontal="center" vertical="center"/>
    </xf>
    <xf numFmtId="168" fontId="103" fillId="0" borderId="10" xfId="0" applyNumberFormat="1" applyFont="1" applyBorder="1" applyAlignment="1">
      <alignment vertical="center"/>
    </xf>
    <xf numFmtId="168" fontId="95" fillId="0" borderId="34" xfId="0" applyNumberFormat="1" applyFont="1" applyBorder="1" applyAlignment="1">
      <alignment vertical="center" wrapText="1"/>
    </xf>
    <xf numFmtId="168" fontId="103" fillId="0" borderId="34" xfId="0" applyNumberFormat="1" applyFont="1" applyBorder="1" applyAlignment="1">
      <alignment vertical="center"/>
    </xf>
    <xf numFmtId="168" fontId="103" fillId="0" borderId="34" xfId="0" applyNumberFormat="1" applyFont="1" applyBorder="1" applyAlignment="1">
      <alignment horizontal="center" vertical="center"/>
    </xf>
    <xf numFmtId="168" fontId="103" fillId="0" borderId="35" xfId="0" applyNumberFormat="1" applyFont="1" applyBorder="1" applyAlignment="1">
      <alignment horizontal="center" vertical="center"/>
    </xf>
    <xf numFmtId="168" fontId="112" fillId="0" borderId="0" xfId="0" applyNumberFormat="1" applyFont="1" applyAlignment="1">
      <alignment horizontal="center" vertical="center"/>
    </xf>
    <xf numFmtId="168" fontId="162" fillId="0" borderId="51" xfId="0" applyNumberFormat="1" applyFont="1" applyBorder="1" applyAlignment="1">
      <alignment vertical="center"/>
    </xf>
    <xf numFmtId="168" fontId="112" fillId="0" borderId="0" xfId="1" applyNumberFormat="1" applyFont="1" applyBorder="1" applyAlignment="1" applyProtection="1">
      <alignment vertical="center"/>
    </xf>
    <xf numFmtId="168" fontId="162" fillId="0" borderId="28" xfId="0" applyNumberFormat="1" applyFont="1" applyBorder="1" applyAlignment="1">
      <alignment vertical="center"/>
    </xf>
    <xf numFmtId="168" fontId="165" fillId="0" borderId="52" xfId="0" applyNumberFormat="1" applyFont="1" applyBorder="1" applyAlignment="1">
      <alignment vertical="center" wrapText="1"/>
    </xf>
    <xf numFmtId="168" fontId="112" fillId="0" borderId="0" xfId="0" applyNumberFormat="1" applyFont="1" applyAlignment="1">
      <alignment vertical="center"/>
    </xf>
    <xf numFmtId="168" fontId="165" fillId="0" borderId="46" xfId="0" applyNumberFormat="1" applyFont="1" applyBorder="1" applyAlignment="1">
      <alignment vertical="center" wrapText="1"/>
    </xf>
    <xf numFmtId="168" fontId="95" fillId="0" borderId="53" xfId="0" applyNumberFormat="1" applyFont="1" applyBorder="1" applyAlignment="1">
      <alignment vertical="center" wrapText="1"/>
    </xf>
    <xf numFmtId="168" fontId="112" fillId="0" borderId="53" xfId="0" applyNumberFormat="1" applyFont="1" applyBorder="1" applyAlignment="1">
      <alignment vertical="center"/>
    </xf>
    <xf numFmtId="168" fontId="129" fillId="0" borderId="53" xfId="0" applyNumberFormat="1" applyFont="1" applyBorder="1" applyAlignment="1">
      <alignment horizontal="center" vertical="center"/>
    </xf>
    <xf numFmtId="168" fontId="129" fillId="0" borderId="53" xfId="0" applyNumberFormat="1" applyFont="1" applyBorder="1" applyAlignment="1">
      <alignment vertical="center"/>
    </xf>
    <xf numFmtId="168" fontId="129" fillId="0" borderId="52" xfId="0" applyNumberFormat="1" applyFont="1" applyBorder="1" applyAlignment="1">
      <alignment horizontal="center" vertical="center"/>
    </xf>
    <xf numFmtId="168" fontId="102" fillId="0" borderId="10" xfId="45" applyNumberFormat="1" applyFont="1" applyBorder="1" applyAlignment="1">
      <alignment horizontal="center" vertical="center"/>
    </xf>
    <xf numFmtId="168" fontId="102" fillId="0" borderId="11" xfId="0" applyNumberFormat="1" applyFont="1" applyBorder="1" applyAlignment="1">
      <alignment vertical="center"/>
    </xf>
    <xf numFmtId="168" fontId="102" fillId="0" borderId="11" xfId="0" applyNumberFormat="1" applyFont="1" applyBorder="1" applyAlignment="1">
      <alignment horizontal="center" vertical="center"/>
    </xf>
    <xf numFmtId="168" fontId="102" fillId="0" borderId="11" xfId="0" applyNumberFormat="1" applyFont="1" applyBorder="1" applyAlignment="1">
      <alignment horizontal="center" vertical="center" wrapText="1"/>
    </xf>
    <xf numFmtId="168" fontId="102" fillId="0" borderId="76" xfId="0" applyNumberFormat="1" applyFont="1" applyBorder="1" applyAlignment="1">
      <alignment horizontal="center" vertical="center" wrapText="1"/>
    </xf>
    <xf numFmtId="168" fontId="102" fillId="0" borderId="52" xfId="45" applyNumberFormat="1" applyFont="1" applyBorder="1" applyAlignment="1">
      <alignment horizontal="center" vertical="center"/>
    </xf>
    <xf numFmtId="168" fontId="102" fillId="0" borderId="13" xfId="0" applyNumberFormat="1" applyFont="1" applyBorder="1" applyAlignment="1">
      <alignment vertical="center"/>
    </xf>
    <xf numFmtId="168" fontId="102" fillId="0" borderId="11" xfId="0" applyNumberFormat="1" applyFont="1" applyBorder="1" applyAlignment="1">
      <alignment vertical="center" wrapText="1"/>
    </xf>
    <xf numFmtId="168" fontId="88" fillId="0" borderId="11" xfId="0" applyNumberFormat="1" applyFont="1" applyBorder="1" applyAlignment="1">
      <alignment vertical="center" wrapText="1"/>
    </xf>
    <xf numFmtId="168" fontId="102" fillId="0" borderId="28" xfId="0" applyNumberFormat="1" applyFont="1" applyBorder="1" applyAlignment="1">
      <alignment horizontal="center" vertical="center"/>
    </xf>
    <xf numFmtId="168" fontId="102" fillId="0" borderId="29" xfId="0" applyNumberFormat="1" applyFont="1" applyBorder="1" applyAlignment="1">
      <alignment vertical="center" wrapText="1"/>
    </xf>
    <xf numFmtId="168" fontId="88" fillId="0" borderId="29" xfId="0" applyNumberFormat="1" applyFont="1" applyBorder="1" applyAlignment="1">
      <alignment vertical="center" wrapText="1"/>
    </xf>
    <xf numFmtId="168" fontId="102" fillId="0" borderId="28" xfId="0" applyNumberFormat="1" applyFont="1" applyBorder="1" applyAlignment="1">
      <alignment horizontal="center" vertical="center" wrapText="1"/>
    </xf>
    <xf numFmtId="168" fontId="102" fillId="0" borderId="28" xfId="45" applyNumberFormat="1" applyFont="1" applyBorder="1" applyAlignment="1">
      <alignment horizontal="center" vertical="center"/>
    </xf>
    <xf numFmtId="168" fontId="102" fillId="0" borderId="73" xfId="0" applyNumberFormat="1" applyFont="1" applyBorder="1" applyAlignment="1">
      <alignment vertical="center"/>
    </xf>
    <xf numFmtId="168" fontId="102" fillId="0" borderId="30" xfId="0" applyNumberFormat="1" applyFont="1" applyBorder="1" applyAlignment="1">
      <alignment horizontal="center" vertical="center"/>
    </xf>
    <xf numFmtId="168" fontId="102" fillId="0" borderId="31" xfId="0" applyNumberFormat="1" applyFont="1" applyBorder="1" applyAlignment="1">
      <alignment vertical="center"/>
    </xf>
    <xf numFmtId="168" fontId="102" fillId="0" borderId="67" xfId="0" applyNumberFormat="1" applyFont="1" applyBorder="1" applyAlignment="1">
      <alignment vertical="center"/>
    </xf>
    <xf numFmtId="168" fontId="102" fillId="0" borderId="32" xfId="0" applyNumberFormat="1" applyFont="1" applyBorder="1" applyAlignment="1">
      <alignment vertical="center"/>
    </xf>
    <xf numFmtId="168" fontId="102" fillId="0" borderId="60" xfId="0" applyNumberFormat="1" applyFont="1" applyBorder="1" applyAlignment="1">
      <alignment horizontal="center" vertical="center" wrapText="1"/>
    </xf>
    <xf numFmtId="168" fontId="102" fillId="0" borderId="70" xfId="45" applyNumberFormat="1" applyFont="1" applyBorder="1" applyAlignment="1">
      <alignment horizontal="center" vertical="center"/>
    </xf>
    <xf numFmtId="168" fontId="102" fillId="0" borderId="97" xfId="45" applyNumberFormat="1" applyFont="1" applyBorder="1" applyAlignment="1">
      <alignment horizontal="center" vertical="center"/>
    </xf>
    <xf numFmtId="168" fontId="102" fillId="0" borderId="67" xfId="0" applyNumberFormat="1" applyFont="1" applyBorder="1" applyAlignment="1">
      <alignment horizontal="center" vertical="center" wrapText="1"/>
    </xf>
    <xf numFmtId="168" fontId="102" fillId="0" borderId="0" xfId="1" applyNumberFormat="1" applyFont="1" applyBorder="1" applyAlignment="1">
      <alignment vertical="center"/>
    </xf>
    <xf numFmtId="168" fontId="102" fillId="0" borderId="13" xfId="0" applyNumberFormat="1" applyFont="1" applyBorder="1" applyAlignment="1">
      <alignment horizontal="center" vertical="center"/>
    </xf>
    <xf numFmtId="168" fontId="88" fillId="0" borderId="10" xfId="0" applyNumberFormat="1" applyFont="1" applyBorder="1" applyAlignment="1">
      <alignment vertical="center"/>
    </xf>
    <xf numFmtId="168" fontId="102" fillId="0" borderId="27" xfId="0" applyNumberFormat="1" applyFont="1" applyBorder="1" applyAlignment="1">
      <alignment vertical="center" wrapText="1"/>
    </xf>
    <xf numFmtId="168" fontId="88" fillId="75" borderId="10" xfId="0" applyNumberFormat="1" applyFont="1" applyFill="1" applyBorder="1" applyAlignment="1">
      <alignment vertical="center" wrapText="1"/>
    </xf>
    <xf numFmtId="168" fontId="88" fillId="0" borderId="10" xfId="0" applyNumberFormat="1" applyFont="1" applyBorder="1" applyAlignment="1">
      <alignment horizontal="center" vertical="center"/>
    </xf>
    <xf numFmtId="168" fontId="102" fillId="0" borderId="27" xfId="0" applyNumberFormat="1" applyFont="1" applyBorder="1" applyAlignment="1">
      <alignment horizontal="center" vertical="center"/>
    </xf>
    <xf numFmtId="168" fontId="102" fillId="0" borderId="0" xfId="1" applyNumberFormat="1" applyFont="1" applyBorder="1" applyAlignment="1">
      <alignment horizontal="center" vertical="center"/>
    </xf>
    <xf numFmtId="168" fontId="88" fillId="76" borderId="10" xfId="0" applyNumberFormat="1" applyFont="1" applyFill="1" applyBorder="1" applyAlignment="1">
      <alignment vertical="center" wrapText="1"/>
    </xf>
    <xf numFmtId="168" fontId="168" fillId="75" borderId="10" xfId="0" applyNumberFormat="1" applyFont="1" applyFill="1" applyBorder="1" applyAlignment="1">
      <alignment horizontal="center" vertical="center"/>
    </xf>
    <xf numFmtId="168" fontId="88" fillId="0" borderId="10" xfId="1" applyNumberFormat="1" applyFont="1" applyBorder="1" applyAlignment="1">
      <alignment vertical="center"/>
    </xf>
    <xf numFmtId="168" fontId="102" fillId="58" borderId="10" xfId="0" applyNumberFormat="1" applyFont="1" applyFill="1" applyBorder="1" applyAlignment="1">
      <alignment vertical="center" wrapText="1"/>
    </xf>
    <xf numFmtId="168" fontId="102" fillId="0" borderId="10" xfId="0" applyNumberFormat="1" applyFont="1" applyBorder="1" applyAlignment="1">
      <alignment horizontal="left" vertical="center"/>
    </xf>
    <xf numFmtId="168" fontId="111" fillId="0" borderId="10" xfId="579" applyNumberFormat="1" applyFont="1" applyBorder="1" applyAlignment="1">
      <alignment vertical="center"/>
    </xf>
    <xf numFmtId="168" fontId="88" fillId="0" borderId="58" xfId="1" applyNumberFormat="1" applyFont="1" applyBorder="1" applyAlignment="1">
      <alignment vertical="center"/>
    </xf>
    <xf numFmtId="168" fontId="100" fillId="0" borderId="10" xfId="0" applyNumberFormat="1" applyFont="1" applyBorder="1" applyAlignment="1">
      <alignment horizontal="center" vertical="center"/>
    </xf>
    <xf numFmtId="168" fontId="103" fillId="0" borderId="10" xfId="0" applyNumberFormat="1" applyFont="1" applyBorder="1" applyAlignment="1">
      <alignment horizontal="left" vertical="center"/>
    </xf>
    <xf numFmtId="168" fontId="103" fillId="0" borderId="51" xfId="0" applyNumberFormat="1" applyFont="1" applyBorder="1" applyAlignment="1">
      <alignment horizontal="center" vertical="center"/>
    </xf>
    <xf numFmtId="168" fontId="103" fillId="0" borderId="51" xfId="0" applyNumberFormat="1" applyFont="1" applyBorder="1" applyAlignment="1">
      <alignment horizontal="center" vertical="center" wrapText="1"/>
    </xf>
    <xf numFmtId="168" fontId="103" fillId="0" borderId="51" xfId="0" applyNumberFormat="1" applyFont="1" applyBorder="1" applyAlignment="1">
      <alignment horizontal="left" vertical="center"/>
    </xf>
    <xf numFmtId="168" fontId="103" fillId="0" borderId="51" xfId="1" applyNumberFormat="1" applyFont="1" applyFill="1" applyBorder="1" applyAlignment="1">
      <alignment horizontal="left" vertical="center"/>
    </xf>
    <xf numFmtId="168" fontId="111" fillId="0" borderId="10" xfId="579" applyNumberFormat="1" applyFont="1" applyBorder="1" applyAlignment="1">
      <alignment horizontal="center" vertical="center"/>
    </xf>
    <xf numFmtId="168" fontId="111" fillId="0" borderId="10" xfId="579" applyNumberFormat="1" applyFont="1" applyBorder="1" applyAlignment="1">
      <alignment vertical="center" wrapText="1"/>
    </xf>
    <xf numFmtId="168" fontId="88" fillId="0" borderId="10" xfId="579" applyNumberFormat="1" applyFont="1" applyBorder="1" applyAlignment="1">
      <alignment vertical="center" wrapText="1"/>
    </xf>
    <xf numFmtId="168" fontId="111" fillId="0" borderId="51" xfId="579" applyNumberFormat="1" applyFont="1" applyBorder="1" applyAlignment="1">
      <alignment horizontal="center" vertical="center"/>
    </xf>
    <xf numFmtId="168" fontId="111" fillId="0" borderId="51" xfId="579" applyNumberFormat="1" applyFont="1" applyBorder="1" applyAlignment="1">
      <alignment horizontal="center" vertical="center" wrapText="1"/>
    </xf>
    <xf numFmtId="168" fontId="111" fillId="0" borderId="51" xfId="579" applyNumberFormat="1" applyFont="1" applyBorder="1" applyAlignment="1">
      <alignment vertical="center"/>
    </xf>
    <xf numFmtId="168" fontId="111" fillId="0" borderId="51" xfId="1" applyNumberFormat="1" applyFont="1" applyFill="1" applyBorder="1" applyAlignment="1" applyProtection="1">
      <alignment vertical="center"/>
    </xf>
    <xf numFmtId="168" fontId="111" fillId="0" borderId="62" xfId="579" applyNumberFormat="1" applyFont="1" applyBorder="1" applyAlignment="1">
      <alignment horizontal="center" vertical="center"/>
    </xf>
    <xf numFmtId="168" fontId="111" fillId="0" borderId="62" xfId="579" applyNumberFormat="1" applyFont="1" applyBorder="1" applyAlignment="1">
      <alignment vertical="center" wrapText="1"/>
    </xf>
    <xf numFmtId="168" fontId="88" fillId="0" borderId="62" xfId="579" applyNumberFormat="1" applyFont="1" applyBorder="1" applyAlignment="1">
      <alignment vertical="center" wrapText="1"/>
    </xf>
    <xf numFmtId="168" fontId="111" fillId="0" borderId="62" xfId="579" applyNumberFormat="1" applyFont="1" applyBorder="1" applyAlignment="1">
      <alignment horizontal="center" vertical="center" wrapText="1"/>
    </xf>
    <xf numFmtId="168" fontId="111" fillId="0" borderId="61" xfId="579" applyNumberFormat="1" applyFont="1" applyBorder="1" applyAlignment="1">
      <alignment horizontal="center" vertical="center"/>
    </xf>
    <xf numFmtId="168" fontId="111" fillId="0" borderId="61" xfId="579" applyNumberFormat="1" applyFont="1" applyBorder="1" applyAlignment="1">
      <alignment vertical="center" wrapText="1"/>
    </xf>
    <xf numFmtId="168" fontId="88" fillId="0" borderId="61" xfId="579" applyNumberFormat="1" applyFont="1" applyBorder="1" applyAlignment="1">
      <alignment vertical="center" wrapText="1"/>
    </xf>
    <xf numFmtId="168" fontId="111" fillId="0" borderId="61" xfId="579" applyNumberFormat="1" applyFont="1" applyBorder="1" applyAlignment="1">
      <alignment horizontal="center" vertical="center" wrapText="1"/>
    </xf>
    <xf numFmtId="168" fontId="102" fillId="0" borderId="61" xfId="1" applyNumberFormat="1" applyFont="1" applyFill="1" applyBorder="1" applyAlignment="1">
      <alignment horizontal="right" vertical="center"/>
    </xf>
    <xf numFmtId="168" fontId="88" fillId="0" borderId="61" xfId="0" applyNumberFormat="1" applyFont="1" applyBorder="1" applyAlignment="1">
      <alignment horizontal="center" vertical="center"/>
    </xf>
    <xf numFmtId="168" fontId="102" fillId="0" borderId="61" xfId="0" applyNumberFormat="1" applyFont="1" applyBorder="1" applyAlignment="1">
      <alignment horizontal="center" vertical="center"/>
    </xf>
    <xf numFmtId="168" fontId="102" fillId="0" borderId="61" xfId="0" applyNumberFormat="1" applyFont="1" applyBorder="1" applyAlignment="1">
      <alignment vertical="center" wrapText="1"/>
    </xf>
    <xf numFmtId="168" fontId="88" fillId="0" borderId="61" xfId="0" applyNumberFormat="1" applyFont="1" applyBorder="1" applyAlignment="1">
      <alignment vertical="center" wrapText="1"/>
    </xf>
    <xf numFmtId="168" fontId="100" fillId="0" borderId="61" xfId="0" applyNumberFormat="1" applyFont="1" applyBorder="1" applyAlignment="1">
      <alignment horizontal="center" vertical="center"/>
    </xf>
    <xf numFmtId="168" fontId="102" fillId="0" borderId="61" xfId="0" applyNumberFormat="1" applyFont="1" applyBorder="1" applyAlignment="1">
      <alignment horizontal="center" vertical="center" wrapText="1"/>
    </xf>
    <xf numFmtId="168" fontId="102" fillId="0" borderId="61" xfId="0" applyNumberFormat="1" applyFont="1" applyBorder="1" applyAlignment="1">
      <alignment vertical="center"/>
    </xf>
    <xf numFmtId="168" fontId="102" fillId="0" borderId="61" xfId="1" applyNumberFormat="1" applyFont="1" applyBorder="1" applyAlignment="1">
      <alignment vertical="center"/>
    </xf>
    <xf numFmtId="168" fontId="102" fillId="0" borderId="51" xfId="0" applyNumberFormat="1" applyFont="1" applyBorder="1" applyAlignment="1">
      <alignment horizontal="center" vertical="center"/>
    </xf>
    <xf numFmtId="168" fontId="100" fillId="0" borderId="51" xfId="0" applyNumberFormat="1" applyFont="1" applyBorder="1" applyAlignment="1">
      <alignment horizontal="center" vertical="center"/>
    </xf>
    <xf numFmtId="168" fontId="102" fillId="0" borderId="51" xfId="0" applyNumberFormat="1" applyFont="1" applyBorder="1" applyAlignment="1">
      <alignment horizontal="center" vertical="center" wrapText="1"/>
    </xf>
    <xf numFmtId="168" fontId="102" fillId="0" borderId="51" xfId="0" applyNumberFormat="1" applyFont="1" applyBorder="1" applyAlignment="1">
      <alignment horizontal="left" vertical="center" wrapText="1"/>
    </xf>
    <xf numFmtId="168" fontId="102" fillId="0" borderId="51" xfId="0" applyNumberFormat="1" applyFont="1" applyBorder="1" applyAlignment="1">
      <alignment vertical="center"/>
    </xf>
    <xf numFmtId="168" fontId="102" fillId="58" borderId="51" xfId="0" applyNumberFormat="1" applyFont="1" applyFill="1" applyBorder="1" applyAlignment="1">
      <alignment horizontal="center" vertical="center"/>
    </xf>
    <xf numFmtId="168" fontId="102" fillId="78" borderId="10" xfId="0" applyNumberFormat="1" applyFont="1" applyFill="1" applyBorder="1" applyAlignment="1">
      <alignment horizontal="center" vertical="center"/>
    </xf>
    <xf numFmtId="168" fontId="100" fillId="0" borderId="51" xfId="0" applyNumberFormat="1" applyFont="1" applyBorder="1" applyAlignment="1">
      <alignment horizontal="left" vertical="center"/>
    </xf>
    <xf numFmtId="168" fontId="88" fillId="0" borderId="10" xfId="0" quotePrefix="1" applyNumberFormat="1" applyFont="1" applyBorder="1" applyAlignment="1">
      <alignment horizontal="center" vertical="center"/>
    </xf>
    <xf numFmtId="168" fontId="102" fillId="0" borderId="51" xfId="1" applyNumberFormat="1" applyFont="1" applyBorder="1" applyAlignment="1">
      <alignment vertical="center"/>
    </xf>
    <xf numFmtId="168" fontId="100" fillId="0" borderId="10" xfId="0" applyNumberFormat="1" applyFont="1" applyBorder="1" applyAlignment="1">
      <alignment horizontal="left" vertical="center"/>
    </xf>
    <xf numFmtId="168" fontId="88" fillId="58" borderId="10" xfId="0" applyNumberFormat="1" applyFont="1" applyFill="1" applyBorder="1" applyAlignment="1">
      <alignment vertical="center" wrapText="1"/>
    </xf>
    <xf numFmtId="168" fontId="94" fillId="58" borderId="10" xfId="0" applyNumberFormat="1" applyFont="1" applyFill="1" applyBorder="1" applyAlignment="1">
      <alignment horizontal="left" vertical="center"/>
    </xf>
    <xf numFmtId="168" fontId="87" fillId="58" borderId="10" xfId="0" applyNumberFormat="1" applyFont="1" applyFill="1" applyBorder="1" applyAlignment="1">
      <alignment horizontal="center" vertical="center"/>
    </xf>
    <xf numFmtId="168" fontId="88" fillId="0" borderId="38" xfId="0" quotePrefix="1" applyNumberFormat="1" applyFont="1" applyBorder="1" applyAlignment="1">
      <alignment horizontal="center" vertical="center"/>
    </xf>
    <xf numFmtId="168" fontId="88" fillId="0" borderId="37" xfId="0" quotePrefix="1" applyNumberFormat="1" applyFont="1" applyBorder="1" applyAlignment="1">
      <alignment horizontal="center" vertical="center"/>
    </xf>
    <xf numFmtId="168" fontId="103" fillId="58" borderId="10" xfId="0" applyNumberFormat="1" applyFont="1" applyFill="1" applyBorder="1" applyAlignment="1">
      <alignment horizontal="left" vertical="center"/>
    </xf>
    <xf numFmtId="168" fontId="103" fillId="58" borderId="10" xfId="0" applyNumberFormat="1" applyFont="1" applyFill="1" applyBorder="1" applyAlignment="1">
      <alignment horizontal="center" vertical="center"/>
    </xf>
    <xf numFmtId="168" fontId="103" fillId="58" borderId="39" xfId="0" applyNumberFormat="1" applyFont="1" applyFill="1" applyBorder="1" applyAlignment="1">
      <alignment horizontal="center" vertical="center"/>
    </xf>
    <xf numFmtId="168" fontId="102" fillId="0" borderId="39" xfId="1" applyNumberFormat="1" applyFont="1" applyBorder="1" applyAlignment="1">
      <alignment vertical="center"/>
    </xf>
    <xf numFmtId="168" fontId="102" fillId="0" borderId="39" xfId="0" applyNumberFormat="1" applyFont="1" applyBorder="1" applyAlignment="1">
      <alignment horizontal="center" vertical="center"/>
    </xf>
    <xf numFmtId="168" fontId="102" fillId="0" borderId="39" xfId="0" applyNumberFormat="1" applyFont="1" applyBorder="1" applyAlignment="1">
      <alignment vertical="center" wrapText="1"/>
    </xf>
    <xf numFmtId="168" fontId="102" fillId="58" borderId="39" xfId="0" applyNumberFormat="1" applyFont="1" applyFill="1" applyBorder="1" applyAlignment="1">
      <alignment vertical="center" wrapText="1"/>
    </xf>
    <xf numFmtId="168" fontId="100" fillId="0" borderId="39" xfId="0" applyNumberFormat="1" applyFont="1" applyBorder="1" applyAlignment="1">
      <alignment horizontal="center" vertical="center"/>
    </xf>
    <xf numFmtId="168" fontId="88" fillId="58" borderId="39" xfId="0" applyNumberFormat="1" applyFont="1" applyFill="1" applyBorder="1" applyAlignment="1">
      <alignment vertical="center" wrapText="1"/>
    </xf>
    <xf numFmtId="168" fontId="88" fillId="0" borderId="39" xfId="0" applyNumberFormat="1" applyFont="1" applyBorder="1" applyAlignment="1">
      <alignment vertical="center" wrapText="1"/>
    </xf>
    <xf numFmtId="168" fontId="88" fillId="77" borderId="38" xfId="43" applyNumberFormat="1" applyFont="1" applyFill="1" applyBorder="1" applyAlignment="1">
      <alignment horizontal="center" vertical="center"/>
    </xf>
    <xf numFmtId="168" fontId="88" fillId="77" borderId="37" xfId="45" applyNumberFormat="1" applyFont="1" applyFill="1" applyBorder="1" applyAlignment="1">
      <alignment horizontal="center" vertical="center"/>
    </xf>
    <xf numFmtId="168" fontId="102" fillId="0" borderId="40" xfId="0" applyNumberFormat="1" applyFont="1" applyBorder="1" applyAlignment="1">
      <alignment vertical="center" wrapText="1"/>
    </xf>
    <xf numFmtId="168" fontId="88" fillId="0" borderId="41" xfId="0" applyNumberFormat="1" applyFont="1" applyBorder="1" applyAlignment="1">
      <alignment vertical="center" wrapText="1"/>
    </xf>
    <xf numFmtId="168" fontId="102" fillId="0" borderId="41" xfId="0" applyNumberFormat="1" applyFont="1" applyBorder="1" applyAlignment="1">
      <alignment vertical="center"/>
    </xf>
    <xf numFmtId="168" fontId="102" fillId="0" borderId="41" xfId="0" applyNumberFormat="1" applyFont="1" applyBorder="1" applyAlignment="1">
      <alignment horizontal="center" vertical="center"/>
    </xf>
    <xf numFmtId="168" fontId="88" fillId="77" borderId="41" xfId="43" applyNumberFormat="1" applyFont="1" applyFill="1" applyBorder="1" applyAlignment="1">
      <alignment horizontal="center" vertical="center"/>
    </xf>
    <xf numFmtId="168" fontId="88" fillId="77" borderId="41" xfId="45" applyNumberFormat="1" applyFont="1" applyFill="1" applyBorder="1" applyAlignment="1">
      <alignment horizontal="center" vertical="center"/>
    </xf>
    <xf numFmtId="168" fontId="102" fillId="0" borderId="37" xfId="0" applyNumberFormat="1" applyFont="1" applyBorder="1" applyAlignment="1">
      <alignment horizontal="center" vertical="center"/>
    </xf>
    <xf numFmtId="168" fontId="102" fillId="0" borderId="42" xfId="0" applyNumberFormat="1" applyFont="1" applyBorder="1" applyAlignment="1">
      <alignment vertical="center" wrapText="1"/>
    </xf>
    <xf numFmtId="168" fontId="102" fillId="0" borderId="39" xfId="0" applyNumberFormat="1" applyFont="1" applyBorder="1" applyAlignment="1">
      <alignment vertical="center"/>
    </xf>
    <xf numFmtId="168" fontId="102" fillId="0" borderId="57" xfId="0" applyNumberFormat="1" applyFont="1" applyBorder="1" applyAlignment="1">
      <alignment vertical="center" wrapText="1"/>
    </xf>
    <xf numFmtId="168" fontId="102" fillId="0" borderId="36" xfId="0" applyNumberFormat="1" applyFont="1" applyBorder="1" applyAlignment="1">
      <alignment vertical="center" wrapText="1"/>
    </xf>
    <xf numFmtId="168" fontId="102" fillId="0" borderId="40" xfId="0" applyNumberFormat="1" applyFont="1" applyBorder="1" applyAlignment="1">
      <alignment horizontal="left" vertical="center" wrapText="1"/>
    </xf>
    <xf numFmtId="168" fontId="102" fillId="0" borderId="39" xfId="0" applyNumberFormat="1" applyFont="1" applyBorder="1" applyAlignment="1">
      <alignment horizontal="left" vertical="center" wrapText="1"/>
    </xf>
    <xf numFmtId="168" fontId="112" fillId="0" borderId="39" xfId="0" applyNumberFormat="1" applyFont="1" applyBorder="1" applyAlignment="1">
      <alignment vertical="center" wrapText="1"/>
    </xf>
    <xf numFmtId="168" fontId="112" fillId="0" borderId="39" xfId="0" applyNumberFormat="1" applyFont="1" applyBorder="1" applyAlignment="1">
      <alignment horizontal="left" vertical="center" wrapText="1"/>
    </xf>
    <xf numFmtId="168" fontId="88" fillId="0" borderId="39" xfId="402" applyNumberFormat="1" applyFont="1" applyBorder="1" applyAlignment="1">
      <alignment vertical="center" wrapText="1"/>
    </xf>
    <xf numFmtId="168" fontId="102" fillId="0" borderId="38" xfId="0" applyNumberFormat="1" applyFont="1" applyBorder="1" applyAlignment="1">
      <alignment horizontal="center" vertical="center"/>
    </xf>
    <xf numFmtId="168" fontId="88" fillId="0" borderId="39" xfId="0" quotePrefix="1" applyNumberFormat="1" applyFont="1" applyBorder="1" applyAlignment="1">
      <alignment vertical="center" wrapText="1"/>
    </xf>
    <xf numFmtId="168" fontId="102" fillId="0" borderId="42" xfId="0" applyNumberFormat="1" applyFont="1" applyBorder="1" applyAlignment="1">
      <alignment horizontal="center" vertical="center"/>
    </xf>
    <xf numFmtId="168" fontId="103" fillId="0" borderId="39" xfId="0" applyNumberFormat="1" applyFont="1" applyBorder="1" applyAlignment="1">
      <alignment horizontal="left" vertical="center" wrapText="1"/>
    </xf>
    <xf numFmtId="168" fontId="103" fillId="0" borderId="38" xfId="0" applyNumberFormat="1" applyFont="1" applyBorder="1" applyAlignment="1">
      <alignment horizontal="left" vertical="center" wrapText="1"/>
    </xf>
    <xf numFmtId="168" fontId="103" fillId="0" borderId="37" xfId="0" applyNumberFormat="1" applyFont="1" applyBorder="1" applyAlignment="1">
      <alignment horizontal="left" vertical="center" wrapText="1"/>
    </xf>
    <xf numFmtId="168" fontId="102" fillId="0" borderId="42" xfId="0" applyNumberFormat="1" applyFont="1" applyBorder="1" applyAlignment="1">
      <alignment horizontal="center" vertical="center" wrapText="1"/>
    </xf>
    <xf numFmtId="168" fontId="103" fillId="0" borderId="40" xfId="0" applyNumberFormat="1" applyFont="1" applyBorder="1" applyAlignment="1">
      <alignment horizontal="left" vertical="center" wrapText="1"/>
    </xf>
    <xf numFmtId="168" fontId="103" fillId="0" borderId="41" xfId="0" applyNumberFormat="1" applyFont="1" applyBorder="1" applyAlignment="1">
      <alignment horizontal="left" vertical="center" wrapText="1"/>
    </xf>
    <xf numFmtId="168" fontId="103" fillId="0" borderId="41" xfId="0" applyNumberFormat="1" applyFont="1" applyBorder="1" applyAlignment="1">
      <alignment horizontal="center" vertical="center" wrapText="1"/>
    </xf>
    <xf numFmtId="168" fontId="103" fillId="0" borderId="37" xfId="0" applyNumberFormat="1" applyFont="1" applyBorder="1" applyAlignment="1">
      <alignment horizontal="center" vertical="center" wrapText="1"/>
    </xf>
    <xf numFmtId="168" fontId="103" fillId="0" borderId="39" xfId="1" applyNumberFormat="1" applyFont="1" applyFill="1" applyBorder="1" applyAlignment="1">
      <alignment horizontal="left" vertical="center" wrapText="1"/>
    </xf>
    <xf numFmtId="168" fontId="103" fillId="0" borderId="39" xfId="0" applyNumberFormat="1" applyFont="1" applyBorder="1" applyAlignment="1">
      <alignment horizontal="center" vertical="center" wrapText="1"/>
    </xf>
    <xf numFmtId="168" fontId="103" fillId="0" borderId="0" xfId="0" applyNumberFormat="1" applyFont="1" applyAlignment="1">
      <alignment horizontal="center" vertical="center" wrapText="1"/>
    </xf>
    <xf numFmtId="168" fontId="88" fillId="0" borderId="57" xfId="0" applyNumberFormat="1" applyFont="1" applyBorder="1" applyAlignment="1">
      <alignment vertical="center" wrapText="1"/>
    </xf>
    <xf numFmtId="168" fontId="102" fillId="0" borderId="57" xfId="0" applyNumberFormat="1" applyFont="1" applyBorder="1" applyAlignment="1">
      <alignment horizontal="center" vertical="center"/>
    </xf>
    <xf numFmtId="168" fontId="102" fillId="58" borderId="57" xfId="0" applyNumberFormat="1" applyFont="1" applyFill="1" applyBorder="1" applyAlignment="1">
      <alignment horizontal="justify" vertical="center"/>
    </xf>
    <xf numFmtId="168" fontId="102" fillId="0" borderId="74" xfId="0" applyNumberFormat="1" applyFont="1" applyBorder="1" applyAlignment="1">
      <alignment vertical="center" wrapText="1"/>
    </xf>
    <xf numFmtId="168" fontId="88" fillId="0" borderId="36" xfId="0" applyNumberFormat="1" applyFont="1" applyBorder="1" applyAlignment="1">
      <alignment vertical="center" wrapText="1"/>
    </xf>
    <xf numFmtId="168" fontId="102" fillId="58" borderId="13" xfId="0" applyNumberFormat="1" applyFont="1" applyFill="1" applyBorder="1" applyAlignment="1">
      <alignment horizontal="justify" vertical="center"/>
    </xf>
    <xf numFmtId="168" fontId="102" fillId="0" borderId="43" xfId="0" applyNumberFormat="1" applyFont="1" applyBorder="1" applyAlignment="1">
      <alignment vertical="center" wrapText="1"/>
    </xf>
    <xf numFmtId="168" fontId="102" fillId="58" borderId="38" xfId="0" applyNumberFormat="1" applyFont="1" applyFill="1" applyBorder="1" applyAlignment="1">
      <alignment horizontal="center" vertical="center"/>
    </xf>
    <xf numFmtId="168" fontId="102" fillId="58" borderId="37" xfId="0" applyNumberFormat="1" applyFont="1" applyFill="1" applyBorder="1" applyAlignment="1">
      <alignment horizontal="center" vertical="center"/>
    </xf>
    <xf numFmtId="168" fontId="105" fillId="34" borderId="98" xfId="0" applyNumberFormat="1" applyFont="1" applyFill="1" applyBorder="1" applyAlignment="1">
      <alignment vertical="center"/>
    </xf>
    <xf numFmtId="168" fontId="102" fillId="0" borderId="0" xfId="0" applyNumberFormat="1" applyFont="1" applyAlignment="1">
      <alignment horizontal="center" vertical="center"/>
    </xf>
    <xf numFmtId="168" fontId="100" fillId="0" borderId="0" xfId="0" applyNumberFormat="1" applyFont="1" applyAlignment="1">
      <alignment vertical="center" wrapText="1"/>
    </xf>
    <xf numFmtId="168" fontId="88" fillId="0" borderId="0" xfId="0" applyNumberFormat="1" applyFont="1" applyAlignment="1">
      <alignment vertical="center" wrapText="1"/>
    </xf>
    <xf numFmtId="168" fontId="102" fillId="0" borderId="0" xfId="0" applyNumberFormat="1" applyFont="1" applyAlignment="1">
      <alignment horizontal="center" vertical="center" wrapText="1"/>
    </xf>
    <xf numFmtId="168" fontId="102" fillId="0" borderId="99" xfId="1" applyNumberFormat="1" applyFont="1" applyFill="1" applyBorder="1" applyAlignment="1">
      <alignment vertical="center"/>
    </xf>
    <xf numFmtId="168" fontId="88" fillId="0" borderId="61" xfId="1" applyNumberFormat="1" applyFont="1" applyFill="1" applyBorder="1" applyAlignment="1">
      <alignment horizontal="center" vertical="center"/>
    </xf>
    <xf numFmtId="165" fontId="172" fillId="0" borderId="57" xfId="0" applyNumberFormat="1" applyFont="1" applyBorder="1" applyAlignment="1">
      <alignment vertical="center"/>
    </xf>
    <xf numFmtId="165" fontId="164" fillId="0" borderId="57" xfId="0" applyNumberFormat="1" applyFont="1" applyBorder="1" applyAlignment="1">
      <alignment vertical="center"/>
    </xf>
    <xf numFmtId="4" fontId="172" fillId="0" borderId="57" xfId="0" applyNumberFormat="1" applyFont="1" applyBorder="1" applyAlignment="1">
      <alignment vertical="center"/>
    </xf>
    <xf numFmtId="0" fontId="172" fillId="0" borderId="0" xfId="0" applyFont="1" applyAlignment="1">
      <alignment horizontal="center" vertical="center"/>
    </xf>
    <xf numFmtId="0" fontId="164" fillId="97" borderId="57" xfId="0" applyFont="1" applyFill="1" applyBorder="1" applyAlignment="1">
      <alignment horizontal="center" vertical="center" wrapText="1"/>
    </xf>
    <xf numFmtId="0" fontId="164" fillId="97" borderId="100" xfId="0" applyFont="1" applyFill="1" applyBorder="1" applyAlignment="1">
      <alignment vertical="center" wrapText="1"/>
    </xf>
    <xf numFmtId="0" fontId="164" fillId="97" borderId="13" xfId="0" applyFont="1" applyFill="1" applyBorder="1" applyAlignment="1">
      <alignment vertical="center" wrapText="1"/>
    </xf>
    <xf numFmtId="0" fontId="164" fillId="97" borderId="12" xfId="0" applyFont="1" applyFill="1" applyBorder="1" applyAlignment="1">
      <alignment vertical="center" wrapText="1"/>
    </xf>
    <xf numFmtId="3" fontId="172" fillId="0" borderId="0" xfId="0" applyNumberFormat="1" applyFont="1"/>
    <xf numFmtId="3" fontId="164" fillId="97" borderId="57" xfId="0" applyNumberFormat="1" applyFont="1" applyFill="1" applyBorder="1" applyAlignment="1">
      <alignment horizontal="center" vertical="top" wrapText="1"/>
    </xf>
    <xf numFmtId="3" fontId="164" fillId="0" borderId="57" xfId="0" applyNumberFormat="1" applyFont="1" applyBorder="1" applyAlignment="1">
      <alignment horizontal="center" vertical="center"/>
    </xf>
    <xf numFmtId="3" fontId="172" fillId="0" borderId="0" xfId="0" applyNumberFormat="1" applyFont="1" applyAlignment="1">
      <alignment vertical="center"/>
    </xf>
    <xf numFmtId="168" fontId="172" fillId="0" borderId="0" xfId="1" applyNumberFormat="1" applyFont="1"/>
    <xf numFmtId="168" fontId="172" fillId="0" borderId="0" xfId="1" applyNumberFormat="1" applyFont="1" applyAlignment="1">
      <alignment vertical="center"/>
    </xf>
    <xf numFmtId="168" fontId="0" fillId="0" borderId="0" xfId="1" applyNumberFormat="1" applyFont="1"/>
    <xf numFmtId="0" fontId="100" fillId="74" borderId="57" xfId="0" applyFont="1" applyFill="1" applyBorder="1" applyAlignment="1">
      <alignment horizontal="center" vertical="center"/>
    </xf>
    <xf numFmtId="0" fontId="105" fillId="74" borderId="57" xfId="0" applyFont="1" applyFill="1" applyBorder="1" applyAlignment="1">
      <alignment horizontal="left"/>
    </xf>
    <xf numFmtId="165" fontId="105" fillId="74" borderId="99" xfId="1" applyFont="1" applyFill="1" applyBorder="1" applyAlignment="1">
      <alignment horizontal="center" vertical="center"/>
    </xf>
    <xf numFmtId="0" fontId="105" fillId="0" borderId="57" xfId="0" applyFont="1" applyBorder="1" applyAlignment="1">
      <alignment horizontal="left"/>
    </xf>
    <xf numFmtId="1" fontId="103" fillId="0" borderId="99" xfId="0" applyNumberFormat="1" applyFont="1" applyBorder="1" applyAlignment="1">
      <alignment horizontal="center" vertical="center"/>
    </xf>
    <xf numFmtId="0" fontId="103" fillId="0" borderId="57" xfId="0" applyFont="1" applyBorder="1" applyAlignment="1">
      <alignment horizontal="left" vertical="center"/>
    </xf>
    <xf numFmtId="0" fontId="103" fillId="0" borderId="57" xfId="0" applyFont="1" applyBorder="1" applyAlignment="1">
      <alignment horizontal="center" vertical="center"/>
    </xf>
    <xf numFmtId="165" fontId="103" fillId="0" borderId="57" xfId="1" applyFont="1" applyFill="1" applyBorder="1" applyAlignment="1">
      <alignment horizontal="left" vertical="center"/>
    </xf>
    <xf numFmtId="165" fontId="105" fillId="0" borderId="57" xfId="1" applyFont="1" applyFill="1" applyBorder="1" applyAlignment="1">
      <alignment horizontal="center" vertical="center"/>
    </xf>
    <xf numFmtId="1" fontId="112" fillId="0" borderId="99" xfId="0" applyNumberFormat="1" applyFont="1" applyBorder="1" applyAlignment="1">
      <alignment horizontal="center" vertical="center"/>
    </xf>
    <xf numFmtId="3" fontId="103" fillId="0" borderId="57" xfId="1" applyNumberFormat="1" applyFont="1" applyFill="1" applyBorder="1" applyAlignment="1">
      <alignment horizontal="center" vertical="center" wrapText="1"/>
    </xf>
    <xf numFmtId="168" fontId="103" fillId="0" borderId="57" xfId="1" applyNumberFormat="1" applyFont="1" applyFill="1" applyBorder="1" applyAlignment="1">
      <alignment vertical="center"/>
    </xf>
    <xf numFmtId="165" fontId="102" fillId="0" borderId="99" xfId="1" applyFont="1" applyFill="1" applyBorder="1" applyAlignment="1">
      <alignment vertical="center"/>
    </xf>
    <xf numFmtId="0" fontId="88" fillId="0" borderId="46" xfId="0" applyFont="1" applyBorder="1" applyAlignment="1">
      <alignment vertical="center" wrapText="1"/>
    </xf>
    <xf numFmtId="0" fontId="176" fillId="0" borderId="45" xfId="0" applyFont="1" applyBorder="1" applyAlignment="1">
      <alignment horizontal="center" vertical="center"/>
    </xf>
    <xf numFmtId="0" fontId="176" fillId="0" borderId="46" xfId="0" applyFont="1" applyBorder="1" applyAlignment="1">
      <alignment vertical="center" wrapText="1"/>
    </xf>
    <xf numFmtId="0" fontId="177" fillId="0" borderId="45" xfId="0" applyFont="1" applyBorder="1" applyAlignment="1">
      <alignment vertical="center" wrapText="1"/>
    </xf>
    <xf numFmtId="0" fontId="176" fillId="0" borderId="45" xfId="0" applyFont="1" applyBorder="1" applyAlignment="1">
      <alignment vertical="center" wrapText="1"/>
    </xf>
    <xf numFmtId="0" fontId="177" fillId="0" borderId="45" xfId="0" applyFont="1" applyBorder="1" applyAlignment="1">
      <alignment horizontal="center" vertical="center"/>
    </xf>
    <xf numFmtId="14" fontId="177" fillId="0" borderId="45" xfId="0" applyNumberFormat="1" applyFont="1" applyBorder="1" applyAlignment="1">
      <alignment horizontal="center" vertical="center"/>
    </xf>
    <xf numFmtId="0" fontId="177" fillId="0" borderId="45" xfId="0" applyFont="1" applyBorder="1" applyAlignment="1">
      <alignment vertical="center"/>
    </xf>
    <xf numFmtId="0" fontId="177" fillId="0" borderId="45" xfId="0" applyFont="1" applyBorder="1" applyAlignment="1">
      <alignment horizontal="center" vertical="center" wrapText="1"/>
    </xf>
    <xf numFmtId="165" fontId="178" fillId="0" borderId="57" xfId="1" applyFont="1" applyFill="1" applyBorder="1" applyAlignment="1">
      <alignment horizontal="center" vertical="center"/>
    </xf>
    <xf numFmtId="0" fontId="176" fillId="0" borderId="57" xfId="0" applyFont="1" applyBorder="1" applyAlignment="1">
      <alignment horizontal="center" vertical="center"/>
    </xf>
    <xf numFmtId="0" fontId="176" fillId="0" borderId="57" xfId="0" applyFont="1" applyBorder="1" applyAlignment="1">
      <alignment vertical="center" wrapText="1"/>
    </xf>
    <xf numFmtId="0" fontId="177" fillId="0" borderId="57" xfId="0" applyFont="1" applyBorder="1" applyAlignment="1">
      <alignment vertical="center" wrapText="1"/>
    </xf>
    <xf numFmtId="0" fontId="177" fillId="0" borderId="57" xfId="0" applyFont="1" applyBorder="1" applyAlignment="1">
      <alignment vertical="center"/>
    </xf>
    <xf numFmtId="0" fontId="177" fillId="0" borderId="57" xfId="0" applyFont="1" applyBorder="1" applyAlignment="1">
      <alignment horizontal="center" vertical="center"/>
    </xf>
    <xf numFmtId="14" fontId="177" fillId="0" borderId="57" xfId="0" applyNumberFormat="1" applyFont="1" applyBorder="1" applyAlignment="1">
      <alignment horizontal="center" vertical="center"/>
    </xf>
    <xf numFmtId="0" fontId="177" fillId="0" borderId="57" xfId="0" applyFont="1" applyBorder="1" applyAlignment="1">
      <alignment horizontal="center" vertical="center" wrapText="1"/>
    </xf>
    <xf numFmtId="165" fontId="103" fillId="74" borderId="57" xfId="1" applyFont="1" applyFill="1" applyBorder="1" applyAlignment="1">
      <alignment vertical="center"/>
    </xf>
    <xf numFmtId="168" fontId="103" fillId="74" borderId="57" xfId="1" applyNumberFormat="1" applyFont="1" applyFill="1" applyBorder="1" applyAlignment="1">
      <alignment vertical="center"/>
    </xf>
    <xf numFmtId="165" fontId="105" fillId="74" borderId="99" xfId="1" applyFont="1" applyFill="1" applyBorder="1" applyAlignment="1">
      <alignment vertical="center"/>
    </xf>
    <xf numFmtId="184" fontId="176" fillId="0" borderId="45" xfId="0" applyNumberFormat="1" applyFont="1" applyBorder="1" applyAlignment="1">
      <alignment horizontal="center" vertical="center"/>
    </xf>
    <xf numFmtId="184" fontId="176" fillId="0" borderId="47" xfId="0" applyNumberFormat="1" applyFont="1" applyBorder="1" applyAlignment="1">
      <alignment vertical="center" wrapText="1"/>
    </xf>
    <xf numFmtId="184" fontId="177" fillId="0" borderId="45" xfId="0" applyNumberFormat="1" applyFont="1" applyBorder="1" applyAlignment="1">
      <alignment vertical="center" wrapText="1"/>
    </xf>
    <xf numFmtId="184" fontId="176" fillId="0" borderId="45" xfId="0" applyNumberFormat="1" applyFont="1" applyBorder="1" applyAlignment="1">
      <alignment vertical="center"/>
    </xf>
    <xf numFmtId="184" fontId="177" fillId="0" borderId="45" xfId="0" applyNumberFormat="1" applyFont="1" applyBorder="1" applyAlignment="1">
      <alignment horizontal="center" vertical="center"/>
    </xf>
    <xf numFmtId="184" fontId="177" fillId="0" borderId="45" xfId="0" applyNumberFormat="1" applyFont="1" applyBorder="1" applyAlignment="1">
      <alignment vertical="center"/>
    </xf>
    <xf numFmtId="184" fontId="177" fillId="0" borderId="45" xfId="0" applyNumberFormat="1" applyFont="1" applyBorder="1" applyAlignment="1">
      <alignment horizontal="center" vertical="center" wrapText="1"/>
    </xf>
    <xf numFmtId="184" fontId="112" fillId="0" borderId="57" xfId="0" applyNumberFormat="1" applyFont="1" applyBorder="1" applyAlignment="1">
      <alignment vertical="center"/>
    </xf>
    <xf numFmtId="184" fontId="129" fillId="0" borderId="57" xfId="0" applyNumberFormat="1" applyFont="1" applyBorder="1" applyAlignment="1">
      <alignment horizontal="center" vertical="center" wrapText="1"/>
    </xf>
    <xf numFmtId="1" fontId="112" fillId="0" borderId="57" xfId="0" applyNumberFormat="1" applyFont="1" applyBorder="1" applyAlignment="1">
      <alignment horizontal="center" vertical="center"/>
    </xf>
    <xf numFmtId="184" fontId="112" fillId="0" borderId="99" xfId="1" applyNumberFormat="1" applyFont="1" applyBorder="1" applyAlignment="1" applyProtection="1">
      <alignment vertical="center"/>
    </xf>
    <xf numFmtId="184" fontId="176" fillId="0" borderId="49" xfId="0" applyNumberFormat="1" applyFont="1" applyBorder="1" applyAlignment="1">
      <alignment vertical="center" wrapText="1"/>
    </xf>
    <xf numFmtId="184" fontId="162" fillId="0" borderId="0" xfId="0" applyNumberFormat="1" applyFont="1" applyAlignment="1">
      <alignment vertical="center"/>
    </xf>
    <xf numFmtId="165" fontId="112" fillId="0" borderId="99" xfId="1" applyFont="1" applyBorder="1" applyAlignment="1" applyProtection="1">
      <alignment vertical="center"/>
    </xf>
    <xf numFmtId="165" fontId="103" fillId="74" borderId="57" xfId="0" applyNumberFormat="1" applyFont="1" applyFill="1" applyBorder="1" applyAlignment="1">
      <alignment horizontal="center" vertical="center"/>
    </xf>
    <xf numFmtId="0" fontId="176" fillId="0" borderId="51" xfId="0" applyFont="1" applyBorder="1" applyAlignment="1">
      <alignment vertical="center" wrapText="1"/>
    </xf>
    <xf numFmtId="0" fontId="176" fillId="0" borderId="45" xfId="0" applyFont="1" applyBorder="1" applyAlignment="1">
      <alignment vertical="center"/>
    </xf>
    <xf numFmtId="14" fontId="176" fillId="0" borderId="45" xfId="0" applyNumberFormat="1" applyFont="1" applyBorder="1" applyAlignment="1">
      <alignment horizontal="center" vertical="center"/>
    </xf>
    <xf numFmtId="0" fontId="102" fillId="0" borderId="57" xfId="0" applyFont="1" applyBorder="1" applyAlignment="1">
      <alignment horizontal="center" vertical="center" wrapText="1"/>
    </xf>
    <xf numFmtId="1" fontId="102" fillId="0" borderId="57" xfId="45" applyNumberFormat="1" applyFont="1" applyBorder="1" applyAlignment="1">
      <alignment horizontal="center" vertical="center"/>
    </xf>
    <xf numFmtId="0" fontId="102" fillId="0" borderId="99" xfId="0" applyFont="1" applyBorder="1" applyAlignment="1">
      <alignment vertical="center"/>
    </xf>
    <xf numFmtId="185" fontId="102" fillId="0" borderId="99" xfId="0" applyNumberFormat="1" applyFont="1" applyBorder="1" applyAlignment="1">
      <alignment vertical="center"/>
    </xf>
    <xf numFmtId="1" fontId="103" fillId="0" borderId="57" xfId="0" applyNumberFormat="1" applyFont="1" applyBorder="1" applyAlignment="1">
      <alignment horizontal="center" vertical="center"/>
    </xf>
    <xf numFmtId="168" fontId="103" fillId="0" borderId="57" xfId="1" applyNumberFormat="1" applyFont="1" applyFill="1" applyBorder="1" applyAlignment="1">
      <alignment horizontal="center" vertical="center"/>
    </xf>
    <xf numFmtId="165" fontId="105" fillId="0" borderId="99" xfId="1" applyFont="1" applyFill="1" applyBorder="1" applyAlignment="1">
      <alignment horizontal="center" vertical="center"/>
    </xf>
    <xf numFmtId="0" fontId="176" fillId="0" borderId="10" xfId="0" applyFont="1" applyBorder="1" applyAlignment="1">
      <alignment horizontal="center" vertical="center"/>
    </xf>
    <xf numFmtId="0" fontId="176" fillId="0" borderId="10" xfId="0" applyFont="1" applyBorder="1" applyAlignment="1">
      <alignment vertical="center" wrapText="1"/>
    </xf>
    <xf numFmtId="0" fontId="176" fillId="0" borderId="10" xfId="0" applyFont="1" applyBorder="1" applyAlignment="1">
      <alignment vertical="center"/>
    </xf>
    <xf numFmtId="181" fontId="176" fillId="0" borderId="10" xfId="0" applyNumberFormat="1" applyFont="1" applyBorder="1" applyAlignment="1">
      <alignment horizontal="center" vertical="center"/>
    </xf>
    <xf numFmtId="0" fontId="176" fillId="0" borderId="10" xfId="0" applyFont="1" applyBorder="1" applyAlignment="1">
      <alignment horizontal="center" vertical="center" wrapText="1"/>
    </xf>
    <xf numFmtId="1" fontId="177" fillId="0" borderId="57" xfId="0" applyNumberFormat="1" applyFont="1" applyBorder="1" applyAlignment="1">
      <alignment horizontal="center" vertical="center"/>
    </xf>
    <xf numFmtId="0" fontId="177" fillId="0" borderId="57" xfId="0" applyFont="1" applyBorder="1" applyAlignment="1">
      <alignment horizontal="left" vertical="center"/>
    </xf>
    <xf numFmtId="165" fontId="177" fillId="0" borderId="57" xfId="1" applyFont="1" applyFill="1" applyBorder="1" applyAlignment="1">
      <alignment horizontal="left" vertical="center"/>
    </xf>
    <xf numFmtId="168" fontId="177" fillId="0" borderId="57" xfId="1" applyNumberFormat="1" applyFont="1" applyFill="1" applyBorder="1" applyAlignment="1">
      <alignment horizontal="center" vertical="center"/>
    </xf>
    <xf numFmtId="165" fontId="178" fillId="0" borderId="99" xfId="1" applyFont="1" applyFill="1" applyBorder="1" applyAlignment="1">
      <alignment horizontal="center" vertical="center"/>
    </xf>
    <xf numFmtId="0" fontId="176" fillId="0" borderId="0" xfId="0" applyFont="1" applyAlignment="1">
      <alignment vertical="center"/>
    </xf>
    <xf numFmtId="0" fontId="176" fillId="75" borderId="10" xfId="0" applyFont="1" applyFill="1" applyBorder="1" applyAlignment="1">
      <alignment vertical="center" wrapText="1"/>
    </xf>
    <xf numFmtId="0" fontId="176" fillId="76" borderId="10" xfId="0" applyFont="1" applyFill="1" applyBorder="1" applyAlignment="1">
      <alignment vertical="center" wrapText="1"/>
    </xf>
    <xf numFmtId="168" fontId="87" fillId="0" borderId="62" xfId="1" applyNumberFormat="1" applyFont="1" applyFill="1" applyBorder="1" applyAlignment="1">
      <alignment horizontal="center" vertical="center"/>
    </xf>
    <xf numFmtId="168" fontId="178" fillId="0" borderId="57" xfId="1" applyNumberFormat="1" applyFont="1" applyFill="1" applyBorder="1" applyAlignment="1">
      <alignment horizontal="center" vertical="center"/>
    </xf>
    <xf numFmtId="168" fontId="169" fillId="0" borderId="57" xfId="1" applyNumberFormat="1" applyFont="1" applyFill="1" applyBorder="1" applyAlignment="1">
      <alignment horizontal="center" vertical="center"/>
    </xf>
    <xf numFmtId="168" fontId="96" fillId="62" borderId="57" xfId="1" applyNumberFormat="1" applyFont="1" applyFill="1" applyBorder="1" applyAlignment="1">
      <alignment vertical="center"/>
    </xf>
    <xf numFmtId="168" fontId="105" fillId="74" borderId="45" xfId="1" applyNumberFormat="1" applyFont="1" applyFill="1" applyBorder="1" applyAlignment="1">
      <alignment vertical="center"/>
    </xf>
    <xf numFmtId="168" fontId="105" fillId="74" borderId="57" xfId="1" applyNumberFormat="1" applyFont="1" applyFill="1" applyBorder="1" applyAlignment="1">
      <alignment vertical="center"/>
    </xf>
    <xf numFmtId="168" fontId="105" fillId="74" borderId="99" xfId="1" applyNumberFormat="1" applyFont="1" applyFill="1" applyBorder="1" applyAlignment="1">
      <alignment horizontal="center" vertical="center"/>
    </xf>
    <xf numFmtId="168" fontId="105" fillId="0" borderId="57" xfId="1" applyNumberFormat="1" applyFont="1" applyFill="1" applyBorder="1" applyAlignment="1">
      <alignment horizontal="center" vertical="center"/>
    </xf>
    <xf numFmtId="168" fontId="105" fillId="74" borderId="45" xfId="1" applyNumberFormat="1" applyFont="1" applyFill="1" applyBorder="1" applyAlignment="1">
      <alignment horizontal="center"/>
    </xf>
    <xf numFmtId="168" fontId="102" fillId="0" borderId="45" xfId="1" applyNumberFormat="1" applyFont="1" applyBorder="1" applyAlignment="1">
      <alignment horizontal="center"/>
    </xf>
    <xf numFmtId="168" fontId="100" fillId="74" borderId="10" xfId="1" applyNumberFormat="1" applyFont="1" applyFill="1" applyBorder="1" applyAlignment="1">
      <alignment horizontal="left" vertical="center"/>
    </xf>
    <xf numFmtId="168" fontId="100" fillId="74" borderId="10" xfId="0" applyNumberFormat="1" applyFont="1" applyFill="1" applyBorder="1" applyAlignment="1">
      <alignment horizontal="left" vertical="center"/>
    </xf>
    <xf numFmtId="168" fontId="100" fillId="74" borderId="10" xfId="0" applyNumberFormat="1" applyFont="1" applyFill="1" applyBorder="1" applyAlignment="1">
      <alignment horizontal="left"/>
    </xf>
    <xf numFmtId="168" fontId="100" fillId="74" borderId="10" xfId="1" applyNumberFormat="1" applyFont="1" applyFill="1" applyBorder="1" applyAlignment="1">
      <alignment horizontal="center"/>
    </xf>
    <xf numFmtId="168" fontId="100" fillId="74" borderId="10" xfId="1" applyNumberFormat="1" applyFont="1" applyFill="1" applyBorder="1" applyAlignment="1">
      <alignment vertical="center"/>
    </xf>
    <xf numFmtId="168" fontId="167" fillId="69" borderId="73" xfId="1" applyNumberFormat="1" applyFont="1" applyFill="1" applyBorder="1" applyAlignment="1" applyProtection="1">
      <alignment horizontal="center" vertical="center"/>
    </xf>
    <xf numFmtId="168" fontId="167" fillId="69" borderId="28" xfId="1" applyNumberFormat="1" applyFont="1" applyFill="1" applyBorder="1" applyAlignment="1" applyProtection="1">
      <alignment horizontal="center" vertical="center"/>
    </xf>
    <xf numFmtId="168" fontId="111" fillId="0" borderId="57" xfId="1" applyNumberFormat="1" applyFont="1" applyFill="1" applyBorder="1" applyAlignment="1" applyProtection="1">
      <alignment vertical="center"/>
    </xf>
    <xf numFmtId="168" fontId="111" fillId="0" borderId="70" xfId="1" applyNumberFormat="1" applyFont="1" applyFill="1" applyBorder="1" applyAlignment="1" applyProtection="1">
      <alignment horizontal="center" vertical="center"/>
    </xf>
    <xf numFmtId="168" fontId="111" fillId="0" borderId="32" xfId="1" applyNumberFormat="1" applyFont="1" applyFill="1" applyBorder="1" applyAlignment="1" applyProtection="1">
      <alignment vertical="center"/>
    </xf>
    <xf numFmtId="168" fontId="111" fillId="0" borderId="28" xfId="1" applyNumberFormat="1" applyFont="1" applyFill="1" applyBorder="1" applyAlignment="1" applyProtection="1">
      <alignment horizontal="center" vertical="center"/>
    </xf>
    <xf numFmtId="168" fontId="111" fillId="0" borderId="28" xfId="1" applyNumberFormat="1" applyFont="1" applyFill="1" applyBorder="1" applyAlignment="1" applyProtection="1">
      <alignment vertical="center"/>
    </xf>
    <xf numFmtId="168" fontId="88" fillId="0" borderId="62" xfId="1" applyNumberFormat="1" applyFont="1" applyFill="1" applyBorder="1" applyAlignment="1">
      <alignment horizontal="center" vertical="center"/>
    </xf>
    <xf numFmtId="168" fontId="103" fillId="58" borderId="61" xfId="1" applyNumberFormat="1" applyFont="1" applyFill="1" applyBorder="1" applyAlignment="1">
      <alignment horizontal="center" vertical="center"/>
    </xf>
    <xf numFmtId="168" fontId="103" fillId="74" borderId="10" xfId="1" applyNumberFormat="1" applyFont="1" applyFill="1" applyBorder="1" applyAlignment="1">
      <alignment horizontal="left" vertical="center"/>
    </xf>
    <xf numFmtId="168" fontId="103" fillId="74" borderId="10" xfId="0" applyNumberFormat="1" applyFont="1" applyFill="1" applyBorder="1" applyAlignment="1">
      <alignment horizontal="center" vertical="center"/>
    </xf>
    <xf numFmtId="168" fontId="103" fillId="93" borderId="61" xfId="1" applyNumberFormat="1" applyFont="1" applyFill="1" applyBorder="1" applyAlignment="1">
      <alignment horizontal="center" vertical="center" wrapText="1"/>
    </xf>
    <xf numFmtId="168" fontId="103" fillId="74" borderId="61" xfId="1" applyNumberFormat="1" applyFont="1" applyFill="1" applyBorder="1" applyAlignment="1">
      <alignment horizontal="center" vertical="center" wrapText="1"/>
    </xf>
    <xf numFmtId="168" fontId="105" fillId="0" borderId="61" xfId="1" applyNumberFormat="1" applyFont="1" applyFill="1" applyBorder="1" applyAlignment="1">
      <alignment horizontal="center" vertical="center" wrapText="1"/>
    </xf>
    <xf numFmtId="168" fontId="100" fillId="94" borderId="57" xfId="1" applyNumberFormat="1" applyFont="1" applyFill="1" applyBorder="1" applyAlignment="1">
      <alignment horizontal="center" vertical="center"/>
    </xf>
    <xf numFmtId="165" fontId="105" fillId="0" borderId="57" xfId="1" applyFont="1" applyFill="1" applyBorder="1" applyAlignment="1">
      <alignment horizontal="center" vertical="center" wrapText="1"/>
    </xf>
    <xf numFmtId="0" fontId="88" fillId="0" borderId="57" xfId="0" applyFont="1" applyBorder="1" applyAlignment="1">
      <alignment vertical="center"/>
    </xf>
    <xf numFmtId="0" fontId="88" fillId="0" borderId="57" xfId="0" applyFont="1" applyBorder="1" applyAlignment="1">
      <alignment horizontal="center" vertical="center"/>
    </xf>
    <xf numFmtId="165" fontId="102" fillId="0" borderId="99" xfId="1" applyFont="1" applyBorder="1" applyAlignment="1">
      <alignment horizontal="center" vertical="center"/>
    </xf>
    <xf numFmtId="1" fontId="88" fillId="0" borderId="10" xfId="0" applyNumberFormat="1" applyFont="1" applyBorder="1" applyAlignment="1">
      <alignment horizontal="center" vertical="center"/>
    </xf>
    <xf numFmtId="1" fontId="89" fillId="0" borderId="10" xfId="0" applyNumberFormat="1" applyFont="1" applyBorder="1" applyAlignment="1">
      <alignment horizontal="center" vertical="center"/>
    </xf>
    <xf numFmtId="1" fontId="89" fillId="0" borderId="0" xfId="45" applyNumberFormat="1" applyFont="1" applyAlignment="1">
      <alignment horizontal="center" vertical="center"/>
    </xf>
    <xf numFmtId="0" fontId="175" fillId="0" borderId="10" xfId="0" applyFont="1" applyBorder="1" applyAlignment="1">
      <alignment horizontal="center" vertical="center"/>
    </xf>
    <xf numFmtId="0" fontId="175" fillId="0" borderId="10" xfId="0" applyFont="1" applyBorder="1" applyAlignment="1">
      <alignment vertical="center" wrapText="1"/>
    </xf>
    <xf numFmtId="0" fontId="175" fillId="0" borderId="10" xfId="0" applyFont="1" applyBorder="1" applyAlignment="1">
      <alignment horizontal="center" vertical="center" wrapText="1"/>
    </xf>
    <xf numFmtId="0" fontId="176" fillId="0" borderId="10" xfId="45" applyFont="1" applyBorder="1" applyAlignment="1">
      <alignment vertical="center"/>
    </xf>
    <xf numFmtId="168" fontId="102" fillId="58" borderId="57" xfId="1" applyNumberFormat="1" applyFont="1" applyFill="1" applyBorder="1" applyAlignment="1">
      <alignment vertical="center"/>
    </xf>
    <xf numFmtId="0" fontId="100" fillId="74" borderId="57" xfId="0" applyFont="1" applyFill="1" applyBorder="1" applyAlignment="1">
      <alignment wrapText="1"/>
    </xf>
    <xf numFmtId="0" fontId="100" fillId="74" borderId="57" xfId="0" applyFont="1" applyFill="1" applyBorder="1" applyAlignment="1">
      <alignment horizontal="left"/>
    </xf>
    <xf numFmtId="1" fontId="103" fillId="74" borderId="57" xfId="0" applyNumberFormat="1" applyFont="1" applyFill="1" applyBorder="1" applyAlignment="1">
      <alignment horizontal="center"/>
    </xf>
    <xf numFmtId="0" fontId="103" fillId="74" borderId="57" xfId="0" applyFont="1" applyFill="1" applyBorder="1" applyAlignment="1">
      <alignment horizontal="left"/>
    </xf>
    <xf numFmtId="165" fontId="103" fillId="74" borderId="57" xfId="1" applyFont="1" applyFill="1" applyBorder="1" applyAlignment="1">
      <alignment horizontal="left"/>
    </xf>
    <xf numFmtId="0" fontId="103" fillId="74" borderId="57" xfId="0" applyFont="1" applyFill="1" applyBorder="1" applyAlignment="1">
      <alignment horizontal="center"/>
    </xf>
    <xf numFmtId="168" fontId="105" fillId="74" borderId="57" xfId="1" applyNumberFormat="1" applyFont="1" applyFill="1" applyBorder="1" applyAlignment="1">
      <alignment horizontal="center"/>
    </xf>
    <xf numFmtId="165" fontId="105" fillId="74" borderId="99" xfId="1" applyFont="1" applyFill="1" applyBorder="1" applyAlignment="1">
      <alignment horizontal="center"/>
    </xf>
    <xf numFmtId="181" fontId="176" fillId="0" borderId="45" xfId="0" applyNumberFormat="1" applyFont="1" applyBorder="1" applyAlignment="1">
      <alignment horizontal="center" vertical="center"/>
    </xf>
    <xf numFmtId="0" fontId="176" fillId="0" borderId="45" xfId="0" applyFont="1" applyBorder="1" applyAlignment="1">
      <alignment horizontal="center" wrapText="1"/>
    </xf>
    <xf numFmtId="0" fontId="102" fillId="0" borderId="57" xfId="0" applyFont="1" applyBorder="1" applyAlignment="1">
      <alignment horizontal="center"/>
    </xf>
    <xf numFmtId="0" fontId="102" fillId="0" borderId="100" xfId="0" applyFont="1" applyBorder="1" applyAlignment="1">
      <alignment vertical="center"/>
    </xf>
    <xf numFmtId="1" fontId="102" fillId="0" borderId="57" xfId="0" applyNumberFormat="1" applyFont="1" applyBorder="1" applyAlignment="1">
      <alignment horizontal="center"/>
    </xf>
    <xf numFmtId="0" fontId="176" fillId="58" borderId="45" xfId="0" applyFont="1" applyFill="1" applyBorder="1" applyAlignment="1">
      <alignment vertical="center" wrapText="1"/>
    </xf>
    <xf numFmtId="0" fontId="176" fillId="0" borderId="45" xfId="0" applyFont="1" applyBorder="1" applyAlignment="1">
      <alignment horizontal="center"/>
    </xf>
    <xf numFmtId="165" fontId="102" fillId="0" borderId="57" xfId="1" applyFont="1" applyBorder="1" applyAlignment="1"/>
    <xf numFmtId="165" fontId="102" fillId="0" borderId="99" xfId="1" applyFont="1" applyBorder="1" applyAlignment="1">
      <alignment horizontal="center"/>
    </xf>
    <xf numFmtId="0" fontId="176" fillId="0" borderId="45" xfId="0" applyFont="1" applyBorder="1" applyAlignment="1">
      <alignment horizontal="left" vertical="center"/>
    </xf>
    <xf numFmtId="181" fontId="176" fillId="58" borderId="45" xfId="0" applyNumberFormat="1" applyFont="1" applyFill="1" applyBorder="1" applyAlignment="1">
      <alignment horizontal="center" vertical="center"/>
    </xf>
    <xf numFmtId="0" fontId="176" fillId="0" borderId="45" xfId="0" applyFont="1" applyBorder="1" applyAlignment="1">
      <alignment horizontal="center" vertical="center" wrapText="1"/>
    </xf>
    <xf numFmtId="0" fontId="176" fillId="58" borderId="10" xfId="0" applyFont="1" applyFill="1" applyBorder="1" applyAlignment="1">
      <alignment vertical="center" wrapText="1"/>
    </xf>
    <xf numFmtId="0" fontId="176" fillId="0" borderId="10" xfId="0" applyFont="1" applyBorder="1" applyAlignment="1">
      <alignment horizontal="center"/>
    </xf>
    <xf numFmtId="0" fontId="176" fillId="0" borderId="10" xfId="0" applyFont="1" applyBorder="1" applyAlignment="1">
      <alignment horizontal="center" wrapText="1"/>
    </xf>
    <xf numFmtId="0" fontId="100" fillId="74" borderId="57" xfId="0" applyFont="1" applyFill="1" applyBorder="1" applyAlignment="1">
      <alignment horizontal="left" vertical="center"/>
    </xf>
    <xf numFmtId="0" fontId="100" fillId="74" borderId="57" xfId="0" applyFont="1" applyFill="1" applyBorder="1" applyAlignment="1">
      <alignment vertical="center"/>
    </xf>
    <xf numFmtId="1" fontId="100" fillId="74" borderId="57" xfId="0" applyNumberFormat="1" applyFont="1" applyFill="1" applyBorder="1" applyAlignment="1">
      <alignment horizontal="left" vertical="center"/>
    </xf>
    <xf numFmtId="168" fontId="100" fillId="74" borderId="57" xfId="1" applyNumberFormat="1" applyFont="1" applyFill="1" applyBorder="1" applyAlignment="1">
      <alignment horizontal="left" vertical="center"/>
    </xf>
    <xf numFmtId="168" fontId="100" fillId="74" borderId="57" xfId="0" applyNumberFormat="1" applyFont="1" applyFill="1" applyBorder="1" applyAlignment="1">
      <alignment horizontal="left" vertical="center"/>
    </xf>
    <xf numFmtId="165" fontId="100" fillId="74" borderId="99" xfId="1" applyFont="1" applyFill="1" applyBorder="1" applyAlignment="1">
      <alignment horizontal="left" vertical="center"/>
    </xf>
    <xf numFmtId="165" fontId="100" fillId="74" borderId="57" xfId="1" applyFont="1" applyFill="1" applyBorder="1" applyAlignment="1">
      <alignment horizontal="left" vertical="center" wrapText="1"/>
    </xf>
    <xf numFmtId="165" fontId="105" fillId="74" borderId="57" xfId="1" applyFont="1" applyFill="1" applyBorder="1" applyAlignment="1">
      <alignment horizontal="left" vertical="center" wrapText="1"/>
    </xf>
    <xf numFmtId="0" fontId="176" fillId="0" borderId="10" xfId="0" applyFont="1" applyBorder="1" applyAlignment="1">
      <alignment horizontal="left" vertical="center"/>
    </xf>
    <xf numFmtId="181" fontId="176" fillId="0" borderId="10" xfId="0" applyNumberFormat="1" applyFont="1" applyBorder="1" applyAlignment="1">
      <alignment horizontal="center" vertical="center" wrapText="1"/>
    </xf>
    <xf numFmtId="1" fontId="100" fillId="74" borderId="57" xfId="0" applyNumberFormat="1" applyFont="1" applyFill="1" applyBorder="1" applyAlignment="1">
      <alignment horizontal="left"/>
    </xf>
    <xf numFmtId="165" fontId="100" fillId="74" borderId="57" xfId="1" applyFont="1" applyFill="1" applyBorder="1" applyAlignment="1">
      <alignment horizontal="left"/>
    </xf>
    <xf numFmtId="168" fontId="100" fillId="74" borderId="57" xfId="0" applyNumberFormat="1" applyFont="1" applyFill="1" applyBorder="1" applyAlignment="1">
      <alignment horizontal="left"/>
    </xf>
    <xf numFmtId="165" fontId="105" fillId="74" borderId="57" xfId="1" applyFont="1" applyFill="1" applyBorder="1" applyAlignment="1">
      <alignment horizontal="left" vertical="center"/>
    </xf>
    <xf numFmtId="167" fontId="176" fillId="0" borderId="10" xfId="0" applyNumberFormat="1" applyFont="1" applyBorder="1" applyAlignment="1">
      <alignment horizontal="center" vertical="center"/>
    </xf>
    <xf numFmtId="0" fontId="176" fillId="0" borderId="52" xfId="0" applyFont="1" applyBorder="1" applyAlignment="1">
      <alignment vertical="center" wrapText="1"/>
    </xf>
    <xf numFmtId="0" fontId="179" fillId="0" borderId="10" xfId="0" applyFont="1" applyBorder="1" applyAlignment="1">
      <alignment horizontal="center"/>
    </xf>
    <xf numFmtId="165" fontId="102" fillId="0" borderId="0" xfId="1" applyFont="1" applyBorder="1" applyAlignment="1"/>
    <xf numFmtId="165" fontId="102" fillId="0" borderId="0" xfId="1" applyFont="1" applyBorder="1" applyAlignment="1">
      <alignment horizontal="center"/>
    </xf>
    <xf numFmtId="0" fontId="102" fillId="74" borderId="57" xfId="0" applyFont="1" applyFill="1" applyBorder="1" applyAlignment="1">
      <alignment vertical="center"/>
    </xf>
    <xf numFmtId="1" fontId="102" fillId="74" borderId="57" xfId="0" applyNumberFormat="1" applyFont="1" applyFill="1" applyBorder="1" applyAlignment="1">
      <alignment horizontal="center"/>
    </xf>
    <xf numFmtId="0" fontId="102" fillId="74" borderId="57" xfId="0" applyFont="1" applyFill="1" applyBorder="1"/>
    <xf numFmtId="0" fontId="102" fillId="74" borderId="57" xfId="0" applyFont="1" applyFill="1" applyBorder="1" applyAlignment="1">
      <alignment horizontal="center" vertical="center"/>
    </xf>
    <xf numFmtId="165" fontId="102" fillId="74" borderId="57" xfId="1" applyFont="1" applyFill="1" applyBorder="1" applyAlignment="1"/>
    <xf numFmtId="0" fontId="102" fillId="74" borderId="57" xfId="0" applyFont="1" applyFill="1" applyBorder="1" applyAlignment="1">
      <alignment horizontal="center"/>
    </xf>
    <xf numFmtId="168" fontId="100" fillId="74" borderId="57" xfId="1" applyNumberFormat="1" applyFont="1" applyFill="1" applyBorder="1" applyAlignment="1">
      <alignment horizontal="center"/>
    </xf>
    <xf numFmtId="168" fontId="102" fillId="74" borderId="57" xfId="1" applyNumberFormat="1" applyFont="1" applyFill="1" applyBorder="1" applyAlignment="1">
      <alignment horizontal="center" vertical="center"/>
    </xf>
    <xf numFmtId="165" fontId="100" fillId="74" borderId="57" xfId="1" applyFont="1" applyFill="1" applyBorder="1" applyAlignment="1">
      <alignment horizontal="center"/>
    </xf>
    <xf numFmtId="165" fontId="100" fillId="74" borderId="0" xfId="1" applyFont="1" applyFill="1" applyBorder="1" applyAlignment="1">
      <alignment horizontal="center"/>
    </xf>
    <xf numFmtId="165" fontId="100" fillId="74" borderId="99" xfId="1" applyFont="1" applyFill="1" applyBorder="1" applyAlignment="1">
      <alignment horizontal="center"/>
    </xf>
    <xf numFmtId="0" fontId="177" fillId="0" borderId="10" xfId="0" applyFont="1" applyBorder="1" applyAlignment="1">
      <alignment vertical="center" wrapText="1"/>
    </xf>
    <xf numFmtId="0" fontId="177" fillId="0" borderId="10" xfId="0" applyFont="1" applyBorder="1" applyAlignment="1">
      <alignment horizontal="center" vertical="center"/>
    </xf>
    <xf numFmtId="14" fontId="177" fillId="0" borderId="10" xfId="0" applyNumberFormat="1" applyFont="1" applyBorder="1" applyAlignment="1">
      <alignment horizontal="center" vertical="center"/>
    </xf>
    <xf numFmtId="0" fontId="177" fillId="0" borderId="10" xfId="0" applyFont="1" applyBorder="1" applyAlignment="1">
      <alignment horizontal="center" vertical="center" wrapText="1"/>
    </xf>
    <xf numFmtId="0" fontId="103" fillId="0" borderId="100" xfId="0" applyFont="1" applyBorder="1" applyAlignment="1">
      <alignment vertical="center"/>
    </xf>
    <xf numFmtId="165" fontId="102" fillId="0" borderId="99" xfId="1" applyFont="1" applyFill="1" applyBorder="1" applyAlignment="1">
      <alignment horizontal="center" vertical="center"/>
    </xf>
    <xf numFmtId="14" fontId="177" fillId="0" borderId="11" xfId="0" applyNumberFormat="1" applyFont="1" applyBorder="1" applyAlignment="1">
      <alignment horizontal="center" vertical="center"/>
    </xf>
    <xf numFmtId="0" fontId="177" fillId="0" borderId="11" xfId="0" applyFont="1" applyBorder="1" applyAlignment="1">
      <alignment horizontal="center" vertical="center"/>
    </xf>
    <xf numFmtId="0" fontId="177" fillId="0" borderId="11" xfId="0" applyFont="1" applyBorder="1" applyAlignment="1">
      <alignment horizontal="center" vertical="center" wrapText="1"/>
    </xf>
    <xf numFmtId="0" fontId="177" fillId="0" borderId="76" xfId="0" applyFont="1" applyBorder="1" applyAlignment="1">
      <alignment horizontal="center" vertical="center" wrapText="1"/>
    </xf>
    <xf numFmtId="0" fontId="176" fillId="0" borderId="11" xfId="0" applyFont="1" applyBorder="1" applyAlignment="1">
      <alignment horizontal="center" vertical="center"/>
    </xf>
    <xf numFmtId="0" fontId="177" fillId="0" borderId="11" xfId="0" applyFont="1" applyBorder="1" applyAlignment="1">
      <alignment vertical="center" wrapText="1"/>
    </xf>
    <xf numFmtId="0" fontId="176" fillId="0" borderId="30" xfId="579" applyFont="1" applyBorder="1" applyAlignment="1">
      <alignment horizontal="center" vertical="center"/>
    </xf>
    <xf numFmtId="0" fontId="176" fillId="0" borderId="10" xfId="579" applyFont="1" applyBorder="1" applyAlignment="1">
      <alignment vertical="center" wrapText="1"/>
    </xf>
    <xf numFmtId="0" fontId="176" fillId="0" borderId="31" xfId="579" applyFont="1" applyBorder="1" applyAlignment="1">
      <alignment horizontal="center" vertical="center"/>
    </xf>
    <xf numFmtId="0" fontId="176" fillId="0" borderId="28" xfId="579" applyFont="1" applyBorder="1" applyAlignment="1">
      <alignment horizontal="center" vertical="center"/>
    </xf>
    <xf numFmtId="180" fontId="176" fillId="0" borderId="28" xfId="579" applyNumberFormat="1" applyFont="1" applyBorder="1" applyAlignment="1">
      <alignment horizontal="center" vertical="center"/>
    </xf>
    <xf numFmtId="0" fontId="176" fillId="0" borderId="28" xfId="579" applyFont="1" applyBorder="1" applyAlignment="1">
      <alignment horizontal="center" vertical="center" wrapText="1"/>
    </xf>
    <xf numFmtId="0" fontId="111" fillId="0" borderId="60" xfId="579" applyFont="1" applyBorder="1" applyAlignment="1">
      <alignment horizontal="center" vertical="center"/>
    </xf>
    <xf numFmtId="165" fontId="102" fillId="0" borderId="0" xfId="1" applyFont="1" applyFill="1" applyBorder="1" applyAlignment="1">
      <alignment vertical="center"/>
    </xf>
    <xf numFmtId="165" fontId="102" fillId="0" borderId="0" xfId="1" applyFont="1" applyFill="1" applyBorder="1" applyAlignment="1">
      <alignment horizontal="right" vertical="center"/>
    </xf>
    <xf numFmtId="0" fontId="176" fillId="0" borderId="67" xfId="579" applyFont="1" applyBorder="1" applyAlignment="1">
      <alignment horizontal="center" vertical="center" wrapText="1"/>
    </xf>
    <xf numFmtId="0" fontId="105" fillId="0" borderId="57" xfId="0" applyFont="1" applyBorder="1" applyAlignment="1">
      <alignment horizontal="center" vertical="center" wrapText="1"/>
    </xf>
    <xf numFmtId="0" fontId="105" fillId="0" borderId="57" xfId="0" applyFont="1" applyBorder="1" applyAlignment="1">
      <alignment vertical="center"/>
    </xf>
    <xf numFmtId="1" fontId="105" fillId="0" borderId="57" xfId="0" applyNumberFormat="1" applyFont="1" applyBorder="1" applyAlignment="1">
      <alignment horizontal="center"/>
    </xf>
    <xf numFmtId="0" fontId="105" fillId="0" borderId="57" xfId="0" applyFont="1" applyBorder="1" applyAlignment="1">
      <alignment horizontal="center" vertical="center"/>
    </xf>
    <xf numFmtId="165" fontId="105" fillId="0" borderId="58" xfId="1" applyFont="1" applyFill="1" applyBorder="1" applyAlignment="1">
      <alignment horizontal="center" vertical="center"/>
    </xf>
    <xf numFmtId="0" fontId="179" fillId="0" borderId="10" xfId="0" applyFont="1" applyBorder="1" applyAlignment="1">
      <alignment horizontal="center" vertical="center"/>
    </xf>
    <xf numFmtId="0" fontId="100" fillId="74" borderId="51" xfId="0" applyFont="1" applyFill="1" applyBorder="1" applyAlignment="1">
      <alignment horizontal="left" wrapText="1"/>
    </xf>
    <xf numFmtId="167" fontId="175" fillId="0" borderId="10" xfId="0" applyNumberFormat="1" applyFont="1" applyBorder="1" applyAlignment="1">
      <alignment horizontal="center" vertical="center"/>
    </xf>
    <xf numFmtId="0" fontId="180" fillId="0" borderId="10" xfId="0" applyFont="1" applyBorder="1" applyAlignment="1">
      <alignment horizontal="center" vertical="center"/>
    </xf>
    <xf numFmtId="0" fontId="176" fillId="0" borderId="27" xfId="0" applyFont="1" applyBorder="1" applyAlignment="1">
      <alignment horizontal="left" vertical="center" wrapText="1"/>
    </xf>
    <xf numFmtId="0" fontId="179" fillId="0" borderId="10" xfId="0" applyFont="1" applyBorder="1" applyAlignment="1">
      <alignment horizontal="left" vertical="center"/>
    </xf>
    <xf numFmtId="0" fontId="89" fillId="0" borderId="27" xfId="0" applyFont="1" applyBorder="1" applyAlignment="1">
      <alignment horizontal="center" vertical="center"/>
    </xf>
    <xf numFmtId="0" fontId="175" fillId="0" borderId="0" xfId="0" applyFont="1" applyAlignment="1">
      <alignment horizontal="center" vertical="center"/>
    </xf>
    <xf numFmtId="1" fontId="102" fillId="78" borderId="57" xfId="0" applyNumberFormat="1" applyFont="1" applyFill="1" applyBorder="1" applyAlignment="1">
      <alignment horizontal="center"/>
    </xf>
    <xf numFmtId="0" fontId="175" fillId="0" borderId="27" xfId="0" applyFont="1" applyBorder="1" applyAlignment="1">
      <alignment vertical="center" wrapText="1"/>
    </xf>
    <xf numFmtId="0" fontId="176" fillId="0" borderId="13" xfId="0" applyFont="1" applyBorder="1" applyAlignment="1">
      <alignment horizontal="center" vertical="center"/>
    </xf>
    <xf numFmtId="0" fontId="176" fillId="0" borderId="0" xfId="0" applyFont="1" applyAlignment="1">
      <alignment horizontal="center" vertical="center"/>
    </xf>
    <xf numFmtId="15" fontId="176" fillId="0" borderId="10" xfId="0" applyNumberFormat="1" applyFont="1" applyBorder="1" applyAlignment="1">
      <alignment horizontal="center" vertical="center"/>
    </xf>
    <xf numFmtId="0" fontId="103" fillId="74" borderId="51" xfId="0" applyFont="1" applyFill="1" applyBorder="1" applyAlignment="1">
      <alignment horizontal="left" vertical="center"/>
    </xf>
    <xf numFmtId="0" fontId="103" fillId="74" borderId="51" xfId="0" applyFont="1" applyFill="1" applyBorder="1" applyAlignment="1">
      <alignment horizontal="center" vertical="center"/>
    </xf>
    <xf numFmtId="165" fontId="103" fillId="74" borderId="51" xfId="1" applyFont="1" applyFill="1" applyBorder="1" applyAlignment="1">
      <alignment horizontal="left" vertical="center"/>
    </xf>
    <xf numFmtId="165" fontId="103" fillId="74" borderId="58" xfId="1" applyFont="1" applyFill="1" applyBorder="1" applyAlignment="1">
      <alignment horizontal="center" vertical="center"/>
    </xf>
    <xf numFmtId="15" fontId="176" fillId="0" borderId="10" xfId="0" quotePrefix="1" applyNumberFormat="1" applyFont="1" applyBorder="1" applyAlignment="1">
      <alignment horizontal="center" vertical="center"/>
    </xf>
    <xf numFmtId="0" fontId="176" fillId="0" borderId="51" xfId="0" applyFont="1" applyBorder="1" applyAlignment="1">
      <alignment horizontal="center" vertical="center"/>
    </xf>
    <xf numFmtId="0" fontId="176" fillId="0" borderId="51" xfId="0" applyFont="1" applyBorder="1" applyAlignment="1">
      <alignment horizontal="center" vertical="center" wrapText="1"/>
    </xf>
    <xf numFmtId="0" fontId="176" fillId="0" borderId="62" xfId="0" applyFont="1" applyBorder="1" applyAlignment="1">
      <alignment horizontal="center" vertical="center"/>
    </xf>
    <xf numFmtId="0" fontId="176" fillId="0" borderId="62" xfId="0" applyFont="1" applyBorder="1" applyAlignment="1">
      <alignment vertical="center" wrapText="1"/>
    </xf>
    <xf numFmtId="15" fontId="179" fillId="0" borderId="62" xfId="0" applyNumberFormat="1" applyFont="1" applyBorder="1" applyAlignment="1">
      <alignment horizontal="left" vertical="center"/>
    </xf>
    <xf numFmtId="0" fontId="179" fillId="0" borderId="62" xfId="0" applyFont="1" applyBorder="1" applyAlignment="1">
      <alignment horizontal="center" vertical="center"/>
    </xf>
    <xf numFmtId="15" fontId="176" fillId="0" borderId="62" xfId="0" quotePrefix="1" applyNumberFormat="1" applyFont="1" applyBorder="1" applyAlignment="1">
      <alignment horizontal="center" vertical="center"/>
    </xf>
    <xf numFmtId="181" fontId="176" fillId="0" borderId="62" xfId="0" applyNumberFormat="1" applyFont="1" applyBorder="1" applyAlignment="1">
      <alignment horizontal="center" vertical="center"/>
    </xf>
    <xf numFmtId="0" fontId="176" fillId="0" borderId="62" xfId="0" applyFont="1" applyBorder="1" applyAlignment="1">
      <alignment horizontal="center" vertical="center" wrapText="1"/>
    </xf>
    <xf numFmtId="0" fontId="179" fillId="0" borderId="51" xfId="0" applyFont="1" applyBorder="1" applyAlignment="1">
      <alignment horizontal="center" vertical="center"/>
    </xf>
    <xf numFmtId="15" fontId="176" fillId="0" borderId="51" xfId="0" quotePrefix="1" applyNumberFormat="1" applyFont="1" applyBorder="1" applyAlignment="1">
      <alignment horizontal="center" vertical="center"/>
    </xf>
    <xf numFmtId="0" fontId="88" fillId="0" borderId="51" xfId="0" applyFont="1" applyBorder="1" applyAlignment="1">
      <alignment vertical="center"/>
    </xf>
    <xf numFmtId="1" fontId="102" fillId="0" borderId="51" xfId="45" applyNumberFormat="1" applyFont="1" applyBorder="1" applyAlignment="1">
      <alignment horizontal="center" vertical="center"/>
    </xf>
    <xf numFmtId="0" fontId="176" fillId="0" borderId="61" xfId="0" applyFont="1" applyBorder="1" applyAlignment="1">
      <alignment horizontal="center" vertical="center"/>
    </xf>
    <xf numFmtId="0" fontId="176" fillId="0" borderId="61" xfId="0" applyFont="1" applyBorder="1" applyAlignment="1">
      <alignment vertical="center" wrapText="1"/>
    </xf>
    <xf numFmtId="0" fontId="179" fillId="0" borderId="61" xfId="0" applyFont="1" applyBorder="1" applyAlignment="1">
      <alignment horizontal="left" vertical="center"/>
    </xf>
    <xf numFmtId="0" fontId="179" fillId="0" borderId="61" xfId="0" applyFont="1" applyBorder="1" applyAlignment="1">
      <alignment horizontal="center" vertical="center"/>
    </xf>
    <xf numFmtId="15" fontId="176" fillId="0" borderId="61" xfId="0" quotePrefix="1" applyNumberFormat="1" applyFont="1" applyBorder="1" applyAlignment="1">
      <alignment horizontal="center" vertical="center"/>
    </xf>
    <xf numFmtId="181" fontId="176" fillId="0" borderId="61" xfId="0" applyNumberFormat="1" applyFont="1" applyBorder="1" applyAlignment="1">
      <alignment horizontal="center" vertical="center"/>
    </xf>
    <xf numFmtId="0" fontId="176" fillId="0" borderId="61" xfId="0" applyFont="1" applyBorder="1" applyAlignment="1">
      <alignment horizontal="center" vertical="center" wrapText="1"/>
    </xf>
    <xf numFmtId="0" fontId="89" fillId="0" borderId="61" xfId="0" applyFont="1" applyBorder="1" applyAlignment="1">
      <alignment horizontal="center" vertical="center"/>
    </xf>
    <xf numFmtId="0" fontId="102" fillId="0" borderId="57" xfId="45" applyFont="1" applyBorder="1" applyAlignment="1">
      <alignment vertical="center"/>
    </xf>
    <xf numFmtId="168" fontId="88" fillId="0" borderId="57" xfId="1" applyNumberFormat="1" applyFont="1" applyFill="1" applyBorder="1" applyAlignment="1">
      <alignment horizontal="center" vertical="center"/>
    </xf>
    <xf numFmtId="0" fontId="176" fillId="0" borderId="61" xfId="0" applyFont="1" applyBorder="1" applyAlignment="1">
      <alignment vertical="center"/>
    </xf>
    <xf numFmtId="0" fontId="176" fillId="58" borderId="61" xfId="0" applyFont="1" applyFill="1" applyBorder="1" applyAlignment="1">
      <alignment horizontal="center" vertical="center"/>
    </xf>
    <xf numFmtId="0" fontId="176" fillId="58" borderId="61" xfId="0" applyFont="1" applyFill="1" applyBorder="1" applyAlignment="1">
      <alignment vertical="center" wrapText="1"/>
    </xf>
    <xf numFmtId="0" fontId="178" fillId="58" borderId="61" xfId="0" applyFont="1" applyFill="1" applyBorder="1" applyAlignment="1">
      <alignment horizontal="left" vertical="center"/>
    </xf>
    <xf numFmtId="0" fontId="179" fillId="58" borderId="61" xfId="0" applyFont="1" applyFill="1" applyBorder="1" applyAlignment="1">
      <alignment horizontal="center" vertical="center"/>
    </xf>
    <xf numFmtId="168" fontId="176" fillId="0" borderId="61" xfId="1" applyNumberFormat="1" applyFont="1" applyFill="1" applyBorder="1" applyAlignment="1">
      <alignment horizontal="center" vertical="center" wrapText="1"/>
    </xf>
    <xf numFmtId="0" fontId="103" fillId="58" borderId="57" xfId="0" applyFont="1" applyFill="1" applyBorder="1" applyAlignment="1">
      <alignment horizontal="left" vertical="center"/>
    </xf>
    <xf numFmtId="0" fontId="103" fillId="58" borderId="57" xfId="0" applyFont="1" applyFill="1" applyBorder="1" applyAlignment="1">
      <alignment horizontal="center" vertical="center"/>
    </xf>
    <xf numFmtId="168" fontId="103" fillId="58" borderId="57" xfId="1" applyNumberFormat="1" applyFont="1" applyFill="1" applyBorder="1" applyAlignment="1">
      <alignment horizontal="center" vertical="center"/>
    </xf>
    <xf numFmtId="15" fontId="176" fillId="0" borderId="61" xfId="0" applyNumberFormat="1" applyFont="1" applyBorder="1" applyAlignment="1">
      <alignment horizontal="center" vertical="center"/>
    </xf>
    <xf numFmtId="168" fontId="103" fillId="74" borderId="51" xfId="1" applyNumberFormat="1" applyFont="1" applyFill="1" applyBorder="1" applyAlignment="1">
      <alignment horizontal="center" vertical="center"/>
    </xf>
    <xf numFmtId="168" fontId="103" fillId="74" borderId="58" xfId="1" applyNumberFormat="1" applyFont="1" applyFill="1" applyBorder="1" applyAlignment="1">
      <alignment horizontal="center" vertical="center"/>
    </xf>
    <xf numFmtId="165" fontId="103" fillId="74" borderId="51" xfId="1" applyFont="1" applyFill="1" applyBorder="1" applyAlignment="1">
      <alignment horizontal="center" vertical="center"/>
    </xf>
    <xf numFmtId="165" fontId="103" fillId="74" borderId="56" xfId="1" applyFont="1" applyFill="1" applyBorder="1" applyAlignment="1">
      <alignment horizontal="center" vertical="center"/>
    </xf>
    <xf numFmtId="17" fontId="176" fillId="0" borderId="51" xfId="0" applyNumberFormat="1" applyFont="1" applyBorder="1" applyAlignment="1">
      <alignment vertical="center" wrapText="1"/>
    </xf>
    <xf numFmtId="17" fontId="176" fillId="0" borderId="51" xfId="0" applyNumberFormat="1" applyFont="1" applyBorder="1" applyAlignment="1">
      <alignment horizontal="right" vertical="center"/>
    </xf>
    <xf numFmtId="0" fontId="176" fillId="0" borderId="51" xfId="0" applyFont="1" applyBorder="1" applyAlignment="1">
      <alignment vertical="center"/>
    </xf>
    <xf numFmtId="167" fontId="176" fillId="77" borderId="38" xfId="43" applyNumberFormat="1" applyFont="1" applyFill="1" applyBorder="1" applyAlignment="1">
      <alignment horizontal="center" vertical="center"/>
    </xf>
    <xf numFmtId="167" fontId="176" fillId="77" borderId="37" xfId="45" applyNumberFormat="1" applyFont="1" applyFill="1" applyBorder="1" applyAlignment="1">
      <alignment horizontal="center" vertical="center"/>
    </xf>
    <xf numFmtId="0" fontId="176" fillId="0" borderId="39" xfId="0" applyFont="1" applyBorder="1" applyAlignment="1">
      <alignment vertical="center" wrapText="1"/>
    </xf>
    <xf numFmtId="0" fontId="176" fillId="0" borderId="39" xfId="0" applyFont="1" applyBorder="1" applyAlignment="1">
      <alignment horizontal="center" vertical="center"/>
    </xf>
    <xf numFmtId="0" fontId="176" fillId="0" borderId="42" xfId="0" applyFont="1" applyBorder="1" applyAlignment="1">
      <alignment vertical="center" wrapText="1"/>
    </xf>
    <xf numFmtId="0" fontId="176" fillId="0" borderId="39" xfId="0" applyFont="1" applyBorder="1" applyAlignment="1">
      <alignment vertical="center"/>
    </xf>
    <xf numFmtId="0" fontId="176" fillId="0" borderId="36" xfId="0" applyFont="1" applyBorder="1" applyAlignment="1">
      <alignment vertical="center" wrapText="1"/>
    </xf>
    <xf numFmtId="168" fontId="103" fillId="74" borderId="57" xfId="1" applyNumberFormat="1" applyFont="1" applyFill="1" applyBorder="1" applyAlignment="1">
      <alignment horizontal="center" vertical="center" wrapText="1"/>
    </xf>
    <xf numFmtId="0" fontId="177" fillId="0" borderId="61" xfId="0" applyFont="1" applyBorder="1" applyAlignment="1">
      <alignment horizontal="left" vertical="center" wrapText="1"/>
    </xf>
    <xf numFmtId="0" fontId="177" fillId="0" borderId="61" xfId="0" applyFont="1" applyBorder="1" applyAlignment="1">
      <alignment horizontal="center" vertical="center" wrapText="1"/>
    </xf>
    <xf numFmtId="14" fontId="177" fillId="0" borderId="61" xfId="0" applyNumberFormat="1" applyFont="1" applyBorder="1" applyAlignment="1">
      <alignment horizontal="left" vertical="center" wrapText="1"/>
    </xf>
    <xf numFmtId="0" fontId="179" fillId="0" borderId="61" xfId="0" applyFont="1" applyBorder="1" applyAlignment="1">
      <alignment horizontal="center" vertical="center" wrapText="1"/>
    </xf>
    <xf numFmtId="0" fontId="176" fillId="0" borderId="61" xfId="0" applyFont="1" applyBorder="1" applyAlignment="1">
      <alignment horizontal="left" vertical="center" wrapText="1"/>
    </xf>
    <xf numFmtId="3" fontId="102" fillId="0" borderId="57" xfId="0" applyNumberFormat="1" applyFont="1" applyBorder="1" applyAlignment="1">
      <alignment horizontal="center" vertical="center"/>
    </xf>
    <xf numFmtId="0" fontId="176" fillId="58" borderId="0" xfId="0" applyFont="1" applyFill="1" applyAlignment="1">
      <alignment horizontal="justify" vertical="center"/>
    </xf>
    <xf numFmtId="0" fontId="176" fillId="58" borderId="10" xfId="0" applyFont="1" applyFill="1" applyBorder="1" applyAlignment="1">
      <alignment horizontal="justify" vertical="center"/>
    </xf>
    <xf numFmtId="181" fontId="176" fillId="58" borderId="10" xfId="0" applyNumberFormat="1" applyFont="1" applyFill="1" applyBorder="1" applyAlignment="1">
      <alignment horizontal="center" vertical="center"/>
    </xf>
    <xf numFmtId="0" fontId="176" fillId="0" borderId="10" xfId="0" quotePrefix="1" applyFont="1" applyBorder="1" applyAlignment="1">
      <alignment vertical="center" wrapText="1"/>
    </xf>
    <xf numFmtId="0" fontId="176" fillId="0" borderId="39" xfId="0" applyFont="1" applyBorder="1" applyAlignment="1">
      <alignment horizontal="left" vertical="center" wrapText="1"/>
    </xf>
    <xf numFmtId="0" fontId="176" fillId="0" borderId="0" xfId="0" applyFont="1" applyAlignment="1">
      <alignment horizontal="center" vertical="center" wrapText="1"/>
    </xf>
    <xf numFmtId="168" fontId="88" fillId="0" borderId="10" xfId="1" applyNumberFormat="1" applyFont="1" applyBorder="1" applyAlignment="1">
      <alignment horizontal="center" vertical="center"/>
    </xf>
    <xf numFmtId="168" fontId="105" fillId="0" borderId="57" xfId="1" applyNumberFormat="1" applyFont="1" applyFill="1" applyBorder="1" applyAlignment="1">
      <alignment vertical="center"/>
    </xf>
    <xf numFmtId="168" fontId="105" fillId="74" borderId="57" xfId="1" applyNumberFormat="1" applyFont="1" applyFill="1" applyBorder="1" applyAlignment="1">
      <alignment horizontal="center" vertical="center" wrapText="1"/>
    </xf>
    <xf numFmtId="168" fontId="105" fillId="0" borderId="57" xfId="1" applyNumberFormat="1" applyFont="1" applyFill="1" applyBorder="1" applyAlignment="1">
      <alignment horizontal="center" vertical="center" wrapText="1"/>
    </xf>
    <xf numFmtId="168" fontId="105" fillId="74" borderId="10" xfId="1" applyNumberFormat="1" applyFont="1" applyFill="1" applyBorder="1" applyAlignment="1">
      <alignment horizontal="left" vertical="center" wrapText="1"/>
    </xf>
    <xf numFmtId="168" fontId="105" fillId="74" borderId="57" xfId="1" applyNumberFormat="1" applyFont="1" applyFill="1" applyBorder="1" applyAlignment="1">
      <alignment horizontal="left" vertical="center" wrapText="1"/>
    </xf>
    <xf numFmtId="168" fontId="105" fillId="74" borderId="10" xfId="1" applyNumberFormat="1" applyFont="1" applyFill="1" applyBorder="1" applyAlignment="1">
      <alignment horizontal="left" vertical="center"/>
    </xf>
    <xf numFmtId="168" fontId="105" fillId="74" borderId="57" xfId="1" applyNumberFormat="1" applyFont="1" applyFill="1" applyBorder="1" applyAlignment="1">
      <alignment horizontal="left" vertical="center"/>
    </xf>
    <xf numFmtId="0" fontId="161" fillId="70" borderId="0" xfId="0" applyFont="1" applyFill="1" applyAlignment="1">
      <alignment vertical="center"/>
    </xf>
    <xf numFmtId="168" fontId="173" fillId="0" borderId="0" xfId="1" applyNumberFormat="1" applyFont="1" applyAlignment="1">
      <alignment vertical="center"/>
    </xf>
    <xf numFmtId="168" fontId="164" fillId="97" borderId="57" xfId="1" applyNumberFormat="1" applyFont="1" applyFill="1" applyBorder="1" applyAlignment="1">
      <alignment horizontal="center" vertical="center"/>
    </xf>
    <xf numFmtId="0" fontId="19" fillId="0" borderId="0" xfId="0" applyFont="1"/>
    <xf numFmtId="165" fontId="19" fillId="0" borderId="0" xfId="1" applyFont="1"/>
    <xf numFmtId="165" fontId="105" fillId="0" borderId="57" xfId="1" applyFont="1" applyFill="1" applyBorder="1" applyAlignment="1">
      <alignment vertical="center"/>
    </xf>
    <xf numFmtId="165" fontId="105" fillId="0" borderId="99" xfId="1" applyFont="1" applyFill="1" applyBorder="1" applyAlignment="1">
      <alignment vertical="center"/>
    </xf>
    <xf numFmtId="168" fontId="176" fillId="0" borderId="10" xfId="1" applyNumberFormat="1" applyFont="1" applyBorder="1" applyAlignment="1">
      <alignment horizontal="center" vertical="center"/>
    </xf>
    <xf numFmtId="0" fontId="176" fillId="0" borderId="43" xfId="0" applyFont="1" applyBorder="1" applyAlignment="1">
      <alignment horizontal="left" vertical="center" wrapText="1"/>
    </xf>
    <xf numFmtId="0" fontId="176" fillId="0" borderId="39" xfId="402" applyFont="1" applyBorder="1" applyAlignment="1">
      <alignment vertical="center" wrapText="1"/>
    </xf>
    <xf numFmtId="168" fontId="176" fillId="0" borderId="10" xfId="1" applyNumberFormat="1" applyFont="1" applyFill="1" applyBorder="1" applyAlignment="1">
      <alignment horizontal="center" vertical="center"/>
    </xf>
    <xf numFmtId="165" fontId="103" fillId="74" borderId="99" xfId="1" applyFont="1" applyFill="1" applyBorder="1" applyAlignment="1">
      <alignment horizontal="center" vertical="center"/>
    </xf>
    <xf numFmtId="0" fontId="176" fillId="0" borderId="57" xfId="0" applyFont="1" applyBorder="1" applyAlignment="1">
      <alignment horizontal="center" vertical="center" wrapText="1"/>
    </xf>
    <xf numFmtId="168" fontId="102" fillId="0" borderId="99" xfId="1" applyNumberFormat="1" applyFont="1" applyBorder="1" applyAlignment="1">
      <alignment horizontal="center" vertical="center"/>
    </xf>
    <xf numFmtId="165" fontId="181" fillId="0" borderId="0" xfId="1" applyFont="1"/>
    <xf numFmtId="165" fontId="17" fillId="0" borderId="0" xfId="1" applyFont="1"/>
    <xf numFmtId="165" fontId="164" fillId="0" borderId="57" xfId="0" applyNumberFormat="1" applyFont="1" applyBorder="1" applyAlignment="1">
      <alignment horizontal="center" vertical="center"/>
    </xf>
    <xf numFmtId="165" fontId="172" fillId="0" borderId="57" xfId="1" applyFont="1" applyBorder="1" applyAlignment="1">
      <alignment vertical="center"/>
    </xf>
    <xf numFmtId="187" fontId="172" fillId="0" borderId="57" xfId="0" applyNumberFormat="1" applyFont="1" applyBorder="1" applyAlignment="1">
      <alignment vertical="center"/>
    </xf>
    <xf numFmtId="187" fontId="164" fillId="0" borderId="57" xfId="0" applyNumberFormat="1" applyFont="1" applyBorder="1" applyAlignment="1">
      <alignment vertical="center"/>
    </xf>
    <xf numFmtId="165" fontId="172" fillId="0" borderId="0" xfId="1" applyFont="1"/>
    <xf numFmtId="165" fontId="172" fillId="0" borderId="0" xfId="1" applyFont="1" applyAlignment="1">
      <alignment vertical="center"/>
    </xf>
    <xf numFmtId="0" fontId="174" fillId="0" borderId="0" xfId="0" applyFont="1" applyAlignment="1">
      <alignment vertical="top"/>
    </xf>
    <xf numFmtId="0" fontId="172" fillId="0" borderId="0" xfId="0" applyFont="1" applyAlignment="1">
      <alignment horizontal="right"/>
    </xf>
    <xf numFmtId="0" fontId="172" fillId="0" borderId="57" xfId="1" applyNumberFormat="1" applyFont="1" applyBorder="1" applyAlignment="1">
      <alignment horizontal="left" vertical="center" wrapText="1"/>
    </xf>
    <xf numFmtId="3" fontId="164" fillId="0" borderId="0" xfId="0" applyNumberFormat="1" applyFont="1"/>
    <xf numFmtId="0" fontId="164" fillId="0" borderId="0" xfId="0" applyFont="1"/>
    <xf numFmtId="168" fontId="164" fillId="0" borderId="0" xfId="1" applyNumberFormat="1" applyFont="1"/>
    <xf numFmtId="0" fontId="164" fillId="0" borderId="0" xfId="0" applyFont="1" applyAlignment="1">
      <alignment horizontal="left"/>
    </xf>
    <xf numFmtId="0" fontId="164" fillId="0" borderId="0" xfId="0" applyFont="1" applyAlignment="1">
      <alignment vertical="top"/>
    </xf>
    <xf numFmtId="0" fontId="164" fillId="0" borderId="0" xfId="0" applyFont="1" applyAlignment="1">
      <alignment horizontal="right"/>
    </xf>
    <xf numFmtId="3" fontId="173" fillId="0" borderId="0" xfId="0" applyNumberFormat="1" applyFont="1" applyAlignment="1">
      <alignment horizontal="right" vertical="center"/>
    </xf>
    <xf numFmtId="3" fontId="172" fillId="0" borderId="0" xfId="0" applyNumberFormat="1" applyFont="1" applyAlignment="1">
      <alignment horizontal="right"/>
    </xf>
    <xf numFmtId="165" fontId="164" fillId="0" borderId="0" xfId="1" applyFont="1" applyAlignment="1">
      <alignment horizontal="right" vertical="center"/>
    </xf>
    <xf numFmtId="165" fontId="164" fillId="97" borderId="57" xfId="1" applyFont="1" applyFill="1" applyBorder="1" applyAlignment="1">
      <alignment horizontal="center" vertical="top" wrapText="1"/>
    </xf>
    <xf numFmtId="165" fontId="164" fillId="0" borderId="57" xfId="1" applyFont="1" applyBorder="1" applyAlignment="1">
      <alignment vertical="center"/>
    </xf>
    <xf numFmtId="165" fontId="164" fillId="0" borderId="57" xfId="1" applyFont="1" applyBorder="1" applyAlignment="1">
      <alignment horizontal="center" vertical="center"/>
    </xf>
    <xf numFmtId="165" fontId="164" fillId="0" borderId="0" xfId="1" applyFont="1"/>
    <xf numFmtId="187" fontId="172" fillId="0" borderId="0" xfId="0" applyNumberFormat="1" applyFont="1"/>
    <xf numFmtId="187" fontId="172" fillId="58" borderId="57" xfId="0" applyNumberFormat="1" applyFont="1" applyFill="1" applyBorder="1" applyAlignment="1">
      <alignment vertical="center"/>
    </xf>
    <xf numFmtId="165" fontId="172" fillId="0" borderId="0" xfId="1" applyFont="1" applyBorder="1"/>
    <xf numFmtId="187" fontId="172" fillId="0" borderId="0" xfId="0" applyNumberFormat="1" applyFont="1" applyAlignment="1">
      <alignment vertical="center"/>
    </xf>
    <xf numFmtId="187" fontId="172" fillId="58" borderId="0" xfId="0" applyNumberFormat="1" applyFont="1" applyFill="1" applyAlignment="1">
      <alignment vertical="center"/>
    </xf>
    <xf numFmtId="165" fontId="0" fillId="0" borderId="0" xfId="1" applyFont="1" applyBorder="1"/>
    <xf numFmtId="165" fontId="172" fillId="0" borderId="0" xfId="0" applyNumberFormat="1" applyFont="1" applyAlignment="1">
      <alignment vertical="center"/>
    </xf>
    <xf numFmtId="3" fontId="173" fillId="0" borderId="0" xfId="0" applyNumberFormat="1" applyFont="1"/>
    <xf numFmtId="187" fontId="164" fillId="0" borderId="0" xfId="0" applyNumberFormat="1" applyFont="1" applyAlignment="1">
      <alignment vertical="top"/>
    </xf>
    <xf numFmtId="0" fontId="1" fillId="0" borderId="0" xfId="0" applyFont="1"/>
    <xf numFmtId="0" fontId="138" fillId="0" borderId="0" xfId="0" applyFont="1" applyAlignment="1">
      <alignment horizontal="center" vertical="center"/>
    </xf>
    <xf numFmtId="0" fontId="186" fillId="0" borderId="0" xfId="0" applyFont="1" applyAlignment="1">
      <alignment vertical="center"/>
    </xf>
    <xf numFmtId="0" fontId="1" fillId="0" borderId="0" xfId="0" applyFont="1" applyAlignment="1">
      <alignment horizontal="center"/>
    </xf>
    <xf numFmtId="0" fontId="186" fillId="0" borderId="0" xfId="0" applyFont="1" applyAlignment="1">
      <alignment horizontal="center" vertical="center"/>
    </xf>
    <xf numFmtId="0" fontId="145" fillId="0" borderId="0" xfId="378" applyFont="1" applyAlignment="1">
      <alignment vertical="center"/>
    </xf>
    <xf numFmtId="0" fontId="187" fillId="0" borderId="0" xfId="378" applyFont="1" applyAlignment="1">
      <alignment vertical="center" wrapText="1"/>
    </xf>
    <xf numFmtId="0" fontId="145" fillId="0" borderId="0" xfId="378" applyFont="1" applyAlignment="1">
      <alignment horizontal="left" vertical="center"/>
    </xf>
    <xf numFmtId="0" fontId="188" fillId="0" borderId="0" xfId="0" applyFont="1" applyAlignment="1">
      <alignment horizontal="center" vertical="center"/>
    </xf>
    <xf numFmtId="0" fontId="189" fillId="0" borderId="0" xfId="0" applyFont="1"/>
    <xf numFmtId="0" fontId="137" fillId="0" borderId="0" xfId="0" applyFont="1"/>
    <xf numFmtId="0" fontId="145" fillId="0" borderId="0" xfId="378" applyFont="1" applyAlignment="1">
      <alignment vertical="center" wrapText="1"/>
    </xf>
    <xf numFmtId="0" fontId="190" fillId="0" borderId="0" xfId="0" applyFont="1" applyAlignment="1">
      <alignment horizontal="right" vertical="center"/>
    </xf>
    <xf numFmtId="0" fontId="0" fillId="0" borderId="0" xfId="0" applyAlignment="1">
      <alignment horizontal="left" vertical="center"/>
    </xf>
    <xf numFmtId="17" fontId="17" fillId="0" borderId="0" xfId="0" applyNumberFormat="1" applyFont="1" applyAlignment="1">
      <alignment vertical="center"/>
    </xf>
    <xf numFmtId="0" fontId="191" fillId="0" borderId="0" xfId="0" applyFont="1" applyAlignment="1">
      <alignment horizontal="right" vertical="center"/>
    </xf>
    <xf numFmtId="0" fontId="17" fillId="0" borderId="0" xfId="0" applyFont="1" applyAlignment="1">
      <alignment vertical="center"/>
    </xf>
    <xf numFmtId="0" fontId="190" fillId="0" borderId="0" xfId="0" applyFont="1" applyAlignment="1">
      <alignment vertical="center"/>
    </xf>
    <xf numFmtId="0" fontId="17" fillId="0" borderId="0" xfId="0" applyFont="1" applyAlignment="1">
      <alignment horizontal="left" vertical="center"/>
    </xf>
    <xf numFmtId="0" fontId="193" fillId="0" borderId="0" xfId="0" applyFont="1"/>
    <xf numFmtId="0" fontId="155" fillId="0" borderId="0" xfId="378" applyFont="1" applyAlignment="1">
      <alignment horizontal="center" vertical="center"/>
    </xf>
    <xf numFmtId="0" fontId="194" fillId="0" borderId="0" xfId="378" applyFont="1" applyAlignment="1">
      <alignment horizontal="center" vertical="center"/>
    </xf>
    <xf numFmtId="0" fontId="155" fillId="0" borderId="0" xfId="0" applyFont="1"/>
    <xf numFmtId="0" fontId="155" fillId="0" borderId="98" xfId="0" applyFont="1" applyBorder="1" applyAlignment="1">
      <alignment horizontal="center" vertical="center" wrapText="1"/>
    </xf>
    <xf numFmtId="0" fontId="195" fillId="0" borderId="98" xfId="0" applyFont="1" applyBorder="1" applyAlignment="1">
      <alignment horizontal="center" vertical="center" wrapText="1"/>
    </xf>
    <xf numFmtId="0" fontId="102" fillId="0" borderId="98" xfId="0" applyFont="1" applyBorder="1" applyAlignment="1">
      <alignment horizontal="center" vertical="center"/>
    </xf>
    <xf numFmtId="0" fontId="196" fillId="98" borderId="98" xfId="0" applyFont="1" applyFill="1" applyBorder="1" applyAlignment="1">
      <alignment vertical="center" wrapText="1"/>
    </xf>
    <xf numFmtId="0" fontId="155" fillId="0" borderId="98" xfId="0" applyFont="1" applyBorder="1" applyAlignment="1">
      <alignment horizontal="left" vertical="center" wrapText="1"/>
    </xf>
    <xf numFmtId="15" fontId="155" fillId="0" borderId="98" xfId="0" applyNumberFormat="1" applyFont="1" applyBorder="1" applyAlignment="1">
      <alignment horizontal="center" vertical="center" wrapText="1"/>
    </xf>
    <xf numFmtId="41" fontId="195" fillId="0" borderId="98" xfId="594" applyFont="1" applyBorder="1" applyAlignment="1">
      <alignment horizontal="center" vertical="center" wrapText="1"/>
    </xf>
    <xf numFmtId="41" fontId="155" fillId="71" borderId="98" xfId="594" applyFont="1" applyFill="1" applyBorder="1" applyAlignment="1">
      <alignment horizontal="center" vertical="center" wrapText="1"/>
    </xf>
    <xf numFmtId="3" fontId="155" fillId="71" borderId="98" xfId="388" applyNumberFormat="1" applyFont="1" applyFill="1" applyBorder="1" applyAlignment="1">
      <alignment horizontal="center" vertical="center" wrapText="1"/>
    </xf>
    <xf numFmtId="3" fontId="155" fillId="33" borderId="98" xfId="388" applyNumberFormat="1" applyFont="1" applyFill="1" applyBorder="1" applyAlignment="1">
      <alignment horizontal="center" vertical="center" wrapText="1"/>
    </xf>
    <xf numFmtId="3" fontId="155" fillId="0" borderId="98" xfId="388" applyNumberFormat="1" applyFont="1" applyBorder="1" applyAlignment="1">
      <alignment horizontal="center" vertical="center" wrapText="1"/>
    </xf>
    <xf numFmtId="41" fontId="155" fillId="0" borderId="98" xfId="594" applyFont="1" applyFill="1" applyBorder="1" applyAlignment="1">
      <alignment horizontal="center" vertical="center" wrapText="1"/>
    </xf>
    <xf numFmtId="41" fontId="155" fillId="99" borderId="98" xfId="594" applyFont="1" applyFill="1" applyBorder="1" applyAlignment="1">
      <alignment horizontal="center" vertical="center" wrapText="1"/>
    </xf>
    <xf numFmtId="41" fontId="155" fillId="33" borderId="98" xfId="594" applyFont="1" applyFill="1" applyBorder="1" applyAlignment="1">
      <alignment horizontal="center" vertical="center" wrapText="1"/>
    </xf>
    <xf numFmtId="3" fontId="194" fillId="58" borderId="98" xfId="1" applyNumberFormat="1" applyFont="1" applyFill="1" applyBorder="1" applyAlignment="1">
      <alignment horizontal="center" vertical="center" wrapText="1"/>
    </xf>
    <xf numFmtId="0" fontId="155" fillId="0" borderId="0" xfId="0" applyFont="1" applyAlignment="1">
      <alignment vertical="center"/>
    </xf>
    <xf numFmtId="0" fontId="196" fillId="98" borderId="98" xfId="0" applyFont="1" applyFill="1" applyBorder="1" applyAlignment="1">
      <alignment horizontal="left" vertical="center"/>
    </xf>
    <xf numFmtId="0" fontId="197" fillId="98" borderId="98" xfId="0" applyFont="1" applyFill="1" applyBorder="1" applyAlignment="1">
      <alignment vertical="center"/>
    </xf>
    <xf numFmtId="0" fontId="196" fillId="98" borderId="0" xfId="0" applyFont="1" applyFill="1" applyAlignment="1">
      <alignment horizontal="left" vertical="center"/>
    </xf>
    <xf numFmtId="0" fontId="102" fillId="34" borderId="98" xfId="0" applyFont="1" applyFill="1" applyBorder="1" applyAlignment="1">
      <alignment horizontal="center" vertical="center"/>
    </xf>
    <xf numFmtId="0" fontId="196" fillId="34" borderId="98" xfId="0" applyFont="1" applyFill="1" applyBorder="1" applyAlignment="1">
      <alignment vertical="center" wrapText="1"/>
    </xf>
    <xf numFmtId="0" fontId="155" fillId="34" borderId="98" xfId="0" applyFont="1" applyFill="1" applyBorder="1" applyAlignment="1">
      <alignment horizontal="left" vertical="center" wrapText="1"/>
    </xf>
    <xf numFmtId="0" fontId="155" fillId="34" borderId="98" xfId="0" applyFont="1" applyFill="1" applyBorder="1" applyAlignment="1">
      <alignment horizontal="center" vertical="center" wrapText="1"/>
    </xf>
    <xf numFmtId="15" fontId="155" fillId="34" borderId="98" xfId="0" applyNumberFormat="1" applyFont="1" applyFill="1" applyBorder="1" applyAlignment="1">
      <alignment horizontal="center" vertical="center" wrapText="1"/>
    </xf>
    <xf numFmtId="0" fontId="195" fillId="34" borderId="98" xfId="0" applyFont="1" applyFill="1" applyBorder="1" applyAlignment="1">
      <alignment horizontal="center" vertical="center" wrapText="1"/>
    </xf>
    <xf numFmtId="41" fontId="195" fillId="34" borderId="98" xfId="594" applyFont="1" applyFill="1" applyBorder="1" applyAlignment="1">
      <alignment horizontal="center" vertical="center" wrapText="1"/>
    </xf>
    <xf numFmtId="41" fontId="155" fillId="34" borderId="98" xfId="594" applyFont="1" applyFill="1" applyBorder="1" applyAlignment="1">
      <alignment horizontal="center" vertical="center" wrapText="1"/>
    </xf>
    <xf numFmtId="3" fontId="155" fillId="34" borderId="98" xfId="388" applyNumberFormat="1" applyFont="1" applyFill="1" applyBorder="1" applyAlignment="1">
      <alignment horizontal="center" vertical="center" wrapText="1"/>
    </xf>
    <xf numFmtId="41" fontId="155" fillId="100" borderId="98" xfId="594" applyFont="1" applyFill="1" applyBorder="1" applyAlignment="1">
      <alignment horizontal="center" vertical="center" wrapText="1"/>
    </xf>
    <xf numFmtId="3" fontId="194" fillId="34" borderId="98" xfId="1" applyNumberFormat="1" applyFont="1" applyFill="1" applyBorder="1" applyAlignment="1">
      <alignment horizontal="center" vertical="center" wrapText="1"/>
    </xf>
    <xf numFmtId="0" fontId="155" fillId="34" borderId="0" xfId="0" applyFont="1" applyFill="1" applyAlignment="1">
      <alignment vertical="center"/>
    </xf>
    <xf numFmtId="0" fontId="102" fillId="78" borderId="98" xfId="0" applyFont="1" applyFill="1" applyBorder="1" applyAlignment="1">
      <alignment horizontal="center" vertical="center"/>
    </xf>
    <xf numFmtId="0" fontId="197" fillId="78" borderId="98" xfId="0" applyFont="1" applyFill="1" applyBorder="1" applyAlignment="1">
      <alignment vertical="center"/>
    </xf>
    <xf numFmtId="0" fontId="197" fillId="78" borderId="98" xfId="0" applyFont="1" applyFill="1" applyBorder="1" applyAlignment="1">
      <alignment horizontal="left" vertical="center" wrapText="1"/>
    </xf>
    <xf numFmtId="0" fontId="196" fillId="78" borderId="98" xfId="0" applyFont="1" applyFill="1" applyBorder="1" applyAlignment="1">
      <alignment vertical="center" wrapText="1"/>
    </xf>
    <xf numFmtId="0" fontId="198" fillId="78" borderId="98" xfId="0" applyFont="1" applyFill="1" applyBorder="1" applyAlignment="1">
      <alignment vertical="center" wrapText="1"/>
    </xf>
    <xf numFmtId="0" fontId="155" fillId="78" borderId="98" xfId="0" applyFont="1" applyFill="1" applyBorder="1" applyAlignment="1">
      <alignment horizontal="left" vertical="center" wrapText="1"/>
    </xf>
    <xf numFmtId="0" fontId="155" fillId="78" borderId="98" xfId="0" applyFont="1" applyFill="1" applyBorder="1" applyAlignment="1">
      <alignment horizontal="center" vertical="center" wrapText="1"/>
    </xf>
    <xf numFmtId="15" fontId="155" fillId="78" borderId="98" xfId="0" applyNumberFormat="1" applyFont="1" applyFill="1" applyBorder="1" applyAlignment="1">
      <alignment horizontal="center" vertical="center" wrapText="1"/>
    </xf>
    <xf numFmtId="0" fontId="195" fillId="78" borderId="98" xfId="0" applyFont="1" applyFill="1" applyBorder="1" applyAlignment="1">
      <alignment horizontal="center" vertical="center" wrapText="1"/>
    </xf>
    <xf numFmtId="41" fontId="195" fillId="78" borderId="98" xfId="594" applyFont="1" applyFill="1" applyBorder="1" applyAlignment="1">
      <alignment horizontal="center" vertical="center" wrapText="1"/>
    </xf>
    <xf numFmtId="41" fontId="155" fillId="78" borderId="98" xfId="594" applyFont="1" applyFill="1" applyBorder="1" applyAlignment="1">
      <alignment horizontal="center" vertical="center" wrapText="1"/>
    </xf>
    <xf numFmtId="3" fontId="155" fillId="78" borderId="98" xfId="388" applyNumberFormat="1" applyFont="1" applyFill="1" applyBorder="1" applyAlignment="1">
      <alignment horizontal="center" vertical="center" wrapText="1"/>
    </xf>
    <xf numFmtId="41" fontId="155" fillId="101" borderId="98" xfId="594" applyFont="1" applyFill="1" applyBorder="1" applyAlignment="1">
      <alignment horizontal="center" vertical="center" wrapText="1"/>
    </xf>
    <xf numFmtId="3" fontId="194" fillId="78" borderId="98" xfId="1" applyNumberFormat="1" applyFont="1" applyFill="1" applyBorder="1" applyAlignment="1">
      <alignment horizontal="center" vertical="center" wrapText="1"/>
    </xf>
    <xf numFmtId="0" fontId="155" fillId="78" borderId="0" xfId="0" applyFont="1" applyFill="1" applyAlignment="1">
      <alignment vertical="center"/>
    </xf>
    <xf numFmtId="0" fontId="102" fillId="102" borderId="98" xfId="0" applyFont="1" applyFill="1" applyBorder="1" applyAlignment="1">
      <alignment horizontal="center" vertical="center"/>
    </xf>
    <xf numFmtId="0" fontId="196" fillId="102" borderId="98" xfId="0" applyFont="1" applyFill="1" applyBorder="1" applyAlignment="1">
      <alignment vertical="center" wrapText="1"/>
    </xf>
    <xf numFmtId="0" fontId="196" fillId="102" borderId="98" xfId="0" applyFont="1" applyFill="1" applyBorder="1" applyAlignment="1">
      <alignment horizontal="left" vertical="center" wrapText="1"/>
    </xf>
    <xf numFmtId="0" fontId="198" fillId="102" borderId="98" xfId="0" applyFont="1" applyFill="1" applyBorder="1" applyAlignment="1">
      <alignment vertical="center" wrapText="1"/>
    </xf>
    <xf numFmtId="0" fontId="155" fillId="102" borderId="98" xfId="0" applyFont="1" applyFill="1" applyBorder="1" applyAlignment="1">
      <alignment horizontal="left" vertical="center" wrapText="1"/>
    </xf>
    <xf numFmtId="0" fontId="155" fillId="102" borderId="98" xfId="0" applyFont="1" applyFill="1" applyBorder="1" applyAlignment="1">
      <alignment horizontal="center" vertical="center" wrapText="1"/>
    </xf>
    <xf numFmtId="15" fontId="155" fillId="102" borderId="98" xfId="0" applyNumberFormat="1" applyFont="1" applyFill="1" applyBorder="1" applyAlignment="1">
      <alignment horizontal="center" vertical="center" wrapText="1"/>
    </xf>
    <xf numFmtId="0" fontId="195" fillId="102" borderId="98" xfId="0" applyFont="1" applyFill="1" applyBorder="1" applyAlignment="1">
      <alignment horizontal="center" vertical="center" wrapText="1"/>
    </xf>
    <xf numFmtId="41" fontId="195" fillId="102" borderId="98" xfId="594" applyFont="1" applyFill="1" applyBorder="1" applyAlignment="1">
      <alignment horizontal="center" vertical="center" wrapText="1"/>
    </xf>
    <xf numFmtId="41" fontId="155" fillId="102" borderId="98" xfId="594" applyFont="1" applyFill="1" applyBorder="1" applyAlignment="1">
      <alignment horizontal="center" vertical="center" wrapText="1"/>
    </xf>
    <xf numFmtId="3" fontId="155" fillId="102" borderId="98" xfId="388" applyNumberFormat="1" applyFont="1" applyFill="1" applyBorder="1" applyAlignment="1">
      <alignment horizontal="center" vertical="center" wrapText="1"/>
    </xf>
    <xf numFmtId="41" fontId="155" fillId="103" borderId="98" xfId="594" applyFont="1" applyFill="1" applyBorder="1" applyAlignment="1">
      <alignment horizontal="center" vertical="center" wrapText="1"/>
    </xf>
    <xf numFmtId="3" fontId="194" fillId="102" borderId="98" xfId="1" applyNumberFormat="1" applyFont="1" applyFill="1" applyBorder="1" applyAlignment="1">
      <alignment horizontal="center" vertical="center" wrapText="1"/>
    </xf>
    <xf numFmtId="0" fontId="155" fillId="102" borderId="0" xfId="0" applyFont="1" applyFill="1" applyAlignment="1">
      <alignment vertical="center"/>
    </xf>
    <xf numFmtId="0" fontId="197" fillId="102" borderId="98" xfId="0" applyFont="1" applyFill="1" applyBorder="1" applyAlignment="1">
      <alignment horizontal="left" vertical="center"/>
    </xf>
    <xf numFmtId="0" fontId="197" fillId="102" borderId="98" xfId="0" applyFont="1" applyFill="1" applyBorder="1" applyAlignment="1">
      <alignment vertical="center"/>
    </xf>
    <xf numFmtId="0" fontId="197" fillId="102" borderId="98" xfId="0" applyFont="1" applyFill="1" applyBorder="1" applyAlignment="1">
      <alignment horizontal="left" vertical="center" wrapText="1"/>
    </xf>
    <xf numFmtId="0" fontId="102" fillId="104" borderId="98" xfId="0" applyFont="1" applyFill="1" applyBorder="1" applyAlignment="1">
      <alignment horizontal="center" vertical="center"/>
    </xf>
    <xf numFmtId="0" fontId="197" fillId="104" borderId="98" xfId="0" applyFont="1" applyFill="1" applyBorder="1" applyAlignment="1">
      <alignment vertical="center"/>
    </xf>
    <xf numFmtId="0" fontId="194" fillId="104" borderId="98" xfId="0" applyFont="1" applyFill="1" applyBorder="1" applyAlignment="1">
      <alignment vertical="center"/>
    </xf>
    <xf numFmtId="0" fontId="198" fillId="104" borderId="98" xfId="0" applyFont="1" applyFill="1" applyBorder="1" applyAlignment="1">
      <alignment vertical="center" wrapText="1"/>
    </xf>
    <xf numFmtId="0" fontId="155" fillId="104" borderId="98" xfId="0" applyFont="1" applyFill="1" applyBorder="1" applyAlignment="1">
      <alignment horizontal="left" vertical="center" wrapText="1"/>
    </xf>
    <xf numFmtId="0" fontId="155" fillId="104" borderId="98" xfId="0" applyFont="1" applyFill="1" applyBorder="1" applyAlignment="1">
      <alignment horizontal="center" vertical="center" wrapText="1"/>
    </xf>
    <xf numFmtId="15" fontId="155" fillId="104" borderId="98" xfId="0" applyNumberFormat="1" applyFont="1" applyFill="1" applyBorder="1" applyAlignment="1">
      <alignment horizontal="center" vertical="center" wrapText="1"/>
    </xf>
    <xf numFmtId="0" fontId="195" fillId="104" borderId="98" xfId="0" applyFont="1" applyFill="1" applyBorder="1" applyAlignment="1">
      <alignment horizontal="center" vertical="center" wrapText="1"/>
    </xf>
    <xf numFmtId="41" fontId="195" fillId="104" borderId="98" xfId="594" applyFont="1" applyFill="1" applyBorder="1" applyAlignment="1">
      <alignment horizontal="center" vertical="center" wrapText="1"/>
    </xf>
    <xf numFmtId="41" fontId="155" fillId="104" borderId="98" xfId="594" applyFont="1" applyFill="1" applyBorder="1" applyAlignment="1">
      <alignment horizontal="center" vertical="center" wrapText="1"/>
    </xf>
    <xf numFmtId="3" fontId="155" fillId="104" borderId="98" xfId="388" applyNumberFormat="1" applyFont="1" applyFill="1" applyBorder="1" applyAlignment="1">
      <alignment horizontal="center" vertical="center" wrapText="1"/>
    </xf>
    <xf numFmtId="41" fontId="155" fillId="105" borderId="98" xfId="594" applyFont="1" applyFill="1" applyBorder="1" applyAlignment="1">
      <alignment horizontal="center" vertical="center" wrapText="1"/>
    </xf>
    <xf numFmtId="3" fontId="194" fillId="104" borderId="98" xfId="1" applyNumberFormat="1" applyFont="1" applyFill="1" applyBorder="1" applyAlignment="1">
      <alignment horizontal="center" vertical="center" wrapText="1"/>
    </xf>
    <xf numFmtId="0" fontId="155" fillId="104" borderId="0" xfId="0" applyFont="1" applyFill="1" applyAlignment="1">
      <alignment vertical="center"/>
    </xf>
    <xf numFmtId="0" fontId="196" fillId="104" borderId="98" xfId="0" applyFont="1" applyFill="1" applyBorder="1" applyAlignment="1">
      <alignment vertical="center" wrapText="1"/>
    </xf>
    <xf numFmtId="0" fontId="194" fillId="34" borderId="98" xfId="0" applyFont="1" applyFill="1" applyBorder="1" applyAlignment="1">
      <alignment vertical="center"/>
    </xf>
    <xf numFmtId="0" fontId="197" fillId="98" borderId="98" xfId="0" applyFont="1" applyFill="1" applyBorder="1" applyAlignment="1">
      <alignment horizontal="left" vertical="center" wrapText="1"/>
    </xf>
    <xf numFmtId="0" fontId="194" fillId="98" borderId="98" xfId="0" applyFont="1" applyFill="1" applyBorder="1" applyAlignment="1">
      <alignment vertical="center"/>
    </xf>
    <xf numFmtId="0" fontId="199" fillId="98" borderId="98" xfId="0" applyFont="1" applyFill="1" applyBorder="1" applyAlignment="1">
      <alignment vertical="center" wrapText="1"/>
    </xf>
    <xf numFmtId="0" fontId="199" fillId="98" borderId="98" xfId="0" applyFont="1" applyFill="1" applyBorder="1" applyAlignment="1">
      <alignment horizontal="center" vertical="center" wrapText="1"/>
    </xf>
    <xf numFmtId="0" fontId="196" fillId="98" borderId="98" xfId="0" applyFont="1" applyFill="1" applyBorder="1" applyAlignment="1">
      <alignment horizontal="left" vertical="center" wrapText="1"/>
    </xf>
    <xf numFmtId="0" fontId="155" fillId="77" borderId="98" xfId="0" applyFont="1" applyFill="1" applyBorder="1" applyAlignment="1">
      <alignment horizontal="center" vertical="center"/>
    </xf>
    <xf numFmtId="190" fontId="155" fillId="77" borderId="98" xfId="1" applyNumberFormat="1" applyFont="1" applyFill="1" applyBorder="1" applyAlignment="1">
      <alignment horizontal="center" vertical="center"/>
    </xf>
    <xf numFmtId="0" fontId="155" fillId="0" borderId="0" xfId="0" applyFont="1" applyAlignment="1">
      <alignment horizontal="center"/>
    </xf>
    <xf numFmtId="190" fontId="155" fillId="99" borderId="98" xfId="1" applyNumberFormat="1" applyFont="1" applyFill="1" applyBorder="1" applyAlignment="1">
      <alignment horizontal="center" vertical="center"/>
    </xf>
    <xf numFmtId="190" fontId="194" fillId="77" borderId="98" xfId="1" applyNumberFormat="1" applyFont="1" applyFill="1" applyBorder="1" applyAlignment="1">
      <alignment horizontal="center" vertical="center"/>
    </xf>
    <xf numFmtId="3" fontId="155" fillId="0" borderId="0" xfId="0" applyNumberFormat="1" applyFont="1"/>
    <xf numFmtId="0" fontId="117" fillId="0" borderId="0" xfId="0" applyFont="1" applyAlignment="1">
      <alignment vertical="center" wrapText="1"/>
    </xf>
    <xf numFmtId="0" fontId="155" fillId="0" borderId="0" xfId="0" applyFont="1" applyAlignment="1">
      <alignment horizontal="left"/>
    </xf>
    <xf numFmtId="0" fontId="155" fillId="0" borderId="0" xfId="0" applyFont="1" applyAlignment="1">
      <alignment horizontal="right"/>
    </xf>
    <xf numFmtId="168" fontId="194" fillId="0" borderId="0" xfId="1" applyNumberFormat="1" applyFont="1"/>
    <xf numFmtId="168" fontId="194" fillId="0" borderId="0" xfId="0" applyNumberFormat="1" applyFont="1"/>
    <xf numFmtId="0" fontId="194" fillId="0" borderId="0" xfId="0" applyFont="1"/>
    <xf numFmtId="0" fontId="200" fillId="0" borderId="0" xfId="0" applyFont="1" applyAlignment="1">
      <alignment horizontal="right" vertical="center"/>
    </xf>
    <xf numFmtId="0" fontId="194" fillId="0" borderId="0" xfId="0" applyFont="1" applyAlignment="1">
      <alignment horizontal="left"/>
    </xf>
    <xf numFmtId="0" fontId="194" fillId="0" borderId="0" xfId="0" applyFont="1" applyAlignment="1">
      <alignment horizontal="center"/>
    </xf>
    <xf numFmtId="168" fontId="201" fillId="0" borderId="0" xfId="1" applyNumberFormat="1" applyFont="1" applyFill="1" applyBorder="1" applyAlignment="1">
      <alignment horizontal="center" vertical="center" wrapText="1"/>
    </xf>
    <xf numFmtId="0" fontId="197" fillId="0" borderId="0" xfId="0" applyFont="1" applyAlignment="1">
      <alignment horizontal="left" vertical="center" wrapText="1"/>
    </xf>
    <xf numFmtId="0" fontId="102" fillId="98" borderId="98" xfId="0" applyFont="1" applyFill="1" applyBorder="1"/>
    <xf numFmtId="0" fontId="102" fillId="98" borderId="98" xfId="0" applyFont="1" applyFill="1" applyBorder="1" applyAlignment="1">
      <alignment vertical="center" wrapText="1"/>
    </xf>
    <xf numFmtId="0" fontId="155" fillId="0" borderId="98" xfId="0" applyFont="1" applyBorder="1" applyAlignment="1">
      <alignment horizontal="center" vertical="top" wrapText="1"/>
    </xf>
    <xf numFmtId="0" fontId="88" fillId="98" borderId="98" xfId="0" applyFont="1" applyFill="1" applyBorder="1" applyAlignment="1">
      <alignment vertical="center" wrapText="1"/>
    </xf>
    <xf numFmtId="0" fontId="102" fillId="98" borderId="98" xfId="0" applyFont="1" applyFill="1" applyBorder="1" applyAlignment="1">
      <alignment vertical="top" wrapText="1"/>
    </xf>
    <xf numFmtId="0" fontId="88" fillId="98" borderId="98" xfId="0" applyFont="1" applyFill="1" applyBorder="1" applyAlignment="1">
      <alignment horizontal="left" vertical="center" wrapText="1"/>
    </xf>
    <xf numFmtId="0" fontId="92" fillId="78" borderId="98" xfId="0" applyFont="1" applyFill="1" applyBorder="1" applyAlignment="1">
      <alignment vertical="center"/>
    </xf>
    <xf numFmtId="0" fontId="92" fillId="78" borderId="98" xfId="0" applyFont="1" applyFill="1" applyBorder="1" applyAlignment="1">
      <alignment horizontal="left" vertical="center" wrapText="1"/>
    </xf>
    <xf numFmtId="0" fontId="104" fillId="78" borderId="98" xfId="0" applyFont="1" applyFill="1" applyBorder="1" applyAlignment="1">
      <alignment vertical="center" wrapText="1"/>
    </xf>
    <xf numFmtId="0" fontId="102" fillId="102" borderId="98" xfId="0" applyFont="1" applyFill="1" applyBorder="1" applyAlignment="1">
      <alignment vertical="center" wrapText="1"/>
    </xf>
    <xf numFmtId="0" fontId="197" fillId="104" borderId="98" xfId="0" applyFont="1" applyFill="1" applyBorder="1" applyAlignment="1">
      <alignment horizontal="left" vertical="center" wrapText="1"/>
    </xf>
    <xf numFmtId="0" fontId="102" fillId="104" borderId="98" xfId="0" applyFont="1" applyFill="1" applyBorder="1" applyAlignment="1">
      <alignment vertical="center" wrapText="1"/>
    </xf>
    <xf numFmtId="0" fontId="102" fillId="34" borderId="98" xfId="0" applyFont="1" applyFill="1" applyBorder="1" applyAlignment="1">
      <alignment vertical="center" wrapText="1"/>
    </xf>
    <xf numFmtId="0" fontId="102" fillId="98" borderId="98" xfId="0" applyFont="1" applyFill="1" applyBorder="1" applyAlignment="1">
      <alignment horizontal="center" vertical="center"/>
    </xf>
    <xf numFmtId="0" fontId="155" fillId="98" borderId="98" xfId="0" applyFont="1" applyFill="1" applyBorder="1" applyAlignment="1">
      <alignment horizontal="left" vertical="center" wrapText="1"/>
    </xf>
    <xf numFmtId="0" fontId="155" fillId="98" borderId="98" xfId="0" applyFont="1" applyFill="1" applyBorder="1" applyAlignment="1">
      <alignment horizontal="center" vertical="center" wrapText="1"/>
    </xf>
    <xf numFmtId="15" fontId="155" fillId="98" borderId="98" xfId="0" applyNumberFormat="1" applyFont="1" applyFill="1" applyBorder="1" applyAlignment="1">
      <alignment horizontal="center" vertical="center" wrapText="1"/>
    </xf>
    <xf numFmtId="0" fontId="195" fillId="98" borderId="98" xfId="0" applyFont="1" applyFill="1" applyBorder="1" applyAlignment="1">
      <alignment horizontal="center" vertical="center" wrapText="1"/>
    </xf>
    <xf numFmtId="41" fontId="195" fillId="98" borderId="98" xfId="594" applyFont="1" applyFill="1" applyBorder="1" applyAlignment="1">
      <alignment horizontal="center" vertical="center" wrapText="1"/>
    </xf>
    <xf numFmtId="41" fontId="155" fillId="98" borderId="98" xfId="594" applyFont="1" applyFill="1" applyBorder="1" applyAlignment="1">
      <alignment horizontal="center" vertical="center" wrapText="1"/>
    </xf>
    <xf numFmtId="3" fontId="155" fillId="98" borderId="98" xfId="388" applyNumberFormat="1" applyFont="1" applyFill="1" applyBorder="1" applyAlignment="1">
      <alignment horizontal="center" vertical="center" wrapText="1"/>
    </xf>
    <xf numFmtId="0" fontId="197" fillId="98" borderId="98" xfId="0" applyFont="1" applyFill="1" applyBorder="1" applyAlignment="1">
      <alignment horizontal="left" vertical="center"/>
    </xf>
    <xf numFmtId="165" fontId="88" fillId="78" borderId="0" xfId="581" applyNumberFormat="1" applyFont="1" applyFill="1" applyAlignment="1">
      <alignment horizontal="center" vertical="center"/>
    </xf>
    <xf numFmtId="0" fontId="88" fillId="0" borderId="0" xfId="581" applyFont="1" applyAlignment="1">
      <alignment vertical="center"/>
    </xf>
    <xf numFmtId="0" fontId="88" fillId="0" borderId="0" xfId="581" applyFont="1" applyAlignment="1">
      <alignment horizontal="left" vertical="center"/>
    </xf>
    <xf numFmtId="0" fontId="87" fillId="0" borderId="0" xfId="581" applyFont="1" applyAlignment="1">
      <alignment horizontal="left" vertical="center" wrapText="1"/>
    </xf>
    <xf numFmtId="0" fontId="87" fillId="0" borderId="0" xfId="581" applyFont="1" applyAlignment="1">
      <alignment horizontal="center" vertical="center"/>
    </xf>
    <xf numFmtId="0" fontId="88" fillId="0" borderId="0" xfId="581" applyFont="1" applyAlignment="1">
      <alignment horizontal="center" vertical="center"/>
    </xf>
    <xf numFmtId="191" fontId="88" fillId="0" borderId="0" xfId="581" applyNumberFormat="1" applyFont="1" applyAlignment="1">
      <alignment horizontal="center" vertical="center"/>
    </xf>
    <xf numFmtId="167" fontId="88" fillId="0" borderId="0" xfId="581" applyNumberFormat="1" applyFont="1" applyAlignment="1">
      <alignment horizontal="center" vertical="center"/>
    </xf>
    <xf numFmtId="0" fontId="88" fillId="0" borderId="0" xfId="581" applyFont="1" applyAlignment="1">
      <alignment horizontal="left" vertical="center" wrapText="1"/>
    </xf>
    <xf numFmtId="165" fontId="88" fillId="0" borderId="0" xfId="1" applyFont="1" applyFill="1" applyAlignment="1">
      <alignment horizontal="right" vertical="center"/>
    </xf>
    <xf numFmtId="165" fontId="88" fillId="0" borderId="0" xfId="582" applyFont="1" applyFill="1" applyAlignment="1">
      <alignment horizontal="left" vertical="center" wrapText="1"/>
    </xf>
    <xf numFmtId="3" fontId="88" fillId="0" borderId="0" xfId="581" applyNumberFormat="1" applyFont="1" applyAlignment="1">
      <alignment horizontal="right" vertical="center"/>
    </xf>
    <xf numFmtId="165" fontId="88" fillId="0" borderId="0" xfId="1" applyFont="1" applyFill="1" applyAlignment="1">
      <alignment vertical="center" wrapText="1"/>
    </xf>
    <xf numFmtId="165" fontId="88" fillId="0" borderId="0" xfId="1" applyFont="1" applyFill="1" applyAlignment="1">
      <alignment horizontal="center" vertical="center" wrapText="1"/>
    </xf>
    <xf numFmtId="165" fontId="87" fillId="34" borderId="0" xfId="1" applyFont="1" applyFill="1" applyAlignment="1">
      <alignment vertical="center" wrapText="1"/>
    </xf>
    <xf numFmtId="0" fontId="87" fillId="34" borderId="0" xfId="581" applyFont="1" applyFill="1" applyAlignment="1">
      <alignment horizontal="left" vertical="center"/>
    </xf>
    <xf numFmtId="0" fontId="95" fillId="0" borderId="0" xfId="581" applyFont="1" applyAlignment="1">
      <alignment horizontal="right" vertical="center"/>
    </xf>
    <xf numFmtId="165" fontId="87" fillId="0" borderId="0" xfId="1" applyFont="1" applyFill="1" applyAlignment="1">
      <alignment vertical="center" wrapText="1"/>
    </xf>
    <xf numFmtId="0" fontId="87" fillId="0" borderId="0" xfId="581" applyFont="1" applyAlignment="1">
      <alignment horizontal="left" vertical="center"/>
    </xf>
    <xf numFmtId="165" fontId="87" fillId="106" borderId="0" xfId="581" applyNumberFormat="1" applyFont="1" applyFill="1" applyAlignment="1">
      <alignment vertical="center"/>
    </xf>
    <xf numFmtId="0" fontId="87" fillId="106" borderId="0" xfId="581" applyFont="1" applyFill="1" applyAlignment="1">
      <alignment horizontal="left" vertical="center"/>
    </xf>
    <xf numFmtId="0" fontId="87" fillId="0" borderId="0" xfId="581" applyFont="1" applyAlignment="1">
      <alignment vertical="center"/>
    </xf>
    <xf numFmtId="191" fontId="87" fillId="0" borderId="0" xfId="581" applyNumberFormat="1" applyFont="1" applyAlignment="1">
      <alignment horizontal="center" vertical="center"/>
    </xf>
    <xf numFmtId="167" fontId="87" fillId="0" borderId="0" xfId="581" applyNumberFormat="1" applyFont="1" applyAlignment="1">
      <alignment horizontal="center" vertical="center"/>
    </xf>
    <xf numFmtId="165" fontId="87" fillId="0" borderId="0" xfId="1" applyFont="1" applyFill="1" applyAlignment="1">
      <alignment horizontal="right" vertical="center"/>
    </xf>
    <xf numFmtId="3" fontId="87" fillId="34" borderId="0" xfId="581" applyNumberFormat="1" applyFont="1" applyFill="1" applyAlignment="1">
      <alignment horizontal="right" vertical="center"/>
    </xf>
    <xf numFmtId="165" fontId="202" fillId="0" borderId="0" xfId="1" applyFont="1" applyFill="1" applyAlignment="1">
      <alignment vertical="center" wrapText="1"/>
    </xf>
    <xf numFmtId="0" fontId="91" fillId="0" borderId="57" xfId="581" applyFont="1" applyBorder="1" applyAlignment="1">
      <alignment horizontal="center" vertical="center" wrapText="1"/>
    </xf>
    <xf numFmtId="181" fontId="91" fillId="58" borderId="57" xfId="581" applyNumberFormat="1" applyFont="1" applyFill="1" applyBorder="1" applyAlignment="1">
      <alignment horizontal="center" vertical="center" wrapText="1"/>
    </xf>
    <xf numFmtId="0" fontId="92" fillId="58" borderId="57" xfId="581" applyFont="1" applyFill="1" applyBorder="1" applyAlignment="1">
      <alignment horizontal="center" vertical="center" wrapText="1"/>
    </xf>
    <xf numFmtId="0" fontId="92" fillId="0" borderId="57" xfId="581" applyFont="1" applyBorder="1" applyAlignment="1">
      <alignment horizontal="center" vertical="center" wrapText="1"/>
    </xf>
    <xf numFmtId="0" fontId="91" fillId="0" borderId="57" xfId="43" applyFont="1" applyBorder="1" applyAlignment="1">
      <alignment horizontal="center" vertical="center"/>
    </xf>
    <xf numFmtId="0" fontId="91" fillId="0" borderId="57" xfId="43" applyFont="1" applyBorder="1" applyAlignment="1">
      <alignment horizontal="center" vertical="center" wrapText="1"/>
    </xf>
    <xf numFmtId="165" fontId="91" fillId="0" borderId="57" xfId="1" applyFont="1" applyFill="1" applyBorder="1" applyAlignment="1">
      <alignment horizontal="center" vertical="center" wrapText="1"/>
    </xf>
    <xf numFmtId="165" fontId="91" fillId="0" borderId="57" xfId="582" applyFont="1" applyFill="1" applyBorder="1" applyAlignment="1">
      <alignment horizontal="center" vertical="center" wrapText="1"/>
    </xf>
    <xf numFmtId="3" fontId="91" fillId="0" borderId="57" xfId="43" applyNumberFormat="1" applyFont="1" applyBorder="1" applyAlignment="1">
      <alignment horizontal="center" vertical="center" wrapText="1"/>
    </xf>
    <xf numFmtId="165" fontId="117" fillId="0" borderId="57" xfId="1" applyFont="1" applyFill="1" applyBorder="1" applyAlignment="1" applyProtection="1">
      <alignment horizontal="center" vertical="center" wrapText="1"/>
    </xf>
    <xf numFmtId="0" fontId="91" fillId="73" borderId="57" xfId="581" applyFont="1" applyFill="1" applyBorder="1" applyAlignment="1">
      <alignment horizontal="center" vertical="center" wrapText="1"/>
    </xf>
    <xf numFmtId="0" fontId="92" fillId="0" borderId="58" xfId="581" applyFont="1" applyBorder="1" applyAlignment="1">
      <alignment horizontal="center" vertical="center" wrapText="1"/>
    </xf>
    <xf numFmtId="0" fontId="92" fillId="0" borderId="0" xfId="581" applyFont="1" applyAlignment="1">
      <alignment horizontal="center" vertical="center" wrapText="1"/>
    </xf>
    <xf numFmtId="0" fontId="91" fillId="58" borderId="106" xfId="581" applyFont="1" applyFill="1" applyBorder="1" applyAlignment="1">
      <alignment horizontal="center" vertical="center" wrapText="1"/>
    </xf>
    <xf numFmtId="1" fontId="91" fillId="58" borderId="106" xfId="43" applyNumberFormat="1" applyFont="1" applyFill="1" applyBorder="1" applyAlignment="1">
      <alignment horizontal="center" vertical="center" wrapText="1"/>
    </xf>
    <xf numFmtId="0" fontId="91" fillId="58" borderId="106" xfId="43" applyFont="1" applyFill="1" applyBorder="1" applyAlignment="1">
      <alignment horizontal="center" vertical="center" wrapText="1"/>
    </xf>
    <xf numFmtId="191" fontId="91" fillId="58" borderId="106" xfId="43" applyNumberFormat="1" applyFont="1" applyFill="1" applyBorder="1" applyAlignment="1">
      <alignment horizontal="center" vertical="center" wrapText="1"/>
    </xf>
    <xf numFmtId="167" fontId="91" fillId="58" borderId="106" xfId="43" applyNumberFormat="1" applyFont="1" applyFill="1" applyBorder="1" applyAlignment="1">
      <alignment horizontal="center" vertical="center" wrapText="1"/>
    </xf>
    <xf numFmtId="167" fontId="91" fillId="58" borderId="106" xfId="581" applyNumberFormat="1" applyFont="1" applyFill="1" applyBorder="1" applyAlignment="1">
      <alignment horizontal="center" vertical="center" wrapText="1"/>
    </xf>
    <xf numFmtId="181" fontId="91" fillId="58" borderId="106" xfId="581" applyNumberFormat="1" applyFont="1" applyFill="1" applyBorder="1" applyAlignment="1">
      <alignment horizontal="center" vertical="center" wrapText="1"/>
    </xf>
    <xf numFmtId="165" fontId="91" fillId="58" borderId="106" xfId="1" applyFont="1" applyFill="1" applyBorder="1" applyAlignment="1">
      <alignment horizontal="center" vertical="center" wrapText="1"/>
    </xf>
    <xf numFmtId="165" fontId="91" fillId="58" borderId="106" xfId="582" applyFont="1" applyFill="1" applyBorder="1" applyAlignment="1">
      <alignment horizontal="center" vertical="center" wrapText="1"/>
    </xf>
    <xf numFmtId="3" fontId="91" fillId="58" borderId="106" xfId="43" applyNumberFormat="1" applyFont="1" applyFill="1" applyBorder="1" applyAlignment="1">
      <alignment horizontal="center" vertical="center" wrapText="1"/>
    </xf>
    <xf numFmtId="165" fontId="91" fillId="109" borderId="106" xfId="1" applyFont="1" applyFill="1" applyBorder="1" applyAlignment="1" applyProtection="1">
      <alignment horizontal="center" vertical="center" wrapText="1"/>
    </xf>
    <xf numFmtId="165" fontId="91" fillId="108" borderId="106" xfId="1" applyFont="1" applyFill="1" applyBorder="1" applyAlignment="1" applyProtection="1">
      <alignment horizontal="center" vertical="center" wrapText="1"/>
    </xf>
    <xf numFmtId="0" fontId="91" fillId="73" borderId="106" xfId="581" applyFont="1" applyFill="1" applyBorder="1" applyAlignment="1">
      <alignment horizontal="center" vertical="center" wrapText="1"/>
    </xf>
    <xf numFmtId="0" fontId="88" fillId="110" borderId="57" xfId="581" applyFont="1" applyFill="1" applyBorder="1" applyAlignment="1">
      <alignment horizontal="center" vertical="center"/>
    </xf>
    <xf numFmtId="0" fontId="87" fillId="110" borderId="57" xfId="581" applyFont="1" applyFill="1" applyBorder="1" applyAlignment="1">
      <alignment vertical="center"/>
    </xf>
    <xf numFmtId="0" fontId="88" fillId="110" borderId="57" xfId="581" applyFont="1" applyFill="1" applyBorder="1" applyAlignment="1">
      <alignment horizontal="left" vertical="center"/>
    </xf>
    <xf numFmtId="0" fontId="88" fillId="110" borderId="57" xfId="581" applyFont="1" applyFill="1" applyBorder="1" applyAlignment="1">
      <alignment vertical="center"/>
    </xf>
    <xf numFmtId="0" fontId="100" fillId="110" borderId="57" xfId="0" applyFont="1" applyFill="1" applyBorder="1" applyAlignment="1">
      <alignment horizontal="center" vertical="center" wrapText="1"/>
    </xf>
    <xf numFmtId="0" fontId="112" fillId="110" borderId="57" xfId="595" applyFont="1" applyFill="1" applyBorder="1" applyAlignment="1">
      <alignment horizontal="center" vertical="center" wrapText="1"/>
    </xf>
    <xf numFmtId="0" fontId="88" fillId="110" borderId="57" xfId="43" applyFont="1" applyFill="1" applyBorder="1" applyAlignment="1">
      <alignment horizontal="center" vertical="center" wrapText="1"/>
    </xf>
    <xf numFmtId="191" fontId="88" fillId="110" borderId="57" xfId="43" applyNumberFormat="1" applyFont="1" applyFill="1" applyBorder="1" applyAlignment="1">
      <alignment horizontal="center" vertical="center" wrapText="1"/>
    </xf>
    <xf numFmtId="167" fontId="102" fillId="110" borderId="57" xfId="0" applyNumberFormat="1" applyFont="1" applyFill="1" applyBorder="1" applyAlignment="1">
      <alignment horizontal="center" vertical="center" wrapText="1"/>
    </xf>
    <xf numFmtId="181" fontId="88" fillId="110" borderId="57" xfId="581" applyNumberFormat="1" applyFont="1" applyFill="1" applyBorder="1" applyAlignment="1">
      <alignment horizontal="left" vertical="center" wrapText="1"/>
    </xf>
    <xf numFmtId="0" fontId="87" fillId="110" borderId="57" xfId="43" applyFont="1" applyFill="1" applyBorder="1" applyAlignment="1">
      <alignment horizontal="center" vertical="center" wrapText="1"/>
    </xf>
    <xf numFmtId="0" fontId="112" fillId="110" borderId="57" xfId="595" applyFont="1" applyFill="1" applyBorder="1" applyAlignment="1">
      <alignment horizontal="left" vertical="center" wrapText="1"/>
    </xf>
    <xf numFmtId="0" fontId="102" fillId="110" borderId="57" xfId="0" applyFont="1" applyFill="1" applyBorder="1" applyAlignment="1">
      <alignment horizontal="center" vertical="center" wrapText="1"/>
    </xf>
    <xf numFmtId="165" fontId="102" fillId="110" borderId="57" xfId="1" applyFont="1" applyFill="1" applyBorder="1" applyAlignment="1">
      <alignment horizontal="center" vertical="center" wrapText="1"/>
    </xf>
    <xf numFmtId="165" fontId="88" fillId="110" borderId="57" xfId="1" applyFont="1" applyFill="1" applyBorder="1" applyAlignment="1">
      <alignment horizontal="right" vertical="center"/>
    </xf>
    <xf numFmtId="165" fontId="88" fillId="110" borderId="57" xfId="1" applyFont="1" applyFill="1" applyBorder="1" applyAlignment="1">
      <alignment horizontal="center" vertical="center" wrapText="1"/>
    </xf>
    <xf numFmtId="165" fontId="88" fillId="110" borderId="57" xfId="1" applyFont="1" applyFill="1" applyBorder="1" applyAlignment="1">
      <alignment horizontal="right" vertical="center" wrapText="1"/>
    </xf>
    <xf numFmtId="165" fontId="88" fillId="0" borderId="0" xfId="581" applyNumberFormat="1" applyFont="1" applyAlignment="1">
      <alignment vertical="center"/>
    </xf>
    <xf numFmtId="0" fontId="88" fillId="0" borderId="57" xfId="581" applyFont="1" applyBorder="1" applyAlignment="1">
      <alignment horizontal="center" vertical="center"/>
    </xf>
    <xf numFmtId="0" fontId="87" fillId="111" borderId="57" xfId="581" applyFont="1" applyFill="1" applyBorder="1" applyAlignment="1">
      <alignment vertical="center"/>
    </xf>
    <xf numFmtId="0" fontId="88" fillId="0" borderId="57" xfId="581" applyFont="1" applyBorder="1" applyAlignment="1">
      <alignment horizontal="left" vertical="center"/>
    </xf>
    <xf numFmtId="0" fontId="88" fillId="0" borderId="57" xfId="581" applyFont="1" applyBorder="1" applyAlignment="1">
      <alignment vertical="center"/>
    </xf>
    <xf numFmtId="0" fontId="102" fillId="58" borderId="57" xfId="0" applyFont="1" applyFill="1" applyBorder="1" applyAlignment="1">
      <alignment horizontal="center" vertical="center" wrapText="1"/>
    </xf>
    <xf numFmtId="0" fontId="88" fillId="58" borderId="57" xfId="581" applyFont="1" applyFill="1" applyBorder="1" applyAlignment="1">
      <alignment horizontal="left" vertical="center" wrapText="1"/>
    </xf>
    <xf numFmtId="3" fontId="88" fillId="0" borderId="57" xfId="43" applyNumberFormat="1" applyFont="1" applyBorder="1" applyAlignment="1">
      <alignment horizontal="center" vertical="center" wrapText="1"/>
    </xf>
    <xf numFmtId="191" fontId="88" fillId="0" borderId="57" xfId="581" applyNumberFormat="1" applyFont="1" applyBorder="1" applyAlignment="1">
      <alignment horizontal="center" vertical="center"/>
    </xf>
    <xf numFmtId="167" fontId="112" fillId="90" borderId="57" xfId="0" applyNumberFormat="1" applyFont="1" applyFill="1" applyBorder="1" applyAlignment="1">
      <alignment horizontal="center" vertical="center" wrapText="1"/>
    </xf>
    <xf numFmtId="181" fontId="88" fillId="0" borderId="57" xfId="581" applyNumberFormat="1" applyFont="1" applyBorder="1" applyAlignment="1">
      <alignment horizontal="left" vertical="center" wrapText="1"/>
    </xf>
    <xf numFmtId="0" fontId="87" fillId="58" borderId="57" xfId="43" applyFont="1" applyFill="1" applyBorder="1" applyAlignment="1">
      <alignment horizontal="center" vertical="center" wrapText="1"/>
    </xf>
    <xf numFmtId="0" fontId="88" fillId="0" borderId="57" xfId="581" applyFont="1" applyBorder="1" applyAlignment="1">
      <alignment horizontal="left" vertical="center" wrapText="1"/>
    </xf>
    <xf numFmtId="0" fontId="112" fillId="33" borderId="57" xfId="0" applyFont="1" applyFill="1" applyBorder="1" applyAlignment="1">
      <alignment horizontal="center" vertical="center" wrapText="1"/>
    </xf>
    <xf numFmtId="0" fontId="102" fillId="58" borderId="57" xfId="0" applyFont="1" applyFill="1" applyBorder="1" applyAlignment="1">
      <alignment horizontal="center" vertical="center"/>
    </xf>
    <xf numFmtId="165" fontId="88" fillId="58" borderId="57" xfId="1" applyFont="1" applyFill="1" applyBorder="1" applyAlignment="1">
      <alignment horizontal="right" vertical="center"/>
    </xf>
    <xf numFmtId="165" fontId="88" fillId="0" borderId="57" xfId="1" applyFont="1" applyBorder="1" applyAlignment="1">
      <alignment horizontal="center" vertical="center" wrapText="1"/>
    </xf>
    <xf numFmtId="165" fontId="88" fillId="0" borderId="57" xfId="1" applyFont="1" applyBorder="1" applyAlignment="1">
      <alignment vertical="center" wrapText="1"/>
    </xf>
    <xf numFmtId="165" fontId="88" fillId="58" borderId="57" xfId="1" applyFont="1" applyFill="1" applyBorder="1" applyAlignment="1">
      <alignment vertical="center" wrapText="1"/>
    </xf>
    <xf numFmtId="165" fontId="88" fillId="0" borderId="57" xfId="581" applyNumberFormat="1" applyFont="1" applyBorder="1" applyAlignment="1">
      <alignment vertical="center"/>
    </xf>
    <xf numFmtId="165" fontId="88" fillId="34" borderId="57" xfId="581" applyNumberFormat="1" applyFont="1" applyFill="1" applyBorder="1" applyAlignment="1">
      <alignment vertical="center"/>
    </xf>
    <xf numFmtId="165" fontId="88" fillId="0" borderId="57" xfId="1" applyFont="1" applyBorder="1" applyAlignment="1">
      <alignment horizontal="right" vertical="center"/>
    </xf>
    <xf numFmtId="0" fontId="88" fillId="58" borderId="57" xfId="581" applyFont="1" applyFill="1" applyBorder="1" applyAlignment="1">
      <alignment vertical="center"/>
    </xf>
    <xf numFmtId="165" fontId="88" fillId="58" borderId="57" xfId="581" applyNumberFormat="1" applyFont="1" applyFill="1" applyBorder="1" applyAlignment="1">
      <alignment vertical="center"/>
    </xf>
    <xf numFmtId="0" fontId="88" fillId="33" borderId="57" xfId="581" applyFont="1" applyFill="1" applyBorder="1" applyAlignment="1">
      <alignment horizontal="center" vertical="center" wrapText="1"/>
    </xf>
    <xf numFmtId="165" fontId="88" fillId="58" borderId="57" xfId="1" applyFont="1" applyFill="1" applyBorder="1" applyAlignment="1">
      <alignment horizontal="center" vertical="center" wrapText="1"/>
    </xf>
    <xf numFmtId="181" fontId="88" fillId="58" borderId="57" xfId="581" applyNumberFormat="1" applyFont="1" applyFill="1" applyBorder="1" applyAlignment="1">
      <alignment horizontal="left" vertical="center" wrapText="1"/>
    </xf>
    <xf numFmtId="0" fontId="112" fillId="58" borderId="57" xfId="0" applyFont="1" applyFill="1" applyBorder="1" applyAlignment="1">
      <alignment horizontal="center" vertical="center" wrapText="1"/>
    </xf>
    <xf numFmtId="165" fontId="88" fillId="34" borderId="57" xfId="1" applyFont="1" applyFill="1" applyBorder="1" applyAlignment="1">
      <alignment horizontal="center" vertical="center" wrapText="1"/>
    </xf>
    <xf numFmtId="0" fontId="88" fillId="33" borderId="57" xfId="581" applyFont="1" applyFill="1" applyBorder="1" applyAlignment="1">
      <alignment vertical="center" wrapText="1"/>
    </xf>
    <xf numFmtId="1" fontId="87" fillId="110" borderId="100" xfId="43" applyNumberFormat="1" applyFont="1" applyFill="1" applyBorder="1" applyAlignment="1">
      <alignment horizontal="center" vertical="center" wrapText="1"/>
    </xf>
    <xf numFmtId="0" fontId="87" fillId="110" borderId="100" xfId="43" applyFont="1" applyFill="1" applyBorder="1" applyAlignment="1">
      <alignment horizontal="center" vertical="center" wrapText="1"/>
    </xf>
    <xf numFmtId="191" fontId="87" fillId="110" borderId="100" xfId="43" applyNumberFormat="1" applyFont="1" applyFill="1" applyBorder="1" applyAlignment="1">
      <alignment horizontal="center" vertical="center" wrapText="1"/>
    </xf>
    <xf numFmtId="167" fontId="87" fillId="110" borderId="100" xfId="43" applyNumberFormat="1" applyFont="1" applyFill="1" applyBorder="1" applyAlignment="1">
      <alignment horizontal="center" vertical="center" wrapText="1"/>
    </xf>
    <xf numFmtId="167" fontId="87" fillId="110" borderId="100" xfId="581" applyNumberFormat="1" applyFont="1" applyFill="1" applyBorder="1" applyAlignment="1">
      <alignment horizontal="center" vertical="center" wrapText="1"/>
    </xf>
    <xf numFmtId="181" fontId="87" fillId="110" borderId="100" xfId="581" applyNumberFormat="1" applyFont="1" applyFill="1" applyBorder="1" applyAlignment="1">
      <alignment horizontal="center" vertical="center" wrapText="1"/>
    </xf>
    <xf numFmtId="0" fontId="88" fillId="110" borderId="0" xfId="581" applyFont="1" applyFill="1" applyAlignment="1">
      <alignment horizontal="center" vertical="center" wrapText="1"/>
    </xf>
    <xf numFmtId="165" fontId="87" fillId="110" borderId="100" xfId="582" applyFont="1" applyFill="1" applyBorder="1" applyAlignment="1">
      <alignment horizontal="center" vertical="center" wrapText="1"/>
    </xf>
    <xf numFmtId="3" fontId="87" fillId="110" borderId="100" xfId="43" applyNumberFormat="1" applyFont="1" applyFill="1" applyBorder="1" applyAlignment="1">
      <alignment horizontal="center" vertical="center" wrapText="1"/>
    </xf>
    <xf numFmtId="165" fontId="87" fillId="112" borderId="100" xfId="1" applyFont="1" applyFill="1" applyBorder="1" applyAlignment="1" applyProtection="1">
      <alignment horizontal="center" vertical="center" wrapText="1"/>
    </xf>
    <xf numFmtId="165" fontId="87" fillId="110" borderId="100" xfId="581" applyNumberFormat="1" applyFont="1" applyFill="1" applyBorder="1" applyAlignment="1">
      <alignment horizontal="center" vertical="center" wrapText="1"/>
    </xf>
    <xf numFmtId="0" fontId="88" fillId="0" borderId="0" xfId="581" applyFont="1" applyAlignment="1">
      <alignment horizontal="center" vertical="center" wrapText="1"/>
    </xf>
    <xf numFmtId="191" fontId="88" fillId="0" borderId="57" xfId="43" applyNumberFormat="1" applyFont="1" applyBorder="1" applyAlignment="1">
      <alignment horizontal="center" vertical="center" wrapText="1"/>
    </xf>
    <xf numFmtId="0" fontId="88" fillId="0" borderId="57" xfId="43" applyFont="1" applyBorder="1" applyAlignment="1">
      <alignment horizontal="left" vertical="center" wrapText="1"/>
    </xf>
    <xf numFmtId="165" fontId="88" fillId="34" borderId="57" xfId="1" applyFont="1" applyFill="1" applyBorder="1" applyAlignment="1">
      <alignment horizontal="right" vertical="center" wrapText="1"/>
    </xf>
    <xf numFmtId="165" fontId="88" fillId="0" borderId="57" xfId="1" applyFont="1" applyBorder="1" applyAlignment="1">
      <alignment horizontal="right" vertical="center" wrapText="1"/>
    </xf>
    <xf numFmtId="0" fontId="88" fillId="58" borderId="57" xfId="43" applyFont="1" applyFill="1" applyBorder="1" applyAlignment="1">
      <alignment horizontal="left" vertical="center" wrapText="1"/>
    </xf>
    <xf numFmtId="0" fontId="112" fillId="0" borderId="57" xfId="0" applyFont="1" applyBorder="1" applyAlignment="1">
      <alignment horizontal="center" vertical="center" wrapText="1"/>
    </xf>
    <xf numFmtId="0" fontId="87" fillId="110" borderId="57" xfId="581" applyFont="1" applyFill="1" applyBorder="1" applyAlignment="1">
      <alignment horizontal="left" vertical="center"/>
    </xf>
    <xf numFmtId="0" fontId="87" fillId="110" borderId="57" xfId="581" applyFont="1" applyFill="1" applyBorder="1" applyAlignment="1">
      <alignment vertical="center" wrapText="1"/>
    </xf>
    <xf numFmtId="191" fontId="87" fillId="110" borderId="57" xfId="43" applyNumberFormat="1" applyFont="1" applyFill="1" applyBorder="1" applyAlignment="1">
      <alignment horizontal="center" vertical="center" wrapText="1"/>
    </xf>
    <xf numFmtId="167" fontId="125" fillId="110" borderId="57" xfId="0" applyNumberFormat="1" applyFont="1" applyFill="1" applyBorder="1" applyAlignment="1">
      <alignment horizontal="center" vertical="center" wrapText="1"/>
    </xf>
    <xf numFmtId="181" fontId="87" fillId="110" borderId="57" xfId="581" applyNumberFormat="1" applyFont="1" applyFill="1" applyBorder="1" applyAlignment="1">
      <alignment horizontal="left" vertical="center" wrapText="1"/>
    </xf>
    <xf numFmtId="0" fontId="125" fillId="110" borderId="57" xfId="595" applyFont="1" applyFill="1" applyBorder="1" applyAlignment="1">
      <alignment horizontal="left" vertical="center" wrapText="1"/>
    </xf>
    <xf numFmtId="0" fontId="100" fillId="110" borderId="57" xfId="0" applyFont="1" applyFill="1" applyBorder="1" applyAlignment="1">
      <alignment horizontal="center" vertical="center"/>
    </xf>
    <xf numFmtId="165" fontId="100" fillId="110" borderId="57" xfId="1" applyFont="1" applyFill="1" applyBorder="1" applyAlignment="1">
      <alignment horizontal="center" vertical="center"/>
    </xf>
    <xf numFmtId="165" fontId="87" fillId="110" borderId="57" xfId="1" applyFont="1" applyFill="1" applyBorder="1" applyAlignment="1">
      <alignment horizontal="right" vertical="center"/>
    </xf>
    <xf numFmtId="165" fontId="87" fillId="110" borderId="57" xfId="1" applyFont="1" applyFill="1" applyBorder="1" applyAlignment="1">
      <alignment horizontal="center" vertical="center" wrapText="1"/>
    </xf>
    <xf numFmtId="165" fontId="87" fillId="110" borderId="57" xfId="1" applyFont="1" applyFill="1" applyBorder="1" applyAlignment="1">
      <alignment horizontal="right" vertical="center" wrapText="1"/>
    </xf>
    <xf numFmtId="0" fontId="204" fillId="113" borderId="57" xfId="595" applyFont="1" applyFill="1" applyBorder="1" applyAlignment="1">
      <alignment vertical="center" wrapText="1"/>
    </xf>
    <xf numFmtId="0" fontId="112" fillId="58" borderId="100" xfId="595" applyFont="1" applyFill="1" applyBorder="1" applyAlignment="1">
      <alignment horizontal="left" vertical="center" wrapText="1"/>
    </xf>
    <xf numFmtId="167" fontId="112" fillId="0" borderId="57" xfId="0" applyNumberFormat="1" applyFont="1" applyBorder="1" applyAlignment="1">
      <alignment horizontal="center" vertical="center" wrapText="1"/>
    </xf>
    <xf numFmtId="0" fontId="88" fillId="58" borderId="57" xfId="43" applyFont="1" applyFill="1" applyBorder="1" applyAlignment="1">
      <alignment horizontal="center" vertical="center" wrapText="1"/>
    </xf>
    <xf numFmtId="0" fontId="205" fillId="0" borderId="57" xfId="581" applyFont="1" applyBorder="1" applyAlignment="1">
      <alignment horizontal="left" vertical="center" wrapText="1"/>
    </xf>
    <xf numFmtId="0" fontId="88" fillId="33" borderId="57" xfId="43" applyFont="1" applyFill="1" applyBorder="1" applyAlignment="1">
      <alignment vertical="center" wrapText="1"/>
    </xf>
    <xf numFmtId="165" fontId="102" fillId="58" borderId="57" xfId="1" applyFont="1" applyFill="1" applyBorder="1" applyAlignment="1">
      <alignment horizontal="right" vertical="center"/>
    </xf>
    <xf numFmtId="165" fontId="88" fillId="58" borderId="57" xfId="1" applyFont="1" applyFill="1" applyBorder="1" applyAlignment="1">
      <alignment horizontal="right" vertical="center" wrapText="1"/>
    </xf>
    <xf numFmtId="165" fontId="88" fillId="34" borderId="57" xfId="1" applyFont="1" applyFill="1" applyBorder="1" applyAlignment="1">
      <alignment horizontal="right" vertical="center"/>
    </xf>
    <xf numFmtId="165" fontId="88" fillId="0" borderId="57" xfId="1" applyFont="1" applyFill="1" applyBorder="1" applyAlignment="1">
      <alignment horizontal="right" vertical="center"/>
    </xf>
    <xf numFmtId="0" fontId="112" fillId="33" borderId="57" xfId="0" applyFont="1" applyFill="1" applyBorder="1" applyAlignment="1">
      <alignment vertical="center" wrapText="1"/>
    </xf>
    <xf numFmtId="0" fontId="88" fillId="110" borderId="57" xfId="581" applyFont="1" applyFill="1" applyBorder="1" applyAlignment="1">
      <alignment horizontal="left" vertical="center" wrapText="1"/>
    </xf>
    <xf numFmtId="191" fontId="88" fillId="110" borderId="57" xfId="581" applyNumberFormat="1" applyFont="1" applyFill="1" applyBorder="1" applyAlignment="1">
      <alignment horizontal="center" vertical="center"/>
    </xf>
    <xf numFmtId="167" fontId="112" fillId="110" borderId="57" xfId="0" applyNumberFormat="1" applyFont="1" applyFill="1" applyBorder="1" applyAlignment="1">
      <alignment horizontal="center" vertical="center" wrapText="1"/>
    </xf>
    <xf numFmtId="0" fontId="88" fillId="110" borderId="57" xfId="581" applyFont="1" applyFill="1" applyBorder="1" applyAlignment="1">
      <alignment horizontal="center" vertical="center" wrapText="1"/>
    </xf>
    <xf numFmtId="0" fontId="102" fillId="110" borderId="57" xfId="0" applyFont="1" applyFill="1" applyBorder="1" applyAlignment="1">
      <alignment horizontal="center" vertical="center"/>
    </xf>
    <xf numFmtId="165" fontId="102" fillId="110" borderId="57" xfId="1" applyFont="1" applyFill="1" applyBorder="1" applyAlignment="1">
      <alignment horizontal="center" vertical="center"/>
    </xf>
    <xf numFmtId="165" fontId="88" fillId="110" borderId="57" xfId="1" applyFont="1" applyFill="1" applyBorder="1" applyAlignment="1">
      <alignment vertical="center" wrapText="1"/>
    </xf>
    <xf numFmtId="165" fontId="88" fillId="63" borderId="57" xfId="581" applyNumberFormat="1" applyFont="1" applyFill="1" applyBorder="1" applyAlignment="1">
      <alignment vertical="center"/>
    </xf>
    <xf numFmtId="181" fontId="88" fillId="0" borderId="0" xfId="581" applyNumberFormat="1" applyFont="1" applyAlignment="1">
      <alignment horizontal="left" vertical="center" wrapText="1"/>
    </xf>
    <xf numFmtId="165" fontId="88" fillId="0" borderId="0" xfId="1" applyFont="1" applyAlignment="1">
      <alignment horizontal="right" vertical="center"/>
    </xf>
    <xf numFmtId="165" fontId="88" fillId="0" borderId="0" xfId="582" applyFont="1" applyAlignment="1">
      <alignment horizontal="left" vertical="center" wrapText="1"/>
    </xf>
    <xf numFmtId="165" fontId="88" fillId="0" borderId="0" xfId="1" applyFont="1" applyAlignment="1">
      <alignment vertical="center" wrapText="1"/>
    </xf>
    <xf numFmtId="165" fontId="88" fillId="0" borderId="0" xfId="1" applyFont="1" applyAlignment="1">
      <alignment horizontal="center" vertical="center" wrapText="1"/>
    </xf>
    <xf numFmtId="43" fontId="102" fillId="0" borderId="0" xfId="596" applyFont="1" applyAlignment="1">
      <alignment vertical="center"/>
    </xf>
    <xf numFmtId="0" fontId="103" fillId="0" borderId="0" xfId="0" applyFont="1" applyAlignment="1">
      <alignment vertical="center"/>
    </xf>
    <xf numFmtId="0" fontId="100" fillId="0" borderId="57" xfId="0" applyFont="1" applyBorder="1" applyAlignment="1">
      <alignment horizontal="center" vertical="center"/>
    </xf>
    <xf numFmtId="0" fontId="100" fillId="0" borderId="57" xfId="0" applyFont="1" applyBorder="1" applyAlignment="1">
      <alignment horizontal="center" vertical="center" wrapText="1"/>
    </xf>
    <xf numFmtId="43" fontId="100" fillId="0" borderId="57" xfId="596" applyFont="1" applyBorder="1" applyAlignment="1">
      <alignment horizontal="center" vertical="center"/>
    </xf>
    <xf numFmtId="43" fontId="61" fillId="0" borderId="57" xfId="596" applyFont="1" applyBorder="1" applyAlignment="1">
      <alignment vertical="center"/>
    </xf>
    <xf numFmtId="43" fontId="102" fillId="0" borderId="57" xfId="596" applyFont="1" applyBorder="1" applyAlignment="1">
      <alignment vertical="center"/>
    </xf>
    <xf numFmtId="165" fontId="88" fillId="0" borderId="0" xfId="1" applyFont="1" applyAlignment="1">
      <alignment vertical="center"/>
    </xf>
    <xf numFmtId="0" fontId="100" fillId="0" borderId="0" xfId="0" applyFont="1" applyAlignment="1">
      <alignment horizontal="right" vertical="center" wrapText="1"/>
    </xf>
    <xf numFmtId="43" fontId="100" fillId="0" borderId="107" xfId="596" applyFont="1" applyBorder="1" applyAlignment="1">
      <alignment vertical="center"/>
    </xf>
    <xf numFmtId="43" fontId="102" fillId="0" borderId="0" xfId="596" applyFont="1" applyBorder="1" applyAlignment="1">
      <alignment vertical="center"/>
    </xf>
    <xf numFmtId="0" fontId="102" fillId="0" borderId="0" xfId="0" applyFont="1" applyAlignment="1">
      <alignment horizontal="left" vertical="center"/>
    </xf>
    <xf numFmtId="43" fontId="102" fillId="0" borderId="0" xfId="596" applyFont="1" applyAlignment="1">
      <alignment horizontal="center" vertical="center"/>
    </xf>
    <xf numFmtId="43" fontId="102" fillId="0" borderId="57" xfId="596" applyFont="1" applyFill="1" applyBorder="1" applyAlignment="1">
      <alignment vertical="center"/>
    </xf>
    <xf numFmtId="0" fontId="102" fillId="33" borderId="57" xfId="0" applyFont="1" applyFill="1" applyBorder="1" applyAlignment="1">
      <alignment horizontal="center" vertical="center"/>
    </xf>
    <xf numFmtId="0" fontId="88" fillId="110" borderId="100" xfId="43" applyFont="1" applyFill="1" applyBorder="1" applyAlignment="1">
      <alignment horizontal="center" vertical="center" wrapText="1"/>
    </xf>
    <xf numFmtId="165" fontId="88" fillId="0" borderId="57" xfId="1" applyFont="1" applyBorder="1" applyAlignment="1">
      <alignment horizontal="center" vertical="center"/>
    </xf>
    <xf numFmtId="16" fontId="102" fillId="33" borderId="57" xfId="0" applyNumberFormat="1" applyFont="1" applyFill="1" applyBorder="1" applyAlignment="1">
      <alignment horizontal="center" vertical="center"/>
    </xf>
    <xf numFmtId="43" fontId="100" fillId="0" borderId="107" xfId="596" applyFont="1" applyBorder="1" applyAlignment="1">
      <alignment horizontal="center" vertical="center"/>
    </xf>
    <xf numFmtId="43" fontId="102" fillId="0" borderId="0" xfId="596" applyFont="1" applyBorder="1" applyAlignment="1">
      <alignment horizontal="center" vertical="center"/>
    </xf>
    <xf numFmtId="0" fontId="24" fillId="33" borderId="25" xfId="43" applyFont="1" applyFill="1" applyBorder="1" applyAlignment="1">
      <alignment horizontal="left" vertical="center" wrapText="1"/>
    </xf>
    <xf numFmtId="0" fontId="24" fillId="33" borderId="24" xfId="43" applyFont="1" applyFill="1" applyBorder="1" applyAlignment="1">
      <alignment horizontal="left" vertical="center" wrapText="1"/>
    </xf>
    <xf numFmtId="0" fontId="24" fillId="33" borderId="26" xfId="43" applyFont="1" applyFill="1" applyBorder="1" applyAlignment="1">
      <alignment horizontal="left" vertical="center" wrapText="1"/>
    </xf>
    <xf numFmtId="0" fontId="24" fillId="33" borderId="25" xfId="43" applyFont="1" applyFill="1" applyBorder="1" applyAlignment="1">
      <alignment horizontal="left" vertical="center"/>
    </xf>
    <xf numFmtId="0" fontId="24" fillId="33" borderId="24" xfId="43" applyFont="1" applyFill="1" applyBorder="1" applyAlignment="1">
      <alignment horizontal="left" vertical="center"/>
    </xf>
    <xf numFmtId="0" fontId="24" fillId="33" borderId="26" xfId="43" applyFont="1" applyFill="1" applyBorder="1" applyAlignment="1">
      <alignment horizontal="left" vertical="center"/>
    </xf>
    <xf numFmtId="0" fontId="64" fillId="0" borderId="23" xfId="0" applyFont="1" applyBorder="1" applyAlignment="1">
      <alignment horizontal="center" vertical="center"/>
    </xf>
    <xf numFmtId="0" fontId="63" fillId="0" borderId="25" xfId="0" applyFont="1" applyBorder="1" applyAlignment="1">
      <alignment horizontal="center" vertical="center"/>
    </xf>
    <xf numFmtId="0" fontId="63" fillId="0" borderId="26" xfId="0" applyFont="1" applyBorder="1" applyAlignment="1">
      <alignment horizontal="center" vertical="center"/>
    </xf>
    <xf numFmtId="0" fontId="24" fillId="57" borderId="25" xfId="43" applyFont="1" applyFill="1" applyBorder="1" applyAlignment="1">
      <alignment horizontal="center" vertical="center" wrapText="1"/>
    </xf>
    <xf numFmtId="0" fontId="24" fillId="57" borderId="26" xfId="43" applyFont="1" applyFill="1" applyBorder="1" applyAlignment="1">
      <alignment horizontal="center" vertical="center" wrapText="1"/>
    </xf>
    <xf numFmtId="0" fontId="24" fillId="57" borderId="25" xfId="0" applyFont="1" applyFill="1" applyBorder="1" applyAlignment="1">
      <alignment horizontal="center" vertical="center" wrapText="1"/>
    </xf>
    <xf numFmtId="0" fontId="24" fillId="57" borderId="26" xfId="0" applyFont="1" applyFill="1" applyBorder="1" applyAlignment="1">
      <alignment horizontal="center" vertical="center" wrapText="1"/>
    </xf>
    <xf numFmtId="0" fontId="19" fillId="57" borderId="27" xfId="0" applyFont="1" applyFill="1" applyBorder="1" applyAlignment="1">
      <alignment horizontal="center" vertical="center" wrapText="1"/>
    </xf>
    <xf numFmtId="0" fontId="19" fillId="57" borderId="13" xfId="0" applyFont="1" applyFill="1" applyBorder="1" applyAlignment="1">
      <alignment horizontal="center" vertical="center"/>
    </xf>
    <xf numFmtId="0" fontId="63" fillId="0" borderId="23" xfId="0" applyFont="1" applyBorder="1" applyAlignment="1">
      <alignment horizontal="center" vertical="center"/>
    </xf>
    <xf numFmtId="165" fontId="87" fillId="34" borderId="63" xfId="1" applyFont="1" applyFill="1" applyBorder="1" applyAlignment="1">
      <alignment horizontal="center" vertical="center"/>
    </xf>
    <xf numFmtId="165" fontId="87" fillId="34" borderId="65" xfId="1" applyFont="1" applyFill="1" applyBorder="1" applyAlignment="1">
      <alignment horizontal="center" vertical="center"/>
    </xf>
    <xf numFmtId="165" fontId="87" fillId="34" borderId="64" xfId="1" applyFont="1" applyFill="1" applyBorder="1" applyAlignment="1">
      <alignment horizontal="center" vertical="center"/>
    </xf>
    <xf numFmtId="0" fontId="161" fillId="70" borderId="0" xfId="0" applyFont="1" applyFill="1" applyAlignment="1">
      <alignment horizontal="center" vertical="center"/>
    </xf>
    <xf numFmtId="181" fontId="87" fillId="0" borderId="61" xfId="0" applyNumberFormat="1" applyFont="1" applyBorder="1" applyAlignment="1">
      <alignment horizontal="center" vertical="center"/>
    </xf>
    <xf numFmtId="0" fontId="87" fillId="0" borderId="63" xfId="0" applyFont="1" applyBorder="1" applyAlignment="1">
      <alignment horizontal="center" vertical="center"/>
    </xf>
    <xf numFmtId="0" fontId="87" fillId="0" borderId="64" xfId="0" applyFont="1" applyBorder="1" applyAlignment="1">
      <alignment horizontal="center" vertical="center"/>
    </xf>
    <xf numFmtId="0" fontId="100" fillId="73" borderId="61" xfId="0" applyFont="1" applyFill="1" applyBorder="1" applyAlignment="1">
      <alignment horizontal="left" vertical="center" wrapText="1"/>
    </xf>
    <xf numFmtId="168" fontId="161" fillId="70" borderId="0" xfId="0" applyNumberFormat="1" applyFont="1" applyFill="1" applyAlignment="1">
      <alignment horizontal="center" vertical="center"/>
    </xf>
    <xf numFmtId="168" fontId="87" fillId="0" borderId="61" xfId="0" applyNumberFormat="1" applyFont="1" applyBorder="1" applyAlignment="1">
      <alignment horizontal="center" vertical="center"/>
    </xf>
    <xf numFmtId="168" fontId="87" fillId="0" borderId="63" xfId="0" applyNumberFormat="1" applyFont="1" applyBorder="1" applyAlignment="1">
      <alignment horizontal="center" vertical="center"/>
    </xf>
    <xf numFmtId="168" fontId="87" fillId="0" borderId="64" xfId="0" applyNumberFormat="1" applyFont="1" applyBorder="1" applyAlignment="1">
      <alignment horizontal="center" vertical="center"/>
    </xf>
    <xf numFmtId="168" fontId="87" fillId="34" borderId="63" xfId="1" applyNumberFormat="1" applyFont="1" applyFill="1" applyBorder="1" applyAlignment="1">
      <alignment horizontal="center" vertical="center"/>
    </xf>
    <xf numFmtId="168" fontId="87" fillId="34" borderId="65" xfId="1" applyNumberFormat="1" applyFont="1" applyFill="1" applyBorder="1" applyAlignment="1">
      <alignment horizontal="center" vertical="center"/>
    </xf>
    <xf numFmtId="168" fontId="87" fillId="34" borderId="64" xfId="1" applyNumberFormat="1" applyFont="1" applyFill="1" applyBorder="1" applyAlignment="1">
      <alignment horizontal="center" vertical="center"/>
    </xf>
    <xf numFmtId="0" fontId="87" fillId="0" borderId="0" xfId="0" applyFont="1" applyAlignment="1">
      <alignment horizontal="center" vertical="center"/>
    </xf>
    <xf numFmtId="0" fontId="184" fillId="0" borderId="57" xfId="0" applyFont="1" applyBorder="1" applyAlignment="1">
      <alignment horizontal="center" vertical="center"/>
    </xf>
    <xf numFmtId="0" fontId="164" fillId="0" borderId="101" xfId="0" applyFont="1" applyBorder="1" applyAlignment="1">
      <alignment horizontal="center" vertical="center"/>
    </xf>
    <xf numFmtId="0" fontId="164" fillId="0" borderId="102" xfId="0" applyFont="1" applyBorder="1" applyAlignment="1">
      <alignment horizontal="center" vertical="center"/>
    </xf>
    <xf numFmtId="0" fontId="164" fillId="0" borderId="40" xfId="0" applyFont="1" applyBorder="1" applyAlignment="1">
      <alignment horizontal="center" vertical="center"/>
    </xf>
    <xf numFmtId="0" fontId="164" fillId="0" borderId="37" xfId="0" applyFont="1" applyBorder="1" applyAlignment="1">
      <alignment horizontal="center" vertical="center"/>
    </xf>
    <xf numFmtId="0" fontId="164" fillId="97" borderId="57" xfId="0" applyFont="1" applyFill="1" applyBorder="1" applyAlignment="1">
      <alignment horizontal="center" vertical="center"/>
    </xf>
    <xf numFmtId="0" fontId="164" fillId="0" borderId="57" xfId="0" applyFont="1" applyBorder="1" applyAlignment="1">
      <alignment horizontal="center" vertical="center"/>
    </xf>
    <xf numFmtId="0" fontId="91" fillId="0" borderId="57" xfId="581" applyFont="1" applyBorder="1" applyAlignment="1">
      <alignment horizontal="center" vertical="center" wrapText="1"/>
    </xf>
    <xf numFmtId="167" fontId="91" fillId="0" borderId="57" xfId="581" applyNumberFormat="1" applyFont="1" applyBorder="1" applyAlignment="1">
      <alignment horizontal="center" vertical="center" wrapText="1"/>
    </xf>
    <xf numFmtId="165" fontId="91" fillId="107" borderId="57" xfId="1" applyFont="1" applyFill="1" applyBorder="1" applyAlignment="1" applyProtection="1">
      <alignment horizontal="center" vertical="center" wrapText="1"/>
    </xf>
    <xf numFmtId="165" fontId="91" fillId="108" borderId="57" xfId="1" applyFont="1" applyFill="1" applyBorder="1" applyAlignment="1" applyProtection="1">
      <alignment horizontal="center" vertical="center" wrapText="1"/>
    </xf>
    <xf numFmtId="0" fontId="100" fillId="0" borderId="0" xfId="0" applyFont="1" applyAlignment="1">
      <alignment horizontal="center" vertical="center" wrapText="1"/>
    </xf>
    <xf numFmtId="0" fontId="138" fillId="0" borderId="103" xfId="0" applyFont="1" applyBorder="1" applyAlignment="1">
      <alignment horizontal="center" vertical="center"/>
    </xf>
    <xf numFmtId="0" fontId="138" fillId="0" borderId="104" xfId="0" applyFont="1" applyBorder="1" applyAlignment="1">
      <alignment horizontal="center" vertical="center"/>
    </xf>
    <xf numFmtId="0" fontId="155" fillId="0" borderId="98" xfId="0" applyFont="1" applyBorder="1" applyAlignment="1">
      <alignment horizontal="center" vertical="center"/>
    </xf>
    <xf numFmtId="0" fontId="155" fillId="0" borderId="98" xfId="0" applyFont="1" applyBorder="1" applyAlignment="1">
      <alignment horizontal="center" vertical="center" wrapText="1"/>
    </xf>
    <xf numFmtId="0" fontId="195" fillId="0" borderId="98" xfId="0" applyFont="1" applyBorder="1" applyAlignment="1">
      <alignment horizontal="center" vertical="center" wrapText="1"/>
    </xf>
    <xf numFmtId="0" fontId="155" fillId="0" borderId="98" xfId="0" applyFont="1" applyBorder="1" applyAlignment="1">
      <alignment horizontal="center"/>
    </xf>
    <xf numFmtId="0" fontId="200" fillId="0" borderId="0" xfId="0" applyFont="1" applyAlignment="1">
      <alignment horizontal="center" vertical="center" wrapText="1"/>
    </xf>
    <xf numFmtId="0" fontId="194" fillId="77" borderId="98" xfId="0" applyFont="1" applyFill="1" applyBorder="1" applyAlignment="1">
      <alignment horizontal="center" vertical="center" wrapText="1"/>
    </xf>
    <xf numFmtId="0" fontId="155" fillId="58" borderId="98" xfId="0" applyFont="1" applyFill="1" applyBorder="1" applyAlignment="1">
      <alignment horizontal="center" vertical="center"/>
    </xf>
    <xf numFmtId="0" fontId="155" fillId="58" borderId="98" xfId="0" applyFont="1" applyFill="1" applyBorder="1" applyAlignment="1">
      <alignment horizontal="center" vertical="center" wrapText="1"/>
    </xf>
    <xf numFmtId="0" fontId="155" fillId="0" borderId="100" xfId="0" applyFont="1" applyBorder="1" applyAlignment="1">
      <alignment horizontal="center" vertical="center"/>
    </xf>
    <xf numFmtId="0" fontId="155" fillId="0" borderId="105" xfId="0" applyFont="1" applyBorder="1" applyAlignment="1">
      <alignment horizontal="center" vertical="center"/>
    </xf>
    <xf numFmtId="0" fontId="155" fillId="0" borderId="106" xfId="0" applyFont="1" applyBorder="1" applyAlignment="1">
      <alignment horizontal="center" vertical="center"/>
    </xf>
    <xf numFmtId="0" fontId="155" fillId="0" borderId="100" xfId="0" applyFont="1" applyBorder="1" applyAlignment="1">
      <alignment horizontal="center" vertical="center" wrapText="1"/>
    </xf>
    <xf numFmtId="0" fontId="155" fillId="0" borderId="105" xfId="0" applyFont="1" applyBorder="1" applyAlignment="1">
      <alignment horizontal="center" vertical="center" wrapText="1"/>
    </xf>
    <xf numFmtId="0" fontId="155" fillId="0" borderId="106" xfId="0" applyFont="1" applyBorder="1" applyAlignment="1">
      <alignment horizontal="center" vertical="center" wrapText="1"/>
    </xf>
    <xf numFmtId="0" fontId="195" fillId="0" borderId="100" xfId="0" applyFont="1" applyBorder="1" applyAlignment="1">
      <alignment horizontal="center" vertical="center" wrapText="1"/>
    </xf>
    <xf numFmtId="0" fontId="195" fillId="0" borderId="105" xfId="0" applyFont="1" applyBorder="1" applyAlignment="1">
      <alignment horizontal="center" vertical="center" wrapText="1"/>
    </xf>
    <xf numFmtId="0" fontId="195" fillId="0" borderId="106" xfId="0" applyFont="1" applyBorder="1" applyAlignment="1">
      <alignment horizontal="center" vertical="center" wrapText="1"/>
    </xf>
    <xf numFmtId="0" fontId="87" fillId="0" borderId="61" xfId="43" applyFont="1" applyBorder="1" applyAlignment="1">
      <alignment horizontal="center" vertical="center" wrapText="1"/>
    </xf>
    <xf numFmtId="0" fontId="87" fillId="71" borderId="61" xfId="43" applyFont="1" applyFill="1" applyBorder="1" applyAlignment="1">
      <alignment horizontal="center" vertical="center" wrapText="1"/>
    </xf>
    <xf numFmtId="0" fontId="87" fillId="71" borderId="62" xfId="43" applyFont="1" applyFill="1" applyBorder="1" applyAlignment="1">
      <alignment horizontal="center" vertical="center" wrapText="1"/>
    </xf>
    <xf numFmtId="0" fontId="87" fillId="71" borderId="13" xfId="43" applyFont="1" applyFill="1" applyBorder="1" applyAlignment="1">
      <alignment horizontal="center" vertical="center" wrapText="1"/>
    </xf>
    <xf numFmtId="0" fontId="90" fillId="70" borderId="0" xfId="0" applyFont="1" applyFill="1" applyAlignment="1">
      <alignment horizontal="center" vertical="center" wrapText="1"/>
    </xf>
    <xf numFmtId="1" fontId="87" fillId="0" borderId="61" xfId="43" applyNumberFormat="1" applyFont="1" applyBorder="1" applyAlignment="1">
      <alignment horizontal="center" vertical="center" wrapText="1"/>
    </xf>
    <xf numFmtId="181" fontId="87" fillId="34" borderId="62" xfId="0" applyNumberFormat="1" applyFont="1" applyFill="1" applyBorder="1" applyAlignment="1">
      <alignment horizontal="center" vertical="center" wrapText="1"/>
    </xf>
    <xf numFmtId="181" fontId="87" fillId="34" borderId="13" xfId="0" applyNumberFormat="1" applyFont="1" applyFill="1" applyBorder="1" applyAlignment="1">
      <alignment horizontal="center" vertical="center" wrapText="1"/>
    </xf>
    <xf numFmtId="181" fontId="87" fillId="0" borderId="61" xfId="0" applyNumberFormat="1" applyFont="1" applyBorder="1" applyAlignment="1">
      <alignment horizontal="center" vertical="center" wrapText="1"/>
    </xf>
    <xf numFmtId="0" fontId="87" fillId="0" borderId="61" xfId="0" applyFont="1" applyBorder="1" applyAlignment="1">
      <alignment horizontal="center" vertical="center"/>
    </xf>
    <xf numFmtId="0" fontId="87" fillId="0" borderId="62" xfId="43" applyFont="1" applyBorder="1" applyAlignment="1">
      <alignment horizontal="center" vertical="center" wrapText="1"/>
    </xf>
    <xf numFmtId="0" fontId="87" fillId="0" borderId="13" xfId="43" applyFont="1" applyBorder="1" applyAlignment="1">
      <alignment horizontal="center" vertical="center" wrapText="1"/>
    </xf>
    <xf numFmtId="168" fontId="87" fillId="71" borderId="61" xfId="1" applyNumberFormat="1" applyFont="1" applyFill="1" applyBorder="1" applyAlignment="1">
      <alignment horizontal="center" vertical="center" wrapText="1"/>
    </xf>
    <xf numFmtId="165" fontId="87" fillId="34" borderId="61" xfId="1" applyFont="1" applyFill="1" applyBorder="1" applyAlignment="1">
      <alignment horizontal="center" vertical="center"/>
    </xf>
    <xf numFmtId="165" fontId="87" fillId="0" borderId="61" xfId="1" applyFont="1" applyFill="1" applyBorder="1" applyAlignment="1">
      <alignment horizontal="center" vertical="center" wrapText="1"/>
    </xf>
    <xf numFmtId="0" fontId="0" fillId="34" borderId="0" xfId="0" applyFill="1" applyAlignment="1">
      <alignment horizontal="center" vertical="center"/>
    </xf>
    <xf numFmtId="0" fontId="19" fillId="34" borderId="0" xfId="0" applyFont="1" applyFill="1" applyAlignment="1">
      <alignment horizontal="center" vertical="center"/>
    </xf>
    <xf numFmtId="0" fontId="103" fillId="74" borderId="10" xfId="0" applyFont="1" applyFill="1" applyBorder="1" applyAlignment="1">
      <alignment horizontal="left" wrapText="1"/>
    </xf>
    <xf numFmtId="0" fontId="100" fillId="73" borderId="10" xfId="0" applyFont="1" applyFill="1" applyBorder="1" applyAlignment="1">
      <alignment horizontal="left" vertical="center" wrapText="1"/>
    </xf>
    <xf numFmtId="0" fontId="97" fillId="72" borderId="10" xfId="0" applyFont="1" applyFill="1" applyBorder="1" applyAlignment="1">
      <alignment horizontal="left" vertical="center" wrapText="1"/>
    </xf>
    <xf numFmtId="0" fontId="97" fillId="72" borderId="34" xfId="0" applyFont="1" applyFill="1" applyBorder="1" applyAlignment="1">
      <alignment horizontal="left" vertical="center" wrapText="1"/>
    </xf>
    <xf numFmtId="0" fontId="97" fillId="72" borderId="35" xfId="0" applyFont="1" applyFill="1" applyBorder="1" applyAlignment="1">
      <alignment horizontal="left" vertical="center" wrapText="1"/>
    </xf>
    <xf numFmtId="0" fontId="100" fillId="74" borderId="10" xfId="0" applyFont="1" applyFill="1" applyBorder="1" applyAlignment="1">
      <alignment horizontal="left" wrapText="1"/>
    </xf>
    <xf numFmtId="0" fontId="87" fillId="0" borderId="10" xfId="43" applyFont="1" applyBorder="1" applyAlignment="1">
      <alignment horizontal="center" vertical="center" wrapText="1"/>
    </xf>
    <xf numFmtId="0" fontId="87" fillId="71" borderId="10" xfId="43" applyFont="1" applyFill="1" applyBorder="1" applyAlignment="1">
      <alignment horizontal="center" vertical="center" wrapText="1"/>
    </xf>
    <xf numFmtId="0" fontId="87" fillId="71" borderId="11" xfId="43" applyFont="1" applyFill="1" applyBorder="1" applyAlignment="1">
      <alignment horizontal="center" vertical="center" wrapText="1"/>
    </xf>
    <xf numFmtId="165" fontId="87" fillId="0" borderId="10" xfId="1" applyFont="1" applyFill="1" applyBorder="1" applyAlignment="1">
      <alignment horizontal="center" vertical="center" wrapText="1"/>
    </xf>
    <xf numFmtId="1" fontId="87" fillId="0" borderId="10" xfId="43" applyNumberFormat="1" applyFont="1" applyBorder="1" applyAlignment="1">
      <alignment horizontal="center" vertical="center" wrapText="1"/>
    </xf>
    <xf numFmtId="181" fontId="87" fillId="34" borderId="11" xfId="0" applyNumberFormat="1" applyFont="1" applyFill="1" applyBorder="1" applyAlignment="1">
      <alignment horizontal="center" vertical="center" wrapText="1"/>
    </xf>
    <xf numFmtId="181" fontId="87" fillId="0" borderId="10" xfId="0" applyNumberFormat="1" applyFont="1" applyBorder="1" applyAlignment="1">
      <alignment horizontal="center" vertical="center" wrapText="1"/>
    </xf>
    <xf numFmtId="0" fontId="87" fillId="0" borderId="10" xfId="0" applyFont="1" applyBorder="1" applyAlignment="1">
      <alignment horizontal="center" vertical="center"/>
    </xf>
    <xf numFmtId="0" fontId="87" fillId="0" borderId="11" xfId="43" applyFont="1" applyBorder="1" applyAlignment="1">
      <alignment horizontal="center" vertical="center" wrapText="1"/>
    </xf>
    <xf numFmtId="168" fontId="87" fillId="71" borderId="10" xfId="1" applyNumberFormat="1" applyFont="1" applyFill="1" applyBorder="1" applyAlignment="1">
      <alignment horizontal="center" vertical="center" wrapText="1"/>
    </xf>
    <xf numFmtId="165" fontId="87" fillId="34" borderId="10" xfId="1" applyFont="1" applyFill="1" applyBorder="1" applyAlignment="1">
      <alignment horizontal="center" vertical="center"/>
    </xf>
    <xf numFmtId="0" fontId="103" fillId="74" borderId="40" xfId="0" applyFont="1" applyFill="1" applyBorder="1" applyAlignment="1">
      <alignment horizontal="left" wrapText="1"/>
    </xf>
    <xf numFmtId="0" fontId="103" fillId="74" borderId="41" xfId="0" applyFont="1" applyFill="1" applyBorder="1" applyAlignment="1">
      <alignment horizontal="left" wrapText="1"/>
    </xf>
    <xf numFmtId="0" fontId="103" fillId="74" borderId="37" xfId="0" applyFont="1" applyFill="1" applyBorder="1" applyAlignment="1">
      <alignment horizontal="left" wrapText="1"/>
    </xf>
    <xf numFmtId="0" fontId="103" fillId="74" borderId="10" xfId="0" applyFont="1" applyFill="1" applyBorder="1" applyAlignment="1">
      <alignment horizontal="left" vertical="top" wrapText="1"/>
    </xf>
    <xf numFmtId="0" fontId="100" fillId="73" borderId="10" xfId="0" applyFont="1" applyFill="1" applyBorder="1" applyAlignment="1">
      <alignment horizontal="left" vertical="top" wrapText="1"/>
    </xf>
    <xf numFmtId="0" fontId="97" fillId="72" borderId="10" xfId="0" applyFont="1" applyFill="1" applyBorder="1" applyAlignment="1">
      <alignment horizontal="left" vertical="top" wrapText="1"/>
    </xf>
    <xf numFmtId="0" fontId="97" fillId="72" borderId="34" xfId="0" applyFont="1" applyFill="1" applyBorder="1" applyAlignment="1">
      <alignment horizontal="left" vertical="top" wrapText="1"/>
    </xf>
    <xf numFmtId="0" fontId="97" fillId="72" borderId="35" xfId="0" applyFont="1" applyFill="1" applyBorder="1" applyAlignment="1">
      <alignment horizontal="left" vertical="top" wrapText="1"/>
    </xf>
    <xf numFmtId="0" fontId="100" fillId="74" borderId="10" xfId="0" applyFont="1" applyFill="1" applyBorder="1" applyAlignment="1">
      <alignment horizontal="left" vertical="top" wrapText="1"/>
    </xf>
    <xf numFmtId="0" fontId="87" fillId="0" borderId="10" xfId="43" applyFont="1" applyBorder="1" applyAlignment="1">
      <alignment horizontal="center" vertical="top" wrapText="1"/>
    </xf>
    <xf numFmtId="0" fontId="87" fillId="71" borderId="10" xfId="43" applyFont="1" applyFill="1" applyBorder="1" applyAlignment="1">
      <alignment horizontal="center" vertical="top" wrapText="1"/>
    </xf>
    <xf numFmtId="0" fontId="87" fillId="71" borderId="11" xfId="43" applyFont="1" applyFill="1" applyBorder="1" applyAlignment="1">
      <alignment horizontal="center" vertical="top" wrapText="1"/>
    </xf>
    <xf numFmtId="0" fontId="87" fillId="71" borderId="13" xfId="43" applyFont="1" applyFill="1" applyBorder="1" applyAlignment="1">
      <alignment horizontal="center" vertical="top" wrapText="1"/>
    </xf>
    <xf numFmtId="165" fontId="87" fillId="0" borderId="10" xfId="1" applyFont="1" applyFill="1" applyBorder="1" applyAlignment="1">
      <alignment horizontal="center" vertical="top" wrapText="1"/>
    </xf>
    <xf numFmtId="0" fontId="90" fillId="70" borderId="0" xfId="0" applyFont="1" applyFill="1" applyAlignment="1">
      <alignment horizontal="center" vertical="top" wrapText="1"/>
    </xf>
    <xf numFmtId="1" fontId="87" fillId="0" borderId="10" xfId="43" applyNumberFormat="1" applyFont="1" applyBorder="1" applyAlignment="1">
      <alignment horizontal="center" vertical="top" wrapText="1"/>
    </xf>
    <xf numFmtId="181" fontId="87" fillId="34" borderId="11" xfId="0" applyNumberFormat="1" applyFont="1" applyFill="1" applyBorder="1" applyAlignment="1">
      <alignment horizontal="center" vertical="top" wrapText="1"/>
    </xf>
    <xf numFmtId="181" fontId="87" fillId="34" borderId="13" xfId="0" applyNumberFormat="1" applyFont="1" applyFill="1" applyBorder="1" applyAlignment="1">
      <alignment horizontal="center" vertical="top" wrapText="1"/>
    </xf>
    <xf numFmtId="181" fontId="87" fillId="0" borderId="10" xfId="0" applyNumberFormat="1" applyFont="1" applyBorder="1" applyAlignment="1">
      <alignment horizontal="center" vertical="top" wrapText="1"/>
    </xf>
    <xf numFmtId="0" fontId="87" fillId="0" borderId="10" xfId="0" applyFont="1" applyBorder="1" applyAlignment="1">
      <alignment horizontal="center" vertical="top"/>
    </xf>
    <xf numFmtId="0" fontId="87" fillId="0" borderId="11" xfId="43" applyFont="1" applyBorder="1" applyAlignment="1">
      <alignment horizontal="center" vertical="top" wrapText="1"/>
    </xf>
    <xf numFmtId="0" fontId="87" fillId="0" borderId="13" xfId="43" applyFont="1" applyBorder="1" applyAlignment="1">
      <alignment horizontal="center" vertical="top" wrapText="1"/>
    </xf>
    <xf numFmtId="168" fontId="87" fillId="71" borderId="10" xfId="1" applyNumberFormat="1" applyFont="1" applyFill="1" applyBorder="1" applyAlignment="1">
      <alignment horizontal="center" vertical="top" wrapText="1"/>
    </xf>
    <xf numFmtId="165" fontId="87" fillId="34" borderId="10" xfId="1" applyFont="1" applyFill="1" applyBorder="1" applyAlignment="1">
      <alignment horizontal="center" vertical="top"/>
    </xf>
    <xf numFmtId="165" fontId="87" fillId="0" borderId="51" xfId="1" applyFont="1" applyFill="1" applyBorder="1" applyAlignment="1">
      <alignment horizontal="center" vertical="center" wrapText="1"/>
    </xf>
    <xf numFmtId="165" fontId="87" fillId="0" borderId="13" xfId="1" applyFont="1" applyFill="1" applyBorder="1" applyAlignment="1">
      <alignment horizontal="center" vertical="center" wrapText="1"/>
    </xf>
    <xf numFmtId="0" fontId="87" fillId="71" borderId="51" xfId="43" applyFont="1" applyFill="1" applyBorder="1" applyAlignment="1">
      <alignment horizontal="center" vertical="center" wrapText="1"/>
    </xf>
    <xf numFmtId="181" fontId="87" fillId="34" borderId="51" xfId="0" applyNumberFormat="1" applyFont="1" applyFill="1" applyBorder="1" applyAlignment="1">
      <alignment horizontal="center" vertical="center" wrapText="1"/>
    </xf>
    <xf numFmtId="181" fontId="87" fillId="0" borderId="51" xfId="0" applyNumberFormat="1" applyFont="1" applyBorder="1" applyAlignment="1">
      <alignment horizontal="center" wrapText="1"/>
    </xf>
    <xf numFmtId="181" fontId="87" fillId="0" borderId="13" xfId="0" applyNumberFormat="1" applyFont="1" applyBorder="1" applyAlignment="1">
      <alignment horizontal="center" wrapText="1"/>
    </xf>
    <xf numFmtId="0" fontId="87" fillId="0" borderId="51" xfId="43" applyFont="1" applyBorder="1" applyAlignment="1">
      <alignment horizontal="center" vertical="center" wrapText="1"/>
    </xf>
    <xf numFmtId="0" fontId="105" fillId="74" borderId="10" xfId="0" applyFont="1" applyFill="1" applyBorder="1" applyAlignment="1">
      <alignment horizontal="left" wrapText="1"/>
    </xf>
    <xf numFmtId="0" fontId="97" fillId="72" borderId="53" xfId="0" applyFont="1" applyFill="1" applyBorder="1" applyAlignment="1">
      <alignment horizontal="left" vertical="center" wrapText="1"/>
    </xf>
    <xf numFmtId="0" fontId="97" fillId="72" borderId="52" xfId="0" applyFont="1" applyFill="1" applyBorder="1" applyAlignment="1">
      <alignment horizontal="left" vertical="center" wrapText="1"/>
    </xf>
    <xf numFmtId="184" fontId="73" fillId="79" borderId="0" xfId="0" applyNumberFormat="1" applyFont="1" applyFill="1" applyAlignment="1">
      <alignment horizontal="center" vertical="center" wrapText="1"/>
    </xf>
    <xf numFmtId="184" fontId="71" fillId="0" borderId="45" xfId="580" applyNumberFormat="1" applyFont="1" applyBorder="1" applyAlignment="1">
      <alignment horizontal="center" vertical="center" wrapText="1"/>
    </xf>
    <xf numFmtId="184" fontId="94" fillId="0" borderId="45" xfId="580" applyNumberFormat="1" applyFont="1" applyBorder="1" applyAlignment="1">
      <alignment horizontal="center" vertical="center" wrapText="1"/>
    </xf>
    <xf numFmtId="184" fontId="71" fillId="80" borderId="45" xfId="580" applyNumberFormat="1" applyFont="1" applyFill="1" applyBorder="1" applyAlignment="1">
      <alignment horizontal="center" vertical="center" wrapText="1"/>
    </xf>
    <xf numFmtId="184" fontId="76" fillId="81" borderId="45" xfId="0" applyNumberFormat="1" applyFont="1" applyFill="1" applyBorder="1" applyAlignment="1">
      <alignment horizontal="center" vertical="center" wrapText="1"/>
    </xf>
    <xf numFmtId="14" fontId="76" fillId="0" borderId="45" xfId="0" applyNumberFormat="1" applyFont="1" applyBorder="1" applyAlignment="1">
      <alignment horizontal="center" vertical="center" wrapText="1"/>
    </xf>
    <xf numFmtId="184" fontId="76" fillId="0" borderId="45" xfId="0" applyNumberFormat="1" applyFont="1" applyBorder="1" applyAlignment="1">
      <alignment horizontal="center" vertical="center" wrapText="1"/>
    </xf>
    <xf numFmtId="184" fontId="76" fillId="0" borderId="45" xfId="0" applyNumberFormat="1" applyFont="1" applyBorder="1" applyAlignment="1">
      <alignment horizontal="center" vertical="center"/>
    </xf>
    <xf numFmtId="184" fontId="76" fillId="0" borderId="45" xfId="580" applyNumberFormat="1" applyFont="1" applyBorder="1" applyAlignment="1">
      <alignment horizontal="center" vertical="center" wrapText="1"/>
    </xf>
    <xf numFmtId="184" fontId="87" fillId="0" borderId="45" xfId="580" applyNumberFormat="1" applyFont="1" applyBorder="1" applyAlignment="1">
      <alignment horizontal="center" vertical="center" wrapText="1"/>
    </xf>
    <xf numFmtId="184" fontId="71" fillId="80" borderId="45" xfId="1" applyNumberFormat="1" applyFont="1" applyFill="1" applyBorder="1" applyAlignment="1" applyProtection="1">
      <alignment horizontal="center" vertical="center" wrapText="1"/>
    </xf>
    <xf numFmtId="184" fontId="71" fillId="81" borderId="45" xfId="1" applyNumberFormat="1" applyFont="1" applyFill="1" applyBorder="1" applyAlignment="1" applyProtection="1">
      <alignment horizontal="center" vertical="center"/>
    </xf>
    <xf numFmtId="3" fontId="71" fillId="0" borderId="45" xfId="1" applyNumberFormat="1" applyFont="1" applyBorder="1" applyAlignment="1" applyProtection="1">
      <alignment horizontal="center" vertical="center" wrapText="1"/>
    </xf>
    <xf numFmtId="184" fontId="78" fillId="82" borderId="45" xfId="0" applyNumberFormat="1" applyFont="1" applyFill="1" applyBorder="1" applyAlignment="1">
      <alignment horizontal="left" vertical="center" wrapText="1"/>
    </xf>
    <xf numFmtId="184" fontId="128" fillId="84" borderId="45" xfId="0" applyNumberFormat="1" applyFont="1" applyFill="1" applyBorder="1" applyAlignment="1">
      <alignment horizontal="left" wrapText="1"/>
    </xf>
    <xf numFmtId="0" fontId="103" fillId="74" borderId="45" xfId="0" applyFont="1" applyFill="1" applyBorder="1" applyAlignment="1">
      <alignment horizontal="left" vertical="center" wrapText="1"/>
    </xf>
    <xf numFmtId="184" fontId="123" fillId="83" borderId="45" xfId="0" applyNumberFormat="1" applyFont="1" applyFill="1" applyBorder="1" applyAlignment="1">
      <alignment horizontal="left" vertical="center" wrapText="1"/>
    </xf>
    <xf numFmtId="0" fontId="103" fillId="74" borderId="45" xfId="0" applyFont="1" applyFill="1" applyBorder="1" applyAlignment="1">
      <alignment horizontal="left" wrapText="1"/>
    </xf>
    <xf numFmtId="184" fontId="123" fillId="84" borderId="45" xfId="0" applyNumberFormat="1" applyFont="1" applyFill="1" applyBorder="1" applyAlignment="1">
      <alignment horizontal="left" wrapText="1"/>
    </xf>
    <xf numFmtId="184" fontId="78" fillId="82" borderId="52" xfId="0" applyNumberFormat="1" applyFont="1" applyFill="1" applyBorder="1" applyAlignment="1">
      <alignment horizontal="left" vertical="center" wrapText="1"/>
    </xf>
    <xf numFmtId="0" fontId="87" fillId="71" borderId="27" xfId="43" applyFont="1" applyFill="1" applyBorder="1" applyAlignment="1">
      <alignment horizontal="center" vertical="center" wrapText="1"/>
    </xf>
    <xf numFmtId="181" fontId="87" fillId="34" borderId="27" xfId="0" applyNumberFormat="1" applyFont="1" applyFill="1" applyBorder="1" applyAlignment="1">
      <alignment horizontal="center" vertical="center" wrapText="1"/>
    </xf>
    <xf numFmtId="0" fontId="87" fillId="0" borderId="27" xfId="43" applyFont="1" applyBorder="1" applyAlignment="1">
      <alignment horizontal="center" vertical="center" wrapText="1"/>
    </xf>
    <xf numFmtId="165" fontId="100" fillId="0" borderId="44" xfId="1" applyFont="1" applyBorder="1" applyAlignment="1">
      <alignment horizontal="center" vertical="center"/>
    </xf>
    <xf numFmtId="165" fontId="87" fillId="34" borderId="40" xfId="1" applyFont="1" applyFill="1" applyBorder="1" applyAlignment="1">
      <alignment horizontal="center" vertical="center"/>
    </xf>
    <xf numFmtId="165" fontId="87" fillId="34" borderId="41" xfId="1" applyFont="1" applyFill="1" applyBorder="1" applyAlignment="1">
      <alignment horizontal="center" vertical="center"/>
    </xf>
    <xf numFmtId="0" fontId="87" fillId="70" borderId="0" xfId="0" applyFont="1" applyFill="1" applyAlignment="1">
      <alignment horizontal="center" vertical="center" wrapText="1"/>
    </xf>
    <xf numFmtId="1" fontId="87" fillId="0" borderId="51" xfId="43" applyNumberFormat="1" applyFont="1" applyBorder="1" applyAlignment="1">
      <alignment horizontal="center" vertical="center" wrapText="1"/>
    </xf>
    <xf numFmtId="1" fontId="87" fillId="0" borderId="13" xfId="43" applyNumberFormat="1" applyFont="1" applyBorder="1" applyAlignment="1">
      <alignment horizontal="center" vertical="center" wrapText="1"/>
    </xf>
    <xf numFmtId="181" fontId="87" fillId="0" borderId="46" xfId="0" applyNumberFormat="1" applyFont="1" applyBorder="1" applyAlignment="1">
      <alignment horizontal="center" vertical="center" wrapText="1"/>
    </xf>
    <xf numFmtId="181" fontId="87" fillId="0" borderId="52" xfId="0" applyNumberFormat="1" applyFont="1" applyBorder="1" applyAlignment="1">
      <alignment horizontal="center" vertical="center" wrapText="1"/>
    </xf>
    <xf numFmtId="181" fontId="87" fillId="0" borderId="51" xfId="0" applyNumberFormat="1" applyFont="1" applyBorder="1" applyAlignment="1">
      <alignment horizontal="center" vertical="center" wrapText="1"/>
    </xf>
    <xf numFmtId="181" fontId="87" fillId="0" borderId="13" xfId="0" applyNumberFormat="1" applyFont="1" applyBorder="1" applyAlignment="1">
      <alignment horizontal="center" vertical="center" wrapText="1"/>
    </xf>
    <xf numFmtId="0" fontId="87" fillId="0" borderId="46" xfId="0" applyFont="1" applyBorder="1" applyAlignment="1">
      <alignment horizontal="center" vertical="center"/>
    </xf>
    <xf numFmtId="0" fontId="87" fillId="0" borderId="52" xfId="0" applyFont="1" applyBorder="1" applyAlignment="1">
      <alignment horizontal="center" vertical="center"/>
    </xf>
    <xf numFmtId="168" fontId="87" fillId="71" borderId="51" xfId="1" applyNumberFormat="1" applyFont="1" applyFill="1" applyBorder="1" applyAlignment="1">
      <alignment horizontal="center" vertical="center" wrapText="1"/>
    </xf>
    <xf numFmtId="168" fontId="87" fillId="71" borderId="13" xfId="1" applyNumberFormat="1" applyFont="1" applyFill="1" applyBorder="1" applyAlignment="1">
      <alignment horizontal="center" vertical="center" wrapText="1"/>
    </xf>
    <xf numFmtId="165" fontId="87" fillId="34" borderId="46" xfId="1" applyFont="1" applyFill="1" applyBorder="1" applyAlignment="1">
      <alignment horizontal="center" vertical="center"/>
    </xf>
    <xf numFmtId="165" fontId="87" fillId="34" borderId="53" xfId="1" applyFont="1" applyFill="1" applyBorder="1" applyAlignment="1">
      <alignment horizontal="center" vertical="center"/>
    </xf>
    <xf numFmtId="165" fontId="87" fillId="34" borderId="52" xfId="1" applyFont="1" applyFill="1" applyBorder="1" applyAlignment="1">
      <alignment horizontal="center" vertical="center"/>
    </xf>
    <xf numFmtId="0" fontId="87" fillId="72" borderId="46" xfId="0" applyFont="1" applyFill="1" applyBorder="1" applyAlignment="1">
      <alignment horizontal="left" vertical="center" wrapText="1"/>
    </xf>
    <xf numFmtId="0" fontId="87" fillId="72" borderId="53" xfId="0" applyFont="1" applyFill="1" applyBorder="1" applyAlignment="1">
      <alignment horizontal="left" vertical="center" wrapText="1"/>
    </xf>
    <xf numFmtId="0" fontId="87" fillId="72" borderId="52" xfId="0" applyFont="1" applyFill="1" applyBorder="1" applyAlignment="1">
      <alignment horizontal="left" vertical="center" wrapText="1"/>
    </xf>
    <xf numFmtId="0" fontId="103" fillId="74" borderId="46" xfId="0" applyFont="1" applyFill="1" applyBorder="1" applyAlignment="1">
      <alignment horizontal="left" wrapText="1"/>
    </xf>
    <xf numFmtId="0" fontId="103" fillId="74" borderId="53" xfId="0" applyFont="1" applyFill="1" applyBorder="1" applyAlignment="1">
      <alignment horizontal="left" wrapText="1"/>
    </xf>
    <xf numFmtId="0" fontId="103" fillId="74" borderId="52" xfId="0" applyFont="1" applyFill="1" applyBorder="1" applyAlignment="1">
      <alignment horizontal="left" wrapText="1"/>
    </xf>
    <xf numFmtId="0" fontId="100" fillId="73" borderId="46" xfId="0" applyFont="1" applyFill="1" applyBorder="1" applyAlignment="1">
      <alignment horizontal="left" vertical="center" wrapText="1"/>
    </xf>
    <xf numFmtId="0" fontId="100" fillId="73" borderId="53" xfId="0" applyFont="1" applyFill="1" applyBorder="1" applyAlignment="1">
      <alignment horizontal="left" vertical="center" wrapText="1"/>
    </xf>
    <xf numFmtId="0" fontId="100" fillId="73" borderId="52" xfId="0" applyFont="1" applyFill="1" applyBorder="1" applyAlignment="1">
      <alignment horizontal="left" vertical="center" wrapText="1"/>
    </xf>
    <xf numFmtId="0" fontId="100" fillId="74" borderId="46" xfId="0" applyFont="1" applyFill="1" applyBorder="1" applyAlignment="1">
      <alignment horizontal="left" wrapText="1"/>
    </xf>
    <xf numFmtId="0" fontId="100" fillId="74" borderId="53" xfId="0" applyFont="1" applyFill="1" applyBorder="1" applyAlignment="1">
      <alignment horizontal="left" wrapText="1"/>
    </xf>
    <xf numFmtId="0" fontId="100" fillId="74" borderId="52" xfId="0" applyFont="1" applyFill="1" applyBorder="1" applyAlignment="1">
      <alignment horizontal="left" wrapText="1"/>
    </xf>
    <xf numFmtId="0" fontId="82" fillId="69" borderId="28" xfId="579" applyFont="1" applyFill="1" applyBorder="1" applyAlignment="1">
      <alignment horizontal="left" wrapText="1"/>
    </xf>
    <xf numFmtId="0" fontId="78" fillId="67" borderId="31" xfId="579" applyFont="1" applyFill="1" applyBorder="1" applyAlignment="1">
      <alignment horizontal="left" vertical="center" wrapText="1"/>
    </xf>
    <xf numFmtId="0" fontId="80" fillId="68" borderId="28" xfId="579" applyFont="1" applyFill="1" applyBorder="1" applyAlignment="1">
      <alignment horizontal="left" vertical="center" wrapText="1"/>
    </xf>
    <xf numFmtId="0" fontId="80" fillId="69" borderId="28" xfId="579" applyFont="1" applyFill="1" applyBorder="1" applyAlignment="1">
      <alignment horizontal="left" wrapText="1"/>
    </xf>
    <xf numFmtId="0" fontId="78" fillId="67" borderId="28" xfId="579" applyFont="1" applyFill="1" applyBorder="1" applyAlignment="1">
      <alignment horizontal="left" vertical="center" wrapText="1"/>
    </xf>
    <xf numFmtId="0" fontId="80" fillId="68" borderId="32" xfId="579" applyFont="1" applyFill="1" applyBorder="1" applyAlignment="1">
      <alignment horizontal="left" vertical="center" wrapText="1"/>
    </xf>
    <xf numFmtId="0" fontId="71" fillId="65" borderId="28" xfId="43" applyFont="1" applyFill="1" applyBorder="1" applyAlignment="1">
      <alignment horizontal="center" vertical="center" wrapText="1"/>
    </xf>
    <xf numFmtId="165" fontId="71" fillId="0" borderId="28" xfId="1" applyFont="1" applyFill="1" applyBorder="1" applyAlignment="1" applyProtection="1">
      <alignment horizontal="center" vertical="center" wrapText="1"/>
    </xf>
    <xf numFmtId="0" fontId="73" fillId="64" borderId="0" xfId="579" applyFont="1" applyFill="1" applyAlignment="1">
      <alignment horizontal="center" vertical="center" wrapText="1"/>
    </xf>
    <xf numFmtId="1" fontId="71" fillId="0" borderId="28" xfId="43" applyNumberFormat="1" applyFont="1" applyBorder="1" applyAlignment="1">
      <alignment horizontal="center" vertical="center" wrapText="1"/>
    </xf>
    <xf numFmtId="0" fontId="71" fillId="0" borderId="28" xfId="43" applyFont="1" applyBorder="1" applyAlignment="1">
      <alignment horizontal="center" vertical="center" wrapText="1"/>
    </xf>
    <xf numFmtId="180" fontId="71" fillId="66" borderId="28" xfId="579" applyNumberFormat="1" applyFont="1" applyFill="1" applyBorder="1" applyAlignment="1">
      <alignment horizontal="center" vertical="center" wrapText="1"/>
    </xf>
    <xf numFmtId="180" fontId="71" fillId="0" borderId="28" xfId="579" applyNumberFormat="1" applyFont="1" applyBorder="1" applyAlignment="1">
      <alignment horizontal="center" vertical="center" wrapText="1"/>
    </xf>
    <xf numFmtId="0" fontId="71" fillId="0" borderId="28" xfId="579" applyFont="1" applyBorder="1" applyAlignment="1">
      <alignment horizontal="center" vertical="center"/>
    </xf>
    <xf numFmtId="179" fontId="71" fillId="65" borderId="28" xfId="1" applyNumberFormat="1" applyFont="1" applyFill="1" applyBorder="1" applyAlignment="1" applyProtection="1">
      <alignment horizontal="center" vertical="center" wrapText="1"/>
    </xf>
    <xf numFmtId="165" fontId="71" fillId="66" borderId="28" xfId="1" applyFont="1" applyFill="1" applyBorder="1" applyAlignment="1" applyProtection="1">
      <alignment horizontal="center" vertical="center"/>
    </xf>
    <xf numFmtId="0" fontId="103" fillId="74" borderId="10" xfId="0" applyFont="1" applyFill="1" applyBorder="1" applyAlignment="1">
      <alignment horizontal="left" vertical="center" wrapText="1"/>
    </xf>
    <xf numFmtId="0" fontId="89" fillId="33" borderId="57" xfId="581" applyFont="1" applyFill="1" applyBorder="1" applyAlignment="1">
      <alignment vertical="center" wrapText="1"/>
    </xf>
    <xf numFmtId="165" fontId="87" fillId="0" borderId="0" xfId="1" applyFont="1" applyAlignment="1">
      <alignment horizontal="right" vertical="center" wrapText="1"/>
    </xf>
    <xf numFmtId="165" fontId="172" fillId="34" borderId="57" xfId="0" applyNumberFormat="1" applyFont="1" applyFill="1" applyBorder="1" applyAlignment="1">
      <alignment vertical="center"/>
    </xf>
  </cellXfs>
  <cellStyles count="597">
    <cellStyle name="1 indent" xfId="54" xr:uid="{00000000-0005-0000-0000-000000000000}"/>
    <cellStyle name="2 indents" xfId="55" xr:uid="{00000000-0005-0000-0000-000001000000}"/>
    <cellStyle name="20 % - Accent1" xfId="20" builtinId="30" customBuiltin="1"/>
    <cellStyle name="20 % - Accent1 2" xfId="56" xr:uid="{00000000-0005-0000-0000-000003000000}"/>
    <cellStyle name="20 % - Accent1 3" xfId="57" xr:uid="{00000000-0005-0000-0000-000004000000}"/>
    <cellStyle name="20 % - Accent2" xfId="24" builtinId="34" customBuiltin="1"/>
    <cellStyle name="20 % - Accent2 2" xfId="58" xr:uid="{00000000-0005-0000-0000-000006000000}"/>
    <cellStyle name="20 % - Accent2 3" xfId="59" xr:uid="{00000000-0005-0000-0000-000007000000}"/>
    <cellStyle name="20 % - Accent3" xfId="28" builtinId="38" customBuiltin="1"/>
    <cellStyle name="20 % - Accent3 2" xfId="60" xr:uid="{00000000-0005-0000-0000-000009000000}"/>
    <cellStyle name="20 % - Accent3 3" xfId="61" xr:uid="{00000000-0005-0000-0000-00000A000000}"/>
    <cellStyle name="20 % - Accent4" xfId="32" builtinId="42" customBuiltin="1"/>
    <cellStyle name="20 % - Accent4 2" xfId="62" xr:uid="{00000000-0005-0000-0000-00000C000000}"/>
    <cellStyle name="20 % - Accent4 3" xfId="63" xr:uid="{00000000-0005-0000-0000-00000D000000}"/>
    <cellStyle name="20 % - Accent5" xfId="36" builtinId="46" customBuiltin="1"/>
    <cellStyle name="20 % - Accent5 2" xfId="64" xr:uid="{00000000-0005-0000-0000-00000F000000}"/>
    <cellStyle name="20 % - Accent5 3" xfId="65" xr:uid="{00000000-0005-0000-0000-000010000000}"/>
    <cellStyle name="20 % - Accent6" xfId="40" builtinId="50" customBuiltin="1"/>
    <cellStyle name="20 % - Accent6 2" xfId="66" xr:uid="{00000000-0005-0000-0000-000012000000}"/>
    <cellStyle name="20 % - Accent6 3" xfId="67" xr:uid="{00000000-0005-0000-0000-000013000000}"/>
    <cellStyle name="3 indents" xfId="68" xr:uid="{00000000-0005-0000-0000-000014000000}"/>
    <cellStyle name="4 indents" xfId="69" xr:uid="{00000000-0005-0000-0000-000015000000}"/>
    <cellStyle name="40 % - Accent1" xfId="21" builtinId="31" customBuiltin="1"/>
    <cellStyle name="40 % - Accent1 2" xfId="70" xr:uid="{00000000-0005-0000-0000-000017000000}"/>
    <cellStyle name="40 % - Accent1 3" xfId="71" xr:uid="{00000000-0005-0000-0000-000018000000}"/>
    <cellStyle name="40 % - Accent2" xfId="25" builtinId="35" customBuiltin="1"/>
    <cellStyle name="40 % - Accent2 2" xfId="72" xr:uid="{00000000-0005-0000-0000-00001A000000}"/>
    <cellStyle name="40 % - Accent2 3" xfId="73" xr:uid="{00000000-0005-0000-0000-00001B000000}"/>
    <cellStyle name="40 % - Accent3" xfId="29" builtinId="39" customBuiltin="1"/>
    <cellStyle name="40 % - Accent3 2" xfId="74" xr:uid="{00000000-0005-0000-0000-00001D000000}"/>
    <cellStyle name="40 % - Accent3 3" xfId="75" xr:uid="{00000000-0005-0000-0000-00001E000000}"/>
    <cellStyle name="40 % - Accent4" xfId="33" builtinId="43" customBuiltin="1"/>
    <cellStyle name="40 % - Accent4 2" xfId="76" xr:uid="{00000000-0005-0000-0000-000020000000}"/>
    <cellStyle name="40 % - Accent4 3" xfId="77" xr:uid="{00000000-0005-0000-0000-000021000000}"/>
    <cellStyle name="40 % - Accent5" xfId="37" builtinId="47" customBuiltin="1"/>
    <cellStyle name="40 % - Accent5 2" xfId="78" xr:uid="{00000000-0005-0000-0000-000023000000}"/>
    <cellStyle name="40 % - Accent5 3" xfId="79" xr:uid="{00000000-0005-0000-0000-000024000000}"/>
    <cellStyle name="40 % - Accent6" xfId="41" builtinId="51" customBuiltin="1"/>
    <cellStyle name="40 % - Accent6 2" xfId="80" xr:uid="{00000000-0005-0000-0000-000026000000}"/>
    <cellStyle name="40 % - Accent6 3" xfId="81" xr:uid="{00000000-0005-0000-0000-000027000000}"/>
    <cellStyle name="60 % - Accent1" xfId="22" builtinId="32" customBuiltin="1"/>
    <cellStyle name="60 % - Accent1 2" xfId="82" xr:uid="{00000000-0005-0000-0000-000029000000}"/>
    <cellStyle name="60 % - Accent1 3" xfId="83" xr:uid="{00000000-0005-0000-0000-00002A000000}"/>
    <cellStyle name="60 % - Accent2" xfId="26" builtinId="36" customBuiltin="1"/>
    <cellStyle name="60 % - Accent2 2" xfId="84" xr:uid="{00000000-0005-0000-0000-00002C000000}"/>
    <cellStyle name="60 % - Accent2 3" xfId="85" xr:uid="{00000000-0005-0000-0000-00002D000000}"/>
    <cellStyle name="60 % - Accent3" xfId="30" builtinId="40" customBuiltin="1"/>
    <cellStyle name="60 % - Accent3 2" xfId="86" xr:uid="{00000000-0005-0000-0000-00002F000000}"/>
    <cellStyle name="60 % - Accent3 3" xfId="87" xr:uid="{00000000-0005-0000-0000-000030000000}"/>
    <cellStyle name="60 % - Accent4" xfId="34" builtinId="44" customBuiltin="1"/>
    <cellStyle name="60 % - Accent4 2" xfId="88" xr:uid="{00000000-0005-0000-0000-000032000000}"/>
    <cellStyle name="60 % - Accent4 3" xfId="89" xr:uid="{00000000-0005-0000-0000-000033000000}"/>
    <cellStyle name="60 % - Accent5" xfId="38" builtinId="48" customBuiltin="1"/>
    <cellStyle name="60 % - Accent5 2" xfId="90" xr:uid="{00000000-0005-0000-0000-000035000000}"/>
    <cellStyle name="60 % - Accent5 3" xfId="91" xr:uid="{00000000-0005-0000-0000-000036000000}"/>
    <cellStyle name="60 % - Accent6" xfId="42" builtinId="52" customBuiltin="1"/>
    <cellStyle name="60 % - Accent6 2" xfId="92" xr:uid="{00000000-0005-0000-0000-000038000000}"/>
    <cellStyle name="60 % - Accent6 3" xfId="93" xr:uid="{00000000-0005-0000-0000-000039000000}"/>
    <cellStyle name="Accent1" xfId="19" builtinId="29" customBuiltin="1"/>
    <cellStyle name="Accent1 2" xfId="94" xr:uid="{00000000-0005-0000-0000-00003B000000}"/>
    <cellStyle name="Accent1 3" xfId="95" xr:uid="{00000000-0005-0000-0000-00003C000000}"/>
    <cellStyle name="Accent2" xfId="23" builtinId="33" customBuiltin="1"/>
    <cellStyle name="Accent2 2" xfId="96" xr:uid="{00000000-0005-0000-0000-00003E000000}"/>
    <cellStyle name="Accent2 3" xfId="97" xr:uid="{00000000-0005-0000-0000-00003F000000}"/>
    <cellStyle name="Accent3" xfId="27" builtinId="37" customBuiltin="1"/>
    <cellStyle name="Accent3 2" xfId="98" xr:uid="{00000000-0005-0000-0000-000041000000}"/>
    <cellStyle name="Accent3 3" xfId="99" xr:uid="{00000000-0005-0000-0000-000042000000}"/>
    <cellStyle name="Accent4" xfId="31" builtinId="41" customBuiltin="1"/>
    <cellStyle name="Accent4 2" xfId="100" xr:uid="{00000000-0005-0000-0000-000044000000}"/>
    <cellStyle name="Accent4 3" xfId="101" xr:uid="{00000000-0005-0000-0000-000045000000}"/>
    <cellStyle name="Accent5" xfId="35" builtinId="45" customBuiltin="1"/>
    <cellStyle name="Accent5 2" xfId="102" xr:uid="{00000000-0005-0000-0000-000047000000}"/>
    <cellStyle name="Accent5 3" xfId="103" xr:uid="{00000000-0005-0000-0000-000048000000}"/>
    <cellStyle name="Accent6" xfId="39" builtinId="49" customBuiltin="1"/>
    <cellStyle name="Accent6 2" xfId="104" xr:uid="{00000000-0005-0000-0000-00004A000000}"/>
    <cellStyle name="Accent6 3" xfId="105" xr:uid="{00000000-0005-0000-0000-00004B000000}"/>
    <cellStyle name="Année" xfId="106" xr:uid="{00000000-0005-0000-0000-00004C000000}"/>
    <cellStyle name="Avertissement" xfId="16" builtinId="11" customBuiltin="1"/>
    <cellStyle name="Avertissement 2" xfId="107" xr:uid="{00000000-0005-0000-0000-00004E000000}"/>
    <cellStyle name="Avertissement 3" xfId="108" xr:uid="{00000000-0005-0000-0000-00004F000000}"/>
    <cellStyle name="Calcul" xfId="13" builtinId="22" customBuiltin="1"/>
    <cellStyle name="Calcul 2" xfId="109" xr:uid="{00000000-0005-0000-0000-000051000000}"/>
    <cellStyle name="Calcul 2 2" xfId="110" xr:uid="{00000000-0005-0000-0000-000052000000}"/>
    <cellStyle name="Calcul 2 2 2" xfId="111" xr:uid="{00000000-0005-0000-0000-000053000000}"/>
    <cellStyle name="Calcul 2 2 3" xfId="112" xr:uid="{00000000-0005-0000-0000-000054000000}"/>
    <cellStyle name="Calcul 2 2 4" xfId="113" xr:uid="{00000000-0005-0000-0000-000055000000}"/>
    <cellStyle name="Calcul 2 2 5" xfId="114" xr:uid="{00000000-0005-0000-0000-000056000000}"/>
    <cellStyle name="Calcul 2 3" xfId="115" xr:uid="{00000000-0005-0000-0000-000057000000}"/>
    <cellStyle name="Calcul 2 3 2" xfId="116" xr:uid="{00000000-0005-0000-0000-000058000000}"/>
    <cellStyle name="Calcul 2 3 3" xfId="117" xr:uid="{00000000-0005-0000-0000-000059000000}"/>
    <cellStyle name="Calcul 2 3 4" xfId="118" xr:uid="{00000000-0005-0000-0000-00005A000000}"/>
    <cellStyle name="Calcul 2 3 5" xfId="119" xr:uid="{00000000-0005-0000-0000-00005B000000}"/>
    <cellStyle name="Calcul 2 4" xfId="120" xr:uid="{00000000-0005-0000-0000-00005C000000}"/>
    <cellStyle name="Calcul 2 5" xfId="121" xr:uid="{00000000-0005-0000-0000-00005D000000}"/>
    <cellStyle name="Calcul 2 6" xfId="122" xr:uid="{00000000-0005-0000-0000-00005E000000}"/>
    <cellStyle name="Calcul 2 7" xfId="123" xr:uid="{00000000-0005-0000-0000-00005F000000}"/>
    <cellStyle name="Calcul 3" xfId="124" xr:uid="{00000000-0005-0000-0000-000060000000}"/>
    <cellStyle name="Calcul 3 2" xfId="125" xr:uid="{00000000-0005-0000-0000-000061000000}"/>
    <cellStyle name="Calcul 3 2 2" xfId="126" xr:uid="{00000000-0005-0000-0000-000062000000}"/>
    <cellStyle name="Calcul 3 2 3" xfId="127" xr:uid="{00000000-0005-0000-0000-000063000000}"/>
    <cellStyle name="Calcul 3 2 4" xfId="128" xr:uid="{00000000-0005-0000-0000-000064000000}"/>
    <cellStyle name="Calcul 3 2 5" xfId="129" xr:uid="{00000000-0005-0000-0000-000065000000}"/>
    <cellStyle name="Calcul 3 3" xfId="130" xr:uid="{00000000-0005-0000-0000-000066000000}"/>
    <cellStyle name="Calcul 3 3 2" xfId="131" xr:uid="{00000000-0005-0000-0000-000067000000}"/>
    <cellStyle name="Calcul 3 3 3" xfId="132" xr:uid="{00000000-0005-0000-0000-000068000000}"/>
    <cellStyle name="Calcul 3 3 4" xfId="133" xr:uid="{00000000-0005-0000-0000-000069000000}"/>
    <cellStyle name="Calcul 3 3 5" xfId="134" xr:uid="{00000000-0005-0000-0000-00006A000000}"/>
    <cellStyle name="Calcul 3 4" xfId="135" xr:uid="{00000000-0005-0000-0000-00006B000000}"/>
    <cellStyle name="Calcul 3 5" xfId="136" xr:uid="{00000000-0005-0000-0000-00006C000000}"/>
    <cellStyle name="Calcul 3 6" xfId="137" xr:uid="{00000000-0005-0000-0000-00006D000000}"/>
    <cellStyle name="Calcul 3 7" xfId="138" xr:uid="{00000000-0005-0000-0000-00006E000000}"/>
    <cellStyle name="Cellule liée" xfId="14" builtinId="24" customBuiltin="1"/>
    <cellStyle name="Cellule liée 2" xfId="139" xr:uid="{00000000-0005-0000-0000-000070000000}"/>
    <cellStyle name="Cellule liée 3" xfId="140" xr:uid="{00000000-0005-0000-0000-000071000000}"/>
    <cellStyle name="Comma 2" xfId="141" xr:uid="{00000000-0005-0000-0000-000072000000}"/>
    <cellStyle name="Comma 3" xfId="578" xr:uid="{00000000-0005-0000-0000-000073000000}"/>
    <cellStyle name="Comma0" xfId="142" xr:uid="{00000000-0005-0000-0000-000074000000}"/>
    <cellStyle name="Comma0 2" xfId="143" xr:uid="{00000000-0005-0000-0000-000075000000}"/>
    <cellStyle name="Commentaire 2" xfId="144" xr:uid="{00000000-0005-0000-0000-000076000000}"/>
    <cellStyle name="Commentaire 2 10" xfId="145" xr:uid="{00000000-0005-0000-0000-000077000000}"/>
    <cellStyle name="Commentaire 2 10 2" xfId="146" xr:uid="{00000000-0005-0000-0000-000078000000}"/>
    <cellStyle name="Commentaire 2 11" xfId="147" xr:uid="{00000000-0005-0000-0000-000079000000}"/>
    <cellStyle name="Commentaire 2 2" xfId="148" xr:uid="{00000000-0005-0000-0000-00007A000000}"/>
    <cellStyle name="Commentaire 2 2 2" xfId="149" xr:uid="{00000000-0005-0000-0000-00007B000000}"/>
    <cellStyle name="Commentaire 2 2 2 2" xfId="150" xr:uid="{00000000-0005-0000-0000-00007C000000}"/>
    <cellStyle name="Commentaire 2 2 2 3" xfId="151" xr:uid="{00000000-0005-0000-0000-00007D000000}"/>
    <cellStyle name="Commentaire 2 2 2 4" xfId="152" xr:uid="{00000000-0005-0000-0000-00007E000000}"/>
    <cellStyle name="Commentaire 2 2 2 5" xfId="153" xr:uid="{00000000-0005-0000-0000-00007F000000}"/>
    <cellStyle name="Commentaire 2 2 3" xfId="154" xr:uid="{00000000-0005-0000-0000-000080000000}"/>
    <cellStyle name="Commentaire 2 2 3 2" xfId="155" xr:uid="{00000000-0005-0000-0000-000081000000}"/>
    <cellStyle name="Commentaire 2 2 3 3" xfId="156" xr:uid="{00000000-0005-0000-0000-000082000000}"/>
    <cellStyle name="Commentaire 2 2 3 4" xfId="157" xr:uid="{00000000-0005-0000-0000-000083000000}"/>
    <cellStyle name="Commentaire 2 2 3 5" xfId="158" xr:uid="{00000000-0005-0000-0000-000084000000}"/>
    <cellStyle name="Commentaire 2 2 4" xfId="159" xr:uid="{00000000-0005-0000-0000-000085000000}"/>
    <cellStyle name="Commentaire 2 2 5" xfId="160" xr:uid="{00000000-0005-0000-0000-000086000000}"/>
    <cellStyle name="Commentaire 2 2 6" xfId="161" xr:uid="{00000000-0005-0000-0000-000087000000}"/>
    <cellStyle name="Commentaire 2 2 7" xfId="162" xr:uid="{00000000-0005-0000-0000-000088000000}"/>
    <cellStyle name="Commentaire 2 3" xfId="163" xr:uid="{00000000-0005-0000-0000-000089000000}"/>
    <cellStyle name="Commentaire 2 3 2" xfId="164" xr:uid="{00000000-0005-0000-0000-00008A000000}"/>
    <cellStyle name="Commentaire 2 3 2 2" xfId="165" xr:uid="{00000000-0005-0000-0000-00008B000000}"/>
    <cellStyle name="Commentaire 2 3 2 3" xfId="166" xr:uid="{00000000-0005-0000-0000-00008C000000}"/>
    <cellStyle name="Commentaire 2 3 2 4" xfId="167" xr:uid="{00000000-0005-0000-0000-00008D000000}"/>
    <cellStyle name="Commentaire 2 3 2 5" xfId="168" xr:uid="{00000000-0005-0000-0000-00008E000000}"/>
    <cellStyle name="Commentaire 2 3 3" xfId="169" xr:uid="{00000000-0005-0000-0000-00008F000000}"/>
    <cellStyle name="Commentaire 2 3 3 2" xfId="170" xr:uid="{00000000-0005-0000-0000-000090000000}"/>
    <cellStyle name="Commentaire 2 3 3 3" xfId="171" xr:uid="{00000000-0005-0000-0000-000091000000}"/>
    <cellStyle name="Commentaire 2 3 3 4" xfId="172" xr:uid="{00000000-0005-0000-0000-000092000000}"/>
    <cellStyle name="Commentaire 2 3 3 5" xfId="173" xr:uid="{00000000-0005-0000-0000-000093000000}"/>
    <cellStyle name="Commentaire 2 3 4" xfId="174" xr:uid="{00000000-0005-0000-0000-000094000000}"/>
    <cellStyle name="Commentaire 2 3 5" xfId="175" xr:uid="{00000000-0005-0000-0000-000095000000}"/>
    <cellStyle name="Commentaire 2 3 6" xfId="176" xr:uid="{00000000-0005-0000-0000-000096000000}"/>
    <cellStyle name="Commentaire 2 3 7" xfId="177" xr:uid="{00000000-0005-0000-0000-000097000000}"/>
    <cellStyle name="Commentaire 2 4" xfId="178" xr:uid="{00000000-0005-0000-0000-000098000000}"/>
    <cellStyle name="Commentaire 2 4 2" xfId="179" xr:uid="{00000000-0005-0000-0000-000099000000}"/>
    <cellStyle name="Commentaire 2 4 2 2" xfId="180" xr:uid="{00000000-0005-0000-0000-00009A000000}"/>
    <cellStyle name="Commentaire 2 4 2 3" xfId="181" xr:uid="{00000000-0005-0000-0000-00009B000000}"/>
    <cellStyle name="Commentaire 2 4 2 4" xfId="182" xr:uid="{00000000-0005-0000-0000-00009C000000}"/>
    <cellStyle name="Commentaire 2 4 2 5" xfId="183" xr:uid="{00000000-0005-0000-0000-00009D000000}"/>
    <cellStyle name="Commentaire 2 4 3" xfId="184" xr:uid="{00000000-0005-0000-0000-00009E000000}"/>
    <cellStyle name="Commentaire 2 4 3 2" xfId="185" xr:uid="{00000000-0005-0000-0000-00009F000000}"/>
    <cellStyle name="Commentaire 2 4 3 3" xfId="186" xr:uid="{00000000-0005-0000-0000-0000A0000000}"/>
    <cellStyle name="Commentaire 2 4 3 4" xfId="187" xr:uid="{00000000-0005-0000-0000-0000A1000000}"/>
    <cellStyle name="Commentaire 2 4 3 5" xfId="188" xr:uid="{00000000-0005-0000-0000-0000A2000000}"/>
    <cellStyle name="Commentaire 2 4 4" xfId="189" xr:uid="{00000000-0005-0000-0000-0000A3000000}"/>
    <cellStyle name="Commentaire 2 4 5" xfId="190" xr:uid="{00000000-0005-0000-0000-0000A4000000}"/>
    <cellStyle name="Commentaire 2 4 6" xfId="191" xr:uid="{00000000-0005-0000-0000-0000A5000000}"/>
    <cellStyle name="Commentaire 2 4 7" xfId="192" xr:uid="{00000000-0005-0000-0000-0000A6000000}"/>
    <cellStyle name="Commentaire 2 5" xfId="193" xr:uid="{00000000-0005-0000-0000-0000A7000000}"/>
    <cellStyle name="Commentaire 2 5 2" xfId="194" xr:uid="{00000000-0005-0000-0000-0000A8000000}"/>
    <cellStyle name="Commentaire 2 5 2 2" xfId="195" xr:uid="{00000000-0005-0000-0000-0000A9000000}"/>
    <cellStyle name="Commentaire 2 5 2 3" xfId="196" xr:uid="{00000000-0005-0000-0000-0000AA000000}"/>
    <cellStyle name="Commentaire 2 5 2 4" xfId="197" xr:uid="{00000000-0005-0000-0000-0000AB000000}"/>
    <cellStyle name="Commentaire 2 5 2 5" xfId="198" xr:uid="{00000000-0005-0000-0000-0000AC000000}"/>
    <cellStyle name="Commentaire 2 5 3" xfId="199" xr:uid="{00000000-0005-0000-0000-0000AD000000}"/>
    <cellStyle name="Commentaire 2 5 3 2" xfId="200" xr:uid="{00000000-0005-0000-0000-0000AE000000}"/>
    <cellStyle name="Commentaire 2 5 3 3" xfId="201" xr:uid="{00000000-0005-0000-0000-0000AF000000}"/>
    <cellStyle name="Commentaire 2 5 3 4" xfId="202" xr:uid="{00000000-0005-0000-0000-0000B0000000}"/>
    <cellStyle name="Commentaire 2 5 3 5" xfId="203" xr:uid="{00000000-0005-0000-0000-0000B1000000}"/>
    <cellStyle name="Commentaire 2 5 4" xfId="204" xr:uid="{00000000-0005-0000-0000-0000B2000000}"/>
    <cellStyle name="Commentaire 2 5 5" xfId="205" xr:uid="{00000000-0005-0000-0000-0000B3000000}"/>
    <cellStyle name="Commentaire 2 5 6" xfId="206" xr:uid="{00000000-0005-0000-0000-0000B4000000}"/>
    <cellStyle name="Commentaire 2 5 7" xfId="207" xr:uid="{00000000-0005-0000-0000-0000B5000000}"/>
    <cellStyle name="Commentaire 2 6" xfId="208" xr:uid="{00000000-0005-0000-0000-0000B6000000}"/>
    <cellStyle name="Commentaire 2 6 2" xfId="209" xr:uid="{00000000-0005-0000-0000-0000B7000000}"/>
    <cellStyle name="Commentaire 2 6 3" xfId="210" xr:uid="{00000000-0005-0000-0000-0000B8000000}"/>
    <cellStyle name="Commentaire 2 6 4" xfId="211" xr:uid="{00000000-0005-0000-0000-0000B9000000}"/>
    <cellStyle name="Commentaire 2 6 5" xfId="212" xr:uid="{00000000-0005-0000-0000-0000BA000000}"/>
    <cellStyle name="Commentaire 2 7" xfId="213" xr:uid="{00000000-0005-0000-0000-0000BB000000}"/>
    <cellStyle name="Commentaire 2 7 2" xfId="214" xr:uid="{00000000-0005-0000-0000-0000BC000000}"/>
    <cellStyle name="Commentaire 2 7 3" xfId="215" xr:uid="{00000000-0005-0000-0000-0000BD000000}"/>
    <cellStyle name="Commentaire 2 7 4" xfId="216" xr:uid="{00000000-0005-0000-0000-0000BE000000}"/>
    <cellStyle name="Commentaire 2 7 5" xfId="217" xr:uid="{00000000-0005-0000-0000-0000BF000000}"/>
    <cellStyle name="Commentaire 2 8" xfId="218" xr:uid="{00000000-0005-0000-0000-0000C0000000}"/>
    <cellStyle name="Commentaire 2 8 2" xfId="219" xr:uid="{00000000-0005-0000-0000-0000C1000000}"/>
    <cellStyle name="Commentaire 2 9" xfId="220" xr:uid="{00000000-0005-0000-0000-0000C2000000}"/>
    <cellStyle name="Commentaire 2 9 2" xfId="221" xr:uid="{00000000-0005-0000-0000-0000C3000000}"/>
    <cellStyle name="Commentaire 3" xfId="222" xr:uid="{00000000-0005-0000-0000-0000C4000000}"/>
    <cellStyle name="Commentaire 3 10" xfId="223" xr:uid="{00000000-0005-0000-0000-0000C5000000}"/>
    <cellStyle name="Commentaire 3 11" xfId="224" xr:uid="{00000000-0005-0000-0000-0000C6000000}"/>
    <cellStyle name="Commentaire 3 2" xfId="225" xr:uid="{00000000-0005-0000-0000-0000C7000000}"/>
    <cellStyle name="Commentaire 3 2 2" xfId="226" xr:uid="{00000000-0005-0000-0000-0000C8000000}"/>
    <cellStyle name="Commentaire 3 2 2 2" xfId="227" xr:uid="{00000000-0005-0000-0000-0000C9000000}"/>
    <cellStyle name="Commentaire 3 2 2 3" xfId="228" xr:uid="{00000000-0005-0000-0000-0000CA000000}"/>
    <cellStyle name="Commentaire 3 2 2 4" xfId="229" xr:uid="{00000000-0005-0000-0000-0000CB000000}"/>
    <cellStyle name="Commentaire 3 2 2 5" xfId="230" xr:uid="{00000000-0005-0000-0000-0000CC000000}"/>
    <cellStyle name="Commentaire 3 2 3" xfId="231" xr:uid="{00000000-0005-0000-0000-0000CD000000}"/>
    <cellStyle name="Commentaire 3 2 3 2" xfId="232" xr:uid="{00000000-0005-0000-0000-0000CE000000}"/>
    <cellStyle name="Commentaire 3 2 3 3" xfId="233" xr:uid="{00000000-0005-0000-0000-0000CF000000}"/>
    <cellStyle name="Commentaire 3 2 3 4" xfId="234" xr:uid="{00000000-0005-0000-0000-0000D0000000}"/>
    <cellStyle name="Commentaire 3 2 3 5" xfId="235" xr:uid="{00000000-0005-0000-0000-0000D1000000}"/>
    <cellStyle name="Commentaire 3 2 4" xfId="236" xr:uid="{00000000-0005-0000-0000-0000D2000000}"/>
    <cellStyle name="Commentaire 3 2 5" xfId="237" xr:uid="{00000000-0005-0000-0000-0000D3000000}"/>
    <cellStyle name="Commentaire 3 2 6" xfId="238" xr:uid="{00000000-0005-0000-0000-0000D4000000}"/>
    <cellStyle name="Commentaire 3 2 7" xfId="239" xr:uid="{00000000-0005-0000-0000-0000D5000000}"/>
    <cellStyle name="Commentaire 3 3" xfId="240" xr:uid="{00000000-0005-0000-0000-0000D6000000}"/>
    <cellStyle name="Commentaire 3 3 2" xfId="241" xr:uid="{00000000-0005-0000-0000-0000D7000000}"/>
    <cellStyle name="Commentaire 3 3 2 2" xfId="242" xr:uid="{00000000-0005-0000-0000-0000D8000000}"/>
    <cellStyle name="Commentaire 3 3 2 3" xfId="243" xr:uid="{00000000-0005-0000-0000-0000D9000000}"/>
    <cellStyle name="Commentaire 3 3 2 4" xfId="244" xr:uid="{00000000-0005-0000-0000-0000DA000000}"/>
    <cellStyle name="Commentaire 3 3 2 5" xfId="245" xr:uid="{00000000-0005-0000-0000-0000DB000000}"/>
    <cellStyle name="Commentaire 3 3 3" xfId="246" xr:uid="{00000000-0005-0000-0000-0000DC000000}"/>
    <cellStyle name="Commentaire 3 3 3 2" xfId="247" xr:uid="{00000000-0005-0000-0000-0000DD000000}"/>
    <cellStyle name="Commentaire 3 3 3 3" xfId="248" xr:uid="{00000000-0005-0000-0000-0000DE000000}"/>
    <cellStyle name="Commentaire 3 3 3 4" xfId="249" xr:uid="{00000000-0005-0000-0000-0000DF000000}"/>
    <cellStyle name="Commentaire 3 3 3 5" xfId="250" xr:uid="{00000000-0005-0000-0000-0000E0000000}"/>
    <cellStyle name="Commentaire 3 3 4" xfId="251" xr:uid="{00000000-0005-0000-0000-0000E1000000}"/>
    <cellStyle name="Commentaire 3 3 5" xfId="252" xr:uid="{00000000-0005-0000-0000-0000E2000000}"/>
    <cellStyle name="Commentaire 3 3 6" xfId="253" xr:uid="{00000000-0005-0000-0000-0000E3000000}"/>
    <cellStyle name="Commentaire 3 3 7" xfId="254" xr:uid="{00000000-0005-0000-0000-0000E4000000}"/>
    <cellStyle name="Commentaire 3 4" xfId="255" xr:uid="{00000000-0005-0000-0000-0000E5000000}"/>
    <cellStyle name="Commentaire 3 4 2" xfId="256" xr:uid="{00000000-0005-0000-0000-0000E6000000}"/>
    <cellStyle name="Commentaire 3 4 2 2" xfId="257" xr:uid="{00000000-0005-0000-0000-0000E7000000}"/>
    <cellStyle name="Commentaire 3 4 2 3" xfId="258" xr:uid="{00000000-0005-0000-0000-0000E8000000}"/>
    <cellStyle name="Commentaire 3 4 2 4" xfId="259" xr:uid="{00000000-0005-0000-0000-0000E9000000}"/>
    <cellStyle name="Commentaire 3 4 2 5" xfId="260" xr:uid="{00000000-0005-0000-0000-0000EA000000}"/>
    <cellStyle name="Commentaire 3 4 3" xfId="261" xr:uid="{00000000-0005-0000-0000-0000EB000000}"/>
    <cellStyle name="Commentaire 3 4 3 2" xfId="262" xr:uid="{00000000-0005-0000-0000-0000EC000000}"/>
    <cellStyle name="Commentaire 3 4 3 3" xfId="263" xr:uid="{00000000-0005-0000-0000-0000ED000000}"/>
    <cellStyle name="Commentaire 3 4 3 4" xfId="264" xr:uid="{00000000-0005-0000-0000-0000EE000000}"/>
    <cellStyle name="Commentaire 3 4 3 5" xfId="265" xr:uid="{00000000-0005-0000-0000-0000EF000000}"/>
    <cellStyle name="Commentaire 3 4 4" xfId="266" xr:uid="{00000000-0005-0000-0000-0000F0000000}"/>
    <cellStyle name="Commentaire 3 4 5" xfId="267" xr:uid="{00000000-0005-0000-0000-0000F1000000}"/>
    <cellStyle name="Commentaire 3 4 6" xfId="268" xr:uid="{00000000-0005-0000-0000-0000F2000000}"/>
    <cellStyle name="Commentaire 3 4 7" xfId="269" xr:uid="{00000000-0005-0000-0000-0000F3000000}"/>
    <cellStyle name="Commentaire 3 5" xfId="270" xr:uid="{00000000-0005-0000-0000-0000F4000000}"/>
    <cellStyle name="Commentaire 3 5 2" xfId="271" xr:uid="{00000000-0005-0000-0000-0000F5000000}"/>
    <cellStyle name="Commentaire 3 5 2 2" xfId="272" xr:uid="{00000000-0005-0000-0000-0000F6000000}"/>
    <cellStyle name="Commentaire 3 5 2 3" xfId="273" xr:uid="{00000000-0005-0000-0000-0000F7000000}"/>
    <cellStyle name="Commentaire 3 5 2 4" xfId="274" xr:uid="{00000000-0005-0000-0000-0000F8000000}"/>
    <cellStyle name="Commentaire 3 5 2 5" xfId="275" xr:uid="{00000000-0005-0000-0000-0000F9000000}"/>
    <cellStyle name="Commentaire 3 5 3" xfId="276" xr:uid="{00000000-0005-0000-0000-0000FA000000}"/>
    <cellStyle name="Commentaire 3 5 3 2" xfId="277" xr:uid="{00000000-0005-0000-0000-0000FB000000}"/>
    <cellStyle name="Commentaire 3 5 3 3" xfId="278" xr:uid="{00000000-0005-0000-0000-0000FC000000}"/>
    <cellStyle name="Commentaire 3 5 3 4" xfId="279" xr:uid="{00000000-0005-0000-0000-0000FD000000}"/>
    <cellStyle name="Commentaire 3 5 3 5" xfId="280" xr:uid="{00000000-0005-0000-0000-0000FE000000}"/>
    <cellStyle name="Commentaire 3 5 4" xfId="281" xr:uid="{00000000-0005-0000-0000-0000FF000000}"/>
    <cellStyle name="Commentaire 3 5 5" xfId="282" xr:uid="{00000000-0005-0000-0000-000000010000}"/>
    <cellStyle name="Commentaire 3 5 6" xfId="283" xr:uid="{00000000-0005-0000-0000-000001010000}"/>
    <cellStyle name="Commentaire 3 5 7" xfId="284" xr:uid="{00000000-0005-0000-0000-000002010000}"/>
    <cellStyle name="Commentaire 3 6" xfId="285" xr:uid="{00000000-0005-0000-0000-000003010000}"/>
    <cellStyle name="Commentaire 3 6 2" xfId="286" xr:uid="{00000000-0005-0000-0000-000004010000}"/>
    <cellStyle name="Commentaire 3 6 3" xfId="287" xr:uid="{00000000-0005-0000-0000-000005010000}"/>
    <cellStyle name="Commentaire 3 6 4" xfId="288" xr:uid="{00000000-0005-0000-0000-000006010000}"/>
    <cellStyle name="Commentaire 3 6 5" xfId="289" xr:uid="{00000000-0005-0000-0000-000007010000}"/>
    <cellStyle name="Commentaire 3 7" xfId="290" xr:uid="{00000000-0005-0000-0000-000008010000}"/>
    <cellStyle name="Commentaire 3 7 2" xfId="291" xr:uid="{00000000-0005-0000-0000-000009010000}"/>
    <cellStyle name="Commentaire 3 7 3" xfId="292" xr:uid="{00000000-0005-0000-0000-00000A010000}"/>
    <cellStyle name="Commentaire 3 7 4" xfId="293" xr:uid="{00000000-0005-0000-0000-00000B010000}"/>
    <cellStyle name="Commentaire 3 7 5" xfId="294" xr:uid="{00000000-0005-0000-0000-00000C010000}"/>
    <cellStyle name="Commentaire 3 8" xfId="295" xr:uid="{00000000-0005-0000-0000-00000D010000}"/>
    <cellStyle name="Commentaire 3 9" xfId="296" xr:uid="{00000000-0005-0000-0000-00000E010000}"/>
    <cellStyle name="Commentaire 4" xfId="297" xr:uid="{00000000-0005-0000-0000-00000F010000}"/>
    <cellStyle name="Commentaire 5" xfId="298" xr:uid="{00000000-0005-0000-0000-000010010000}"/>
    <cellStyle name="Commentaire 6" xfId="299" xr:uid="{00000000-0005-0000-0000-000011010000}"/>
    <cellStyle name="Commentaire 7" xfId="300" xr:uid="{00000000-0005-0000-0000-000012010000}"/>
    <cellStyle name="Commentaire 8" xfId="301" xr:uid="{00000000-0005-0000-0000-000013010000}"/>
    <cellStyle name="Entrée" xfId="11" builtinId="20" customBuiltin="1"/>
    <cellStyle name="Entrée 2" xfId="302" xr:uid="{00000000-0005-0000-0000-000015010000}"/>
    <cellStyle name="Entrée 2 2" xfId="303" xr:uid="{00000000-0005-0000-0000-000016010000}"/>
    <cellStyle name="Entrée 2 2 2" xfId="304" xr:uid="{00000000-0005-0000-0000-000017010000}"/>
    <cellStyle name="Entrée 2 2 3" xfId="305" xr:uid="{00000000-0005-0000-0000-000018010000}"/>
    <cellStyle name="Entrée 2 2 4" xfId="306" xr:uid="{00000000-0005-0000-0000-000019010000}"/>
    <cellStyle name="Entrée 2 2 5" xfId="307" xr:uid="{00000000-0005-0000-0000-00001A010000}"/>
    <cellStyle name="Entrée 2 3" xfId="308" xr:uid="{00000000-0005-0000-0000-00001B010000}"/>
    <cellStyle name="Entrée 2 3 2" xfId="309" xr:uid="{00000000-0005-0000-0000-00001C010000}"/>
    <cellStyle name="Entrée 2 3 3" xfId="310" xr:uid="{00000000-0005-0000-0000-00001D010000}"/>
    <cellStyle name="Entrée 2 3 4" xfId="311" xr:uid="{00000000-0005-0000-0000-00001E010000}"/>
    <cellStyle name="Entrée 2 3 5" xfId="312" xr:uid="{00000000-0005-0000-0000-00001F010000}"/>
    <cellStyle name="Entrée 2 4" xfId="313" xr:uid="{00000000-0005-0000-0000-000020010000}"/>
    <cellStyle name="Entrée 2 5" xfId="314" xr:uid="{00000000-0005-0000-0000-000021010000}"/>
    <cellStyle name="Entrée 2 6" xfId="315" xr:uid="{00000000-0005-0000-0000-000022010000}"/>
    <cellStyle name="Entrée 2 7" xfId="316" xr:uid="{00000000-0005-0000-0000-000023010000}"/>
    <cellStyle name="Entrée 3" xfId="317" xr:uid="{00000000-0005-0000-0000-000024010000}"/>
    <cellStyle name="Entrée 3 2" xfId="318" xr:uid="{00000000-0005-0000-0000-000025010000}"/>
    <cellStyle name="Entrée 3 2 2" xfId="319" xr:uid="{00000000-0005-0000-0000-000026010000}"/>
    <cellStyle name="Entrée 3 2 3" xfId="320" xr:uid="{00000000-0005-0000-0000-000027010000}"/>
    <cellStyle name="Entrée 3 2 4" xfId="321" xr:uid="{00000000-0005-0000-0000-000028010000}"/>
    <cellStyle name="Entrée 3 2 5" xfId="322" xr:uid="{00000000-0005-0000-0000-000029010000}"/>
    <cellStyle name="Entrée 3 3" xfId="323" xr:uid="{00000000-0005-0000-0000-00002A010000}"/>
    <cellStyle name="Entrée 3 3 2" xfId="324" xr:uid="{00000000-0005-0000-0000-00002B010000}"/>
    <cellStyle name="Entrée 3 3 3" xfId="325" xr:uid="{00000000-0005-0000-0000-00002C010000}"/>
    <cellStyle name="Entrée 3 3 4" xfId="326" xr:uid="{00000000-0005-0000-0000-00002D010000}"/>
    <cellStyle name="Entrée 3 3 5" xfId="327" xr:uid="{00000000-0005-0000-0000-00002E010000}"/>
    <cellStyle name="Entrée 3 4" xfId="328" xr:uid="{00000000-0005-0000-0000-00002F010000}"/>
    <cellStyle name="Entrée 3 5" xfId="329" xr:uid="{00000000-0005-0000-0000-000030010000}"/>
    <cellStyle name="Entrée 3 6" xfId="330" xr:uid="{00000000-0005-0000-0000-000031010000}"/>
    <cellStyle name="Entrée 3 7" xfId="331" xr:uid="{00000000-0005-0000-0000-000032010000}"/>
    <cellStyle name="Excel Built-in Normal" xfId="579" xr:uid="{00000000-0005-0000-0000-000033010000}"/>
    <cellStyle name="Hyperlink" xfId="332" xr:uid="{00000000-0005-0000-0000-000034010000}"/>
    <cellStyle name="imf-one decimal" xfId="333" xr:uid="{00000000-0005-0000-0000-000035010000}"/>
    <cellStyle name="imf-zero decimal" xfId="334" xr:uid="{00000000-0005-0000-0000-000036010000}"/>
    <cellStyle name="Insatisfaisant" xfId="9" builtinId="27" customBuiltin="1"/>
    <cellStyle name="Insatisfaisant 2" xfId="335" xr:uid="{00000000-0005-0000-0000-000038010000}"/>
    <cellStyle name="Insatisfaisant 3" xfId="336" xr:uid="{00000000-0005-0000-0000-000039010000}"/>
    <cellStyle name="Lien hypertexte 2" xfId="337" xr:uid="{00000000-0005-0000-0000-00003A010000}"/>
    <cellStyle name="Lien hypertexte 2 2" xfId="338" xr:uid="{00000000-0005-0000-0000-00003B010000}"/>
    <cellStyle name="Lien hypertexte 3" xfId="339" xr:uid="{00000000-0005-0000-0000-00003C010000}"/>
    <cellStyle name="Milliers" xfId="1" builtinId="3"/>
    <cellStyle name="Milliers [0] 2" xfId="48" xr:uid="{00000000-0005-0000-0000-00003E010000}"/>
    <cellStyle name="Milliers [0] 3" xfId="593" xr:uid="{00000000-0005-0000-0000-00003F010000}"/>
    <cellStyle name="Milliers [0] 4" xfId="594" xr:uid="{39910F41-2024-4F6C-A33F-CC88248003AA}"/>
    <cellStyle name="Milliers 10" xfId="341" xr:uid="{00000000-0005-0000-0000-000040010000}"/>
    <cellStyle name="Milliers 11" xfId="342" xr:uid="{00000000-0005-0000-0000-000041010000}"/>
    <cellStyle name="Milliers 12" xfId="340" xr:uid="{00000000-0005-0000-0000-000042010000}"/>
    <cellStyle name="Milliers 13" xfId="576" xr:uid="{00000000-0005-0000-0000-000043010000}"/>
    <cellStyle name="Milliers 14" xfId="47" xr:uid="{00000000-0005-0000-0000-000044010000}"/>
    <cellStyle name="Milliers 15" xfId="587" xr:uid="{00000000-0005-0000-0000-000045010000}"/>
    <cellStyle name="Milliers 16" xfId="589" xr:uid="{00000000-0005-0000-0000-000046010000}"/>
    <cellStyle name="Milliers 2" xfId="44" xr:uid="{00000000-0005-0000-0000-000047010000}"/>
    <cellStyle name="Milliers 2 10" xfId="50" xr:uid="{00000000-0005-0000-0000-000048010000}"/>
    <cellStyle name="Milliers 2 11" xfId="584" xr:uid="{00000000-0005-0000-0000-000049010000}"/>
    <cellStyle name="Milliers 2 12" xfId="596" xr:uid="{27EDD5F4-17C6-4EFD-9DA8-E8E2A75C134D}"/>
    <cellStyle name="Milliers 2 2" xfId="344" xr:uid="{00000000-0005-0000-0000-00004A010000}"/>
    <cellStyle name="Milliers 2 3" xfId="345" xr:uid="{00000000-0005-0000-0000-00004B010000}"/>
    <cellStyle name="Milliers 2 4" xfId="346" xr:uid="{00000000-0005-0000-0000-00004C010000}"/>
    <cellStyle name="Milliers 2 5" xfId="347" xr:uid="{00000000-0005-0000-0000-00004D010000}"/>
    <cellStyle name="Milliers 2 6" xfId="348" xr:uid="{00000000-0005-0000-0000-00004E010000}"/>
    <cellStyle name="Milliers 2 6 2" xfId="349" xr:uid="{00000000-0005-0000-0000-00004F010000}"/>
    <cellStyle name="Milliers 2 7" xfId="350" xr:uid="{00000000-0005-0000-0000-000050010000}"/>
    <cellStyle name="Milliers 2 8" xfId="351" xr:uid="{00000000-0005-0000-0000-000051010000}"/>
    <cellStyle name="Milliers 2 9" xfId="343" xr:uid="{00000000-0005-0000-0000-000052010000}"/>
    <cellStyle name="Milliers 3" xfId="52" xr:uid="{00000000-0005-0000-0000-000053010000}"/>
    <cellStyle name="Milliers 3 2" xfId="353" xr:uid="{00000000-0005-0000-0000-000054010000}"/>
    <cellStyle name="Milliers 3 3" xfId="354" xr:uid="{00000000-0005-0000-0000-000055010000}"/>
    <cellStyle name="Milliers 3 4" xfId="355" xr:uid="{00000000-0005-0000-0000-000056010000}"/>
    <cellStyle name="Milliers 3 5" xfId="352" xr:uid="{00000000-0005-0000-0000-000057010000}"/>
    <cellStyle name="Milliers 4" xfId="356" xr:uid="{00000000-0005-0000-0000-000058010000}"/>
    <cellStyle name="Milliers 4 5" xfId="582" xr:uid="{00000000-0005-0000-0000-000059010000}"/>
    <cellStyle name="Milliers 5" xfId="357" xr:uid="{00000000-0005-0000-0000-00005A010000}"/>
    <cellStyle name="Milliers 6" xfId="358" xr:uid="{00000000-0005-0000-0000-00005B010000}"/>
    <cellStyle name="Milliers 7" xfId="359" xr:uid="{00000000-0005-0000-0000-00005C010000}"/>
    <cellStyle name="Milliers 8" xfId="360" xr:uid="{00000000-0005-0000-0000-00005D010000}"/>
    <cellStyle name="Milliers 9" xfId="361" xr:uid="{00000000-0005-0000-0000-00005E010000}"/>
    <cellStyle name="Milliers 9 2" xfId="362" xr:uid="{00000000-0005-0000-0000-00005F010000}"/>
    <cellStyle name="Neutre" xfId="10" builtinId="28" customBuiltin="1"/>
    <cellStyle name="Neutre 2" xfId="363" xr:uid="{00000000-0005-0000-0000-000061010000}"/>
    <cellStyle name="Neutre 3" xfId="364" xr:uid="{00000000-0005-0000-0000-000062010000}"/>
    <cellStyle name="Normal" xfId="0" builtinId="0"/>
    <cellStyle name="Normal - Style1" xfId="365" xr:uid="{00000000-0005-0000-0000-000064010000}"/>
    <cellStyle name="Normal 10" xfId="366" xr:uid="{00000000-0005-0000-0000-000065010000}"/>
    <cellStyle name="Normal 11" xfId="367" xr:uid="{00000000-0005-0000-0000-000066010000}"/>
    <cellStyle name="Normal 12" xfId="368" xr:uid="{00000000-0005-0000-0000-000067010000}"/>
    <cellStyle name="Normal 12 2" xfId="369" xr:uid="{00000000-0005-0000-0000-000068010000}"/>
    <cellStyle name="Normal 13" xfId="370" xr:uid="{00000000-0005-0000-0000-000069010000}"/>
    <cellStyle name="Normal 14" xfId="371" xr:uid="{00000000-0005-0000-0000-00006A010000}"/>
    <cellStyle name="Normal 15" xfId="372" xr:uid="{00000000-0005-0000-0000-00006B010000}"/>
    <cellStyle name="Normal 16" xfId="373" xr:uid="{00000000-0005-0000-0000-00006C010000}"/>
    <cellStyle name="Normal 17" xfId="374" xr:uid="{00000000-0005-0000-0000-00006D010000}"/>
    <cellStyle name="Normal 18" xfId="375" xr:uid="{00000000-0005-0000-0000-00006E010000}"/>
    <cellStyle name="Normal 19" xfId="376" xr:uid="{00000000-0005-0000-0000-00006F010000}"/>
    <cellStyle name="Normal 2" xfId="45" xr:uid="{00000000-0005-0000-0000-000070010000}"/>
    <cellStyle name="Normal 2 10" xfId="378" xr:uid="{00000000-0005-0000-0000-000071010000}"/>
    <cellStyle name="Normal 2 11" xfId="379" xr:uid="{00000000-0005-0000-0000-000072010000}"/>
    <cellStyle name="Normal 2 12" xfId="380" xr:uid="{00000000-0005-0000-0000-000073010000}"/>
    <cellStyle name="Normal 2 13" xfId="381" xr:uid="{00000000-0005-0000-0000-000074010000}"/>
    <cellStyle name="Normal 2 14" xfId="382" xr:uid="{00000000-0005-0000-0000-000075010000}"/>
    <cellStyle name="Normal 2 15" xfId="383" xr:uid="{00000000-0005-0000-0000-000076010000}"/>
    <cellStyle name="Normal 2 16" xfId="384" xr:uid="{00000000-0005-0000-0000-000077010000}"/>
    <cellStyle name="Normal 2 17" xfId="385" xr:uid="{00000000-0005-0000-0000-000078010000}"/>
    <cellStyle name="Normal 2 18" xfId="386" xr:uid="{00000000-0005-0000-0000-000079010000}"/>
    <cellStyle name="Normal 2 19" xfId="387" xr:uid="{00000000-0005-0000-0000-00007A010000}"/>
    <cellStyle name="Normal 2 2" xfId="388" xr:uid="{00000000-0005-0000-0000-00007B010000}"/>
    <cellStyle name="Normal 2 2 2" xfId="389" xr:uid="{00000000-0005-0000-0000-00007C010000}"/>
    <cellStyle name="Normal 2 2 2 2" xfId="43" xr:uid="{00000000-0005-0000-0000-00007D010000}"/>
    <cellStyle name="Normal 2 2 2 3" xfId="585" xr:uid="{00000000-0005-0000-0000-00007E010000}"/>
    <cellStyle name="Normal 2 2 3" xfId="390" xr:uid="{00000000-0005-0000-0000-00007F010000}"/>
    <cellStyle name="Normal 2 2 3 2" xfId="391" xr:uid="{00000000-0005-0000-0000-000080010000}"/>
    <cellStyle name="Normal 2 2 4" xfId="392" xr:uid="{00000000-0005-0000-0000-000081010000}"/>
    <cellStyle name="Normal 2 2 5" xfId="393" xr:uid="{00000000-0005-0000-0000-000082010000}"/>
    <cellStyle name="Normal 2 2 6" xfId="394" xr:uid="{00000000-0005-0000-0000-000083010000}"/>
    <cellStyle name="Normal 2 20" xfId="395" xr:uid="{00000000-0005-0000-0000-000084010000}"/>
    <cellStyle name="Normal 2 20 2" xfId="396" xr:uid="{00000000-0005-0000-0000-000085010000}"/>
    <cellStyle name="Normal 2 21" xfId="397" xr:uid="{00000000-0005-0000-0000-000086010000}"/>
    <cellStyle name="Normal 2 22" xfId="398" xr:uid="{00000000-0005-0000-0000-000087010000}"/>
    <cellStyle name="Normal 2 23" xfId="399" xr:uid="{00000000-0005-0000-0000-000088010000}"/>
    <cellStyle name="Normal 2 24" xfId="400" xr:uid="{00000000-0005-0000-0000-000089010000}"/>
    <cellStyle name="Normal 2 25" xfId="401" xr:uid="{00000000-0005-0000-0000-00008A010000}"/>
    <cellStyle name="Normal 2 25 2" xfId="402" xr:uid="{00000000-0005-0000-0000-00008B010000}"/>
    <cellStyle name="Normal 2 25 2 2" xfId="592" xr:uid="{00000000-0005-0000-0000-00008C010000}"/>
    <cellStyle name="Normal 2 26" xfId="403" xr:uid="{00000000-0005-0000-0000-00008D010000}"/>
    <cellStyle name="Normal 2 27" xfId="404" xr:uid="{00000000-0005-0000-0000-00008E010000}"/>
    <cellStyle name="Normal 2 28" xfId="377" xr:uid="{00000000-0005-0000-0000-00008F010000}"/>
    <cellStyle name="Normal 2 29" xfId="49" xr:uid="{00000000-0005-0000-0000-000090010000}"/>
    <cellStyle name="Normal 2 3" xfId="405" xr:uid="{00000000-0005-0000-0000-000091010000}"/>
    <cellStyle name="Normal 2 3 2" xfId="583" xr:uid="{00000000-0005-0000-0000-000092010000}"/>
    <cellStyle name="Normal 2 30" xfId="586" xr:uid="{00000000-0005-0000-0000-000093010000}"/>
    <cellStyle name="Normal 2 30 2" xfId="588" xr:uid="{00000000-0005-0000-0000-000094010000}"/>
    <cellStyle name="Normal 2 30 2 2" xfId="591" xr:uid="{00000000-0005-0000-0000-000095010000}"/>
    <cellStyle name="Normal 2 4" xfId="406" xr:uid="{00000000-0005-0000-0000-000096010000}"/>
    <cellStyle name="Normal 2 4 2" xfId="407" xr:uid="{00000000-0005-0000-0000-000097010000}"/>
    <cellStyle name="Normal 2 4 3" xfId="408" xr:uid="{00000000-0005-0000-0000-000098010000}"/>
    <cellStyle name="Normal 2 4 4" xfId="409" xr:uid="{00000000-0005-0000-0000-000099010000}"/>
    <cellStyle name="Normal 2 5" xfId="410" xr:uid="{00000000-0005-0000-0000-00009A010000}"/>
    <cellStyle name="Normal 2 6" xfId="411" xr:uid="{00000000-0005-0000-0000-00009B010000}"/>
    <cellStyle name="Normal 2 7" xfId="412" xr:uid="{00000000-0005-0000-0000-00009C010000}"/>
    <cellStyle name="Normal 2 8" xfId="413" xr:uid="{00000000-0005-0000-0000-00009D010000}"/>
    <cellStyle name="Normal 2 9" xfId="414" xr:uid="{00000000-0005-0000-0000-00009E010000}"/>
    <cellStyle name="Normal 20" xfId="415" xr:uid="{00000000-0005-0000-0000-00009F010000}"/>
    <cellStyle name="Normal 20 2" xfId="416" xr:uid="{00000000-0005-0000-0000-0000A0010000}"/>
    <cellStyle name="Normal 21" xfId="417" xr:uid="{00000000-0005-0000-0000-0000A1010000}"/>
    <cellStyle name="Normal 22" xfId="418" xr:uid="{00000000-0005-0000-0000-0000A2010000}"/>
    <cellStyle name="Normal 23" xfId="419" xr:uid="{00000000-0005-0000-0000-0000A3010000}"/>
    <cellStyle name="Normal 23 2" xfId="420" xr:uid="{00000000-0005-0000-0000-0000A4010000}"/>
    <cellStyle name="Normal 24" xfId="421" xr:uid="{00000000-0005-0000-0000-0000A5010000}"/>
    <cellStyle name="Normal 25" xfId="422" xr:uid="{00000000-0005-0000-0000-0000A6010000}"/>
    <cellStyle name="Normal 26" xfId="423" xr:uid="{00000000-0005-0000-0000-0000A7010000}"/>
    <cellStyle name="Normal 27" xfId="424" xr:uid="{00000000-0005-0000-0000-0000A8010000}"/>
    <cellStyle name="Normal 28" xfId="425" xr:uid="{00000000-0005-0000-0000-0000A9010000}"/>
    <cellStyle name="Normal 29" xfId="426" xr:uid="{00000000-0005-0000-0000-0000AA010000}"/>
    <cellStyle name="Normal 3" xfId="51" xr:uid="{00000000-0005-0000-0000-0000AB010000}"/>
    <cellStyle name="Normal 3 10" xfId="428" xr:uid="{00000000-0005-0000-0000-0000AC010000}"/>
    <cellStyle name="Normal 3 11" xfId="429" xr:uid="{00000000-0005-0000-0000-0000AD010000}"/>
    <cellStyle name="Normal 3 12" xfId="430" xr:uid="{00000000-0005-0000-0000-0000AE010000}"/>
    <cellStyle name="Normal 3 13" xfId="431" xr:uid="{00000000-0005-0000-0000-0000AF010000}"/>
    <cellStyle name="Normal 3 14" xfId="432" xr:uid="{00000000-0005-0000-0000-0000B0010000}"/>
    <cellStyle name="Normal 3 14 2" xfId="433" xr:uid="{00000000-0005-0000-0000-0000B1010000}"/>
    <cellStyle name="Normal 3 15" xfId="434" xr:uid="{00000000-0005-0000-0000-0000B2010000}"/>
    <cellStyle name="Normal 3 16" xfId="435" xr:uid="{00000000-0005-0000-0000-0000B3010000}"/>
    <cellStyle name="Normal 3 17" xfId="427" xr:uid="{00000000-0005-0000-0000-0000B4010000}"/>
    <cellStyle name="Normal 3 18" xfId="595" xr:uid="{7C27BC9A-74C8-4272-AF9D-019EF821C591}"/>
    <cellStyle name="Normal 3 2" xfId="436" xr:uid="{00000000-0005-0000-0000-0000B5010000}"/>
    <cellStyle name="Normal 3 2 2" xfId="437" xr:uid="{00000000-0005-0000-0000-0000B6010000}"/>
    <cellStyle name="Normal 3 3" xfId="438" xr:uid="{00000000-0005-0000-0000-0000B7010000}"/>
    <cellStyle name="Normal 3 4" xfId="439" xr:uid="{00000000-0005-0000-0000-0000B8010000}"/>
    <cellStyle name="Normal 3 5" xfId="440" xr:uid="{00000000-0005-0000-0000-0000B9010000}"/>
    <cellStyle name="Normal 3 6" xfId="441" xr:uid="{00000000-0005-0000-0000-0000BA010000}"/>
    <cellStyle name="Normal 3 7" xfId="442" xr:uid="{00000000-0005-0000-0000-0000BB010000}"/>
    <cellStyle name="Normal 3 8" xfId="443" xr:uid="{00000000-0005-0000-0000-0000BC010000}"/>
    <cellStyle name="Normal 3 9" xfId="444" xr:uid="{00000000-0005-0000-0000-0000BD010000}"/>
    <cellStyle name="Normal 30" xfId="445" xr:uid="{00000000-0005-0000-0000-0000BE010000}"/>
    <cellStyle name="Normal 31" xfId="446" xr:uid="{00000000-0005-0000-0000-0000BF010000}"/>
    <cellStyle name="Normal 32" xfId="53" xr:uid="{00000000-0005-0000-0000-0000C0010000}"/>
    <cellStyle name="Normal 33" xfId="538" xr:uid="{00000000-0005-0000-0000-0000C1010000}"/>
    <cellStyle name="Normal 34" xfId="571" xr:uid="{00000000-0005-0000-0000-0000C2010000}"/>
    <cellStyle name="Normal 35" xfId="572" xr:uid="{00000000-0005-0000-0000-0000C3010000}"/>
    <cellStyle name="Normal 36" xfId="573" xr:uid="{00000000-0005-0000-0000-0000C4010000}"/>
    <cellStyle name="Normal 37" xfId="574" xr:uid="{00000000-0005-0000-0000-0000C5010000}"/>
    <cellStyle name="Normal 38" xfId="575" xr:uid="{00000000-0005-0000-0000-0000C6010000}"/>
    <cellStyle name="Normal 39" xfId="577" xr:uid="{00000000-0005-0000-0000-0000C7010000}"/>
    <cellStyle name="Normal 4" xfId="447" xr:uid="{00000000-0005-0000-0000-0000C8010000}"/>
    <cellStyle name="Normal 4 2" xfId="448" xr:uid="{00000000-0005-0000-0000-0000C9010000}"/>
    <cellStyle name="Normal 4 3" xfId="449" xr:uid="{00000000-0005-0000-0000-0000CA010000}"/>
    <cellStyle name="Normal 4 4" xfId="450" xr:uid="{00000000-0005-0000-0000-0000CB010000}"/>
    <cellStyle name="Normal 4 5" xfId="451" xr:uid="{00000000-0005-0000-0000-0000CC010000}"/>
    <cellStyle name="Normal 4 6" xfId="452" xr:uid="{00000000-0005-0000-0000-0000CD010000}"/>
    <cellStyle name="Normal 4 7" xfId="453" xr:uid="{00000000-0005-0000-0000-0000CE010000}"/>
    <cellStyle name="Normal 4 8" xfId="454" xr:uid="{00000000-0005-0000-0000-0000CF010000}"/>
    <cellStyle name="Normal 40" xfId="46" xr:uid="{00000000-0005-0000-0000-0000D0010000}"/>
    <cellStyle name="Normal 41" xfId="590" xr:uid="{00000000-0005-0000-0000-0000D1010000}"/>
    <cellStyle name="Normal 5" xfId="455" xr:uid="{00000000-0005-0000-0000-0000D2010000}"/>
    <cellStyle name="Normal 5 2" xfId="456" xr:uid="{00000000-0005-0000-0000-0000D3010000}"/>
    <cellStyle name="Normal 5 3" xfId="457" xr:uid="{00000000-0005-0000-0000-0000D4010000}"/>
    <cellStyle name="Normal 5 4" xfId="458" xr:uid="{00000000-0005-0000-0000-0000D5010000}"/>
    <cellStyle name="Normal 5 5" xfId="459" xr:uid="{00000000-0005-0000-0000-0000D6010000}"/>
    <cellStyle name="Normal 5 6" xfId="460" xr:uid="{00000000-0005-0000-0000-0000D7010000}"/>
    <cellStyle name="Normal 6" xfId="461" xr:uid="{00000000-0005-0000-0000-0000D8010000}"/>
    <cellStyle name="Normal 6 2" xfId="462" xr:uid="{00000000-0005-0000-0000-0000D9010000}"/>
    <cellStyle name="Normal 6 3" xfId="463" xr:uid="{00000000-0005-0000-0000-0000DA010000}"/>
    <cellStyle name="Normal 6 4" xfId="464" xr:uid="{00000000-0005-0000-0000-0000DB010000}"/>
    <cellStyle name="Normal 6 5" xfId="465" xr:uid="{00000000-0005-0000-0000-0000DC010000}"/>
    <cellStyle name="Normal 6 7" xfId="581" xr:uid="{00000000-0005-0000-0000-0000DD010000}"/>
    <cellStyle name="Normal 7" xfId="466" xr:uid="{00000000-0005-0000-0000-0000DE010000}"/>
    <cellStyle name="Normal 7 2" xfId="467" xr:uid="{00000000-0005-0000-0000-0000DF010000}"/>
    <cellStyle name="Normal 7 3" xfId="468" xr:uid="{00000000-0005-0000-0000-0000E0010000}"/>
    <cellStyle name="Normal 7 4" xfId="469" xr:uid="{00000000-0005-0000-0000-0000E1010000}"/>
    <cellStyle name="Normal 8" xfId="470" xr:uid="{00000000-0005-0000-0000-0000E2010000}"/>
    <cellStyle name="Normal 9" xfId="471" xr:uid="{00000000-0005-0000-0000-0000E3010000}"/>
    <cellStyle name="Normal Table" xfId="472" xr:uid="{00000000-0005-0000-0000-0000E4010000}"/>
    <cellStyle name="Percent 2" xfId="473" xr:uid="{00000000-0005-0000-0000-0000E5010000}"/>
    <cellStyle name="Percent 2 2" xfId="474" xr:uid="{00000000-0005-0000-0000-0000E6010000}"/>
    <cellStyle name="Percent 3" xfId="475" xr:uid="{00000000-0005-0000-0000-0000E7010000}"/>
    <cellStyle name="Percent 4" xfId="476" xr:uid="{00000000-0005-0000-0000-0000E8010000}"/>
    <cellStyle name="percentage difference" xfId="477" xr:uid="{00000000-0005-0000-0000-0000E9010000}"/>
    <cellStyle name="Pourcentage" xfId="2" builtinId="5"/>
    <cellStyle name="Pourcentage 2" xfId="479" xr:uid="{00000000-0005-0000-0000-0000EB010000}"/>
    <cellStyle name="Pourcentage 2 2" xfId="480" xr:uid="{00000000-0005-0000-0000-0000EC010000}"/>
    <cellStyle name="Pourcentage 2 2 2" xfId="481" xr:uid="{00000000-0005-0000-0000-0000ED010000}"/>
    <cellStyle name="Pourcentage 2 3" xfId="482" xr:uid="{00000000-0005-0000-0000-0000EE010000}"/>
    <cellStyle name="Pourcentage 2 4" xfId="483" xr:uid="{00000000-0005-0000-0000-0000EF010000}"/>
    <cellStyle name="Pourcentage 3" xfId="484" xr:uid="{00000000-0005-0000-0000-0000F0010000}"/>
    <cellStyle name="Pourcentage 3 2" xfId="485" xr:uid="{00000000-0005-0000-0000-0000F1010000}"/>
    <cellStyle name="Pourcentage 4" xfId="486" xr:uid="{00000000-0005-0000-0000-0000F2010000}"/>
    <cellStyle name="Pourcentage 5" xfId="487" xr:uid="{00000000-0005-0000-0000-0000F3010000}"/>
    <cellStyle name="Pourcentage 6" xfId="488" xr:uid="{00000000-0005-0000-0000-0000F4010000}"/>
    <cellStyle name="Pourcentage 7" xfId="489" xr:uid="{00000000-0005-0000-0000-0000F5010000}"/>
    <cellStyle name="Pourcentage 7 2" xfId="490" xr:uid="{00000000-0005-0000-0000-0000F6010000}"/>
    <cellStyle name="Pourcentage 8" xfId="491" xr:uid="{00000000-0005-0000-0000-0000F7010000}"/>
    <cellStyle name="Pourcentage 9" xfId="478" xr:uid="{00000000-0005-0000-0000-0000F8010000}"/>
    <cellStyle name="Publication" xfId="492" xr:uid="{00000000-0005-0000-0000-0000F9010000}"/>
    <cellStyle name="Satisfaisant" xfId="8" builtinId="26" customBuiltin="1"/>
    <cellStyle name="Satisfaisant 2" xfId="493" xr:uid="{00000000-0005-0000-0000-0000FB010000}"/>
    <cellStyle name="Satisfaisant 3" xfId="494" xr:uid="{00000000-0005-0000-0000-0000FC010000}"/>
    <cellStyle name="Sortie" xfId="12" builtinId="21" customBuiltin="1"/>
    <cellStyle name="Sortie 2" xfId="495" xr:uid="{00000000-0005-0000-0000-0000FE010000}"/>
    <cellStyle name="Sortie 2 2" xfId="496" xr:uid="{00000000-0005-0000-0000-0000FF010000}"/>
    <cellStyle name="Sortie 2 2 2" xfId="497" xr:uid="{00000000-0005-0000-0000-000000020000}"/>
    <cellStyle name="Sortie 2 2 3" xfId="498" xr:uid="{00000000-0005-0000-0000-000001020000}"/>
    <cellStyle name="Sortie 2 2 4" xfId="499" xr:uid="{00000000-0005-0000-0000-000002020000}"/>
    <cellStyle name="Sortie 2 2 5" xfId="500" xr:uid="{00000000-0005-0000-0000-000003020000}"/>
    <cellStyle name="Sortie 2 3" xfId="501" xr:uid="{00000000-0005-0000-0000-000004020000}"/>
    <cellStyle name="Sortie 2 3 2" xfId="502" xr:uid="{00000000-0005-0000-0000-000005020000}"/>
    <cellStyle name="Sortie 2 3 3" xfId="503" xr:uid="{00000000-0005-0000-0000-000006020000}"/>
    <cellStyle name="Sortie 2 3 4" xfId="504" xr:uid="{00000000-0005-0000-0000-000007020000}"/>
    <cellStyle name="Sortie 2 3 5" xfId="505" xr:uid="{00000000-0005-0000-0000-000008020000}"/>
    <cellStyle name="Sortie 2 4" xfId="506" xr:uid="{00000000-0005-0000-0000-000009020000}"/>
    <cellStyle name="Sortie 2 5" xfId="507" xr:uid="{00000000-0005-0000-0000-00000A020000}"/>
    <cellStyle name="Sortie 2 6" xfId="508" xr:uid="{00000000-0005-0000-0000-00000B020000}"/>
    <cellStyle name="Sortie 2 7" xfId="509" xr:uid="{00000000-0005-0000-0000-00000C020000}"/>
    <cellStyle name="Sortie 3" xfId="510" xr:uid="{00000000-0005-0000-0000-00000D020000}"/>
    <cellStyle name="Sortie 3 2" xfId="511" xr:uid="{00000000-0005-0000-0000-00000E020000}"/>
    <cellStyle name="Sortie 3 2 2" xfId="512" xr:uid="{00000000-0005-0000-0000-00000F020000}"/>
    <cellStyle name="Sortie 3 2 3" xfId="513" xr:uid="{00000000-0005-0000-0000-000010020000}"/>
    <cellStyle name="Sortie 3 2 4" xfId="514" xr:uid="{00000000-0005-0000-0000-000011020000}"/>
    <cellStyle name="Sortie 3 2 5" xfId="515" xr:uid="{00000000-0005-0000-0000-000012020000}"/>
    <cellStyle name="Sortie 3 3" xfId="516" xr:uid="{00000000-0005-0000-0000-000013020000}"/>
    <cellStyle name="Sortie 3 3 2" xfId="517" xr:uid="{00000000-0005-0000-0000-000014020000}"/>
    <cellStyle name="Sortie 3 3 3" xfId="518" xr:uid="{00000000-0005-0000-0000-000015020000}"/>
    <cellStyle name="Sortie 3 3 4" xfId="519" xr:uid="{00000000-0005-0000-0000-000016020000}"/>
    <cellStyle name="Sortie 3 3 5" xfId="520" xr:uid="{00000000-0005-0000-0000-000017020000}"/>
    <cellStyle name="Sortie 3 4" xfId="521" xr:uid="{00000000-0005-0000-0000-000018020000}"/>
    <cellStyle name="Sortie 3 5" xfId="522" xr:uid="{00000000-0005-0000-0000-000019020000}"/>
    <cellStyle name="Sortie 3 6" xfId="523" xr:uid="{00000000-0005-0000-0000-00001A020000}"/>
    <cellStyle name="Sortie 3 7" xfId="524" xr:uid="{00000000-0005-0000-0000-00001B020000}"/>
    <cellStyle name="TableStyleLight1" xfId="580" xr:uid="{00000000-0005-0000-0000-00001C020000}"/>
    <cellStyle name="Texte explicatif" xfId="17" builtinId="53" customBuiltin="1"/>
    <cellStyle name="Texte explicatif 2" xfId="525" xr:uid="{00000000-0005-0000-0000-00001E020000}"/>
    <cellStyle name="Texte explicatif 3" xfId="526" xr:uid="{00000000-0005-0000-0000-00001F020000}"/>
    <cellStyle name="Titre" xfId="3" builtinId="15" customBuiltin="1"/>
    <cellStyle name="Titre 2" xfId="527" xr:uid="{00000000-0005-0000-0000-000021020000}"/>
    <cellStyle name="Titre 2 2" xfId="532" xr:uid="{00000000-0005-0000-0000-000022020000}"/>
    <cellStyle name="Titre 2 3" xfId="533" xr:uid="{00000000-0005-0000-0000-000023020000}"/>
    <cellStyle name="Titre 3" xfId="528" xr:uid="{00000000-0005-0000-0000-000024020000}"/>
    <cellStyle name="Titre 3 2" xfId="534" xr:uid="{00000000-0005-0000-0000-000025020000}"/>
    <cellStyle name="Titre 3 3" xfId="535" xr:uid="{00000000-0005-0000-0000-000026020000}"/>
    <cellStyle name="Titre 4" xfId="529" xr:uid="{00000000-0005-0000-0000-000027020000}"/>
    <cellStyle name="Titre 1" xfId="4" builtinId="16" customBuiltin="1"/>
    <cellStyle name="Titre 1 2" xfId="530" xr:uid="{00000000-0005-0000-0000-000029020000}"/>
    <cellStyle name="Titre 1 3" xfId="531" xr:uid="{00000000-0005-0000-0000-00002A020000}"/>
    <cellStyle name="Titre 2" xfId="5" builtinId="17" customBuiltin="1"/>
    <cellStyle name="Titre 3" xfId="6" builtinId="18" customBuiltin="1"/>
    <cellStyle name="Titre 4" xfId="7" builtinId="19" customBuiltin="1"/>
    <cellStyle name="Titre 4 2" xfId="536" xr:uid="{00000000-0005-0000-0000-00002E020000}"/>
    <cellStyle name="Titre 4 3" xfId="537" xr:uid="{00000000-0005-0000-0000-00002F020000}"/>
    <cellStyle name="Total" xfId="18" builtinId="25" customBuiltin="1"/>
    <cellStyle name="Total 2" xfId="539" xr:uid="{00000000-0005-0000-0000-000031020000}"/>
    <cellStyle name="Total 2 2" xfId="540" xr:uid="{00000000-0005-0000-0000-000032020000}"/>
    <cellStyle name="Total 2 2 2" xfId="541" xr:uid="{00000000-0005-0000-0000-000033020000}"/>
    <cellStyle name="Total 2 2 3" xfId="542" xr:uid="{00000000-0005-0000-0000-000034020000}"/>
    <cellStyle name="Total 2 2 4" xfId="543" xr:uid="{00000000-0005-0000-0000-000035020000}"/>
    <cellStyle name="Total 2 2 5" xfId="544" xr:uid="{00000000-0005-0000-0000-000036020000}"/>
    <cellStyle name="Total 2 3" xfId="545" xr:uid="{00000000-0005-0000-0000-000037020000}"/>
    <cellStyle name="Total 2 3 2" xfId="546" xr:uid="{00000000-0005-0000-0000-000038020000}"/>
    <cellStyle name="Total 2 3 3" xfId="547" xr:uid="{00000000-0005-0000-0000-000039020000}"/>
    <cellStyle name="Total 2 3 4" xfId="548" xr:uid="{00000000-0005-0000-0000-00003A020000}"/>
    <cellStyle name="Total 2 3 5" xfId="549" xr:uid="{00000000-0005-0000-0000-00003B020000}"/>
    <cellStyle name="Total 2 4" xfId="550" xr:uid="{00000000-0005-0000-0000-00003C020000}"/>
    <cellStyle name="Total 2 5" xfId="551" xr:uid="{00000000-0005-0000-0000-00003D020000}"/>
    <cellStyle name="Total 2 6" xfId="552" xr:uid="{00000000-0005-0000-0000-00003E020000}"/>
    <cellStyle name="Total 2 7" xfId="553" xr:uid="{00000000-0005-0000-0000-00003F020000}"/>
    <cellStyle name="Total 3" xfId="554" xr:uid="{00000000-0005-0000-0000-000040020000}"/>
    <cellStyle name="Total 3 2" xfId="555" xr:uid="{00000000-0005-0000-0000-000041020000}"/>
    <cellStyle name="Total 3 2 2" xfId="556" xr:uid="{00000000-0005-0000-0000-000042020000}"/>
    <cellStyle name="Total 3 2 3" xfId="557" xr:uid="{00000000-0005-0000-0000-000043020000}"/>
    <cellStyle name="Total 3 2 4" xfId="558" xr:uid="{00000000-0005-0000-0000-000044020000}"/>
    <cellStyle name="Total 3 2 5" xfId="559" xr:uid="{00000000-0005-0000-0000-000045020000}"/>
    <cellStyle name="Total 3 3" xfId="560" xr:uid="{00000000-0005-0000-0000-000046020000}"/>
    <cellStyle name="Total 3 3 2" xfId="561" xr:uid="{00000000-0005-0000-0000-000047020000}"/>
    <cellStyle name="Total 3 3 3" xfId="562" xr:uid="{00000000-0005-0000-0000-000048020000}"/>
    <cellStyle name="Total 3 3 4" xfId="563" xr:uid="{00000000-0005-0000-0000-000049020000}"/>
    <cellStyle name="Total 3 3 5" xfId="564" xr:uid="{00000000-0005-0000-0000-00004A020000}"/>
    <cellStyle name="Total 3 4" xfId="565" xr:uid="{00000000-0005-0000-0000-00004B020000}"/>
    <cellStyle name="Total 3 5" xfId="566" xr:uid="{00000000-0005-0000-0000-00004C020000}"/>
    <cellStyle name="Total 3 6" xfId="567" xr:uid="{00000000-0005-0000-0000-00004D020000}"/>
    <cellStyle name="Total 3 7" xfId="568" xr:uid="{00000000-0005-0000-0000-00004E020000}"/>
    <cellStyle name="Vérification" xfId="15" builtinId="23" customBuiltin="1"/>
    <cellStyle name="Vérification 2" xfId="569" xr:uid="{00000000-0005-0000-0000-000050020000}"/>
    <cellStyle name="Vérification 3" xfId="570" xr:uid="{00000000-0005-0000-0000-000051020000}"/>
  </cellStyles>
  <dxfs count="507">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0000"/>
        </patternFill>
      </fill>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00FF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externalLink" Target="externalLinks/externalLink11.xml"/><Relationship Id="rId50" Type="http://schemas.openxmlformats.org/officeDocument/2006/relationships/externalLink" Target="externalLinks/externalLink14.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externalLink" Target="externalLinks/externalLink9.xml"/><Relationship Id="rId53" Type="http://schemas.openxmlformats.org/officeDocument/2006/relationships/externalLink" Target="externalLinks/externalLink17.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externalLink" Target="externalLinks/externalLink12.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externalLink" Target="externalLinks/externalLink10.xml"/><Relationship Id="rId20" Type="http://schemas.openxmlformats.org/officeDocument/2006/relationships/worksheet" Target="worksheets/sheet20.xml"/><Relationship Id="rId41" Type="http://schemas.openxmlformats.org/officeDocument/2006/relationships/externalLink" Target="externalLinks/externalLink5.xml"/><Relationship Id="rId54" Type="http://schemas.openxmlformats.org/officeDocument/2006/relationships/externalLink" Target="externalLinks/externalLink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3.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externalLink" Target="externalLinks/externalLink1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Coordonnateur%20PSE%202017\MODELE%20DE%20SIMULATION%2020122017\Mod&#232;lePSE-15-12-2017.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MES%20DOCUMENTS%202018\PAEB\PPA-PPM-BUDGET\PTBA%20-COSTING%20ATELIER%20230318%20SOLIMOTEL\PTB%20PPA_Costing%20PPA_PCOP_19032018_11H30%20DEP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MES%20DOCUMENTS%202018\PAEB\PPA-PPM-BUDGET\PTBA%20-COSTING%20ATELIER%20230318%20SOLIMOTEL\DEF_PTB%20PPA%20%20PPA_PCOP_23032018_16H3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SER\Desktop\BM%202\PAEB%20HIKIMA%20NJAKA\BUDGET%20FORMATION%20DIRECTEUR%20HIKIMA%20PAEB.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USER\Desktop\BM%202\Budget%20conception%20de%20nouveau%20modul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USER\Desktop\BM%202\COSTING%20FINAL%20DEIPEF%2020%20f&#233;vrier%202018%20(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MES%20DOCUMENTS%202018\PAEB\PPA-PPM-BUDGET\PTBA%20-COSTING%20ATELIER%20230318%20SOLIMOTEL\PTB%20PPA_Costing%20PPA_PCOP_23-03-2018_DRH.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DIDIER\Desktop\DPE%20STAT\ASA_JANVIER_2023\PERSONNEL_ADMINISTRATIF_CISCO_AMBOASARY_SUD.xlsx" TargetMode="External"/><Relationship Id="rId1" Type="http://schemas.openxmlformats.org/officeDocument/2006/relationships/externalLinkPath" Target="file:///C:\Users\DIDIER\Desktop\DPE%20STAT\ASA_JANVIER_2023\PERSONNEL_ADMINISTRATIF_CISCO_AMBOASARY_SUD.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PAEB%20DLI\ACTIVITES%20Cellule%20DAAF\20210710%20AU%2012%20AOUT%20FORMATION%20PRF%2013\SI%20131%20PLUS%20UEAS\Budget_Formation_Gestion%20de%20Fonds-PRF_PAEB%20DLI.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asa%20dpe\CARTE%20SCOLAIRE\2018\PAEB\DPE%20costing%20et%20PPM%2015022018\PTB%20PPA_Costing%20PPA_PCOP_19032018_11H30%20(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MES%20DOCUMENTS%202018\PAEB\PPA-PPM-BUDGET\PTBA%20-COSTING%20ATELIER%20230318%20SOLIMOTEL\PTB%20PPA_Costing%20%20PPA_PCOP_19032018vf1111111xlsx.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USER\AppData\Local\Temp\Rar$DIa0.411\DCI_PTB%20PPA_Costing%20PPA_PCOP_26032018_004.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2018\PAEB%20D3\DETAIL_Budgt_PAEB%20ACT1_ACT2\BUDG_ACTIVITE%201_REF_METIER_COMPETENCE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2018\PAEB%20D3\DETAIL_Budgt_PAEB%20ACT1_ACT2\BUDG_ACTIVITE%202_EVALUATION_FORMATEURS.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USER\AppData\Local\Temp\Rar$DIa0.348\INFP_PTB%20PPA%20COSTING%20ACT%202%20FINALISE.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nn\Downloads\PTB%20PPA_Costing%20PPA_PCOP_23032018_DEIPEF_P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USER\AppData\Local\Temp\Rar$DIa0.686\DPFI_PTB%20PPA_26032018.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MES%20DOCUMENTS%202018\PAEB\PPA-PPM-BUDGET\PTBA%20-COSTING%20ATELIER%20230318%20SOLIMOTEL\PTB%20PPA_Costing%20PPA_PCOP_DTIC_2303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lications"/>
      <sheetName val="TableauDeBord"/>
      <sheetName val="Fonct"/>
      <sheetName val="Invest"/>
      <sheetName val="Résultats"/>
      <sheetName val="Synthèse"/>
      <sheetName val="Flux"/>
      <sheetName val="Pop"/>
      <sheetName val="PAEN"/>
      <sheetName val="PAETFP"/>
      <sheetName val="PASUP"/>
      <sheetName val="IndicEN"/>
      <sheetName val="IndicETFP"/>
      <sheetName val="IndicSup"/>
    </sheetNames>
    <sheetDataSet>
      <sheetData sheetId="0"/>
      <sheetData sheetId="1">
        <row r="2">
          <cell r="D2" t="str">
            <v>Statu quo</v>
          </cell>
          <cell r="F2" t="str">
            <v>Retenu-ODD4</v>
          </cell>
          <cell r="H2" t="str">
            <v>Alternatif</v>
          </cell>
          <cell r="J2" t="str">
            <v>Correction complète</v>
          </cell>
          <cell r="L2" t="str">
            <v>Retenu-FEC</v>
          </cell>
          <cell r="N2" t="str">
            <v>Exercice</v>
          </cell>
        </row>
        <row r="34">
          <cell r="E34" t="str">
            <v>#</v>
          </cell>
          <cell r="F34">
            <v>0</v>
          </cell>
          <cell r="G34" t="str">
            <v>#</v>
          </cell>
          <cell r="H34">
            <v>0</v>
          </cell>
          <cell r="I34" t="str">
            <v>#</v>
          </cell>
          <cell r="J34">
            <v>0</v>
          </cell>
          <cell r="K34" t="str">
            <v>#</v>
          </cell>
          <cell r="L34">
            <v>0</v>
          </cell>
          <cell r="M34">
            <v>0.33833570616368314</v>
          </cell>
        </row>
        <row r="36">
          <cell r="E36" t="str">
            <v>#</v>
          </cell>
          <cell r="F36">
            <v>0.33833551406860352</v>
          </cell>
          <cell r="G36" t="str">
            <v>#</v>
          </cell>
          <cell r="H36">
            <v>0.33833551406860352</v>
          </cell>
          <cell r="I36" t="str">
            <v>#</v>
          </cell>
          <cell r="J36">
            <v>0.33833551406860352</v>
          </cell>
          <cell r="K36" t="str">
            <v>#</v>
          </cell>
          <cell r="L36">
            <v>0.33833551406860352</v>
          </cell>
          <cell r="M36">
            <v>0.83165384947665721</v>
          </cell>
        </row>
        <row r="42">
          <cell r="E42" t="str">
            <v>#</v>
          </cell>
          <cell r="F42">
            <v>0.83165359497070313</v>
          </cell>
          <cell r="G42" t="str">
            <v>#</v>
          </cell>
          <cell r="H42">
            <v>0.83165359497070313</v>
          </cell>
          <cell r="I42" t="str">
            <v>#</v>
          </cell>
          <cell r="J42">
            <v>0.83165359497070313</v>
          </cell>
          <cell r="K42" t="str">
            <v>#</v>
          </cell>
          <cell r="L42">
            <v>0.83165359497070313</v>
          </cell>
          <cell r="M42">
            <v>0.19940700536077627</v>
          </cell>
        </row>
        <row r="44">
          <cell r="E44" t="str">
            <v>#</v>
          </cell>
          <cell r="F44">
            <v>0.19940698146820068</v>
          </cell>
          <cell r="G44" t="str">
            <v>#</v>
          </cell>
          <cell r="H44">
            <v>0.19940698146820068</v>
          </cell>
          <cell r="I44" t="str">
            <v>#</v>
          </cell>
          <cell r="J44">
            <v>0.19940698146820068</v>
          </cell>
          <cell r="K44" t="str">
            <v>#</v>
          </cell>
          <cell r="L44">
            <v>0.19940698146820068</v>
          </cell>
          <cell r="M44">
            <v>64.76254871058849</v>
          </cell>
        </row>
        <row r="46">
          <cell r="E46" t="str">
            <v>#</v>
          </cell>
          <cell r="F46">
            <v>64.76251220703125</v>
          </cell>
          <cell r="G46" t="str">
            <v>#</v>
          </cell>
          <cell r="H46">
            <v>64.76251220703125</v>
          </cell>
          <cell r="I46" t="str">
            <v>#</v>
          </cell>
          <cell r="J46">
            <v>64.76251220703125</v>
          </cell>
          <cell r="K46" t="str">
            <v>#</v>
          </cell>
          <cell r="L46">
            <v>64.76251220703125</v>
          </cell>
          <cell r="M46">
            <v>37.408630595397248</v>
          </cell>
        </row>
        <row r="160">
          <cell r="E160" t="str">
            <v>#</v>
          </cell>
          <cell r="F160">
            <v>37.40863037109375</v>
          </cell>
          <cell r="G160" t="str">
            <v>#</v>
          </cell>
          <cell r="H160">
            <v>37.40863037109375</v>
          </cell>
          <cell r="I160" t="str">
            <v>#</v>
          </cell>
          <cell r="J160">
            <v>37.40863037109375</v>
          </cell>
          <cell r="K160" t="str">
            <v>#</v>
          </cell>
          <cell r="L160">
            <v>37.40863037109375</v>
          </cell>
          <cell r="M160">
            <v>0.97133436972274367</v>
          </cell>
        </row>
        <row r="232">
          <cell r="E232" t="str">
            <v>#</v>
          </cell>
          <cell r="F232">
            <v>0.97133398056030273</v>
          </cell>
          <cell r="G232" t="str">
            <v>#</v>
          </cell>
          <cell r="H232">
            <v>0.97133398056030273</v>
          </cell>
          <cell r="I232" t="str">
            <v>#</v>
          </cell>
          <cell r="J232">
            <v>0.97133398056030273</v>
          </cell>
          <cell r="K232" t="str">
            <v>#</v>
          </cell>
          <cell r="L232">
            <v>0.97133398056030273</v>
          </cell>
          <cell r="M232">
            <v>0.75069921644228199</v>
          </cell>
        </row>
        <row r="322">
          <cell r="E322" t="str">
            <v>#</v>
          </cell>
          <cell r="F322">
            <v>0.75069904327392578</v>
          </cell>
          <cell r="G322" t="str">
            <v>#</v>
          </cell>
          <cell r="H322">
            <v>0.75069904327392578</v>
          </cell>
          <cell r="I322" t="str">
            <v>#</v>
          </cell>
          <cell r="J322">
            <v>0.75069904327392578</v>
          </cell>
          <cell r="K322" t="str">
            <v>#</v>
          </cell>
          <cell r="L322">
            <v>0.75069904327392578</v>
          </cell>
          <cell r="M322">
            <v>0.97133436972274367</v>
          </cell>
        </row>
        <row r="327">
          <cell r="E327" t="str">
            <v>#</v>
          </cell>
          <cell r="F327">
            <v>0.97133398056030273</v>
          </cell>
          <cell r="G327" t="str">
            <v>#</v>
          </cell>
          <cell r="H327">
            <v>0.97133398056030273</v>
          </cell>
          <cell r="I327" t="str">
            <v>#</v>
          </cell>
          <cell r="J327">
            <v>0.97133398056030273</v>
          </cell>
          <cell r="K327" t="str">
            <v>#</v>
          </cell>
          <cell r="L327">
            <v>0.97133398056030273</v>
          </cell>
          <cell r="M327">
            <v>0.75069921644228199</v>
          </cell>
        </row>
        <row r="339">
          <cell r="E339" t="str">
            <v>#</v>
          </cell>
          <cell r="F339">
            <v>0.75069904327392578</v>
          </cell>
          <cell r="G339" t="str">
            <v>#</v>
          </cell>
          <cell r="H339">
            <v>0.75069904327392578</v>
          </cell>
          <cell r="I339" t="str">
            <v>#</v>
          </cell>
          <cell r="J339">
            <v>0.75069904327392578</v>
          </cell>
          <cell r="K339" t="str">
            <v>#</v>
          </cell>
          <cell r="L339">
            <v>0.75069904327392578</v>
          </cell>
          <cell r="M339">
            <v>0.75069921644228199</v>
          </cell>
        </row>
        <row r="341">
          <cell r="E341" t="str">
            <v>#</v>
          </cell>
          <cell r="F341">
            <v>0.75069904327392578</v>
          </cell>
          <cell r="G341" t="str">
            <v>#</v>
          </cell>
          <cell r="H341">
            <v>0.75069904327392578</v>
          </cell>
          <cell r="I341" t="str">
            <v>#</v>
          </cell>
          <cell r="J341">
            <v>0.75069904327392578</v>
          </cell>
          <cell r="K341" t="str">
            <v>#</v>
          </cell>
          <cell r="L341">
            <v>0.75069904327392578</v>
          </cell>
          <cell r="M341">
            <v>0.99672104710702125</v>
          </cell>
        </row>
        <row r="352">
          <cell r="E352" t="str">
            <v>#</v>
          </cell>
          <cell r="F352">
            <v>0.99672079086303711</v>
          </cell>
          <cell r="G352" t="str">
            <v>#</v>
          </cell>
          <cell r="H352">
            <v>0.99672079086303711</v>
          </cell>
          <cell r="I352" t="str">
            <v>#</v>
          </cell>
          <cell r="J352">
            <v>0.99672079086303711</v>
          </cell>
          <cell r="K352" t="str">
            <v>#</v>
          </cell>
          <cell r="L352">
            <v>0.99672079086303711</v>
          </cell>
          <cell r="M352">
            <v>0.7596411220193785</v>
          </cell>
        </row>
        <row r="355">
          <cell r="E355" t="str">
            <v>#</v>
          </cell>
          <cell r="F355">
            <v>0.75964069366455078</v>
          </cell>
          <cell r="G355" t="str">
            <v>#</v>
          </cell>
          <cell r="H355">
            <v>0.75964069366455078</v>
          </cell>
          <cell r="I355" t="str">
            <v>#</v>
          </cell>
          <cell r="J355">
            <v>0.75964069366455078</v>
          </cell>
          <cell r="K355" t="str">
            <v>#</v>
          </cell>
          <cell r="L355">
            <v>0.75964069366455078</v>
          </cell>
          <cell r="M355">
            <v>0.99672104710702125</v>
          </cell>
        </row>
        <row r="433">
          <cell r="E433" t="str">
            <v>#</v>
          </cell>
          <cell r="F433">
            <v>0.99672079086303711</v>
          </cell>
          <cell r="G433" t="str">
            <v>#</v>
          </cell>
          <cell r="H433">
            <v>0.99672079086303711</v>
          </cell>
          <cell r="I433" t="str">
            <v>#</v>
          </cell>
          <cell r="J433">
            <v>0.99672079086303711</v>
          </cell>
          <cell r="K433" t="str">
            <v>#</v>
          </cell>
          <cell r="L433">
            <v>0.99672079086303711</v>
          </cell>
          <cell r="M433">
            <v>0.69171325654620497</v>
          </cell>
        </row>
      </sheetData>
      <sheetData sheetId="2">
        <row r="2">
          <cell r="E2">
            <v>2014</v>
          </cell>
        </row>
        <row r="233">
          <cell r="D233">
            <v>0.02</v>
          </cell>
        </row>
        <row r="367">
          <cell r="D367">
            <v>0.02</v>
          </cell>
        </row>
        <row r="539">
          <cell r="D539">
            <v>0.02</v>
          </cell>
        </row>
        <row r="689">
          <cell r="D689">
            <v>0.02</v>
          </cell>
        </row>
      </sheetData>
      <sheetData sheetId="3">
        <row r="593">
          <cell r="C593">
            <v>2018</v>
          </cell>
        </row>
      </sheetData>
      <sheetData sheetId="4">
        <row r="2">
          <cell r="C2">
            <v>5</v>
          </cell>
        </row>
        <row r="7">
          <cell r="B7">
            <v>-285.4452175759227</v>
          </cell>
        </row>
        <row r="98">
          <cell r="D98" t="str">
            <v>Ar 2017</v>
          </cell>
          <cell r="J98">
            <v>2017</v>
          </cell>
        </row>
      </sheetData>
      <sheetData sheetId="5"/>
      <sheetData sheetId="6"/>
      <sheetData sheetId="7">
        <row r="5">
          <cell r="AQ5" t="str">
            <v>Dépenses de fonctionnement de l'éducation (milliards Ar 2014)</v>
          </cell>
          <cell r="AR5">
            <v>822.97995039235548</v>
          </cell>
        </row>
        <row r="6">
          <cell r="AQ6" t="str">
            <v>Dépenses d'investissement de l'éducation (milliards Ar 2014)</v>
          </cell>
          <cell r="AR6">
            <v>356.34340744238727</v>
          </cell>
        </row>
        <row r="7">
          <cell r="AQ7" t="str">
            <v>Dépenses totales d'éducation (milliards Ar 2014)</v>
          </cell>
          <cell r="AR7">
            <v>1179.3233578347426</v>
          </cell>
        </row>
        <row r="8">
          <cell r="AQ8" t="str">
            <v>Gap courant après recettes intérieures pour dépenses de fonctionnement - milliards Ar 2017</v>
          </cell>
          <cell r="AR8">
            <v>-98.863538433607104</v>
          </cell>
        </row>
        <row r="9">
          <cell r="AQ9" t="str">
            <v>Gap capital après recettes intérieures pour dépenses d'investissement - milliard Ar 2017</v>
          </cell>
          <cell r="AR9">
            <v>-186.58167914231558</v>
          </cell>
        </row>
        <row r="10">
          <cell r="AQ10" t="str">
            <v>Gap global après recettes intérieures - milliards Ar 2017</v>
          </cell>
          <cell r="AR10">
            <v>-285.4452175759227</v>
          </cell>
        </row>
        <row r="11">
          <cell r="AQ11" t="str">
            <v>Gap global après recettes intérieures + extérieures - milliards Ar 2017</v>
          </cell>
          <cell r="AR11">
            <v>-86.995217575922709</v>
          </cell>
        </row>
        <row r="12">
          <cell r="AQ12">
            <v>-86.99517822265625</v>
          </cell>
        </row>
        <row r="13">
          <cell r="AQ13" t="str">
            <v>Dépenses de fonctionnement Education Nationale sans Masse salariale pour personnel hors Education - milliards Ar 2014</v>
          </cell>
          <cell r="AR13">
            <v>595.30451435226007</v>
          </cell>
        </row>
        <row r="14">
          <cell r="AQ14" t="str">
            <v>Dépenses de fonctionnement Préscolaire - milliards Ar 2014</v>
          </cell>
          <cell r="AR14">
            <v>47.855561830446916</v>
          </cell>
        </row>
        <row r="15">
          <cell r="AQ15" t="str">
            <v>Dépenses de fonctionnement Fondamental 1er cycle ou  Enseignement Primaire  - milliards Ar 2014</v>
          </cell>
          <cell r="AR15">
            <v>309.27071998107238</v>
          </cell>
          <cell r="AU15" t="b">
            <v>1</v>
          </cell>
        </row>
        <row r="16">
          <cell r="AQ16" t="str">
            <v>Dépenses de fonctionnement Fondamental 3ème cycle (collège)  - milliards Ar 2014</v>
          </cell>
          <cell r="AR16">
            <v>99.611710307643349</v>
          </cell>
        </row>
        <row r="17">
          <cell r="AQ17" t="str">
            <v>Dépenses de fonctionnement Secondaire Général  (Lycée)  - milliards Ar 2014</v>
          </cell>
          <cell r="AR17">
            <v>63.684960087068887</v>
          </cell>
        </row>
        <row r="18">
          <cell r="AQ18" t="str">
            <v>Dépenses de fonctionnement Gestion et Gouvernance MEN - milliards Ar 2014</v>
          </cell>
          <cell r="AR18">
            <v>71.173928871028494</v>
          </cell>
        </row>
        <row r="19">
          <cell r="AQ19" t="str">
            <v>Dépenses de fonctionnement Education non formelle - milliards Ar 2014</v>
          </cell>
          <cell r="AR19">
            <v>3.7076332750000005</v>
          </cell>
        </row>
        <row r="20">
          <cell r="AQ20" t="str">
            <v>Dépenses de fonctionnement Enseignement Technique et Formation Professionnelle - milliards Ar 2014</v>
          </cell>
          <cell r="AR20">
            <v>64.819289664549643</v>
          </cell>
        </row>
        <row r="21">
          <cell r="AQ21" t="str">
            <v>Dépenses de fonctionnement EETFP/CDC - milliards Ar 2014</v>
          </cell>
          <cell r="AR21">
            <v>14.021901348779979</v>
          </cell>
        </row>
        <row r="22">
          <cell r="AQ22" t="str">
            <v>Dépenses de fonctionnement EETFP/LTP - milliards Ar 2014</v>
          </cell>
          <cell r="AR22">
            <v>50.797388315769666</v>
          </cell>
        </row>
        <row r="23">
          <cell r="AQ23" t="str">
            <v>Dépenses de fonctionnement Enseignement supérieur et Recherche Scientique - milliards Ar 2014</v>
          </cell>
          <cell r="AR23">
            <v>162.85614637554579</v>
          </cell>
        </row>
        <row r="24">
          <cell r="AQ24" t="str">
            <v>Dépenses de fonctionnement Enseignement supérieur  - milliards Ar 2014</v>
          </cell>
          <cell r="AR24">
            <v>149.61656415536342</v>
          </cell>
        </row>
        <row r="25">
          <cell r="AQ25" t="str">
            <v>Dépenses de fonctionnement Recherche Scientifique - milliards Ar 2014</v>
          </cell>
          <cell r="AR25">
            <v>13.239582220182369</v>
          </cell>
          <cell r="AU25" t="str">
            <v>Statu quo</v>
          </cell>
        </row>
        <row r="26">
          <cell r="AQ26">
            <v>13.239578247070313</v>
          </cell>
          <cell r="AU26" t="str">
            <v>Retenu-ODD4</v>
          </cell>
        </row>
        <row r="27">
          <cell r="AQ27" t="str">
            <v>% Dépenses de fonctionnement → MEN</v>
          </cell>
          <cell r="AR27">
            <v>0.72335239038138022</v>
          </cell>
          <cell r="AU27" t="str">
            <v>Alternatif</v>
          </cell>
        </row>
        <row r="28">
          <cell r="AQ28" t="str">
            <v>% Dépenses de fonctionnement → MEETFP</v>
          </cell>
          <cell r="AR28">
            <v>7.8761687491471777E-2</v>
          </cell>
          <cell r="AU28" t="str">
            <v>Correction complète</v>
          </cell>
        </row>
        <row r="29">
          <cell r="AQ29" t="str">
            <v>% Dépenses de fonctionnement → MESupReS</v>
          </cell>
          <cell r="AR29">
            <v>0.19788592212714801</v>
          </cell>
          <cell r="AU29" t="str">
            <v>Retenu-FEC</v>
          </cell>
        </row>
        <row r="30">
          <cell r="AQ30">
            <v>0.19788587093353271</v>
          </cell>
          <cell r="AU30" t="str">
            <v>Exercice</v>
          </cell>
        </row>
        <row r="31">
          <cell r="AQ31" t="str">
            <v>Dépenses d'investissement Education nationale - milliards Ar 2014</v>
          </cell>
          <cell r="AR31">
            <v>296.52460377960233</v>
          </cell>
        </row>
        <row r="32">
          <cell r="AQ32" t="str">
            <v>Dépenses d'investissement Préscolaire - milliards Ar 2014</v>
          </cell>
          <cell r="AR32">
            <v>4.7395299800142894</v>
          </cell>
        </row>
        <row r="33">
          <cell r="AQ33" t="str">
            <v>Dépenses d'investissement Fondamental 1er cycle ou Primaire - milliards Ar 2014</v>
          </cell>
          <cell r="AR33">
            <v>181.68233166587316</v>
          </cell>
        </row>
        <row r="34">
          <cell r="AQ34" t="str">
            <v>Dépenses d'investissement Fondamental 3ème cycle (collège) - milliards Ar 2014</v>
          </cell>
          <cell r="AR34">
            <v>78.969593040505984</v>
          </cell>
        </row>
        <row r="35">
          <cell r="AQ35" t="str">
            <v>Dépenses d'investissement Secondaire Général  (Lycée)  - milliards Ar 2014</v>
          </cell>
          <cell r="AR35">
            <v>12.831528150627891</v>
          </cell>
          <cell r="AU35" t="str">
            <v>Ar 2014</v>
          </cell>
        </row>
        <row r="36">
          <cell r="AQ36" t="str">
            <v>Dépenses d'investissement Education non formelle - milliards Ar 2014</v>
          </cell>
          <cell r="AR36">
            <v>18.30162094258101</v>
          </cell>
          <cell r="AU36" t="str">
            <v>Ar 2017</v>
          </cell>
        </row>
        <row r="37">
          <cell r="AQ37" t="str">
            <v>Dépenses d'investissement Gestion et Gouvernance - milliards Ar 2014</v>
          </cell>
          <cell r="AR37">
            <v>0</v>
          </cell>
          <cell r="AU37" t="str">
            <v>Ar courants</v>
          </cell>
        </row>
        <row r="38">
          <cell r="AQ38" t="str">
            <v>Dépenses d'investissement ETFP / DC - milliards Ar 2014</v>
          </cell>
          <cell r="AR38">
            <v>28.151440793671892</v>
          </cell>
        </row>
        <row r="39">
          <cell r="AQ39" t="str">
            <v>Dépenses d'investissement Enseignement supérieur et Recherche scientifique - milliards Ar 2014</v>
          </cell>
          <cell r="AR39">
            <v>31.667362869113045</v>
          </cell>
        </row>
        <row r="40">
          <cell r="AQ40" t="str">
            <v>Dépenses d'investissement Total - milliards Ar 2014</v>
          </cell>
          <cell r="AR40">
            <v>356.34340744238727</v>
          </cell>
        </row>
        <row r="41">
          <cell r="AQ41">
            <v>356.34326171875</v>
          </cell>
        </row>
        <row r="42">
          <cell r="AQ42" t="str">
            <v>Dépenses d'investissement % → MEN</v>
          </cell>
          <cell r="AR42">
            <v>0.83213158314860558</v>
          </cell>
        </row>
        <row r="43">
          <cell r="AQ43" t="str">
            <v>Dépenses d'investissement % → MEETFP</v>
          </cell>
          <cell r="AR43">
            <v>7.9000874453453579E-2</v>
          </cell>
        </row>
        <row r="44">
          <cell r="AQ44" t="str">
            <v>Dépenses d'investissement % → MESupReS</v>
          </cell>
          <cell r="AR44">
            <v>8.8867542397940799E-2</v>
          </cell>
        </row>
        <row r="45">
          <cell r="AQ45">
            <v>8.8867485523223877E-2</v>
          </cell>
          <cell r="AR45">
            <v>8.8867485523223877E-2</v>
          </cell>
        </row>
        <row r="46">
          <cell r="AQ46" t="str">
            <v>Dépenses de personnel Education Nationale sans Masse salariale pour personnel hors Education - milliards Ar 2014</v>
          </cell>
          <cell r="AR46">
            <v>512.10417974330767</v>
          </cell>
        </row>
        <row r="47">
          <cell r="AQ47" t="str">
            <v>Dépenses de personnel Préscolaire - milliards Ar 2014</v>
          </cell>
          <cell r="AR47">
            <v>32.119900820354708</v>
          </cell>
        </row>
        <row r="48">
          <cell r="AQ48" t="str">
            <v>Dépenses de personnel Fondamental 1er cycle ou  Enseignement Primaire  - milliards Ar 2014</v>
          </cell>
          <cell r="AR48">
            <v>276.46513285360999</v>
          </cell>
        </row>
        <row r="49">
          <cell r="AQ49" t="str">
            <v>Dépenses de personnel Fondamental 3ème cycle (collège)  - milliards Ar 2014</v>
          </cell>
          <cell r="AR49">
            <v>90.264056607273503</v>
          </cell>
        </row>
        <row r="50">
          <cell r="AQ50" t="str">
            <v>Dépenses de personnel Secondaire Général  (Lycée)  - milliards Ar 2014</v>
          </cell>
          <cell r="AR50">
            <v>59.504347999105924</v>
          </cell>
        </row>
        <row r="51">
          <cell r="AQ51" t="str">
            <v>Dépenses de personnel Enseignement Technique et Formation Professionnelle - milliards Ar 2014</v>
          </cell>
          <cell r="AR51">
            <v>23.865032660503079</v>
          </cell>
        </row>
        <row r="52">
          <cell r="AQ52" t="str">
            <v>Dépenses de personnel EETFP/CDC - milliards Ar 2014</v>
          </cell>
          <cell r="AR52">
            <v>6.4320335074976072</v>
          </cell>
        </row>
        <row r="53">
          <cell r="AQ53" t="str">
            <v>Dépenses de personnel EETFP/LTP - milliards Ar 2014</v>
          </cell>
          <cell r="AR53">
            <v>17.432999153005472</v>
          </cell>
        </row>
        <row r="54">
          <cell r="AQ54" t="str">
            <v>Dépenses de personnel Enseignement supérieur et Recherche Scientique - milliards Ar 2014</v>
          </cell>
          <cell r="AR54">
            <v>99.696085607712305</v>
          </cell>
        </row>
        <row r="55">
          <cell r="AQ55" t="str">
            <v>Dépenses de personnel Enseignement supérieur  - milliards Ar 2014</v>
          </cell>
          <cell r="AR55">
            <v>89.147969463236052</v>
          </cell>
        </row>
        <row r="56">
          <cell r="AQ56" t="str">
            <v>Dépenses de personnel Recherche Scientifique - milliards Ar 2014</v>
          </cell>
          <cell r="AR56">
            <v>10.548116144476259</v>
          </cell>
        </row>
        <row r="57">
          <cell r="AQ57" t="str">
            <v>Dépenses de personnel Total - milliards Ar 2014</v>
          </cell>
          <cell r="AR57">
            <v>635.66529801152308</v>
          </cell>
        </row>
        <row r="58">
          <cell r="AQ58">
            <v>635.6650390625</v>
          </cell>
        </row>
        <row r="59">
          <cell r="AQ59" t="str">
            <v>Effectif d'élèves Public &amp; Privé Education Nationale</v>
          </cell>
          <cell r="AR59">
            <v>7736035.7215008335</v>
          </cell>
        </row>
        <row r="60">
          <cell r="AQ60" t="str">
            <v>Effectif d'élèves Public &amp; Privé Préscolaire</v>
          </cell>
          <cell r="AR60">
            <v>683730.94446539902</v>
          </cell>
        </row>
        <row r="61">
          <cell r="AQ61" t="str">
            <v xml:space="preserve">Effectif d'élèves Public &amp; Privé Fondamental 1er cycle ou  Enseignement Primaire </v>
          </cell>
          <cell r="AR61">
            <v>5564186.6987317801</v>
          </cell>
        </row>
        <row r="62">
          <cell r="AQ62" t="str">
            <v xml:space="preserve">Effectif d'élèves Public &amp; Privé Fondamental 3ème cycle (collège) </v>
          </cell>
          <cell r="AR62">
            <v>1072304.0062821948</v>
          </cell>
        </row>
        <row r="63">
          <cell r="AQ63" t="str">
            <v xml:space="preserve">Effectif d'élèves Public &amp; Privé Secondaire Général  (Lycée) </v>
          </cell>
          <cell r="AR63">
            <v>415814.07202146051</v>
          </cell>
        </row>
        <row r="64">
          <cell r="AQ64" t="str">
            <v>Effectif d'élèves Public &amp; Privé Enseignement Technique et Formation Professionnelle</v>
          </cell>
          <cell r="AR64">
            <v>116266.44443199885</v>
          </cell>
        </row>
        <row r="65">
          <cell r="AQ65" t="str">
            <v>Effectif d'élèves Public &amp; Privé hors FPQ EETFP/CDC</v>
          </cell>
          <cell r="AR65">
            <v>9508.2312838591897</v>
          </cell>
        </row>
        <row r="66">
          <cell r="AQ66" t="str">
            <v>Effectif d'élèves Public &amp; Privé hors FPQ EETFP/LTP</v>
          </cell>
          <cell r="AR66">
            <v>67354.877177631162</v>
          </cell>
        </row>
        <row r="67">
          <cell r="AQ67" t="str">
            <v>Effectif d'élèves Public &amp; Privé FPQ 1</v>
          </cell>
          <cell r="AR67">
            <v>33843.433063437376</v>
          </cell>
        </row>
        <row r="68">
          <cell r="AQ68" t="str">
            <v>Effectif d'élèves Public &amp; Privé FPQ 2</v>
          </cell>
          <cell r="AR68">
            <v>5559.9029070711331</v>
          </cell>
        </row>
        <row r="69">
          <cell r="AQ69" t="str">
            <v>Effectif d'élèves Public &amp; Privé Enseignement supérieur et Recherche Scientique</v>
          </cell>
          <cell r="AR69">
            <v>156210.90270853258</v>
          </cell>
        </row>
        <row r="70">
          <cell r="AQ70" t="str">
            <v>Effectif d'élèves Public &amp; Privé Total</v>
          </cell>
          <cell r="AR70">
            <v>8008513.0686413646</v>
          </cell>
        </row>
        <row r="71">
          <cell r="AQ71">
            <v>8008512</v>
          </cell>
        </row>
        <row r="72">
          <cell r="AQ72" t="str">
            <v>Effectif d'élèves Public Education Nationale</v>
          </cell>
          <cell r="AR72">
            <v>5783244.0716288611</v>
          </cell>
        </row>
        <row r="73">
          <cell r="AQ73" t="str">
            <v>Effectif d'élèves Public Préscolaire</v>
          </cell>
          <cell r="AR73">
            <v>425973.96621497325</v>
          </cell>
        </row>
        <row r="74">
          <cell r="AQ74" t="str">
            <v xml:space="preserve">Effectif d'élèves Public Fondamental 1er cycle ou  Enseignement Primaire </v>
          </cell>
          <cell r="AR74">
            <v>4494131.2932438394</v>
          </cell>
        </row>
        <row r="75">
          <cell r="AQ75" t="str">
            <v xml:space="preserve">Effectif d'élèves Public Fondamental 3ème cycle (collège) </v>
          </cell>
          <cell r="AR75">
            <v>675839.98527175747</v>
          </cell>
        </row>
        <row r="76">
          <cell r="AQ76" t="str">
            <v xml:space="preserve">Effectif d'élèves Public Secondaire Général  (Lycée) </v>
          </cell>
          <cell r="AR76">
            <v>187298.82689829107</v>
          </cell>
        </row>
        <row r="77">
          <cell r="AQ77" t="str">
            <v>Effectif d'élèves Public Enseignement Technique et Formation Professionnelle</v>
          </cell>
          <cell r="AR77">
            <v>64845.69431387489</v>
          </cell>
        </row>
        <row r="78">
          <cell r="AQ78" t="str">
            <v>Effectif d'élèves Public hors FPQ EETFP/CDC</v>
          </cell>
          <cell r="AR78">
            <v>6801.1831465770665</v>
          </cell>
        </row>
        <row r="79">
          <cell r="AQ79" t="str">
            <v>Effectif d'élèves Public hors FPQ EETFP/LTP</v>
          </cell>
          <cell r="AR79">
            <v>40419.670542297827</v>
          </cell>
        </row>
        <row r="80">
          <cell r="AQ80" t="str">
            <v>Effectif d'élèves Public FPQ 1</v>
          </cell>
          <cell r="AR80">
            <v>12155.0625</v>
          </cell>
        </row>
        <row r="81">
          <cell r="AQ81" t="str">
            <v>Effectif d'élèves Public FPQ 2</v>
          </cell>
          <cell r="AR81">
            <v>5469.7781249999998</v>
          </cell>
        </row>
        <row r="82">
          <cell r="AQ82" t="str">
            <v>Effectif d'élèves Public Enseignement supérieur et Recherche Scientique</v>
          </cell>
          <cell r="AR82">
            <v>98014.565499841905</v>
          </cell>
        </row>
        <row r="83">
          <cell r="AQ83" t="str">
            <v>Effectif d'élèves Public Total</v>
          </cell>
          <cell r="AR83">
            <v>5946104.3314425778</v>
          </cell>
        </row>
        <row r="84">
          <cell r="AQ84">
            <v>5946104</v>
          </cell>
        </row>
        <row r="85">
          <cell r="AQ85" t="str">
            <v xml:space="preserve">Indicateurs de couverture </v>
          </cell>
        </row>
        <row r="86">
          <cell r="AQ86" t="str">
            <v>Préscolaire Taux d'inscription</v>
          </cell>
          <cell r="AR86">
            <v>0.28623885383411385</v>
          </cell>
        </row>
        <row r="87">
          <cell r="AQ87" t="str">
            <v xml:space="preserve">Fondamental 1er cycle ou  Enseignement Primaire </v>
          </cell>
        </row>
        <row r="88">
          <cell r="AQ88" t="str">
            <v>Fondamental 1er cycle ou  Enseignement Primaire Taux brut d'accès</v>
          </cell>
          <cell r="AR88">
            <v>1.320598314388584</v>
          </cell>
        </row>
        <row r="89">
          <cell r="AQ89" t="str">
            <v>Fondamental 1er cycle ou  Enseignement Primaire  Taux brut de scolarisation</v>
          </cell>
          <cell r="AR89">
            <v>1.2809708356537235</v>
          </cell>
        </row>
        <row r="90">
          <cell r="AQ90" t="str">
            <v>Fondamental 1er cycle ou  Enseignement Primaire  Taux d'achèvement</v>
          </cell>
          <cell r="AR90">
            <v>0.68826458710461613</v>
          </cell>
        </row>
        <row r="91">
          <cell r="AQ91" t="str">
            <v xml:space="preserve">Fondamental 3ème cycle (collège) </v>
          </cell>
        </row>
        <row r="92">
          <cell r="AQ92" t="str">
            <v>Fondamental 3ème cycle (collège)  Taux de transition effective</v>
          </cell>
          <cell r="AR92">
            <v>0.86967423508091857</v>
          </cell>
        </row>
        <row r="93">
          <cell r="AQ93" t="str">
            <v>Fondamental 3ème cycle (collège)  Taux brut de scolarisation</v>
          </cell>
          <cell r="AR93">
            <v>0.40724707245681224</v>
          </cell>
        </row>
        <row r="94">
          <cell r="AQ94" t="str">
            <v>Fondamental 3ème cycle (collège)  Taux d'achèvement du 3ème cycle</v>
          </cell>
          <cell r="AR94">
            <v>0.4359046817094776</v>
          </cell>
        </row>
        <row r="95">
          <cell r="AQ95" t="str">
            <v>Fondamental</v>
          </cell>
        </row>
        <row r="96">
          <cell r="AQ96" t="str">
            <v>Fondamental Taux d'achèvement du fondamental</v>
          </cell>
          <cell r="AR96">
            <v>0.49241872757033023</v>
          </cell>
        </row>
        <row r="97">
          <cell r="AQ97" t="str">
            <v xml:space="preserve">Secondaire Général  (Lycée) </v>
          </cell>
        </row>
        <row r="98">
          <cell r="AQ98" t="str">
            <v>Secondaire Général  (Lycée)  Taux de transition effective</v>
          </cell>
          <cell r="AR98">
            <v>0.54910000386987723</v>
          </cell>
        </row>
        <row r="99">
          <cell r="AQ99" t="str">
            <v>Secondaire Général  (Lycée)  Taux d'accès en seconde</v>
          </cell>
          <cell r="AR99">
            <v>0.2199202436405692</v>
          </cell>
        </row>
        <row r="100">
          <cell r="AQ100" t="str">
            <v>Enseignement Technique et Formation Professionnelle</v>
          </cell>
        </row>
        <row r="101">
          <cell r="AQ101" t="str">
            <v>Enseignement Technique et Formation Professionnelle *EETFP/CDC</v>
          </cell>
        </row>
        <row r="102">
          <cell r="AQ102" t="str">
            <v>*EETFP/CDC Taux de transition A6 → ET1</v>
          </cell>
          <cell r="AR102">
            <v>3.0000000000000001E-3</v>
          </cell>
        </row>
        <row r="103">
          <cell r="AQ103" t="str">
            <v>*EETFP/CDC Taux de transition A9 → FPI1</v>
          </cell>
          <cell r="AR103">
            <v>7.4999999999999997E-3</v>
          </cell>
        </row>
        <row r="104">
          <cell r="AQ104" t="str">
            <v>Enseignement Technique et Formation Professionnelle *EETFP/LTP</v>
          </cell>
        </row>
        <row r="105">
          <cell r="AQ105" t="str">
            <v>*EETFP/LTP Taux de transition A9 → ET2</v>
          </cell>
          <cell r="AR105">
            <v>1.4999999999999999E-2</v>
          </cell>
        </row>
        <row r="106">
          <cell r="AQ106" t="str">
            <v>*EETFP/LTP Taux de transition ET13 → ET21</v>
          </cell>
          <cell r="AR106">
            <v>0.82499999999999984</v>
          </cell>
        </row>
        <row r="107">
          <cell r="AQ107" t="str">
            <v>*EETFP/LTP Taux de transition A9 → FPI2</v>
          </cell>
          <cell r="AR107">
            <v>4.1001151486800065E-2</v>
          </cell>
        </row>
        <row r="108">
          <cell r="AQ108" t="str">
            <v>*EETFP/LTP Taux de transition ET13 → FPI2</v>
          </cell>
          <cell r="AR108">
            <v>0.15872104710702137</v>
          </cell>
        </row>
        <row r="109">
          <cell r="AQ109" t="str">
            <v>*EETFP/LTP Taux de transition FPI13 → FPI2</v>
          </cell>
          <cell r="AR109">
            <v>0.8476499386314601</v>
          </cell>
        </row>
        <row r="110">
          <cell r="AQ110" t="str">
            <v>*EETFP/LTP Taux de transition Terminale → FPTS1</v>
          </cell>
          <cell r="AR110">
            <v>0.01</v>
          </cell>
        </row>
        <row r="111">
          <cell r="AQ111" t="str">
            <v>*EETFP/LTP Taux de transition ET23 → FPTS1</v>
          </cell>
          <cell r="AR111">
            <v>8.4722681741834421E-2</v>
          </cell>
        </row>
        <row r="112">
          <cell r="AQ112" t="str">
            <v>*EETFP/LTP Taux de transition FPI23 → FPTS1</v>
          </cell>
          <cell r="AR112">
            <v>5.9722681741834441E-2</v>
          </cell>
        </row>
        <row r="113">
          <cell r="AQ113" t="str">
            <v>Effectif ETFP (hors FPQ) / (Effectif A7-Terminale + Effectif ETFP (hors FPQ))</v>
          </cell>
          <cell r="AR113">
            <v>4.9114397739418385E-2</v>
          </cell>
        </row>
        <row r="114">
          <cell r="AQ114" t="str">
            <v>Effectif ETFP / (Effectif A7-Terminale + Effectif ETFP) (non compris actifs FPQ)</v>
          </cell>
          <cell r="AR114">
            <v>5.7903959817824369E-2</v>
          </cell>
        </row>
        <row r="115">
          <cell r="AQ115" t="str">
            <v>Indicateurs de couverture Enseignement supérieur</v>
          </cell>
        </row>
        <row r="116">
          <cell r="AQ116" t="str">
            <v>Enseignement supérieur Nombre d'étudiants pour 100 000 habitants</v>
          </cell>
          <cell r="AR116">
            <v>549.53011464808435</v>
          </cell>
        </row>
        <row r="117">
          <cell r="AQ117" t="str">
            <v>Indicateurs de couverture Education non formelle</v>
          </cell>
        </row>
        <row r="118">
          <cell r="AQ118" t="str">
            <v>Education non formelle Analphabètes 11-14 ans pris en charge</v>
          </cell>
          <cell r="AR118">
            <v>72975</v>
          </cell>
        </row>
        <row r="119">
          <cell r="AQ119" t="str">
            <v>Education non formelle Analphabètes 15-45 ans pris en charge</v>
          </cell>
          <cell r="AR119">
            <v>59707</v>
          </cell>
        </row>
        <row r="120">
          <cell r="AQ120" t="str">
            <v>Education non formelle Taux d'analphabétisme de la population de 15 ans et +</v>
          </cell>
          <cell r="AR120">
            <v>0.32468537640268974</v>
          </cell>
        </row>
        <row r="121">
          <cell r="AQ121">
            <v>0.32468533515930176</v>
          </cell>
        </row>
        <row r="122">
          <cell r="AQ122" t="str">
            <v>Indicateurs de qualité Enseignement Préscolaire de 3-5 ans</v>
          </cell>
        </row>
        <row r="123">
          <cell r="AQ123" t="str">
            <v>Enseignement Préscolaire de 3-5 ans Ratio élèves / enseignant</v>
          </cell>
          <cell r="AR123">
            <v>20.426266181798677</v>
          </cell>
        </row>
        <row r="124">
          <cell r="AQ124" t="str">
            <v>Enseignement Préscolaire de 3-5 ans % Enseignants fonctionnaires</v>
          </cell>
          <cell r="AR124">
            <v>0.24062401697115138</v>
          </cell>
        </row>
        <row r="125">
          <cell r="AQ125" t="str">
            <v>Enseignement Préscolaire de 3-5 ans Coût unitaire fonctionnement hors personnel CAP (Ar)</v>
          </cell>
          <cell r="AR125">
            <v>5000</v>
          </cell>
        </row>
        <row r="126">
          <cell r="AQ126" t="str">
            <v xml:space="preserve">Indicateurs de qualité Fondamental 1er cycle ou  Enseignement Primaire </v>
          </cell>
        </row>
        <row r="127">
          <cell r="AQ127" t="str">
            <v>Fondamental 1er cycle ou  Enseignement Primaire  Ratio élèves / enseignant</v>
          </cell>
          <cell r="AR127">
            <v>45.918367346938773</v>
          </cell>
        </row>
        <row r="128">
          <cell r="AQ128" t="str">
            <v>Fondamental 1er cycle ou  Enseignement Primaire  Ratio enseignants formés / total</v>
          </cell>
          <cell r="AR128">
            <v>0</v>
          </cell>
        </row>
        <row r="129">
          <cell r="AQ129" t="str">
            <v>Fondamental 1er cycle ou  Enseignement Primaire  Coût unitaire caisse école et biens et services (Ar)</v>
          </cell>
          <cell r="AR129">
            <v>9632.8959044484272</v>
          </cell>
        </row>
        <row r="130">
          <cell r="AQ130" t="str">
            <v xml:space="preserve">Indicateurs de qualité Fondamental 3ème cycle (collège) </v>
          </cell>
        </row>
        <row r="131">
          <cell r="AQ131" t="str">
            <v>Fondamental 3ème cycle (collège)  Taille moyenne d'une section</v>
          </cell>
          <cell r="AR131">
            <v>42.531532353005012</v>
          </cell>
        </row>
        <row r="132">
          <cell r="AQ132" t="str">
            <v>Fondamental 3ème cycle (collège)  Coût unitaire caisse école et biens et services (Ar)</v>
          </cell>
          <cell r="AR132">
            <v>11445.862972972482</v>
          </cell>
        </row>
        <row r="133">
          <cell r="AQ133" t="str">
            <v xml:space="preserve">Indicateurs de qualité Secondaire Général  (Lycée) </v>
          </cell>
        </row>
        <row r="134">
          <cell r="AQ134" t="str">
            <v>Secondaire Général  (Lycée)  Taille moyenne d'une section</v>
          </cell>
          <cell r="AR134">
            <v>49.867514737821907</v>
          </cell>
        </row>
        <row r="135">
          <cell r="AQ135" t="str">
            <v>Secondaire Général  (Lycée)  % enseignants fonctionnaires ou contractuels Etat</v>
          </cell>
          <cell r="AR135">
            <v>0.96304796964318085</v>
          </cell>
        </row>
        <row r="136">
          <cell r="AQ136" t="str">
            <v>Secondaire Général  (Lycée)  Coût unitaire biens et services</v>
          </cell>
          <cell r="AR136">
            <v>18773.156250479649</v>
          </cell>
        </row>
        <row r="137">
          <cell r="AQ137" t="str">
            <v>Indicateurs de qualité Enseignement Technique et Formation Professionnelle</v>
          </cell>
        </row>
        <row r="138">
          <cell r="AQ138" t="str">
            <v>Enseignement Technique et Formation Professionnelle % formation assurée par professionnels</v>
          </cell>
        </row>
        <row r="139">
          <cell r="AQ139" t="str">
            <v>EETFP/CDC</v>
          </cell>
        </row>
        <row r="140">
          <cell r="AQ140" t="str">
            <v>% formation assurée par professionnels Enseignement technique</v>
          </cell>
          <cell r="AR140">
            <v>0.1</v>
          </cell>
        </row>
        <row r="141">
          <cell r="AQ141" t="str">
            <v>% formation assurée par professionnels Formation professionnelle initiale</v>
          </cell>
          <cell r="AR141">
            <v>0.25</v>
          </cell>
        </row>
        <row r="142">
          <cell r="AQ142" t="str">
            <v>EETFP/LTP</v>
          </cell>
        </row>
        <row r="143">
          <cell r="AQ143" t="str">
            <v>% formation assurée par professionnels Enseignement technique</v>
          </cell>
          <cell r="AR143">
            <v>0.1</v>
          </cell>
        </row>
        <row r="144">
          <cell r="AQ144" t="str">
            <v>% formation assurée par professionnels Formation professionnelle initiale</v>
          </cell>
          <cell r="AR144">
            <v>0.25</v>
          </cell>
        </row>
        <row r="145">
          <cell r="AQ145" t="str">
            <v xml:space="preserve">Effectif moyen d'apprenants par division pédagogique </v>
          </cell>
        </row>
        <row r="146">
          <cell r="AQ146" t="str">
            <v>EETFP/CDC</v>
          </cell>
        </row>
        <row r="147">
          <cell r="AQ147" t="str">
            <v>Effectif moyen d'apprenants par division pédagogique  EETFP/CDC Enseignement technique</v>
          </cell>
          <cell r="AR147">
            <v>40</v>
          </cell>
        </row>
        <row r="148">
          <cell r="AQ148" t="str">
            <v>Effectif moyen d'apprenants par division pédagogique  EETFP/CDC Formation professionnelle initiale</v>
          </cell>
          <cell r="AR148">
            <v>25</v>
          </cell>
        </row>
        <row r="149">
          <cell r="AQ149" t="str">
            <v>EETFP/LTP</v>
          </cell>
        </row>
        <row r="150">
          <cell r="AQ150" t="str">
            <v>Effectif moyen d'apprenants par division pédagogique  EETFP/LTP Enseignement technique</v>
          </cell>
          <cell r="AR150">
            <v>35.5</v>
          </cell>
        </row>
        <row r="151">
          <cell r="AQ151" t="str">
            <v>Effectif moyen d'apprenants par division pédagogique  EETFP/LTP Formation professionnelle initiale</v>
          </cell>
          <cell r="AR151">
            <v>28</v>
          </cell>
        </row>
        <row r="152">
          <cell r="AQ152" t="str">
            <v>Coût unitaire de fonctionnement</v>
          </cell>
        </row>
        <row r="153">
          <cell r="AQ153" t="str">
            <v>Coût unitaire de fonctionnement EETFP/DC 1</v>
          </cell>
          <cell r="AR153">
            <v>739698.22981862014</v>
          </cell>
        </row>
        <row r="154">
          <cell r="AQ154" t="str">
            <v>Coût unitaire de fonctionnement EETFP/LTP</v>
          </cell>
          <cell r="AR154">
            <v>1106951.3753380391</v>
          </cell>
        </row>
        <row r="155">
          <cell r="AQ155" t="str">
            <v>Indicateurs de qualité Enseignement supérieur</v>
          </cell>
        </row>
        <row r="156">
          <cell r="AQ156" t="str">
            <v>Répartition des effectifs du public par domaine</v>
          </cell>
        </row>
        <row r="157">
          <cell r="AQ157" t="str">
            <v>Répartition des effectifs du public par domaine Science de l'éducation</v>
          </cell>
          <cell r="AR157">
            <v>4.5714874641375074E-2</v>
          </cell>
        </row>
        <row r="158">
          <cell r="AQ158" t="str">
            <v>Répartition des effectifs du public par domaine Arts, Lettres et Sciences Humaines</v>
          </cell>
          <cell r="AR158">
            <v>8.2702415603288476E-2</v>
          </cell>
        </row>
        <row r="159">
          <cell r="AQ159" t="str">
            <v>Répartition des effectifs du public par domaine Sciences de la société</v>
          </cell>
          <cell r="AR159">
            <v>0.24665322101960277</v>
          </cell>
        </row>
        <row r="160">
          <cell r="AQ160" t="str">
            <v>Répartition des effectifs du public par domaine Sciences et Technologie</v>
          </cell>
          <cell r="AR160">
            <v>0.120759617006353</v>
          </cell>
        </row>
        <row r="161">
          <cell r="AQ161" t="str">
            <v>Répartition des effectifs du public par domaine Sciences de l'ingénieur</v>
          </cell>
          <cell r="AR161">
            <v>6.3370335247107362E-2</v>
          </cell>
        </row>
        <row r="162">
          <cell r="AQ162" t="str">
            <v>Répartition des effectifs du public par domaine Sciences de la Santé</v>
          </cell>
          <cell r="AR162">
            <v>9.5339234835677938E-2</v>
          </cell>
        </row>
        <row r="163">
          <cell r="AQ163" t="str">
            <v>Répartition des effectifs du public par domaine FOAD</v>
          </cell>
          <cell r="AR163">
            <v>0.34546030164659541</v>
          </cell>
        </row>
        <row r="164">
          <cell r="AQ164" t="str">
            <v>Enseignement supérieur Taux d'abandon</v>
          </cell>
          <cell r="AR164">
            <v>0.13631449974372939</v>
          </cell>
        </row>
        <row r="165">
          <cell r="AQ165" t="str">
            <v>Enseignement supérieur Coefficient d'inefficacité</v>
          </cell>
          <cell r="AR165">
            <v>0.10746009308981404</v>
          </cell>
        </row>
        <row r="166">
          <cell r="AQ166" t="str">
            <v>Enseignement supérieur Coût unitaire de fonctionnement hors dépenses de personnel et hors œuvres (Ar)</v>
          </cell>
          <cell r="AR166">
            <v>179711.96183643382</v>
          </cell>
        </row>
        <row r="167">
          <cell r="AQ167" t="str">
            <v>Enseignement supérieur Répartition des enseignants</v>
          </cell>
        </row>
        <row r="168">
          <cell r="AQ168" t="str">
            <v>Enseignement supérieur Répartition des enseignants % Professeurs</v>
          </cell>
          <cell r="AR168">
            <v>0.17678314150942889</v>
          </cell>
        </row>
        <row r="169">
          <cell r="AQ169" t="str">
            <v>Enseignement supérieur Répartition des enseignants  % Maîtres de conférences</v>
          </cell>
          <cell r="AR169">
            <v>0.4472931050997257</v>
          </cell>
        </row>
        <row r="170">
          <cell r="AQ170" t="str">
            <v>Enseignement supérieur Répartition des enseignants  % Assistants</v>
          </cell>
          <cell r="AR170">
            <v>0.37592375339084538</v>
          </cell>
        </row>
        <row r="171">
          <cell r="AQ171">
            <v>0.37592363357543945</v>
          </cell>
        </row>
        <row r="172">
          <cell r="AQ172" t="str">
            <v>Mesures ou hypothèses ayant un impact fort sur les dépenses publiques</v>
          </cell>
        </row>
        <row r="173">
          <cell r="AQ173" t="str">
            <v>Enseignement Préscolaire de 3-5 ans</v>
          </cell>
        </row>
        <row r="174">
          <cell r="AQ174" t="str">
            <v>% des effectifs dans le privé</v>
          </cell>
          <cell r="AR174">
            <v>0.37698597721354093</v>
          </cell>
        </row>
        <row r="175">
          <cell r="AQ175" t="str">
            <v xml:space="preserve">Fondamental 1er cycle ou  Enseignement Primaire </v>
          </cell>
        </row>
        <row r="176">
          <cell r="AQ176" t="str">
            <v>% des effectifs dans le privé</v>
          </cell>
          <cell r="AR176">
            <v>0.19231119720188999</v>
          </cell>
        </row>
        <row r="177">
          <cell r="AQ177" t="str">
            <v xml:space="preserve">Fondamental 3ème cycle (collège) </v>
          </cell>
        </row>
        <row r="178">
          <cell r="AQ178" t="str">
            <v>% des effectifs dans le privé</v>
          </cell>
          <cell r="AR178">
            <v>0.36973098924159115</v>
          </cell>
        </row>
        <row r="179">
          <cell r="AQ179" t="str">
            <v>Nombre moyen d'heures de travail par enseignant</v>
          </cell>
          <cell r="AR179">
            <v>25</v>
          </cell>
        </row>
        <row r="180">
          <cell r="AQ180" t="str">
            <v>Enseignants en classe/personnel non en classe</v>
          </cell>
          <cell r="AR180">
            <v>10</v>
          </cell>
        </row>
        <row r="181">
          <cell r="AQ181" t="str">
            <v xml:space="preserve">Secondaire Général  (Lycée) </v>
          </cell>
          <cell r="AR181">
            <v>0</v>
          </cell>
        </row>
        <row r="182">
          <cell r="AQ182" t="str">
            <v>% des effectifs dans le privé</v>
          </cell>
          <cell r="AR182">
            <v>0.54956111516922301</v>
          </cell>
        </row>
        <row r="183">
          <cell r="AQ183" t="str">
            <v>Nombre moyen d'heures de travail par enseignant</v>
          </cell>
          <cell r="AR183">
            <v>20</v>
          </cell>
        </row>
        <row r="184">
          <cell r="AQ184" t="str">
            <v>Enseignants en classe/personnel non en classe</v>
          </cell>
          <cell r="AR184">
            <v>10</v>
          </cell>
        </row>
        <row r="185">
          <cell r="AQ185" t="str">
            <v>Enseignement Technique et Formation Professionnelle</v>
          </cell>
        </row>
        <row r="186">
          <cell r="AQ186" t="str">
            <v>% des effectifs dans le privé</v>
          </cell>
          <cell r="AR186">
            <v>0</v>
          </cell>
        </row>
        <row r="187">
          <cell r="AQ187" t="str">
            <v>EETFP/CDC</v>
          </cell>
          <cell r="AR187">
            <v>0.56273315149527381</v>
          </cell>
        </row>
        <row r="188">
          <cell r="AQ188" t="str">
            <v>EETFP/LTP</v>
          </cell>
          <cell r="AR188">
            <v>0.37064270626627671</v>
          </cell>
        </row>
        <row r="189">
          <cell r="AQ189" t="str">
            <v>Enseignement supérieur</v>
          </cell>
        </row>
        <row r="190">
          <cell r="AQ190" t="str">
            <v>% des effectifs dans le privé</v>
          </cell>
          <cell r="AR190">
            <v>0.4</v>
          </cell>
        </row>
        <row r="191">
          <cell r="AQ191" t="str">
            <v>Rémunération moyenne mensuelle des enseignants</v>
          </cell>
          <cell r="AR191">
            <v>2843028.7811923642</v>
          </cell>
        </row>
        <row r="192">
          <cell r="AQ192" t="str">
            <v>Education non formelle</v>
          </cell>
        </row>
        <row r="193">
          <cell r="AQ193" t="str">
            <v>% analphabètes 11-14 ans pris en charge par le MEN</v>
          </cell>
          <cell r="AR193">
            <v>0.2</v>
          </cell>
        </row>
        <row r="194">
          <cell r="AQ194" t="str">
            <v>% analphabètes 15-45 ans pris en charge par le MEN</v>
          </cell>
          <cell r="AR194">
            <v>0.42500000000000021</v>
          </cell>
        </row>
        <row r="195">
          <cell r="AQ195">
            <v>0.42499995231628418</v>
          </cell>
        </row>
        <row r="196">
          <cell r="AQ196" t="str">
            <v>Part des dépenses privées dans le Préscolaire</v>
          </cell>
          <cell r="AR196">
            <v>0.51947036515580547</v>
          </cell>
        </row>
        <row r="197">
          <cell r="AQ197" t="str">
            <v xml:space="preserve">Part des dépenses privées dans le Fondamental 1er cycle ou  Enseignement Primaire </v>
          </cell>
          <cell r="AR197">
            <v>0.41494906013282379</v>
          </cell>
        </row>
        <row r="198">
          <cell r="AQ198" t="str">
            <v xml:space="preserve">Part des dépenses privées dans le Fondamental 3ème cycle (collège) </v>
          </cell>
          <cell r="AR198">
            <v>0.38550226331338922</v>
          </cell>
        </row>
        <row r="199">
          <cell r="AQ199" t="str">
            <v xml:space="preserve">Part des dépenses privées dans le Secondaire Général  (Lycée) </v>
          </cell>
          <cell r="AR199">
            <v>0.44586172564843646</v>
          </cell>
        </row>
        <row r="200">
          <cell r="AQ200" t="str">
            <v>Part des dépenses privées dans le Enseignement Technique et Formation Professionnelle</v>
          </cell>
          <cell r="AR200">
            <v>0.43647529228119453</v>
          </cell>
        </row>
        <row r="201">
          <cell r="AQ201" t="str">
            <v>Part des dépenses privées dans le Enseignement supérieur et Recherche Scientique</v>
          </cell>
          <cell r="AR201">
            <v>0.27423711615667956</v>
          </cell>
        </row>
        <row r="202">
          <cell r="AQ202" t="str">
            <v>Part des dépenses privées dans le Total</v>
          </cell>
          <cell r="AR202">
            <v>0.37631261441353786</v>
          </cell>
        </row>
        <row r="203">
          <cell r="AQ203">
            <v>0.3763124942779541</v>
          </cell>
        </row>
        <row r="204">
          <cell r="AQ204" t="str">
            <v xml:space="preserve">Part Dépenses publiques d'éducation dans PIB </v>
          </cell>
          <cell r="AR204">
            <v>2.1945824881281342E-2</v>
          </cell>
        </row>
        <row r="205">
          <cell r="AQ205" t="str">
            <v xml:space="preserve">Part Dépenses privées d'éducation dans PIB </v>
          </cell>
          <cell r="AR205">
            <v>1.3241394530965341E-2</v>
          </cell>
        </row>
        <row r="206">
          <cell r="AQ206" t="str">
            <v xml:space="preserve">Part Dépenses publiques + privées d'éducation dans PIB </v>
          </cell>
          <cell r="AR206">
            <v>3.5187219412246687E-2</v>
          </cell>
        </row>
      </sheetData>
      <sheetData sheetId="8">
        <row r="2">
          <cell r="F2">
            <v>1235.8243675301073</v>
          </cell>
        </row>
        <row r="782">
          <cell r="Z782" t="str">
            <v xml:space="preserve">Préscolaire Subv ENF </v>
          </cell>
        </row>
        <row r="783">
          <cell r="Z783" t="str">
            <v xml:space="preserve">Préscolaire Fonctionnement des CAP </v>
          </cell>
        </row>
        <row r="784">
          <cell r="Z784" t="str">
            <v xml:space="preserve">Préscolaire Fonctionnement des EEC </v>
          </cell>
        </row>
        <row r="785">
          <cell r="Z785" t="str">
            <v xml:space="preserve">Préscolaire Aide aux écoles privées à faible frais de scolarité - milliards Ar </v>
          </cell>
        </row>
        <row r="786">
          <cell r="Z786" t="str">
            <v>Préscolaire Formation Fonct</v>
          </cell>
        </row>
        <row r="787">
          <cell r="Z787" t="str">
            <v>Préscolaire Curriculum</v>
          </cell>
        </row>
        <row r="788">
          <cell r="Z788" t="str">
            <v>Préscolaire Formation Invest</v>
          </cell>
        </row>
        <row r="789">
          <cell r="Z789" t="str">
            <v xml:space="preserve">Préscolaire Manuels et Guides </v>
          </cell>
        </row>
        <row r="790">
          <cell r="Z790" t="str">
            <v xml:space="preserve">Préscolaire Equipement </v>
          </cell>
        </row>
        <row r="791">
          <cell r="Z791" t="str">
            <v xml:space="preserve">Préscolaire Infrastructures </v>
          </cell>
        </row>
        <row r="792">
          <cell r="Z792" t="str">
            <v xml:space="preserve">Préscolaire Appui au démarrage des EEC </v>
          </cell>
        </row>
        <row r="793">
          <cell r="Z793" t="str">
            <v>Primaire Subv ENF Fonct</v>
          </cell>
        </row>
        <row r="794">
          <cell r="Z794" t="str">
            <v xml:space="preserve">Primaire Caisse-école (public) - milliard Ar </v>
          </cell>
        </row>
        <row r="795">
          <cell r="Z795" t="str">
            <v xml:space="preserve">Primaire Subventionaux écoles privées - milliard Ar </v>
          </cell>
        </row>
        <row r="796">
          <cell r="Z796" t="str">
            <v>Primaire Appui aux élèves défavorisés</v>
          </cell>
        </row>
        <row r="797">
          <cell r="Z797" t="str">
            <v xml:space="preserve">Primaire Cantine scolaire - milliard Ar </v>
          </cell>
        </row>
        <row r="798">
          <cell r="Z798" t="str">
            <v xml:space="preserve">Primaire Autres biens et Services &amp; Indemnités - milliard Ar </v>
          </cell>
        </row>
        <row r="799">
          <cell r="Z799" t="str">
            <v>Primaire Formation initiale Fonct</v>
          </cell>
        </row>
        <row r="800">
          <cell r="Z800" t="str">
            <v>Primaire Subvention ENF Invest</v>
          </cell>
        </row>
        <row r="801">
          <cell r="Z801" t="str">
            <v xml:space="preserve">Primaire Réforme curriculaire et assistance technique </v>
          </cell>
        </row>
        <row r="802">
          <cell r="Z802" t="str">
            <v>Primaire Formation Invest</v>
          </cell>
        </row>
        <row r="803">
          <cell r="Z803" t="str">
            <v xml:space="preserve">Primaire Manuels </v>
          </cell>
        </row>
        <row r="804">
          <cell r="Z804" t="str">
            <v xml:space="preserve">Primaire Guides de l'enseignant </v>
          </cell>
        </row>
        <row r="805">
          <cell r="Z805" t="str">
            <v xml:space="preserve">Primaire Kits scolaires </v>
          </cell>
        </row>
        <row r="806">
          <cell r="Z806" t="str">
            <v>Primaire Dotation Matériel</v>
          </cell>
        </row>
        <row r="807">
          <cell r="Z807" t="str">
            <v xml:space="preserve">Primaire Cantines scolaires </v>
          </cell>
        </row>
        <row r="808">
          <cell r="Z808" t="str">
            <v>Primaire Santé scolaire</v>
          </cell>
        </row>
        <row r="809">
          <cell r="Z809" t="str">
            <v xml:space="preserve">Primaire Infrastructures </v>
          </cell>
        </row>
        <row r="810">
          <cell r="Z810" t="str">
            <v xml:space="preserve">Collège Subv ENF </v>
          </cell>
        </row>
        <row r="811">
          <cell r="Z811" t="str">
            <v xml:space="preserve">Collège Caisse-école (public) - milliard Ar </v>
          </cell>
        </row>
        <row r="812">
          <cell r="Z812" t="str">
            <v xml:space="preserve">Collège Subventionaux écoles privées - milliard Ar </v>
          </cell>
        </row>
        <row r="813">
          <cell r="Z813" t="str">
            <v>Collège Appui aux élèves défavorisés</v>
          </cell>
        </row>
        <row r="814">
          <cell r="Z814" t="str">
            <v xml:space="preserve">Collège Cantine scolaire - milliard Ar </v>
          </cell>
        </row>
        <row r="815">
          <cell r="Z815" t="str">
            <v xml:space="preserve">Collège Autres biens et Services &amp; Indemnités - milliard Ar </v>
          </cell>
        </row>
        <row r="816">
          <cell r="Z816" t="str">
            <v>Collège Formation Fonct</v>
          </cell>
        </row>
        <row r="817">
          <cell r="Z817" t="str">
            <v xml:space="preserve">Collège Réforme curriculaire et assistance technique </v>
          </cell>
        </row>
        <row r="818">
          <cell r="Z818" t="str">
            <v>Collège Formation Invest</v>
          </cell>
        </row>
        <row r="819">
          <cell r="Z819" t="str">
            <v xml:space="preserve">Collège Manuels </v>
          </cell>
        </row>
        <row r="820">
          <cell r="Z820" t="str">
            <v xml:space="preserve">Collège Guides de l'enseignant </v>
          </cell>
        </row>
        <row r="821">
          <cell r="Z821" t="str">
            <v xml:space="preserve">Collège Kits scolaires </v>
          </cell>
        </row>
        <row r="822">
          <cell r="Z822" t="str">
            <v xml:space="preserve">Collège Dotation en matériel pour les classes </v>
          </cell>
        </row>
        <row r="823">
          <cell r="Z823" t="str">
            <v xml:space="preserve">Collège Infrastructures </v>
          </cell>
        </row>
        <row r="824">
          <cell r="Z824" t="str">
            <v xml:space="preserve">Lycées Subv ENF </v>
          </cell>
        </row>
        <row r="825">
          <cell r="Z825" t="str">
            <v xml:space="preserve">Lycées Subventionaux écoles privées - milliard Ar </v>
          </cell>
        </row>
        <row r="826">
          <cell r="Z826" t="str">
            <v>Lycées Appui aux élèves défavorisés</v>
          </cell>
        </row>
        <row r="827">
          <cell r="Z827" t="str">
            <v xml:space="preserve">Lycées Biens et Services &amp; Indemnités - milliard Ar </v>
          </cell>
        </row>
        <row r="828">
          <cell r="Z828" t="str">
            <v xml:space="preserve">Lycées Réforme curriculaire et assistance technique </v>
          </cell>
        </row>
        <row r="829">
          <cell r="Z829" t="str">
            <v>Lycées Formation Invest</v>
          </cell>
        </row>
        <row r="830">
          <cell r="Z830" t="str">
            <v xml:space="preserve">Lycées Manuels </v>
          </cell>
        </row>
        <row r="831">
          <cell r="Z831" t="str">
            <v xml:space="preserve">Lycées Guides de l'enseignant </v>
          </cell>
        </row>
        <row r="832">
          <cell r="Z832" t="str">
            <v xml:space="preserve">Lycées Infrastructures </v>
          </cell>
        </row>
        <row r="833">
          <cell r="Z833" t="str">
            <v xml:space="preserve">Lycées Equipement </v>
          </cell>
        </row>
        <row r="834">
          <cell r="Z834" t="str">
            <v xml:space="preserve">Non formel Dépenses de fonctionnement </v>
          </cell>
        </row>
        <row r="835">
          <cell r="Z835" t="str">
            <v xml:space="preserve">Non formel Alpha Identification des analphabètes </v>
          </cell>
        </row>
        <row r="836">
          <cell r="Z836" t="str">
            <v xml:space="preserve">Non formel Alpha Campagnes de sensibilisation des analphabètes </v>
          </cell>
        </row>
        <row r="837">
          <cell r="Z837" t="str">
            <v xml:space="preserve">Non formel Alpha Dotation de kits alpha pour les apprenants </v>
          </cell>
        </row>
        <row r="838">
          <cell r="Z838" t="str">
            <v xml:space="preserve">Non formel Alpha Centres d'alphabétisation et CAR </v>
          </cell>
        </row>
        <row r="839">
          <cell r="Z839" t="str">
            <v xml:space="preserve">Non formel Alpha Documents pédagogiques de base </v>
          </cell>
        </row>
        <row r="840">
          <cell r="Z840" t="str">
            <v xml:space="preserve">Non formel Alpha Renforcement de capacité des personnes ressources </v>
          </cell>
        </row>
        <row r="841">
          <cell r="Z841" t="str">
            <v xml:space="preserve">Non formel Alpha Mise à jour de la Stratégie nationale de l'alphabétisation - milliards Ar </v>
          </cell>
        </row>
        <row r="842">
          <cell r="Z842" t="str">
            <v xml:space="preserve">Non formel Alpha Revues </v>
          </cell>
        </row>
        <row r="843">
          <cell r="Z843" t="str">
            <v>Non formel EI Identification et Sensibilisation Formation</v>
          </cell>
        </row>
        <row r="844">
          <cell r="Z844" t="str">
            <v>Non formel EI Identification et Sensibilisation Rémunération</v>
          </cell>
        </row>
        <row r="845">
          <cell r="Z845" t="str">
            <v>Non formel EI Identification et Sensibilisation Moyens de fonctionnement</v>
          </cell>
        </row>
        <row r="846">
          <cell r="Z846" t="str">
            <v>Non formel EI Identification et Sensibilisation Moyens de transport des agents de sensibilisation</v>
          </cell>
        </row>
        <row r="847">
          <cell r="Z847" t="str">
            <v>Non formel EI Identification et Sensibilisation Sensibilisation de la population</v>
          </cell>
        </row>
        <row r="848">
          <cell r="Z848" t="str">
            <v xml:space="preserve">Non formel EI Accueil </v>
          </cell>
        </row>
        <row r="849">
          <cell r="Z849" t="str">
            <v xml:space="preserve">Non formel EI Renforcement institutionnel </v>
          </cell>
        </row>
        <row r="850">
          <cell r="Z850" t="str">
            <v>Non formel EDD</v>
          </cell>
        </row>
        <row r="851">
          <cell r="Z851" t="str">
            <v>Gestion &amp; Gouvernance Fonct Transfert</v>
          </cell>
        </row>
        <row r="852">
          <cell r="Z852" t="str">
            <v>Gestion &amp; Gouvernance Fonct Contrat Privé</v>
          </cell>
        </row>
        <row r="853">
          <cell r="Z853" t="str">
            <v>Gestion &amp; Gouvernance Fonct BS</v>
          </cell>
        </row>
        <row r="854">
          <cell r="Z854" t="str">
            <v>Gestion &amp; Gouvernance Invest</v>
          </cell>
        </row>
      </sheetData>
      <sheetData sheetId="9">
        <row r="151">
          <cell r="Y151" t="str">
            <v>Administration centrale et déconcentrée</v>
          </cell>
        </row>
        <row r="152">
          <cell r="Y152" t="str">
            <v>Rémunération CDC</v>
          </cell>
        </row>
        <row r="153">
          <cell r="Y153" t="str">
            <v>Rémunération LTP</v>
          </cell>
        </row>
        <row r="154">
          <cell r="Y154" t="str">
            <v>Fonctionnement Centres CDC</v>
          </cell>
        </row>
        <row r="155">
          <cell r="Y155" t="str">
            <v>Fonctionnement Centres LTP</v>
          </cell>
        </row>
        <row r="156">
          <cell r="Y156" t="str">
            <v>Evaluation CDC</v>
          </cell>
        </row>
        <row r="157">
          <cell r="Y157" t="str">
            <v>Evaluation LTP</v>
          </cell>
        </row>
        <row r="158">
          <cell r="Y158" t="str">
            <v>Evaluation Apprentis Niveau 1</v>
          </cell>
        </row>
        <row r="159">
          <cell r="Y159" t="str">
            <v>Evaluation Apprentis Niveau 2</v>
          </cell>
        </row>
        <row r="160">
          <cell r="Y160" t="str">
            <v>Recettes des établissements</v>
          </cell>
        </row>
        <row r="161">
          <cell r="Y161" t="str">
            <v>Curricula</v>
          </cell>
        </row>
        <row r="162">
          <cell r="Y162" t="str">
            <v>Formation initiale et continue</v>
          </cell>
        </row>
        <row r="163">
          <cell r="Y163" t="str">
            <v>Etudes Recherche</v>
          </cell>
        </row>
        <row r="164">
          <cell r="Y164" t="str">
            <v>Administration Invest</v>
          </cell>
        </row>
        <row r="165">
          <cell r="Y165" t="str">
            <v>Constructions Equipements CDC</v>
          </cell>
        </row>
        <row r="166">
          <cell r="Y166" t="str">
            <v>Constructions Equipements LTP</v>
          </cell>
        </row>
        <row r="167">
          <cell r="Y167" t="str">
            <v>Institut de formation</v>
          </cell>
        </row>
      </sheetData>
      <sheetData sheetId="10">
        <row r="112">
          <cell r="Y112" t="str">
            <v>Rémunérations Ens. Sup.</v>
          </cell>
        </row>
        <row r="113">
          <cell r="Y113" t="str">
            <v>Fonctionnement des universités</v>
          </cell>
        </row>
        <row r="114">
          <cell r="Y114" t="str">
            <v>Œuvres Bourses</v>
          </cell>
        </row>
        <row r="115">
          <cell r="Y115" t="str">
            <v>Œuvres CROU</v>
          </cell>
        </row>
        <row r="116">
          <cell r="Y116" t="str">
            <v>Administration Fonctionnement</v>
          </cell>
        </row>
        <row r="117">
          <cell r="Y117" t="str">
            <v>Recherche Rémunérations</v>
          </cell>
        </row>
        <row r="118">
          <cell r="Y118" t="str">
            <v>Recherche Fonctionnement</v>
          </cell>
        </row>
        <row r="119">
          <cell r="Y119" t="str">
            <v>Infrastructures pédagogiques</v>
          </cell>
        </row>
        <row r="120">
          <cell r="Y120" t="str">
            <v>Infrastructures Cité U</v>
          </cell>
        </row>
        <row r="121">
          <cell r="Y121" t="str">
            <v>Equipements pédagogiques</v>
          </cell>
        </row>
        <row r="122">
          <cell r="Y122" t="str">
            <v>Formation</v>
          </cell>
        </row>
        <row r="123">
          <cell r="Y123" t="str">
            <v>Curricula</v>
          </cell>
        </row>
        <row r="124">
          <cell r="Y124" t="str">
            <v>Autres investissements institutionnels</v>
          </cell>
        </row>
        <row r="125">
          <cell r="Y125" t="str">
            <v>Recherche Investissement</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B PPA 190318"/>
      <sheetName val="Compil Costing PPA 3 millions"/>
      <sheetName val="PCOP ET LIBELLES"/>
    </sheetNames>
    <sheetDataSet>
      <sheetData sheetId="0"/>
      <sheetData sheetId="1">
        <row r="5">
          <cell r="F5">
            <v>449500</v>
          </cell>
        </row>
        <row r="7">
          <cell r="F7">
            <v>300354.12</v>
          </cell>
        </row>
        <row r="8">
          <cell r="F8">
            <v>300000</v>
          </cell>
        </row>
        <row r="9">
          <cell r="F9">
            <v>88428</v>
          </cell>
        </row>
        <row r="11">
          <cell r="F11">
            <v>29240.073333333334</v>
          </cell>
        </row>
        <row r="12">
          <cell r="F12">
            <v>100000</v>
          </cell>
        </row>
        <row r="15">
          <cell r="F15">
            <v>356290.70624999999</v>
          </cell>
        </row>
        <row r="16">
          <cell r="F16">
            <v>348173.33333333337</v>
          </cell>
        </row>
        <row r="17">
          <cell r="F17">
            <v>108845.33</v>
          </cell>
        </row>
        <row r="18">
          <cell r="F18">
            <v>466727</v>
          </cell>
        </row>
        <row r="19">
          <cell r="F19">
            <v>322694</v>
          </cell>
        </row>
        <row r="20">
          <cell r="F20">
            <v>129747.66</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_PTB PPA 190318 "/>
      <sheetName val="Compil Costing PPA 3 millions"/>
      <sheetName val="PCOP ET LIBELLES"/>
    </sheetNames>
    <sheetDataSet>
      <sheetData sheetId="0"/>
      <sheetData sheetId="1">
        <row r="5">
          <cell r="F5">
            <v>449500</v>
          </cell>
        </row>
        <row r="7">
          <cell r="F7">
            <v>300354.12</v>
          </cell>
        </row>
        <row r="8">
          <cell r="F8">
            <v>300000</v>
          </cell>
        </row>
        <row r="9">
          <cell r="F9">
            <v>88428</v>
          </cell>
        </row>
        <row r="11">
          <cell r="F11">
            <v>29240.073333333334</v>
          </cell>
        </row>
        <row r="12">
          <cell r="F12">
            <v>100000</v>
          </cell>
        </row>
        <row r="15">
          <cell r="F15">
            <v>356290.70624999999</v>
          </cell>
        </row>
        <row r="16">
          <cell r="F16">
            <v>348173.33333333337</v>
          </cell>
        </row>
        <row r="17">
          <cell r="F17">
            <v>108845.33</v>
          </cell>
        </row>
        <row r="18">
          <cell r="F18">
            <v>466727</v>
          </cell>
        </row>
        <row r="19">
          <cell r="F19">
            <v>322694</v>
          </cell>
        </row>
        <row r="20">
          <cell r="F20">
            <v>129747.66</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ISATION"/>
      <sheetName val="BUDGET TESTING"/>
      <sheetName val="BUDGET CAPITALISATION"/>
      <sheetName val="VALIDATION DES OUTILS"/>
      <sheetName val="BUDGET PASSATION DISPOSITIF"/>
      <sheetName val="feuille"/>
      <sheetName val="EVALUATION JP"/>
      <sheetName val="RECAPITULATION GENERALE"/>
    </sheetNames>
    <sheetDataSet>
      <sheetData sheetId="0" refreshError="1">
        <row r="24">
          <cell r="D24">
            <v>2150</v>
          </cell>
        </row>
        <row r="25">
          <cell r="D25">
            <v>1893.3333333333333</v>
          </cell>
        </row>
        <row r="26">
          <cell r="D26">
            <v>0</v>
          </cell>
        </row>
        <row r="27">
          <cell r="D27">
            <v>57.333333333333336</v>
          </cell>
        </row>
        <row r="28">
          <cell r="D28">
            <v>133.33333333333334</v>
          </cell>
        </row>
      </sheetData>
      <sheetData sheetId="1" refreshError="1">
        <row r="35">
          <cell r="D35">
            <v>2546</v>
          </cell>
        </row>
        <row r="36">
          <cell r="D36">
            <v>1306.6666666666667</v>
          </cell>
        </row>
        <row r="37">
          <cell r="D37">
            <v>557.74666666666667</v>
          </cell>
        </row>
      </sheetData>
      <sheetData sheetId="2" refreshError="1">
        <row r="26">
          <cell r="D26">
            <v>2400</v>
          </cell>
        </row>
        <row r="27">
          <cell r="D27">
            <v>1973.3333333333333</v>
          </cell>
        </row>
        <row r="28">
          <cell r="D28">
            <v>340.13333333333333</v>
          </cell>
        </row>
        <row r="29">
          <cell r="D29">
            <v>79.5</v>
          </cell>
        </row>
        <row r="30">
          <cell r="D30">
            <v>500</v>
          </cell>
        </row>
      </sheetData>
      <sheetData sheetId="3" refreshError="1"/>
      <sheetData sheetId="4" refreshError="1"/>
      <sheetData sheetId="5" refreshError="1"/>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2"/>
      <sheetName val="Feuil3"/>
    </sheetNames>
    <sheetDataSet>
      <sheetData sheetId="0" refreshError="1">
        <row r="30">
          <cell r="E30">
            <v>3870</v>
          </cell>
        </row>
        <row r="31">
          <cell r="E31">
            <v>3840</v>
          </cell>
        </row>
        <row r="32">
          <cell r="E32">
            <v>1580</v>
          </cell>
        </row>
        <row r="33">
          <cell r="E33">
            <v>233.33333333333334</v>
          </cell>
        </row>
        <row r="34">
          <cell r="E34">
            <v>157.33333333333334</v>
          </cell>
        </row>
        <row r="35">
          <cell r="E35">
            <v>9680.6666666666661</v>
          </cell>
        </row>
      </sheetData>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3"/>
      <sheetName val="Feuil2"/>
    </sheetNames>
    <sheetDataSet>
      <sheetData sheetId="0" refreshError="1"/>
      <sheetData sheetId="1" refreshError="1">
        <row r="8">
          <cell r="H8">
            <v>6048</v>
          </cell>
        </row>
        <row r="9">
          <cell r="H9">
            <v>6160</v>
          </cell>
        </row>
        <row r="10">
          <cell r="H10">
            <v>546</v>
          </cell>
        </row>
        <row r="11">
          <cell r="H11">
            <v>155.66666666666666</v>
          </cell>
        </row>
        <row r="12">
          <cell r="H12">
            <v>333.33333333333331</v>
          </cell>
        </row>
      </sheetData>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B PPA 190318"/>
      <sheetName val="Compil Costing PPA 3 millions"/>
      <sheetName val="PCOP ET LIBELLES"/>
    </sheetNames>
    <sheetDataSet>
      <sheetData sheetId="0"/>
      <sheetData sheetId="1">
        <row r="5">
          <cell r="F5">
            <v>449500</v>
          </cell>
        </row>
        <row r="7">
          <cell r="F7">
            <v>300354.12</v>
          </cell>
        </row>
        <row r="8">
          <cell r="F8">
            <v>300000</v>
          </cell>
        </row>
        <row r="9">
          <cell r="F9">
            <v>88428</v>
          </cell>
        </row>
        <row r="11">
          <cell r="F11">
            <v>29240.073333333334</v>
          </cell>
        </row>
        <row r="12">
          <cell r="F12">
            <v>100000</v>
          </cell>
        </row>
        <row r="15">
          <cell r="F15">
            <v>356290.70624999999</v>
          </cell>
        </row>
        <row r="16">
          <cell r="F16">
            <v>348173.33333333337</v>
          </cell>
        </row>
        <row r="17">
          <cell r="F17">
            <v>108845.33</v>
          </cell>
        </row>
        <row r="18">
          <cell r="F18">
            <v>466727</v>
          </cell>
        </row>
        <row r="19">
          <cell r="F19">
            <v>322694</v>
          </cell>
        </row>
        <row r="20">
          <cell r="F20">
            <v>129747.66</v>
          </cell>
        </row>
      </sheetData>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iste_personnel"/>
      <sheetName val="Feuil1"/>
      <sheetName val="annexe"/>
      <sheetName val="Feuil2"/>
      <sheetName val="Feuil3"/>
    </sheetNames>
    <sheetDataSet>
      <sheetData sheetId="0">
        <row r="6">
          <cell r="D6" t="str">
            <v>CHEF CISCO</v>
          </cell>
          <cell r="F6" t="str">
            <v>MANANDAHY PHILBERT</v>
          </cell>
        </row>
      </sheetData>
      <sheetData sheetId="1" refreshError="1"/>
      <sheetData sheetId="2">
        <row r="3">
          <cell r="C3" t="str">
            <v>H</v>
          </cell>
        </row>
      </sheetData>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 val="Recap GENERALE"/>
      <sheetName val="Récap budget Participant "/>
      <sheetName val="Liste Fongible"/>
      <sheetName val="22 DREN"/>
      <sheetName val="Directions Centrales"/>
      <sheetName val="Cellule DAAF"/>
      <sheetName val="Carburant CENTRALE"/>
      <sheetName val="Feuil2"/>
    </sheetNames>
    <sheetDataSet>
      <sheetData sheetId="0" refreshError="1"/>
      <sheetData sheetId="1" refreshError="1">
        <row r="5">
          <cell r="D5" t="str">
            <v xml:space="preserve"> 10 au 12 Août 2021</v>
          </cell>
        </row>
        <row r="6">
          <cell r="D6" t="str">
            <v>Ampefy (Soavinandriana)</v>
          </cell>
        </row>
        <row r="8">
          <cell r="B8" t="str">
            <v>Formation 22 DREN sur la gestion financière (PAEB/DLI)</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B PPA 190318"/>
      <sheetName val="PTB PPA 190318 (2)"/>
      <sheetName val="Feuil1"/>
      <sheetName val="Compil Costing PPA 3 millions"/>
      <sheetName val="PCOP ET LIBELLES"/>
    </sheetNames>
    <sheetDataSet>
      <sheetData sheetId="0" refreshError="1"/>
      <sheetData sheetId="1" refreshError="1"/>
      <sheetData sheetId="2" refreshError="1"/>
      <sheetData sheetId="3" refreshError="1">
        <row r="5">
          <cell r="B5">
            <v>1</v>
          </cell>
        </row>
        <row r="7">
          <cell r="B7">
            <v>21</v>
          </cell>
        </row>
        <row r="8">
          <cell r="B8">
            <v>22</v>
          </cell>
        </row>
        <row r="9">
          <cell r="B9">
            <v>23</v>
          </cell>
        </row>
        <row r="11">
          <cell r="B11">
            <v>31</v>
          </cell>
        </row>
        <row r="12">
          <cell r="B12">
            <v>32</v>
          </cell>
        </row>
        <row r="20">
          <cell r="B20">
            <v>63</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B PPA 190318"/>
      <sheetName val="Compil Costing PPA 3 millions"/>
      <sheetName val="PCOP ET LIBELLES"/>
    </sheetNames>
    <sheetDataSet>
      <sheetData sheetId="0"/>
      <sheetData sheetId="1">
        <row r="5">
          <cell r="F5">
            <v>449500</v>
          </cell>
        </row>
        <row r="7">
          <cell r="F7">
            <v>300354.12</v>
          </cell>
        </row>
        <row r="8">
          <cell r="F8">
            <v>300000</v>
          </cell>
        </row>
        <row r="11">
          <cell r="F11">
            <v>29240.073333333334</v>
          </cell>
        </row>
        <row r="12">
          <cell r="F12">
            <v>100000</v>
          </cell>
        </row>
        <row r="15">
          <cell r="F15">
            <v>356290.70624999999</v>
          </cell>
        </row>
        <row r="16">
          <cell r="F16">
            <v>348173.33333333337</v>
          </cell>
        </row>
        <row r="17">
          <cell r="F17">
            <v>108845.33</v>
          </cell>
        </row>
        <row r="18">
          <cell r="F18">
            <v>466727</v>
          </cell>
        </row>
        <row r="19">
          <cell r="F19">
            <v>322694</v>
          </cell>
        </row>
        <row r="20">
          <cell r="F20">
            <v>129747.66</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B PPA 190318"/>
      <sheetName val="Compil Costing PPA 3 millions"/>
      <sheetName val="PCOP ET LIBELLES"/>
    </sheetNames>
    <sheetDataSet>
      <sheetData sheetId="0" refreshError="1"/>
      <sheetData sheetId="1" refreshError="1">
        <row r="5">
          <cell r="F5">
            <v>449500</v>
          </cell>
        </row>
        <row r="7">
          <cell r="F7">
            <v>300354.12</v>
          </cell>
        </row>
        <row r="8">
          <cell r="F8">
            <v>300000</v>
          </cell>
        </row>
        <row r="9">
          <cell r="F9">
            <v>88428</v>
          </cell>
        </row>
        <row r="11">
          <cell r="F11">
            <v>29240.073333333334</v>
          </cell>
        </row>
        <row r="12">
          <cell r="F12">
            <v>100000</v>
          </cell>
        </row>
        <row r="15">
          <cell r="F15">
            <v>356290.70624999999</v>
          </cell>
        </row>
        <row r="16">
          <cell r="F16">
            <v>348173.33333333337</v>
          </cell>
        </row>
        <row r="17">
          <cell r="F17">
            <v>108845.33</v>
          </cell>
        </row>
        <row r="18">
          <cell r="F18">
            <v>466727</v>
          </cell>
        </row>
        <row r="19">
          <cell r="F19">
            <v>322694</v>
          </cell>
        </row>
        <row r="20">
          <cell r="F20">
            <v>129747.66</v>
          </cell>
        </row>
      </sheetData>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METIER"/>
      <sheetName val="REF COMPETENCES"/>
      <sheetName val="REF EVALUATION"/>
      <sheetName val="VALIDATION"/>
      <sheetName val="DUPLICATION"/>
      <sheetName val="RECAP ACTIVITE 1"/>
    </sheetNames>
    <sheetDataSet>
      <sheetData sheetId="0" refreshError="1">
        <row r="15">
          <cell r="G15">
            <v>13608000</v>
          </cell>
        </row>
        <row r="16">
          <cell r="G16">
            <v>3960000</v>
          </cell>
        </row>
        <row r="18">
          <cell r="G18">
            <v>780000</v>
          </cell>
        </row>
        <row r="25">
          <cell r="G25">
            <v>13720000</v>
          </cell>
        </row>
        <row r="27">
          <cell r="G27">
            <v>460000</v>
          </cell>
        </row>
        <row r="31">
          <cell r="F31">
            <v>714000</v>
          </cell>
        </row>
        <row r="32">
          <cell r="F32">
            <v>1784200</v>
          </cell>
        </row>
        <row r="43">
          <cell r="F43">
            <v>5000000</v>
          </cell>
        </row>
        <row r="44">
          <cell r="F44">
            <v>222999</v>
          </cell>
        </row>
      </sheetData>
      <sheetData sheetId="1" refreshError="1">
        <row r="15">
          <cell r="G15">
            <v>14868000</v>
          </cell>
        </row>
        <row r="16">
          <cell r="G16">
            <v>4320000</v>
          </cell>
        </row>
        <row r="17">
          <cell r="G17">
            <v>870000</v>
          </cell>
        </row>
        <row r="25">
          <cell r="G25">
            <v>15120000</v>
          </cell>
        </row>
        <row r="27">
          <cell r="G27">
            <v>520000</v>
          </cell>
        </row>
        <row r="31">
          <cell r="F31">
            <v>2448000</v>
          </cell>
        </row>
        <row r="32">
          <cell r="F32">
            <v>3905000</v>
          </cell>
        </row>
        <row r="43">
          <cell r="F43">
            <v>5000000</v>
          </cell>
        </row>
        <row r="44">
          <cell r="F44">
            <v>222999</v>
          </cell>
        </row>
      </sheetData>
      <sheetData sheetId="2" refreshError="1">
        <row r="15">
          <cell r="G15">
            <v>14868000</v>
          </cell>
        </row>
        <row r="16">
          <cell r="G16">
            <v>4320000</v>
          </cell>
        </row>
        <row r="18">
          <cell r="G18">
            <v>870000</v>
          </cell>
        </row>
        <row r="25">
          <cell r="G25">
            <v>15120000</v>
          </cell>
        </row>
        <row r="27">
          <cell r="G27">
            <v>520000</v>
          </cell>
        </row>
        <row r="31">
          <cell r="F31">
            <v>2448000</v>
          </cell>
        </row>
        <row r="32">
          <cell r="F32">
            <v>3905000</v>
          </cell>
        </row>
        <row r="43">
          <cell r="F43">
            <v>5000000</v>
          </cell>
        </row>
        <row r="44">
          <cell r="F44">
            <v>222999</v>
          </cell>
        </row>
      </sheetData>
      <sheetData sheetId="3" refreshError="1">
        <row r="9">
          <cell r="F9">
            <v>1000000</v>
          </cell>
        </row>
        <row r="10">
          <cell r="F10">
            <v>2000000</v>
          </cell>
        </row>
        <row r="11">
          <cell r="F11">
            <v>648000</v>
          </cell>
        </row>
      </sheetData>
      <sheetData sheetId="4" refreshError="1">
        <row r="11">
          <cell r="F11">
            <v>38115000</v>
          </cell>
        </row>
      </sheetData>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AB OUTILS EVAL"/>
      <sheetName val="DUPLICATION OUTILS"/>
      <sheetName val="DESCENTE"/>
      <sheetName val="TRAVAIL_SAISIE"/>
      <sheetName val="ANALYSE ET RAPPORT"/>
      <sheetName val="RECAP ACTIVITE2"/>
    </sheetNames>
    <sheetDataSet>
      <sheetData sheetId="0" refreshError="1">
        <row r="14">
          <cell r="H14">
            <v>2700000</v>
          </cell>
        </row>
        <row r="15">
          <cell r="H15">
            <v>5040000</v>
          </cell>
        </row>
        <row r="17">
          <cell r="H17">
            <v>360000</v>
          </cell>
        </row>
        <row r="23">
          <cell r="H23">
            <v>2320000</v>
          </cell>
        </row>
        <row r="25">
          <cell r="H25">
            <v>320000</v>
          </cell>
        </row>
        <row r="29">
          <cell r="F29">
            <v>2448000</v>
          </cell>
        </row>
        <row r="30">
          <cell r="F30">
            <v>1440000</v>
          </cell>
        </row>
        <row r="33">
          <cell r="F33">
            <v>2500000</v>
          </cell>
        </row>
        <row r="34">
          <cell r="F34">
            <v>107500</v>
          </cell>
        </row>
      </sheetData>
      <sheetData sheetId="1" refreshError="1">
        <row r="9">
          <cell r="F9">
            <v>3267000</v>
          </cell>
        </row>
      </sheetData>
      <sheetData sheetId="2" refreshError="1">
        <row r="13">
          <cell r="H13">
            <v>23760000</v>
          </cell>
        </row>
        <row r="14">
          <cell r="H14">
            <v>108000000</v>
          </cell>
        </row>
        <row r="16">
          <cell r="H16">
            <v>1800000</v>
          </cell>
        </row>
        <row r="21">
          <cell r="H21">
            <v>19800000</v>
          </cell>
        </row>
        <row r="23">
          <cell r="H23">
            <v>900000</v>
          </cell>
        </row>
        <row r="27">
          <cell r="F27">
            <v>8160000</v>
          </cell>
        </row>
        <row r="28">
          <cell r="F28">
            <v>20024800</v>
          </cell>
        </row>
        <row r="58">
          <cell r="F58">
            <v>616875</v>
          </cell>
        </row>
      </sheetData>
      <sheetData sheetId="3" refreshError="1">
        <row r="14">
          <cell r="H14">
            <v>17172000</v>
          </cell>
        </row>
        <row r="15">
          <cell r="H15">
            <v>3960000</v>
          </cell>
        </row>
        <row r="17">
          <cell r="H17">
            <v>780000</v>
          </cell>
        </row>
        <row r="23">
          <cell r="H23">
            <v>17320000</v>
          </cell>
        </row>
        <row r="25">
          <cell r="H25">
            <v>460000</v>
          </cell>
        </row>
        <row r="29">
          <cell r="F29">
            <v>714000</v>
          </cell>
        </row>
        <row r="30">
          <cell r="F30">
            <v>1505000</v>
          </cell>
        </row>
        <row r="33">
          <cell r="F33">
            <v>5000000</v>
          </cell>
        </row>
        <row r="34">
          <cell r="F34">
            <v>1604664</v>
          </cell>
        </row>
      </sheetData>
      <sheetData sheetId="4" refreshError="1">
        <row r="14">
          <cell r="H14">
            <v>3708000</v>
          </cell>
        </row>
        <row r="15">
          <cell r="H15">
            <v>7560000</v>
          </cell>
        </row>
        <row r="17">
          <cell r="H17">
            <v>780000</v>
          </cell>
        </row>
        <row r="23">
          <cell r="H23">
            <v>3520000</v>
          </cell>
        </row>
        <row r="25">
          <cell r="H25">
            <v>440000</v>
          </cell>
        </row>
        <row r="29">
          <cell r="F29">
            <v>3264000</v>
          </cell>
        </row>
        <row r="31">
          <cell r="F31">
            <v>2040000</v>
          </cell>
        </row>
        <row r="33">
          <cell r="F33">
            <v>2500000</v>
          </cell>
        </row>
        <row r="34">
          <cell r="F34">
            <v>90993</v>
          </cell>
        </row>
      </sheetData>
      <sheetData sheetId="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B PPA 190318"/>
      <sheetName val="Compil Costing PPA 3 millions"/>
      <sheetName val="PCOP ET LIBELLES"/>
    </sheetNames>
    <sheetDataSet>
      <sheetData sheetId="0"/>
      <sheetData sheetId="1">
        <row r="7">
          <cell r="F7" t="e">
            <v>#VALUE!</v>
          </cell>
        </row>
        <row r="8">
          <cell r="F8" t="e">
            <v>#VALUE!</v>
          </cell>
        </row>
        <row r="9">
          <cell r="F9" t="e">
            <v>#VALUE!</v>
          </cell>
        </row>
        <row r="11">
          <cell r="F11" t="e">
            <v>#VALUE!</v>
          </cell>
        </row>
        <row r="12">
          <cell r="F12" t="e">
            <v>#VALUE!</v>
          </cell>
        </row>
        <row r="15">
          <cell r="F15" t="e">
            <v>#VALUE!</v>
          </cell>
        </row>
        <row r="16">
          <cell r="F16" t="e">
            <v>#VALUE!</v>
          </cell>
        </row>
        <row r="17">
          <cell r="F17" t="e">
            <v>#VALUE!</v>
          </cell>
        </row>
        <row r="18">
          <cell r="F18" t="e">
            <v>#VALUE!</v>
          </cell>
        </row>
        <row r="19">
          <cell r="F19" t="e">
            <v>#VALUE!</v>
          </cell>
        </row>
        <row r="20">
          <cell r="F20" t="e">
            <v>#VALUE!</v>
          </cell>
        </row>
      </sheetData>
      <sheetData sheetId="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B PPA 230318"/>
      <sheetName val="PTB deipef"/>
      <sheetName val="Compil Costing PPA 3 millions"/>
      <sheetName val="PCOP ET LIBELLES"/>
    </sheetNames>
    <sheetDataSet>
      <sheetData sheetId="0" refreshError="1"/>
      <sheetData sheetId="1" refreshError="1"/>
      <sheetData sheetId="2" refreshError="1">
        <row r="5">
          <cell r="F5">
            <v>449500</v>
          </cell>
        </row>
        <row r="12">
          <cell r="F12">
            <v>100000</v>
          </cell>
        </row>
      </sheetData>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global"/>
      <sheetName val="PTB PPA 260318 "/>
      <sheetName val="Compil Costing PPA 3 millions"/>
      <sheetName val="PCOP ET LIBELLES"/>
    </sheetNames>
    <sheetDataSet>
      <sheetData sheetId="0"/>
      <sheetData sheetId="1"/>
      <sheetData sheetId="2">
        <row r="5">
          <cell r="F5">
            <v>449500</v>
          </cell>
        </row>
        <row r="7">
          <cell r="F7">
            <v>300354.12</v>
          </cell>
        </row>
        <row r="8">
          <cell r="F8">
            <v>300000</v>
          </cell>
        </row>
        <row r="9">
          <cell r="F9">
            <v>88428</v>
          </cell>
        </row>
        <row r="11">
          <cell r="F11">
            <v>29240.073333333334</v>
          </cell>
        </row>
        <row r="12">
          <cell r="F12">
            <v>100000</v>
          </cell>
        </row>
        <row r="15">
          <cell r="F15">
            <v>356290.70624999999</v>
          </cell>
        </row>
        <row r="16">
          <cell r="F16">
            <v>348173.33333333337</v>
          </cell>
        </row>
        <row r="17">
          <cell r="F17">
            <v>108845.33</v>
          </cell>
        </row>
        <row r="18">
          <cell r="F18">
            <v>466727</v>
          </cell>
        </row>
        <row r="19">
          <cell r="F19">
            <v>322694</v>
          </cell>
        </row>
        <row r="20">
          <cell r="F20">
            <v>129747.66</v>
          </cell>
        </row>
      </sheetData>
      <sheetData sheetId="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B PPA 190318"/>
      <sheetName val="Compil Costing PPA 3 millions"/>
      <sheetName val="PCOP ET LIBELLES"/>
    </sheetNames>
    <sheetDataSet>
      <sheetData sheetId="0"/>
      <sheetData sheetId="1">
        <row r="17">
          <cell r="F17">
            <v>108845.33</v>
          </cell>
        </row>
      </sheetData>
      <sheetData sheetId="2"/>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J178"/>
  <sheetViews>
    <sheetView zoomScale="115" zoomScaleNormal="115" workbookViewId="0">
      <selection activeCell="B11" sqref="B11"/>
    </sheetView>
  </sheetViews>
  <sheetFormatPr baseColWidth="10" defaultRowHeight="35.1" customHeight="1"/>
  <cols>
    <col min="1" max="1" width="6.7109375" customWidth="1"/>
    <col min="2" max="2" width="53.85546875" customWidth="1"/>
    <col min="3" max="3" width="24.42578125" customWidth="1"/>
    <col min="4" max="4" width="19.42578125" customWidth="1"/>
    <col min="7" max="7" width="14" bestFit="1" customWidth="1"/>
    <col min="10" max="10" width="15.28515625" customWidth="1"/>
  </cols>
  <sheetData>
    <row r="1" spans="1:10" ht="27.75" customHeight="1">
      <c r="A1" s="3382" t="s">
        <v>28</v>
      </c>
      <c r="B1" s="3382"/>
      <c r="C1" s="3382"/>
      <c r="D1" s="3382"/>
    </row>
    <row r="2" spans="1:10" ht="18.75" customHeight="1">
      <c r="A2" s="18"/>
    </row>
    <row r="3" spans="1:10" ht="30.75" customHeight="1">
      <c r="A3" s="3383" t="s">
        <v>29</v>
      </c>
      <c r="B3" s="3384"/>
      <c r="C3" s="53" t="s">
        <v>30</v>
      </c>
      <c r="D3" s="53" t="s">
        <v>31</v>
      </c>
    </row>
    <row r="4" spans="1:10" ht="27.75" customHeight="1">
      <c r="A4" s="3376" t="s">
        <v>0</v>
      </c>
      <c r="B4" s="3377"/>
      <c r="C4" s="3377"/>
      <c r="D4" s="3378"/>
    </row>
    <row r="5" spans="1:10" ht="15" customHeight="1">
      <c r="A5" s="34" t="s">
        <v>24</v>
      </c>
      <c r="B5" s="35"/>
      <c r="C5" s="35"/>
      <c r="D5" s="36"/>
    </row>
    <row r="6" spans="1:10" ht="20.100000000000001" customHeight="1">
      <c r="A6" s="96"/>
      <c r="B6" s="33" t="s">
        <v>7</v>
      </c>
      <c r="C6" s="73"/>
      <c r="D6" s="12"/>
    </row>
    <row r="7" spans="1:10" ht="20.100000000000001" customHeight="1">
      <c r="A7" s="96"/>
      <c r="B7" s="97" t="s">
        <v>187</v>
      </c>
      <c r="C7" s="54">
        <f>+D7*3000</f>
        <v>392706000</v>
      </c>
      <c r="D7" s="14">
        <v>130902</v>
      </c>
    </row>
    <row r="8" spans="1:10" ht="15" customHeight="1">
      <c r="A8" s="37" t="s">
        <v>8</v>
      </c>
      <c r="B8" s="38"/>
      <c r="C8" s="49"/>
      <c r="D8" s="70"/>
    </row>
    <row r="9" spans="1:10" ht="17.100000000000001" customHeight="1">
      <c r="A9" s="10"/>
      <c r="B9" s="31" t="s">
        <v>37</v>
      </c>
      <c r="C9" s="12"/>
      <c r="D9" s="12"/>
    </row>
    <row r="10" spans="1:10" ht="48" customHeight="1">
      <c r="A10" s="9"/>
      <c r="B10" s="5" t="s">
        <v>47</v>
      </c>
      <c r="C10" s="54">
        <f>+D10*3000</f>
        <v>150000000</v>
      </c>
      <c r="D10" s="14">
        <v>50000</v>
      </c>
      <c r="F10" s="67"/>
      <c r="G10" s="72"/>
      <c r="H10" s="67"/>
    </row>
    <row r="11" spans="1:10" ht="42.75" customHeight="1">
      <c r="A11" s="68"/>
      <c r="B11" s="69" t="s">
        <v>48</v>
      </c>
      <c r="C11" s="54">
        <f>+D11*3000</f>
        <v>45000000</v>
      </c>
      <c r="D11" s="14">
        <v>15000</v>
      </c>
    </row>
    <row r="12" spans="1:10" ht="17.100000000000001" customHeight="1">
      <c r="A12" s="11"/>
      <c r="B12" s="32" t="s">
        <v>38</v>
      </c>
      <c r="C12" s="12"/>
      <c r="D12" s="14"/>
    </row>
    <row r="13" spans="1:10" ht="47.25" customHeight="1">
      <c r="A13" s="68"/>
      <c r="B13" s="4" t="s">
        <v>49</v>
      </c>
      <c r="C13" s="54">
        <f>+D13*3000</f>
        <v>218427000</v>
      </c>
      <c r="D13" s="14">
        <v>72809</v>
      </c>
      <c r="J13" s="71"/>
    </row>
    <row r="14" spans="1:10" ht="26.25" customHeight="1">
      <c r="A14" s="4"/>
      <c r="B14" s="4" t="s">
        <v>50</v>
      </c>
      <c r="C14" s="54">
        <f>+D14*3000</f>
        <v>142980000</v>
      </c>
      <c r="D14" s="14">
        <v>47660</v>
      </c>
      <c r="J14" s="71"/>
    </row>
    <row r="15" spans="1:10" ht="17.100000000000001" customHeight="1">
      <c r="A15" s="11"/>
      <c r="B15" s="33" t="s">
        <v>7</v>
      </c>
      <c r="C15" s="12"/>
      <c r="D15" s="14"/>
      <c r="F15" s="67"/>
      <c r="J15" s="71"/>
    </row>
    <row r="16" spans="1:10" ht="36.75" customHeight="1">
      <c r="A16" s="11"/>
      <c r="B16" s="13" t="s">
        <v>51</v>
      </c>
      <c r="C16" s="54">
        <f>+D16*3000</f>
        <v>399387000</v>
      </c>
      <c r="D16" s="14">
        <f>127179+5950</f>
        <v>133129</v>
      </c>
    </row>
    <row r="17" spans="1:4" ht="20.100000000000001" customHeight="1">
      <c r="A17" s="29"/>
      <c r="B17" s="21" t="s">
        <v>9</v>
      </c>
      <c r="C17" s="22">
        <f>SUM(C8:C16)</f>
        <v>955794000</v>
      </c>
      <c r="D17" s="22">
        <f>SUM(D6:D16)</f>
        <v>449500</v>
      </c>
    </row>
    <row r="18" spans="1:4" ht="33" customHeight="1">
      <c r="A18" s="3376" t="s">
        <v>1</v>
      </c>
      <c r="B18" s="3377"/>
      <c r="C18" s="3377"/>
      <c r="D18" s="3378"/>
    </row>
    <row r="19" spans="1:4" ht="15" customHeight="1">
      <c r="A19" s="34" t="s">
        <v>106</v>
      </c>
      <c r="B19" s="35"/>
      <c r="C19" s="35"/>
      <c r="D19" s="36"/>
    </row>
    <row r="20" spans="1:4" ht="17.100000000000001" customHeight="1">
      <c r="A20" s="1"/>
      <c r="B20" s="31" t="s">
        <v>37</v>
      </c>
      <c r="C20" s="12"/>
      <c r="D20" s="2"/>
    </row>
    <row r="21" spans="1:4" ht="39" customHeight="1">
      <c r="A21" s="9"/>
      <c r="B21" s="5" t="s">
        <v>52</v>
      </c>
      <c r="C21" s="54">
        <f>+D21*3000</f>
        <v>9999000</v>
      </c>
      <c r="D21" s="14">
        <v>3333</v>
      </c>
    </row>
    <row r="22" spans="1:4" ht="39.75" customHeight="1">
      <c r="A22" s="68"/>
      <c r="B22" s="69" t="s">
        <v>53</v>
      </c>
      <c r="C22" s="54">
        <f>+D22*3000</f>
        <v>8001000</v>
      </c>
      <c r="D22" s="14">
        <v>2667</v>
      </c>
    </row>
    <row r="23" spans="1:4" ht="37.5" customHeight="1">
      <c r="A23" s="68"/>
      <c r="B23" s="69" t="s">
        <v>54</v>
      </c>
      <c r="C23" s="54">
        <f>+D23*3000</f>
        <v>8001000</v>
      </c>
      <c r="D23" s="14">
        <v>2667</v>
      </c>
    </row>
    <row r="24" spans="1:4" ht="17.100000000000001" customHeight="1">
      <c r="A24" s="9"/>
      <c r="B24" s="32" t="s">
        <v>38</v>
      </c>
      <c r="C24" s="12"/>
      <c r="D24" s="14"/>
    </row>
    <row r="25" spans="1:4" ht="35.1" customHeight="1">
      <c r="A25" s="9"/>
      <c r="B25" s="4" t="s">
        <v>55</v>
      </c>
      <c r="C25" s="54">
        <f t="shared" ref="C25:C61" si="0">+D25*3000</f>
        <v>158970000</v>
      </c>
      <c r="D25" s="14">
        <v>52990</v>
      </c>
    </row>
    <row r="26" spans="1:4" ht="35.1" customHeight="1">
      <c r="A26" s="4"/>
      <c r="B26" s="4" t="s">
        <v>2</v>
      </c>
      <c r="C26" s="54">
        <f t="shared" si="0"/>
        <v>24999990</v>
      </c>
      <c r="D26" s="14">
        <v>8333.33</v>
      </c>
    </row>
    <row r="27" spans="1:4" ht="35.1" customHeight="1">
      <c r="A27" s="11"/>
      <c r="B27" s="13" t="s">
        <v>56</v>
      </c>
      <c r="C27" s="54">
        <f t="shared" si="0"/>
        <v>3093000</v>
      </c>
      <c r="D27" s="14">
        <v>1031</v>
      </c>
    </row>
    <row r="28" spans="1:4" ht="35.1" customHeight="1">
      <c r="A28" s="11"/>
      <c r="B28" s="17" t="s">
        <v>57</v>
      </c>
      <c r="C28" s="54">
        <f t="shared" si="0"/>
        <v>4062000</v>
      </c>
      <c r="D28" s="14">
        <v>1354</v>
      </c>
    </row>
    <row r="29" spans="1:4" ht="35.1" customHeight="1">
      <c r="A29" s="11"/>
      <c r="B29" s="17" t="s">
        <v>58</v>
      </c>
      <c r="C29" s="54">
        <f t="shared" si="0"/>
        <v>10443000</v>
      </c>
      <c r="D29" s="14">
        <v>3481</v>
      </c>
    </row>
    <row r="30" spans="1:4" ht="17.100000000000001" customHeight="1">
      <c r="A30" s="11"/>
      <c r="B30" s="33" t="s">
        <v>7</v>
      </c>
      <c r="C30" s="54"/>
      <c r="D30" s="14"/>
    </row>
    <row r="31" spans="1:4" ht="24.95" customHeight="1">
      <c r="A31" s="11"/>
      <c r="B31" s="17" t="s">
        <v>59</v>
      </c>
      <c r="C31" s="54">
        <f t="shared" si="0"/>
        <v>26652000</v>
      </c>
      <c r="D31" s="14">
        <v>8884</v>
      </c>
    </row>
    <row r="32" spans="1:4" ht="24.95" customHeight="1">
      <c r="A32" s="11"/>
      <c r="B32" s="17" t="s">
        <v>60</v>
      </c>
      <c r="C32" s="54">
        <f t="shared" si="0"/>
        <v>16043010</v>
      </c>
      <c r="D32" s="14">
        <v>5347.67</v>
      </c>
    </row>
    <row r="33" spans="1:4" ht="24.95" customHeight="1">
      <c r="A33" s="11"/>
      <c r="B33" s="17" t="s">
        <v>61</v>
      </c>
      <c r="C33" s="54"/>
      <c r="D33" s="14">
        <v>20000</v>
      </c>
    </row>
    <row r="34" spans="1:4" ht="39.75" customHeight="1">
      <c r="A34" s="11"/>
      <c r="B34" s="13" t="s">
        <v>62</v>
      </c>
      <c r="C34" s="54">
        <f t="shared" si="0"/>
        <v>28080000</v>
      </c>
      <c r="D34" s="14">
        <v>9360</v>
      </c>
    </row>
    <row r="35" spans="1:4" ht="35.1" customHeight="1">
      <c r="A35" s="11"/>
      <c r="B35" s="4" t="s">
        <v>63</v>
      </c>
      <c r="C35" s="54">
        <f t="shared" si="0"/>
        <v>14190000</v>
      </c>
      <c r="D35" s="14">
        <v>4730</v>
      </c>
    </row>
    <row r="36" spans="1:4" ht="24.95" customHeight="1">
      <c r="A36" s="11"/>
      <c r="B36" s="4" t="s">
        <v>64</v>
      </c>
      <c r="C36" s="54">
        <f t="shared" si="0"/>
        <v>17799000</v>
      </c>
      <c r="D36" s="14">
        <v>5933</v>
      </c>
    </row>
    <row r="37" spans="1:4" ht="24.95" customHeight="1">
      <c r="A37" s="11"/>
      <c r="B37" s="4" t="s">
        <v>65</v>
      </c>
      <c r="C37" s="54">
        <f t="shared" si="0"/>
        <v>210000000</v>
      </c>
      <c r="D37" s="14">
        <v>70000</v>
      </c>
    </row>
    <row r="38" spans="1:4" ht="24.95" customHeight="1">
      <c r="A38" s="11"/>
      <c r="B38" s="16" t="s">
        <v>66</v>
      </c>
      <c r="C38" s="54">
        <f t="shared" si="0"/>
        <v>21600000</v>
      </c>
      <c r="D38" s="14">
        <v>7200</v>
      </c>
    </row>
    <row r="39" spans="1:4" ht="24.95" customHeight="1">
      <c r="A39" s="11"/>
      <c r="B39" s="16" t="s">
        <v>67</v>
      </c>
      <c r="C39" s="54">
        <f t="shared" si="0"/>
        <v>55722000</v>
      </c>
      <c r="D39" s="14">
        <v>18574</v>
      </c>
    </row>
    <row r="40" spans="1:4" ht="24.95" customHeight="1">
      <c r="A40" s="11"/>
      <c r="B40" s="16" t="s">
        <v>68</v>
      </c>
      <c r="C40" s="54">
        <f t="shared" si="0"/>
        <v>54437250</v>
      </c>
      <c r="D40" s="14">
        <v>18145.75</v>
      </c>
    </row>
    <row r="41" spans="1:4" ht="24.95" customHeight="1">
      <c r="A41" s="11"/>
      <c r="B41" s="16" t="s">
        <v>69</v>
      </c>
      <c r="C41" s="54">
        <f t="shared" si="0"/>
        <v>9120000</v>
      </c>
      <c r="D41" s="14">
        <v>3040</v>
      </c>
    </row>
    <row r="42" spans="1:4" ht="24.95" customHeight="1">
      <c r="A42" s="11"/>
      <c r="B42" s="16" t="s">
        <v>70</v>
      </c>
      <c r="C42" s="54">
        <f t="shared" si="0"/>
        <v>16251000</v>
      </c>
      <c r="D42" s="14">
        <v>5417</v>
      </c>
    </row>
    <row r="43" spans="1:4" ht="24.95" customHeight="1">
      <c r="A43" s="11"/>
      <c r="B43" s="16" t="s">
        <v>71</v>
      </c>
      <c r="C43" s="54">
        <f t="shared" si="0"/>
        <v>38099010</v>
      </c>
      <c r="D43" s="14">
        <v>12699.67</v>
      </c>
    </row>
    <row r="44" spans="1:4" ht="24.95" customHeight="1">
      <c r="A44" s="11"/>
      <c r="B44" s="16" t="s">
        <v>72</v>
      </c>
      <c r="C44" s="54">
        <f t="shared" si="0"/>
        <v>80000100</v>
      </c>
      <c r="D44" s="14">
        <v>26666.7</v>
      </c>
    </row>
    <row r="45" spans="1:4" ht="24.95" customHeight="1">
      <c r="A45" s="11"/>
      <c r="B45" s="16" t="s">
        <v>73</v>
      </c>
      <c r="C45" s="54">
        <f t="shared" si="0"/>
        <v>18000000</v>
      </c>
      <c r="D45" s="14">
        <v>6000</v>
      </c>
    </row>
    <row r="46" spans="1:4" ht="24.95" customHeight="1">
      <c r="A46" s="11"/>
      <c r="B46" s="16" t="s">
        <v>74</v>
      </c>
      <c r="C46" s="54">
        <f t="shared" si="0"/>
        <v>7500000</v>
      </c>
      <c r="D46" s="14">
        <v>2500</v>
      </c>
    </row>
    <row r="47" spans="1:4" ht="18" customHeight="1">
      <c r="A47" s="46"/>
      <c r="B47" s="24" t="s">
        <v>75</v>
      </c>
      <c r="C47" s="74"/>
      <c r="D47" s="75">
        <f>SUM(D21:D46)</f>
        <v>300354.12</v>
      </c>
    </row>
    <row r="48" spans="1:4" ht="15" customHeight="1">
      <c r="A48" s="37" t="s">
        <v>10</v>
      </c>
      <c r="B48" s="40"/>
      <c r="C48" s="50"/>
      <c r="D48" s="39"/>
    </row>
    <row r="49" spans="1:4" ht="17.100000000000001" customHeight="1">
      <c r="A49" s="11"/>
      <c r="B49" s="31" t="s">
        <v>37</v>
      </c>
      <c r="C49" s="54"/>
      <c r="D49" s="12"/>
    </row>
    <row r="50" spans="1:4" ht="44.25" customHeight="1">
      <c r="A50" s="6"/>
      <c r="B50" s="4" t="s">
        <v>78</v>
      </c>
      <c r="C50" s="54">
        <f t="shared" si="0"/>
        <v>9000000</v>
      </c>
      <c r="D50" s="14">
        <v>3000</v>
      </c>
    </row>
    <row r="51" spans="1:4" ht="35.1" customHeight="1">
      <c r="A51" s="76"/>
      <c r="B51" s="16" t="s">
        <v>79</v>
      </c>
      <c r="C51" s="54">
        <f t="shared" si="0"/>
        <v>9000000</v>
      </c>
      <c r="D51" s="14">
        <v>3000</v>
      </c>
    </row>
    <row r="52" spans="1:4" ht="52.5" customHeight="1">
      <c r="A52" s="76"/>
      <c r="B52" s="16" t="s">
        <v>80</v>
      </c>
      <c r="C52" s="54">
        <f t="shared" si="0"/>
        <v>81000000</v>
      </c>
      <c r="D52" s="14">
        <v>27000</v>
      </c>
    </row>
    <row r="53" spans="1:4" ht="47.25" customHeight="1">
      <c r="A53" s="76"/>
      <c r="B53" s="16" t="s">
        <v>81</v>
      </c>
      <c r="C53" s="54">
        <f t="shared" si="0"/>
        <v>15000000</v>
      </c>
      <c r="D53" s="14">
        <v>5000</v>
      </c>
    </row>
    <row r="54" spans="1:4" ht="43.5" customHeight="1">
      <c r="A54" s="76"/>
      <c r="B54" s="16" t="s">
        <v>82</v>
      </c>
      <c r="C54" s="54">
        <f t="shared" si="0"/>
        <v>18000000</v>
      </c>
      <c r="D54" s="14">
        <v>6000</v>
      </c>
    </row>
    <row r="55" spans="1:4" ht="57.75" customHeight="1">
      <c r="A55" s="76"/>
      <c r="B55" s="16" t="s">
        <v>83</v>
      </c>
      <c r="C55" s="54">
        <f t="shared" si="0"/>
        <v>15000000</v>
      </c>
      <c r="D55" s="14">
        <v>5000</v>
      </c>
    </row>
    <row r="56" spans="1:4" ht="47.25" customHeight="1">
      <c r="A56" s="76"/>
      <c r="B56" s="16" t="s">
        <v>84</v>
      </c>
      <c r="C56" s="54">
        <f>+D56*3000</f>
        <v>66000000</v>
      </c>
      <c r="D56" s="14">
        <v>22000</v>
      </c>
    </row>
    <row r="57" spans="1:4" ht="18" customHeight="1">
      <c r="A57" s="76"/>
      <c r="B57" s="32" t="s">
        <v>38</v>
      </c>
      <c r="C57" s="54"/>
      <c r="D57" s="14"/>
    </row>
    <row r="58" spans="1:4" ht="32.25" customHeight="1">
      <c r="A58" s="76"/>
      <c r="B58" s="16" t="s">
        <v>85</v>
      </c>
      <c r="C58" s="54">
        <f t="shared" si="0"/>
        <v>57600000</v>
      </c>
      <c r="D58" s="14">
        <v>19200</v>
      </c>
    </row>
    <row r="59" spans="1:4" ht="26.25" customHeight="1">
      <c r="A59" s="76"/>
      <c r="B59" s="16" t="s">
        <v>86</v>
      </c>
      <c r="C59" s="54">
        <f t="shared" si="0"/>
        <v>18000000</v>
      </c>
      <c r="D59" s="14">
        <v>6000</v>
      </c>
    </row>
    <row r="60" spans="1:4" ht="24" customHeight="1">
      <c r="A60" s="76"/>
      <c r="B60" s="16" t="s">
        <v>87</v>
      </c>
      <c r="C60" s="54">
        <f t="shared" si="0"/>
        <v>6000000</v>
      </c>
      <c r="D60" s="14">
        <v>2000</v>
      </c>
    </row>
    <row r="61" spans="1:4" ht="33" customHeight="1">
      <c r="A61" s="76"/>
      <c r="B61" s="16" t="s">
        <v>88</v>
      </c>
      <c r="C61" s="54">
        <f t="shared" si="0"/>
        <v>48000000</v>
      </c>
      <c r="D61" s="14">
        <v>16000</v>
      </c>
    </row>
    <row r="62" spans="1:4" ht="17.100000000000001" customHeight="1">
      <c r="A62" s="7"/>
      <c r="B62" s="32" t="s">
        <v>7</v>
      </c>
      <c r="C62" s="54"/>
      <c r="D62" s="14"/>
    </row>
    <row r="63" spans="1:4" ht="24.95" customHeight="1">
      <c r="A63" s="76"/>
      <c r="B63" s="16" t="s">
        <v>89</v>
      </c>
      <c r="C63" s="54">
        <f t="shared" ref="C63:C79" si="1">+D63*3000</f>
        <v>720000</v>
      </c>
      <c r="D63" s="14">
        <v>240</v>
      </c>
    </row>
    <row r="64" spans="1:4" ht="24.95" customHeight="1">
      <c r="A64" s="76"/>
      <c r="B64" s="16" t="s">
        <v>90</v>
      </c>
      <c r="C64" s="54">
        <f t="shared" si="1"/>
        <v>720000</v>
      </c>
      <c r="D64" s="14">
        <v>240</v>
      </c>
    </row>
    <row r="65" spans="1:4" ht="24.95" customHeight="1">
      <c r="A65" s="76"/>
      <c r="B65" s="16" t="s">
        <v>91</v>
      </c>
      <c r="C65" s="54">
        <f t="shared" si="1"/>
        <v>720000</v>
      </c>
      <c r="D65" s="14">
        <v>240</v>
      </c>
    </row>
    <row r="66" spans="1:4" ht="24.95" customHeight="1">
      <c r="A66" s="76"/>
      <c r="B66" s="16" t="s">
        <v>92</v>
      </c>
      <c r="C66" s="54">
        <f t="shared" si="1"/>
        <v>12000000</v>
      </c>
      <c r="D66" s="14">
        <v>4000</v>
      </c>
    </row>
    <row r="67" spans="1:4" ht="24.95" customHeight="1">
      <c r="A67" s="76"/>
      <c r="B67" s="16" t="s">
        <v>93</v>
      </c>
      <c r="C67" s="54">
        <f t="shared" si="1"/>
        <v>720000</v>
      </c>
      <c r="D67" s="14">
        <v>240</v>
      </c>
    </row>
    <row r="68" spans="1:4" ht="24.95" customHeight="1">
      <c r="A68" s="76"/>
      <c r="B68" s="16" t="s">
        <v>94</v>
      </c>
      <c r="C68" s="54">
        <f t="shared" si="1"/>
        <v>720000</v>
      </c>
      <c r="D68" s="14">
        <v>240</v>
      </c>
    </row>
    <row r="69" spans="1:4" ht="24.95" customHeight="1">
      <c r="A69" s="76"/>
      <c r="B69" s="16" t="s">
        <v>95</v>
      </c>
      <c r="C69" s="54">
        <f t="shared" si="1"/>
        <v>720000</v>
      </c>
      <c r="D69" s="14">
        <v>240</v>
      </c>
    </row>
    <row r="70" spans="1:4" ht="24.95" customHeight="1">
      <c r="A70" s="76"/>
      <c r="B70" s="16" t="s">
        <v>96</v>
      </c>
      <c r="C70" s="54">
        <f t="shared" si="1"/>
        <v>36000000</v>
      </c>
      <c r="D70" s="14">
        <v>12000</v>
      </c>
    </row>
    <row r="71" spans="1:4" ht="24.95" customHeight="1">
      <c r="A71" s="76"/>
      <c r="B71" s="16" t="s">
        <v>97</v>
      </c>
      <c r="C71" s="54">
        <f t="shared" si="1"/>
        <v>117600000</v>
      </c>
      <c r="D71" s="14">
        <v>39200</v>
      </c>
    </row>
    <row r="72" spans="1:4" ht="24.95" customHeight="1">
      <c r="A72" s="76"/>
      <c r="B72" s="16" t="s">
        <v>98</v>
      </c>
      <c r="C72" s="54">
        <f t="shared" si="1"/>
        <v>720000</v>
      </c>
      <c r="D72" s="14">
        <v>240</v>
      </c>
    </row>
    <row r="73" spans="1:4" ht="24.95" customHeight="1">
      <c r="A73" s="76"/>
      <c r="B73" s="16" t="s">
        <v>99</v>
      </c>
      <c r="C73" s="54">
        <f t="shared" si="1"/>
        <v>54600000</v>
      </c>
      <c r="D73" s="14">
        <v>18200</v>
      </c>
    </row>
    <row r="74" spans="1:4" ht="24.95" customHeight="1">
      <c r="A74" s="76"/>
      <c r="B74" s="16" t="s">
        <v>100</v>
      </c>
      <c r="C74" s="54">
        <f t="shared" si="1"/>
        <v>60000000</v>
      </c>
      <c r="D74" s="14">
        <v>20000</v>
      </c>
    </row>
    <row r="75" spans="1:4" ht="24.95" customHeight="1">
      <c r="A75" s="76"/>
      <c r="B75" s="16" t="s">
        <v>101</v>
      </c>
      <c r="C75" s="54">
        <f t="shared" si="1"/>
        <v>6000000</v>
      </c>
      <c r="D75" s="14">
        <v>2000</v>
      </c>
    </row>
    <row r="76" spans="1:4" ht="24.95" customHeight="1">
      <c r="A76" s="76"/>
      <c r="B76" s="16" t="s">
        <v>102</v>
      </c>
      <c r="C76" s="54">
        <f t="shared" si="1"/>
        <v>264000000</v>
      </c>
      <c r="D76" s="14">
        <v>88000</v>
      </c>
    </row>
    <row r="77" spans="1:4" ht="24.95" customHeight="1">
      <c r="A77" s="76"/>
      <c r="B77" s="16" t="s">
        <v>103</v>
      </c>
      <c r="C77" s="54">
        <f t="shared" si="1"/>
        <v>720000</v>
      </c>
      <c r="D77" s="14">
        <v>240</v>
      </c>
    </row>
    <row r="78" spans="1:4" ht="24.95" customHeight="1">
      <c r="A78" s="76"/>
      <c r="B78" s="16" t="s">
        <v>104</v>
      </c>
      <c r="C78" s="54">
        <f t="shared" si="1"/>
        <v>720000</v>
      </c>
      <c r="D78" s="14">
        <v>240</v>
      </c>
    </row>
    <row r="79" spans="1:4" ht="24.95" customHeight="1">
      <c r="A79" s="76"/>
      <c r="B79" s="16" t="s">
        <v>105</v>
      </c>
      <c r="C79" s="54">
        <f t="shared" si="1"/>
        <v>720000</v>
      </c>
      <c r="D79" s="14">
        <v>240</v>
      </c>
    </row>
    <row r="80" spans="1:4" ht="24.95" customHeight="1">
      <c r="A80" s="46"/>
      <c r="B80" s="24" t="s">
        <v>76</v>
      </c>
      <c r="C80" s="74"/>
      <c r="D80" s="75">
        <f>SUM(D50:D79)</f>
        <v>300000</v>
      </c>
    </row>
    <row r="81" spans="1:4" ht="15" customHeight="1">
      <c r="A81" s="37" t="s">
        <v>11</v>
      </c>
      <c r="B81" s="109"/>
      <c r="C81" s="110"/>
      <c r="D81" s="111"/>
    </row>
    <row r="82" spans="1:4" ht="17.100000000000001" customHeight="1">
      <c r="A82" s="7"/>
      <c r="B82" s="32" t="s">
        <v>38</v>
      </c>
      <c r="C82" s="54"/>
      <c r="D82" s="3"/>
    </row>
    <row r="83" spans="1:4" ht="17.100000000000001" customHeight="1">
      <c r="A83" s="76"/>
      <c r="B83" s="4" t="s">
        <v>3</v>
      </c>
      <c r="C83" s="54">
        <f>+D83*3000</f>
        <v>17001000</v>
      </c>
      <c r="D83" s="14">
        <v>5667</v>
      </c>
    </row>
    <row r="84" spans="1:4" ht="17.100000000000001" customHeight="1">
      <c r="A84" s="76"/>
      <c r="B84" s="4" t="s">
        <v>107</v>
      </c>
      <c r="C84" s="54">
        <f>+D84*3000</f>
        <v>134886000</v>
      </c>
      <c r="D84" s="14">
        <v>44962</v>
      </c>
    </row>
    <row r="85" spans="1:4" ht="17.100000000000001" customHeight="1">
      <c r="A85" s="76"/>
      <c r="B85" s="4" t="s">
        <v>108</v>
      </c>
      <c r="C85" s="54">
        <f>+D85*3000</f>
        <v>1050000</v>
      </c>
      <c r="D85" s="14">
        <v>350</v>
      </c>
    </row>
    <row r="86" spans="1:4" ht="17.100000000000001" customHeight="1">
      <c r="A86" s="76"/>
      <c r="B86" s="4" t="s">
        <v>109</v>
      </c>
      <c r="C86" s="54">
        <f>+D86*3000</f>
        <v>5250000</v>
      </c>
      <c r="D86" s="14">
        <v>1750</v>
      </c>
    </row>
    <row r="87" spans="1:4" ht="17.100000000000001" customHeight="1">
      <c r="A87" s="76"/>
      <c r="B87" s="4" t="s">
        <v>110</v>
      </c>
      <c r="C87" s="54">
        <f>+D87*3000</f>
        <v>1830000</v>
      </c>
      <c r="D87" s="14">
        <v>610</v>
      </c>
    </row>
    <row r="88" spans="1:4" ht="17.100000000000001" customHeight="1">
      <c r="A88" s="76"/>
      <c r="B88" s="33" t="s">
        <v>7</v>
      </c>
      <c r="C88" s="54"/>
      <c r="D88" s="14"/>
    </row>
    <row r="89" spans="1:4" ht="17.100000000000001" customHeight="1">
      <c r="A89" s="76"/>
      <c r="B89" s="16" t="s">
        <v>193</v>
      </c>
      <c r="C89" s="54">
        <f>+D89*3000</f>
        <v>92133000</v>
      </c>
      <c r="D89" s="14">
        <v>30711</v>
      </c>
    </row>
    <row r="90" spans="1:4" ht="17.100000000000001" customHeight="1">
      <c r="A90" s="76"/>
      <c r="B90" s="16" t="s">
        <v>194</v>
      </c>
      <c r="C90" s="54">
        <f>+D90*3000</f>
        <v>13134000</v>
      </c>
      <c r="D90" s="14">
        <v>4378</v>
      </c>
    </row>
    <row r="91" spans="1:4" ht="18" customHeight="1">
      <c r="A91" s="46"/>
      <c r="B91" s="24" t="s">
        <v>77</v>
      </c>
      <c r="C91" s="74"/>
      <c r="D91" s="75">
        <f>SUM(D83:D90)</f>
        <v>88428</v>
      </c>
    </row>
    <row r="92" spans="1:4" ht="20.100000000000001" customHeight="1">
      <c r="A92" s="23"/>
      <c r="B92" s="19" t="s">
        <v>12</v>
      </c>
      <c r="C92" s="20">
        <f>SUM(C21:C87)</f>
        <v>1901079360</v>
      </c>
      <c r="D92" s="20">
        <f>D91+D80+D47</f>
        <v>688782.12</v>
      </c>
    </row>
    <row r="93" spans="1:4" ht="20.100000000000001" customHeight="1">
      <c r="A93" s="3379" t="s">
        <v>4</v>
      </c>
      <c r="B93" s="3380"/>
      <c r="C93" s="3380"/>
      <c r="D93" s="3381"/>
    </row>
    <row r="94" spans="1:4" ht="15" customHeight="1">
      <c r="A94" s="37" t="s">
        <v>13</v>
      </c>
      <c r="B94" s="41"/>
      <c r="C94" s="51"/>
      <c r="D94" s="42"/>
    </row>
    <row r="95" spans="1:4" ht="17.100000000000001" customHeight="1">
      <c r="A95" s="8"/>
      <c r="B95" s="31" t="s">
        <v>37</v>
      </c>
      <c r="C95" s="54"/>
      <c r="D95" s="3"/>
    </row>
    <row r="96" spans="1:4" ht="30" customHeight="1">
      <c r="A96" s="8"/>
      <c r="B96" s="4" t="s">
        <v>111</v>
      </c>
      <c r="C96" s="54">
        <f>+D96*3000</f>
        <v>31929000</v>
      </c>
      <c r="D96" s="14">
        <v>10643</v>
      </c>
    </row>
    <row r="97" spans="1:4" ht="17.100000000000001" customHeight="1">
      <c r="A97" s="8"/>
      <c r="B97" s="32" t="s">
        <v>38</v>
      </c>
      <c r="C97" s="54"/>
      <c r="D97" s="3"/>
    </row>
    <row r="98" spans="1:4" ht="35.1" customHeight="1">
      <c r="A98" s="8"/>
      <c r="B98" s="4" t="s">
        <v>112</v>
      </c>
      <c r="C98" s="54">
        <f>+D98*3000</f>
        <v>10040010</v>
      </c>
      <c r="D98" s="14">
        <v>3346.67</v>
      </c>
    </row>
    <row r="99" spans="1:4" ht="17.100000000000001" customHeight="1">
      <c r="A99" s="8"/>
      <c r="B99" s="33" t="s">
        <v>7</v>
      </c>
      <c r="C99" s="54"/>
      <c r="D99" s="12"/>
    </row>
    <row r="100" spans="1:4" ht="24.95" customHeight="1">
      <c r="A100" s="77"/>
      <c r="B100" s="4" t="s">
        <v>113</v>
      </c>
      <c r="C100" s="54"/>
      <c r="D100" s="14">
        <v>5558.33</v>
      </c>
    </row>
    <row r="101" spans="1:4" ht="24.95" customHeight="1">
      <c r="A101" s="77"/>
      <c r="B101" s="4" t="s">
        <v>114</v>
      </c>
      <c r="C101" s="54"/>
      <c r="D101" s="14">
        <v>3241.33</v>
      </c>
    </row>
    <row r="102" spans="1:4" ht="24.95" customHeight="1">
      <c r="A102" s="77"/>
      <c r="B102" s="4" t="s">
        <v>115</v>
      </c>
      <c r="C102" s="54"/>
      <c r="D102" s="14">
        <v>4354.95</v>
      </c>
    </row>
    <row r="103" spans="1:4" ht="24.95" customHeight="1">
      <c r="A103" s="77"/>
      <c r="B103" s="4" t="s">
        <v>116</v>
      </c>
      <c r="C103" s="54"/>
      <c r="D103" s="14">
        <f>4965.61-D98</f>
        <v>1618.9399999999996</v>
      </c>
    </row>
    <row r="104" spans="1:4" ht="24.95" customHeight="1">
      <c r="A104" s="77"/>
      <c r="B104" s="4" t="s">
        <v>117</v>
      </c>
      <c r="C104" s="54"/>
      <c r="D104" s="14">
        <v>476.85333333333335</v>
      </c>
    </row>
    <row r="105" spans="1:4" ht="20.25" customHeight="1">
      <c r="A105" s="46"/>
      <c r="B105" s="24" t="s">
        <v>118</v>
      </c>
      <c r="C105" s="74"/>
      <c r="D105" s="75">
        <f>SUM(D96:D104)</f>
        <v>29240.073333333334</v>
      </c>
    </row>
    <row r="106" spans="1:4" ht="15" customHeight="1">
      <c r="A106" s="37" t="s">
        <v>14</v>
      </c>
      <c r="B106" s="40"/>
      <c r="C106" s="50"/>
      <c r="D106" s="39"/>
    </row>
    <row r="107" spans="1:4" ht="17.100000000000001" customHeight="1">
      <c r="A107" s="8"/>
      <c r="B107" s="31" t="s">
        <v>37</v>
      </c>
      <c r="C107" s="54"/>
      <c r="D107" s="3"/>
    </row>
    <row r="108" spans="1:4" ht="35.1" customHeight="1">
      <c r="A108" s="8"/>
      <c r="B108" s="4" t="s">
        <v>15</v>
      </c>
      <c r="C108" s="54">
        <f>+D108*3000</f>
        <v>45000000</v>
      </c>
      <c r="D108" s="14">
        <v>15000</v>
      </c>
    </row>
    <row r="109" spans="1:4" ht="35.1" customHeight="1">
      <c r="A109" s="8"/>
      <c r="B109" s="4" t="s">
        <v>16</v>
      </c>
      <c r="C109" s="54">
        <f>+D109*3000</f>
        <v>45000000</v>
      </c>
      <c r="D109" s="14">
        <v>15000</v>
      </c>
    </row>
    <row r="110" spans="1:4" ht="17.100000000000001" customHeight="1">
      <c r="A110" s="8"/>
      <c r="B110" s="32" t="s">
        <v>38</v>
      </c>
      <c r="C110" s="54"/>
      <c r="D110" s="3"/>
    </row>
    <row r="111" spans="1:4" ht="38.25" customHeight="1">
      <c r="A111" s="8"/>
      <c r="B111" s="4" t="s">
        <v>119</v>
      </c>
      <c r="C111" s="54">
        <f>+D111*3000</f>
        <v>5001000</v>
      </c>
      <c r="D111" s="14">
        <v>1667</v>
      </c>
    </row>
    <row r="112" spans="1:4" ht="43.5" customHeight="1">
      <c r="A112" s="8"/>
      <c r="B112" s="4" t="s">
        <v>120</v>
      </c>
      <c r="C112" s="54">
        <f>+D112*3000</f>
        <v>111096000</v>
      </c>
      <c r="D112" s="14">
        <v>37032</v>
      </c>
    </row>
    <row r="113" spans="1:4" ht="17.100000000000001" customHeight="1">
      <c r="A113" s="8"/>
      <c r="B113" s="33" t="s">
        <v>7</v>
      </c>
      <c r="C113" s="54"/>
      <c r="D113" s="12"/>
    </row>
    <row r="114" spans="1:4" ht="35.1" customHeight="1">
      <c r="A114" s="8"/>
      <c r="B114" s="13" t="s">
        <v>17</v>
      </c>
      <c r="C114" s="54">
        <f>+D114*3000</f>
        <v>93903000</v>
      </c>
      <c r="D114" s="12">
        <v>31301</v>
      </c>
    </row>
    <row r="115" spans="1:4" ht="24.95" customHeight="1">
      <c r="A115" s="46"/>
      <c r="B115" s="24" t="s">
        <v>121</v>
      </c>
      <c r="C115" s="74"/>
      <c r="D115" s="75">
        <f>SUM(D107:D114)</f>
        <v>100000</v>
      </c>
    </row>
    <row r="116" spans="1:4" ht="20.100000000000001" customHeight="1">
      <c r="A116" s="30"/>
      <c r="B116" s="21" t="s">
        <v>19</v>
      </c>
      <c r="C116" s="22">
        <f>SUM(C95:C114)</f>
        <v>341969010</v>
      </c>
      <c r="D116" s="22">
        <f>+D115+D105</f>
        <v>129240.07333333333</v>
      </c>
    </row>
    <row r="117" spans="1:4" ht="20.100000000000001" customHeight="1">
      <c r="A117" s="3376" t="s">
        <v>18</v>
      </c>
      <c r="B117" s="3377"/>
      <c r="C117" s="3377"/>
      <c r="D117" s="3378"/>
    </row>
    <row r="118" spans="1:4" ht="15" customHeight="1">
      <c r="A118" s="43"/>
      <c r="B118" s="44" t="s">
        <v>20</v>
      </c>
      <c r="C118" s="44"/>
      <c r="D118" s="45"/>
    </row>
    <row r="119" spans="1:4" ht="17.100000000000001" customHeight="1">
      <c r="A119" s="13"/>
      <c r="B119" s="31" t="s">
        <v>37</v>
      </c>
      <c r="C119" s="54"/>
      <c r="D119" s="3"/>
    </row>
    <row r="120" spans="1:4" ht="29.25" customHeight="1">
      <c r="A120" s="13"/>
      <c r="B120" s="4" t="s">
        <v>21</v>
      </c>
      <c r="C120" s="54">
        <f t="shared" ref="C120:C129" si="2">+D120*3000</f>
        <v>52200000</v>
      </c>
      <c r="D120" s="14">
        <v>17400</v>
      </c>
    </row>
    <row r="121" spans="1:4" ht="24.95" customHeight="1">
      <c r="A121" s="13"/>
      <c r="B121" s="4" t="s">
        <v>22</v>
      </c>
      <c r="C121" s="54">
        <f t="shared" si="2"/>
        <v>26100000</v>
      </c>
      <c r="D121" s="14">
        <v>8700</v>
      </c>
    </row>
    <row r="122" spans="1:4" ht="24.95" customHeight="1">
      <c r="A122" s="13"/>
      <c r="B122" s="4" t="s">
        <v>42</v>
      </c>
      <c r="C122" s="54">
        <f t="shared" si="2"/>
        <v>4500000</v>
      </c>
      <c r="D122" s="14">
        <v>1500</v>
      </c>
    </row>
    <row r="123" spans="1:4" ht="24.95" customHeight="1">
      <c r="A123" s="13"/>
      <c r="B123" s="4" t="s">
        <v>23</v>
      </c>
      <c r="C123" s="54">
        <f t="shared" si="2"/>
        <v>18000000</v>
      </c>
      <c r="D123" s="14">
        <v>6000</v>
      </c>
    </row>
    <row r="124" spans="1:4" ht="17.100000000000001" customHeight="1">
      <c r="A124" s="13"/>
      <c r="B124" s="32" t="s">
        <v>38</v>
      </c>
      <c r="C124" s="54"/>
      <c r="D124" s="3"/>
    </row>
    <row r="125" spans="1:4" ht="24.95" customHeight="1">
      <c r="A125" s="13"/>
      <c r="B125" s="4" t="s">
        <v>5</v>
      </c>
      <c r="C125" s="54">
        <f t="shared" si="2"/>
        <v>104226000</v>
      </c>
      <c r="D125" s="14">
        <v>34742</v>
      </c>
    </row>
    <row r="126" spans="1:4" ht="17.100000000000001" customHeight="1">
      <c r="A126" s="13"/>
      <c r="B126" s="33" t="s">
        <v>7</v>
      </c>
      <c r="C126" s="54"/>
      <c r="D126" s="12"/>
    </row>
    <row r="127" spans="1:4" ht="24.95" customHeight="1">
      <c r="A127" s="17"/>
      <c r="B127" s="17" t="s">
        <v>133</v>
      </c>
      <c r="C127" s="54">
        <f t="shared" si="2"/>
        <v>172238118.75</v>
      </c>
      <c r="D127" s="14">
        <f>72980.70625-15568</f>
        <v>57412.706250000003</v>
      </c>
    </row>
    <row r="128" spans="1:4" ht="35.1" customHeight="1">
      <c r="A128" s="17"/>
      <c r="B128" s="17" t="s">
        <v>184</v>
      </c>
      <c r="C128" s="54">
        <f t="shared" si="2"/>
        <v>9603000</v>
      </c>
      <c r="D128" s="14">
        <v>3201</v>
      </c>
    </row>
    <row r="129" spans="1:7" ht="35.1" customHeight="1">
      <c r="A129" s="13"/>
      <c r="B129" s="13" t="s">
        <v>185</v>
      </c>
      <c r="C129" s="54">
        <f t="shared" si="2"/>
        <v>682005000</v>
      </c>
      <c r="D129" s="14">
        <v>227335</v>
      </c>
    </row>
    <row r="130" spans="1:7" ht="24.95" customHeight="1">
      <c r="A130" s="46"/>
      <c r="B130" s="24" t="s">
        <v>126</v>
      </c>
      <c r="C130" s="74"/>
      <c r="D130" s="75">
        <f>SUM(D120:D129)</f>
        <v>356290.70624999999</v>
      </c>
    </row>
    <row r="131" spans="1:7" ht="15" customHeight="1">
      <c r="A131" s="46"/>
      <c r="B131" s="47" t="s">
        <v>25</v>
      </c>
      <c r="C131" s="52"/>
      <c r="D131" s="48"/>
    </row>
    <row r="132" spans="1:7" ht="17.100000000000001" customHeight="1">
      <c r="A132" s="17"/>
      <c r="B132" s="78" t="s">
        <v>37</v>
      </c>
      <c r="C132" s="54"/>
      <c r="D132" s="73"/>
    </row>
    <row r="133" spans="1:7" ht="35.1" customHeight="1">
      <c r="A133" s="13"/>
      <c r="B133" s="13" t="s">
        <v>122</v>
      </c>
      <c r="C133" s="79">
        <f t="shared" ref="C133:C140" si="3">+D133*3000</f>
        <v>15660000</v>
      </c>
      <c r="D133" s="14">
        <v>5220</v>
      </c>
    </row>
    <row r="134" spans="1:7" ht="37.5" customHeight="1">
      <c r="A134" s="13"/>
      <c r="B134" s="13" t="s">
        <v>123</v>
      </c>
      <c r="C134" s="79">
        <f t="shared" si="3"/>
        <v>28710000</v>
      </c>
      <c r="D134" s="14">
        <v>9570</v>
      </c>
    </row>
    <row r="135" spans="1:7" ht="54.75" customHeight="1">
      <c r="A135" s="13"/>
      <c r="B135" s="13" t="s">
        <v>6</v>
      </c>
      <c r="C135" s="79">
        <f t="shared" si="3"/>
        <v>9789000</v>
      </c>
      <c r="D135" s="14">
        <v>3263</v>
      </c>
    </row>
    <row r="136" spans="1:7" ht="23.25" customHeight="1">
      <c r="A136" s="13"/>
      <c r="B136" s="32" t="s">
        <v>38</v>
      </c>
      <c r="C136" s="79"/>
      <c r="D136" s="14"/>
    </row>
    <row r="137" spans="1:7" ht="27" customHeight="1">
      <c r="A137" s="13"/>
      <c r="B137" s="13" t="s">
        <v>124</v>
      </c>
      <c r="C137" s="79">
        <f t="shared" si="3"/>
        <v>3030000</v>
      </c>
      <c r="D137" s="14">
        <v>1010</v>
      </c>
    </row>
    <row r="138" spans="1:7" ht="30.75" customHeight="1">
      <c r="A138" s="13"/>
      <c r="B138" s="13" t="s">
        <v>188</v>
      </c>
      <c r="C138" s="79">
        <f t="shared" si="3"/>
        <v>500000</v>
      </c>
      <c r="D138" s="14">
        <f>(100*5)/3</f>
        <v>166.66666666666666</v>
      </c>
    </row>
    <row r="139" spans="1:7" ht="31.5" customHeight="1">
      <c r="A139" s="13"/>
      <c r="B139" s="13" t="s">
        <v>189</v>
      </c>
      <c r="C139" s="79">
        <f t="shared" si="3"/>
        <v>35000000</v>
      </c>
      <c r="D139" s="14">
        <v>11666.666666666666</v>
      </c>
    </row>
    <row r="140" spans="1:7" ht="31.5" customHeight="1">
      <c r="A140" s="13"/>
      <c r="B140" s="13" t="s">
        <v>125</v>
      </c>
      <c r="C140" s="79">
        <f t="shared" si="3"/>
        <v>169650000</v>
      </c>
      <c r="D140" s="14">
        <v>56550</v>
      </c>
      <c r="G140" s="98"/>
    </row>
    <row r="141" spans="1:7" ht="32.25" customHeight="1">
      <c r="A141" s="17"/>
      <c r="B141" s="33" t="s">
        <v>7</v>
      </c>
      <c r="C141" s="79"/>
      <c r="D141" s="14"/>
      <c r="G141" s="98"/>
    </row>
    <row r="142" spans="1:7" ht="24.95" customHeight="1">
      <c r="A142" s="17"/>
      <c r="B142" s="17" t="s">
        <v>190</v>
      </c>
      <c r="C142" s="54"/>
      <c r="D142" s="14">
        <v>260727</v>
      </c>
      <c r="G142" s="98"/>
    </row>
    <row r="143" spans="1:7" ht="17.25" customHeight="1">
      <c r="A143" s="46"/>
      <c r="B143" s="24" t="s">
        <v>142</v>
      </c>
      <c r="C143" s="74"/>
      <c r="D143" s="75">
        <f>SUM(D133:D142)</f>
        <v>348173.33333333337</v>
      </c>
      <c r="G143" s="98"/>
    </row>
    <row r="144" spans="1:7" ht="15" customHeight="1">
      <c r="A144" s="46"/>
      <c r="B144" s="47" t="s">
        <v>26</v>
      </c>
      <c r="C144" s="52"/>
      <c r="D144" s="48"/>
    </row>
    <row r="145" spans="1:7" ht="20.100000000000001" customHeight="1">
      <c r="A145" s="13"/>
      <c r="B145" s="31" t="s">
        <v>37</v>
      </c>
      <c r="C145" s="79"/>
      <c r="D145" s="12"/>
    </row>
    <row r="146" spans="1:7" ht="43.5" customHeight="1">
      <c r="A146" s="13"/>
      <c r="B146" s="5" t="s">
        <v>127</v>
      </c>
      <c r="C146" s="79">
        <f>+D146*3000</f>
        <v>36000000</v>
      </c>
      <c r="D146" s="14">
        <v>12000</v>
      </c>
    </row>
    <row r="147" spans="1:7" ht="20.100000000000001" customHeight="1">
      <c r="A147" s="13"/>
      <c r="B147" s="32" t="s">
        <v>38</v>
      </c>
      <c r="C147" s="79"/>
      <c r="D147" s="14"/>
    </row>
    <row r="148" spans="1:7" ht="33.75" customHeight="1">
      <c r="A148" s="13"/>
      <c r="B148" s="5" t="s">
        <v>128</v>
      </c>
      <c r="C148" s="79">
        <f>+D148*3000</f>
        <v>33000000</v>
      </c>
      <c r="D148" s="14">
        <v>11000</v>
      </c>
    </row>
    <row r="149" spans="1:7" ht="38.25" customHeight="1">
      <c r="A149" s="13"/>
      <c r="B149" s="5" t="s">
        <v>129</v>
      </c>
      <c r="C149" s="79">
        <f>+D149*3000</f>
        <v>52500000</v>
      </c>
      <c r="D149" s="14">
        <v>17500</v>
      </c>
    </row>
    <row r="150" spans="1:7" ht="37.5" customHeight="1">
      <c r="A150" s="13"/>
      <c r="B150" s="5" t="s">
        <v>130</v>
      </c>
      <c r="C150" s="79">
        <f>+D150*3000</f>
        <v>36000000</v>
      </c>
      <c r="D150" s="14">
        <v>12000</v>
      </c>
    </row>
    <row r="151" spans="1:7" ht="46.5" customHeight="1">
      <c r="A151" s="13"/>
      <c r="B151" s="5" t="s">
        <v>131</v>
      </c>
      <c r="C151" s="79">
        <f>+D151*3000</f>
        <v>3000000</v>
      </c>
      <c r="D151" s="14">
        <v>1000</v>
      </c>
    </row>
    <row r="152" spans="1:7" ht="20.100000000000001" customHeight="1">
      <c r="A152" s="81"/>
      <c r="B152" s="33" t="s">
        <v>7</v>
      </c>
      <c r="C152" s="82"/>
      <c r="D152" s="14"/>
    </row>
    <row r="153" spans="1:7" ht="42.75" customHeight="1">
      <c r="A153" s="81"/>
      <c r="B153" s="5" t="s">
        <v>201</v>
      </c>
      <c r="C153" s="79"/>
      <c r="D153" s="14">
        <v>55345.33</v>
      </c>
    </row>
    <row r="154" spans="1:7" ht="20.100000000000001" customHeight="1">
      <c r="A154" s="80"/>
      <c r="B154" s="24" t="s">
        <v>132</v>
      </c>
      <c r="C154" s="47"/>
      <c r="D154" s="93">
        <f>SUM(D146:D153)</f>
        <v>108845.33</v>
      </c>
    </row>
    <row r="155" spans="1:7" ht="15" customHeight="1">
      <c r="A155" s="80"/>
      <c r="B155" s="99" t="s">
        <v>192</v>
      </c>
      <c r="C155" s="47"/>
      <c r="D155" s="93"/>
      <c r="G155" s="72"/>
    </row>
    <row r="156" spans="1:7" ht="20.100000000000001" customHeight="1">
      <c r="A156" s="81"/>
      <c r="B156" s="31" t="s">
        <v>37</v>
      </c>
      <c r="C156" s="82"/>
      <c r="D156" s="84"/>
    </row>
    <row r="157" spans="1:7" ht="33.75" customHeight="1">
      <c r="A157" s="81"/>
      <c r="B157" s="5" t="s">
        <v>134</v>
      </c>
      <c r="C157" s="79">
        <f>+D157*3000</f>
        <v>101250000</v>
      </c>
      <c r="D157" s="14">
        <v>33750</v>
      </c>
    </row>
    <row r="158" spans="1:7" ht="48.75" customHeight="1">
      <c r="A158" s="81"/>
      <c r="B158" s="5" t="s">
        <v>135</v>
      </c>
      <c r="C158" s="79">
        <f>+D158*3000</f>
        <v>54000000</v>
      </c>
      <c r="D158" s="14">
        <v>18000</v>
      </c>
    </row>
    <row r="159" spans="1:7" ht="20.100000000000001" customHeight="1">
      <c r="A159" s="81"/>
      <c r="B159" s="32" t="s">
        <v>38</v>
      </c>
      <c r="C159" s="82"/>
      <c r="D159" s="14"/>
    </row>
    <row r="160" spans="1:7" ht="20.100000000000001" customHeight="1">
      <c r="A160" s="81"/>
      <c r="B160" s="85" t="s">
        <v>136</v>
      </c>
      <c r="C160" s="79">
        <f t="shared" ref="C160:C166" si="4">+D160*3000</f>
        <v>14001000</v>
      </c>
      <c r="D160" s="14">
        <v>4667</v>
      </c>
    </row>
    <row r="161" spans="1:4" ht="20.100000000000001" customHeight="1">
      <c r="A161" s="81"/>
      <c r="B161" s="85" t="s">
        <v>137</v>
      </c>
      <c r="C161" s="79">
        <f t="shared" si="4"/>
        <v>4389000</v>
      </c>
      <c r="D161" s="14">
        <v>1463</v>
      </c>
    </row>
    <row r="162" spans="1:4" ht="20.100000000000001" customHeight="1">
      <c r="A162" s="81"/>
      <c r="B162" s="85" t="s">
        <v>138</v>
      </c>
      <c r="C162" s="79">
        <f t="shared" si="4"/>
        <v>4002000</v>
      </c>
      <c r="D162" s="14">
        <v>1334</v>
      </c>
    </row>
    <row r="163" spans="1:4" ht="20.100000000000001" customHeight="1">
      <c r="A163" s="13"/>
      <c r="B163" s="13" t="s">
        <v>139</v>
      </c>
      <c r="C163" s="79">
        <f t="shared" si="4"/>
        <v>5001000</v>
      </c>
      <c r="D163" s="14">
        <v>1667</v>
      </c>
    </row>
    <row r="164" spans="1:4" ht="20.100000000000001" customHeight="1">
      <c r="A164" s="13"/>
      <c r="B164" s="33" t="s">
        <v>7</v>
      </c>
      <c r="C164" s="79"/>
      <c r="D164" s="14"/>
    </row>
    <row r="165" spans="1:4" ht="43.5" customHeight="1">
      <c r="A165" s="13"/>
      <c r="B165" s="5" t="s">
        <v>140</v>
      </c>
      <c r="C165" s="79">
        <f t="shared" si="4"/>
        <v>59199000</v>
      </c>
      <c r="D165" s="14">
        <v>19733</v>
      </c>
    </row>
    <row r="166" spans="1:4" ht="46.5" customHeight="1">
      <c r="A166" s="13"/>
      <c r="B166" s="5" t="s">
        <v>141</v>
      </c>
      <c r="C166" s="79">
        <f t="shared" si="4"/>
        <v>147400980</v>
      </c>
      <c r="D166" s="14">
        <f>15786.66+33347</f>
        <v>49133.66</v>
      </c>
    </row>
    <row r="167" spans="1:4" ht="16.5" customHeight="1">
      <c r="A167" s="80"/>
      <c r="B167" s="83" t="s">
        <v>191</v>
      </c>
      <c r="C167" s="47"/>
      <c r="D167" s="93">
        <f>SUM(D156:D166)</f>
        <v>129747.66</v>
      </c>
    </row>
    <row r="168" spans="1:4" ht="15" customHeight="1">
      <c r="A168" s="50"/>
      <c r="B168" s="52" t="s">
        <v>198</v>
      </c>
      <c r="C168" s="52"/>
      <c r="D168" s="48"/>
    </row>
    <row r="169" spans="1:4" ht="27" customHeight="1">
      <c r="A169" s="17"/>
      <c r="B169" s="16" t="s">
        <v>186</v>
      </c>
      <c r="C169" s="54">
        <f>+D169*3000</f>
        <v>48000000</v>
      </c>
      <c r="D169" s="66">
        <v>16000</v>
      </c>
    </row>
    <row r="170" spans="1:4" ht="27" customHeight="1">
      <c r="A170" s="17"/>
      <c r="B170" s="16" t="s">
        <v>44</v>
      </c>
      <c r="C170" s="54">
        <f>+D170*3000</f>
        <v>276180000</v>
      </c>
      <c r="D170" s="66">
        <v>92060</v>
      </c>
    </row>
    <row r="171" spans="1:4" ht="27" customHeight="1">
      <c r="A171" s="17"/>
      <c r="B171" s="17" t="s">
        <v>43</v>
      </c>
      <c r="C171" s="54">
        <f>+D171*3000</f>
        <v>32001000</v>
      </c>
      <c r="D171" s="15">
        <v>10667</v>
      </c>
    </row>
    <row r="172" spans="1:4" ht="27" customHeight="1">
      <c r="A172" s="17"/>
      <c r="B172" s="16" t="s">
        <v>46</v>
      </c>
      <c r="C172" s="54">
        <f>+D172*3000</f>
        <v>1044000000</v>
      </c>
      <c r="D172" s="15">
        <v>348000</v>
      </c>
    </row>
    <row r="173" spans="1:4" ht="19.5" customHeight="1">
      <c r="A173" s="80"/>
      <c r="B173" s="83" t="s">
        <v>197</v>
      </c>
      <c r="C173" s="47"/>
      <c r="D173" s="93">
        <f>SUM(D169:D172)</f>
        <v>466727</v>
      </c>
    </row>
    <row r="174" spans="1:4" ht="19.5" customHeight="1">
      <c r="A174" s="17"/>
      <c r="B174" s="95" t="s">
        <v>199</v>
      </c>
      <c r="C174" s="54">
        <f>+D174*3000</f>
        <v>968082000</v>
      </c>
      <c r="D174" s="15">
        <v>322694</v>
      </c>
    </row>
    <row r="175" spans="1:4" ht="19.5" customHeight="1">
      <c r="A175" s="17"/>
      <c r="B175" s="83" t="s">
        <v>195</v>
      </c>
      <c r="C175" s="52"/>
      <c r="D175" s="94">
        <f>+D174</f>
        <v>322694</v>
      </c>
    </row>
    <row r="176" spans="1:4" ht="20.100000000000001" customHeight="1">
      <c r="A176" s="27"/>
      <c r="B176" s="26" t="s">
        <v>196</v>
      </c>
      <c r="C176" s="28">
        <f>SUM(C118:C167)</f>
        <v>1880954098.75</v>
      </c>
      <c r="D176" s="28">
        <f>D175+D173+D167+D154+D143+D130</f>
        <v>1732478.0295833333</v>
      </c>
    </row>
    <row r="177" spans="1:7" ht="31.5" customHeight="1">
      <c r="A177" s="24"/>
      <c r="B177" s="24" t="s">
        <v>27</v>
      </c>
      <c r="C177" s="25">
        <f>D177*3000</f>
        <v>9000000668.75</v>
      </c>
      <c r="D177" s="25">
        <f>D176+D116+D92+D17</f>
        <v>3000000.2229166664</v>
      </c>
      <c r="G177" s="107"/>
    </row>
    <row r="178" spans="1:7" ht="35.1" customHeight="1">
      <c r="F178" s="108"/>
      <c r="G178" s="107"/>
    </row>
  </sheetData>
  <mergeCells count="6">
    <mergeCell ref="A117:D117"/>
    <mergeCell ref="A93:D93"/>
    <mergeCell ref="A1:D1"/>
    <mergeCell ref="A4:D4"/>
    <mergeCell ref="A18:D18"/>
    <mergeCell ref="A3:B3"/>
  </mergeCells>
  <pageMargins left="0.70866141732283472" right="0.70866141732283472" top="0.74803149606299213" bottom="0.74803149606299213" header="0.31496062992125984" footer="0.31496062992125984"/>
  <pageSetup paperSize="9" scale="79" orientation="portrait" r:id="rId1"/>
  <rowBreaks count="3" manualBreakCount="3">
    <brk id="17" max="16383" man="1"/>
    <brk id="105" max="16383" man="1"/>
    <brk id="136"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H22"/>
  <sheetViews>
    <sheetView zoomScaleNormal="100" workbookViewId="0">
      <selection activeCell="G12" sqref="G12"/>
    </sheetView>
  </sheetViews>
  <sheetFormatPr baseColWidth="10" defaultColWidth="11.42578125" defaultRowHeight="35.1" customHeight="1"/>
  <cols>
    <col min="1" max="1" width="23.5703125" customWidth="1"/>
    <col min="2" max="2" width="22.28515625" customWidth="1"/>
    <col min="3" max="3" width="20.7109375" customWidth="1"/>
    <col min="4" max="4" width="7.7109375" customWidth="1"/>
    <col min="5" max="5" width="20.7109375" customWidth="1"/>
    <col min="6" max="6" width="7.7109375" customWidth="1"/>
    <col min="7" max="7" width="20.7109375" customWidth="1"/>
    <col min="8" max="8" width="7.7109375" customWidth="1"/>
  </cols>
  <sheetData>
    <row r="1" spans="1:8" ht="35.1" customHeight="1">
      <c r="A1" s="3391" t="s">
        <v>32</v>
      </c>
      <c r="B1" s="3391"/>
      <c r="C1" s="3391"/>
      <c r="D1" s="3391"/>
      <c r="E1" s="3391"/>
      <c r="F1" s="3391"/>
      <c r="G1" s="3391"/>
      <c r="H1" s="3391"/>
    </row>
    <row r="3" spans="1:8" ht="35.1" customHeight="1">
      <c r="A3" s="56"/>
      <c r="B3" s="3389" t="s">
        <v>45</v>
      </c>
      <c r="C3" s="3385" t="s">
        <v>37</v>
      </c>
      <c r="D3" s="3386"/>
      <c r="E3" s="3387" t="s">
        <v>38</v>
      </c>
      <c r="F3" s="3388"/>
      <c r="G3" s="3385" t="s">
        <v>7</v>
      </c>
      <c r="H3" s="3386"/>
    </row>
    <row r="4" spans="1:8" ht="35.1" customHeight="1">
      <c r="A4" s="56"/>
      <c r="B4" s="3390"/>
      <c r="C4" s="55" t="s">
        <v>40</v>
      </c>
      <c r="D4" s="58" t="s">
        <v>39</v>
      </c>
      <c r="E4" s="55" t="s">
        <v>40</v>
      </c>
      <c r="F4" s="58" t="s">
        <v>39</v>
      </c>
      <c r="G4" s="55" t="s">
        <v>40</v>
      </c>
      <c r="H4" s="58" t="s">
        <v>39</v>
      </c>
    </row>
    <row r="5" spans="1:8" ht="35.1" customHeight="1">
      <c r="A5" s="57" t="s">
        <v>33</v>
      </c>
      <c r="B5" s="60">
        <f>C5+E5+G5</f>
        <v>449500</v>
      </c>
      <c r="C5" s="60">
        <f>'Budget par Comp&amp;S Comp-marche'!D10+'Budget par Comp&amp;S Comp-marche'!D11</f>
        <v>65000</v>
      </c>
      <c r="D5" s="62">
        <f>+C5/B5</f>
        <v>0.1446051167964405</v>
      </c>
      <c r="E5" s="60">
        <f>'Budget par Comp&amp;S Comp-marche'!D13+'Budget par Comp&amp;S Comp-marche'!D14</f>
        <v>120469</v>
      </c>
      <c r="F5" s="62">
        <f>+E5/B5</f>
        <v>0.26800667408231366</v>
      </c>
      <c r="G5" s="60">
        <f>'Budget par Comp&amp;S Comp-marche'!D16+'Budget par Comp&amp;S Comp-marche'!D7</f>
        <v>264031</v>
      </c>
      <c r="H5" s="62">
        <f>+G5/B5</f>
        <v>0.58738820912124579</v>
      </c>
    </row>
    <row r="6" spans="1:8" ht="35.1" customHeight="1">
      <c r="A6" s="57" t="s">
        <v>34</v>
      </c>
      <c r="B6" s="60">
        <f>C6+E6+G6</f>
        <v>688782.12000000011</v>
      </c>
      <c r="C6" s="60">
        <f>+'Budget par Comp&amp;S Comp-marche'!D21+'Budget par Comp&amp;S Comp-marche'!D22+'Budget par Comp&amp;S Comp-marche'!D23+'Budget par Comp&amp;S Comp-marche'!D50+'Budget par Comp&amp;S Comp-marche'!D51+'Budget par Comp&amp;S Comp-marche'!D52+'Budget par Comp&amp;S Comp-marche'!D53+'Budget par Comp&amp;S Comp-marche'!D54+'Budget par Comp&amp;S Comp-marche'!D55+'Budget par Comp&amp;S Comp-marche'!D56</f>
        <v>79667</v>
      </c>
      <c r="D6" s="62">
        <f>+C6/B6</f>
        <v>0.1156635715224431</v>
      </c>
      <c r="E6" s="60">
        <f>+'Budget par Comp&amp;S Comp-marche'!D25+'Budget par Comp&amp;S Comp-marche'!D26+'Budget par Comp&amp;S Comp-marche'!D27+'Budget par Comp&amp;S Comp-marche'!D28+'Budget par Comp&amp;S Comp-marche'!D29+'Budget par Comp&amp;S Comp-marche'!D58+'Budget par Comp&amp;S Comp-marche'!D59+'Budget par Comp&amp;S Comp-marche'!D60+'Budget par Comp&amp;S Comp-marche'!D61+'Budget par Comp&amp;S Comp-marche'!D83+'Budget par Comp&amp;S Comp-marche'!D84+'Budget par Comp&amp;S Comp-marche'!D85+'Budget par Comp&amp;S Comp-marche'!D86+'Budget par Comp&amp;S Comp-marche'!D87</f>
        <v>163728.33000000002</v>
      </c>
      <c r="F6" s="62">
        <f>+E6/B6</f>
        <v>0.23770699796911102</v>
      </c>
      <c r="G6" s="60">
        <f>+'Budget par Comp&amp;S Comp-marche'!D31+'Budget par Comp&amp;S Comp-marche'!D32+'Budget par Comp&amp;S Comp-marche'!D33+'Budget par Comp&amp;S Comp-marche'!D34+'Budget par Comp&amp;S Comp-marche'!D35+'Budget par Comp&amp;S Comp-marche'!D36+'Budget par Comp&amp;S Comp-marche'!D37+'Budget par Comp&amp;S Comp-marche'!D38+'Budget par Comp&amp;S Comp-marche'!D39+'Budget par Comp&amp;S Comp-marche'!D40+'Budget par Comp&amp;S Comp-marche'!D41+'Budget par Comp&amp;S Comp-marche'!D42+'Budget par Comp&amp;S Comp-marche'!D43+'Budget par Comp&amp;S Comp-marche'!D44+'Budget par Comp&amp;S Comp-marche'!D45+'Budget par Comp&amp;S Comp-marche'!D46+'Budget par Comp&amp;S Comp-marche'!D63+'Budget par Comp&amp;S Comp-marche'!D64+'Budget par Comp&amp;S Comp-marche'!D65+'Budget par Comp&amp;S Comp-marche'!D66+'Budget par Comp&amp;S Comp-marche'!D67+'Budget par Comp&amp;S Comp-marche'!D68+'Budget par Comp&amp;S Comp-marche'!D69+'Budget par Comp&amp;S Comp-marche'!D70+'Budget par Comp&amp;S Comp-marche'!D71+'Budget par Comp&amp;S Comp-marche'!D72+'Budget par Comp&amp;S Comp-marche'!D73+'Budget par Comp&amp;S Comp-marche'!D74+'Budget par Comp&amp;S Comp-marche'!D75+'Budget par Comp&amp;S Comp-marche'!D76+'Budget par Comp&amp;S Comp-marche'!D77+'Budget par Comp&amp;S Comp-marche'!D78+'Budget par Comp&amp;S Comp-marche'!D79+'Budget par Comp&amp;S Comp-marche'!D89+'Budget par Comp&amp;S Comp-marche'!D90</f>
        <v>445386.79000000004</v>
      </c>
      <c r="H6" s="62">
        <f>+G6/B6</f>
        <v>0.64662943050844579</v>
      </c>
    </row>
    <row r="7" spans="1:8" ht="35.1" customHeight="1">
      <c r="A7" s="57" t="s">
        <v>35</v>
      </c>
      <c r="B7" s="60">
        <f>C7+E7+G7</f>
        <v>129240.07333333333</v>
      </c>
      <c r="C7" s="60">
        <f>+'Budget par Comp&amp;S Comp-marche'!D96+'Budget par Comp&amp;S Comp-marche'!D108+'Budget par Comp&amp;S Comp-marche'!D109</f>
        <v>40643</v>
      </c>
      <c r="D7" s="62">
        <f>+C7/B7</f>
        <v>0.31447676368284327</v>
      </c>
      <c r="E7" s="60">
        <f>+'Budget par Comp&amp;S Comp-marche'!D98+'Budget par Comp&amp;S Comp-marche'!D111+'Budget par Comp&amp;S Comp-marche'!D112</f>
        <v>42045.67</v>
      </c>
      <c r="F7" s="62">
        <f>+E7/B7</f>
        <v>0.32532997634221911</v>
      </c>
      <c r="G7" s="60">
        <f>+'Budget par Comp&amp;S Comp-marche'!D100+'Budget par Comp&amp;S Comp-marche'!D101+'Budget par Comp&amp;S Comp-marche'!D102+'Budget par Comp&amp;S Comp-marche'!D103+'Budget par Comp&amp;S Comp-marche'!D104+'Budget par Comp&amp;S Comp-marche'!D114</f>
        <v>46551.403333333335</v>
      </c>
      <c r="H7" s="62">
        <f>+G7/B7</f>
        <v>0.36019325997493762</v>
      </c>
    </row>
    <row r="8" spans="1:8" ht="35.1" customHeight="1">
      <c r="A8" s="57" t="s">
        <v>36</v>
      </c>
      <c r="B8" s="60">
        <f>C8+E8+G8</f>
        <v>1409784.0295833333</v>
      </c>
      <c r="C8" s="60">
        <f>'Budget par Comp&amp;S Comp-marche'!D120+'Budget par Comp&amp;S Comp-marche'!D121+'Budget par Comp&amp;S Comp-marche'!D122+'Budget par Comp&amp;S Comp-marche'!D123+'Budget par Comp&amp;S Comp-marche'!D133+'Budget par Comp&amp;S Comp-marche'!D134+'Budget par Comp&amp;S Comp-marche'!D135+'Budget par Comp&amp;S Comp-marche'!D146+'Budget par Comp&amp;S Comp-marche'!D157+'Budget par Comp&amp;S Comp-marche'!D158+'Budget par Comp&amp;S Comp-marche'!D169+'Budget par Comp&amp;S Comp-marche'!D170</f>
        <v>223463</v>
      </c>
      <c r="D8" s="62">
        <f>+C8/B8</f>
        <v>0.15850867601759205</v>
      </c>
      <c r="E8" s="60">
        <f>+'Budget par Comp&amp;S Comp-marche'!D125+'Budget par Comp&amp;S Comp-marche'!D137+'Budget par Comp&amp;S Comp-marche'!D138+'Budget par Comp&amp;S Comp-marche'!D139+'Budget par Comp&amp;S Comp-marche'!D140+'Budget par Comp&amp;S Comp-marche'!D148+'Budget par Comp&amp;S Comp-marche'!D149+'Budget par Comp&amp;S Comp-marche'!D150+'Budget par Comp&amp;S Comp-marche'!D151+'Budget par Comp&amp;S Comp-marche'!D160+'Budget par Comp&amp;S Comp-marche'!D161+'Budget par Comp&amp;S Comp-marche'!D162+'Budget par Comp&amp;S Comp-marche'!D163+'Budget par Comp&amp;S Comp-marche'!D171</f>
        <v>165433.33333333331</v>
      </c>
      <c r="F8" s="62">
        <f>+E8/B8</f>
        <v>0.11734657923613145</v>
      </c>
      <c r="G8" s="60">
        <f>'Budget par Comp&amp;S Comp-marche'!D127+'Budget par Comp&amp;S Comp-marche'!D128+'Budget par Comp&amp;S Comp-marche'!D129+'Budget par Comp&amp;S Comp-marche'!D142+'Budget par Comp&amp;S Comp-marche'!D153+'Budget par Comp&amp;S Comp-marche'!D165+'Budget par Comp&amp;S Comp-marche'!D166+'Budget par Comp&amp;S Comp-marche'!D172</f>
        <v>1020887.69625</v>
      </c>
      <c r="H8" s="62">
        <f>+G8/B8</f>
        <v>0.72414474474627655</v>
      </c>
    </row>
    <row r="9" spans="1:8" ht="35.1" customHeight="1">
      <c r="A9" s="121" t="s">
        <v>199</v>
      </c>
      <c r="B9" s="60">
        <f>+'Budget par Comp&amp;S Comp-marche'!D175</f>
        <v>322694</v>
      </c>
      <c r="C9" s="60"/>
      <c r="D9" s="59"/>
      <c r="E9" s="59"/>
      <c r="F9" s="59"/>
      <c r="G9" s="59"/>
      <c r="H9" s="61"/>
    </row>
    <row r="10" spans="1:8" ht="34.5" customHeight="1">
      <c r="A10" s="63" t="s">
        <v>41</v>
      </c>
      <c r="B10" s="64">
        <f>SUM(B5:B9)</f>
        <v>3000000.2229166664</v>
      </c>
      <c r="C10" s="64">
        <f>SUM(C5:C9)</f>
        <v>408773</v>
      </c>
      <c r="D10" s="65">
        <f>+C10/B10</f>
        <v>0.13625765654196581</v>
      </c>
      <c r="E10" s="64">
        <f>SUM(E5:E9)</f>
        <v>491676.33333333331</v>
      </c>
      <c r="F10" s="65">
        <f>+E10/B10</f>
        <v>0.16389209893301765</v>
      </c>
      <c r="G10" s="64">
        <f>SUM(G5:G9)</f>
        <v>1776856.8895833334</v>
      </c>
      <c r="H10" s="65">
        <f>+G10/B10</f>
        <v>0.59228558585100166</v>
      </c>
    </row>
    <row r="11" spans="1:8" ht="23.25" customHeight="1"/>
    <row r="12" spans="1:8" ht="25.5" customHeight="1"/>
    <row r="13" spans="1:8" ht="25.5" customHeight="1"/>
    <row r="14" spans="1:8" ht="25.5" customHeight="1">
      <c r="B14" s="67"/>
    </row>
    <row r="15" spans="1:8" ht="25.5" customHeight="1">
      <c r="B15" s="67"/>
    </row>
    <row r="16" spans="1:8" ht="25.5" customHeight="1"/>
    <row r="17" ht="21.75" customHeight="1"/>
    <row r="18" ht="29.25" customHeight="1"/>
    <row r="19" ht="29.25" customHeight="1"/>
    <row r="20" ht="21.75" customHeight="1"/>
    <row r="21" ht="41.25" customHeight="1"/>
    <row r="22" ht="41.25" customHeight="1"/>
  </sheetData>
  <mergeCells count="5">
    <mergeCell ref="C3:D3"/>
    <mergeCell ref="E3:F3"/>
    <mergeCell ref="G3:H3"/>
    <mergeCell ref="B3:B4"/>
    <mergeCell ref="A1:H1"/>
  </mergeCells>
  <pageMargins left="0.70866141732283472" right="0.70866141732283472" top="0.74803149606299213" bottom="0.74803149606299213" header="0.31496062992125984" footer="0.31496062992125984"/>
  <pageSetup paperSize="9" scale="99"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G22"/>
  <sheetViews>
    <sheetView topLeftCell="C10" zoomScale="90" zoomScaleNormal="90" workbookViewId="0">
      <selection activeCell="E18" sqref="E18"/>
    </sheetView>
  </sheetViews>
  <sheetFormatPr baseColWidth="10" defaultColWidth="9.140625" defaultRowHeight="12.75"/>
  <cols>
    <col min="1" max="1" width="6.42578125" style="86" customWidth="1"/>
    <col min="2" max="2" width="9.7109375" style="86" customWidth="1"/>
    <col min="3" max="3" width="48.28515625" style="86" bestFit="1" customWidth="1"/>
    <col min="4" max="4" width="18.140625" style="86" customWidth="1"/>
    <col min="5" max="5" width="20.42578125" style="86" customWidth="1"/>
    <col min="6" max="7" width="11" style="86" bestFit="1" customWidth="1"/>
    <col min="8" max="16384" width="9.140625" style="86"/>
  </cols>
  <sheetData>
    <row r="1" spans="1:7">
      <c r="A1" s="90" t="s">
        <v>168</v>
      </c>
      <c r="B1" s="90"/>
    </row>
    <row r="2" spans="1:7" ht="6.75" customHeight="1"/>
    <row r="3" spans="1:7" ht="35.25" customHeight="1">
      <c r="A3" s="100" t="s">
        <v>173</v>
      </c>
      <c r="B3" s="92" t="s">
        <v>172</v>
      </c>
      <c r="C3" s="117" t="s">
        <v>143</v>
      </c>
      <c r="D3" s="118" t="s">
        <v>144</v>
      </c>
      <c r="E3" s="119" t="s">
        <v>200</v>
      </c>
      <c r="F3" s="86" t="s">
        <v>548</v>
      </c>
      <c r="G3" s="86" t="s">
        <v>549</v>
      </c>
    </row>
    <row r="4" spans="1:7">
      <c r="A4" s="100"/>
      <c r="B4" s="92"/>
      <c r="C4" s="87" t="s">
        <v>145</v>
      </c>
      <c r="D4" s="87"/>
      <c r="E4" s="120"/>
    </row>
    <row r="5" spans="1:7" ht="38.25">
      <c r="A5" s="101">
        <v>1</v>
      </c>
      <c r="B5" s="92" t="s">
        <v>170</v>
      </c>
      <c r="C5" s="88" t="s">
        <v>147</v>
      </c>
      <c r="D5" s="112">
        <v>450000</v>
      </c>
      <c r="E5" s="1121">
        <f>+'Budget par Comp&amp;S Comp-marche'!D17</f>
        <v>449500</v>
      </c>
      <c r="F5" s="86">
        <f>INFP!R7</f>
        <v>449060.34299999999</v>
      </c>
      <c r="G5" s="937">
        <f>+E5-F5</f>
        <v>439.65700000000652</v>
      </c>
    </row>
    <row r="6" spans="1:7" ht="15.75">
      <c r="A6" s="100"/>
      <c r="B6" s="92"/>
      <c r="C6" s="87" t="s">
        <v>159</v>
      </c>
      <c r="D6" s="113"/>
      <c r="E6" s="1122"/>
      <c r="G6" s="86">
        <f>+E6-F6</f>
        <v>0</v>
      </c>
    </row>
    <row r="7" spans="1:7" ht="45" customHeight="1">
      <c r="A7" s="100" t="s">
        <v>160</v>
      </c>
      <c r="B7" s="92" t="s">
        <v>171</v>
      </c>
      <c r="C7" s="88" t="s">
        <v>146</v>
      </c>
      <c r="D7" s="112">
        <v>300000</v>
      </c>
      <c r="E7" s="1121">
        <f>+'Budget par Comp&amp;S Comp-marche'!D47</f>
        <v>300354.12</v>
      </c>
      <c r="F7" s="86">
        <f>+DEPA!Q27</f>
        <v>300354.41666666669</v>
      </c>
      <c r="G7" s="86">
        <f>+E7-F7</f>
        <v>-0.29666666669072583</v>
      </c>
    </row>
    <row r="8" spans="1:7" ht="51" customHeight="1">
      <c r="A8" s="100" t="s">
        <v>161</v>
      </c>
      <c r="B8" s="92" t="s">
        <v>174</v>
      </c>
      <c r="C8" s="88" t="s">
        <v>182</v>
      </c>
      <c r="D8" s="112">
        <v>300000</v>
      </c>
      <c r="E8" s="1121">
        <f>+'Budget par Comp&amp;S Comp-marche'!D80</f>
        <v>300000</v>
      </c>
      <c r="F8" s="86">
        <f>DPFI!Q37</f>
        <v>300000</v>
      </c>
      <c r="G8" s="86">
        <f t="shared" ref="G8:G20" si="0">+E8-F8</f>
        <v>0</v>
      </c>
    </row>
    <row r="9" spans="1:7" ht="44.25" customHeight="1">
      <c r="A9" s="100" t="s">
        <v>162</v>
      </c>
      <c r="B9" s="92" t="s">
        <v>175</v>
      </c>
      <c r="C9" s="102" t="s">
        <v>183</v>
      </c>
      <c r="D9" s="112">
        <v>100000</v>
      </c>
      <c r="E9" s="1121">
        <f>+'Budget par Comp&amp;S Comp-marche'!D91</f>
        <v>88428</v>
      </c>
      <c r="F9" s="86">
        <f>+DSSDRH!R46</f>
        <v>88428.093760000003</v>
      </c>
      <c r="G9" s="86">
        <f t="shared" si="0"/>
        <v>-9.3760000003385358E-2</v>
      </c>
    </row>
    <row r="10" spans="1:7" ht="15.75">
      <c r="A10" s="100"/>
      <c r="B10" s="92"/>
      <c r="C10" s="87" t="s">
        <v>148</v>
      </c>
      <c r="D10" s="114"/>
      <c r="E10" s="1122"/>
      <c r="G10" s="86">
        <f t="shared" si="0"/>
        <v>0</v>
      </c>
    </row>
    <row r="11" spans="1:7" ht="20.100000000000001" customHeight="1">
      <c r="A11" s="100" t="s">
        <v>163</v>
      </c>
      <c r="B11" s="92" t="s">
        <v>176</v>
      </c>
      <c r="C11" s="88" t="s">
        <v>150</v>
      </c>
      <c r="D11" s="112">
        <v>100000</v>
      </c>
      <c r="E11" s="1121">
        <f>+'Budget par Comp&amp;S Comp-marche'!D105</f>
        <v>29240.073333333334</v>
      </c>
      <c r="F11" s="86">
        <f>+DEF!Q56</f>
        <v>29720.666666666668</v>
      </c>
      <c r="G11" s="86">
        <f t="shared" si="0"/>
        <v>-480.59333333333416</v>
      </c>
    </row>
    <row r="12" spans="1:7" ht="30" customHeight="1">
      <c r="A12" s="100" t="s">
        <v>164</v>
      </c>
      <c r="B12" s="92" t="s">
        <v>177</v>
      </c>
      <c r="C12" s="88" t="s">
        <v>151</v>
      </c>
      <c r="D12" s="112">
        <v>100000</v>
      </c>
      <c r="E12" s="1121">
        <f>+'Budget par Comp&amp;S Comp-marche'!D115</f>
        <v>100000</v>
      </c>
      <c r="F12" s="86">
        <f>DEIPEF!Q9</f>
        <v>100000.07666666666</v>
      </c>
      <c r="G12" s="86">
        <f t="shared" si="0"/>
        <v>-7.666666666045785E-2</v>
      </c>
    </row>
    <row r="13" spans="1:7" ht="15.75">
      <c r="A13" s="100"/>
      <c r="B13" s="92"/>
      <c r="C13" s="87" t="s">
        <v>149</v>
      </c>
      <c r="D13" s="114"/>
      <c r="E13" s="1122"/>
      <c r="G13" s="86">
        <f t="shared" si="0"/>
        <v>0</v>
      </c>
    </row>
    <row r="14" spans="1:7" ht="15.75">
      <c r="A14" s="100"/>
      <c r="B14" s="92"/>
      <c r="C14" s="103" t="s">
        <v>152</v>
      </c>
      <c r="D14" s="112"/>
      <c r="E14" s="1121"/>
      <c r="G14" s="86">
        <f t="shared" si="0"/>
        <v>0</v>
      </c>
    </row>
    <row r="15" spans="1:7" ht="20.100000000000001" customHeight="1">
      <c r="A15" s="100" t="s">
        <v>165</v>
      </c>
      <c r="B15" s="92" t="s">
        <v>178</v>
      </c>
      <c r="C15" s="104" t="s">
        <v>153</v>
      </c>
      <c r="D15" s="115">
        <v>300000</v>
      </c>
      <c r="E15" s="1121">
        <f>+'Budget par Comp&amp;S Comp-marche'!D130</f>
        <v>356290.70624999999</v>
      </c>
      <c r="F15" s="86">
        <f>DCI!R75</f>
        <v>356290.70624999999</v>
      </c>
      <c r="G15" s="86">
        <f t="shared" si="0"/>
        <v>0</v>
      </c>
    </row>
    <row r="16" spans="1:7" ht="20.100000000000001" customHeight="1">
      <c r="A16" s="100" t="s">
        <v>166</v>
      </c>
      <c r="B16" s="92" t="s">
        <v>179</v>
      </c>
      <c r="C16" s="104" t="s">
        <v>154</v>
      </c>
      <c r="D16" s="115">
        <v>200000</v>
      </c>
      <c r="E16" s="1121">
        <f>+'Budget par Comp&amp;S Comp-marche'!D143</f>
        <v>348173.33333333337</v>
      </c>
      <c r="F16" s="86">
        <f>+DPE!R74</f>
        <v>348173.33333333337</v>
      </c>
      <c r="G16" s="86">
        <f t="shared" si="0"/>
        <v>0</v>
      </c>
    </row>
    <row r="17" spans="1:7" ht="20.100000000000001" customHeight="1">
      <c r="A17" s="100" t="s">
        <v>167</v>
      </c>
      <c r="B17" s="92" t="s">
        <v>180</v>
      </c>
      <c r="C17" s="104" t="s">
        <v>155</v>
      </c>
      <c r="D17" s="115">
        <v>100000</v>
      </c>
      <c r="E17" s="1121">
        <f>+'Budget par Comp&amp;S Comp-marche'!D154</f>
        <v>108845.33</v>
      </c>
      <c r="F17" s="86">
        <f>+DTIC!Q8</f>
        <v>108838</v>
      </c>
      <c r="G17" s="86">
        <f t="shared" si="0"/>
        <v>7.3300000000017462</v>
      </c>
    </row>
    <row r="18" spans="1:7" ht="15.75">
      <c r="A18" s="100"/>
      <c r="B18" s="92" t="s">
        <v>169</v>
      </c>
      <c r="C18" s="105" t="s">
        <v>156</v>
      </c>
      <c r="D18" s="112">
        <v>450000</v>
      </c>
      <c r="E18" s="1121">
        <f>+'Budget par Comp&amp;S Comp-marche'!D173</f>
        <v>466727</v>
      </c>
      <c r="G18" s="520">
        <f t="shared" si="0"/>
        <v>466727</v>
      </c>
    </row>
    <row r="19" spans="1:7" ht="20.100000000000001" customHeight="1">
      <c r="A19" s="100"/>
      <c r="B19" s="92"/>
      <c r="C19" s="105" t="s">
        <v>157</v>
      </c>
      <c r="D19" s="112">
        <v>300000</v>
      </c>
      <c r="E19" s="1121">
        <f>+'Budget par Comp&amp;S Comp-marche'!D175</f>
        <v>322694</v>
      </c>
      <c r="G19" s="520">
        <f t="shared" si="0"/>
        <v>322694</v>
      </c>
    </row>
    <row r="20" spans="1:7" ht="20.100000000000001" customHeight="1">
      <c r="A20" s="100"/>
      <c r="B20" s="92" t="s">
        <v>181</v>
      </c>
      <c r="C20" s="105" t="s">
        <v>158</v>
      </c>
      <c r="D20" s="112">
        <v>300000</v>
      </c>
      <c r="E20" s="1121">
        <f>+'Budget par Comp&amp;S Comp-marche'!D167</f>
        <v>129747.66</v>
      </c>
      <c r="F20" s="86">
        <f>+DRH!R125</f>
        <v>129747.66</v>
      </c>
      <c r="G20" s="86">
        <f t="shared" si="0"/>
        <v>0</v>
      </c>
    </row>
    <row r="21" spans="1:7" ht="21" customHeight="1">
      <c r="A21" s="106"/>
      <c r="B21" s="91"/>
      <c r="C21" s="89" t="s">
        <v>41</v>
      </c>
      <c r="D21" s="114">
        <f>SUM(D5:D20)</f>
        <v>3000000</v>
      </c>
      <c r="E21" s="1123">
        <f>SUM(E5:E20)</f>
        <v>3000000.2229166669</v>
      </c>
      <c r="F21" s="116">
        <f>SUM(F5:F20)</f>
        <v>2210613.2963433336</v>
      </c>
      <c r="G21" s="116">
        <f>SUM(G5:G20)</f>
        <v>789386.92657333333</v>
      </c>
    </row>
    <row r="22" spans="1:7" ht="19.5" customHeight="1"/>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AG719"/>
  <sheetViews>
    <sheetView topLeftCell="R482" zoomScale="85" zoomScaleNormal="85" workbookViewId="0">
      <selection activeCell="AG485" sqref="AG485"/>
    </sheetView>
  </sheetViews>
  <sheetFormatPr baseColWidth="10" defaultColWidth="11.42578125" defaultRowHeight="15.75"/>
  <cols>
    <col min="1" max="1" width="9" style="341" bestFit="1" customWidth="1"/>
    <col min="2" max="2" width="57.28515625" style="991" customWidth="1"/>
    <col min="3" max="3" width="92.5703125" style="1095" hidden="1" customWidth="1"/>
    <col min="4" max="4" width="13.28515625" style="357" hidden="1" customWidth="1"/>
    <col min="5" max="5" width="18.7109375" style="341" hidden="1" customWidth="1"/>
    <col min="6" max="6" width="14.7109375" style="340" hidden="1" customWidth="1"/>
    <col min="7" max="7" width="14.140625" style="340" hidden="1" customWidth="1"/>
    <col min="8" max="8" width="39" style="340" hidden="1" customWidth="1"/>
    <col min="9" max="9" width="22.28515625" style="341" bestFit="1" customWidth="1"/>
    <col min="10" max="10" width="28.28515625" style="336" customWidth="1"/>
    <col min="11" max="11" width="65.42578125" style="357" bestFit="1" customWidth="1"/>
    <col min="12" max="12" width="9.85546875" style="1246" bestFit="1" customWidth="1"/>
    <col min="13" max="13" width="19" style="357" hidden="1" customWidth="1"/>
    <col min="14" max="14" width="33" style="341" hidden="1" customWidth="1"/>
    <col min="15" max="15" width="19.42578125" style="1018" bestFit="1" customWidth="1"/>
    <col min="16" max="16" width="14.140625" style="341" bestFit="1" customWidth="1"/>
    <col min="17" max="17" width="23.28515625" style="577" customWidth="1"/>
    <col min="18" max="18" width="21.140625" style="344" bestFit="1" customWidth="1"/>
    <col min="19" max="19" width="15" style="577" customWidth="1"/>
    <col min="20" max="20" width="19.85546875" style="577" bestFit="1" customWidth="1"/>
    <col min="21" max="25" width="20.5703125" style="577" bestFit="1" customWidth="1"/>
    <col min="26" max="26" width="18" style="1019" customWidth="1"/>
    <col min="27" max="27" width="19" style="1019" bestFit="1" customWidth="1"/>
    <col min="28" max="28" width="16.5703125" style="1019" bestFit="1" customWidth="1"/>
    <col min="29" max="29" width="14.28515625" style="357" bestFit="1" customWidth="1"/>
    <col min="30" max="30" width="18.28515625" style="357" customWidth="1"/>
    <col min="31" max="31" width="14.28515625" bestFit="1" customWidth="1"/>
    <col min="32" max="32" width="14.28515625" style="357" bestFit="1" customWidth="1"/>
    <col min="33" max="33" width="22.28515625" style="1063" bestFit="1" customWidth="1"/>
    <col min="34" max="34" width="15.85546875" style="357" customWidth="1"/>
    <col min="35" max="16384" width="11.42578125" style="357"/>
  </cols>
  <sheetData>
    <row r="1" spans="1:33" s="238" customFormat="1">
      <c r="A1" s="1249"/>
      <c r="B1" s="235"/>
      <c r="C1" s="235"/>
      <c r="D1" s="1250"/>
      <c r="E1" s="1249"/>
      <c r="F1" s="237"/>
      <c r="G1" s="237"/>
      <c r="H1" s="237"/>
      <c r="I1" s="237"/>
      <c r="J1" s="1486"/>
      <c r="L1" s="1228"/>
      <c r="N1" s="237"/>
      <c r="O1" s="239"/>
      <c r="P1" s="237"/>
      <c r="Q1" s="240"/>
      <c r="R1" s="241"/>
      <c r="S1" s="239"/>
      <c r="T1" s="239"/>
      <c r="U1" s="239"/>
      <c r="V1" s="239"/>
      <c r="W1" s="239"/>
      <c r="X1" s="239"/>
      <c r="Y1" s="239"/>
      <c r="Z1" s="242"/>
      <c r="AA1" s="242"/>
      <c r="AB1" s="242"/>
      <c r="AG1" s="1055"/>
    </row>
    <row r="2" spans="1:33" s="238" customFormat="1" ht="31.5" customHeight="1">
      <c r="A2" s="3395" t="s">
        <v>202</v>
      </c>
      <c r="B2" s="3395"/>
      <c r="C2" s="3395"/>
      <c r="D2" s="3395"/>
      <c r="E2" s="3395"/>
      <c r="F2" s="3395"/>
      <c r="G2" s="3395"/>
      <c r="H2" s="3395"/>
      <c r="I2" s="3395"/>
      <c r="J2" s="3395"/>
      <c r="K2" s="3395"/>
      <c r="L2" s="3395"/>
      <c r="M2" s="3395"/>
      <c r="N2" s="3395"/>
      <c r="O2" s="3395"/>
      <c r="P2" s="3395"/>
      <c r="Q2" s="3395"/>
      <c r="R2" s="3395"/>
      <c r="S2" s="3395"/>
      <c r="T2" s="3395"/>
      <c r="U2" s="3395"/>
      <c r="V2" s="3395"/>
      <c r="W2" s="3395"/>
      <c r="X2" s="3395"/>
      <c r="Y2" s="3395"/>
      <c r="Z2" s="3395"/>
      <c r="AA2" s="3395"/>
      <c r="AB2" s="3395"/>
      <c r="AC2" s="3395"/>
      <c r="AD2" s="3395"/>
      <c r="AE2" s="3395"/>
      <c r="AF2" s="3395"/>
      <c r="AG2" s="3395"/>
    </row>
    <row r="3" spans="1:33" s="249" customFormat="1" ht="15.75" customHeight="1">
      <c r="A3" s="1252"/>
      <c r="B3" s="244"/>
      <c r="C3" s="1020"/>
      <c r="D3" s="1251"/>
      <c r="E3" s="1252"/>
      <c r="F3" s="1252"/>
      <c r="G3" s="1252"/>
      <c r="H3" s="1251"/>
      <c r="I3" s="1252"/>
      <c r="J3" s="245"/>
      <c r="K3" s="1253"/>
      <c r="L3" s="1254"/>
      <c r="M3" s="1251"/>
      <c r="N3" s="1252"/>
      <c r="O3" s="1255"/>
      <c r="P3" s="1252"/>
      <c r="Q3" s="1256"/>
      <c r="R3" s="1257"/>
      <c r="S3" s="1251"/>
      <c r="T3" s="1251"/>
      <c r="U3" s="1251"/>
      <c r="V3" s="1251"/>
      <c r="Z3" s="250"/>
      <c r="AA3" s="250"/>
      <c r="AB3" s="250"/>
    </row>
    <row r="4" spans="1:33" s="255" customFormat="1" ht="15">
      <c r="A4" s="1258"/>
      <c r="B4" s="252"/>
      <c r="C4" s="252"/>
      <c r="D4" s="1259"/>
      <c r="E4" s="1258"/>
      <c r="F4" s="254"/>
      <c r="G4" s="254"/>
      <c r="H4" s="254"/>
      <c r="I4" s="254"/>
      <c r="J4" s="1487"/>
      <c r="L4" s="1229"/>
      <c r="N4" s="254"/>
      <c r="O4" s="256"/>
      <c r="P4" s="254"/>
      <c r="Q4" s="257"/>
      <c r="R4" s="258"/>
      <c r="S4" s="256"/>
      <c r="T4" s="256"/>
      <c r="U4" s="256"/>
      <c r="V4" s="256"/>
      <c r="W4" s="256"/>
      <c r="X4" s="256"/>
      <c r="Y4" s="256"/>
      <c r="Z4" s="259"/>
      <c r="AA4" s="259"/>
      <c r="AB4" s="259"/>
    </row>
    <row r="5" spans="1:33" s="238" customFormat="1" ht="34.5" customHeight="1">
      <c r="A5" s="1523"/>
      <c r="B5" s="1494"/>
      <c r="C5" s="1494"/>
      <c r="D5" s="1259"/>
      <c r="E5" s="1258"/>
      <c r="F5" s="3396" t="s">
        <v>208</v>
      </c>
      <c r="G5" s="3396"/>
      <c r="H5" s="1483"/>
      <c r="I5" s="3397" t="s">
        <v>210</v>
      </c>
      <c r="J5" s="3398"/>
      <c r="S5" s="3392" t="s">
        <v>219</v>
      </c>
      <c r="T5" s="3393"/>
      <c r="U5" s="3393"/>
      <c r="V5" s="3393"/>
      <c r="W5" s="3393"/>
      <c r="X5" s="3393"/>
      <c r="Y5" s="3394"/>
      <c r="Z5" s="243"/>
      <c r="AA5" s="243"/>
      <c r="AB5" s="243"/>
    </row>
    <row r="6" spans="1:33" s="237" customFormat="1" ht="60" customHeight="1">
      <c r="A6" s="1453" t="s">
        <v>203</v>
      </c>
      <c r="B6" s="1458" t="s">
        <v>204</v>
      </c>
      <c r="C6" s="1458" t="s">
        <v>205</v>
      </c>
      <c r="D6" s="1610" t="s">
        <v>206</v>
      </c>
      <c r="E6" s="1611" t="s">
        <v>207</v>
      </c>
      <c r="F6" s="1260" t="s">
        <v>220</v>
      </c>
      <c r="G6" s="261" t="s">
        <v>221</v>
      </c>
      <c r="H6" s="1612" t="s">
        <v>209</v>
      </c>
      <c r="I6" s="262" t="s">
        <v>222</v>
      </c>
      <c r="J6" s="262" t="s">
        <v>288</v>
      </c>
      <c r="K6" s="1454" t="s">
        <v>211</v>
      </c>
      <c r="L6" s="1453" t="s">
        <v>212</v>
      </c>
      <c r="M6" s="1457" t="s">
        <v>213</v>
      </c>
      <c r="N6" s="1457" t="s">
        <v>214</v>
      </c>
      <c r="O6" s="1613" t="s">
        <v>215</v>
      </c>
      <c r="P6" s="1454" t="s">
        <v>216</v>
      </c>
      <c r="Q6" s="1613" t="s">
        <v>286</v>
      </c>
      <c r="R6" s="1485" t="s">
        <v>287</v>
      </c>
      <c r="S6" s="263" t="s">
        <v>224</v>
      </c>
      <c r="T6" s="263" t="s">
        <v>225</v>
      </c>
      <c r="U6" s="263" t="s">
        <v>226</v>
      </c>
      <c r="V6" s="263" t="s">
        <v>227</v>
      </c>
      <c r="W6" s="263" t="s">
        <v>228</v>
      </c>
      <c r="X6" s="263" t="s">
        <v>229</v>
      </c>
      <c r="Y6" s="263" t="s">
        <v>230</v>
      </c>
      <c r="Z6" s="264" t="s">
        <v>289</v>
      </c>
      <c r="AA6" s="264" t="s">
        <v>290</v>
      </c>
      <c r="AB6" s="264" t="s">
        <v>291</v>
      </c>
      <c r="AC6" s="264" t="s">
        <v>975</v>
      </c>
      <c r="AD6" s="264" t="s">
        <v>976</v>
      </c>
      <c r="AE6" s="264" t="s">
        <v>224</v>
      </c>
      <c r="AF6" s="264" t="s">
        <v>225</v>
      </c>
      <c r="AG6" s="1052" t="s">
        <v>41</v>
      </c>
    </row>
    <row r="7" spans="1:33" s="992" customFormat="1" ht="33.75" customHeight="1">
      <c r="A7" s="1247" t="s">
        <v>231</v>
      </c>
      <c r="B7" s="1022"/>
      <c r="C7" s="1022"/>
      <c r="D7" s="1247"/>
      <c r="E7" s="1247"/>
      <c r="F7" s="1247"/>
      <c r="G7" s="1247"/>
      <c r="H7" s="1247"/>
      <c r="I7" s="1247"/>
      <c r="J7" s="265"/>
      <c r="K7" s="1247"/>
      <c r="L7" s="1262"/>
      <c r="M7" s="1263"/>
      <c r="N7" s="1261"/>
      <c r="O7" s="1264"/>
      <c r="P7" s="1261"/>
      <c r="Q7" s="1265">
        <f>+Q8+Q99</f>
        <v>449060.34299999999</v>
      </c>
      <c r="R7" s="1266">
        <f>+'[2]Compil Costing PPA 3 millions'!F5</f>
        <v>449500</v>
      </c>
      <c r="S7" s="1265">
        <f t="shared" ref="S7:Y7" si="0">+S8+S99</f>
        <v>0</v>
      </c>
      <c r="T7" s="1265">
        <f t="shared" si="0"/>
        <v>90453.066333333336</v>
      </c>
      <c r="U7" s="1265">
        <f t="shared" si="0"/>
        <v>77449.332666666669</v>
      </c>
      <c r="V7" s="1265">
        <f t="shared" si="0"/>
        <v>162495.72500000001</v>
      </c>
      <c r="W7" s="1265">
        <f t="shared" si="0"/>
        <v>83069.552333333326</v>
      </c>
      <c r="X7" s="1265">
        <f t="shared" si="0"/>
        <v>11161.666666666668</v>
      </c>
      <c r="Y7" s="1267">
        <f t="shared" si="0"/>
        <v>24431</v>
      </c>
      <c r="Z7" s="1067">
        <f t="shared" ref="Z7:AF7" si="1">+Z8+Z99</f>
        <v>0</v>
      </c>
      <c r="AA7" s="1067">
        <f t="shared" si="1"/>
        <v>0</v>
      </c>
      <c r="AB7" s="1067">
        <f t="shared" si="1"/>
        <v>0</v>
      </c>
      <c r="AC7" s="1067">
        <f t="shared" si="1"/>
        <v>0</v>
      </c>
      <c r="AD7" s="1067">
        <f t="shared" si="1"/>
        <v>0</v>
      </c>
      <c r="AE7" s="1067">
        <f t="shared" si="1"/>
        <v>0</v>
      </c>
      <c r="AF7" s="1067">
        <f t="shared" si="1"/>
        <v>0</v>
      </c>
      <c r="AG7" s="1067">
        <f>+AG8+AG99</f>
        <v>449060.34299999999</v>
      </c>
    </row>
    <row r="8" spans="1:33" ht="37.5" customHeight="1">
      <c r="A8" s="1248" t="s">
        <v>232</v>
      </c>
      <c r="B8" s="278"/>
      <c r="C8" s="278"/>
      <c r="D8" s="1248"/>
      <c r="E8" s="1248"/>
      <c r="F8" s="1248"/>
      <c r="G8" s="1248"/>
      <c r="H8" s="1248"/>
      <c r="I8" s="1248"/>
      <c r="J8" s="273"/>
      <c r="K8" s="1248"/>
      <c r="L8" s="1269"/>
      <c r="M8" s="1270"/>
      <c r="N8" s="1268"/>
      <c r="O8" s="1271"/>
      <c r="P8" s="1268"/>
      <c r="Q8" s="1272">
        <f>Q9+Q95</f>
        <v>134501.66666666666</v>
      </c>
      <c r="R8" s="1273"/>
      <c r="S8" s="1272">
        <f t="shared" ref="S8:Y8" si="2">S9+S95</f>
        <v>0</v>
      </c>
      <c r="T8" s="1272">
        <f t="shared" si="2"/>
        <v>12036.666666666666</v>
      </c>
      <c r="U8" s="1272">
        <f t="shared" si="2"/>
        <v>30715.333333333332</v>
      </c>
      <c r="V8" s="1272">
        <f t="shared" si="2"/>
        <v>50562</v>
      </c>
      <c r="W8" s="1272">
        <f t="shared" si="2"/>
        <v>37168</v>
      </c>
      <c r="X8" s="1272">
        <f t="shared" si="2"/>
        <v>4019.666666666667</v>
      </c>
      <c r="Y8" s="1274">
        <f t="shared" si="2"/>
        <v>0</v>
      </c>
      <c r="Z8" s="1068">
        <f t="shared" ref="Z8:AF8" si="3">Z9+Z95</f>
        <v>0</v>
      </c>
      <c r="AA8" s="1068">
        <f t="shared" si="3"/>
        <v>0</v>
      </c>
      <c r="AB8" s="1068">
        <f t="shared" si="3"/>
        <v>0</v>
      </c>
      <c r="AC8" s="1068">
        <f t="shared" si="3"/>
        <v>0</v>
      </c>
      <c r="AD8" s="1068">
        <f t="shared" si="3"/>
        <v>0</v>
      </c>
      <c r="AE8" s="1068">
        <f t="shared" si="3"/>
        <v>0</v>
      </c>
      <c r="AF8" s="1068">
        <f t="shared" si="3"/>
        <v>0</v>
      </c>
      <c r="AG8" s="1068">
        <f>AG9+AG95</f>
        <v>134501.66666666666</v>
      </c>
    </row>
    <row r="9" spans="1:33" ht="31.5">
      <c r="A9" s="1275">
        <v>111</v>
      </c>
      <c r="B9" s="1463" t="s">
        <v>619</v>
      </c>
      <c r="C9" s="1498"/>
      <c r="D9" s="1325"/>
      <c r="E9" s="1325"/>
      <c r="F9" s="1325"/>
      <c r="G9" s="1325"/>
      <c r="H9" s="1325"/>
      <c r="I9" s="1325"/>
      <c r="J9" s="283"/>
      <c r="K9" s="1278"/>
      <c r="L9" s="1279"/>
      <c r="M9" s="1280"/>
      <c r="N9" s="1277"/>
      <c r="O9" s="1281"/>
      <c r="P9" s="1277"/>
      <c r="Q9" s="1282">
        <f>Q10+Q23+Q50+Q56+Q68+Q87</f>
        <v>134501.66666666666</v>
      </c>
      <c r="R9" s="287"/>
      <c r="S9" s="1282">
        <f t="shared" ref="S9:Y9" si="4">S10+S23+S50+S56+S68+S87</f>
        <v>0</v>
      </c>
      <c r="T9" s="1282">
        <f t="shared" si="4"/>
        <v>12036.666666666666</v>
      </c>
      <c r="U9" s="1282">
        <f t="shared" si="4"/>
        <v>30715.333333333332</v>
      </c>
      <c r="V9" s="1282">
        <f t="shared" si="4"/>
        <v>50562</v>
      </c>
      <c r="W9" s="1282">
        <f t="shared" si="4"/>
        <v>37168</v>
      </c>
      <c r="X9" s="1282">
        <f t="shared" si="4"/>
        <v>4019.666666666667</v>
      </c>
      <c r="Y9" s="1283">
        <f t="shared" si="4"/>
        <v>0</v>
      </c>
      <c r="Z9" s="1069">
        <f t="shared" ref="Z9:AF9" si="5">Z10+Z23+Z50+Z56+Z68+Z87</f>
        <v>0</v>
      </c>
      <c r="AA9" s="1069">
        <f t="shared" si="5"/>
        <v>0</v>
      </c>
      <c r="AB9" s="1069">
        <f t="shared" si="5"/>
        <v>0</v>
      </c>
      <c r="AC9" s="1069">
        <f t="shared" si="5"/>
        <v>0</v>
      </c>
      <c r="AD9" s="1069">
        <f t="shared" si="5"/>
        <v>0</v>
      </c>
      <c r="AE9" s="1069">
        <f t="shared" si="5"/>
        <v>0</v>
      </c>
      <c r="AF9" s="1069">
        <f t="shared" si="5"/>
        <v>0</v>
      </c>
      <c r="AG9" s="1069">
        <f>SUM(S9:AF9)</f>
        <v>134501.66666666666</v>
      </c>
    </row>
    <row r="10" spans="1:33" ht="116.25" customHeight="1">
      <c r="A10" s="1524">
        <v>1111</v>
      </c>
      <c r="B10" s="953" t="s">
        <v>620</v>
      </c>
      <c r="C10" s="1072" t="s">
        <v>621</v>
      </c>
      <c r="D10" s="1284"/>
      <c r="E10" s="1285">
        <v>5</v>
      </c>
      <c r="F10" s="1286">
        <v>43206</v>
      </c>
      <c r="G10" s="1286">
        <f>F10+E10-1</f>
        <v>43210</v>
      </c>
      <c r="H10" s="1284" t="s">
        <v>622</v>
      </c>
      <c r="I10" s="1285" t="s">
        <v>170</v>
      </c>
      <c r="J10" s="1026" t="s">
        <v>623</v>
      </c>
      <c r="K10" s="1284"/>
      <c r="L10" s="1230"/>
      <c r="M10" s="1284"/>
      <c r="N10" s="1284"/>
      <c r="O10" s="1287"/>
      <c r="P10" s="1284"/>
      <c r="Q10" s="1288">
        <f>SUM(Q11:Q22)</f>
        <v>3979.3333333333335</v>
      </c>
      <c r="R10" s="1027">
        <f>+SUM(R11:R22)</f>
        <v>3979.3333333333335</v>
      </c>
      <c r="S10" s="1289">
        <f t="shared" ref="S10:AF10" si="6">SUM(S11:S22)</f>
        <v>0</v>
      </c>
      <c r="T10" s="1289">
        <f t="shared" si="6"/>
        <v>3979.3333333333335</v>
      </c>
      <c r="U10" s="1289">
        <f t="shared" si="6"/>
        <v>0</v>
      </c>
      <c r="V10" s="1289">
        <f t="shared" si="6"/>
        <v>0</v>
      </c>
      <c r="W10" s="1289">
        <f t="shared" si="6"/>
        <v>0</v>
      </c>
      <c r="X10" s="1290">
        <f t="shared" si="6"/>
        <v>0</v>
      </c>
      <c r="Y10" s="1291">
        <f t="shared" si="6"/>
        <v>0</v>
      </c>
      <c r="Z10" s="1184">
        <f t="shared" si="6"/>
        <v>0</v>
      </c>
      <c r="AA10" s="1184">
        <f t="shared" si="6"/>
        <v>0</v>
      </c>
      <c r="AB10" s="1184">
        <f t="shared" si="6"/>
        <v>0</v>
      </c>
      <c r="AC10" s="1184">
        <f t="shared" si="6"/>
        <v>0</v>
      </c>
      <c r="AD10" s="1184">
        <f t="shared" si="6"/>
        <v>0</v>
      </c>
      <c r="AE10" s="1184">
        <f t="shared" si="6"/>
        <v>0</v>
      </c>
      <c r="AF10" s="1184">
        <f t="shared" si="6"/>
        <v>0</v>
      </c>
      <c r="AG10" s="1047">
        <f>SUM(S10:AF10)</f>
        <v>3979.3333333333335</v>
      </c>
    </row>
    <row r="11" spans="1:33" ht="116.25" customHeight="1">
      <c r="A11" s="1524">
        <v>1111</v>
      </c>
      <c r="B11" s="955" t="s">
        <v>620</v>
      </c>
      <c r="C11" s="1073" t="s">
        <v>621</v>
      </c>
      <c r="D11" s="1292"/>
      <c r="E11" s="1293">
        <v>5</v>
      </c>
      <c r="F11" s="1294">
        <v>43206</v>
      </c>
      <c r="G11" s="1294">
        <f t="shared" ref="G11:G74" si="7">F11+E11-1</f>
        <v>43210</v>
      </c>
      <c r="H11" s="1292" t="s">
        <v>622</v>
      </c>
      <c r="I11" s="1293" t="s">
        <v>170</v>
      </c>
      <c r="J11" s="643" t="s">
        <v>623</v>
      </c>
      <c r="K11" s="1292" t="s">
        <v>624</v>
      </c>
      <c r="L11" s="1231">
        <v>23174</v>
      </c>
      <c r="M11" s="1292"/>
      <c r="N11" s="1292"/>
      <c r="O11" s="647">
        <v>84</v>
      </c>
      <c r="P11" s="1292">
        <v>1</v>
      </c>
      <c r="Q11" s="1295">
        <f>O11*P11</f>
        <v>84</v>
      </c>
      <c r="R11" s="956">
        <v>84</v>
      </c>
      <c r="S11" s="954"/>
      <c r="T11" s="654">
        <f t="shared" ref="T11:T22" si="8">Q11</f>
        <v>84</v>
      </c>
      <c r="U11" s="954"/>
      <c r="V11" s="954"/>
      <c r="W11" s="954"/>
      <c r="X11" s="1166"/>
      <c r="Y11" s="1144"/>
      <c r="Z11" s="1124"/>
      <c r="AA11" s="1124"/>
      <c r="AB11" s="1124"/>
      <c r="AC11" s="1124"/>
      <c r="AD11" s="1124"/>
      <c r="AE11" s="1124"/>
      <c r="AF11" s="1124"/>
      <c r="AG11" s="1144"/>
    </row>
    <row r="12" spans="1:33" ht="116.25" customHeight="1">
      <c r="A12" s="1524">
        <v>1111</v>
      </c>
      <c r="B12" s="955" t="s">
        <v>620</v>
      </c>
      <c r="C12" s="1073" t="s">
        <v>621</v>
      </c>
      <c r="D12" s="1292"/>
      <c r="E12" s="1293">
        <v>5</v>
      </c>
      <c r="F12" s="1294">
        <v>43206</v>
      </c>
      <c r="G12" s="1294">
        <f t="shared" si="7"/>
        <v>43210</v>
      </c>
      <c r="H12" s="1292" t="s">
        <v>622</v>
      </c>
      <c r="I12" s="1293" t="s">
        <v>170</v>
      </c>
      <c r="J12" s="643" t="s">
        <v>623</v>
      </c>
      <c r="K12" s="1292" t="s">
        <v>626</v>
      </c>
      <c r="L12" s="1231">
        <v>23174</v>
      </c>
      <c r="M12" s="1292"/>
      <c r="N12" s="1292"/>
      <c r="O12" s="647">
        <v>93.333333333333343</v>
      </c>
      <c r="P12" s="1292">
        <v>1</v>
      </c>
      <c r="Q12" s="1295">
        <f t="shared" ref="Q12:Q75" si="9">O12*P12</f>
        <v>93.333333333333343</v>
      </c>
      <c r="R12" s="956">
        <v>93.333333333333343</v>
      </c>
      <c r="S12" s="954"/>
      <c r="T12" s="654">
        <f t="shared" si="8"/>
        <v>93.333333333333343</v>
      </c>
      <c r="U12" s="954"/>
      <c r="V12" s="954"/>
      <c r="W12" s="954"/>
      <c r="X12" s="1166"/>
      <c r="Y12" s="1144"/>
      <c r="Z12" s="1124"/>
      <c r="AA12" s="1124"/>
      <c r="AB12" s="1124"/>
      <c r="AC12" s="1124"/>
      <c r="AD12" s="1124"/>
      <c r="AE12" s="1124"/>
      <c r="AF12" s="1124"/>
      <c r="AG12" s="1144"/>
    </row>
    <row r="13" spans="1:33" ht="116.25" customHeight="1">
      <c r="A13" s="1524">
        <v>1111</v>
      </c>
      <c r="B13" s="955" t="s">
        <v>620</v>
      </c>
      <c r="C13" s="1073" t="s">
        <v>621</v>
      </c>
      <c r="D13" s="1292"/>
      <c r="E13" s="1293">
        <v>5</v>
      </c>
      <c r="F13" s="1294">
        <v>43206</v>
      </c>
      <c r="G13" s="1294">
        <f t="shared" si="7"/>
        <v>43210</v>
      </c>
      <c r="H13" s="1292" t="s">
        <v>622</v>
      </c>
      <c r="I13" s="1293" t="s">
        <v>170</v>
      </c>
      <c r="J13" s="643" t="s">
        <v>623</v>
      </c>
      <c r="K13" s="1292" t="s">
        <v>627</v>
      </c>
      <c r="L13" s="1231">
        <v>23174</v>
      </c>
      <c r="M13" s="1292"/>
      <c r="N13" s="1292"/>
      <c r="O13" s="647">
        <v>70</v>
      </c>
      <c r="P13" s="1292">
        <v>1</v>
      </c>
      <c r="Q13" s="1295">
        <f t="shared" si="9"/>
        <v>70</v>
      </c>
      <c r="R13" s="956">
        <v>70</v>
      </c>
      <c r="S13" s="954"/>
      <c r="T13" s="654">
        <f t="shared" si="8"/>
        <v>70</v>
      </c>
      <c r="U13" s="954"/>
      <c r="V13" s="954"/>
      <c r="W13" s="954"/>
      <c r="X13" s="1166"/>
      <c r="Y13" s="1144"/>
      <c r="Z13" s="1124"/>
      <c r="AA13" s="1124"/>
      <c r="AB13" s="1124"/>
      <c r="AC13" s="1124"/>
      <c r="AD13" s="1124"/>
      <c r="AE13" s="1124"/>
      <c r="AF13" s="1124"/>
      <c r="AG13" s="1144"/>
    </row>
    <row r="14" spans="1:33" ht="116.25" customHeight="1">
      <c r="A14" s="1524">
        <v>1111</v>
      </c>
      <c r="B14" s="955" t="s">
        <v>620</v>
      </c>
      <c r="C14" s="1073" t="s">
        <v>621</v>
      </c>
      <c r="D14" s="1292"/>
      <c r="E14" s="1293">
        <v>5</v>
      </c>
      <c r="F14" s="1294">
        <v>43206</v>
      </c>
      <c r="G14" s="1294">
        <f t="shared" si="7"/>
        <v>43210</v>
      </c>
      <c r="H14" s="1292" t="s">
        <v>622</v>
      </c>
      <c r="I14" s="1293" t="s">
        <v>170</v>
      </c>
      <c r="J14" s="643" t="s">
        <v>623</v>
      </c>
      <c r="K14" s="1292" t="s">
        <v>628</v>
      </c>
      <c r="L14" s="1231">
        <v>23174</v>
      </c>
      <c r="M14" s="1292"/>
      <c r="N14" s="1292"/>
      <c r="O14" s="647">
        <v>46.666666666666671</v>
      </c>
      <c r="P14" s="1292">
        <v>1</v>
      </c>
      <c r="Q14" s="1295">
        <f t="shared" si="9"/>
        <v>46.666666666666671</v>
      </c>
      <c r="R14" s="956">
        <v>46.666666666666671</v>
      </c>
      <c r="S14" s="954"/>
      <c r="T14" s="654">
        <f t="shared" si="8"/>
        <v>46.666666666666671</v>
      </c>
      <c r="U14" s="954"/>
      <c r="V14" s="954"/>
      <c r="W14" s="954"/>
      <c r="X14" s="1166"/>
      <c r="Y14" s="1144"/>
      <c r="Z14" s="1124"/>
      <c r="AA14" s="1124"/>
      <c r="AB14" s="1124"/>
      <c r="AC14" s="1124"/>
      <c r="AD14" s="1124"/>
      <c r="AE14" s="1124"/>
      <c r="AF14" s="1124"/>
      <c r="AG14" s="1144"/>
    </row>
    <row r="15" spans="1:33" ht="116.25" customHeight="1">
      <c r="A15" s="1524">
        <v>1111</v>
      </c>
      <c r="B15" s="955" t="s">
        <v>620</v>
      </c>
      <c r="C15" s="1073" t="s">
        <v>621</v>
      </c>
      <c r="D15" s="1292"/>
      <c r="E15" s="1293">
        <v>5</v>
      </c>
      <c r="F15" s="1294">
        <v>43206</v>
      </c>
      <c r="G15" s="1294">
        <f t="shared" si="7"/>
        <v>43210</v>
      </c>
      <c r="H15" s="1292" t="s">
        <v>622</v>
      </c>
      <c r="I15" s="1293" t="s">
        <v>170</v>
      </c>
      <c r="J15" s="643" t="s">
        <v>623</v>
      </c>
      <c r="K15" s="1292" t="s">
        <v>629</v>
      </c>
      <c r="L15" s="1231">
        <v>23174</v>
      </c>
      <c r="M15" s="1292"/>
      <c r="N15" s="1292"/>
      <c r="O15" s="647">
        <v>336</v>
      </c>
      <c r="P15" s="1292">
        <v>1</v>
      </c>
      <c r="Q15" s="1295">
        <f t="shared" si="9"/>
        <v>336</v>
      </c>
      <c r="R15" s="956">
        <v>336</v>
      </c>
      <c r="S15" s="954"/>
      <c r="T15" s="654">
        <f t="shared" si="8"/>
        <v>336</v>
      </c>
      <c r="U15" s="954"/>
      <c r="V15" s="954"/>
      <c r="W15" s="954"/>
      <c r="X15" s="1166"/>
      <c r="Y15" s="1144"/>
      <c r="Z15" s="1124"/>
      <c r="AA15" s="1124"/>
      <c r="AB15" s="1124"/>
      <c r="AC15" s="1124"/>
      <c r="AD15" s="1124"/>
      <c r="AE15" s="1124"/>
      <c r="AF15" s="1124"/>
      <c r="AG15" s="1144"/>
    </row>
    <row r="16" spans="1:33" ht="116.25" customHeight="1">
      <c r="A16" s="1524">
        <v>1111</v>
      </c>
      <c r="B16" s="955" t="s">
        <v>620</v>
      </c>
      <c r="C16" s="1073" t="s">
        <v>621</v>
      </c>
      <c r="D16" s="1292"/>
      <c r="E16" s="1293">
        <v>5</v>
      </c>
      <c r="F16" s="1294">
        <v>43206</v>
      </c>
      <c r="G16" s="1294">
        <f t="shared" si="7"/>
        <v>43210</v>
      </c>
      <c r="H16" s="1292" t="s">
        <v>622</v>
      </c>
      <c r="I16" s="1293" t="s">
        <v>170</v>
      </c>
      <c r="J16" s="643" t="s">
        <v>623</v>
      </c>
      <c r="K16" s="1292" t="s">
        <v>630</v>
      </c>
      <c r="L16" s="1231">
        <v>23174</v>
      </c>
      <c r="M16" s="1292"/>
      <c r="N16" s="1292"/>
      <c r="O16" s="647">
        <v>373.33333333333337</v>
      </c>
      <c r="P16" s="1292">
        <v>1</v>
      </c>
      <c r="Q16" s="1295">
        <f t="shared" si="9"/>
        <v>373.33333333333337</v>
      </c>
      <c r="R16" s="956">
        <v>373.33333333333337</v>
      </c>
      <c r="S16" s="954"/>
      <c r="T16" s="654">
        <f t="shared" si="8"/>
        <v>373.33333333333337</v>
      </c>
      <c r="U16" s="954"/>
      <c r="V16" s="954"/>
      <c r="W16" s="954"/>
      <c r="X16" s="1166"/>
      <c r="Y16" s="1144"/>
      <c r="Z16" s="1124"/>
      <c r="AA16" s="1124"/>
      <c r="AB16" s="1124"/>
      <c r="AC16" s="1124"/>
      <c r="AD16" s="1124"/>
      <c r="AE16" s="1124"/>
      <c r="AF16" s="1124"/>
      <c r="AG16" s="1144"/>
    </row>
    <row r="17" spans="1:33" ht="116.25" customHeight="1">
      <c r="A17" s="1524">
        <v>1111</v>
      </c>
      <c r="B17" s="955" t="s">
        <v>620</v>
      </c>
      <c r="C17" s="1073" t="s">
        <v>621</v>
      </c>
      <c r="D17" s="1292"/>
      <c r="E17" s="1293">
        <v>5</v>
      </c>
      <c r="F17" s="1294">
        <v>43206</v>
      </c>
      <c r="G17" s="1294">
        <f t="shared" si="7"/>
        <v>43210</v>
      </c>
      <c r="H17" s="1292" t="s">
        <v>622</v>
      </c>
      <c r="I17" s="1293" t="s">
        <v>170</v>
      </c>
      <c r="J17" s="643" t="s">
        <v>623</v>
      </c>
      <c r="K17" s="1292" t="s">
        <v>631</v>
      </c>
      <c r="L17" s="1231">
        <v>23174</v>
      </c>
      <c r="M17" s="1292"/>
      <c r="N17" s="1292"/>
      <c r="O17" s="647">
        <v>107</v>
      </c>
      <c r="P17" s="1292">
        <v>1</v>
      </c>
      <c r="Q17" s="1295">
        <f t="shared" si="9"/>
        <v>107</v>
      </c>
      <c r="R17" s="956">
        <v>107</v>
      </c>
      <c r="S17" s="954"/>
      <c r="T17" s="654">
        <f t="shared" si="8"/>
        <v>107</v>
      </c>
      <c r="U17" s="954"/>
      <c r="V17" s="954"/>
      <c r="W17" s="954"/>
      <c r="X17" s="1166"/>
      <c r="Y17" s="1144"/>
      <c r="Z17" s="1124"/>
      <c r="AA17" s="1124"/>
      <c r="AB17" s="1124"/>
      <c r="AC17" s="1124"/>
      <c r="AD17" s="1124"/>
      <c r="AE17" s="1124"/>
      <c r="AF17" s="1124"/>
      <c r="AG17" s="1144"/>
    </row>
    <row r="18" spans="1:33" ht="116.25" customHeight="1">
      <c r="A18" s="1524">
        <v>1111</v>
      </c>
      <c r="B18" s="955" t="s">
        <v>620</v>
      </c>
      <c r="C18" s="1073" t="s">
        <v>621</v>
      </c>
      <c r="D18" s="1292"/>
      <c r="E18" s="1293">
        <v>5</v>
      </c>
      <c r="F18" s="1294">
        <v>43206</v>
      </c>
      <c r="G18" s="1294">
        <f t="shared" si="7"/>
        <v>43210</v>
      </c>
      <c r="H18" s="1292" t="s">
        <v>622</v>
      </c>
      <c r="I18" s="1293" t="s">
        <v>170</v>
      </c>
      <c r="J18" s="643" t="s">
        <v>623</v>
      </c>
      <c r="K18" s="1292" t="s">
        <v>633</v>
      </c>
      <c r="L18" s="1231">
        <v>23174</v>
      </c>
      <c r="M18" s="1292"/>
      <c r="N18" s="1292"/>
      <c r="O18" s="647">
        <v>91</v>
      </c>
      <c r="P18" s="1292">
        <v>1</v>
      </c>
      <c r="Q18" s="1295">
        <f t="shared" si="9"/>
        <v>91</v>
      </c>
      <c r="R18" s="956">
        <v>91</v>
      </c>
      <c r="S18" s="954"/>
      <c r="T18" s="654">
        <f t="shared" si="8"/>
        <v>91</v>
      </c>
      <c r="U18" s="954"/>
      <c r="V18" s="954"/>
      <c r="W18" s="954"/>
      <c r="X18" s="1166"/>
      <c r="Y18" s="1144"/>
      <c r="Z18" s="1124"/>
      <c r="AA18" s="1124"/>
      <c r="AB18" s="1124"/>
      <c r="AC18" s="1124"/>
      <c r="AD18" s="1124"/>
      <c r="AE18" s="1124"/>
      <c r="AF18" s="1124"/>
      <c r="AG18" s="1144"/>
    </row>
    <row r="19" spans="1:33" ht="116.25" customHeight="1">
      <c r="A19" s="1524">
        <v>1111</v>
      </c>
      <c r="B19" s="955" t="s">
        <v>620</v>
      </c>
      <c r="C19" s="1073" t="s">
        <v>621</v>
      </c>
      <c r="D19" s="1292"/>
      <c r="E19" s="1293">
        <v>5</v>
      </c>
      <c r="F19" s="1294">
        <v>43206</v>
      </c>
      <c r="G19" s="1294">
        <f t="shared" si="7"/>
        <v>43210</v>
      </c>
      <c r="H19" s="1292" t="s">
        <v>622</v>
      </c>
      <c r="I19" s="1293" t="s">
        <v>170</v>
      </c>
      <c r="J19" s="643" t="s">
        <v>623</v>
      </c>
      <c r="K19" s="1292" t="s">
        <v>635</v>
      </c>
      <c r="L19" s="1231">
        <v>23174</v>
      </c>
      <c r="M19" s="1292"/>
      <c r="N19" s="1292"/>
      <c r="O19" s="647">
        <v>1092</v>
      </c>
      <c r="P19" s="1292">
        <v>1</v>
      </c>
      <c r="Q19" s="1295">
        <f t="shared" si="9"/>
        <v>1092</v>
      </c>
      <c r="R19" s="956">
        <v>1092</v>
      </c>
      <c r="S19" s="954"/>
      <c r="T19" s="654">
        <f t="shared" si="8"/>
        <v>1092</v>
      </c>
      <c r="U19" s="954"/>
      <c r="V19" s="954"/>
      <c r="W19" s="954"/>
      <c r="X19" s="1166"/>
      <c r="Y19" s="1144"/>
      <c r="Z19" s="1124"/>
      <c r="AA19" s="1124"/>
      <c r="AB19" s="1124"/>
      <c r="AC19" s="1124"/>
      <c r="AD19" s="1124"/>
      <c r="AE19" s="1124"/>
      <c r="AF19" s="1124"/>
      <c r="AG19" s="1144"/>
    </row>
    <row r="20" spans="1:33" ht="116.25" customHeight="1">
      <c r="A20" s="1524">
        <v>1111</v>
      </c>
      <c r="B20" s="955" t="s">
        <v>620</v>
      </c>
      <c r="C20" s="1073" t="s">
        <v>621</v>
      </c>
      <c r="D20" s="1292"/>
      <c r="E20" s="1293">
        <v>5</v>
      </c>
      <c r="F20" s="1294">
        <v>43206</v>
      </c>
      <c r="G20" s="1294">
        <f t="shared" si="7"/>
        <v>43210</v>
      </c>
      <c r="H20" s="1292" t="s">
        <v>622</v>
      </c>
      <c r="I20" s="1293" t="s">
        <v>170</v>
      </c>
      <c r="J20" s="643" t="s">
        <v>623</v>
      </c>
      <c r="K20" s="1292" t="s">
        <v>636</v>
      </c>
      <c r="L20" s="1231">
        <v>23174</v>
      </c>
      <c r="M20" s="1292"/>
      <c r="N20" s="1292"/>
      <c r="O20" s="647">
        <v>1213</v>
      </c>
      <c r="P20" s="1292">
        <v>1</v>
      </c>
      <c r="Q20" s="1295">
        <f t="shared" si="9"/>
        <v>1213</v>
      </c>
      <c r="R20" s="956">
        <v>1213</v>
      </c>
      <c r="S20" s="954"/>
      <c r="T20" s="654">
        <f t="shared" si="8"/>
        <v>1213</v>
      </c>
      <c r="U20" s="954"/>
      <c r="V20" s="954"/>
      <c r="W20" s="954"/>
      <c r="X20" s="1166"/>
      <c r="Y20" s="1144"/>
      <c r="Z20" s="1124"/>
      <c r="AA20" s="1124"/>
      <c r="AB20" s="1124"/>
      <c r="AC20" s="1124"/>
      <c r="AD20" s="1124"/>
      <c r="AE20" s="1124"/>
      <c r="AF20" s="1124"/>
      <c r="AG20" s="1144"/>
    </row>
    <row r="21" spans="1:33" ht="116.25" customHeight="1">
      <c r="A21" s="1524">
        <v>1111</v>
      </c>
      <c r="B21" s="955" t="s">
        <v>620</v>
      </c>
      <c r="C21" s="1073" t="s">
        <v>621</v>
      </c>
      <c r="D21" s="1292"/>
      <c r="E21" s="1293">
        <v>5</v>
      </c>
      <c r="F21" s="1294">
        <v>43206</v>
      </c>
      <c r="G21" s="1294">
        <f t="shared" si="7"/>
        <v>43210</v>
      </c>
      <c r="H21" s="1292" t="s">
        <v>622</v>
      </c>
      <c r="I21" s="1293" t="s">
        <v>170</v>
      </c>
      <c r="J21" s="643" t="s">
        <v>623</v>
      </c>
      <c r="K21" s="1292" t="s">
        <v>637</v>
      </c>
      <c r="L21" s="1231">
        <v>23174</v>
      </c>
      <c r="M21" s="1292"/>
      <c r="N21" s="1292"/>
      <c r="O21" s="647">
        <v>173</v>
      </c>
      <c r="P21" s="1292">
        <v>1</v>
      </c>
      <c r="Q21" s="1295">
        <f t="shared" si="9"/>
        <v>173</v>
      </c>
      <c r="R21" s="956">
        <v>173</v>
      </c>
      <c r="S21" s="954"/>
      <c r="T21" s="654">
        <f t="shared" si="8"/>
        <v>173</v>
      </c>
      <c r="U21" s="954"/>
      <c r="V21" s="954"/>
      <c r="W21" s="954"/>
      <c r="X21" s="1166"/>
      <c r="Y21" s="1144"/>
      <c r="Z21" s="1124"/>
      <c r="AA21" s="1124"/>
      <c r="AB21" s="1124"/>
      <c r="AC21" s="1124"/>
      <c r="AD21" s="1124"/>
      <c r="AE21" s="1124"/>
      <c r="AF21" s="1124"/>
      <c r="AG21" s="1144"/>
    </row>
    <row r="22" spans="1:33" ht="116.25" customHeight="1">
      <c r="A22" s="1524">
        <v>1111</v>
      </c>
      <c r="B22" s="955" t="s">
        <v>620</v>
      </c>
      <c r="C22" s="1073" t="s">
        <v>621</v>
      </c>
      <c r="D22" s="1292"/>
      <c r="E22" s="1293">
        <v>5</v>
      </c>
      <c r="F22" s="1294">
        <v>43206</v>
      </c>
      <c r="G22" s="1294">
        <f t="shared" si="7"/>
        <v>43210</v>
      </c>
      <c r="H22" s="1292" t="s">
        <v>622</v>
      </c>
      <c r="I22" s="1293" t="s">
        <v>170</v>
      </c>
      <c r="J22" s="643" t="s">
        <v>623</v>
      </c>
      <c r="K22" s="1292" t="s">
        <v>638</v>
      </c>
      <c r="L22" s="1231">
        <v>23173</v>
      </c>
      <c r="M22" s="1292"/>
      <c r="N22" s="1292"/>
      <c r="O22" s="647">
        <v>300</v>
      </c>
      <c r="P22" s="1292">
        <v>1</v>
      </c>
      <c r="Q22" s="1295">
        <f t="shared" si="9"/>
        <v>300</v>
      </c>
      <c r="R22" s="956">
        <v>300</v>
      </c>
      <c r="S22" s="954"/>
      <c r="T22" s="654">
        <f t="shared" si="8"/>
        <v>300</v>
      </c>
      <c r="U22" s="954"/>
      <c r="V22" s="954"/>
      <c r="W22" s="954"/>
      <c r="X22" s="1166"/>
      <c r="Y22" s="1144"/>
      <c r="Z22" s="1124"/>
      <c r="AA22" s="1124"/>
      <c r="AB22" s="1124"/>
      <c r="AC22" s="1124"/>
      <c r="AD22" s="1124"/>
      <c r="AE22" s="1124"/>
      <c r="AF22" s="1124"/>
      <c r="AG22" s="1144"/>
    </row>
    <row r="23" spans="1:33" s="1028" customFormat="1" ht="116.25" customHeight="1">
      <c r="A23" s="1524">
        <v>1112</v>
      </c>
      <c r="B23" s="957" t="s">
        <v>640</v>
      </c>
      <c r="C23" s="1072" t="s">
        <v>641</v>
      </c>
      <c r="D23" s="1284"/>
      <c r="E23" s="1285">
        <v>5</v>
      </c>
      <c r="F23" s="1286">
        <v>43220</v>
      </c>
      <c r="G23" s="1286">
        <f t="shared" si="7"/>
        <v>43224</v>
      </c>
      <c r="H23" s="1284" t="s">
        <v>622</v>
      </c>
      <c r="I23" s="1285" t="s">
        <v>170</v>
      </c>
      <c r="J23" s="1026" t="s">
        <v>642</v>
      </c>
      <c r="K23" s="1284"/>
      <c r="L23" s="1230"/>
      <c r="M23" s="1284"/>
      <c r="N23" s="1284"/>
      <c r="O23" s="647"/>
      <c r="P23" s="1284"/>
      <c r="Q23" s="1288">
        <f>SUM(Q24:Q49)</f>
        <v>22315.666666666664</v>
      </c>
      <c r="R23" s="1027">
        <f>SUM(R24:R49)</f>
        <v>22315.666666666664</v>
      </c>
      <c r="S23" s="1289">
        <f t="shared" ref="S23:AF23" si="10">SUM(S24:S49)</f>
        <v>0</v>
      </c>
      <c r="T23" s="1289">
        <f t="shared" si="10"/>
        <v>8057.333333333333</v>
      </c>
      <c r="U23" s="1289">
        <f t="shared" si="10"/>
        <v>14258.333333333332</v>
      </c>
      <c r="V23" s="1289">
        <f t="shared" si="10"/>
        <v>0</v>
      </c>
      <c r="W23" s="1289">
        <f t="shared" si="10"/>
        <v>0</v>
      </c>
      <c r="X23" s="1290">
        <f t="shared" si="10"/>
        <v>0</v>
      </c>
      <c r="Y23" s="1291">
        <f t="shared" si="10"/>
        <v>0</v>
      </c>
      <c r="Z23" s="1184">
        <f t="shared" si="10"/>
        <v>0</v>
      </c>
      <c r="AA23" s="1184">
        <f t="shared" si="10"/>
        <v>0</v>
      </c>
      <c r="AB23" s="1184">
        <f t="shared" si="10"/>
        <v>0</v>
      </c>
      <c r="AC23" s="1184">
        <f t="shared" si="10"/>
        <v>0</v>
      </c>
      <c r="AD23" s="1184">
        <f t="shared" si="10"/>
        <v>0</v>
      </c>
      <c r="AE23" s="1184">
        <f t="shared" si="10"/>
        <v>0</v>
      </c>
      <c r="AF23" s="1184">
        <f t="shared" si="10"/>
        <v>0</v>
      </c>
      <c r="AG23" s="1047">
        <f>SUM(S23:AF23)</f>
        <v>22315.666666666664</v>
      </c>
    </row>
    <row r="24" spans="1:33" ht="116.25" customHeight="1">
      <c r="A24" s="1524">
        <v>1112</v>
      </c>
      <c r="B24" s="958" t="s">
        <v>640</v>
      </c>
      <c r="C24" s="1073" t="s">
        <v>641</v>
      </c>
      <c r="D24" s="1292"/>
      <c r="E24" s="1293">
        <v>5</v>
      </c>
      <c r="F24" s="1294">
        <v>43220</v>
      </c>
      <c r="G24" s="1294">
        <f t="shared" si="7"/>
        <v>43224</v>
      </c>
      <c r="H24" s="1292" t="s">
        <v>622</v>
      </c>
      <c r="I24" s="1293" t="s">
        <v>170</v>
      </c>
      <c r="J24" s="643" t="s">
        <v>642</v>
      </c>
      <c r="K24" s="1292" t="s">
        <v>643</v>
      </c>
      <c r="L24" s="1231">
        <v>23174</v>
      </c>
      <c r="M24" s="1292"/>
      <c r="N24" s="1292"/>
      <c r="O24" s="647">
        <v>60</v>
      </c>
      <c r="P24" s="1292">
        <v>1</v>
      </c>
      <c r="Q24" s="1295">
        <f t="shared" si="9"/>
        <v>60</v>
      </c>
      <c r="R24" s="956">
        <v>60</v>
      </c>
      <c r="S24" s="954"/>
      <c r="T24" s="654">
        <f>Q24</f>
        <v>60</v>
      </c>
      <c r="U24" s="651"/>
      <c r="V24" s="954"/>
      <c r="W24" s="954"/>
      <c r="X24" s="1166"/>
      <c r="Y24" s="1144"/>
      <c r="Z24" s="1124"/>
      <c r="AA24" s="1124"/>
      <c r="AB24" s="1124"/>
      <c r="AC24" s="1124"/>
      <c r="AD24" s="1124"/>
      <c r="AE24" s="1124"/>
      <c r="AF24" s="1124"/>
      <c r="AG24" s="1144"/>
    </row>
    <row r="25" spans="1:33" ht="116.25" customHeight="1">
      <c r="A25" s="1524">
        <v>1112</v>
      </c>
      <c r="B25" s="958" t="s">
        <v>640</v>
      </c>
      <c r="C25" s="1073" t="s">
        <v>641</v>
      </c>
      <c r="D25" s="1292"/>
      <c r="E25" s="1293">
        <v>5</v>
      </c>
      <c r="F25" s="1294">
        <v>43220</v>
      </c>
      <c r="G25" s="1294">
        <f t="shared" si="7"/>
        <v>43224</v>
      </c>
      <c r="H25" s="1292" t="s">
        <v>622</v>
      </c>
      <c r="I25" s="1293" t="s">
        <v>170</v>
      </c>
      <c r="J25" s="643" t="s">
        <v>642</v>
      </c>
      <c r="K25" s="1292" t="s">
        <v>644</v>
      </c>
      <c r="L25" s="1231">
        <v>23174</v>
      </c>
      <c r="M25" s="1292"/>
      <c r="N25" s="1292"/>
      <c r="O25" s="647">
        <v>66.666666666666671</v>
      </c>
      <c r="P25" s="1292">
        <v>1</v>
      </c>
      <c r="Q25" s="1295">
        <f t="shared" si="9"/>
        <v>66.666666666666671</v>
      </c>
      <c r="R25" s="956">
        <v>66.666666666666671</v>
      </c>
      <c r="S25" s="954"/>
      <c r="T25" s="654">
        <f>Q25</f>
        <v>66.666666666666671</v>
      </c>
      <c r="U25" s="651"/>
      <c r="V25" s="954"/>
      <c r="W25" s="954"/>
      <c r="X25" s="1166"/>
      <c r="Y25" s="1144"/>
      <c r="Z25" s="1124"/>
      <c r="AA25" s="1124"/>
      <c r="AB25" s="1124"/>
      <c r="AC25" s="1124"/>
      <c r="AD25" s="1124"/>
      <c r="AE25" s="1124"/>
      <c r="AF25" s="1124"/>
      <c r="AG25" s="1144"/>
    </row>
    <row r="26" spans="1:33" ht="116.25" customHeight="1">
      <c r="A26" s="1524">
        <v>1112</v>
      </c>
      <c r="B26" s="958" t="s">
        <v>640</v>
      </c>
      <c r="C26" s="1073" t="s">
        <v>641</v>
      </c>
      <c r="D26" s="1292"/>
      <c r="E26" s="1293">
        <v>5</v>
      </c>
      <c r="F26" s="1294">
        <v>43220</v>
      </c>
      <c r="G26" s="1294">
        <f t="shared" si="7"/>
        <v>43224</v>
      </c>
      <c r="H26" s="1292" t="s">
        <v>622</v>
      </c>
      <c r="I26" s="1293" t="s">
        <v>170</v>
      </c>
      <c r="J26" s="643" t="s">
        <v>642</v>
      </c>
      <c r="K26" s="1292" t="s">
        <v>645</v>
      </c>
      <c r="L26" s="1231">
        <v>23174</v>
      </c>
      <c r="M26" s="1292"/>
      <c r="N26" s="1292"/>
      <c r="O26" s="647">
        <v>50</v>
      </c>
      <c r="P26" s="1292">
        <v>1</v>
      </c>
      <c r="Q26" s="1295">
        <f t="shared" si="9"/>
        <v>50</v>
      </c>
      <c r="R26" s="956">
        <v>50</v>
      </c>
      <c r="S26" s="954"/>
      <c r="T26" s="654">
        <f>Q26</f>
        <v>50</v>
      </c>
      <c r="U26" s="651"/>
      <c r="V26" s="954"/>
      <c r="W26" s="954"/>
      <c r="X26" s="1166"/>
      <c r="Y26" s="1144"/>
      <c r="Z26" s="1124"/>
      <c r="AA26" s="1124"/>
      <c r="AB26" s="1124"/>
      <c r="AC26" s="1124"/>
      <c r="AD26" s="1124"/>
      <c r="AE26" s="1124"/>
      <c r="AF26" s="1124"/>
      <c r="AG26" s="1144"/>
    </row>
    <row r="27" spans="1:33" ht="116.25" customHeight="1">
      <c r="A27" s="1524">
        <v>1112</v>
      </c>
      <c r="B27" s="958" t="s">
        <v>640</v>
      </c>
      <c r="C27" s="1073" t="s">
        <v>641</v>
      </c>
      <c r="D27" s="1292"/>
      <c r="E27" s="1293">
        <v>5</v>
      </c>
      <c r="F27" s="1294">
        <v>43220</v>
      </c>
      <c r="G27" s="1294">
        <f t="shared" si="7"/>
        <v>43224</v>
      </c>
      <c r="H27" s="1292" t="s">
        <v>622</v>
      </c>
      <c r="I27" s="1293" t="s">
        <v>170</v>
      </c>
      <c r="J27" s="643" t="s">
        <v>642</v>
      </c>
      <c r="K27" s="1292" t="s">
        <v>646</v>
      </c>
      <c r="L27" s="1231">
        <v>23174</v>
      </c>
      <c r="M27" s="1292"/>
      <c r="N27" s="1292"/>
      <c r="O27" s="647">
        <v>33.333333333333336</v>
      </c>
      <c r="P27" s="1292">
        <v>1</v>
      </c>
      <c r="Q27" s="1295">
        <f t="shared" si="9"/>
        <v>33.333333333333336</v>
      </c>
      <c r="R27" s="956">
        <v>33.333333333333336</v>
      </c>
      <c r="S27" s="954"/>
      <c r="T27" s="654">
        <f>Q27</f>
        <v>33.333333333333336</v>
      </c>
      <c r="U27" s="651"/>
      <c r="V27" s="954"/>
      <c r="W27" s="954"/>
      <c r="X27" s="1166"/>
      <c r="Y27" s="1144"/>
      <c r="Z27" s="1124"/>
      <c r="AA27" s="1124"/>
      <c r="AB27" s="1124"/>
      <c r="AC27" s="1124"/>
      <c r="AD27" s="1124"/>
      <c r="AE27" s="1124"/>
      <c r="AF27" s="1124"/>
      <c r="AG27" s="1144"/>
    </row>
    <row r="28" spans="1:33" ht="116.25" customHeight="1">
      <c r="A28" s="1524">
        <v>1112</v>
      </c>
      <c r="B28" s="958" t="s">
        <v>640</v>
      </c>
      <c r="C28" s="1073" t="s">
        <v>641</v>
      </c>
      <c r="D28" s="1292"/>
      <c r="E28" s="1293">
        <v>5</v>
      </c>
      <c r="F28" s="1294">
        <v>43220</v>
      </c>
      <c r="G28" s="1294">
        <f t="shared" si="7"/>
        <v>43224</v>
      </c>
      <c r="H28" s="1292" t="s">
        <v>622</v>
      </c>
      <c r="I28" s="1293" t="s">
        <v>170</v>
      </c>
      <c r="J28" s="643" t="s">
        <v>642</v>
      </c>
      <c r="K28" s="1292" t="s">
        <v>647</v>
      </c>
      <c r="L28" s="1231">
        <v>23174</v>
      </c>
      <c r="M28" s="1292"/>
      <c r="N28" s="1292"/>
      <c r="O28" s="647">
        <v>588</v>
      </c>
      <c r="P28" s="1292">
        <v>1</v>
      </c>
      <c r="Q28" s="1295">
        <f t="shared" si="9"/>
        <v>588</v>
      </c>
      <c r="R28" s="956">
        <v>588</v>
      </c>
      <c r="S28" s="954"/>
      <c r="T28" s="651"/>
      <c r="U28" s="654">
        <f>Q28</f>
        <v>588</v>
      </c>
      <c r="V28" s="954"/>
      <c r="W28" s="954"/>
      <c r="X28" s="1166"/>
      <c r="Y28" s="1144"/>
      <c r="Z28" s="1124"/>
      <c r="AA28" s="1124"/>
      <c r="AB28" s="1124"/>
      <c r="AC28" s="1124"/>
      <c r="AD28" s="1124"/>
      <c r="AE28" s="1124"/>
      <c r="AF28" s="1124"/>
      <c r="AG28" s="1144"/>
    </row>
    <row r="29" spans="1:33" ht="116.25" customHeight="1">
      <c r="A29" s="1524">
        <v>1112</v>
      </c>
      <c r="B29" s="958" t="s">
        <v>640</v>
      </c>
      <c r="C29" s="1073" t="s">
        <v>641</v>
      </c>
      <c r="D29" s="1292"/>
      <c r="E29" s="1293">
        <v>5</v>
      </c>
      <c r="F29" s="1294">
        <v>43220</v>
      </c>
      <c r="G29" s="1294">
        <f t="shared" si="7"/>
        <v>43224</v>
      </c>
      <c r="H29" s="1292" t="s">
        <v>622</v>
      </c>
      <c r="I29" s="1293" t="s">
        <v>170</v>
      </c>
      <c r="J29" s="643" t="s">
        <v>642</v>
      </c>
      <c r="K29" s="1292" t="s">
        <v>648</v>
      </c>
      <c r="L29" s="1231">
        <v>23174</v>
      </c>
      <c r="M29" s="1292"/>
      <c r="N29" s="1292"/>
      <c r="O29" s="647">
        <v>653.33333333333337</v>
      </c>
      <c r="P29" s="1292">
        <v>1</v>
      </c>
      <c r="Q29" s="1295">
        <f t="shared" si="9"/>
        <v>653.33333333333337</v>
      </c>
      <c r="R29" s="956">
        <v>653.33333333333337</v>
      </c>
      <c r="S29" s="954"/>
      <c r="T29" s="651"/>
      <c r="U29" s="654">
        <f>Q29</f>
        <v>653.33333333333337</v>
      </c>
      <c r="V29" s="954"/>
      <c r="W29" s="954"/>
      <c r="X29" s="1166"/>
      <c r="Y29" s="1144"/>
      <c r="Z29" s="1124"/>
      <c r="AA29" s="1124"/>
      <c r="AB29" s="1124"/>
      <c r="AC29" s="1124"/>
      <c r="AD29" s="1124"/>
      <c r="AE29" s="1124"/>
      <c r="AF29" s="1124"/>
      <c r="AG29" s="1144"/>
    </row>
    <row r="30" spans="1:33" ht="116.25" customHeight="1">
      <c r="A30" s="1524">
        <v>1112</v>
      </c>
      <c r="B30" s="958" t="s">
        <v>640</v>
      </c>
      <c r="C30" s="1073" t="s">
        <v>641</v>
      </c>
      <c r="D30" s="1292"/>
      <c r="E30" s="1293">
        <v>5</v>
      </c>
      <c r="F30" s="1294">
        <v>43220</v>
      </c>
      <c r="G30" s="1294">
        <f t="shared" si="7"/>
        <v>43224</v>
      </c>
      <c r="H30" s="1292" t="s">
        <v>622</v>
      </c>
      <c r="I30" s="1293" t="s">
        <v>170</v>
      </c>
      <c r="J30" s="643" t="s">
        <v>642</v>
      </c>
      <c r="K30" s="1292" t="s">
        <v>649</v>
      </c>
      <c r="L30" s="1231">
        <v>23174</v>
      </c>
      <c r="M30" s="1292"/>
      <c r="N30" s="1292"/>
      <c r="O30" s="647">
        <v>490</v>
      </c>
      <c r="P30" s="1292">
        <v>1</v>
      </c>
      <c r="Q30" s="1295">
        <f t="shared" si="9"/>
        <v>490</v>
      </c>
      <c r="R30" s="956">
        <v>490</v>
      </c>
      <c r="S30" s="954"/>
      <c r="T30" s="651"/>
      <c r="U30" s="654">
        <f>Q30</f>
        <v>490</v>
      </c>
      <c r="V30" s="954"/>
      <c r="W30" s="954"/>
      <c r="X30" s="1166"/>
      <c r="Y30" s="1144"/>
      <c r="Z30" s="1124"/>
      <c r="AA30" s="1124"/>
      <c r="AB30" s="1124"/>
      <c r="AC30" s="1124"/>
      <c r="AD30" s="1124"/>
      <c r="AE30" s="1124"/>
      <c r="AF30" s="1124"/>
      <c r="AG30" s="1144"/>
    </row>
    <row r="31" spans="1:33" ht="116.25" customHeight="1">
      <c r="A31" s="1524">
        <v>1112</v>
      </c>
      <c r="B31" s="958" t="s">
        <v>640</v>
      </c>
      <c r="C31" s="1073" t="s">
        <v>641</v>
      </c>
      <c r="D31" s="1292"/>
      <c r="E31" s="1293">
        <v>5</v>
      </c>
      <c r="F31" s="1294">
        <v>43220</v>
      </c>
      <c r="G31" s="1294">
        <f t="shared" si="7"/>
        <v>43224</v>
      </c>
      <c r="H31" s="1292" t="s">
        <v>622</v>
      </c>
      <c r="I31" s="1293" t="s">
        <v>170</v>
      </c>
      <c r="J31" s="643" t="s">
        <v>642</v>
      </c>
      <c r="K31" s="1292" t="s">
        <v>650</v>
      </c>
      <c r="L31" s="1231">
        <v>23174</v>
      </c>
      <c r="M31" s="1292"/>
      <c r="N31" s="1292"/>
      <c r="O31" s="647">
        <v>326.66666666666669</v>
      </c>
      <c r="P31" s="1292">
        <v>1</v>
      </c>
      <c r="Q31" s="1295">
        <f t="shared" si="9"/>
        <v>326.66666666666669</v>
      </c>
      <c r="R31" s="956">
        <v>326.66666666666669</v>
      </c>
      <c r="S31" s="954"/>
      <c r="T31" s="651"/>
      <c r="U31" s="654">
        <f>Q31</f>
        <v>326.66666666666669</v>
      </c>
      <c r="V31" s="954"/>
      <c r="W31" s="954"/>
      <c r="X31" s="1166"/>
      <c r="Y31" s="1144"/>
      <c r="Z31" s="1124"/>
      <c r="AA31" s="1124"/>
      <c r="AB31" s="1124"/>
      <c r="AC31" s="1124"/>
      <c r="AD31" s="1124"/>
      <c r="AE31" s="1124"/>
      <c r="AF31" s="1124"/>
      <c r="AG31" s="1144"/>
    </row>
    <row r="32" spans="1:33" ht="116.25" customHeight="1">
      <c r="A32" s="1524">
        <v>1112</v>
      </c>
      <c r="B32" s="958" t="s">
        <v>640</v>
      </c>
      <c r="C32" s="1073" t="s">
        <v>641</v>
      </c>
      <c r="D32" s="1292"/>
      <c r="E32" s="1293">
        <v>5</v>
      </c>
      <c r="F32" s="1294">
        <v>43220</v>
      </c>
      <c r="G32" s="1294">
        <f t="shared" si="7"/>
        <v>43224</v>
      </c>
      <c r="H32" s="1292" t="s">
        <v>622</v>
      </c>
      <c r="I32" s="1293" t="s">
        <v>170</v>
      </c>
      <c r="J32" s="643" t="s">
        <v>642</v>
      </c>
      <c r="K32" s="1292" t="s">
        <v>651</v>
      </c>
      <c r="L32" s="1231">
        <v>23174</v>
      </c>
      <c r="M32" s="1292"/>
      <c r="N32" s="1292"/>
      <c r="O32" s="647">
        <v>6347</v>
      </c>
      <c r="P32" s="1292">
        <v>1</v>
      </c>
      <c r="Q32" s="1295">
        <f t="shared" si="9"/>
        <v>6347</v>
      </c>
      <c r="R32" s="956">
        <v>6347</v>
      </c>
      <c r="S32" s="954"/>
      <c r="T32" s="654">
        <f>Q32</f>
        <v>6347</v>
      </c>
      <c r="U32" s="651"/>
      <c r="V32" s="954"/>
      <c r="W32" s="954"/>
      <c r="X32" s="1166"/>
      <c r="Y32" s="1144"/>
      <c r="Z32" s="1124"/>
      <c r="AA32" s="1124"/>
      <c r="AB32" s="1124"/>
      <c r="AC32" s="1124"/>
      <c r="AD32" s="1124"/>
      <c r="AE32" s="1124"/>
      <c r="AF32" s="1124"/>
      <c r="AG32" s="1144"/>
    </row>
    <row r="33" spans="1:33" ht="116.25" customHeight="1">
      <c r="A33" s="1524">
        <v>1112</v>
      </c>
      <c r="B33" s="958" t="s">
        <v>640</v>
      </c>
      <c r="C33" s="1073" t="s">
        <v>641</v>
      </c>
      <c r="D33" s="1292"/>
      <c r="E33" s="1293">
        <v>5</v>
      </c>
      <c r="F33" s="1294">
        <v>43220</v>
      </c>
      <c r="G33" s="1294">
        <f t="shared" si="7"/>
        <v>43224</v>
      </c>
      <c r="H33" s="1292" t="s">
        <v>622</v>
      </c>
      <c r="I33" s="1293" t="s">
        <v>170</v>
      </c>
      <c r="J33" s="643" t="s">
        <v>642</v>
      </c>
      <c r="K33" s="1292" t="s">
        <v>652</v>
      </c>
      <c r="L33" s="1231">
        <v>23174</v>
      </c>
      <c r="M33" s="1292"/>
      <c r="N33" s="1292"/>
      <c r="O33" s="647">
        <v>924</v>
      </c>
      <c r="P33" s="1292">
        <v>1</v>
      </c>
      <c r="Q33" s="1295">
        <f t="shared" si="9"/>
        <v>924</v>
      </c>
      <c r="R33" s="956">
        <v>924</v>
      </c>
      <c r="S33" s="954"/>
      <c r="T33" s="651"/>
      <c r="U33" s="654">
        <f t="shared" ref="U33:U39" si="11">Q33</f>
        <v>924</v>
      </c>
      <c r="V33" s="954"/>
      <c r="W33" s="954"/>
      <c r="X33" s="1166"/>
      <c r="Y33" s="1144"/>
      <c r="Z33" s="1124"/>
      <c r="AA33" s="1124"/>
      <c r="AB33" s="1124"/>
      <c r="AC33" s="1124"/>
      <c r="AD33" s="1124"/>
      <c r="AE33" s="1124"/>
      <c r="AF33" s="1124"/>
      <c r="AG33" s="1144"/>
    </row>
    <row r="34" spans="1:33" ht="116.25" customHeight="1">
      <c r="A34" s="1524">
        <v>1112</v>
      </c>
      <c r="B34" s="958" t="s">
        <v>640</v>
      </c>
      <c r="C34" s="1073" t="s">
        <v>641</v>
      </c>
      <c r="D34" s="1292"/>
      <c r="E34" s="1293">
        <v>5</v>
      </c>
      <c r="F34" s="1294">
        <v>43220</v>
      </c>
      <c r="G34" s="1294">
        <f t="shared" si="7"/>
        <v>43224</v>
      </c>
      <c r="H34" s="1292" t="s">
        <v>622</v>
      </c>
      <c r="I34" s="1293" t="s">
        <v>170</v>
      </c>
      <c r="J34" s="643" t="s">
        <v>642</v>
      </c>
      <c r="K34" s="1292" t="s">
        <v>653</v>
      </c>
      <c r="L34" s="1231">
        <v>23174</v>
      </c>
      <c r="M34" s="1292"/>
      <c r="N34" s="1292"/>
      <c r="O34" s="647">
        <v>1026.6666666666665</v>
      </c>
      <c r="P34" s="1292">
        <v>1</v>
      </c>
      <c r="Q34" s="1295">
        <f t="shared" si="9"/>
        <v>1026.6666666666665</v>
      </c>
      <c r="R34" s="956">
        <v>1026.6666666666665</v>
      </c>
      <c r="S34" s="954"/>
      <c r="T34" s="651"/>
      <c r="U34" s="654">
        <f t="shared" si="11"/>
        <v>1026.6666666666665</v>
      </c>
      <c r="V34" s="954"/>
      <c r="W34" s="954"/>
      <c r="X34" s="1166"/>
      <c r="Y34" s="1144"/>
      <c r="Z34" s="1124"/>
      <c r="AA34" s="1124"/>
      <c r="AB34" s="1124"/>
      <c r="AC34" s="1124"/>
      <c r="AD34" s="1124"/>
      <c r="AE34" s="1124"/>
      <c r="AF34" s="1124"/>
      <c r="AG34" s="1144"/>
    </row>
    <row r="35" spans="1:33" ht="116.25" customHeight="1">
      <c r="A35" s="1524">
        <v>1112</v>
      </c>
      <c r="B35" s="958" t="s">
        <v>640</v>
      </c>
      <c r="C35" s="1073" t="s">
        <v>641</v>
      </c>
      <c r="D35" s="1292"/>
      <c r="E35" s="1293">
        <v>5</v>
      </c>
      <c r="F35" s="1294">
        <v>43220</v>
      </c>
      <c r="G35" s="1294">
        <f t="shared" si="7"/>
        <v>43224</v>
      </c>
      <c r="H35" s="1292" t="s">
        <v>622</v>
      </c>
      <c r="I35" s="1293"/>
      <c r="J35" s="643"/>
      <c r="K35" s="1292" t="s">
        <v>654</v>
      </c>
      <c r="L35" s="1231">
        <v>23174</v>
      </c>
      <c r="M35" s="1292"/>
      <c r="N35" s="1292"/>
      <c r="O35" s="647">
        <v>770</v>
      </c>
      <c r="P35" s="1292">
        <v>1</v>
      </c>
      <c r="Q35" s="1295">
        <f t="shared" si="9"/>
        <v>770</v>
      </c>
      <c r="R35" s="956">
        <v>770</v>
      </c>
      <c r="S35" s="954"/>
      <c r="T35" s="651"/>
      <c r="U35" s="654">
        <f t="shared" si="11"/>
        <v>770</v>
      </c>
      <c r="V35" s="954"/>
      <c r="W35" s="954"/>
      <c r="X35" s="1166"/>
      <c r="Y35" s="1144"/>
      <c r="Z35" s="1124"/>
      <c r="AA35" s="1124"/>
      <c r="AB35" s="1124"/>
      <c r="AC35" s="1124"/>
      <c r="AD35" s="1124"/>
      <c r="AE35" s="1124"/>
      <c r="AF35" s="1124"/>
      <c r="AG35" s="1144"/>
    </row>
    <row r="36" spans="1:33" ht="116.25" customHeight="1">
      <c r="A36" s="1524">
        <v>1112</v>
      </c>
      <c r="B36" s="958" t="s">
        <v>640</v>
      </c>
      <c r="C36" s="1073" t="s">
        <v>641</v>
      </c>
      <c r="D36" s="1292"/>
      <c r="E36" s="1293">
        <v>5</v>
      </c>
      <c r="F36" s="1294">
        <v>43220</v>
      </c>
      <c r="G36" s="1294">
        <f t="shared" si="7"/>
        <v>43224</v>
      </c>
      <c r="H36" s="1292" t="s">
        <v>622</v>
      </c>
      <c r="I36" s="1293"/>
      <c r="J36" s="643"/>
      <c r="K36" s="1292" t="s">
        <v>655</v>
      </c>
      <c r="L36" s="1231">
        <v>23174</v>
      </c>
      <c r="M36" s="1292"/>
      <c r="N36" s="1292"/>
      <c r="O36" s="647">
        <v>513</v>
      </c>
      <c r="P36" s="1292">
        <v>1</v>
      </c>
      <c r="Q36" s="1295">
        <f t="shared" si="9"/>
        <v>513</v>
      </c>
      <c r="R36" s="956">
        <v>513</v>
      </c>
      <c r="S36" s="954"/>
      <c r="T36" s="651"/>
      <c r="U36" s="654">
        <f t="shared" si="11"/>
        <v>513</v>
      </c>
      <c r="V36" s="954"/>
      <c r="W36" s="954"/>
      <c r="X36" s="1166"/>
      <c r="Y36" s="1144"/>
      <c r="Z36" s="1124"/>
      <c r="AA36" s="1124"/>
      <c r="AB36" s="1124"/>
      <c r="AC36" s="1124"/>
      <c r="AD36" s="1124"/>
      <c r="AE36" s="1124"/>
      <c r="AF36" s="1124"/>
      <c r="AG36" s="1144"/>
    </row>
    <row r="37" spans="1:33" ht="116.25" customHeight="1">
      <c r="A37" s="1524">
        <v>1112</v>
      </c>
      <c r="B37" s="958" t="s">
        <v>640</v>
      </c>
      <c r="C37" s="1073" t="s">
        <v>641</v>
      </c>
      <c r="D37" s="1292"/>
      <c r="E37" s="1293">
        <v>5</v>
      </c>
      <c r="F37" s="1294">
        <v>43220</v>
      </c>
      <c r="G37" s="1294">
        <f t="shared" si="7"/>
        <v>43224</v>
      </c>
      <c r="H37" s="1292" t="s">
        <v>622</v>
      </c>
      <c r="I37" s="1293" t="s">
        <v>170</v>
      </c>
      <c r="J37" s="643" t="s">
        <v>642</v>
      </c>
      <c r="K37" s="1292" t="s">
        <v>656</v>
      </c>
      <c r="L37" s="1231">
        <v>23174</v>
      </c>
      <c r="M37" s="1292"/>
      <c r="N37" s="1292"/>
      <c r="O37" s="647">
        <v>1764</v>
      </c>
      <c r="P37" s="1292">
        <v>1</v>
      </c>
      <c r="Q37" s="1295">
        <f t="shared" si="9"/>
        <v>1764</v>
      </c>
      <c r="R37" s="956">
        <v>1764</v>
      </c>
      <c r="S37" s="954"/>
      <c r="T37" s="651"/>
      <c r="U37" s="654">
        <f t="shared" si="11"/>
        <v>1764</v>
      </c>
      <c r="V37" s="954"/>
      <c r="W37" s="954"/>
      <c r="X37" s="1166"/>
      <c r="Y37" s="1144"/>
      <c r="Z37" s="1124"/>
      <c r="AA37" s="1124"/>
      <c r="AB37" s="1124"/>
      <c r="AC37" s="1124"/>
      <c r="AD37" s="1124"/>
      <c r="AE37" s="1124"/>
      <c r="AF37" s="1124"/>
      <c r="AG37" s="1144"/>
    </row>
    <row r="38" spans="1:33" ht="116.25" customHeight="1">
      <c r="A38" s="1524">
        <v>1112</v>
      </c>
      <c r="B38" s="958" t="s">
        <v>640</v>
      </c>
      <c r="C38" s="1073" t="s">
        <v>641</v>
      </c>
      <c r="D38" s="1292"/>
      <c r="E38" s="1293">
        <v>5</v>
      </c>
      <c r="F38" s="1294">
        <v>43220</v>
      </c>
      <c r="G38" s="1294">
        <f t="shared" si="7"/>
        <v>43224</v>
      </c>
      <c r="H38" s="1292" t="s">
        <v>622</v>
      </c>
      <c r="I38" s="1293" t="s">
        <v>170</v>
      </c>
      <c r="J38" s="643" t="s">
        <v>642</v>
      </c>
      <c r="K38" s="1292" t="s">
        <v>657</v>
      </c>
      <c r="L38" s="1231">
        <v>23174</v>
      </c>
      <c r="M38" s="1292"/>
      <c r="N38" s="1292"/>
      <c r="O38" s="647">
        <v>1960</v>
      </c>
      <c r="P38" s="1292">
        <v>1</v>
      </c>
      <c r="Q38" s="1295">
        <f t="shared" si="9"/>
        <v>1960</v>
      </c>
      <c r="R38" s="956">
        <v>1960</v>
      </c>
      <c r="S38" s="954"/>
      <c r="T38" s="651"/>
      <c r="U38" s="654">
        <f t="shared" si="11"/>
        <v>1960</v>
      </c>
      <c r="V38" s="954"/>
      <c r="W38" s="954"/>
      <c r="X38" s="1166"/>
      <c r="Y38" s="1144"/>
      <c r="Z38" s="1124"/>
      <c r="AA38" s="1124"/>
      <c r="AB38" s="1124"/>
      <c r="AC38" s="1124"/>
      <c r="AD38" s="1124"/>
      <c r="AE38" s="1124"/>
      <c r="AF38" s="1124"/>
      <c r="AG38" s="1144"/>
    </row>
    <row r="39" spans="1:33" ht="116.25" customHeight="1">
      <c r="A39" s="1524">
        <v>1112</v>
      </c>
      <c r="B39" s="958" t="s">
        <v>640</v>
      </c>
      <c r="C39" s="1073" t="s">
        <v>641</v>
      </c>
      <c r="D39" s="1292"/>
      <c r="E39" s="1293">
        <v>5</v>
      </c>
      <c r="F39" s="1294">
        <v>43220</v>
      </c>
      <c r="G39" s="1294">
        <f t="shared" si="7"/>
        <v>43224</v>
      </c>
      <c r="H39" s="1292" t="s">
        <v>622</v>
      </c>
      <c r="I39" s="1293"/>
      <c r="J39" s="643"/>
      <c r="K39" s="1292" t="s">
        <v>658</v>
      </c>
      <c r="L39" s="1231">
        <v>23174</v>
      </c>
      <c r="M39" s="1292"/>
      <c r="N39" s="1292"/>
      <c r="O39" s="647">
        <v>1960</v>
      </c>
      <c r="P39" s="1292">
        <v>1</v>
      </c>
      <c r="Q39" s="1295">
        <f t="shared" si="9"/>
        <v>1960</v>
      </c>
      <c r="R39" s="956">
        <v>1960</v>
      </c>
      <c r="S39" s="954"/>
      <c r="T39" s="651"/>
      <c r="U39" s="654">
        <f t="shared" si="11"/>
        <v>1960</v>
      </c>
      <c r="V39" s="954"/>
      <c r="W39" s="954"/>
      <c r="X39" s="1166"/>
      <c r="Y39" s="1144"/>
      <c r="Z39" s="1124"/>
      <c r="AA39" s="1124"/>
      <c r="AB39" s="1124"/>
      <c r="AC39" s="1124"/>
      <c r="AD39" s="1124"/>
      <c r="AE39" s="1124"/>
      <c r="AF39" s="1124"/>
      <c r="AG39" s="1144"/>
    </row>
    <row r="40" spans="1:33" ht="116.25" customHeight="1">
      <c r="A40" s="1524">
        <v>1112</v>
      </c>
      <c r="B40" s="958" t="s">
        <v>640</v>
      </c>
      <c r="C40" s="1073" t="s">
        <v>641</v>
      </c>
      <c r="D40" s="1292"/>
      <c r="E40" s="1293">
        <v>5</v>
      </c>
      <c r="F40" s="1294">
        <v>43220</v>
      </c>
      <c r="G40" s="1294">
        <f t="shared" si="7"/>
        <v>43224</v>
      </c>
      <c r="H40" s="1292" t="s">
        <v>622</v>
      </c>
      <c r="I40" s="1293" t="s">
        <v>170</v>
      </c>
      <c r="J40" s="643" t="s">
        <v>642</v>
      </c>
      <c r="K40" s="1292" t="s">
        <v>659</v>
      </c>
      <c r="L40" s="1231">
        <v>23174</v>
      </c>
      <c r="M40" s="1292"/>
      <c r="N40" s="1292"/>
      <c r="O40" s="647">
        <v>84</v>
      </c>
      <c r="P40" s="1292">
        <v>1</v>
      </c>
      <c r="Q40" s="1295">
        <f t="shared" si="9"/>
        <v>84</v>
      </c>
      <c r="R40" s="956">
        <v>84</v>
      </c>
      <c r="S40" s="954"/>
      <c r="T40" s="654">
        <f>Q40</f>
        <v>84</v>
      </c>
      <c r="U40" s="651"/>
      <c r="V40" s="954"/>
      <c r="W40" s="954"/>
      <c r="X40" s="1166"/>
      <c r="Y40" s="1144"/>
      <c r="Z40" s="1124"/>
      <c r="AA40" s="1124"/>
      <c r="AB40" s="1124"/>
      <c r="AC40" s="1124"/>
      <c r="AD40" s="1124"/>
      <c r="AE40" s="1124"/>
      <c r="AF40" s="1124"/>
      <c r="AG40" s="1144"/>
    </row>
    <row r="41" spans="1:33" ht="116.25" customHeight="1">
      <c r="A41" s="1524">
        <v>1112</v>
      </c>
      <c r="B41" s="958" t="s">
        <v>640</v>
      </c>
      <c r="C41" s="1073" t="s">
        <v>641</v>
      </c>
      <c r="D41" s="1292"/>
      <c r="E41" s="1293">
        <v>5</v>
      </c>
      <c r="F41" s="1294">
        <v>43220</v>
      </c>
      <c r="G41" s="1294">
        <f t="shared" si="7"/>
        <v>43224</v>
      </c>
      <c r="H41" s="1292" t="s">
        <v>622</v>
      </c>
      <c r="I41" s="1293" t="s">
        <v>170</v>
      </c>
      <c r="J41" s="643" t="s">
        <v>642</v>
      </c>
      <c r="K41" s="1292" t="s">
        <v>660</v>
      </c>
      <c r="L41" s="1231">
        <v>23174</v>
      </c>
      <c r="M41" s="1292"/>
      <c r="N41" s="1292"/>
      <c r="O41" s="647">
        <v>93.333333333333343</v>
      </c>
      <c r="P41" s="1292">
        <v>1</v>
      </c>
      <c r="Q41" s="1295">
        <f t="shared" si="9"/>
        <v>93.333333333333343</v>
      </c>
      <c r="R41" s="956">
        <v>93.333333333333343</v>
      </c>
      <c r="S41" s="954"/>
      <c r="T41" s="654">
        <f>Q41</f>
        <v>93.333333333333343</v>
      </c>
      <c r="U41" s="651"/>
      <c r="V41" s="954"/>
      <c r="W41" s="954"/>
      <c r="X41" s="1166"/>
      <c r="Y41" s="1144"/>
      <c r="Z41" s="1124"/>
      <c r="AA41" s="1124"/>
      <c r="AB41" s="1124"/>
      <c r="AC41" s="1124"/>
      <c r="AD41" s="1124"/>
      <c r="AE41" s="1124"/>
      <c r="AF41" s="1124"/>
      <c r="AG41" s="1144"/>
    </row>
    <row r="42" spans="1:33" ht="116.25" customHeight="1">
      <c r="A42" s="1524">
        <v>1112</v>
      </c>
      <c r="B42" s="958" t="s">
        <v>640</v>
      </c>
      <c r="C42" s="1073" t="s">
        <v>641</v>
      </c>
      <c r="D42" s="1292"/>
      <c r="E42" s="1293">
        <v>5</v>
      </c>
      <c r="F42" s="1294">
        <v>43220</v>
      </c>
      <c r="G42" s="1294">
        <f t="shared" si="7"/>
        <v>43224</v>
      </c>
      <c r="H42" s="1292" t="s">
        <v>622</v>
      </c>
      <c r="I42" s="1293" t="s">
        <v>170</v>
      </c>
      <c r="J42" s="643" t="s">
        <v>642</v>
      </c>
      <c r="K42" s="1292" t="s">
        <v>661</v>
      </c>
      <c r="L42" s="1231">
        <v>23174</v>
      </c>
      <c r="M42" s="1292"/>
      <c r="N42" s="1292"/>
      <c r="O42" s="647">
        <v>70</v>
      </c>
      <c r="P42" s="1292">
        <v>1</v>
      </c>
      <c r="Q42" s="1295">
        <f t="shared" si="9"/>
        <v>70</v>
      </c>
      <c r="R42" s="956">
        <v>70</v>
      </c>
      <c r="S42" s="954"/>
      <c r="T42" s="654">
        <f>Q42</f>
        <v>70</v>
      </c>
      <c r="U42" s="651"/>
      <c r="V42" s="954"/>
      <c r="W42" s="954"/>
      <c r="X42" s="1166"/>
      <c r="Y42" s="1144"/>
      <c r="Z42" s="1124"/>
      <c r="AA42" s="1124"/>
      <c r="AB42" s="1124"/>
      <c r="AC42" s="1124"/>
      <c r="AD42" s="1124"/>
      <c r="AE42" s="1124"/>
      <c r="AF42" s="1124"/>
      <c r="AG42" s="1144"/>
    </row>
    <row r="43" spans="1:33" ht="116.25" customHeight="1">
      <c r="A43" s="1524">
        <v>1112</v>
      </c>
      <c r="B43" s="958" t="s">
        <v>640</v>
      </c>
      <c r="C43" s="1073" t="s">
        <v>641</v>
      </c>
      <c r="D43" s="1292"/>
      <c r="E43" s="1293">
        <v>5</v>
      </c>
      <c r="F43" s="1294">
        <v>43220</v>
      </c>
      <c r="G43" s="1294">
        <f t="shared" si="7"/>
        <v>43224</v>
      </c>
      <c r="H43" s="1292" t="s">
        <v>622</v>
      </c>
      <c r="I43" s="1293" t="s">
        <v>170</v>
      </c>
      <c r="J43" s="643" t="s">
        <v>642</v>
      </c>
      <c r="K43" s="1292" t="s">
        <v>662</v>
      </c>
      <c r="L43" s="1231">
        <v>23174</v>
      </c>
      <c r="M43" s="1292"/>
      <c r="N43" s="1292"/>
      <c r="O43" s="647">
        <v>46.666666666666671</v>
      </c>
      <c r="P43" s="1292">
        <v>1</v>
      </c>
      <c r="Q43" s="1295">
        <f t="shared" si="9"/>
        <v>46.666666666666671</v>
      </c>
      <c r="R43" s="956">
        <v>46.666666666666671</v>
      </c>
      <c r="S43" s="954"/>
      <c r="T43" s="654">
        <f>Q43</f>
        <v>46.666666666666671</v>
      </c>
      <c r="U43" s="651"/>
      <c r="V43" s="954"/>
      <c r="W43" s="954"/>
      <c r="X43" s="1166"/>
      <c r="Y43" s="1144"/>
      <c r="Z43" s="1124"/>
      <c r="AA43" s="1124"/>
      <c r="AB43" s="1124"/>
      <c r="AC43" s="1124"/>
      <c r="AD43" s="1124"/>
      <c r="AE43" s="1124"/>
      <c r="AF43" s="1124"/>
      <c r="AG43" s="1144"/>
    </row>
    <row r="44" spans="1:33" ht="116.25" customHeight="1">
      <c r="A44" s="1524">
        <v>1112</v>
      </c>
      <c r="B44" s="958" t="s">
        <v>640</v>
      </c>
      <c r="C44" s="1073" t="s">
        <v>641</v>
      </c>
      <c r="D44" s="1292"/>
      <c r="E44" s="1293">
        <v>5</v>
      </c>
      <c r="F44" s="1294">
        <v>43220</v>
      </c>
      <c r="G44" s="1294">
        <f t="shared" si="7"/>
        <v>43224</v>
      </c>
      <c r="H44" s="1292" t="s">
        <v>622</v>
      </c>
      <c r="I44" s="1293" t="s">
        <v>170</v>
      </c>
      <c r="J44" s="643" t="s">
        <v>642</v>
      </c>
      <c r="K44" s="1292" t="s">
        <v>663</v>
      </c>
      <c r="L44" s="1231">
        <v>23174</v>
      </c>
      <c r="M44" s="1292"/>
      <c r="N44" s="1292"/>
      <c r="O44" s="647">
        <v>1176</v>
      </c>
      <c r="P44" s="1292">
        <v>1</v>
      </c>
      <c r="Q44" s="1295">
        <f t="shared" si="9"/>
        <v>1176</v>
      </c>
      <c r="R44" s="956">
        <v>1176</v>
      </c>
      <c r="S44" s="954"/>
      <c r="T44" s="651"/>
      <c r="U44" s="654">
        <f>Q44</f>
        <v>1176</v>
      </c>
      <c r="V44" s="954"/>
      <c r="W44" s="954"/>
      <c r="X44" s="1166"/>
      <c r="Y44" s="1144"/>
      <c r="Z44" s="1124"/>
      <c r="AA44" s="1124"/>
      <c r="AB44" s="1124"/>
      <c r="AC44" s="1124"/>
      <c r="AD44" s="1124"/>
      <c r="AE44" s="1124"/>
      <c r="AF44" s="1124"/>
      <c r="AG44" s="1144"/>
    </row>
    <row r="45" spans="1:33" ht="116.25" customHeight="1">
      <c r="A45" s="1524">
        <v>1112</v>
      </c>
      <c r="B45" s="958" t="s">
        <v>640</v>
      </c>
      <c r="C45" s="1073" t="s">
        <v>641</v>
      </c>
      <c r="D45" s="1292"/>
      <c r="E45" s="1293">
        <v>5</v>
      </c>
      <c r="F45" s="1294">
        <v>43220</v>
      </c>
      <c r="G45" s="1294">
        <f t="shared" si="7"/>
        <v>43224</v>
      </c>
      <c r="H45" s="1292" t="s">
        <v>622</v>
      </c>
      <c r="I45" s="1293" t="s">
        <v>170</v>
      </c>
      <c r="J45" s="643" t="s">
        <v>642</v>
      </c>
      <c r="K45" s="1292" t="s">
        <v>664</v>
      </c>
      <c r="L45" s="1231">
        <v>23174</v>
      </c>
      <c r="M45" s="1292"/>
      <c r="N45" s="1292"/>
      <c r="O45" s="647">
        <v>1306.6666666666667</v>
      </c>
      <c r="P45" s="1292">
        <v>1</v>
      </c>
      <c r="Q45" s="1295">
        <f t="shared" si="9"/>
        <v>1306.6666666666667</v>
      </c>
      <c r="R45" s="956">
        <v>1306.6666666666667</v>
      </c>
      <c r="S45" s="954"/>
      <c r="T45" s="651"/>
      <c r="U45" s="654">
        <f>Q45</f>
        <v>1306.6666666666667</v>
      </c>
      <c r="V45" s="954"/>
      <c r="W45" s="954"/>
      <c r="X45" s="1166"/>
      <c r="Y45" s="1144"/>
      <c r="Z45" s="1124"/>
      <c r="AA45" s="1124"/>
      <c r="AB45" s="1124"/>
      <c r="AC45" s="1124"/>
      <c r="AD45" s="1124"/>
      <c r="AE45" s="1124"/>
      <c r="AF45" s="1124"/>
      <c r="AG45" s="1144"/>
    </row>
    <row r="46" spans="1:33" ht="116.25" customHeight="1">
      <c r="A46" s="1524">
        <v>1112</v>
      </c>
      <c r="B46" s="958" t="s">
        <v>640</v>
      </c>
      <c r="C46" s="1073" t="s">
        <v>641</v>
      </c>
      <c r="D46" s="1292"/>
      <c r="E46" s="1293">
        <v>5</v>
      </c>
      <c r="F46" s="1294">
        <v>43220</v>
      </c>
      <c r="G46" s="1294">
        <f t="shared" si="7"/>
        <v>43224</v>
      </c>
      <c r="H46" s="1292" t="s">
        <v>622</v>
      </c>
      <c r="I46" s="1293" t="s">
        <v>170</v>
      </c>
      <c r="J46" s="643" t="s">
        <v>642</v>
      </c>
      <c r="K46" s="1292" t="s">
        <v>665</v>
      </c>
      <c r="L46" s="1231">
        <v>23174</v>
      </c>
      <c r="M46" s="1292"/>
      <c r="N46" s="1292"/>
      <c r="O46" s="647">
        <v>373</v>
      </c>
      <c r="P46" s="1292">
        <v>1</v>
      </c>
      <c r="Q46" s="1295">
        <f t="shared" si="9"/>
        <v>373</v>
      </c>
      <c r="R46" s="956">
        <v>373</v>
      </c>
      <c r="S46" s="954"/>
      <c r="T46" s="654">
        <f>Q46</f>
        <v>373</v>
      </c>
      <c r="U46" s="651"/>
      <c r="V46" s="954"/>
      <c r="W46" s="954"/>
      <c r="X46" s="1166"/>
      <c r="Y46" s="1144"/>
      <c r="Z46" s="1124"/>
      <c r="AA46" s="1124"/>
      <c r="AB46" s="1124"/>
      <c r="AC46" s="1124"/>
      <c r="AD46" s="1124"/>
      <c r="AE46" s="1124"/>
      <c r="AF46" s="1124"/>
      <c r="AG46" s="1144"/>
    </row>
    <row r="47" spans="1:33" ht="116.25" customHeight="1">
      <c r="A47" s="1524">
        <v>1112</v>
      </c>
      <c r="B47" s="958" t="s">
        <v>640</v>
      </c>
      <c r="C47" s="1073" t="s">
        <v>641</v>
      </c>
      <c r="D47" s="1292"/>
      <c r="E47" s="1293">
        <v>5</v>
      </c>
      <c r="F47" s="1294">
        <v>43220</v>
      </c>
      <c r="G47" s="1294">
        <f t="shared" si="7"/>
        <v>43224</v>
      </c>
      <c r="H47" s="1292" t="s">
        <v>622</v>
      </c>
      <c r="I47" s="1293" t="s">
        <v>170</v>
      </c>
      <c r="J47" s="643" t="s">
        <v>642</v>
      </c>
      <c r="K47" s="1292" t="s">
        <v>638</v>
      </c>
      <c r="L47" s="1231">
        <v>23173</v>
      </c>
      <c r="M47" s="1292"/>
      <c r="N47" s="1292"/>
      <c r="O47" s="647">
        <v>833.33333333333337</v>
      </c>
      <c r="P47" s="1292">
        <v>1</v>
      </c>
      <c r="Q47" s="1295">
        <f t="shared" si="9"/>
        <v>833.33333333333337</v>
      </c>
      <c r="R47" s="956">
        <v>833.33333333333337</v>
      </c>
      <c r="S47" s="954"/>
      <c r="T47" s="654">
        <f>Q47</f>
        <v>833.33333333333337</v>
      </c>
      <c r="U47" s="651"/>
      <c r="V47" s="954"/>
      <c r="W47" s="954"/>
      <c r="X47" s="1166"/>
      <c r="Y47" s="1144"/>
      <c r="Z47" s="1124"/>
      <c r="AA47" s="1124"/>
      <c r="AB47" s="1124"/>
      <c r="AC47" s="1124"/>
      <c r="AD47" s="1124"/>
      <c r="AE47" s="1124"/>
      <c r="AF47" s="1124"/>
      <c r="AG47" s="1144"/>
    </row>
    <row r="48" spans="1:33" ht="116.25" customHeight="1">
      <c r="A48" s="1524">
        <v>1112</v>
      </c>
      <c r="B48" s="958" t="s">
        <v>640</v>
      </c>
      <c r="C48" s="1073" t="s">
        <v>666</v>
      </c>
      <c r="D48" s="1292"/>
      <c r="E48" s="1293">
        <v>1</v>
      </c>
      <c r="F48" s="1294">
        <v>43225</v>
      </c>
      <c r="G48" s="1294">
        <f t="shared" si="7"/>
        <v>43225</v>
      </c>
      <c r="H48" s="1292" t="s">
        <v>667</v>
      </c>
      <c r="I48" s="1293" t="s">
        <v>170</v>
      </c>
      <c r="J48" s="643" t="s">
        <v>642</v>
      </c>
      <c r="K48" s="1292" t="s">
        <v>668</v>
      </c>
      <c r="L48" s="1231">
        <v>23173</v>
      </c>
      <c r="M48" s="1292"/>
      <c r="N48" s="1292"/>
      <c r="O48" s="647">
        <v>333.33333333333331</v>
      </c>
      <c r="P48" s="1292">
        <v>1</v>
      </c>
      <c r="Q48" s="1295">
        <f t="shared" si="9"/>
        <v>333.33333333333331</v>
      </c>
      <c r="R48" s="956">
        <v>333.33333333333331</v>
      </c>
      <c r="S48" s="954"/>
      <c r="T48" s="651"/>
      <c r="U48" s="654">
        <f>Q48</f>
        <v>333.33333333333331</v>
      </c>
      <c r="V48" s="954"/>
      <c r="W48" s="954"/>
      <c r="X48" s="1166"/>
      <c r="Y48" s="1144"/>
      <c r="Z48" s="1124"/>
      <c r="AA48" s="1124"/>
      <c r="AB48" s="1124"/>
      <c r="AC48" s="1124"/>
      <c r="AD48" s="1124"/>
      <c r="AE48" s="1124"/>
      <c r="AF48" s="1124"/>
      <c r="AG48" s="1144"/>
    </row>
    <row r="49" spans="1:33" ht="116.25" customHeight="1">
      <c r="A49" s="1524">
        <v>1112</v>
      </c>
      <c r="B49" s="958" t="s">
        <v>640</v>
      </c>
      <c r="C49" s="1073" t="s">
        <v>666</v>
      </c>
      <c r="D49" s="1292"/>
      <c r="E49" s="1293">
        <v>1</v>
      </c>
      <c r="F49" s="1294">
        <v>43225</v>
      </c>
      <c r="G49" s="1294">
        <f t="shared" si="7"/>
        <v>43225</v>
      </c>
      <c r="H49" s="1292" t="s">
        <v>667</v>
      </c>
      <c r="I49" s="1293" t="s">
        <v>170</v>
      </c>
      <c r="J49" s="643" t="s">
        <v>642</v>
      </c>
      <c r="K49" s="1292" t="s">
        <v>670</v>
      </c>
      <c r="L49" s="1231">
        <v>23173</v>
      </c>
      <c r="M49" s="1292"/>
      <c r="N49" s="1292"/>
      <c r="O49" s="647">
        <v>466.66666666666669</v>
      </c>
      <c r="P49" s="1292">
        <v>1</v>
      </c>
      <c r="Q49" s="1295">
        <f t="shared" si="9"/>
        <v>466.66666666666669</v>
      </c>
      <c r="R49" s="956">
        <v>466.66666666666669</v>
      </c>
      <c r="S49" s="954"/>
      <c r="T49" s="651"/>
      <c r="U49" s="654">
        <f>Q49</f>
        <v>466.66666666666669</v>
      </c>
      <c r="V49" s="954"/>
      <c r="W49" s="954"/>
      <c r="X49" s="1166"/>
      <c r="Y49" s="1144"/>
      <c r="Z49" s="1124"/>
      <c r="AA49" s="1124"/>
      <c r="AB49" s="1124"/>
      <c r="AC49" s="1124"/>
      <c r="AD49" s="1124"/>
      <c r="AE49" s="1124"/>
      <c r="AF49" s="1124"/>
      <c r="AG49" s="1144"/>
    </row>
    <row r="50" spans="1:33" s="1028" customFormat="1" ht="73.900000000000006" customHeight="1">
      <c r="A50" s="1524">
        <v>1113</v>
      </c>
      <c r="B50" s="957" t="s">
        <v>671</v>
      </c>
      <c r="C50" s="1072" t="s">
        <v>672</v>
      </c>
      <c r="D50" s="1284"/>
      <c r="E50" s="1285">
        <v>5</v>
      </c>
      <c r="F50" s="1286">
        <v>43227</v>
      </c>
      <c r="G50" s="1286">
        <f t="shared" si="7"/>
        <v>43231</v>
      </c>
      <c r="H50" s="1284" t="s">
        <v>667</v>
      </c>
      <c r="I50" s="1285" t="s">
        <v>170</v>
      </c>
      <c r="J50" s="1026" t="s">
        <v>673</v>
      </c>
      <c r="K50" s="1284" t="s">
        <v>268</v>
      </c>
      <c r="L50" s="1230"/>
      <c r="M50" s="1284"/>
      <c r="N50" s="1284"/>
      <c r="O50" s="647"/>
      <c r="P50" s="1284"/>
      <c r="Q50" s="1288">
        <f>SUM(Q51:Q55)</f>
        <v>6494.0000000000009</v>
      </c>
      <c r="R50" s="1027">
        <f>SUM(R51:R55)</f>
        <v>6494.0000000000009</v>
      </c>
      <c r="S50" s="1289">
        <f t="shared" ref="S50:AF50" si="12">SUM(S51:S55)</f>
        <v>0</v>
      </c>
      <c r="T50" s="1289">
        <f t="shared" si="12"/>
        <v>0</v>
      </c>
      <c r="U50" s="1289">
        <f t="shared" si="12"/>
        <v>6494.0000000000009</v>
      </c>
      <c r="V50" s="1289">
        <f t="shared" si="12"/>
        <v>0</v>
      </c>
      <c r="W50" s="1289">
        <f t="shared" si="12"/>
        <v>0</v>
      </c>
      <c r="X50" s="1290">
        <f t="shared" si="12"/>
        <v>0</v>
      </c>
      <c r="Y50" s="1291">
        <f t="shared" si="12"/>
        <v>0</v>
      </c>
      <c r="Z50" s="1184">
        <f t="shared" si="12"/>
        <v>0</v>
      </c>
      <c r="AA50" s="1184">
        <f t="shared" si="12"/>
        <v>0</v>
      </c>
      <c r="AB50" s="1184">
        <f t="shared" si="12"/>
        <v>0</v>
      </c>
      <c r="AC50" s="1184">
        <f t="shared" si="12"/>
        <v>0</v>
      </c>
      <c r="AD50" s="1184">
        <f t="shared" si="12"/>
        <v>0</v>
      </c>
      <c r="AE50" s="1184">
        <f t="shared" si="12"/>
        <v>0</v>
      </c>
      <c r="AF50" s="1184">
        <f t="shared" si="12"/>
        <v>0</v>
      </c>
      <c r="AG50" s="1047">
        <f>SUM(S50:AF50)</f>
        <v>6494.0000000000009</v>
      </c>
    </row>
    <row r="51" spans="1:33" ht="73.900000000000006" customHeight="1">
      <c r="A51" s="1524">
        <v>1113</v>
      </c>
      <c r="B51" s="958" t="s">
        <v>671</v>
      </c>
      <c r="C51" s="1073" t="s">
        <v>672</v>
      </c>
      <c r="D51" s="1292"/>
      <c r="E51" s="1293">
        <v>5</v>
      </c>
      <c r="F51" s="1294">
        <v>43227</v>
      </c>
      <c r="G51" s="1294">
        <f t="shared" si="7"/>
        <v>43231</v>
      </c>
      <c r="H51" s="1292" t="s">
        <v>667</v>
      </c>
      <c r="I51" s="1293" t="s">
        <v>170</v>
      </c>
      <c r="J51" s="643" t="s">
        <v>673</v>
      </c>
      <c r="K51" s="1292" t="s">
        <v>674</v>
      </c>
      <c r="L51" s="1231">
        <v>23174</v>
      </c>
      <c r="M51" s="1292"/>
      <c r="N51" s="1292"/>
      <c r="O51" s="647">
        <v>588</v>
      </c>
      <c r="P51" s="1292">
        <v>1</v>
      </c>
      <c r="Q51" s="1295">
        <f t="shared" si="9"/>
        <v>588</v>
      </c>
      <c r="R51" s="956">
        <v>588</v>
      </c>
      <c r="S51" s="954"/>
      <c r="T51" s="954"/>
      <c r="U51" s="654">
        <f>Q51</f>
        <v>588</v>
      </c>
      <c r="V51" s="954"/>
      <c r="W51" s="954"/>
      <c r="X51" s="1166"/>
      <c r="Y51" s="1144"/>
      <c r="Z51" s="1124"/>
      <c r="AA51" s="1124"/>
      <c r="AB51" s="1124"/>
      <c r="AC51" s="1124"/>
      <c r="AD51" s="1124"/>
      <c r="AE51" s="1124"/>
      <c r="AF51" s="1124"/>
      <c r="AG51" s="1144"/>
    </row>
    <row r="52" spans="1:33" ht="73.900000000000006" customHeight="1">
      <c r="A52" s="1524">
        <v>1113</v>
      </c>
      <c r="B52" s="958" t="s">
        <v>671</v>
      </c>
      <c r="C52" s="1073" t="s">
        <v>672</v>
      </c>
      <c r="D52" s="1292"/>
      <c r="E52" s="1293">
        <v>5</v>
      </c>
      <c r="F52" s="1294">
        <v>43227</v>
      </c>
      <c r="G52" s="1294">
        <f t="shared" si="7"/>
        <v>43231</v>
      </c>
      <c r="H52" s="1292" t="s">
        <v>667</v>
      </c>
      <c r="I52" s="1293" t="s">
        <v>170</v>
      </c>
      <c r="J52" s="643" t="s">
        <v>673</v>
      </c>
      <c r="K52" s="1292" t="s">
        <v>675</v>
      </c>
      <c r="L52" s="1231">
        <v>23174</v>
      </c>
      <c r="M52" s="1292"/>
      <c r="N52" s="1292"/>
      <c r="O52" s="647">
        <v>653.33333333333337</v>
      </c>
      <c r="P52" s="1292">
        <v>1</v>
      </c>
      <c r="Q52" s="1295">
        <f t="shared" si="9"/>
        <v>653.33333333333337</v>
      </c>
      <c r="R52" s="956">
        <v>653.33333333333337</v>
      </c>
      <c r="S52" s="954"/>
      <c r="T52" s="954"/>
      <c r="U52" s="654">
        <f>Q52</f>
        <v>653.33333333333337</v>
      </c>
      <c r="V52" s="954"/>
      <c r="W52" s="954"/>
      <c r="X52" s="1166"/>
      <c r="Y52" s="1144"/>
      <c r="Z52" s="1124"/>
      <c r="AA52" s="1124"/>
      <c r="AB52" s="1124"/>
      <c r="AC52" s="1124"/>
      <c r="AD52" s="1124"/>
      <c r="AE52" s="1124"/>
      <c r="AF52" s="1124"/>
      <c r="AG52" s="1144"/>
    </row>
    <row r="53" spans="1:33" ht="73.900000000000006" customHeight="1">
      <c r="A53" s="1524">
        <v>1113</v>
      </c>
      <c r="B53" s="958" t="s">
        <v>671</v>
      </c>
      <c r="C53" s="1073" t="s">
        <v>672</v>
      </c>
      <c r="D53" s="1292"/>
      <c r="E53" s="1293">
        <v>5</v>
      </c>
      <c r="F53" s="1294">
        <v>43227</v>
      </c>
      <c r="G53" s="1294">
        <f t="shared" si="7"/>
        <v>43231</v>
      </c>
      <c r="H53" s="1292" t="s">
        <v>667</v>
      </c>
      <c r="I53" s="1293" t="s">
        <v>170</v>
      </c>
      <c r="J53" s="643" t="s">
        <v>673</v>
      </c>
      <c r="K53" s="1292" t="s">
        <v>676</v>
      </c>
      <c r="L53" s="1231">
        <v>23174</v>
      </c>
      <c r="M53" s="1292"/>
      <c r="N53" s="1292"/>
      <c r="O53" s="647">
        <v>653</v>
      </c>
      <c r="P53" s="1292">
        <v>1</v>
      </c>
      <c r="Q53" s="1295">
        <f t="shared" si="9"/>
        <v>653</v>
      </c>
      <c r="R53" s="956">
        <v>653</v>
      </c>
      <c r="S53" s="954"/>
      <c r="T53" s="954"/>
      <c r="U53" s="654">
        <f>Q53</f>
        <v>653</v>
      </c>
      <c r="V53" s="954"/>
      <c r="W53" s="954"/>
      <c r="X53" s="1166"/>
      <c r="Y53" s="1144"/>
      <c r="Z53" s="1124"/>
      <c r="AA53" s="1124"/>
      <c r="AB53" s="1124"/>
      <c r="AC53" s="1124"/>
      <c r="AD53" s="1124"/>
      <c r="AE53" s="1124"/>
      <c r="AF53" s="1124"/>
      <c r="AG53" s="1144"/>
    </row>
    <row r="54" spans="1:33" ht="73.900000000000006" customHeight="1">
      <c r="A54" s="1524">
        <v>1113</v>
      </c>
      <c r="B54" s="958" t="s">
        <v>671</v>
      </c>
      <c r="C54" s="1073" t="s">
        <v>672</v>
      </c>
      <c r="D54" s="1292"/>
      <c r="E54" s="1293">
        <v>5</v>
      </c>
      <c r="F54" s="1294">
        <v>43227</v>
      </c>
      <c r="G54" s="1294">
        <f t="shared" si="7"/>
        <v>43231</v>
      </c>
      <c r="H54" s="1292" t="s">
        <v>667</v>
      </c>
      <c r="I54" s="1293" t="s">
        <v>170</v>
      </c>
      <c r="J54" s="643" t="s">
        <v>673</v>
      </c>
      <c r="K54" s="1292" t="s">
        <v>677</v>
      </c>
      <c r="L54" s="1231">
        <v>23173</v>
      </c>
      <c r="M54" s="1292"/>
      <c r="N54" s="1292"/>
      <c r="O54" s="647">
        <v>3833</v>
      </c>
      <c r="P54" s="1292">
        <v>1</v>
      </c>
      <c r="Q54" s="1295">
        <f t="shared" si="9"/>
        <v>3833</v>
      </c>
      <c r="R54" s="956">
        <v>3833</v>
      </c>
      <c r="S54" s="954"/>
      <c r="T54" s="954"/>
      <c r="U54" s="654">
        <f>Q54</f>
        <v>3833</v>
      </c>
      <c r="V54" s="954"/>
      <c r="W54" s="954"/>
      <c r="X54" s="1166"/>
      <c r="Y54" s="1144"/>
      <c r="Z54" s="1124"/>
      <c r="AA54" s="1124"/>
      <c r="AB54" s="1124"/>
      <c r="AC54" s="1124"/>
      <c r="AD54" s="1124"/>
      <c r="AE54" s="1124"/>
      <c r="AF54" s="1124"/>
      <c r="AG54" s="1144"/>
    </row>
    <row r="55" spans="1:33" ht="73.900000000000006" customHeight="1">
      <c r="A55" s="1524">
        <v>1113</v>
      </c>
      <c r="B55" s="958" t="s">
        <v>671</v>
      </c>
      <c r="C55" s="1073" t="s">
        <v>672</v>
      </c>
      <c r="D55" s="1292"/>
      <c r="E55" s="1293">
        <v>5</v>
      </c>
      <c r="F55" s="1294">
        <v>43227</v>
      </c>
      <c r="G55" s="1294">
        <f t="shared" si="7"/>
        <v>43231</v>
      </c>
      <c r="H55" s="1292" t="s">
        <v>667</v>
      </c>
      <c r="I55" s="1293" t="s">
        <v>170</v>
      </c>
      <c r="J55" s="643" t="s">
        <v>673</v>
      </c>
      <c r="K55" s="1292" t="s">
        <v>678</v>
      </c>
      <c r="L55" s="1231">
        <v>23173</v>
      </c>
      <c r="M55" s="1292"/>
      <c r="N55" s="1292"/>
      <c r="O55" s="647">
        <v>766.66666666666674</v>
      </c>
      <c r="P55" s="1292">
        <v>1</v>
      </c>
      <c r="Q55" s="1295">
        <f t="shared" si="9"/>
        <v>766.66666666666674</v>
      </c>
      <c r="R55" s="956">
        <v>766.66666666666674</v>
      </c>
      <c r="S55" s="954"/>
      <c r="T55" s="954"/>
      <c r="U55" s="654">
        <f>Q55</f>
        <v>766.66666666666674</v>
      </c>
      <c r="V55" s="954"/>
      <c r="W55" s="954"/>
      <c r="X55" s="1166"/>
      <c r="Y55" s="1144"/>
      <c r="Z55" s="1124"/>
      <c r="AA55" s="1124"/>
      <c r="AB55" s="1124"/>
      <c r="AC55" s="1124"/>
      <c r="AD55" s="1124"/>
      <c r="AE55" s="1124"/>
      <c r="AF55" s="1124"/>
      <c r="AG55" s="1144"/>
    </row>
    <row r="56" spans="1:33" s="1028" customFormat="1" ht="73.900000000000006" customHeight="1">
      <c r="A56" s="1524">
        <v>1114</v>
      </c>
      <c r="B56" s="957" t="s">
        <v>679</v>
      </c>
      <c r="C56" s="1072" t="s">
        <v>680</v>
      </c>
      <c r="D56" s="1284"/>
      <c r="E56" s="1285">
        <v>5</v>
      </c>
      <c r="F56" s="1286">
        <v>43248</v>
      </c>
      <c r="G56" s="1286">
        <f t="shared" si="7"/>
        <v>43252</v>
      </c>
      <c r="H56" s="1284" t="s">
        <v>681</v>
      </c>
      <c r="I56" s="1285" t="s">
        <v>170</v>
      </c>
      <c r="J56" s="1026" t="s">
        <v>682</v>
      </c>
      <c r="K56" s="1284" t="s">
        <v>268</v>
      </c>
      <c r="L56" s="1230"/>
      <c r="M56" s="1284"/>
      <c r="N56" s="1284"/>
      <c r="O56" s="647"/>
      <c r="P56" s="1284"/>
      <c r="Q56" s="1288">
        <f>SUM(Q57:Q67)</f>
        <v>29221</v>
      </c>
      <c r="R56" s="1027">
        <f>SUM(R57:R67)</f>
        <v>29221</v>
      </c>
      <c r="S56" s="1289">
        <f t="shared" ref="S56:AF56" si="13">SUM(S57:S67)</f>
        <v>0</v>
      </c>
      <c r="T56" s="1289">
        <f t="shared" si="13"/>
        <v>0</v>
      </c>
      <c r="U56" s="1289">
        <f t="shared" si="13"/>
        <v>9963</v>
      </c>
      <c r="V56" s="1289">
        <f t="shared" si="13"/>
        <v>19258</v>
      </c>
      <c r="W56" s="1289">
        <f t="shared" si="13"/>
        <v>0</v>
      </c>
      <c r="X56" s="1290">
        <f t="shared" si="13"/>
        <v>0</v>
      </c>
      <c r="Y56" s="1291">
        <f t="shared" si="13"/>
        <v>0</v>
      </c>
      <c r="Z56" s="1184">
        <f t="shared" si="13"/>
        <v>0</v>
      </c>
      <c r="AA56" s="1184">
        <f t="shared" si="13"/>
        <v>0</v>
      </c>
      <c r="AB56" s="1184">
        <f t="shared" si="13"/>
        <v>0</v>
      </c>
      <c r="AC56" s="1184">
        <f t="shared" si="13"/>
        <v>0</v>
      </c>
      <c r="AD56" s="1184">
        <f t="shared" si="13"/>
        <v>0</v>
      </c>
      <c r="AE56" s="1184">
        <f t="shared" si="13"/>
        <v>0</v>
      </c>
      <c r="AF56" s="1184">
        <f t="shared" si="13"/>
        <v>0</v>
      </c>
      <c r="AG56" s="1047">
        <f>SUM(S56:AF56)</f>
        <v>29221</v>
      </c>
    </row>
    <row r="57" spans="1:33" ht="73.900000000000006" customHeight="1">
      <c r="A57" s="1524">
        <v>1114</v>
      </c>
      <c r="B57" s="958" t="s">
        <v>679</v>
      </c>
      <c r="C57" s="1073" t="s">
        <v>680</v>
      </c>
      <c r="D57" s="1292"/>
      <c r="E57" s="1293">
        <v>5</v>
      </c>
      <c r="F57" s="1294">
        <v>43248</v>
      </c>
      <c r="G57" s="1294">
        <f t="shared" si="7"/>
        <v>43252</v>
      </c>
      <c r="H57" s="1292" t="s">
        <v>681</v>
      </c>
      <c r="I57" s="1293" t="s">
        <v>170</v>
      </c>
      <c r="J57" s="643" t="s">
        <v>682</v>
      </c>
      <c r="K57" s="1292" t="s">
        <v>683</v>
      </c>
      <c r="L57" s="1231">
        <v>23174</v>
      </c>
      <c r="M57" s="1292"/>
      <c r="N57" s="1292"/>
      <c r="O57" s="647">
        <v>588</v>
      </c>
      <c r="P57" s="1292">
        <v>1</v>
      </c>
      <c r="Q57" s="1295">
        <f t="shared" si="9"/>
        <v>588</v>
      </c>
      <c r="R57" s="956">
        <v>588</v>
      </c>
      <c r="S57" s="954"/>
      <c r="T57" s="954"/>
      <c r="U57" s="654">
        <f t="shared" ref="U57:U64" si="14">Q57</f>
        <v>588</v>
      </c>
      <c r="V57" s="651"/>
      <c r="W57" s="954"/>
      <c r="X57" s="1166"/>
      <c r="Y57" s="1144"/>
      <c r="Z57" s="1124"/>
      <c r="AA57" s="1124"/>
      <c r="AB57" s="1124"/>
      <c r="AC57" s="1124"/>
      <c r="AD57" s="1124"/>
      <c r="AE57" s="1124"/>
      <c r="AF57" s="1124"/>
      <c r="AG57" s="1144"/>
    </row>
    <row r="58" spans="1:33" ht="73.900000000000006" customHeight="1">
      <c r="A58" s="1524">
        <v>1114</v>
      </c>
      <c r="B58" s="958" t="s">
        <v>679</v>
      </c>
      <c r="C58" s="1073" t="s">
        <v>680</v>
      </c>
      <c r="D58" s="1292"/>
      <c r="E58" s="1293">
        <v>5</v>
      </c>
      <c r="F58" s="1294">
        <v>43248</v>
      </c>
      <c r="G58" s="1294">
        <f t="shared" si="7"/>
        <v>43252</v>
      </c>
      <c r="H58" s="1292" t="s">
        <v>681</v>
      </c>
      <c r="I58" s="1293" t="s">
        <v>170</v>
      </c>
      <c r="J58" s="643" t="s">
        <v>682</v>
      </c>
      <c r="K58" s="1292" t="s">
        <v>684</v>
      </c>
      <c r="L58" s="1231">
        <v>23174</v>
      </c>
      <c r="M58" s="1292"/>
      <c r="N58" s="1292"/>
      <c r="O58" s="647">
        <v>653.33333333333337</v>
      </c>
      <c r="P58" s="1292">
        <v>1</v>
      </c>
      <c r="Q58" s="1295">
        <f t="shared" si="9"/>
        <v>653.33333333333337</v>
      </c>
      <c r="R58" s="956">
        <v>653.33333333333337</v>
      </c>
      <c r="S58" s="954"/>
      <c r="T58" s="954"/>
      <c r="U58" s="654">
        <f t="shared" si="14"/>
        <v>653.33333333333337</v>
      </c>
      <c r="V58" s="651"/>
      <c r="W58" s="954"/>
      <c r="X58" s="1166"/>
      <c r="Y58" s="1144"/>
      <c r="Z58" s="1124"/>
      <c r="AA58" s="1124"/>
      <c r="AB58" s="1124"/>
      <c r="AC58" s="1124"/>
      <c r="AD58" s="1124"/>
      <c r="AE58" s="1124"/>
      <c r="AF58" s="1124"/>
      <c r="AG58" s="1144"/>
    </row>
    <row r="59" spans="1:33" ht="73.900000000000006" customHeight="1">
      <c r="A59" s="1524">
        <v>1114</v>
      </c>
      <c r="B59" s="958" t="s">
        <v>679</v>
      </c>
      <c r="C59" s="1073" t="s">
        <v>680</v>
      </c>
      <c r="D59" s="1292"/>
      <c r="E59" s="1293">
        <v>5</v>
      </c>
      <c r="F59" s="1294">
        <v>43248</v>
      </c>
      <c r="G59" s="1294">
        <f t="shared" si="7"/>
        <v>43252</v>
      </c>
      <c r="H59" s="1292" t="s">
        <v>681</v>
      </c>
      <c r="I59" s="1293" t="s">
        <v>170</v>
      </c>
      <c r="J59" s="643" t="s">
        <v>682</v>
      </c>
      <c r="K59" s="1292" t="s">
        <v>685</v>
      </c>
      <c r="L59" s="1231">
        <v>23174</v>
      </c>
      <c r="M59" s="1292"/>
      <c r="N59" s="1292"/>
      <c r="O59" s="647">
        <v>490</v>
      </c>
      <c r="P59" s="1292">
        <v>1</v>
      </c>
      <c r="Q59" s="1295">
        <f t="shared" si="9"/>
        <v>490</v>
      </c>
      <c r="R59" s="956">
        <v>490</v>
      </c>
      <c r="S59" s="954"/>
      <c r="T59" s="954"/>
      <c r="U59" s="654">
        <f t="shared" si="14"/>
        <v>490</v>
      </c>
      <c r="V59" s="651"/>
      <c r="W59" s="954"/>
      <c r="X59" s="1166"/>
      <c r="Y59" s="1144"/>
      <c r="Z59" s="1124"/>
      <c r="AA59" s="1124"/>
      <c r="AB59" s="1124"/>
      <c r="AC59" s="1124"/>
      <c r="AD59" s="1124"/>
      <c r="AE59" s="1124"/>
      <c r="AF59" s="1124"/>
      <c r="AG59" s="1144"/>
    </row>
    <row r="60" spans="1:33" ht="73.900000000000006" customHeight="1">
      <c r="A60" s="1524">
        <v>1114</v>
      </c>
      <c r="B60" s="958" t="s">
        <v>679</v>
      </c>
      <c r="C60" s="1073" t="s">
        <v>680</v>
      </c>
      <c r="D60" s="1292"/>
      <c r="E60" s="1293">
        <v>5</v>
      </c>
      <c r="F60" s="1294">
        <v>43248</v>
      </c>
      <c r="G60" s="1294">
        <f t="shared" si="7"/>
        <v>43252</v>
      </c>
      <c r="H60" s="1292" t="s">
        <v>681</v>
      </c>
      <c r="I60" s="1293" t="s">
        <v>170</v>
      </c>
      <c r="J60" s="643" t="s">
        <v>682</v>
      </c>
      <c r="K60" s="1292" t="s">
        <v>686</v>
      </c>
      <c r="L60" s="1231">
        <v>23174</v>
      </c>
      <c r="M60" s="1292"/>
      <c r="N60" s="1292"/>
      <c r="O60" s="647">
        <v>326.66666666666669</v>
      </c>
      <c r="P60" s="1292">
        <v>1</v>
      </c>
      <c r="Q60" s="1295">
        <f t="shared" si="9"/>
        <v>326.66666666666669</v>
      </c>
      <c r="R60" s="956">
        <v>326.66666666666669</v>
      </c>
      <c r="S60" s="954"/>
      <c r="T60" s="954"/>
      <c r="U60" s="654">
        <f t="shared" si="14"/>
        <v>326.66666666666669</v>
      </c>
      <c r="V60" s="651"/>
      <c r="W60" s="954"/>
      <c r="X60" s="1166"/>
      <c r="Y60" s="1144"/>
      <c r="Z60" s="1124"/>
      <c r="AA60" s="1124"/>
      <c r="AB60" s="1124"/>
      <c r="AC60" s="1124"/>
      <c r="AD60" s="1124"/>
      <c r="AE60" s="1124"/>
      <c r="AF60" s="1124"/>
      <c r="AG60" s="1144"/>
    </row>
    <row r="61" spans="1:33" ht="73.900000000000006" customHeight="1">
      <c r="A61" s="1524">
        <v>1114</v>
      </c>
      <c r="B61" s="958" t="s">
        <v>679</v>
      </c>
      <c r="C61" s="1073" t="s">
        <v>680</v>
      </c>
      <c r="D61" s="1292"/>
      <c r="E61" s="1293">
        <v>5</v>
      </c>
      <c r="F61" s="1294">
        <v>43248</v>
      </c>
      <c r="G61" s="1294">
        <f t="shared" si="7"/>
        <v>43252</v>
      </c>
      <c r="H61" s="1292" t="s">
        <v>681</v>
      </c>
      <c r="I61" s="1293" t="s">
        <v>170</v>
      </c>
      <c r="J61" s="643" t="s">
        <v>682</v>
      </c>
      <c r="K61" s="1292" t="s">
        <v>687</v>
      </c>
      <c r="L61" s="1231">
        <v>23174</v>
      </c>
      <c r="M61" s="1292"/>
      <c r="N61" s="1292"/>
      <c r="O61" s="647">
        <v>2221</v>
      </c>
      <c r="P61" s="1292">
        <v>1</v>
      </c>
      <c r="Q61" s="1295">
        <f t="shared" si="9"/>
        <v>2221</v>
      </c>
      <c r="R61" s="956">
        <v>2221</v>
      </c>
      <c r="S61" s="954"/>
      <c r="T61" s="954"/>
      <c r="U61" s="654">
        <f t="shared" si="14"/>
        <v>2221</v>
      </c>
      <c r="V61" s="651"/>
      <c r="W61" s="954"/>
      <c r="X61" s="1166"/>
      <c r="Y61" s="1144"/>
      <c r="Z61" s="1124"/>
      <c r="AA61" s="1124"/>
      <c r="AB61" s="1124"/>
      <c r="AC61" s="1124"/>
      <c r="AD61" s="1124"/>
      <c r="AE61" s="1124"/>
      <c r="AF61" s="1124"/>
      <c r="AG61" s="1144"/>
    </row>
    <row r="62" spans="1:33" ht="73.900000000000006" customHeight="1">
      <c r="A62" s="1524">
        <v>1114</v>
      </c>
      <c r="B62" s="958" t="s">
        <v>679</v>
      </c>
      <c r="C62" s="1073" t="s">
        <v>680</v>
      </c>
      <c r="D62" s="1292"/>
      <c r="E62" s="1293">
        <v>5</v>
      </c>
      <c r="F62" s="1294">
        <v>43248</v>
      </c>
      <c r="G62" s="1294">
        <f t="shared" si="7"/>
        <v>43252</v>
      </c>
      <c r="H62" s="1292" t="s">
        <v>681</v>
      </c>
      <c r="I62" s="1293" t="s">
        <v>170</v>
      </c>
      <c r="J62" s="643" t="s">
        <v>682</v>
      </c>
      <c r="K62" s="1292" t="s">
        <v>688</v>
      </c>
      <c r="L62" s="1231">
        <v>23174</v>
      </c>
      <c r="M62" s="1292"/>
      <c r="N62" s="1292"/>
      <c r="O62" s="647">
        <v>1764</v>
      </c>
      <c r="P62" s="1292">
        <v>1</v>
      </c>
      <c r="Q62" s="1295">
        <f t="shared" si="9"/>
        <v>1764</v>
      </c>
      <c r="R62" s="956">
        <v>1764</v>
      </c>
      <c r="S62" s="954"/>
      <c r="T62" s="954"/>
      <c r="U62" s="654">
        <f t="shared" si="14"/>
        <v>1764</v>
      </c>
      <c r="V62" s="651"/>
      <c r="W62" s="954"/>
      <c r="X62" s="1166"/>
      <c r="Y62" s="1144"/>
      <c r="Z62" s="1124"/>
      <c r="AA62" s="1124"/>
      <c r="AB62" s="1124"/>
      <c r="AC62" s="1124"/>
      <c r="AD62" s="1124"/>
      <c r="AE62" s="1124"/>
      <c r="AF62" s="1124"/>
      <c r="AG62" s="1144"/>
    </row>
    <row r="63" spans="1:33" ht="73.900000000000006" customHeight="1">
      <c r="A63" s="1524">
        <v>1114</v>
      </c>
      <c r="B63" s="958" t="s">
        <v>679</v>
      </c>
      <c r="C63" s="1073" t="s">
        <v>680</v>
      </c>
      <c r="D63" s="1292"/>
      <c r="E63" s="1293">
        <v>5</v>
      </c>
      <c r="F63" s="1294">
        <v>43248</v>
      </c>
      <c r="G63" s="1294">
        <f t="shared" si="7"/>
        <v>43252</v>
      </c>
      <c r="H63" s="1292" t="s">
        <v>681</v>
      </c>
      <c r="I63" s="1293" t="s">
        <v>170</v>
      </c>
      <c r="J63" s="643" t="s">
        <v>682</v>
      </c>
      <c r="K63" s="1292" t="s">
        <v>689</v>
      </c>
      <c r="L63" s="1231">
        <v>23174</v>
      </c>
      <c r="M63" s="1292"/>
      <c r="N63" s="1292"/>
      <c r="O63" s="647">
        <v>1960</v>
      </c>
      <c r="P63" s="1292">
        <v>1</v>
      </c>
      <c r="Q63" s="1295">
        <f t="shared" si="9"/>
        <v>1960</v>
      </c>
      <c r="R63" s="956">
        <v>1960</v>
      </c>
      <c r="S63" s="954"/>
      <c r="T63" s="954"/>
      <c r="U63" s="654">
        <f t="shared" si="14"/>
        <v>1960</v>
      </c>
      <c r="V63" s="651"/>
      <c r="W63" s="954"/>
      <c r="X63" s="1166"/>
      <c r="Y63" s="1144"/>
      <c r="Z63" s="1124"/>
      <c r="AA63" s="1124"/>
      <c r="AB63" s="1124"/>
      <c r="AC63" s="1124"/>
      <c r="AD63" s="1124"/>
      <c r="AE63" s="1124"/>
      <c r="AF63" s="1124"/>
      <c r="AG63" s="1144"/>
    </row>
    <row r="64" spans="1:33" ht="73.900000000000006" customHeight="1">
      <c r="A64" s="1524">
        <v>1114</v>
      </c>
      <c r="B64" s="958" t="s">
        <v>679</v>
      </c>
      <c r="C64" s="1073" t="s">
        <v>680</v>
      </c>
      <c r="D64" s="1292"/>
      <c r="E64" s="1293">
        <v>5</v>
      </c>
      <c r="F64" s="1294">
        <v>43248</v>
      </c>
      <c r="G64" s="1294">
        <f t="shared" si="7"/>
        <v>43252</v>
      </c>
      <c r="H64" s="1292" t="s">
        <v>681</v>
      </c>
      <c r="I64" s="1293" t="s">
        <v>170</v>
      </c>
      <c r="J64" s="643" t="s">
        <v>682</v>
      </c>
      <c r="K64" s="1292" t="s">
        <v>690</v>
      </c>
      <c r="L64" s="1231">
        <v>23174</v>
      </c>
      <c r="M64" s="1292"/>
      <c r="N64" s="1292"/>
      <c r="O64" s="647">
        <v>1960</v>
      </c>
      <c r="P64" s="1292">
        <v>1</v>
      </c>
      <c r="Q64" s="1295">
        <f t="shared" si="9"/>
        <v>1960</v>
      </c>
      <c r="R64" s="956">
        <v>1960</v>
      </c>
      <c r="S64" s="954"/>
      <c r="T64" s="954"/>
      <c r="U64" s="654">
        <f t="shared" si="14"/>
        <v>1960</v>
      </c>
      <c r="V64" s="651"/>
      <c r="W64" s="954"/>
      <c r="X64" s="1166"/>
      <c r="Y64" s="1144"/>
      <c r="Z64" s="1124"/>
      <c r="AA64" s="1124"/>
      <c r="AB64" s="1124"/>
      <c r="AC64" s="1124"/>
      <c r="AD64" s="1124"/>
      <c r="AE64" s="1124"/>
      <c r="AF64" s="1124"/>
      <c r="AG64" s="1144"/>
    </row>
    <row r="65" spans="1:33" ht="73.900000000000006" customHeight="1">
      <c r="A65" s="1524">
        <v>1114</v>
      </c>
      <c r="B65" s="958" t="s">
        <v>679</v>
      </c>
      <c r="C65" s="1073" t="s">
        <v>680</v>
      </c>
      <c r="D65" s="1292"/>
      <c r="E65" s="1293">
        <v>5</v>
      </c>
      <c r="F65" s="1294">
        <v>43248</v>
      </c>
      <c r="G65" s="1294">
        <f t="shared" si="7"/>
        <v>43252</v>
      </c>
      <c r="H65" s="1292" t="s">
        <v>681</v>
      </c>
      <c r="I65" s="1293" t="s">
        <v>170</v>
      </c>
      <c r="J65" s="643" t="s">
        <v>682</v>
      </c>
      <c r="K65" s="1292" t="s">
        <v>691</v>
      </c>
      <c r="L65" s="1231">
        <v>23174</v>
      </c>
      <c r="M65" s="1292"/>
      <c r="N65" s="1292"/>
      <c r="O65" s="647">
        <v>8484</v>
      </c>
      <c r="P65" s="1292">
        <v>1</v>
      </c>
      <c r="Q65" s="1295">
        <f t="shared" si="9"/>
        <v>8484</v>
      </c>
      <c r="R65" s="956">
        <v>8484</v>
      </c>
      <c r="S65" s="954"/>
      <c r="T65" s="954"/>
      <c r="U65" s="651"/>
      <c r="V65" s="654">
        <f>Q65</f>
        <v>8484</v>
      </c>
      <c r="W65" s="954"/>
      <c r="X65" s="1166"/>
      <c r="Y65" s="1144"/>
      <c r="Z65" s="1124"/>
      <c r="AA65" s="1124"/>
      <c r="AB65" s="1124"/>
      <c r="AC65" s="1124"/>
      <c r="AD65" s="1124"/>
      <c r="AE65" s="1124"/>
      <c r="AF65" s="1124"/>
      <c r="AG65" s="1144"/>
    </row>
    <row r="66" spans="1:33" ht="73.900000000000006" customHeight="1">
      <c r="A66" s="1524">
        <v>1114</v>
      </c>
      <c r="B66" s="958" t="s">
        <v>679</v>
      </c>
      <c r="C66" s="1073" t="s">
        <v>680</v>
      </c>
      <c r="D66" s="1292"/>
      <c r="E66" s="1293">
        <v>5</v>
      </c>
      <c r="F66" s="1294">
        <v>43248</v>
      </c>
      <c r="G66" s="1294">
        <f t="shared" si="7"/>
        <v>43252</v>
      </c>
      <c r="H66" s="1292" t="s">
        <v>681</v>
      </c>
      <c r="I66" s="1293" t="s">
        <v>170</v>
      </c>
      <c r="J66" s="643" t="s">
        <v>682</v>
      </c>
      <c r="K66" s="1292" t="s">
        <v>692</v>
      </c>
      <c r="L66" s="1231">
        <v>23174</v>
      </c>
      <c r="M66" s="1292"/>
      <c r="N66" s="1292"/>
      <c r="O66" s="647">
        <v>9427</v>
      </c>
      <c r="P66" s="1292">
        <v>1</v>
      </c>
      <c r="Q66" s="1295">
        <f t="shared" si="9"/>
        <v>9427</v>
      </c>
      <c r="R66" s="956">
        <v>9427</v>
      </c>
      <c r="S66" s="954"/>
      <c r="T66" s="954"/>
      <c r="U66" s="651"/>
      <c r="V66" s="654">
        <f>Q66</f>
        <v>9427</v>
      </c>
      <c r="W66" s="954"/>
      <c r="X66" s="1166"/>
      <c r="Y66" s="1144"/>
      <c r="Z66" s="1124"/>
      <c r="AA66" s="1124"/>
      <c r="AB66" s="1124"/>
      <c r="AC66" s="1124"/>
      <c r="AD66" s="1124"/>
      <c r="AE66" s="1124"/>
      <c r="AF66" s="1124"/>
      <c r="AG66" s="1144"/>
    </row>
    <row r="67" spans="1:33" ht="73.900000000000006" customHeight="1">
      <c r="A67" s="1524">
        <v>1114</v>
      </c>
      <c r="B67" s="958" t="s">
        <v>679</v>
      </c>
      <c r="C67" s="1073" t="s">
        <v>680</v>
      </c>
      <c r="D67" s="1292"/>
      <c r="E67" s="1293">
        <v>5</v>
      </c>
      <c r="F67" s="1294">
        <v>43248</v>
      </c>
      <c r="G67" s="1294">
        <f t="shared" si="7"/>
        <v>43252</v>
      </c>
      <c r="H67" s="1292" t="s">
        <v>681</v>
      </c>
      <c r="I67" s="1293" t="s">
        <v>170</v>
      </c>
      <c r="J67" s="643" t="s">
        <v>682</v>
      </c>
      <c r="K67" s="1292" t="s">
        <v>693</v>
      </c>
      <c r="L67" s="1231">
        <v>23174</v>
      </c>
      <c r="M67" s="1292"/>
      <c r="N67" s="1292"/>
      <c r="O67" s="647">
        <v>1347</v>
      </c>
      <c r="P67" s="1292">
        <v>1</v>
      </c>
      <c r="Q67" s="1295">
        <f t="shared" si="9"/>
        <v>1347</v>
      </c>
      <c r="R67" s="956">
        <v>1347</v>
      </c>
      <c r="S67" s="954"/>
      <c r="T67" s="954"/>
      <c r="U67" s="651"/>
      <c r="V67" s="654">
        <f>Q67</f>
        <v>1347</v>
      </c>
      <c r="W67" s="954"/>
      <c r="X67" s="1166"/>
      <c r="Y67" s="1144"/>
      <c r="Z67" s="1124"/>
      <c r="AA67" s="1124"/>
      <c r="AB67" s="1124"/>
      <c r="AC67" s="1124"/>
      <c r="AD67" s="1124"/>
      <c r="AE67" s="1124"/>
      <c r="AF67" s="1124"/>
      <c r="AG67" s="1144"/>
    </row>
    <row r="68" spans="1:33" s="1028" customFormat="1" ht="97.5" customHeight="1">
      <c r="A68" s="1524">
        <v>1115</v>
      </c>
      <c r="B68" s="957" t="s">
        <v>694</v>
      </c>
      <c r="C68" s="1072" t="s">
        <v>695</v>
      </c>
      <c r="D68" s="1284"/>
      <c r="E68" s="1285">
        <v>10</v>
      </c>
      <c r="F68" s="1286">
        <v>43257</v>
      </c>
      <c r="G68" s="1286">
        <f t="shared" si="7"/>
        <v>43266</v>
      </c>
      <c r="H68" s="1284" t="s">
        <v>681</v>
      </c>
      <c r="I68" s="1285" t="s">
        <v>170</v>
      </c>
      <c r="J68" s="1026" t="s">
        <v>696</v>
      </c>
      <c r="K68" s="1284" t="s">
        <v>268</v>
      </c>
      <c r="L68" s="1230"/>
      <c r="M68" s="1284"/>
      <c r="N68" s="1284"/>
      <c r="O68" s="647"/>
      <c r="P68" s="1284"/>
      <c r="Q68" s="1288">
        <f>SUM(Q69:Q86)</f>
        <v>68472</v>
      </c>
      <c r="R68" s="1027">
        <f>SUM(R69:R86)</f>
        <v>68472</v>
      </c>
      <c r="S68" s="1289">
        <f t="shared" ref="S68:AF68" si="15">SUM(S69:S86)</f>
        <v>0</v>
      </c>
      <c r="T68" s="1289">
        <f t="shared" si="15"/>
        <v>0</v>
      </c>
      <c r="U68" s="1289">
        <f t="shared" si="15"/>
        <v>0</v>
      </c>
      <c r="V68" s="1289">
        <f t="shared" si="15"/>
        <v>31304</v>
      </c>
      <c r="W68" s="1289">
        <f t="shared" si="15"/>
        <v>37168</v>
      </c>
      <c r="X68" s="1290">
        <f t="shared" si="15"/>
        <v>0</v>
      </c>
      <c r="Y68" s="1291">
        <f t="shared" si="15"/>
        <v>0</v>
      </c>
      <c r="Z68" s="1184">
        <f t="shared" si="15"/>
        <v>0</v>
      </c>
      <c r="AA68" s="1184">
        <f t="shared" si="15"/>
        <v>0</v>
      </c>
      <c r="AB68" s="1184">
        <f t="shared" si="15"/>
        <v>0</v>
      </c>
      <c r="AC68" s="1184">
        <f t="shared" si="15"/>
        <v>0</v>
      </c>
      <c r="AD68" s="1184">
        <f t="shared" si="15"/>
        <v>0</v>
      </c>
      <c r="AE68" s="1184">
        <f t="shared" si="15"/>
        <v>0</v>
      </c>
      <c r="AF68" s="1184">
        <f t="shared" si="15"/>
        <v>0</v>
      </c>
      <c r="AG68" s="1047">
        <f>SUM(S68:AF68)</f>
        <v>68472</v>
      </c>
    </row>
    <row r="69" spans="1:33" ht="97.5" customHeight="1">
      <c r="A69" s="1524">
        <v>1115</v>
      </c>
      <c r="B69" s="958" t="s">
        <v>694</v>
      </c>
      <c r="C69" s="1073" t="s">
        <v>695</v>
      </c>
      <c r="D69" s="1292"/>
      <c r="E69" s="1293">
        <v>10</v>
      </c>
      <c r="F69" s="1294">
        <v>43257</v>
      </c>
      <c r="G69" s="1294">
        <f t="shared" si="7"/>
        <v>43266</v>
      </c>
      <c r="H69" s="1292" t="s">
        <v>681</v>
      </c>
      <c r="I69" s="1293" t="s">
        <v>170</v>
      </c>
      <c r="J69" s="643" t="s">
        <v>696</v>
      </c>
      <c r="K69" s="1292" t="s">
        <v>697</v>
      </c>
      <c r="L69" s="1231">
        <v>23174</v>
      </c>
      <c r="M69" s="1292"/>
      <c r="N69" s="1292"/>
      <c r="O69" s="647">
        <v>420</v>
      </c>
      <c r="P69" s="1292">
        <v>1</v>
      </c>
      <c r="Q69" s="1295">
        <f t="shared" si="9"/>
        <v>420</v>
      </c>
      <c r="R69" s="956">
        <v>420</v>
      </c>
      <c r="S69" s="954"/>
      <c r="T69" s="954"/>
      <c r="U69" s="954"/>
      <c r="V69" s="654">
        <f>Q69</f>
        <v>420</v>
      </c>
      <c r="W69" s="651"/>
      <c r="X69" s="1166"/>
      <c r="Y69" s="1144"/>
      <c r="Z69" s="1124"/>
      <c r="AA69" s="1124"/>
      <c r="AB69" s="1124"/>
      <c r="AC69" s="1124"/>
      <c r="AD69" s="1124"/>
      <c r="AE69" s="1124"/>
      <c r="AF69" s="1124"/>
      <c r="AG69" s="1144"/>
    </row>
    <row r="70" spans="1:33" ht="97.5" customHeight="1">
      <c r="A70" s="1524">
        <v>1115</v>
      </c>
      <c r="B70" s="958" t="s">
        <v>694</v>
      </c>
      <c r="C70" s="1073" t="s">
        <v>695</v>
      </c>
      <c r="D70" s="1292"/>
      <c r="E70" s="1293">
        <v>10</v>
      </c>
      <c r="F70" s="1294">
        <v>43257</v>
      </c>
      <c r="G70" s="1294">
        <f t="shared" si="7"/>
        <v>43266</v>
      </c>
      <c r="H70" s="1292" t="s">
        <v>681</v>
      </c>
      <c r="I70" s="1293" t="s">
        <v>170</v>
      </c>
      <c r="J70" s="643" t="s">
        <v>696</v>
      </c>
      <c r="K70" s="1292" t="s">
        <v>698</v>
      </c>
      <c r="L70" s="1231">
        <v>23174</v>
      </c>
      <c r="M70" s="1292"/>
      <c r="N70" s="1292"/>
      <c r="O70" s="647">
        <v>466.66666666666669</v>
      </c>
      <c r="P70" s="1292">
        <v>1</v>
      </c>
      <c r="Q70" s="1295">
        <f t="shared" si="9"/>
        <v>466.66666666666669</v>
      </c>
      <c r="R70" s="956">
        <v>466.66666666666669</v>
      </c>
      <c r="S70" s="954"/>
      <c r="T70" s="954"/>
      <c r="U70" s="954"/>
      <c r="V70" s="654">
        <f t="shared" ref="V70:V80" si="16">Q70</f>
        <v>466.66666666666669</v>
      </c>
      <c r="W70" s="651"/>
      <c r="X70" s="1166"/>
      <c r="Y70" s="1144"/>
      <c r="Z70" s="1124"/>
      <c r="AA70" s="1124"/>
      <c r="AB70" s="1124"/>
      <c r="AC70" s="1124"/>
      <c r="AD70" s="1124"/>
      <c r="AE70" s="1124"/>
      <c r="AF70" s="1124"/>
      <c r="AG70" s="1144"/>
    </row>
    <row r="71" spans="1:33" ht="97.5" customHeight="1">
      <c r="A71" s="1524">
        <v>1115</v>
      </c>
      <c r="B71" s="958" t="s">
        <v>694</v>
      </c>
      <c r="C71" s="1073" t="s">
        <v>695</v>
      </c>
      <c r="D71" s="1292"/>
      <c r="E71" s="1293">
        <v>10</v>
      </c>
      <c r="F71" s="1294">
        <v>43257</v>
      </c>
      <c r="G71" s="1294">
        <f t="shared" si="7"/>
        <v>43266</v>
      </c>
      <c r="H71" s="1292" t="s">
        <v>681</v>
      </c>
      <c r="I71" s="1293" t="s">
        <v>170</v>
      </c>
      <c r="J71" s="643" t="s">
        <v>696</v>
      </c>
      <c r="K71" s="1292" t="s">
        <v>699</v>
      </c>
      <c r="L71" s="1231">
        <v>23174</v>
      </c>
      <c r="M71" s="1292"/>
      <c r="N71" s="1292"/>
      <c r="O71" s="647">
        <v>350</v>
      </c>
      <c r="P71" s="1292">
        <v>1</v>
      </c>
      <c r="Q71" s="1295">
        <f t="shared" si="9"/>
        <v>350</v>
      </c>
      <c r="R71" s="956">
        <v>350</v>
      </c>
      <c r="S71" s="954"/>
      <c r="T71" s="954"/>
      <c r="U71" s="954"/>
      <c r="V71" s="654">
        <f t="shared" si="16"/>
        <v>350</v>
      </c>
      <c r="W71" s="651"/>
      <c r="X71" s="1166"/>
      <c r="Y71" s="1144"/>
      <c r="Z71" s="1124"/>
      <c r="AA71" s="1124"/>
      <c r="AB71" s="1124"/>
      <c r="AC71" s="1124"/>
      <c r="AD71" s="1124"/>
      <c r="AE71" s="1124"/>
      <c r="AF71" s="1124"/>
      <c r="AG71" s="1144"/>
    </row>
    <row r="72" spans="1:33" ht="97.5" customHeight="1">
      <c r="A72" s="1524">
        <v>1115</v>
      </c>
      <c r="B72" s="958" t="s">
        <v>694</v>
      </c>
      <c r="C72" s="1073" t="s">
        <v>695</v>
      </c>
      <c r="D72" s="1292"/>
      <c r="E72" s="1293">
        <v>10</v>
      </c>
      <c r="F72" s="1294">
        <v>43257</v>
      </c>
      <c r="G72" s="1294">
        <f t="shared" si="7"/>
        <v>43266</v>
      </c>
      <c r="H72" s="1292" t="s">
        <v>681</v>
      </c>
      <c r="I72" s="1293" t="s">
        <v>170</v>
      </c>
      <c r="J72" s="643" t="s">
        <v>696</v>
      </c>
      <c r="K72" s="1292" t="s">
        <v>700</v>
      </c>
      <c r="L72" s="1231">
        <v>23174</v>
      </c>
      <c r="M72" s="1292"/>
      <c r="N72" s="1292"/>
      <c r="O72" s="647">
        <v>233.33333333333334</v>
      </c>
      <c r="P72" s="1292">
        <v>1</v>
      </c>
      <c r="Q72" s="1295">
        <f t="shared" si="9"/>
        <v>233.33333333333334</v>
      </c>
      <c r="R72" s="956">
        <v>233.33333333333334</v>
      </c>
      <c r="S72" s="954"/>
      <c r="T72" s="954"/>
      <c r="U72" s="954"/>
      <c r="V72" s="654">
        <f t="shared" si="16"/>
        <v>233.33333333333334</v>
      </c>
      <c r="W72" s="651"/>
      <c r="X72" s="1166"/>
      <c r="Y72" s="1144"/>
      <c r="Z72" s="1124"/>
      <c r="AA72" s="1124"/>
      <c r="AB72" s="1124"/>
      <c r="AC72" s="1124"/>
      <c r="AD72" s="1124"/>
      <c r="AE72" s="1124"/>
      <c r="AF72" s="1124"/>
      <c r="AG72" s="1144"/>
    </row>
    <row r="73" spans="1:33" ht="97.5" customHeight="1">
      <c r="A73" s="1524">
        <v>1115</v>
      </c>
      <c r="B73" s="958" t="s">
        <v>694</v>
      </c>
      <c r="C73" s="1073" t="s">
        <v>695</v>
      </c>
      <c r="D73" s="1292"/>
      <c r="E73" s="1293">
        <v>10</v>
      </c>
      <c r="F73" s="1294">
        <v>43257</v>
      </c>
      <c r="G73" s="1294">
        <f t="shared" si="7"/>
        <v>43266</v>
      </c>
      <c r="H73" s="1292" t="s">
        <v>681</v>
      </c>
      <c r="I73" s="1293" t="s">
        <v>170</v>
      </c>
      <c r="J73" s="643" t="s">
        <v>696</v>
      </c>
      <c r="K73" s="1292" t="s">
        <v>683</v>
      </c>
      <c r="L73" s="1231">
        <v>23174</v>
      </c>
      <c r="M73" s="1292"/>
      <c r="N73" s="1292"/>
      <c r="O73" s="647">
        <v>1176</v>
      </c>
      <c r="P73" s="1292">
        <v>1</v>
      </c>
      <c r="Q73" s="1295">
        <f t="shared" si="9"/>
        <v>1176</v>
      </c>
      <c r="R73" s="956">
        <v>1176</v>
      </c>
      <c r="S73" s="954"/>
      <c r="T73" s="954"/>
      <c r="U73" s="954"/>
      <c r="V73" s="654">
        <f t="shared" si="16"/>
        <v>1176</v>
      </c>
      <c r="W73" s="651"/>
      <c r="X73" s="1166"/>
      <c r="Y73" s="1144"/>
      <c r="Z73" s="1124"/>
      <c r="AA73" s="1124"/>
      <c r="AB73" s="1124"/>
      <c r="AC73" s="1124"/>
      <c r="AD73" s="1124"/>
      <c r="AE73" s="1124"/>
      <c r="AF73" s="1124"/>
      <c r="AG73" s="1144"/>
    </row>
    <row r="74" spans="1:33" ht="97.5" customHeight="1">
      <c r="A74" s="1524">
        <v>1115</v>
      </c>
      <c r="B74" s="958" t="s">
        <v>694</v>
      </c>
      <c r="C74" s="1073" t="s">
        <v>695</v>
      </c>
      <c r="D74" s="1292"/>
      <c r="E74" s="1293">
        <v>10</v>
      </c>
      <c r="F74" s="1294">
        <v>43257</v>
      </c>
      <c r="G74" s="1294">
        <f t="shared" si="7"/>
        <v>43266</v>
      </c>
      <c r="H74" s="1292" t="s">
        <v>681</v>
      </c>
      <c r="I74" s="1293" t="s">
        <v>170</v>
      </c>
      <c r="J74" s="643" t="s">
        <v>696</v>
      </c>
      <c r="K74" s="1292" t="s">
        <v>684</v>
      </c>
      <c r="L74" s="1231">
        <v>23174</v>
      </c>
      <c r="M74" s="1292"/>
      <c r="N74" s="1292"/>
      <c r="O74" s="647">
        <v>1307</v>
      </c>
      <c r="P74" s="1292">
        <v>1</v>
      </c>
      <c r="Q74" s="1295">
        <f t="shared" si="9"/>
        <v>1307</v>
      </c>
      <c r="R74" s="956">
        <v>1307</v>
      </c>
      <c r="S74" s="954"/>
      <c r="T74" s="954"/>
      <c r="U74" s="954"/>
      <c r="V74" s="654">
        <f t="shared" si="16"/>
        <v>1307</v>
      </c>
      <c r="W74" s="651"/>
      <c r="X74" s="1166"/>
      <c r="Y74" s="1144"/>
      <c r="Z74" s="1124"/>
      <c r="AA74" s="1124"/>
      <c r="AB74" s="1124"/>
      <c r="AC74" s="1124"/>
      <c r="AD74" s="1124"/>
      <c r="AE74" s="1124"/>
      <c r="AF74" s="1124"/>
      <c r="AG74" s="1144"/>
    </row>
    <row r="75" spans="1:33" ht="97.5" customHeight="1">
      <c r="A75" s="1524">
        <v>1115</v>
      </c>
      <c r="B75" s="958" t="s">
        <v>694</v>
      </c>
      <c r="C75" s="1073" t="s">
        <v>695</v>
      </c>
      <c r="D75" s="1292"/>
      <c r="E75" s="1293">
        <v>10</v>
      </c>
      <c r="F75" s="1294">
        <v>43257</v>
      </c>
      <c r="G75" s="1294">
        <f t="shared" ref="G75:G94" si="17">F75+E75-1</f>
        <v>43266</v>
      </c>
      <c r="H75" s="1292" t="s">
        <v>681</v>
      </c>
      <c r="I75" s="1293" t="s">
        <v>170</v>
      </c>
      <c r="J75" s="643" t="s">
        <v>696</v>
      </c>
      <c r="K75" s="1292" t="s">
        <v>685</v>
      </c>
      <c r="L75" s="1231">
        <v>23174</v>
      </c>
      <c r="M75" s="1292"/>
      <c r="N75" s="1292"/>
      <c r="O75" s="647">
        <v>980</v>
      </c>
      <c r="P75" s="1292">
        <v>1</v>
      </c>
      <c r="Q75" s="1295">
        <f t="shared" si="9"/>
        <v>980</v>
      </c>
      <c r="R75" s="956">
        <v>980</v>
      </c>
      <c r="S75" s="954"/>
      <c r="T75" s="954"/>
      <c r="U75" s="954"/>
      <c r="V75" s="654">
        <f>Q75</f>
        <v>980</v>
      </c>
      <c r="W75" s="651"/>
      <c r="X75" s="1166"/>
      <c r="Y75" s="1144"/>
      <c r="Z75" s="1124"/>
      <c r="AA75" s="1124"/>
      <c r="AB75" s="1124"/>
      <c r="AC75" s="1124"/>
      <c r="AD75" s="1124"/>
      <c r="AE75" s="1124"/>
      <c r="AF75" s="1124"/>
      <c r="AG75" s="1144"/>
    </row>
    <row r="76" spans="1:33" ht="97.5" customHeight="1">
      <c r="A76" s="1524">
        <v>1115</v>
      </c>
      <c r="B76" s="958" t="s">
        <v>694</v>
      </c>
      <c r="C76" s="1073" t="s">
        <v>695</v>
      </c>
      <c r="D76" s="1292"/>
      <c r="E76" s="1293">
        <v>10</v>
      </c>
      <c r="F76" s="1294">
        <v>43257</v>
      </c>
      <c r="G76" s="1294">
        <f t="shared" si="17"/>
        <v>43266</v>
      </c>
      <c r="H76" s="1292" t="s">
        <v>681</v>
      </c>
      <c r="I76" s="1293" t="s">
        <v>170</v>
      </c>
      <c r="J76" s="643" t="s">
        <v>696</v>
      </c>
      <c r="K76" s="1292" t="s">
        <v>686</v>
      </c>
      <c r="L76" s="1231">
        <v>23174</v>
      </c>
      <c r="M76" s="1292"/>
      <c r="N76" s="1292"/>
      <c r="O76" s="647">
        <v>653</v>
      </c>
      <c r="P76" s="1292">
        <v>1</v>
      </c>
      <c r="Q76" s="1295">
        <f t="shared" ref="Q76:Q86" si="18">O76*P76</f>
        <v>653</v>
      </c>
      <c r="R76" s="956">
        <v>653</v>
      </c>
      <c r="S76" s="954"/>
      <c r="T76" s="954"/>
      <c r="U76" s="954"/>
      <c r="V76" s="654">
        <f t="shared" si="16"/>
        <v>653</v>
      </c>
      <c r="W76" s="651"/>
      <c r="X76" s="1166"/>
      <c r="Y76" s="1144"/>
      <c r="Z76" s="1124"/>
      <c r="AA76" s="1124"/>
      <c r="AB76" s="1124"/>
      <c r="AC76" s="1124"/>
      <c r="AD76" s="1124"/>
      <c r="AE76" s="1124"/>
      <c r="AF76" s="1124"/>
      <c r="AG76" s="1144"/>
    </row>
    <row r="77" spans="1:33" ht="97.5" customHeight="1">
      <c r="A77" s="1524">
        <v>1115</v>
      </c>
      <c r="B77" s="958" t="s">
        <v>694</v>
      </c>
      <c r="C77" s="1073" t="s">
        <v>695</v>
      </c>
      <c r="D77" s="1292"/>
      <c r="E77" s="1293">
        <v>10</v>
      </c>
      <c r="F77" s="1294">
        <v>43257</v>
      </c>
      <c r="G77" s="1294">
        <f t="shared" si="17"/>
        <v>43266</v>
      </c>
      <c r="H77" s="1292" t="s">
        <v>681</v>
      </c>
      <c r="I77" s="1293" t="s">
        <v>170</v>
      </c>
      <c r="J77" s="643" t="s">
        <v>696</v>
      </c>
      <c r="K77" s="1292" t="s">
        <v>701</v>
      </c>
      <c r="L77" s="1231">
        <v>23174</v>
      </c>
      <c r="M77" s="1292"/>
      <c r="N77" s="1292"/>
      <c r="O77" s="647">
        <v>4443</v>
      </c>
      <c r="P77" s="1292">
        <v>1</v>
      </c>
      <c r="Q77" s="1295">
        <f t="shared" si="18"/>
        <v>4443</v>
      </c>
      <c r="R77" s="956">
        <v>4443</v>
      </c>
      <c r="S77" s="954"/>
      <c r="T77" s="954"/>
      <c r="U77" s="954"/>
      <c r="V77" s="654">
        <f t="shared" si="16"/>
        <v>4443</v>
      </c>
      <c r="W77" s="651"/>
      <c r="X77" s="1166"/>
      <c r="Y77" s="1144"/>
      <c r="Z77" s="1124"/>
      <c r="AA77" s="1124"/>
      <c r="AB77" s="1124"/>
      <c r="AC77" s="1124"/>
      <c r="AD77" s="1124"/>
      <c r="AE77" s="1124"/>
      <c r="AF77" s="1124"/>
      <c r="AG77" s="1144"/>
    </row>
    <row r="78" spans="1:33" ht="97.5" customHeight="1">
      <c r="A78" s="1524">
        <v>1115</v>
      </c>
      <c r="B78" s="958" t="s">
        <v>694</v>
      </c>
      <c r="C78" s="1073" t="s">
        <v>695</v>
      </c>
      <c r="D78" s="1292"/>
      <c r="E78" s="1293">
        <v>10</v>
      </c>
      <c r="F78" s="1294">
        <v>43257</v>
      </c>
      <c r="G78" s="1294">
        <f t="shared" si="17"/>
        <v>43266</v>
      </c>
      <c r="H78" s="1292" t="s">
        <v>681</v>
      </c>
      <c r="I78" s="1293" t="s">
        <v>170</v>
      </c>
      <c r="J78" s="643" t="s">
        <v>696</v>
      </c>
      <c r="K78" s="1292" t="s">
        <v>702</v>
      </c>
      <c r="L78" s="1231">
        <v>23174</v>
      </c>
      <c r="M78" s="1292"/>
      <c r="N78" s="1292"/>
      <c r="O78" s="647">
        <v>3528</v>
      </c>
      <c r="P78" s="1292">
        <v>1</v>
      </c>
      <c r="Q78" s="1295">
        <f t="shared" si="18"/>
        <v>3528</v>
      </c>
      <c r="R78" s="956">
        <v>3528</v>
      </c>
      <c r="S78" s="954"/>
      <c r="T78" s="954"/>
      <c r="U78" s="954"/>
      <c r="V78" s="654">
        <f>Q78</f>
        <v>3528</v>
      </c>
      <c r="W78" s="651"/>
      <c r="X78" s="1166"/>
      <c r="Y78" s="1144"/>
      <c r="Z78" s="1124"/>
      <c r="AA78" s="1124"/>
      <c r="AB78" s="1124"/>
      <c r="AC78" s="1124"/>
      <c r="AD78" s="1124"/>
      <c r="AE78" s="1124"/>
      <c r="AF78" s="1124"/>
      <c r="AG78" s="1144"/>
    </row>
    <row r="79" spans="1:33" ht="97.5" customHeight="1">
      <c r="A79" s="1524">
        <v>1115</v>
      </c>
      <c r="B79" s="958" t="s">
        <v>694</v>
      </c>
      <c r="C79" s="1073" t="s">
        <v>695</v>
      </c>
      <c r="D79" s="1292"/>
      <c r="E79" s="1293">
        <v>10</v>
      </c>
      <c r="F79" s="1294">
        <v>43257</v>
      </c>
      <c r="G79" s="1294">
        <f t="shared" si="17"/>
        <v>43266</v>
      </c>
      <c r="H79" s="1292" t="s">
        <v>681</v>
      </c>
      <c r="I79" s="1293" t="s">
        <v>170</v>
      </c>
      <c r="J79" s="643" t="s">
        <v>696</v>
      </c>
      <c r="K79" s="1292" t="s">
        <v>689</v>
      </c>
      <c r="L79" s="1231">
        <v>23174</v>
      </c>
      <c r="M79" s="1292"/>
      <c r="N79" s="1292"/>
      <c r="O79" s="647">
        <v>3920</v>
      </c>
      <c r="P79" s="1292">
        <v>1</v>
      </c>
      <c r="Q79" s="1295">
        <f t="shared" si="18"/>
        <v>3920</v>
      </c>
      <c r="R79" s="956">
        <v>3920</v>
      </c>
      <c r="S79" s="954"/>
      <c r="T79" s="954"/>
      <c r="U79" s="954"/>
      <c r="V79" s="654">
        <f t="shared" si="16"/>
        <v>3920</v>
      </c>
      <c r="W79" s="651"/>
      <c r="X79" s="1166"/>
      <c r="Y79" s="1144"/>
      <c r="Z79" s="1124"/>
      <c r="AA79" s="1124"/>
      <c r="AB79" s="1124"/>
      <c r="AC79" s="1124"/>
      <c r="AD79" s="1124"/>
      <c r="AE79" s="1124"/>
      <c r="AF79" s="1124"/>
      <c r="AG79" s="1144"/>
    </row>
    <row r="80" spans="1:33" ht="97.5" customHeight="1">
      <c r="A80" s="1524">
        <v>1115</v>
      </c>
      <c r="B80" s="958" t="s">
        <v>694</v>
      </c>
      <c r="C80" s="1073" t="s">
        <v>695</v>
      </c>
      <c r="D80" s="1292"/>
      <c r="E80" s="1293">
        <v>10</v>
      </c>
      <c r="F80" s="1294">
        <v>43257</v>
      </c>
      <c r="G80" s="1294">
        <f t="shared" si="17"/>
        <v>43266</v>
      </c>
      <c r="H80" s="1292" t="s">
        <v>681</v>
      </c>
      <c r="I80" s="1293" t="s">
        <v>170</v>
      </c>
      <c r="J80" s="643" t="s">
        <v>696</v>
      </c>
      <c r="K80" s="1292" t="s">
        <v>690</v>
      </c>
      <c r="L80" s="1231">
        <v>23174</v>
      </c>
      <c r="M80" s="1292"/>
      <c r="N80" s="1292"/>
      <c r="O80" s="647">
        <v>1960</v>
      </c>
      <c r="P80" s="1292">
        <v>1</v>
      </c>
      <c r="Q80" s="1295">
        <f t="shared" si="18"/>
        <v>1960</v>
      </c>
      <c r="R80" s="956">
        <v>1960</v>
      </c>
      <c r="S80" s="954"/>
      <c r="T80" s="954"/>
      <c r="U80" s="954"/>
      <c r="V80" s="654">
        <f t="shared" si="16"/>
        <v>1960</v>
      </c>
      <c r="W80" s="651"/>
      <c r="X80" s="1166"/>
      <c r="Y80" s="1144"/>
      <c r="Z80" s="1124"/>
      <c r="AA80" s="1124"/>
      <c r="AB80" s="1124"/>
      <c r="AC80" s="1124"/>
      <c r="AD80" s="1124"/>
      <c r="AE80" s="1124"/>
      <c r="AF80" s="1124"/>
      <c r="AG80" s="1144"/>
    </row>
    <row r="81" spans="1:33" ht="97.5" customHeight="1">
      <c r="A81" s="1524">
        <v>1115</v>
      </c>
      <c r="B81" s="958" t="s">
        <v>694</v>
      </c>
      <c r="C81" s="1073" t="s">
        <v>695</v>
      </c>
      <c r="D81" s="1292"/>
      <c r="E81" s="1293">
        <v>10</v>
      </c>
      <c r="F81" s="1294">
        <v>43257</v>
      </c>
      <c r="G81" s="1294">
        <f t="shared" si="17"/>
        <v>43266</v>
      </c>
      <c r="H81" s="1292" t="s">
        <v>681</v>
      </c>
      <c r="I81" s="1293" t="s">
        <v>170</v>
      </c>
      <c r="J81" s="643" t="s">
        <v>696</v>
      </c>
      <c r="K81" s="1292" t="s">
        <v>703</v>
      </c>
      <c r="L81" s="1231">
        <v>23174</v>
      </c>
      <c r="M81" s="1292"/>
      <c r="N81" s="1292"/>
      <c r="O81" s="647">
        <v>16968</v>
      </c>
      <c r="P81" s="1292">
        <v>1</v>
      </c>
      <c r="Q81" s="1295">
        <f t="shared" si="18"/>
        <v>16968</v>
      </c>
      <c r="R81" s="956">
        <v>16968</v>
      </c>
      <c r="S81" s="954"/>
      <c r="T81" s="954"/>
      <c r="U81" s="954"/>
      <c r="V81" s="651"/>
      <c r="W81" s="654">
        <f>Q81</f>
        <v>16968</v>
      </c>
      <c r="X81" s="1166"/>
      <c r="Y81" s="1144"/>
      <c r="Z81" s="1124"/>
      <c r="AA81" s="1124"/>
      <c r="AB81" s="1124"/>
      <c r="AC81" s="1124"/>
      <c r="AD81" s="1124"/>
      <c r="AE81" s="1124"/>
      <c r="AF81" s="1124"/>
      <c r="AG81" s="1144"/>
    </row>
    <row r="82" spans="1:33" ht="97.5" customHeight="1">
      <c r="A82" s="1524">
        <v>1115</v>
      </c>
      <c r="B82" s="958" t="s">
        <v>694</v>
      </c>
      <c r="C82" s="1073" t="s">
        <v>695</v>
      </c>
      <c r="D82" s="1292"/>
      <c r="E82" s="1293">
        <v>10</v>
      </c>
      <c r="F82" s="1294">
        <v>43257</v>
      </c>
      <c r="G82" s="1294">
        <f t="shared" si="17"/>
        <v>43266</v>
      </c>
      <c r="H82" s="1292" t="s">
        <v>681</v>
      </c>
      <c r="I82" s="1293" t="s">
        <v>170</v>
      </c>
      <c r="J82" s="643" t="s">
        <v>696</v>
      </c>
      <c r="K82" s="1292" t="s">
        <v>692</v>
      </c>
      <c r="L82" s="1231">
        <v>23174</v>
      </c>
      <c r="M82" s="1292"/>
      <c r="N82" s="1292"/>
      <c r="O82" s="647">
        <v>18853</v>
      </c>
      <c r="P82" s="1292">
        <v>1</v>
      </c>
      <c r="Q82" s="1295">
        <f t="shared" si="18"/>
        <v>18853</v>
      </c>
      <c r="R82" s="956">
        <v>18853</v>
      </c>
      <c r="S82" s="954"/>
      <c r="T82" s="954"/>
      <c r="U82" s="954"/>
      <c r="V82" s="651"/>
      <c r="W82" s="654">
        <f>Q82</f>
        <v>18853</v>
      </c>
      <c r="X82" s="1166"/>
      <c r="Y82" s="1144"/>
      <c r="Z82" s="1124"/>
      <c r="AA82" s="1124"/>
      <c r="AB82" s="1124"/>
      <c r="AC82" s="1124"/>
      <c r="AD82" s="1124"/>
      <c r="AE82" s="1124"/>
      <c r="AF82" s="1124"/>
      <c r="AG82" s="1144"/>
    </row>
    <row r="83" spans="1:33" ht="97.5" customHeight="1">
      <c r="A83" s="1524">
        <v>1115</v>
      </c>
      <c r="B83" s="958" t="s">
        <v>694</v>
      </c>
      <c r="C83" s="1073" t="s">
        <v>695</v>
      </c>
      <c r="D83" s="1292"/>
      <c r="E83" s="1293">
        <v>10</v>
      </c>
      <c r="F83" s="1294">
        <v>43257</v>
      </c>
      <c r="G83" s="1294">
        <f t="shared" si="17"/>
        <v>43266</v>
      </c>
      <c r="H83" s="1292" t="s">
        <v>681</v>
      </c>
      <c r="I83" s="1293" t="s">
        <v>170</v>
      </c>
      <c r="J83" s="643" t="s">
        <v>696</v>
      </c>
      <c r="K83" s="1292" t="s">
        <v>693</v>
      </c>
      <c r="L83" s="1231">
        <v>23174</v>
      </c>
      <c r="M83" s="1292"/>
      <c r="N83" s="1292"/>
      <c r="O83" s="647">
        <v>1347</v>
      </c>
      <c r="P83" s="1292">
        <v>1</v>
      </c>
      <c r="Q83" s="1295">
        <f t="shared" si="18"/>
        <v>1347</v>
      </c>
      <c r="R83" s="956">
        <v>1347</v>
      </c>
      <c r="S83" s="954"/>
      <c r="T83" s="954"/>
      <c r="U83" s="954"/>
      <c r="V83" s="651"/>
      <c r="W83" s="654">
        <f>Q83</f>
        <v>1347</v>
      </c>
      <c r="X83" s="1166"/>
      <c r="Y83" s="1144"/>
      <c r="Z83" s="1124"/>
      <c r="AA83" s="1124"/>
      <c r="AB83" s="1124"/>
      <c r="AC83" s="1124"/>
      <c r="AD83" s="1124"/>
      <c r="AE83" s="1124"/>
      <c r="AF83" s="1124"/>
      <c r="AG83" s="1144"/>
    </row>
    <row r="84" spans="1:33" ht="97.5" customHeight="1">
      <c r="A84" s="1524">
        <v>1115</v>
      </c>
      <c r="B84" s="958" t="s">
        <v>694</v>
      </c>
      <c r="C84" s="1073" t="s">
        <v>695</v>
      </c>
      <c r="D84" s="1292"/>
      <c r="E84" s="1293">
        <v>10</v>
      </c>
      <c r="F84" s="1294">
        <v>43257</v>
      </c>
      <c r="G84" s="1294">
        <f t="shared" si="17"/>
        <v>43266</v>
      </c>
      <c r="H84" s="1292" t="s">
        <v>681</v>
      </c>
      <c r="I84" s="1293" t="s">
        <v>170</v>
      </c>
      <c r="J84" s="643" t="s">
        <v>696</v>
      </c>
      <c r="K84" s="1292" t="s">
        <v>704</v>
      </c>
      <c r="L84" s="1231">
        <v>23173</v>
      </c>
      <c r="M84" s="1292"/>
      <c r="N84" s="1292"/>
      <c r="O84" s="647">
        <v>1117</v>
      </c>
      <c r="P84" s="1292">
        <v>1</v>
      </c>
      <c r="Q84" s="1295">
        <f t="shared" si="18"/>
        <v>1117</v>
      </c>
      <c r="R84" s="956">
        <v>1117</v>
      </c>
      <c r="S84" s="954"/>
      <c r="T84" s="954"/>
      <c r="U84" s="954"/>
      <c r="V84" s="654">
        <f>Q84</f>
        <v>1117</v>
      </c>
      <c r="W84" s="651"/>
      <c r="X84" s="1166"/>
      <c r="Y84" s="1144"/>
      <c r="Z84" s="1124"/>
      <c r="AA84" s="1124"/>
      <c r="AB84" s="1124"/>
      <c r="AC84" s="1124"/>
      <c r="AD84" s="1124"/>
      <c r="AE84" s="1124"/>
      <c r="AF84" s="1124"/>
      <c r="AG84" s="1144"/>
    </row>
    <row r="85" spans="1:33" ht="97.5" customHeight="1">
      <c r="A85" s="1524">
        <v>1115</v>
      </c>
      <c r="B85" s="958" t="s">
        <v>694</v>
      </c>
      <c r="C85" s="1073" t="s">
        <v>695</v>
      </c>
      <c r="D85" s="1292"/>
      <c r="E85" s="1293">
        <v>10</v>
      </c>
      <c r="F85" s="1294">
        <v>43257</v>
      </c>
      <c r="G85" s="1294">
        <f t="shared" si="17"/>
        <v>43266</v>
      </c>
      <c r="H85" s="1292" t="s">
        <v>681</v>
      </c>
      <c r="I85" s="1293" t="s">
        <v>170</v>
      </c>
      <c r="J85" s="643" t="s">
        <v>696</v>
      </c>
      <c r="K85" s="1292" t="s">
        <v>706</v>
      </c>
      <c r="L85" s="1231">
        <v>23173</v>
      </c>
      <c r="M85" s="1292"/>
      <c r="N85" s="1292"/>
      <c r="O85" s="647">
        <v>6450</v>
      </c>
      <c r="P85" s="1292">
        <v>1</v>
      </c>
      <c r="Q85" s="1295">
        <f t="shared" si="18"/>
        <v>6450</v>
      </c>
      <c r="R85" s="956">
        <v>6450</v>
      </c>
      <c r="S85" s="954"/>
      <c r="T85" s="954"/>
      <c r="U85" s="954"/>
      <c r="V85" s="654">
        <f>Q85</f>
        <v>6450</v>
      </c>
      <c r="W85" s="651"/>
      <c r="X85" s="1166"/>
      <c r="Y85" s="1144"/>
      <c r="Z85" s="1124"/>
      <c r="AA85" s="1124"/>
      <c r="AB85" s="1124"/>
      <c r="AC85" s="1124"/>
      <c r="AD85" s="1124"/>
      <c r="AE85" s="1124"/>
      <c r="AF85" s="1124"/>
      <c r="AG85" s="1144"/>
    </row>
    <row r="86" spans="1:33" ht="97.5" customHeight="1">
      <c r="A86" s="1524">
        <v>1115</v>
      </c>
      <c r="B86" s="958" t="s">
        <v>694</v>
      </c>
      <c r="C86" s="1073" t="s">
        <v>695</v>
      </c>
      <c r="D86" s="1292"/>
      <c r="E86" s="1293">
        <v>10</v>
      </c>
      <c r="F86" s="1294">
        <v>43257</v>
      </c>
      <c r="G86" s="1294">
        <f t="shared" si="17"/>
        <v>43266</v>
      </c>
      <c r="H86" s="1292" t="s">
        <v>681</v>
      </c>
      <c r="I86" s="1293" t="s">
        <v>170</v>
      </c>
      <c r="J86" s="643" t="s">
        <v>696</v>
      </c>
      <c r="K86" s="1292" t="s">
        <v>638</v>
      </c>
      <c r="L86" s="1231">
        <v>23173</v>
      </c>
      <c r="M86" s="1292"/>
      <c r="N86" s="1292"/>
      <c r="O86" s="647">
        <v>4300</v>
      </c>
      <c r="P86" s="1292">
        <v>1</v>
      </c>
      <c r="Q86" s="1295">
        <f t="shared" si="18"/>
        <v>4300</v>
      </c>
      <c r="R86" s="956">
        <v>4300</v>
      </c>
      <c r="S86" s="954"/>
      <c r="T86" s="954"/>
      <c r="U86" s="954"/>
      <c r="V86" s="654">
        <f>Q86</f>
        <v>4300</v>
      </c>
      <c r="W86" s="651"/>
      <c r="X86" s="1166"/>
      <c r="Y86" s="1144"/>
      <c r="Z86" s="1124"/>
      <c r="AA86" s="1124"/>
      <c r="AB86" s="1124"/>
      <c r="AC86" s="1124"/>
      <c r="AD86" s="1124"/>
      <c r="AE86" s="1124"/>
      <c r="AF86" s="1124"/>
      <c r="AG86" s="1144"/>
    </row>
    <row r="87" spans="1:33" s="1028" customFormat="1" ht="73.900000000000006" customHeight="1">
      <c r="A87" s="1524">
        <v>1116</v>
      </c>
      <c r="B87" s="957" t="s">
        <v>707</v>
      </c>
      <c r="C87" s="1072" t="s">
        <v>708</v>
      </c>
      <c r="D87" s="1284"/>
      <c r="E87" s="1285">
        <v>1</v>
      </c>
      <c r="F87" s="1286">
        <v>43315</v>
      </c>
      <c r="G87" s="1286">
        <f t="shared" si="17"/>
        <v>43315</v>
      </c>
      <c r="H87" s="1284" t="s">
        <v>667</v>
      </c>
      <c r="I87" s="1285" t="s">
        <v>170</v>
      </c>
      <c r="J87" s="1026" t="s">
        <v>696</v>
      </c>
      <c r="K87" s="1284" t="s">
        <v>268</v>
      </c>
      <c r="L87" s="1230"/>
      <c r="M87" s="1284"/>
      <c r="N87" s="1284"/>
      <c r="O87" s="647"/>
      <c r="P87" s="1284"/>
      <c r="Q87" s="1288">
        <f>SUM(Q88:Q94)</f>
        <v>4019.666666666667</v>
      </c>
      <c r="R87" s="1027">
        <f>SUM(R88:R94)</f>
        <v>4019.666666666667</v>
      </c>
      <c r="S87" s="1289">
        <f t="shared" ref="S87:AF87" si="19">SUM(S88:S94)</f>
        <v>0</v>
      </c>
      <c r="T87" s="1289">
        <f t="shared" si="19"/>
        <v>0</v>
      </c>
      <c r="U87" s="1289">
        <f t="shared" si="19"/>
        <v>0</v>
      </c>
      <c r="V87" s="1289">
        <f t="shared" si="19"/>
        <v>0</v>
      </c>
      <c r="W87" s="1289">
        <f t="shared" si="19"/>
        <v>0</v>
      </c>
      <c r="X87" s="1290">
        <f t="shared" si="19"/>
        <v>4019.666666666667</v>
      </c>
      <c r="Y87" s="1291">
        <f t="shared" si="19"/>
        <v>0</v>
      </c>
      <c r="Z87" s="1184">
        <f t="shared" si="19"/>
        <v>0</v>
      </c>
      <c r="AA87" s="1184">
        <f t="shared" si="19"/>
        <v>0</v>
      </c>
      <c r="AB87" s="1184">
        <f t="shared" si="19"/>
        <v>0</v>
      </c>
      <c r="AC87" s="1184">
        <f t="shared" si="19"/>
        <v>0</v>
      </c>
      <c r="AD87" s="1184">
        <f t="shared" si="19"/>
        <v>0</v>
      </c>
      <c r="AE87" s="1184">
        <f t="shared" si="19"/>
        <v>0</v>
      </c>
      <c r="AF87" s="1184">
        <f t="shared" si="19"/>
        <v>0</v>
      </c>
      <c r="AG87" s="1047">
        <f>SUM(S87:AF87)</f>
        <v>4019.666666666667</v>
      </c>
    </row>
    <row r="88" spans="1:33" ht="73.900000000000006" customHeight="1">
      <c r="A88" s="1524">
        <v>1116</v>
      </c>
      <c r="B88" s="958" t="s">
        <v>707</v>
      </c>
      <c r="C88" s="1073" t="s">
        <v>708</v>
      </c>
      <c r="D88" s="1292"/>
      <c r="E88" s="1293">
        <v>1</v>
      </c>
      <c r="F88" s="1294">
        <v>43315</v>
      </c>
      <c r="G88" s="1294">
        <f t="shared" si="17"/>
        <v>43315</v>
      </c>
      <c r="H88" s="1292" t="s">
        <v>667</v>
      </c>
      <c r="I88" s="1293" t="s">
        <v>170</v>
      </c>
      <c r="J88" s="643" t="s">
        <v>696</v>
      </c>
      <c r="K88" s="1292" t="s">
        <v>709</v>
      </c>
      <c r="L88" s="1231">
        <v>23174</v>
      </c>
      <c r="M88" s="1292"/>
      <c r="N88" s="1292"/>
      <c r="O88" s="647">
        <v>252</v>
      </c>
      <c r="P88" s="1292">
        <v>1</v>
      </c>
      <c r="Q88" s="1295">
        <f t="shared" ref="Q88:Q94" si="20">O88*P88</f>
        <v>252</v>
      </c>
      <c r="R88" s="956">
        <v>252</v>
      </c>
      <c r="S88" s="954"/>
      <c r="T88" s="954"/>
      <c r="U88" s="954"/>
      <c r="V88" s="954"/>
      <c r="W88" s="954"/>
      <c r="X88" s="1167">
        <f>Q88</f>
        <v>252</v>
      </c>
      <c r="Y88" s="1144"/>
      <c r="Z88" s="1124"/>
      <c r="AA88" s="1124"/>
      <c r="AB88" s="1124"/>
      <c r="AC88" s="1124"/>
      <c r="AD88" s="1124"/>
      <c r="AE88" s="1124"/>
      <c r="AF88" s="1124"/>
      <c r="AG88" s="1144"/>
    </row>
    <row r="89" spans="1:33" ht="73.900000000000006" customHeight="1">
      <c r="A89" s="1524">
        <v>1116</v>
      </c>
      <c r="B89" s="958" t="s">
        <v>707</v>
      </c>
      <c r="C89" s="1073" t="s">
        <v>708</v>
      </c>
      <c r="D89" s="1292"/>
      <c r="E89" s="1293">
        <v>1</v>
      </c>
      <c r="F89" s="1294">
        <v>43315</v>
      </c>
      <c r="G89" s="1294">
        <f t="shared" si="17"/>
        <v>43315</v>
      </c>
      <c r="H89" s="1292" t="s">
        <v>667</v>
      </c>
      <c r="I89" s="1293" t="s">
        <v>170</v>
      </c>
      <c r="J89" s="643" t="s">
        <v>696</v>
      </c>
      <c r="K89" s="1292" t="s">
        <v>710</v>
      </c>
      <c r="L89" s="1231">
        <v>23174</v>
      </c>
      <c r="M89" s="1292"/>
      <c r="N89" s="1292"/>
      <c r="O89" s="647">
        <v>280</v>
      </c>
      <c r="P89" s="1292">
        <v>1</v>
      </c>
      <c r="Q89" s="1295">
        <f t="shared" si="20"/>
        <v>280</v>
      </c>
      <c r="R89" s="956">
        <v>280</v>
      </c>
      <c r="S89" s="954"/>
      <c r="T89" s="954"/>
      <c r="U89" s="954"/>
      <c r="V89" s="954"/>
      <c r="W89" s="954"/>
      <c r="X89" s="1167">
        <f t="shared" ref="X89:X94" si="21">Q89</f>
        <v>280</v>
      </c>
      <c r="Y89" s="1144"/>
      <c r="Z89" s="1124"/>
      <c r="AA89" s="1124"/>
      <c r="AB89" s="1124"/>
      <c r="AC89" s="1124"/>
      <c r="AD89" s="1124"/>
      <c r="AE89" s="1124"/>
      <c r="AF89" s="1124"/>
      <c r="AG89" s="1144"/>
    </row>
    <row r="90" spans="1:33" ht="73.900000000000006" customHeight="1">
      <c r="A90" s="1524">
        <v>1116</v>
      </c>
      <c r="B90" s="958" t="s">
        <v>707</v>
      </c>
      <c r="C90" s="1073" t="s">
        <v>708</v>
      </c>
      <c r="D90" s="1292"/>
      <c r="E90" s="1293">
        <v>1</v>
      </c>
      <c r="F90" s="1294">
        <v>43315</v>
      </c>
      <c r="G90" s="1294">
        <f t="shared" si="17"/>
        <v>43315</v>
      </c>
      <c r="H90" s="1292" t="s">
        <v>667</v>
      </c>
      <c r="I90" s="1293" t="s">
        <v>170</v>
      </c>
      <c r="J90" s="643" t="s">
        <v>696</v>
      </c>
      <c r="K90" s="1292" t="s">
        <v>711</v>
      </c>
      <c r="L90" s="1231">
        <v>23174</v>
      </c>
      <c r="M90" s="1292"/>
      <c r="N90" s="1292"/>
      <c r="O90" s="647">
        <v>210</v>
      </c>
      <c r="P90" s="1292">
        <v>1</v>
      </c>
      <c r="Q90" s="1295">
        <f t="shared" si="20"/>
        <v>210</v>
      </c>
      <c r="R90" s="956">
        <v>210</v>
      </c>
      <c r="S90" s="954"/>
      <c r="T90" s="954"/>
      <c r="U90" s="954"/>
      <c r="V90" s="954"/>
      <c r="W90" s="954"/>
      <c r="X90" s="1167">
        <f t="shared" si="21"/>
        <v>210</v>
      </c>
      <c r="Y90" s="1144"/>
      <c r="Z90" s="1124"/>
      <c r="AA90" s="1124"/>
      <c r="AB90" s="1124"/>
      <c r="AC90" s="1124"/>
      <c r="AD90" s="1124"/>
      <c r="AE90" s="1124"/>
      <c r="AF90" s="1124"/>
      <c r="AG90" s="1144"/>
    </row>
    <row r="91" spans="1:33" ht="73.900000000000006" customHeight="1">
      <c r="A91" s="1524">
        <v>1116</v>
      </c>
      <c r="B91" s="958" t="s">
        <v>707</v>
      </c>
      <c r="C91" s="1073" t="s">
        <v>708</v>
      </c>
      <c r="D91" s="1292"/>
      <c r="E91" s="1293">
        <v>1</v>
      </c>
      <c r="F91" s="1294">
        <v>43315</v>
      </c>
      <c r="G91" s="1294">
        <f t="shared" si="17"/>
        <v>43315</v>
      </c>
      <c r="H91" s="1292" t="s">
        <v>667</v>
      </c>
      <c r="I91" s="1293" t="s">
        <v>170</v>
      </c>
      <c r="J91" s="643" t="s">
        <v>696</v>
      </c>
      <c r="K91" s="1292" t="s">
        <v>712</v>
      </c>
      <c r="L91" s="1231">
        <v>23174</v>
      </c>
      <c r="M91" s="1292"/>
      <c r="N91" s="1292"/>
      <c r="O91" s="647">
        <v>140</v>
      </c>
      <c r="P91" s="1292">
        <v>1</v>
      </c>
      <c r="Q91" s="1295">
        <f t="shared" si="20"/>
        <v>140</v>
      </c>
      <c r="R91" s="956">
        <v>140</v>
      </c>
      <c r="S91" s="954"/>
      <c r="T91" s="954"/>
      <c r="U91" s="954"/>
      <c r="V91" s="954"/>
      <c r="W91" s="954"/>
      <c r="X91" s="1167">
        <f t="shared" si="21"/>
        <v>140</v>
      </c>
      <c r="Y91" s="1144"/>
      <c r="Z91" s="1124"/>
      <c r="AA91" s="1124"/>
      <c r="AB91" s="1124"/>
      <c r="AC91" s="1124"/>
      <c r="AD91" s="1124"/>
      <c r="AE91" s="1124"/>
      <c r="AF91" s="1124"/>
      <c r="AG91" s="1144"/>
    </row>
    <row r="92" spans="1:33" ht="73.900000000000006" customHeight="1">
      <c r="A92" s="1524">
        <v>1116</v>
      </c>
      <c r="B92" s="958" t="s">
        <v>707</v>
      </c>
      <c r="C92" s="1073" t="s">
        <v>708</v>
      </c>
      <c r="D92" s="1292"/>
      <c r="E92" s="1293">
        <v>1</v>
      </c>
      <c r="F92" s="1294">
        <v>43315</v>
      </c>
      <c r="G92" s="1294">
        <f t="shared" si="17"/>
        <v>43315</v>
      </c>
      <c r="H92" s="1292" t="s">
        <v>667</v>
      </c>
      <c r="I92" s="1293" t="s">
        <v>170</v>
      </c>
      <c r="J92" s="643" t="s">
        <v>696</v>
      </c>
      <c r="K92" s="1292" t="s">
        <v>713</v>
      </c>
      <c r="L92" s="1231">
        <v>23174</v>
      </c>
      <c r="M92" s="1292"/>
      <c r="N92" s="1292"/>
      <c r="O92" s="647">
        <v>2221</v>
      </c>
      <c r="P92" s="1292">
        <v>1</v>
      </c>
      <c r="Q92" s="1295">
        <f t="shared" si="20"/>
        <v>2221</v>
      </c>
      <c r="R92" s="956">
        <v>2221</v>
      </c>
      <c r="S92" s="954"/>
      <c r="T92" s="954"/>
      <c r="U92" s="954"/>
      <c r="V92" s="954"/>
      <c r="W92" s="954"/>
      <c r="X92" s="1167">
        <f t="shared" si="21"/>
        <v>2221</v>
      </c>
      <c r="Y92" s="1144"/>
      <c r="Z92" s="1124"/>
      <c r="AA92" s="1124"/>
      <c r="AB92" s="1124"/>
      <c r="AC92" s="1124"/>
      <c r="AD92" s="1124"/>
      <c r="AE92" s="1124"/>
      <c r="AF92" s="1124"/>
      <c r="AG92" s="1144"/>
    </row>
    <row r="93" spans="1:33" ht="73.900000000000006" customHeight="1">
      <c r="A93" s="1524">
        <v>1116</v>
      </c>
      <c r="B93" s="958" t="s">
        <v>707</v>
      </c>
      <c r="C93" s="1073" t="s">
        <v>708</v>
      </c>
      <c r="D93" s="1292"/>
      <c r="E93" s="1293">
        <v>1</v>
      </c>
      <c r="F93" s="1294">
        <v>43315</v>
      </c>
      <c r="G93" s="1294">
        <f t="shared" si="17"/>
        <v>43315</v>
      </c>
      <c r="H93" s="1292" t="s">
        <v>667</v>
      </c>
      <c r="I93" s="1293" t="s">
        <v>170</v>
      </c>
      <c r="J93" s="643" t="s">
        <v>696</v>
      </c>
      <c r="K93" s="1292" t="s">
        <v>714</v>
      </c>
      <c r="L93" s="1231">
        <v>23173</v>
      </c>
      <c r="M93" s="1292"/>
      <c r="N93" s="1292"/>
      <c r="O93" s="647">
        <v>333.33333333333331</v>
      </c>
      <c r="P93" s="1292">
        <v>1</v>
      </c>
      <c r="Q93" s="1295">
        <f t="shared" si="20"/>
        <v>333.33333333333331</v>
      </c>
      <c r="R93" s="956">
        <v>333.33333333333331</v>
      </c>
      <c r="S93" s="954"/>
      <c r="T93" s="954"/>
      <c r="U93" s="954"/>
      <c r="V93" s="954"/>
      <c r="W93" s="954"/>
      <c r="X93" s="1167">
        <f t="shared" si="21"/>
        <v>333.33333333333331</v>
      </c>
      <c r="Y93" s="1144"/>
      <c r="Z93" s="1124"/>
      <c r="AA93" s="1124"/>
      <c r="AB93" s="1124"/>
      <c r="AC93" s="1124"/>
      <c r="AD93" s="1124"/>
      <c r="AE93" s="1124"/>
      <c r="AF93" s="1124"/>
      <c r="AG93" s="1144"/>
    </row>
    <row r="94" spans="1:33" ht="73.900000000000006" customHeight="1">
      <c r="A94" s="1524">
        <v>1116</v>
      </c>
      <c r="B94" s="958" t="s">
        <v>707</v>
      </c>
      <c r="C94" s="1073" t="s">
        <v>708</v>
      </c>
      <c r="D94" s="1292"/>
      <c r="E94" s="1293">
        <v>1</v>
      </c>
      <c r="F94" s="1294">
        <v>43315</v>
      </c>
      <c r="G94" s="1294">
        <f t="shared" si="17"/>
        <v>43315</v>
      </c>
      <c r="H94" s="1292" t="s">
        <v>667</v>
      </c>
      <c r="I94" s="1293" t="s">
        <v>170</v>
      </c>
      <c r="J94" s="643" t="s">
        <v>696</v>
      </c>
      <c r="K94" s="1292" t="s">
        <v>670</v>
      </c>
      <c r="L94" s="1231">
        <v>23173</v>
      </c>
      <c r="M94" s="1292"/>
      <c r="N94" s="1292"/>
      <c r="O94" s="647">
        <v>583.33333333333337</v>
      </c>
      <c r="P94" s="1292">
        <v>1</v>
      </c>
      <c r="Q94" s="1295">
        <f t="shared" si="20"/>
        <v>583.33333333333337</v>
      </c>
      <c r="R94" s="956">
        <v>583.33333333333337</v>
      </c>
      <c r="S94" s="954"/>
      <c r="T94" s="954"/>
      <c r="U94" s="954"/>
      <c r="V94" s="954"/>
      <c r="W94" s="954"/>
      <c r="X94" s="1167">
        <f t="shared" si="21"/>
        <v>583.33333333333337</v>
      </c>
      <c r="Y94" s="1144"/>
      <c r="Z94" s="1124"/>
      <c r="AA94" s="1124"/>
      <c r="AB94" s="1124"/>
      <c r="AC94" s="1124"/>
      <c r="AD94" s="1124"/>
      <c r="AE94" s="1124"/>
      <c r="AF94" s="1124"/>
      <c r="AG94" s="1144"/>
    </row>
    <row r="95" spans="1:33" ht="16.5" customHeight="1">
      <c r="A95" s="1525">
        <v>112</v>
      </c>
      <c r="B95" s="1464"/>
      <c r="C95" s="1464"/>
      <c r="D95" s="1296"/>
      <c r="E95" s="1296"/>
      <c r="F95" s="1296"/>
      <c r="G95" s="1296"/>
      <c r="H95" s="1296"/>
      <c r="I95" s="1296"/>
      <c r="J95" s="636"/>
      <c r="K95" s="1296"/>
      <c r="L95" s="1298"/>
      <c r="M95" s="1296"/>
      <c r="N95" s="1296"/>
      <c r="O95" s="1299"/>
      <c r="P95" s="1296"/>
      <c r="Q95" s="1299"/>
      <c r="R95" s="960"/>
      <c r="S95" s="993"/>
      <c r="T95" s="993"/>
      <c r="U95" s="993"/>
      <c r="V95" s="993"/>
      <c r="W95" s="993"/>
      <c r="X95" s="1168"/>
      <c r="Y95" s="1145"/>
      <c r="Z95" s="1185"/>
      <c r="AA95" s="1185"/>
      <c r="AB95" s="1185"/>
      <c r="AC95" s="1185"/>
      <c r="AD95" s="1185"/>
      <c r="AE95" s="1185"/>
      <c r="AF95" s="1185"/>
      <c r="AG95" s="1145"/>
    </row>
    <row r="96" spans="1:33">
      <c r="A96" s="1526">
        <v>1121</v>
      </c>
      <c r="B96" s="970"/>
      <c r="C96" s="1074"/>
      <c r="D96" s="805"/>
      <c r="E96" s="796"/>
      <c r="F96" s="795"/>
      <c r="G96" s="795"/>
      <c r="H96" s="961"/>
      <c r="I96" s="796"/>
      <c r="J96" s="792"/>
      <c r="K96" s="805"/>
      <c r="L96" s="1232"/>
      <c r="M96" s="805"/>
      <c r="N96" s="805"/>
      <c r="O96" s="994"/>
      <c r="P96" s="805"/>
      <c r="Q96" s="994"/>
      <c r="R96" s="962"/>
      <c r="S96" s="994"/>
      <c r="T96" s="994"/>
      <c r="U96" s="994"/>
      <c r="V96" s="994"/>
      <c r="W96" s="994"/>
      <c r="X96" s="1169"/>
      <c r="Y96" s="1125"/>
      <c r="Z96" s="1186"/>
      <c r="AA96" s="1186"/>
      <c r="AB96" s="1186"/>
      <c r="AC96" s="1186"/>
      <c r="AD96" s="1186"/>
      <c r="AE96" s="1186"/>
      <c r="AF96" s="1186"/>
      <c r="AG96" s="1125"/>
    </row>
    <row r="97" spans="1:33">
      <c r="A97" s="1526">
        <v>1122</v>
      </c>
      <c r="B97" s="970"/>
      <c r="C97" s="1074"/>
      <c r="D97" s="805"/>
      <c r="E97" s="796"/>
      <c r="F97" s="795"/>
      <c r="G97" s="795"/>
      <c r="H97" s="961"/>
      <c r="I97" s="796"/>
      <c r="J97" s="792"/>
      <c r="K97" s="805"/>
      <c r="L97" s="1232"/>
      <c r="M97" s="805"/>
      <c r="N97" s="805"/>
      <c r="O97" s="994"/>
      <c r="P97" s="805"/>
      <c r="Q97" s="994"/>
      <c r="R97" s="962"/>
      <c r="S97" s="994"/>
      <c r="T97" s="994"/>
      <c r="U97" s="994"/>
      <c r="V97" s="994"/>
      <c r="W97" s="994"/>
      <c r="X97" s="1169"/>
      <c r="Y97" s="1125"/>
      <c r="Z97" s="1186"/>
      <c r="AA97" s="1186"/>
      <c r="AB97" s="1186"/>
      <c r="AC97" s="1186"/>
      <c r="AD97" s="1186"/>
      <c r="AE97" s="1186"/>
      <c r="AF97" s="1186"/>
      <c r="AG97" s="1125"/>
    </row>
    <row r="98" spans="1:33">
      <c r="A98" s="1527" t="s">
        <v>233</v>
      </c>
      <c r="B98" s="970"/>
      <c r="C98" s="1074"/>
      <c r="D98" s="805"/>
      <c r="E98" s="796"/>
      <c r="F98" s="795"/>
      <c r="G98" s="795"/>
      <c r="H98" s="961"/>
      <c r="I98" s="796"/>
      <c r="J98" s="792"/>
      <c r="K98" s="805"/>
      <c r="L98" s="1232"/>
      <c r="M98" s="805"/>
      <c r="N98" s="805"/>
      <c r="O98" s="994"/>
      <c r="P98" s="805"/>
      <c r="Q98" s="994"/>
      <c r="R98" s="962"/>
      <c r="S98" s="994"/>
      <c r="T98" s="994"/>
      <c r="U98" s="994"/>
      <c r="V98" s="994"/>
      <c r="W98" s="994"/>
      <c r="X98" s="1169"/>
      <c r="Y98" s="1125"/>
      <c r="Z98" s="1186"/>
      <c r="AA98" s="1186"/>
      <c r="AB98" s="1186"/>
      <c r="AC98" s="1186"/>
      <c r="AD98" s="1186"/>
      <c r="AE98" s="1186"/>
      <c r="AF98" s="1186"/>
      <c r="AG98" s="1125"/>
    </row>
    <row r="99" spans="1:33" ht="37.5" customHeight="1">
      <c r="A99" s="1300" t="s">
        <v>234</v>
      </c>
      <c r="B99" s="786"/>
      <c r="C99" s="786"/>
      <c r="D99" s="1300"/>
      <c r="E99" s="1300"/>
      <c r="F99" s="1300"/>
      <c r="G99" s="1300"/>
      <c r="H99" s="1300"/>
      <c r="I99" s="1300"/>
      <c r="J99" s="781"/>
      <c r="K99" s="1300"/>
      <c r="L99" s="1301"/>
      <c r="M99" s="1300"/>
      <c r="N99" s="1300"/>
      <c r="O99" s="1302"/>
      <c r="P99" s="1300"/>
      <c r="Q99" s="1302">
        <f>Q100+Q171</f>
        <v>314558.67633333331</v>
      </c>
      <c r="R99" s="1303"/>
      <c r="S99" s="1302">
        <f t="shared" ref="S99:Y99" si="22">S100+S171</f>
        <v>0</v>
      </c>
      <c r="T99" s="1302">
        <f t="shared" si="22"/>
        <v>78416.399666666664</v>
      </c>
      <c r="U99" s="1302">
        <f t="shared" si="22"/>
        <v>46733.999333333333</v>
      </c>
      <c r="V99" s="1302">
        <f t="shared" si="22"/>
        <v>111933.72500000001</v>
      </c>
      <c r="W99" s="1302">
        <f t="shared" si="22"/>
        <v>45901.552333333333</v>
      </c>
      <c r="X99" s="1304">
        <f t="shared" si="22"/>
        <v>7142</v>
      </c>
      <c r="Y99" s="1305">
        <f t="shared" si="22"/>
        <v>24431</v>
      </c>
      <c r="Z99" s="1146">
        <f t="shared" ref="Z99:AF99" si="23">Z100+Z171</f>
        <v>0</v>
      </c>
      <c r="AA99" s="1146">
        <f t="shared" si="23"/>
        <v>0</v>
      </c>
      <c r="AB99" s="1146">
        <f t="shared" si="23"/>
        <v>0</v>
      </c>
      <c r="AC99" s="1146">
        <f t="shared" si="23"/>
        <v>0</v>
      </c>
      <c r="AD99" s="1146">
        <f t="shared" si="23"/>
        <v>0</v>
      </c>
      <c r="AE99" s="1146">
        <f t="shared" si="23"/>
        <v>0</v>
      </c>
      <c r="AF99" s="1146">
        <f t="shared" si="23"/>
        <v>0</v>
      </c>
      <c r="AG99" s="1146">
        <f>AG100+AG171</f>
        <v>314558.67633333331</v>
      </c>
    </row>
    <row r="100" spans="1:33" ht="16.5" customHeight="1">
      <c r="A100" s="1324">
        <v>121</v>
      </c>
      <c r="B100" s="1462" t="s">
        <v>715</v>
      </c>
      <c r="C100" s="1497"/>
      <c r="D100" s="1306"/>
      <c r="E100" s="1306"/>
      <c r="F100" s="1306"/>
      <c r="G100" s="1306"/>
      <c r="H100" s="1306"/>
      <c r="I100" s="1306"/>
      <c r="J100" s="636"/>
      <c r="K100" s="1296"/>
      <c r="L100" s="1298"/>
      <c r="M100" s="1296"/>
      <c r="N100" s="1296"/>
      <c r="O100" s="1299"/>
      <c r="P100" s="1296"/>
      <c r="Q100" s="1307">
        <f>Q101+Q114+Q124+Q137+Q141+Q152+Q168</f>
        <v>163711</v>
      </c>
      <c r="R100" s="960"/>
      <c r="S100" s="1307">
        <f t="shared" ref="S100:Y100" si="24">S101+S114+S124+S137+S141+S152+S168</f>
        <v>0</v>
      </c>
      <c r="T100" s="1307">
        <f t="shared" si="24"/>
        <v>65000</v>
      </c>
      <c r="U100" s="1307">
        <f t="shared" si="24"/>
        <v>14002</v>
      </c>
      <c r="V100" s="1307">
        <f t="shared" si="24"/>
        <v>31374</v>
      </c>
      <c r="W100" s="1307">
        <f t="shared" si="24"/>
        <v>21762</v>
      </c>
      <c r="X100" s="1308">
        <f t="shared" si="24"/>
        <v>7142</v>
      </c>
      <c r="Y100" s="1309">
        <f t="shared" si="24"/>
        <v>24431</v>
      </c>
      <c r="Z100" s="1147">
        <f t="shared" ref="Z100:AF100" si="25">Z101+Z114+Z124+Z137+Z141+Z152+Z168</f>
        <v>0</v>
      </c>
      <c r="AA100" s="1147">
        <f t="shared" si="25"/>
        <v>0</v>
      </c>
      <c r="AB100" s="1147">
        <f t="shared" si="25"/>
        <v>0</v>
      </c>
      <c r="AC100" s="1147">
        <f t="shared" si="25"/>
        <v>0</v>
      </c>
      <c r="AD100" s="1147">
        <f t="shared" si="25"/>
        <v>0</v>
      </c>
      <c r="AE100" s="1147">
        <f t="shared" si="25"/>
        <v>0</v>
      </c>
      <c r="AF100" s="1147">
        <f t="shared" si="25"/>
        <v>0</v>
      </c>
      <c r="AG100" s="1147">
        <f>AG101+AG114+AG124+AG137+AG141+AG152+AG168</f>
        <v>163711</v>
      </c>
    </row>
    <row r="101" spans="1:33" s="1032" customFormat="1" ht="51.75" customHeight="1">
      <c r="A101" s="1528">
        <v>1211</v>
      </c>
      <c r="B101" s="971" t="s">
        <v>716</v>
      </c>
      <c r="C101" s="1075" t="s">
        <v>717</v>
      </c>
      <c r="D101" s="1033"/>
      <c r="E101" s="1030">
        <f t="shared" ref="E101:E135" si="26">+G101-F101+1</f>
        <v>12</v>
      </c>
      <c r="F101" s="1029">
        <v>43220</v>
      </c>
      <c r="G101" s="1029">
        <v>43231</v>
      </c>
      <c r="H101" s="1310" t="s">
        <v>718</v>
      </c>
      <c r="I101" s="1030" t="s">
        <v>170</v>
      </c>
      <c r="J101" s="734" t="s">
        <v>719</v>
      </c>
      <c r="K101" s="1311"/>
      <c r="L101" s="1312"/>
      <c r="M101" s="1311"/>
      <c r="N101" s="1311"/>
      <c r="O101" s="1313"/>
      <c r="P101" s="1311"/>
      <c r="Q101" s="1313">
        <f>SUM(Q102:Q113)</f>
        <v>14002</v>
      </c>
      <c r="R101" s="1031">
        <f>+SUM(Q102:Q113)</f>
        <v>14002</v>
      </c>
      <c r="S101" s="1314">
        <f t="shared" ref="S101:Y101" si="27">SUM(S102:S113)</f>
        <v>0</v>
      </c>
      <c r="T101" s="1314">
        <f t="shared" si="27"/>
        <v>0</v>
      </c>
      <c r="U101" s="1314">
        <f t="shared" si="27"/>
        <v>14002</v>
      </c>
      <c r="V101" s="1314">
        <f t="shared" si="27"/>
        <v>0</v>
      </c>
      <c r="W101" s="1314">
        <f t="shared" si="27"/>
        <v>0</v>
      </c>
      <c r="X101" s="1315">
        <f t="shared" si="27"/>
        <v>0</v>
      </c>
      <c r="Y101" s="1316">
        <f t="shared" si="27"/>
        <v>0</v>
      </c>
      <c r="Z101" s="1148">
        <f t="shared" ref="Z101:AF101" si="28">SUM(Z102:Z113)</f>
        <v>0</v>
      </c>
      <c r="AA101" s="1148">
        <f t="shared" si="28"/>
        <v>0</v>
      </c>
      <c r="AB101" s="1148">
        <f t="shared" si="28"/>
        <v>0</v>
      </c>
      <c r="AC101" s="1148">
        <f t="shared" si="28"/>
        <v>0</v>
      </c>
      <c r="AD101" s="1148">
        <f t="shared" si="28"/>
        <v>0</v>
      </c>
      <c r="AE101" s="1148">
        <f t="shared" si="28"/>
        <v>0</v>
      </c>
      <c r="AF101" s="1148">
        <f t="shared" si="28"/>
        <v>0</v>
      </c>
      <c r="AG101" s="1148">
        <f>SUM(S101:AF101)</f>
        <v>14002</v>
      </c>
    </row>
    <row r="102" spans="1:33" s="969" customFormat="1" ht="72.75" customHeight="1">
      <c r="A102" s="1529">
        <v>1211</v>
      </c>
      <c r="B102" s="972" t="s">
        <v>716</v>
      </c>
      <c r="C102" s="1076" t="s">
        <v>717</v>
      </c>
      <c r="D102" s="963"/>
      <c r="E102" s="671">
        <f t="shared" si="26"/>
        <v>12</v>
      </c>
      <c r="F102" s="670">
        <v>43220</v>
      </c>
      <c r="G102" s="670">
        <v>43231</v>
      </c>
      <c r="H102" s="1317" t="s">
        <v>718</v>
      </c>
      <c r="I102" s="671" t="s">
        <v>170</v>
      </c>
      <c r="J102" s="669" t="s">
        <v>719</v>
      </c>
      <c r="K102" s="1292" t="s">
        <v>720</v>
      </c>
      <c r="L102" s="1233">
        <v>23174</v>
      </c>
      <c r="M102" s="963"/>
      <c r="N102" s="963"/>
      <c r="O102" s="1098">
        <v>157</v>
      </c>
      <c r="P102" s="963">
        <v>28</v>
      </c>
      <c r="Q102" s="1098">
        <f t="shared" ref="Q102:Q113" si="29">+O102*P102</f>
        <v>4396</v>
      </c>
      <c r="R102" s="964"/>
      <c r="S102" s="964"/>
      <c r="T102" s="964"/>
      <c r="U102" s="1098">
        <v>4396</v>
      </c>
      <c r="V102" s="964"/>
      <c r="W102" s="964"/>
      <c r="X102" s="1170"/>
      <c r="Y102" s="1187"/>
      <c r="Z102" s="1188"/>
      <c r="AA102" s="1188"/>
      <c r="AB102" s="1188"/>
      <c r="AC102" s="1188"/>
      <c r="AD102" s="1188"/>
      <c r="AE102" s="1188"/>
      <c r="AF102" s="1188"/>
      <c r="AG102" s="1149"/>
    </row>
    <row r="103" spans="1:33" s="969" customFormat="1" ht="72.75" customHeight="1">
      <c r="A103" s="1529">
        <v>1211</v>
      </c>
      <c r="B103" s="972" t="s">
        <v>716</v>
      </c>
      <c r="C103" s="1076" t="s">
        <v>717</v>
      </c>
      <c r="D103" s="963"/>
      <c r="E103" s="671">
        <f t="shared" si="26"/>
        <v>12</v>
      </c>
      <c r="F103" s="670">
        <f t="shared" ref="F103:F113" si="30">+F102</f>
        <v>43220</v>
      </c>
      <c r="G103" s="670">
        <v>43231</v>
      </c>
      <c r="H103" s="1317" t="s">
        <v>718</v>
      </c>
      <c r="I103" s="671" t="s">
        <v>170</v>
      </c>
      <c r="J103" s="669" t="s">
        <v>719</v>
      </c>
      <c r="K103" s="1318" t="s">
        <v>721</v>
      </c>
      <c r="L103" s="1233">
        <v>23174</v>
      </c>
      <c r="M103" s="963"/>
      <c r="N103" s="963"/>
      <c r="O103" s="1098">
        <v>162</v>
      </c>
      <c r="P103" s="963">
        <v>28</v>
      </c>
      <c r="Q103" s="1098">
        <f t="shared" si="29"/>
        <v>4536</v>
      </c>
      <c r="R103" s="964"/>
      <c r="S103" s="964"/>
      <c r="T103" s="964"/>
      <c r="U103" s="1098">
        <v>4536</v>
      </c>
      <c r="V103" s="964"/>
      <c r="W103" s="964"/>
      <c r="X103" s="1170"/>
      <c r="Y103" s="1187"/>
      <c r="Z103" s="1188"/>
      <c r="AA103" s="1188"/>
      <c r="AB103" s="1188"/>
      <c r="AC103" s="1188"/>
      <c r="AD103" s="1188"/>
      <c r="AE103" s="1188"/>
      <c r="AF103" s="1188"/>
      <c r="AG103" s="1149"/>
    </row>
    <row r="104" spans="1:33" s="969" customFormat="1" ht="72.75" customHeight="1">
      <c r="A104" s="1529">
        <v>1211</v>
      </c>
      <c r="B104" s="972" t="s">
        <v>716</v>
      </c>
      <c r="C104" s="1076" t="s">
        <v>717</v>
      </c>
      <c r="D104" s="963"/>
      <c r="E104" s="671">
        <f t="shared" si="26"/>
        <v>12</v>
      </c>
      <c r="F104" s="670">
        <f t="shared" si="30"/>
        <v>43220</v>
      </c>
      <c r="G104" s="670">
        <v>43231</v>
      </c>
      <c r="H104" s="1317" t="s">
        <v>718</v>
      </c>
      <c r="I104" s="671" t="s">
        <v>170</v>
      </c>
      <c r="J104" s="669" t="s">
        <v>719</v>
      </c>
      <c r="K104" s="1318" t="s">
        <v>722</v>
      </c>
      <c r="L104" s="1233">
        <v>23174</v>
      </c>
      <c r="M104" s="963"/>
      <c r="N104" s="963"/>
      <c r="O104" s="1098">
        <v>22</v>
      </c>
      <c r="P104" s="963">
        <v>28</v>
      </c>
      <c r="Q104" s="1098">
        <f t="shared" si="29"/>
        <v>616</v>
      </c>
      <c r="R104" s="964"/>
      <c r="S104" s="964"/>
      <c r="T104" s="964"/>
      <c r="U104" s="1098">
        <v>616</v>
      </c>
      <c r="V104" s="964"/>
      <c r="W104" s="964"/>
      <c r="X104" s="1170"/>
      <c r="Y104" s="1187"/>
      <c r="Z104" s="1188"/>
      <c r="AA104" s="1188"/>
      <c r="AB104" s="1188"/>
      <c r="AC104" s="1188"/>
      <c r="AD104" s="1188"/>
      <c r="AE104" s="1188"/>
      <c r="AF104" s="1188"/>
      <c r="AG104" s="1149"/>
    </row>
    <row r="105" spans="1:33" s="969" customFormat="1" ht="72.75" customHeight="1">
      <c r="A105" s="1529">
        <v>1211</v>
      </c>
      <c r="B105" s="972" t="s">
        <v>716</v>
      </c>
      <c r="C105" s="1076" t="s">
        <v>717</v>
      </c>
      <c r="D105" s="963"/>
      <c r="E105" s="671">
        <f t="shared" si="26"/>
        <v>12</v>
      </c>
      <c r="F105" s="670">
        <f t="shared" si="30"/>
        <v>43220</v>
      </c>
      <c r="G105" s="670">
        <v>43231</v>
      </c>
      <c r="H105" s="1317" t="s">
        <v>718</v>
      </c>
      <c r="I105" s="671" t="s">
        <v>170</v>
      </c>
      <c r="J105" s="669" t="s">
        <v>719</v>
      </c>
      <c r="K105" s="1318" t="s">
        <v>415</v>
      </c>
      <c r="L105" s="1231">
        <v>23173</v>
      </c>
      <c r="M105" s="963"/>
      <c r="N105" s="963"/>
      <c r="O105" s="1098">
        <v>156</v>
      </c>
      <c r="P105" s="963">
        <v>10</v>
      </c>
      <c r="Q105" s="1098">
        <f t="shared" si="29"/>
        <v>1560</v>
      </c>
      <c r="R105" s="964"/>
      <c r="S105" s="964"/>
      <c r="T105" s="964"/>
      <c r="U105" s="1098">
        <v>1560</v>
      </c>
      <c r="V105" s="964"/>
      <c r="W105" s="964"/>
      <c r="X105" s="1170"/>
      <c r="Y105" s="1187"/>
      <c r="Z105" s="1188"/>
      <c r="AA105" s="1188"/>
      <c r="AB105" s="1188"/>
      <c r="AC105" s="1188"/>
      <c r="AD105" s="1188"/>
      <c r="AE105" s="1188"/>
      <c r="AF105" s="1188"/>
      <c r="AG105" s="1149"/>
    </row>
    <row r="106" spans="1:33" s="969" customFormat="1" ht="72.75" customHeight="1">
      <c r="A106" s="1529">
        <v>1211</v>
      </c>
      <c r="B106" s="972" t="s">
        <v>716</v>
      </c>
      <c r="C106" s="1076" t="s">
        <v>717</v>
      </c>
      <c r="D106" s="963"/>
      <c r="E106" s="671">
        <f t="shared" si="26"/>
        <v>12</v>
      </c>
      <c r="F106" s="670">
        <f t="shared" si="30"/>
        <v>43220</v>
      </c>
      <c r="G106" s="670">
        <v>43231</v>
      </c>
      <c r="H106" s="1317" t="s">
        <v>718</v>
      </c>
      <c r="I106" s="671" t="s">
        <v>170</v>
      </c>
      <c r="J106" s="669" t="s">
        <v>719</v>
      </c>
      <c r="K106" s="1318" t="s">
        <v>638</v>
      </c>
      <c r="L106" s="1233">
        <v>23173</v>
      </c>
      <c r="M106" s="963"/>
      <c r="N106" s="963"/>
      <c r="O106" s="1098">
        <v>10</v>
      </c>
      <c r="P106" s="963">
        <v>28</v>
      </c>
      <c r="Q106" s="1098">
        <f t="shared" si="29"/>
        <v>280</v>
      </c>
      <c r="R106" s="964"/>
      <c r="S106" s="964"/>
      <c r="T106" s="964"/>
      <c r="U106" s="1098">
        <v>280</v>
      </c>
      <c r="V106" s="964"/>
      <c r="W106" s="964"/>
      <c r="X106" s="1170"/>
      <c r="Y106" s="1187"/>
      <c r="Z106" s="1188"/>
      <c r="AA106" s="1188"/>
      <c r="AB106" s="1188"/>
      <c r="AC106" s="1188"/>
      <c r="AD106" s="1188"/>
      <c r="AE106" s="1188"/>
      <c r="AF106" s="1188"/>
      <c r="AG106" s="1149"/>
    </row>
    <row r="107" spans="1:33" s="969" customFormat="1" ht="72.75" customHeight="1">
      <c r="A107" s="1529">
        <v>1211</v>
      </c>
      <c r="B107" s="972" t="s">
        <v>716</v>
      </c>
      <c r="C107" s="1076" t="s">
        <v>717</v>
      </c>
      <c r="D107" s="963"/>
      <c r="E107" s="671">
        <f t="shared" si="26"/>
        <v>12</v>
      </c>
      <c r="F107" s="670">
        <f t="shared" si="30"/>
        <v>43220</v>
      </c>
      <c r="G107" s="670">
        <v>43231</v>
      </c>
      <c r="H107" s="1317" t="s">
        <v>718</v>
      </c>
      <c r="I107" s="671" t="s">
        <v>170</v>
      </c>
      <c r="J107" s="669" t="s">
        <v>719</v>
      </c>
      <c r="K107" s="1318" t="s">
        <v>723</v>
      </c>
      <c r="L107" s="1233">
        <v>23174</v>
      </c>
      <c r="M107" s="963"/>
      <c r="N107" s="963"/>
      <c r="O107" s="1098">
        <v>281</v>
      </c>
      <c r="P107" s="963">
        <v>4</v>
      </c>
      <c r="Q107" s="1098">
        <f t="shared" si="29"/>
        <v>1124</v>
      </c>
      <c r="R107" s="964"/>
      <c r="S107" s="964"/>
      <c r="T107" s="964"/>
      <c r="U107" s="1098">
        <v>1124</v>
      </c>
      <c r="V107" s="964"/>
      <c r="W107" s="964"/>
      <c r="X107" s="1170"/>
      <c r="Y107" s="1187"/>
      <c r="Z107" s="1188"/>
      <c r="AA107" s="1188"/>
      <c r="AB107" s="1188"/>
      <c r="AC107" s="1188"/>
      <c r="AD107" s="1188"/>
      <c r="AE107" s="1188"/>
      <c r="AF107" s="1188"/>
      <c r="AG107" s="1149"/>
    </row>
    <row r="108" spans="1:33" s="969" customFormat="1" ht="72.75" customHeight="1">
      <c r="A108" s="1529">
        <v>1211</v>
      </c>
      <c r="B108" s="972" t="s">
        <v>716</v>
      </c>
      <c r="C108" s="1076" t="s">
        <v>717</v>
      </c>
      <c r="D108" s="963"/>
      <c r="E108" s="671">
        <f t="shared" si="26"/>
        <v>12</v>
      </c>
      <c r="F108" s="670">
        <f t="shared" si="30"/>
        <v>43220</v>
      </c>
      <c r="G108" s="670">
        <v>43231</v>
      </c>
      <c r="H108" s="1317" t="s">
        <v>718</v>
      </c>
      <c r="I108" s="671" t="s">
        <v>170</v>
      </c>
      <c r="J108" s="669" t="s">
        <v>719</v>
      </c>
      <c r="K108" s="1318" t="s">
        <v>724</v>
      </c>
      <c r="L108" s="1233">
        <v>23173</v>
      </c>
      <c r="M108" s="963"/>
      <c r="N108" s="963"/>
      <c r="O108" s="1098">
        <v>10</v>
      </c>
      <c r="P108" s="963">
        <v>28</v>
      </c>
      <c r="Q108" s="1098">
        <f t="shared" si="29"/>
        <v>280</v>
      </c>
      <c r="R108" s="964"/>
      <c r="S108" s="964"/>
      <c r="T108" s="964"/>
      <c r="U108" s="1098">
        <v>280</v>
      </c>
      <c r="V108" s="964"/>
      <c r="W108" s="964"/>
      <c r="X108" s="1170"/>
      <c r="Y108" s="1187"/>
      <c r="Z108" s="1188"/>
      <c r="AA108" s="1188"/>
      <c r="AB108" s="1188"/>
      <c r="AC108" s="1188"/>
      <c r="AD108" s="1188"/>
      <c r="AE108" s="1188"/>
      <c r="AF108" s="1188"/>
      <c r="AG108" s="1149"/>
    </row>
    <row r="109" spans="1:33" s="969" customFormat="1" ht="72.75" customHeight="1">
      <c r="A109" s="1529">
        <f>+A108</f>
        <v>1211</v>
      </c>
      <c r="B109" s="972" t="s">
        <v>716</v>
      </c>
      <c r="C109" s="1076" t="s">
        <v>717</v>
      </c>
      <c r="D109" s="963"/>
      <c r="E109" s="671">
        <f t="shared" si="26"/>
        <v>12</v>
      </c>
      <c r="F109" s="670">
        <f t="shared" si="30"/>
        <v>43220</v>
      </c>
      <c r="G109" s="670">
        <v>43231</v>
      </c>
      <c r="H109" s="1317" t="s">
        <v>718</v>
      </c>
      <c r="I109" s="671" t="s">
        <v>170</v>
      </c>
      <c r="J109" s="669" t="s">
        <v>719</v>
      </c>
      <c r="K109" s="1318" t="s">
        <v>725</v>
      </c>
      <c r="L109" s="1233">
        <v>23174</v>
      </c>
      <c r="M109" s="963"/>
      <c r="N109" s="963"/>
      <c r="O109" s="1098">
        <v>157</v>
      </c>
      <c r="P109" s="963">
        <v>2</v>
      </c>
      <c r="Q109" s="1098">
        <f t="shared" si="29"/>
        <v>314</v>
      </c>
      <c r="R109" s="964"/>
      <c r="S109" s="964"/>
      <c r="T109" s="964"/>
      <c r="U109" s="1098">
        <v>314</v>
      </c>
      <c r="V109" s="964"/>
      <c r="W109" s="964"/>
      <c r="X109" s="1170"/>
      <c r="Y109" s="1187"/>
      <c r="Z109" s="1188"/>
      <c r="AA109" s="1188"/>
      <c r="AB109" s="1188"/>
      <c r="AC109" s="1188"/>
      <c r="AD109" s="1188"/>
      <c r="AE109" s="1188"/>
      <c r="AF109" s="1188"/>
      <c r="AG109" s="1149"/>
    </row>
    <row r="110" spans="1:33" s="969" customFormat="1" ht="72.75" customHeight="1">
      <c r="A110" s="1529">
        <f>+A109</f>
        <v>1211</v>
      </c>
      <c r="B110" s="972" t="s">
        <v>716</v>
      </c>
      <c r="C110" s="1076" t="s">
        <v>717</v>
      </c>
      <c r="D110" s="963"/>
      <c r="E110" s="671">
        <f t="shared" si="26"/>
        <v>12</v>
      </c>
      <c r="F110" s="670">
        <f t="shared" si="30"/>
        <v>43220</v>
      </c>
      <c r="G110" s="670">
        <v>43231</v>
      </c>
      <c r="H110" s="1317" t="s">
        <v>718</v>
      </c>
      <c r="I110" s="671" t="s">
        <v>170</v>
      </c>
      <c r="J110" s="669" t="s">
        <v>719</v>
      </c>
      <c r="K110" s="1318" t="s">
        <v>726</v>
      </c>
      <c r="L110" s="1233">
        <v>23174</v>
      </c>
      <c r="M110" s="963"/>
      <c r="N110" s="963"/>
      <c r="O110" s="1098">
        <v>162</v>
      </c>
      <c r="P110" s="963">
        <v>2</v>
      </c>
      <c r="Q110" s="1098">
        <f t="shared" si="29"/>
        <v>324</v>
      </c>
      <c r="R110" s="964"/>
      <c r="S110" s="964"/>
      <c r="T110" s="964"/>
      <c r="U110" s="1098">
        <v>324</v>
      </c>
      <c r="V110" s="964"/>
      <c r="W110" s="964"/>
      <c r="X110" s="1170"/>
      <c r="Y110" s="1187"/>
      <c r="Z110" s="1188"/>
      <c r="AA110" s="1188"/>
      <c r="AB110" s="1188"/>
      <c r="AC110" s="1188"/>
      <c r="AD110" s="1188"/>
      <c r="AE110" s="1188"/>
      <c r="AF110" s="1188"/>
      <c r="AG110" s="1149"/>
    </row>
    <row r="111" spans="1:33" s="969" customFormat="1" ht="72.75" customHeight="1">
      <c r="A111" s="1529">
        <f>+A110</f>
        <v>1211</v>
      </c>
      <c r="B111" s="972" t="s">
        <v>716</v>
      </c>
      <c r="C111" s="1076" t="s">
        <v>717</v>
      </c>
      <c r="D111" s="963"/>
      <c r="E111" s="671">
        <f t="shared" si="26"/>
        <v>12</v>
      </c>
      <c r="F111" s="670">
        <f t="shared" si="30"/>
        <v>43220</v>
      </c>
      <c r="G111" s="670">
        <v>43231</v>
      </c>
      <c r="H111" s="1317" t="s">
        <v>718</v>
      </c>
      <c r="I111" s="671" t="s">
        <v>170</v>
      </c>
      <c r="J111" s="669" t="s">
        <v>719</v>
      </c>
      <c r="K111" s="1318" t="s">
        <v>727</v>
      </c>
      <c r="L111" s="1233">
        <v>23174</v>
      </c>
      <c r="M111" s="963"/>
      <c r="N111" s="963"/>
      <c r="O111" s="1098">
        <v>131</v>
      </c>
      <c r="P111" s="963">
        <v>2</v>
      </c>
      <c r="Q111" s="1098">
        <f t="shared" si="29"/>
        <v>262</v>
      </c>
      <c r="R111" s="964"/>
      <c r="S111" s="964"/>
      <c r="T111" s="964"/>
      <c r="U111" s="1098">
        <v>262</v>
      </c>
      <c r="V111" s="964"/>
      <c r="W111" s="964"/>
      <c r="X111" s="1170"/>
      <c r="Y111" s="1187"/>
      <c r="Z111" s="1188"/>
      <c r="AA111" s="1188"/>
      <c r="AB111" s="1188"/>
      <c r="AC111" s="1188"/>
      <c r="AD111" s="1188"/>
      <c r="AE111" s="1188"/>
      <c r="AF111" s="1188"/>
      <c r="AG111" s="1149"/>
    </row>
    <row r="112" spans="1:33" s="969" customFormat="1" ht="72.75" customHeight="1">
      <c r="A112" s="1529">
        <f>+A111</f>
        <v>1211</v>
      </c>
      <c r="B112" s="972" t="s">
        <v>716</v>
      </c>
      <c r="C112" s="1076" t="s">
        <v>717</v>
      </c>
      <c r="D112" s="963"/>
      <c r="E112" s="671">
        <f t="shared" si="26"/>
        <v>12</v>
      </c>
      <c r="F112" s="670">
        <f t="shared" si="30"/>
        <v>43220</v>
      </c>
      <c r="G112" s="670">
        <v>43231</v>
      </c>
      <c r="H112" s="1317" t="s">
        <v>718</v>
      </c>
      <c r="I112" s="671" t="s">
        <v>170</v>
      </c>
      <c r="J112" s="669" t="s">
        <v>719</v>
      </c>
      <c r="K112" s="1318" t="s">
        <v>728</v>
      </c>
      <c r="L112" s="1233">
        <v>23174</v>
      </c>
      <c r="M112" s="963"/>
      <c r="N112" s="963"/>
      <c r="O112" s="1098">
        <v>81</v>
      </c>
      <c r="P112" s="963">
        <v>2</v>
      </c>
      <c r="Q112" s="1098">
        <f t="shared" si="29"/>
        <v>162</v>
      </c>
      <c r="R112" s="964"/>
      <c r="S112" s="964"/>
      <c r="T112" s="964"/>
      <c r="U112" s="1098">
        <v>162</v>
      </c>
      <c r="V112" s="964"/>
      <c r="W112" s="964"/>
      <c r="X112" s="1170"/>
      <c r="Y112" s="1187"/>
      <c r="Z112" s="1188"/>
      <c r="AA112" s="1188"/>
      <c r="AB112" s="1188"/>
      <c r="AC112" s="1188"/>
      <c r="AD112" s="1188"/>
      <c r="AE112" s="1188"/>
      <c r="AF112" s="1188"/>
      <c r="AG112" s="1149"/>
    </row>
    <row r="113" spans="1:33" s="969" customFormat="1" ht="72.75" customHeight="1">
      <c r="A113" s="1529">
        <f>+A111</f>
        <v>1211</v>
      </c>
      <c r="B113" s="972" t="s">
        <v>716</v>
      </c>
      <c r="C113" s="1076" t="s">
        <v>717</v>
      </c>
      <c r="D113" s="963"/>
      <c r="E113" s="671">
        <f t="shared" si="26"/>
        <v>12</v>
      </c>
      <c r="F113" s="670">
        <f t="shared" si="30"/>
        <v>43220</v>
      </c>
      <c r="G113" s="670">
        <v>43231</v>
      </c>
      <c r="H113" s="1317" t="s">
        <v>718</v>
      </c>
      <c r="I113" s="671" t="s">
        <v>170</v>
      </c>
      <c r="J113" s="669" t="s">
        <v>719</v>
      </c>
      <c r="K113" s="1318" t="s">
        <v>729</v>
      </c>
      <c r="L113" s="1233">
        <v>23174</v>
      </c>
      <c r="M113" s="963"/>
      <c r="N113" s="963"/>
      <c r="O113" s="1098">
        <v>74</v>
      </c>
      <c r="P113" s="963">
        <v>2</v>
      </c>
      <c r="Q113" s="1098">
        <f t="shared" si="29"/>
        <v>148</v>
      </c>
      <c r="R113" s="964"/>
      <c r="S113" s="964"/>
      <c r="T113" s="964"/>
      <c r="U113" s="1098">
        <v>148</v>
      </c>
      <c r="V113" s="964"/>
      <c r="W113" s="964"/>
      <c r="X113" s="1170"/>
      <c r="Y113" s="1187"/>
      <c r="Z113" s="1188"/>
      <c r="AA113" s="1188"/>
      <c r="AB113" s="1188"/>
      <c r="AC113" s="1188"/>
      <c r="AD113" s="1188"/>
      <c r="AE113" s="1188"/>
      <c r="AF113" s="1188"/>
      <c r="AG113" s="1149"/>
    </row>
    <row r="114" spans="1:33" s="1035" customFormat="1" ht="62.1" customHeight="1">
      <c r="A114" s="1528">
        <v>1212</v>
      </c>
      <c r="B114" s="965" t="s">
        <v>730</v>
      </c>
      <c r="C114" s="1075" t="s">
        <v>731</v>
      </c>
      <c r="D114" s="1033"/>
      <c r="E114" s="1030">
        <f t="shared" si="26"/>
        <v>5</v>
      </c>
      <c r="F114" s="1029">
        <v>43248</v>
      </c>
      <c r="G114" s="1029">
        <f t="shared" ref="G114:G123" si="31">+F114+5-1</f>
        <v>43252</v>
      </c>
      <c r="H114" s="1310" t="s">
        <v>732</v>
      </c>
      <c r="I114" s="1030" t="s">
        <v>170</v>
      </c>
      <c r="J114" s="734" t="s">
        <v>719</v>
      </c>
      <c r="K114" s="1319"/>
      <c r="L114" s="1234"/>
      <c r="M114" s="1033"/>
      <c r="N114" s="1033"/>
      <c r="O114" s="1099"/>
      <c r="P114" s="1033"/>
      <c r="Q114" s="1099">
        <f>SUM(Q115:Q123)</f>
        <v>31374</v>
      </c>
      <c r="R114" s="1034">
        <f>SUM(Q115:Q123)</f>
        <v>31374</v>
      </c>
      <c r="S114" s="1054">
        <f t="shared" ref="S114:AF114" si="32">SUM(S115:S123)</f>
        <v>0</v>
      </c>
      <c r="T114" s="1054">
        <f t="shared" si="32"/>
        <v>0</v>
      </c>
      <c r="U114" s="1054">
        <f t="shared" si="32"/>
        <v>0</v>
      </c>
      <c r="V114" s="1054">
        <f t="shared" si="32"/>
        <v>31374</v>
      </c>
      <c r="W114" s="1054">
        <f t="shared" si="32"/>
        <v>0</v>
      </c>
      <c r="X114" s="1171">
        <f t="shared" si="32"/>
        <v>0</v>
      </c>
      <c r="Y114" s="1189">
        <f t="shared" si="32"/>
        <v>0</v>
      </c>
      <c r="Z114" s="1189">
        <f t="shared" si="32"/>
        <v>0</v>
      </c>
      <c r="AA114" s="1189">
        <f t="shared" si="32"/>
        <v>0</v>
      </c>
      <c r="AB114" s="1189">
        <f t="shared" si="32"/>
        <v>0</v>
      </c>
      <c r="AC114" s="1189">
        <f t="shared" si="32"/>
        <v>0</v>
      </c>
      <c r="AD114" s="1189">
        <f t="shared" si="32"/>
        <v>0</v>
      </c>
      <c r="AE114" s="1189">
        <f t="shared" si="32"/>
        <v>0</v>
      </c>
      <c r="AF114" s="1189">
        <f t="shared" si="32"/>
        <v>0</v>
      </c>
      <c r="AG114" s="1201">
        <f>SUM(S114:AF114)</f>
        <v>31374</v>
      </c>
    </row>
    <row r="115" spans="1:33" s="969" customFormat="1" ht="72" customHeight="1">
      <c r="A115" s="1529">
        <v>1212</v>
      </c>
      <c r="B115" s="966" t="s">
        <v>730</v>
      </c>
      <c r="C115" s="1076" t="s">
        <v>731</v>
      </c>
      <c r="D115" s="963"/>
      <c r="E115" s="671">
        <f t="shared" si="26"/>
        <v>5</v>
      </c>
      <c r="F115" s="670">
        <v>43248</v>
      </c>
      <c r="G115" s="670">
        <f t="shared" si="31"/>
        <v>43252</v>
      </c>
      <c r="H115" s="1317" t="s">
        <v>732</v>
      </c>
      <c r="I115" s="671" t="s">
        <v>170</v>
      </c>
      <c r="J115" s="669" t="s">
        <v>719</v>
      </c>
      <c r="K115" s="1318" t="s">
        <v>733</v>
      </c>
      <c r="L115" s="1233">
        <v>23174</v>
      </c>
      <c r="M115" s="963"/>
      <c r="N115" s="963"/>
      <c r="O115" s="1098">
        <v>101</v>
      </c>
      <c r="P115" s="963">
        <v>49</v>
      </c>
      <c r="Q115" s="1098">
        <f t="shared" ref="Q115:Q123" si="33">+O115*P115</f>
        <v>4949</v>
      </c>
      <c r="R115" s="964"/>
      <c r="S115" s="964"/>
      <c r="T115" s="964"/>
      <c r="U115" s="964"/>
      <c r="V115" s="1098">
        <v>4949</v>
      </c>
      <c r="W115" s="964"/>
      <c r="X115" s="1170"/>
      <c r="Y115" s="1187"/>
      <c r="Z115" s="1188"/>
      <c r="AA115" s="1188"/>
      <c r="AB115" s="1188"/>
      <c r="AC115" s="1188"/>
      <c r="AD115" s="1188"/>
      <c r="AE115" s="1188"/>
      <c r="AF115" s="1188"/>
      <c r="AG115" s="1149"/>
    </row>
    <row r="116" spans="1:33" s="969" customFormat="1" ht="72" customHeight="1">
      <c r="A116" s="1529">
        <f>+A115</f>
        <v>1212</v>
      </c>
      <c r="B116" s="966" t="s">
        <v>730</v>
      </c>
      <c r="C116" s="1076" t="s">
        <v>731</v>
      </c>
      <c r="D116" s="963"/>
      <c r="E116" s="671">
        <f t="shared" si="26"/>
        <v>5</v>
      </c>
      <c r="F116" s="670">
        <v>43248</v>
      </c>
      <c r="G116" s="670">
        <f t="shared" si="31"/>
        <v>43252</v>
      </c>
      <c r="H116" s="1317" t="s">
        <v>732</v>
      </c>
      <c r="I116" s="671" t="s">
        <v>170</v>
      </c>
      <c r="J116" s="669" t="s">
        <v>719</v>
      </c>
      <c r="K116" s="1318" t="s">
        <v>721</v>
      </c>
      <c r="L116" s="1233">
        <v>23174</v>
      </c>
      <c r="M116" s="963"/>
      <c r="N116" s="963"/>
      <c r="O116" s="1098">
        <v>100</v>
      </c>
      <c r="P116" s="963">
        <v>49</v>
      </c>
      <c r="Q116" s="1098">
        <f t="shared" si="33"/>
        <v>4900</v>
      </c>
      <c r="R116" s="964"/>
      <c r="S116" s="964"/>
      <c r="T116" s="964"/>
      <c r="U116" s="964"/>
      <c r="V116" s="1098">
        <v>4900</v>
      </c>
      <c r="W116" s="964"/>
      <c r="X116" s="1170"/>
      <c r="Y116" s="1187"/>
      <c r="Z116" s="1188"/>
      <c r="AA116" s="1188"/>
      <c r="AB116" s="1188"/>
      <c r="AC116" s="1188"/>
      <c r="AD116" s="1188"/>
      <c r="AE116" s="1188"/>
      <c r="AF116" s="1188"/>
      <c r="AG116" s="1149"/>
    </row>
    <row r="117" spans="1:33" s="969" customFormat="1" ht="72" customHeight="1">
      <c r="A117" s="1529">
        <f>+A116</f>
        <v>1212</v>
      </c>
      <c r="B117" s="966" t="s">
        <v>730</v>
      </c>
      <c r="C117" s="1076" t="s">
        <v>731</v>
      </c>
      <c r="D117" s="963"/>
      <c r="E117" s="671">
        <f t="shared" si="26"/>
        <v>5</v>
      </c>
      <c r="F117" s="670">
        <v>43248</v>
      </c>
      <c r="G117" s="670">
        <f t="shared" si="31"/>
        <v>43252</v>
      </c>
      <c r="H117" s="1317" t="s">
        <v>732</v>
      </c>
      <c r="I117" s="671" t="s">
        <v>170</v>
      </c>
      <c r="J117" s="669" t="s">
        <v>719</v>
      </c>
      <c r="K117" s="1318" t="s">
        <v>734</v>
      </c>
      <c r="L117" s="1231">
        <v>23173</v>
      </c>
      <c r="M117" s="963"/>
      <c r="N117" s="963"/>
      <c r="O117" s="1098">
        <v>875</v>
      </c>
      <c r="P117" s="963">
        <v>7</v>
      </c>
      <c r="Q117" s="1098">
        <f t="shared" si="33"/>
        <v>6125</v>
      </c>
      <c r="R117" s="964"/>
      <c r="S117" s="964"/>
      <c r="T117" s="964"/>
      <c r="U117" s="964"/>
      <c r="V117" s="1098">
        <v>6125</v>
      </c>
      <c r="W117" s="964"/>
      <c r="X117" s="1170"/>
      <c r="Y117" s="1187"/>
      <c r="Z117" s="1188"/>
      <c r="AA117" s="1188"/>
      <c r="AB117" s="1188"/>
      <c r="AC117" s="1188"/>
      <c r="AD117" s="1188"/>
      <c r="AE117" s="1188"/>
      <c r="AF117" s="1188"/>
      <c r="AG117" s="1149"/>
    </row>
    <row r="118" spans="1:33" s="969" customFormat="1" ht="72" customHeight="1">
      <c r="A118" s="1529">
        <f>+A117</f>
        <v>1212</v>
      </c>
      <c r="B118" s="966" t="s">
        <v>730</v>
      </c>
      <c r="C118" s="1076" t="s">
        <v>731</v>
      </c>
      <c r="D118" s="963"/>
      <c r="E118" s="671">
        <f t="shared" si="26"/>
        <v>5</v>
      </c>
      <c r="F118" s="670">
        <v>43248</v>
      </c>
      <c r="G118" s="670">
        <f t="shared" si="31"/>
        <v>43252</v>
      </c>
      <c r="H118" s="1317" t="s">
        <v>732</v>
      </c>
      <c r="I118" s="671" t="s">
        <v>170</v>
      </c>
      <c r="J118" s="669" t="s">
        <v>719</v>
      </c>
      <c r="K118" s="1318" t="s">
        <v>735</v>
      </c>
      <c r="L118" s="1233">
        <v>23174</v>
      </c>
      <c r="M118" s="963"/>
      <c r="N118" s="963"/>
      <c r="O118" s="1098">
        <v>510</v>
      </c>
      <c r="P118" s="963">
        <v>7</v>
      </c>
      <c r="Q118" s="1098">
        <f t="shared" si="33"/>
        <v>3570</v>
      </c>
      <c r="R118" s="964"/>
      <c r="S118" s="964"/>
      <c r="T118" s="964"/>
      <c r="U118" s="964"/>
      <c r="V118" s="1098">
        <v>3570</v>
      </c>
      <c r="W118" s="964"/>
      <c r="X118" s="1170"/>
      <c r="Y118" s="1187"/>
      <c r="Z118" s="1188"/>
      <c r="AA118" s="1188"/>
      <c r="AB118" s="1188"/>
      <c r="AC118" s="1188"/>
      <c r="AD118" s="1188"/>
      <c r="AE118" s="1188"/>
      <c r="AF118" s="1188"/>
      <c r="AG118" s="1149"/>
    </row>
    <row r="119" spans="1:33" s="969" customFormat="1" ht="72" customHeight="1">
      <c r="A119" s="1529">
        <f>+A117</f>
        <v>1212</v>
      </c>
      <c r="B119" s="966" t="s">
        <v>730</v>
      </c>
      <c r="C119" s="1076" t="s">
        <v>731</v>
      </c>
      <c r="D119" s="963"/>
      <c r="E119" s="671">
        <f t="shared" si="26"/>
        <v>5</v>
      </c>
      <c r="F119" s="670">
        <v>43248</v>
      </c>
      <c r="G119" s="670">
        <f t="shared" si="31"/>
        <v>43252</v>
      </c>
      <c r="H119" s="1317" t="s">
        <v>732</v>
      </c>
      <c r="I119" s="671" t="s">
        <v>170</v>
      </c>
      <c r="J119" s="669" t="s">
        <v>719</v>
      </c>
      <c r="K119" s="1318" t="s">
        <v>725</v>
      </c>
      <c r="L119" s="1233">
        <v>23174</v>
      </c>
      <c r="M119" s="963"/>
      <c r="N119" s="963"/>
      <c r="O119" s="1098">
        <v>101</v>
      </c>
      <c r="P119" s="963">
        <v>14</v>
      </c>
      <c r="Q119" s="1098">
        <f t="shared" si="33"/>
        <v>1414</v>
      </c>
      <c r="R119" s="964"/>
      <c r="S119" s="964"/>
      <c r="T119" s="964"/>
      <c r="U119" s="964"/>
      <c r="V119" s="1098">
        <v>1414</v>
      </c>
      <c r="W119" s="964"/>
      <c r="X119" s="1170"/>
      <c r="Y119" s="1187"/>
      <c r="Z119" s="1188"/>
      <c r="AA119" s="1188"/>
      <c r="AB119" s="1188"/>
      <c r="AC119" s="1188"/>
      <c r="AD119" s="1188"/>
      <c r="AE119" s="1188"/>
      <c r="AF119" s="1188"/>
      <c r="AG119" s="1149"/>
    </row>
    <row r="120" spans="1:33" s="969" customFormat="1" ht="72" customHeight="1">
      <c r="A120" s="1529">
        <f>+A119</f>
        <v>1212</v>
      </c>
      <c r="B120" s="966" t="s">
        <v>730</v>
      </c>
      <c r="C120" s="1076" t="s">
        <v>731</v>
      </c>
      <c r="D120" s="963"/>
      <c r="E120" s="671">
        <f t="shared" si="26"/>
        <v>5</v>
      </c>
      <c r="F120" s="670">
        <v>43248</v>
      </c>
      <c r="G120" s="670">
        <f t="shared" si="31"/>
        <v>43252</v>
      </c>
      <c r="H120" s="1317" t="s">
        <v>732</v>
      </c>
      <c r="I120" s="671" t="s">
        <v>170</v>
      </c>
      <c r="J120" s="669" t="s">
        <v>719</v>
      </c>
      <c r="K120" s="1318" t="s">
        <v>726</v>
      </c>
      <c r="L120" s="1233">
        <v>23174</v>
      </c>
      <c r="M120" s="963"/>
      <c r="N120" s="963"/>
      <c r="O120" s="1098">
        <v>100</v>
      </c>
      <c r="P120" s="963">
        <v>14</v>
      </c>
      <c r="Q120" s="1098">
        <f t="shared" si="33"/>
        <v>1400</v>
      </c>
      <c r="R120" s="964"/>
      <c r="S120" s="964"/>
      <c r="T120" s="964"/>
      <c r="U120" s="964"/>
      <c r="V120" s="1098">
        <v>1400</v>
      </c>
      <c r="W120" s="964"/>
      <c r="X120" s="1170"/>
      <c r="Y120" s="1187"/>
      <c r="Z120" s="1188"/>
      <c r="AA120" s="1188"/>
      <c r="AB120" s="1188"/>
      <c r="AC120" s="1188"/>
      <c r="AD120" s="1188"/>
      <c r="AE120" s="1188"/>
      <c r="AF120" s="1188"/>
      <c r="AG120" s="1149"/>
    </row>
    <row r="121" spans="1:33" s="969" customFormat="1" ht="72" customHeight="1">
      <c r="A121" s="1529">
        <f>+A120</f>
        <v>1212</v>
      </c>
      <c r="B121" s="966" t="s">
        <v>730</v>
      </c>
      <c r="C121" s="1076" t="s">
        <v>731</v>
      </c>
      <c r="D121" s="963"/>
      <c r="E121" s="671">
        <f t="shared" si="26"/>
        <v>5</v>
      </c>
      <c r="F121" s="670">
        <v>43248</v>
      </c>
      <c r="G121" s="670">
        <f t="shared" si="31"/>
        <v>43252</v>
      </c>
      <c r="H121" s="1317" t="s">
        <v>732</v>
      </c>
      <c r="I121" s="671" t="s">
        <v>170</v>
      </c>
      <c r="J121" s="669" t="s">
        <v>719</v>
      </c>
      <c r="K121" s="1318" t="s">
        <v>727</v>
      </c>
      <c r="L121" s="1233">
        <v>23174</v>
      </c>
      <c r="M121" s="963"/>
      <c r="N121" s="963"/>
      <c r="O121" s="1098">
        <v>84</v>
      </c>
      <c r="P121" s="963">
        <v>14</v>
      </c>
      <c r="Q121" s="1098">
        <f t="shared" si="33"/>
        <v>1176</v>
      </c>
      <c r="R121" s="964"/>
      <c r="S121" s="964"/>
      <c r="T121" s="964"/>
      <c r="U121" s="964"/>
      <c r="V121" s="1098">
        <v>1176</v>
      </c>
      <c r="W121" s="964"/>
      <c r="X121" s="1170"/>
      <c r="Y121" s="1187"/>
      <c r="Z121" s="1188"/>
      <c r="AA121" s="1188"/>
      <c r="AB121" s="1188"/>
      <c r="AC121" s="1188"/>
      <c r="AD121" s="1188"/>
      <c r="AE121" s="1188"/>
      <c r="AF121" s="1188"/>
      <c r="AG121" s="1149"/>
    </row>
    <row r="122" spans="1:33" s="969" customFormat="1" ht="72" customHeight="1">
      <c r="A122" s="1529">
        <f>+A121</f>
        <v>1212</v>
      </c>
      <c r="B122" s="966" t="s">
        <v>730</v>
      </c>
      <c r="C122" s="1076" t="s">
        <v>731</v>
      </c>
      <c r="D122" s="963"/>
      <c r="E122" s="671">
        <f t="shared" si="26"/>
        <v>5</v>
      </c>
      <c r="F122" s="670">
        <v>43248</v>
      </c>
      <c r="G122" s="670">
        <f t="shared" si="31"/>
        <v>43252</v>
      </c>
      <c r="H122" s="1317" t="s">
        <v>732</v>
      </c>
      <c r="I122" s="671" t="s">
        <v>170</v>
      </c>
      <c r="J122" s="669" t="s">
        <v>719</v>
      </c>
      <c r="K122" s="1318" t="s">
        <v>736</v>
      </c>
      <c r="L122" s="1233">
        <v>23174</v>
      </c>
      <c r="M122" s="963"/>
      <c r="N122" s="963"/>
      <c r="O122" s="1098">
        <v>50</v>
      </c>
      <c r="P122" s="963">
        <v>14</v>
      </c>
      <c r="Q122" s="1098">
        <f t="shared" si="33"/>
        <v>700</v>
      </c>
      <c r="R122" s="964"/>
      <c r="S122" s="964"/>
      <c r="T122" s="964"/>
      <c r="U122" s="964"/>
      <c r="V122" s="1098">
        <v>700</v>
      </c>
      <c r="W122" s="964"/>
      <c r="X122" s="1170"/>
      <c r="Y122" s="1187"/>
      <c r="Z122" s="1188"/>
      <c r="AA122" s="1188"/>
      <c r="AB122" s="1188"/>
      <c r="AC122" s="1188"/>
      <c r="AD122" s="1188"/>
      <c r="AE122" s="1188"/>
      <c r="AF122" s="1188"/>
      <c r="AG122" s="1149"/>
    </row>
    <row r="123" spans="1:33" s="969" customFormat="1" ht="72" customHeight="1">
      <c r="A123" s="1529">
        <f>+A122</f>
        <v>1212</v>
      </c>
      <c r="B123" s="966" t="s">
        <v>730</v>
      </c>
      <c r="C123" s="1076" t="s">
        <v>731</v>
      </c>
      <c r="D123" s="963"/>
      <c r="E123" s="671">
        <f t="shared" si="26"/>
        <v>5</v>
      </c>
      <c r="F123" s="670">
        <v>43248</v>
      </c>
      <c r="G123" s="670">
        <f t="shared" si="31"/>
        <v>43252</v>
      </c>
      <c r="H123" s="1317" t="s">
        <v>732</v>
      </c>
      <c r="I123" s="671" t="s">
        <v>170</v>
      </c>
      <c r="J123" s="669" t="s">
        <v>719</v>
      </c>
      <c r="K123" s="1318" t="s">
        <v>737</v>
      </c>
      <c r="L123" s="1233">
        <v>23174</v>
      </c>
      <c r="M123" s="963"/>
      <c r="N123" s="963"/>
      <c r="O123" s="1098">
        <v>510</v>
      </c>
      <c r="P123" s="963">
        <v>14</v>
      </c>
      <c r="Q123" s="1098">
        <f t="shared" si="33"/>
        <v>7140</v>
      </c>
      <c r="R123" s="964"/>
      <c r="S123" s="964"/>
      <c r="T123" s="964"/>
      <c r="U123" s="964"/>
      <c r="V123" s="1098">
        <v>7140</v>
      </c>
      <c r="W123" s="964"/>
      <c r="X123" s="1170"/>
      <c r="Y123" s="1187"/>
      <c r="Z123" s="1188"/>
      <c r="AA123" s="1188"/>
      <c r="AB123" s="1188"/>
      <c r="AC123" s="1188"/>
      <c r="AD123" s="1188"/>
      <c r="AE123" s="1188"/>
      <c r="AF123" s="1188"/>
      <c r="AG123" s="1149"/>
    </row>
    <row r="124" spans="1:33" s="1035" customFormat="1" ht="72" customHeight="1">
      <c r="A124" s="1528">
        <v>1213</v>
      </c>
      <c r="B124" s="965" t="s">
        <v>738</v>
      </c>
      <c r="C124" s="1075" t="s">
        <v>739</v>
      </c>
      <c r="D124" s="1033"/>
      <c r="E124" s="1030">
        <f t="shared" si="26"/>
        <v>26</v>
      </c>
      <c r="F124" s="1029">
        <v>43262</v>
      </c>
      <c r="G124" s="1029">
        <v>43287</v>
      </c>
      <c r="H124" s="1310"/>
      <c r="I124" s="1030" t="s">
        <v>170</v>
      </c>
      <c r="J124" s="734" t="s">
        <v>719</v>
      </c>
      <c r="K124" s="1319"/>
      <c r="L124" s="1234"/>
      <c r="M124" s="1033"/>
      <c r="N124" s="1033"/>
      <c r="O124" s="1099"/>
      <c r="P124" s="1033"/>
      <c r="Q124" s="1099">
        <f>SUM(Q125:Q136)</f>
        <v>18706</v>
      </c>
      <c r="R124" s="1034">
        <f>SUM(Q125:Q136)</f>
        <v>18706</v>
      </c>
      <c r="S124" s="1054">
        <f t="shared" ref="S124:AF124" si="34">SUM(S125:S136)</f>
        <v>0</v>
      </c>
      <c r="T124" s="1054">
        <f t="shared" si="34"/>
        <v>0</v>
      </c>
      <c r="U124" s="1054">
        <f t="shared" si="34"/>
        <v>0</v>
      </c>
      <c r="V124" s="1054">
        <f t="shared" si="34"/>
        <v>0</v>
      </c>
      <c r="W124" s="1054">
        <f t="shared" si="34"/>
        <v>18706</v>
      </c>
      <c r="X124" s="1171">
        <f t="shared" si="34"/>
        <v>0</v>
      </c>
      <c r="Y124" s="1189">
        <f t="shared" si="34"/>
        <v>0</v>
      </c>
      <c r="Z124" s="1189">
        <f t="shared" si="34"/>
        <v>0</v>
      </c>
      <c r="AA124" s="1189">
        <f t="shared" si="34"/>
        <v>0</v>
      </c>
      <c r="AB124" s="1189">
        <f t="shared" si="34"/>
        <v>0</v>
      </c>
      <c r="AC124" s="1189">
        <f t="shared" si="34"/>
        <v>0</v>
      </c>
      <c r="AD124" s="1189">
        <f t="shared" si="34"/>
        <v>0</v>
      </c>
      <c r="AE124" s="1189">
        <f t="shared" si="34"/>
        <v>0</v>
      </c>
      <c r="AF124" s="1189">
        <f t="shared" si="34"/>
        <v>0</v>
      </c>
      <c r="AG124" s="1066">
        <f>SUM(S124:AF124)</f>
        <v>18706</v>
      </c>
    </row>
    <row r="125" spans="1:33" s="969" customFormat="1" ht="72" customHeight="1">
      <c r="A125" s="1529">
        <v>1213</v>
      </c>
      <c r="B125" s="966" t="s">
        <v>738</v>
      </c>
      <c r="C125" s="1076" t="s">
        <v>739</v>
      </c>
      <c r="D125" s="963"/>
      <c r="E125" s="671">
        <f t="shared" si="26"/>
        <v>26</v>
      </c>
      <c r="F125" s="670">
        <v>43262</v>
      </c>
      <c r="G125" s="670">
        <v>43287</v>
      </c>
      <c r="H125" s="1317"/>
      <c r="I125" s="671" t="s">
        <v>170</v>
      </c>
      <c r="J125" s="669" t="s">
        <v>719</v>
      </c>
      <c r="K125" s="1318" t="s">
        <v>740</v>
      </c>
      <c r="L125" s="1233">
        <v>23174</v>
      </c>
      <c r="M125" s="963"/>
      <c r="N125" s="963"/>
      <c r="O125" s="1098">
        <v>214</v>
      </c>
      <c r="P125" s="963">
        <v>28</v>
      </c>
      <c r="Q125" s="1098">
        <f t="shared" ref="Q125:Q136" si="35">+O125*P125</f>
        <v>5992</v>
      </c>
      <c r="R125" s="964"/>
      <c r="S125" s="964"/>
      <c r="T125" s="964"/>
      <c r="U125" s="964"/>
      <c r="V125" s="964"/>
      <c r="W125" s="1098">
        <v>5992</v>
      </c>
      <c r="X125" s="1170"/>
      <c r="Y125" s="1187"/>
      <c r="Z125" s="1188"/>
      <c r="AA125" s="1188"/>
      <c r="AB125" s="1188"/>
      <c r="AC125" s="1188"/>
      <c r="AD125" s="1188"/>
      <c r="AE125" s="1188"/>
      <c r="AF125" s="1188"/>
      <c r="AG125" s="1149"/>
    </row>
    <row r="126" spans="1:33" s="969" customFormat="1" ht="72" customHeight="1">
      <c r="A126" s="1529">
        <v>1213</v>
      </c>
      <c r="B126" s="966" t="s">
        <v>738</v>
      </c>
      <c r="C126" s="1076" t="s">
        <v>739</v>
      </c>
      <c r="D126" s="963"/>
      <c r="E126" s="671">
        <f t="shared" si="26"/>
        <v>26</v>
      </c>
      <c r="F126" s="670">
        <v>43262</v>
      </c>
      <c r="G126" s="670">
        <v>43287</v>
      </c>
      <c r="H126" s="1317"/>
      <c r="I126" s="671" t="s">
        <v>170</v>
      </c>
      <c r="J126" s="669" t="s">
        <v>719</v>
      </c>
      <c r="K126" s="1318" t="s">
        <v>741</v>
      </c>
      <c r="L126" s="1233">
        <v>23174</v>
      </c>
      <c r="M126" s="963"/>
      <c r="N126" s="963"/>
      <c r="O126" s="1098">
        <v>225</v>
      </c>
      <c r="P126" s="963">
        <v>28</v>
      </c>
      <c r="Q126" s="1098">
        <f t="shared" si="35"/>
        <v>6300</v>
      </c>
      <c r="R126" s="964"/>
      <c r="S126" s="964"/>
      <c r="T126" s="964"/>
      <c r="U126" s="964"/>
      <c r="V126" s="964"/>
      <c r="W126" s="1098">
        <v>6300</v>
      </c>
      <c r="X126" s="1170"/>
      <c r="Y126" s="1187"/>
      <c r="Z126" s="1188"/>
      <c r="AA126" s="1188"/>
      <c r="AB126" s="1188"/>
      <c r="AC126" s="1188"/>
      <c r="AD126" s="1188"/>
      <c r="AE126" s="1188"/>
      <c r="AF126" s="1188"/>
      <c r="AG126" s="1149"/>
    </row>
    <row r="127" spans="1:33" s="969" customFormat="1" ht="72" customHeight="1">
      <c r="A127" s="1529">
        <v>1213</v>
      </c>
      <c r="B127" s="966" t="s">
        <v>738</v>
      </c>
      <c r="C127" s="1076" t="s">
        <v>739</v>
      </c>
      <c r="D127" s="963"/>
      <c r="E127" s="671">
        <f t="shared" si="26"/>
        <v>26</v>
      </c>
      <c r="F127" s="670">
        <v>43262</v>
      </c>
      <c r="G127" s="670">
        <v>43287</v>
      </c>
      <c r="H127" s="1317"/>
      <c r="I127" s="671" t="s">
        <v>170</v>
      </c>
      <c r="J127" s="669" t="s">
        <v>719</v>
      </c>
      <c r="K127" s="1318" t="s">
        <v>742</v>
      </c>
      <c r="L127" s="1233">
        <v>23174</v>
      </c>
      <c r="M127" s="963"/>
      <c r="N127" s="963"/>
      <c r="O127" s="1098">
        <v>38</v>
      </c>
      <c r="P127" s="963">
        <v>28</v>
      </c>
      <c r="Q127" s="1098">
        <f t="shared" si="35"/>
        <v>1064</v>
      </c>
      <c r="R127" s="964"/>
      <c r="S127" s="964"/>
      <c r="T127" s="964"/>
      <c r="U127" s="964"/>
      <c r="V127" s="964"/>
      <c r="W127" s="1098">
        <v>1064</v>
      </c>
      <c r="X127" s="1170"/>
      <c r="Y127" s="1187"/>
      <c r="Z127" s="1188"/>
      <c r="AA127" s="1188"/>
      <c r="AB127" s="1188"/>
      <c r="AC127" s="1188"/>
      <c r="AD127" s="1188"/>
      <c r="AE127" s="1188"/>
      <c r="AF127" s="1188"/>
      <c r="AG127" s="1149"/>
    </row>
    <row r="128" spans="1:33" s="969" customFormat="1" ht="72" customHeight="1">
      <c r="A128" s="1529">
        <v>1213</v>
      </c>
      <c r="B128" s="966" t="s">
        <v>738</v>
      </c>
      <c r="C128" s="1076" t="s">
        <v>739</v>
      </c>
      <c r="D128" s="963"/>
      <c r="E128" s="671">
        <f t="shared" si="26"/>
        <v>26</v>
      </c>
      <c r="F128" s="670">
        <v>43262</v>
      </c>
      <c r="G128" s="670">
        <v>43287</v>
      </c>
      <c r="H128" s="1317"/>
      <c r="I128" s="671" t="s">
        <v>170</v>
      </c>
      <c r="J128" s="669" t="s">
        <v>719</v>
      </c>
      <c r="K128" s="1318" t="s">
        <v>743</v>
      </c>
      <c r="L128" s="1233">
        <v>23174</v>
      </c>
      <c r="M128" s="963"/>
      <c r="N128" s="963"/>
      <c r="O128" s="1098">
        <f>+O125</f>
        <v>214</v>
      </c>
      <c r="P128" s="963">
        <v>2</v>
      </c>
      <c r="Q128" s="1098">
        <f t="shared" si="35"/>
        <v>428</v>
      </c>
      <c r="R128" s="964"/>
      <c r="S128" s="964"/>
      <c r="T128" s="964"/>
      <c r="U128" s="964"/>
      <c r="V128" s="964"/>
      <c r="W128" s="1098">
        <v>428</v>
      </c>
      <c r="X128" s="1170"/>
      <c r="Y128" s="1187"/>
      <c r="Z128" s="1188"/>
      <c r="AA128" s="1188"/>
      <c r="AB128" s="1188"/>
      <c r="AC128" s="1188"/>
      <c r="AD128" s="1188"/>
      <c r="AE128" s="1188"/>
      <c r="AF128" s="1188"/>
      <c r="AG128" s="1149"/>
    </row>
    <row r="129" spans="1:33" s="969" customFormat="1" ht="72" customHeight="1">
      <c r="A129" s="1529">
        <v>1213</v>
      </c>
      <c r="B129" s="966" t="s">
        <v>738</v>
      </c>
      <c r="C129" s="1076" t="s">
        <v>739</v>
      </c>
      <c r="D129" s="963"/>
      <c r="E129" s="671">
        <f t="shared" si="26"/>
        <v>26</v>
      </c>
      <c r="F129" s="670">
        <v>43262</v>
      </c>
      <c r="G129" s="670">
        <v>43287</v>
      </c>
      <c r="H129" s="1317"/>
      <c r="I129" s="671" t="s">
        <v>170</v>
      </c>
      <c r="J129" s="669" t="s">
        <v>719</v>
      </c>
      <c r="K129" s="1318" t="s">
        <v>744</v>
      </c>
      <c r="L129" s="1233">
        <v>23174</v>
      </c>
      <c r="M129" s="963"/>
      <c r="N129" s="963"/>
      <c r="O129" s="1098">
        <f>+O126</f>
        <v>225</v>
      </c>
      <c r="P129" s="963">
        <v>2</v>
      </c>
      <c r="Q129" s="1098">
        <f t="shared" si="35"/>
        <v>450</v>
      </c>
      <c r="R129" s="964"/>
      <c r="S129" s="964"/>
      <c r="T129" s="964"/>
      <c r="U129" s="964"/>
      <c r="V129" s="964"/>
      <c r="W129" s="1098">
        <v>450</v>
      </c>
      <c r="X129" s="1170"/>
      <c r="Y129" s="1187"/>
      <c r="Z129" s="1188"/>
      <c r="AA129" s="1188"/>
      <c r="AB129" s="1188"/>
      <c r="AC129" s="1188"/>
      <c r="AD129" s="1188"/>
      <c r="AE129" s="1188"/>
      <c r="AF129" s="1188"/>
      <c r="AG129" s="1149"/>
    </row>
    <row r="130" spans="1:33" s="969" customFormat="1" ht="72" customHeight="1">
      <c r="A130" s="1529">
        <v>1213</v>
      </c>
      <c r="B130" s="966" t="s">
        <v>738</v>
      </c>
      <c r="C130" s="1076" t="s">
        <v>739</v>
      </c>
      <c r="D130" s="963"/>
      <c r="E130" s="671">
        <f t="shared" si="26"/>
        <v>26</v>
      </c>
      <c r="F130" s="670">
        <v>43262</v>
      </c>
      <c r="G130" s="670">
        <v>43287</v>
      </c>
      <c r="H130" s="1317"/>
      <c r="I130" s="671" t="s">
        <v>170</v>
      </c>
      <c r="J130" s="669" t="s">
        <v>719</v>
      </c>
      <c r="K130" s="1318" t="s">
        <v>745</v>
      </c>
      <c r="L130" s="1233">
        <v>23174</v>
      </c>
      <c r="M130" s="963"/>
      <c r="N130" s="963"/>
      <c r="O130" s="1098">
        <v>255</v>
      </c>
      <c r="P130" s="963">
        <v>2</v>
      </c>
      <c r="Q130" s="1098">
        <f t="shared" si="35"/>
        <v>510</v>
      </c>
      <c r="R130" s="964"/>
      <c r="S130" s="964"/>
      <c r="T130" s="964"/>
      <c r="U130" s="964"/>
      <c r="V130" s="964"/>
      <c r="W130" s="1098">
        <v>510</v>
      </c>
      <c r="X130" s="1170"/>
      <c r="Y130" s="1187"/>
      <c r="Z130" s="1188"/>
      <c r="AA130" s="1188"/>
      <c r="AB130" s="1188"/>
      <c r="AC130" s="1188"/>
      <c r="AD130" s="1188"/>
      <c r="AE130" s="1188"/>
      <c r="AF130" s="1188"/>
      <c r="AG130" s="1149"/>
    </row>
    <row r="131" spans="1:33" s="969" customFormat="1" ht="72" customHeight="1">
      <c r="A131" s="1529">
        <v>1213</v>
      </c>
      <c r="B131" s="966" t="s">
        <v>738</v>
      </c>
      <c r="C131" s="1076" t="s">
        <v>739</v>
      </c>
      <c r="D131" s="963"/>
      <c r="E131" s="671">
        <f t="shared" si="26"/>
        <v>26</v>
      </c>
      <c r="F131" s="670">
        <v>43262</v>
      </c>
      <c r="G131" s="670">
        <v>43287</v>
      </c>
      <c r="H131" s="1317"/>
      <c r="I131" s="671" t="s">
        <v>170</v>
      </c>
      <c r="J131" s="669" t="s">
        <v>719</v>
      </c>
      <c r="K131" s="1318" t="s">
        <v>727</v>
      </c>
      <c r="L131" s="1233">
        <v>23174</v>
      </c>
      <c r="M131" s="963"/>
      <c r="N131" s="963"/>
      <c r="O131" s="1098">
        <v>178</v>
      </c>
      <c r="P131" s="963">
        <v>2</v>
      </c>
      <c r="Q131" s="1098">
        <f t="shared" si="35"/>
        <v>356</v>
      </c>
      <c r="R131" s="964"/>
      <c r="S131" s="964"/>
      <c r="T131" s="964"/>
      <c r="U131" s="964"/>
      <c r="V131" s="964"/>
      <c r="W131" s="1098">
        <v>356</v>
      </c>
      <c r="X131" s="1170"/>
      <c r="Y131" s="1187"/>
      <c r="Z131" s="1188"/>
      <c r="AA131" s="1188"/>
      <c r="AB131" s="1188"/>
      <c r="AC131" s="1188"/>
      <c r="AD131" s="1188"/>
      <c r="AE131" s="1188"/>
      <c r="AF131" s="1188"/>
      <c r="AG131" s="1149"/>
    </row>
    <row r="132" spans="1:33" s="969" customFormat="1" ht="72" customHeight="1">
      <c r="A132" s="1529">
        <v>1213</v>
      </c>
      <c r="B132" s="966" t="s">
        <v>738</v>
      </c>
      <c r="C132" s="1076" t="s">
        <v>739</v>
      </c>
      <c r="D132" s="963"/>
      <c r="E132" s="671">
        <f t="shared" si="26"/>
        <v>26</v>
      </c>
      <c r="F132" s="670">
        <v>43262</v>
      </c>
      <c r="G132" s="670">
        <v>43287</v>
      </c>
      <c r="H132" s="1317"/>
      <c r="I132" s="671" t="s">
        <v>170</v>
      </c>
      <c r="J132" s="669" t="s">
        <v>719</v>
      </c>
      <c r="K132" s="1318" t="s">
        <v>736</v>
      </c>
      <c r="L132" s="1233">
        <v>23174</v>
      </c>
      <c r="M132" s="963"/>
      <c r="N132" s="963"/>
      <c r="O132" s="1098">
        <v>112</v>
      </c>
      <c r="P132" s="963">
        <v>2</v>
      </c>
      <c r="Q132" s="1098">
        <f t="shared" si="35"/>
        <v>224</v>
      </c>
      <c r="R132" s="964"/>
      <c r="S132" s="964"/>
      <c r="T132" s="964"/>
      <c r="U132" s="964"/>
      <c r="V132" s="964"/>
      <c r="W132" s="1098">
        <v>224</v>
      </c>
      <c r="X132" s="1170"/>
      <c r="Y132" s="1187"/>
      <c r="Z132" s="1188"/>
      <c r="AA132" s="1188"/>
      <c r="AB132" s="1188"/>
      <c r="AC132" s="1188"/>
      <c r="AD132" s="1188"/>
      <c r="AE132" s="1188"/>
      <c r="AF132" s="1188"/>
      <c r="AG132" s="1149"/>
    </row>
    <row r="133" spans="1:33" s="969" customFormat="1" ht="72" customHeight="1">
      <c r="A133" s="1529">
        <v>1213</v>
      </c>
      <c r="B133" s="966" t="s">
        <v>738</v>
      </c>
      <c r="C133" s="1076" t="s">
        <v>739</v>
      </c>
      <c r="D133" s="963"/>
      <c r="E133" s="671">
        <f t="shared" si="26"/>
        <v>26</v>
      </c>
      <c r="F133" s="670">
        <v>43262</v>
      </c>
      <c r="G133" s="670">
        <v>43287</v>
      </c>
      <c r="H133" s="1317"/>
      <c r="I133" s="671" t="s">
        <v>170</v>
      </c>
      <c r="J133" s="669" t="s">
        <v>719</v>
      </c>
      <c r="K133" s="1318" t="s">
        <v>302</v>
      </c>
      <c r="L133" s="1233">
        <v>23173</v>
      </c>
      <c r="M133" s="963"/>
      <c r="N133" s="963"/>
      <c r="O133" s="1098">
        <v>15</v>
      </c>
      <c r="P133" s="963">
        <v>28</v>
      </c>
      <c r="Q133" s="1098">
        <f t="shared" si="35"/>
        <v>420</v>
      </c>
      <c r="R133" s="964"/>
      <c r="S133" s="964"/>
      <c r="T133" s="964"/>
      <c r="U133" s="964"/>
      <c r="V133" s="964"/>
      <c r="W133" s="1098">
        <v>420</v>
      </c>
      <c r="X133" s="1170"/>
      <c r="Y133" s="1187"/>
      <c r="Z133" s="1188"/>
      <c r="AA133" s="1188"/>
      <c r="AB133" s="1188"/>
      <c r="AC133" s="1188"/>
      <c r="AD133" s="1188"/>
      <c r="AE133" s="1188"/>
      <c r="AF133" s="1188"/>
      <c r="AG133" s="1149"/>
    </row>
    <row r="134" spans="1:33" s="969" customFormat="1" ht="63.75" customHeight="1">
      <c r="A134" s="1529">
        <v>1213</v>
      </c>
      <c r="B134" s="966" t="s">
        <v>738</v>
      </c>
      <c r="C134" s="1076" t="s">
        <v>739</v>
      </c>
      <c r="D134" s="963"/>
      <c r="E134" s="671">
        <f t="shared" si="26"/>
        <v>26</v>
      </c>
      <c r="F134" s="670">
        <v>43262</v>
      </c>
      <c r="G134" s="670">
        <v>43287</v>
      </c>
      <c r="H134" s="1317"/>
      <c r="I134" s="671" t="s">
        <v>170</v>
      </c>
      <c r="J134" s="669" t="s">
        <v>719</v>
      </c>
      <c r="K134" s="1318" t="s">
        <v>486</v>
      </c>
      <c r="L134" s="1231">
        <v>23173</v>
      </c>
      <c r="M134" s="963"/>
      <c r="N134" s="963"/>
      <c r="O134" s="1098">
        <v>156</v>
      </c>
      <c r="P134" s="963">
        <v>15</v>
      </c>
      <c r="Q134" s="1098">
        <f t="shared" si="35"/>
        <v>2340</v>
      </c>
      <c r="R134" s="964"/>
      <c r="S134" s="964"/>
      <c r="T134" s="964"/>
      <c r="U134" s="964"/>
      <c r="V134" s="964"/>
      <c r="W134" s="1098">
        <v>2340</v>
      </c>
      <c r="X134" s="1170"/>
      <c r="Y134" s="1187"/>
      <c r="Z134" s="1188"/>
      <c r="AA134" s="1188"/>
      <c r="AB134" s="1188"/>
      <c r="AC134" s="1188"/>
      <c r="AD134" s="1188"/>
      <c r="AE134" s="1188"/>
      <c r="AF134" s="1188"/>
      <c r="AG134" s="1149"/>
    </row>
    <row r="135" spans="1:33" s="969" customFormat="1" ht="63.75" customHeight="1">
      <c r="A135" s="1529">
        <v>1213</v>
      </c>
      <c r="B135" s="966" t="s">
        <v>738</v>
      </c>
      <c r="C135" s="1076" t="s">
        <v>739</v>
      </c>
      <c r="D135" s="963"/>
      <c r="E135" s="671">
        <f t="shared" si="26"/>
        <v>26</v>
      </c>
      <c r="F135" s="670">
        <v>43262</v>
      </c>
      <c r="G135" s="670">
        <v>43287</v>
      </c>
      <c r="H135" s="1317"/>
      <c r="I135" s="671" t="s">
        <v>170</v>
      </c>
      <c r="J135" s="669" t="s">
        <v>719</v>
      </c>
      <c r="K135" s="1320" t="s">
        <v>723</v>
      </c>
      <c r="L135" s="1233">
        <v>23174</v>
      </c>
      <c r="M135" s="963"/>
      <c r="N135" s="963"/>
      <c r="O135" s="1098">
        <v>281</v>
      </c>
      <c r="P135" s="963">
        <v>2</v>
      </c>
      <c r="Q135" s="1098">
        <f t="shared" si="35"/>
        <v>562</v>
      </c>
      <c r="R135" s="964"/>
      <c r="S135" s="964"/>
      <c r="T135" s="964"/>
      <c r="U135" s="964"/>
      <c r="V135" s="964"/>
      <c r="W135" s="1098">
        <v>562</v>
      </c>
      <c r="X135" s="1170"/>
      <c r="Y135" s="1187"/>
      <c r="Z135" s="1188"/>
      <c r="AA135" s="1188"/>
      <c r="AB135" s="1188"/>
      <c r="AC135" s="1188"/>
      <c r="AD135" s="1188"/>
      <c r="AE135" s="1188"/>
      <c r="AF135" s="1188"/>
      <c r="AG135" s="1149"/>
    </row>
    <row r="136" spans="1:33" s="969" customFormat="1" ht="63.75" customHeight="1">
      <c r="A136" s="1529">
        <v>1213</v>
      </c>
      <c r="B136" s="966" t="s">
        <v>738</v>
      </c>
      <c r="C136" s="1076" t="s">
        <v>739</v>
      </c>
      <c r="D136" s="963"/>
      <c r="E136" s="671"/>
      <c r="F136" s="670"/>
      <c r="G136" s="670"/>
      <c r="H136" s="1317"/>
      <c r="I136" s="671" t="s">
        <v>170</v>
      </c>
      <c r="J136" s="669" t="s">
        <v>719</v>
      </c>
      <c r="K136" s="1320" t="s">
        <v>746</v>
      </c>
      <c r="L136" s="1233">
        <v>23173</v>
      </c>
      <c r="M136" s="963"/>
      <c r="N136" s="963"/>
      <c r="O136" s="1098">
        <v>1</v>
      </c>
      <c r="P136" s="963">
        <v>60</v>
      </c>
      <c r="Q136" s="1098">
        <f t="shared" si="35"/>
        <v>60</v>
      </c>
      <c r="R136" s="964"/>
      <c r="S136" s="964"/>
      <c r="T136" s="964"/>
      <c r="U136" s="964"/>
      <c r="V136" s="964"/>
      <c r="W136" s="1098">
        <v>60</v>
      </c>
      <c r="X136" s="1170"/>
      <c r="Y136" s="1187"/>
      <c r="Z136" s="1188"/>
      <c r="AA136" s="1188"/>
      <c r="AB136" s="1188"/>
      <c r="AC136" s="1188"/>
      <c r="AD136" s="1188"/>
      <c r="AE136" s="1188"/>
      <c r="AF136" s="1188"/>
      <c r="AG136" s="1149"/>
    </row>
    <row r="137" spans="1:33" s="1035" customFormat="1" ht="58.5" customHeight="1">
      <c r="A137" s="1528">
        <v>1214</v>
      </c>
      <c r="B137" s="967" t="s">
        <v>747</v>
      </c>
      <c r="C137" s="1075" t="s">
        <v>748</v>
      </c>
      <c r="D137" s="1033"/>
      <c r="E137" s="1030">
        <f>+G137-F137+1</f>
        <v>3</v>
      </c>
      <c r="F137" s="1029">
        <v>43304</v>
      </c>
      <c r="G137" s="1029">
        <f>+F137+3-1</f>
        <v>43306</v>
      </c>
      <c r="H137" s="1310"/>
      <c r="I137" s="1030"/>
      <c r="J137" s="734"/>
      <c r="K137" s="1321"/>
      <c r="L137" s="1234"/>
      <c r="M137" s="1033"/>
      <c r="N137" s="1033"/>
      <c r="O137" s="1099"/>
      <c r="P137" s="1033"/>
      <c r="Q137" s="1099">
        <f>SUM(Q138:Q140)</f>
        <v>3056</v>
      </c>
      <c r="R137" s="1034">
        <f>SUM(Q138:Q140)</f>
        <v>3056</v>
      </c>
      <c r="S137" s="1054">
        <f t="shared" ref="S137:AF137" si="36">SUM(S138:S140)</f>
        <v>0</v>
      </c>
      <c r="T137" s="1054">
        <f t="shared" si="36"/>
        <v>0</v>
      </c>
      <c r="U137" s="1054">
        <f t="shared" si="36"/>
        <v>0</v>
      </c>
      <c r="V137" s="1054">
        <f t="shared" si="36"/>
        <v>0</v>
      </c>
      <c r="W137" s="1054">
        <f t="shared" si="36"/>
        <v>3056</v>
      </c>
      <c r="X137" s="1171">
        <f t="shared" si="36"/>
        <v>0</v>
      </c>
      <c r="Y137" s="1189">
        <f t="shared" si="36"/>
        <v>0</v>
      </c>
      <c r="Z137" s="1189">
        <f t="shared" si="36"/>
        <v>0</v>
      </c>
      <c r="AA137" s="1189">
        <f t="shared" si="36"/>
        <v>0</v>
      </c>
      <c r="AB137" s="1189">
        <f t="shared" si="36"/>
        <v>0</v>
      </c>
      <c r="AC137" s="1189">
        <f t="shared" si="36"/>
        <v>0</v>
      </c>
      <c r="AD137" s="1189">
        <f t="shared" si="36"/>
        <v>0</v>
      </c>
      <c r="AE137" s="1189">
        <f t="shared" si="36"/>
        <v>0</v>
      </c>
      <c r="AF137" s="1189">
        <f t="shared" si="36"/>
        <v>0</v>
      </c>
      <c r="AG137" s="1066">
        <f>SUM(S137:AF137)</f>
        <v>3056</v>
      </c>
    </row>
    <row r="138" spans="1:33" s="969" customFormat="1" ht="58.5" customHeight="1">
      <c r="A138" s="1529">
        <v>1214</v>
      </c>
      <c r="B138" s="968" t="s">
        <v>747</v>
      </c>
      <c r="C138" s="1076" t="s">
        <v>748</v>
      </c>
      <c r="D138" s="963"/>
      <c r="E138" s="671">
        <f>+G138-F138+1</f>
        <v>3</v>
      </c>
      <c r="F138" s="670">
        <v>43304</v>
      </c>
      <c r="G138" s="670">
        <f>+F138+3-1</f>
        <v>43306</v>
      </c>
      <c r="H138" s="1317"/>
      <c r="I138" s="671" t="s">
        <v>170</v>
      </c>
      <c r="J138" s="669"/>
      <c r="K138" s="1322" t="s">
        <v>670</v>
      </c>
      <c r="L138" s="1233">
        <v>23173</v>
      </c>
      <c r="M138" s="963"/>
      <c r="N138" s="963"/>
      <c r="O138" s="1098">
        <f>16*3</f>
        <v>48</v>
      </c>
      <c r="P138" s="963">
        <v>40</v>
      </c>
      <c r="Q138" s="1098">
        <f>+O138*P138</f>
        <v>1920</v>
      </c>
      <c r="R138" s="964"/>
      <c r="S138" s="964"/>
      <c r="T138" s="964"/>
      <c r="U138" s="964"/>
      <c r="V138" s="964"/>
      <c r="W138" s="1098">
        <v>1920</v>
      </c>
      <c r="X138" s="1170"/>
      <c r="Y138" s="1187"/>
      <c r="Z138" s="1188"/>
      <c r="AA138" s="1188"/>
      <c r="AB138" s="1188"/>
      <c r="AC138" s="1188"/>
      <c r="AD138" s="1188"/>
      <c r="AE138" s="1188"/>
      <c r="AF138" s="1188"/>
      <c r="AG138" s="1149"/>
    </row>
    <row r="139" spans="1:33" s="969" customFormat="1" ht="58.5" customHeight="1">
      <c r="A139" s="1529">
        <v>1214</v>
      </c>
      <c r="B139" s="968" t="s">
        <v>747</v>
      </c>
      <c r="C139" s="1076" t="s">
        <v>748</v>
      </c>
      <c r="D139" s="963"/>
      <c r="E139" s="671">
        <f>+G139-F139+1</f>
        <v>3</v>
      </c>
      <c r="F139" s="670">
        <v>43304</v>
      </c>
      <c r="G139" s="670">
        <f>+F139+3-1</f>
        <v>43306</v>
      </c>
      <c r="H139" s="1317"/>
      <c r="I139" s="671" t="s">
        <v>170</v>
      </c>
      <c r="J139" s="669"/>
      <c r="K139" s="1318" t="s">
        <v>638</v>
      </c>
      <c r="L139" s="1233">
        <v>23173</v>
      </c>
      <c r="M139" s="963"/>
      <c r="N139" s="963"/>
      <c r="O139" s="1098">
        <v>5</v>
      </c>
      <c r="P139" s="963">
        <v>40</v>
      </c>
      <c r="Q139" s="1098">
        <f>+O139*P139</f>
        <v>200</v>
      </c>
      <c r="R139" s="964"/>
      <c r="S139" s="964"/>
      <c r="T139" s="964"/>
      <c r="U139" s="964"/>
      <c r="V139" s="964"/>
      <c r="W139" s="1098">
        <v>200</v>
      </c>
      <c r="X139" s="1170"/>
      <c r="Y139" s="1187"/>
      <c r="Z139" s="1188"/>
      <c r="AA139" s="1188"/>
      <c r="AB139" s="1188"/>
      <c r="AC139" s="1188"/>
      <c r="AD139" s="1188"/>
      <c r="AE139" s="1188"/>
      <c r="AF139" s="1188"/>
      <c r="AG139" s="1149"/>
    </row>
    <row r="140" spans="1:33" s="969" customFormat="1" ht="58.5" customHeight="1">
      <c r="A140" s="1529">
        <v>1214</v>
      </c>
      <c r="B140" s="968" t="s">
        <v>747</v>
      </c>
      <c r="C140" s="1076" t="s">
        <v>748</v>
      </c>
      <c r="D140" s="963"/>
      <c r="E140" s="671">
        <f>+G140-F140+1</f>
        <v>3</v>
      </c>
      <c r="F140" s="670">
        <v>43304</v>
      </c>
      <c r="G140" s="670">
        <f>+F140+3-1</f>
        <v>43306</v>
      </c>
      <c r="H140" s="1317"/>
      <c r="I140" s="671" t="s">
        <v>170</v>
      </c>
      <c r="J140" s="669"/>
      <c r="K140" s="1318" t="s">
        <v>486</v>
      </c>
      <c r="L140" s="1231">
        <v>23173</v>
      </c>
      <c r="M140" s="963"/>
      <c r="N140" s="963"/>
      <c r="O140" s="1098">
        <v>312</v>
      </c>
      <c r="P140" s="963">
        <v>3</v>
      </c>
      <c r="Q140" s="1098">
        <f>+O140*P140</f>
        <v>936</v>
      </c>
      <c r="R140" s="964"/>
      <c r="S140" s="964"/>
      <c r="T140" s="964"/>
      <c r="U140" s="964"/>
      <c r="V140" s="964"/>
      <c r="W140" s="1098">
        <v>936</v>
      </c>
      <c r="X140" s="1170"/>
      <c r="Y140" s="1187"/>
      <c r="Z140" s="1188"/>
      <c r="AA140" s="1188"/>
      <c r="AB140" s="1188"/>
      <c r="AC140" s="1188"/>
      <c r="AD140" s="1188"/>
      <c r="AE140" s="1188"/>
      <c r="AF140" s="1188"/>
      <c r="AG140" s="1149"/>
    </row>
    <row r="141" spans="1:33" s="1035" customFormat="1" ht="46.5" customHeight="1">
      <c r="A141" s="1528">
        <v>1215</v>
      </c>
      <c r="B141" s="967" t="s">
        <v>749</v>
      </c>
      <c r="C141" s="1075" t="s">
        <v>750</v>
      </c>
      <c r="D141" s="1033"/>
      <c r="E141" s="1030">
        <f t="shared" ref="E141:E170" si="37">+G141-F141+1</f>
        <v>6</v>
      </c>
      <c r="F141" s="1029">
        <v>43318</v>
      </c>
      <c r="G141" s="1029">
        <f t="shared" ref="G141:G151" si="38">F141+6-1</f>
        <v>43323</v>
      </c>
      <c r="H141" s="1310"/>
      <c r="I141" s="1030"/>
      <c r="J141" s="734"/>
      <c r="K141" s="1319"/>
      <c r="L141" s="1234"/>
      <c r="M141" s="1033"/>
      <c r="N141" s="1033"/>
      <c r="O141" s="1099"/>
      <c r="P141" s="1033"/>
      <c r="Q141" s="1099">
        <f>SUM(Q142:Q151)</f>
        <v>7142</v>
      </c>
      <c r="R141" s="1034">
        <f>SUM(Q142:Q151)</f>
        <v>7142</v>
      </c>
      <c r="S141" s="1054">
        <f t="shared" ref="S141:AF141" si="39">SUM(S142:S151)</f>
        <v>0</v>
      </c>
      <c r="T141" s="1054">
        <f t="shared" si="39"/>
        <v>0</v>
      </c>
      <c r="U141" s="1054">
        <f t="shared" si="39"/>
        <v>0</v>
      </c>
      <c r="V141" s="1054">
        <f t="shared" si="39"/>
        <v>0</v>
      </c>
      <c r="W141" s="1054">
        <f t="shared" si="39"/>
        <v>0</v>
      </c>
      <c r="X141" s="1171">
        <f t="shared" si="39"/>
        <v>7142</v>
      </c>
      <c r="Y141" s="1189">
        <f t="shared" si="39"/>
        <v>0</v>
      </c>
      <c r="Z141" s="1189">
        <f t="shared" si="39"/>
        <v>0</v>
      </c>
      <c r="AA141" s="1189">
        <f t="shared" si="39"/>
        <v>0</v>
      </c>
      <c r="AB141" s="1189">
        <f t="shared" si="39"/>
        <v>0</v>
      </c>
      <c r="AC141" s="1189">
        <f t="shared" si="39"/>
        <v>0</v>
      </c>
      <c r="AD141" s="1189">
        <f t="shared" si="39"/>
        <v>0</v>
      </c>
      <c r="AE141" s="1189">
        <f t="shared" si="39"/>
        <v>0</v>
      </c>
      <c r="AF141" s="1189">
        <f t="shared" si="39"/>
        <v>0</v>
      </c>
      <c r="AG141" s="1066">
        <f>SUM(S141:AF141)</f>
        <v>7142</v>
      </c>
    </row>
    <row r="142" spans="1:33" s="969" customFormat="1" ht="75.75" customHeight="1">
      <c r="A142" s="1529">
        <v>1215</v>
      </c>
      <c r="B142" s="968" t="s">
        <v>749</v>
      </c>
      <c r="C142" s="1076" t="s">
        <v>750</v>
      </c>
      <c r="D142" s="963"/>
      <c r="E142" s="671">
        <f t="shared" si="37"/>
        <v>6</v>
      </c>
      <c r="F142" s="670">
        <v>43318</v>
      </c>
      <c r="G142" s="670">
        <f t="shared" si="38"/>
        <v>43323</v>
      </c>
      <c r="H142" s="1317"/>
      <c r="I142" s="671" t="s">
        <v>170</v>
      </c>
      <c r="J142" s="669"/>
      <c r="K142" s="1322" t="s">
        <v>751</v>
      </c>
      <c r="L142" s="1233">
        <v>23174</v>
      </c>
      <c r="M142" s="963"/>
      <c r="N142" s="963"/>
      <c r="O142" s="1098">
        <v>67</v>
      </c>
      <c r="P142" s="963">
        <v>26</v>
      </c>
      <c r="Q142" s="1098">
        <f t="shared" ref="Q142:Q151" si="40">+O142*P142</f>
        <v>1742</v>
      </c>
      <c r="R142" s="964"/>
      <c r="S142" s="964"/>
      <c r="T142" s="964"/>
      <c r="U142" s="964"/>
      <c r="V142" s="964"/>
      <c r="W142" s="964"/>
      <c r="X142" s="1520">
        <v>1742</v>
      </c>
      <c r="Y142" s="1187"/>
      <c r="Z142" s="1188"/>
      <c r="AA142" s="1188"/>
      <c r="AB142" s="1188"/>
      <c r="AC142" s="1188"/>
      <c r="AD142" s="1188"/>
      <c r="AE142" s="1188"/>
      <c r="AF142" s="1188"/>
      <c r="AG142" s="1149"/>
    </row>
    <row r="143" spans="1:33" s="969" customFormat="1" ht="75.75" customHeight="1">
      <c r="A143" s="1529">
        <v>1215</v>
      </c>
      <c r="B143" s="968" t="s">
        <v>749</v>
      </c>
      <c r="C143" s="1076" t="s">
        <v>750</v>
      </c>
      <c r="D143" s="963"/>
      <c r="E143" s="671">
        <f t="shared" si="37"/>
        <v>6</v>
      </c>
      <c r="F143" s="670">
        <v>43318</v>
      </c>
      <c r="G143" s="670">
        <f t="shared" si="38"/>
        <v>43323</v>
      </c>
      <c r="H143" s="1317"/>
      <c r="I143" s="671" t="s">
        <v>170</v>
      </c>
      <c r="J143" s="669"/>
      <c r="K143" s="1318" t="s">
        <v>752</v>
      </c>
      <c r="L143" s="1233">
        <v>23174</v>
      </c>
      <c r="M143" s="963"/>
      <c r="N143" s="963"/>
      <c r="O143" s="1098">
        <v>63</v>
      </c>
      <c r="P143" s="963">
        <v>26</v>
      </c>
      <c r="Q143" s="1098">
        <f t="shared" si="40"/>
        <v>1638</v>
      </c>
      <c r="R143" s="964"/>
      <c r="S143" s="964"/>
      <c r="T143" s="964"/>
      <c r="U143" s="964"/>
      <c r="V143" s="964"/>
      <c r="W143" s="964"/>
      <c r="X143" s="1520">
        <v>1638</v>
      </c>
      <c r="Y143" s="1187"/>
      <c r="Z143" s="1188"/>
      <c r="AA143" s="1188"/>
      <c r="AB143" s="1188"/>
      <c r="AC143" s="1188"/>
      <c r="AD143" s="1188"/>
      <c r="AE143" s="1188"/>
      <c r="AF143" s="1188"/>
      <c r="AG143" s="1149"/>
    </row>
    <row r="144" spans="1:33" s="969" customFormat="1" ht="75.75" customHeight="1">
      <c r="A144" s="1529">
        <v>1215</v>
      </c>
      <c r="B144" s="968" t="s">
        <v>749</v>
      </c>
      <c r="C144" s="1076" t="s">
        <v>750</v>
      </c>
      <c r="D144" s="963"/>
      <c r="E144" s="671">
        <f t="shared" si="37"/>
        <v>6</v>
      </c>
      <c r="F144" s="670">
        <v>43318</v>
      </c>
      <c r="G144" s="670">
        <f t="shared" si="38"/>
        <v>43323</v>
      </c>
      <c r="H144" s="1317"/>
      <c r="I144" s="671" t="s">
        <v>170</v>
      </c>
      <c r="J144" s="669"/>
      <c r="K144" s="1318" t="s">
        <v>753</v>
      </c>
      <c r="L144" s="1233">
        <v>23174</v>
      </c>
      <c r="M144" s="963"/>
      <c r="N144" s="963"/>
      <c r="O144" s="1098">
        <v>38</v>
      </c>
      <c r="P144" s="963">
        <v>26</v>
      </c>
      <c r="Q144" s="1098">
        <f t="shared" si="40"/>
        <v>988</v>
      </c>
      <c r="R144" s="964"/>
      <c r="S144" s="964"/>
      <c r="T144" s="964"/>
      <c r="U144" s="964"/>
      <c r="V144" s="964"/>
      <c r="W144" s="964"/>
      <c r="X144" s="1520">
        <v>988</v>
      </c>
      <c r="Y144" s="1187"/>
      <c r="Z144" s="1188"/>
      <c r="AA144" s="1188"/>
      <c r="AB144" s="1188"/>
      <c r="AC144" s="1188"/>
      <c r="AD144" s="1188"/>
      <c r="AE144" s="1188"/>
      <c r="AF144" s="1188"/>
      <c r="AG144" s="1149"/>
    </row>
    <row r="145" spans="1:33" s="969" customFormat="1" ht="75.75" customHeight="1">
      <c r="A145" s="1529">
        <v>1215</v>
      </c>
      <c r="B145" s="968" t="s">
        <v>749</v>
      </c>
      <c r="C145" s="1076" t="s">
        <v>750</v>
      </c>
      <c r="D145" s="963"/>
      <c r="E145" s="671">
        <f t="shared" si="37"/>
        <v>6</v>
      </c>
      <c r="F145" s="670">
        <v>43318</v>
      </c>
      <c r="G145" s="670">
        <f t="shared" si="38"/>
        <v>43323</v>
      </c>
      <c r="H145" s="1317"/>
      <c r="I145" s="671" t="s">
        <v>170</v>
      </c>
      <c r="J145" s="669"/>
      <c r="K145" s="1318" t="s">
        <v>743</v>
      </c>
      <c r="L145" s="1233">
        <v>23174</v>
      </c>
      <c r="M145" s="963"/>
      <c r="N145" s="963"/>
      <c r="O145" s="1098">
        <v>67</v>
      </c>
      <c r="P145" s="963">
        <v>2</v>
      </c>
      <c r="Q145" s="1098">
        <f t="shared" si="40"/>
        <v>134</v>
      </c>
      <c r="R145" s="964"/>
      <c r="S145" s="964"/>
      <c r="T145" s="964"/>
      <c r="U145" s="964"/>
      <c r="V145" s="964"/>
      <c r="W145" s="964"/>
      <c r="X145" s="1520">
        <v>134</v>
      </c>
      <c r="Y145" s="1187"/>
      <c r="Z145" s="1188"/>
      <c r="AA145" s="1188"/>
      <c r="AB145" s="1188"/>
      <c r="AC145" s="1188"/>
      <c r="AD145" s="1188"/>
      <c r="AE145" s="1188"/>
      <c r="AF145" s="1188"/>
      <c r="AG145" s="1149"/>
    </row>
    <row r="146" spans="1:33" s="969" customFormat="1" ht="75.75" customHeight="1">
      <c r="A146" s="1529">
        <v>1215</v>
      </c>
      <c r="B146" s="968" t="s">
        <v>749</v>
      </c>
      <c r="C146" s="1076" t="s">
        <v>750</v>
      </c>
      <c r="D146" s="963"/>
      <c r="E146" s="671">
        <f t="shared" si="37"/>
        <v>6</v>
      </c>
      <c r="F146" s="670">
        <v>43318</v>
      </c>
      <c r="G146" s="670">
        <f t="shared" si="38"/>
        <v>43323</v>
      </c>
      <c r="H146" s="1317"/>
      <c r="I146" s="671" t="s">
        <v>170</v>
      </c>
      <c r="J146" s="669"/>
      <c r="K146" s="1318" t="s">
        <v>754</v>
      </c>
      <c r="L146" s="1233">
        <v>23174</v>
      </c>
      <c r="M146" s="963"/>
      <c r="N146" s="963"/>
      <c r="O146" s="1098">
        <v>63</v>
      </c>
      <c r="P146" s="963">
        <v>2</v>
      </c>
      <c r="Q146" s="1098">
        <f t="shared" si="40"/>
        <v>126</v>
      </c>
      <c r="R146" s="964"/>
      <c r="S146" s="964"/>
      <c r="T146" s="964"/>
      <c r="U146" s="964"/>
      <c r="V146" s="964"/>
      <c r="W146" s="964"/>
      <c r="X146" s="1520">
        <v>126</v>
      </c>
      <c r="Y146" s="1187"/>
      <c r="Z146" s="1188"/>
      <c r="AA146" s="1188"/>
      <c r="AB146" s="1188"/>
      <c r="AC146" s="1188"/>
      <c r="AD146" s="1188"/>
      <c r="AE146" s="1188"/>
      <c r="AF146" s="1188"/>
      <c r="AG146" s="1149"/>
    </row>
    <row r="147" spans="1:33" s="969" customFormat="1" ht="75.75" customHeight="1">
      <c r="A147" s="1529">
        <v>1215</v>
      </c>
      <c r="B147" s="968" t="s">
        <v>749</v>
      </c>
      <c r="C147" s="1076" t="s">
        <v>750</v>
      </c>
      <c r="D147" s="963"/>
      <c r="E147" s="671">
        <f t="shared" si="37"/>
        <v>6</v>
      </c>
      <c r="F147" s="670">
        <v>43318</v>
      </c>
      <c r="G147" s="670">
        <f t="shared" si="38"/>
        <v>43323</v>
      </c>
      <c r="H147" s="1317"/>
      <c r="I147" s="671" t="s">
        <v>170</v>
      </c>
      <c r="J147" s="669"/>
      <c r="K147" s="1318" t="s">
        <v>729</v>
      </c>
      <c r="L147" s="1233">
        <v>23174</v>
      </c>
      <c r="M147" s="963"/>
      <c r="N147" s="963"/>
      <c r="O147" s="1098">
        <v>255</v>
      </c>
      <c r="P147" s="963">
        <v>2</v>
      </c>
      <c r="Q147" s="1098">
        <f t="shared" si="40"/>
        <v>510</v>
      </c>
      <c r="R147" s="964"/>
      <c r="S147" s="964"/>
      <c r="T147" s="964"/>
      <c r="U147" s="964"/>
      <c r="V147" s="964"/>
      <c r="W147" s="964"/>
      <c r="X147" s="1520">
        <v>510</v>
      </c>
      <c r="Y147" s="1187"/>
      <c r="Z147" s="1188"/>
      <c r="AA147" s="1188"/>
      <c r="AB147" s="1188"/>
      <c r="AC147" s="1188"/>
      <c r="AD147" s="1188"/>
      <c r="AE147" s="1188"/>
      <c r="AF147" s="1188"/>
      <c r="AG147" s="1149"/>
    </row>
    <row r="148" spans="1:33" s="969" customFormat="1" ht="75.75" customHeight="1">
      <c r="A148" s="1529">
        <v>1215</v>
      </c>
      <c r="B148" s="968" t="s">
        <v>749</v>
      </c>
      <c r="C148" s="1076" t="s">
        <v>750</v>
      </c>
      <c r="D148" s="963"/>
      <c r="E148" s="671">
        <f t="shared" si="37"/>
        <v>6</v>
      </c>
      <c r="F148" s="670">
        <v>43318</v>
      </c>
      <c r="G148" s="670">
        <f t="shared" si="38"/>
        <v>43323</v>
      </c>
      <c r="H148" s="1317"/>
      <c r="I148" s="671" t="s">
        <v>170</v>
      </c>
      <c r="J148" s="669"/>
      <c r="K148" s="1318" t="s">
        <v>302</v>
      </c>
      <c r="L148" s="1233">
        <v>23173</v>
      </c>
      <c r="M148" s="963"/>
      <c r="N148" s="963"/>
      <c r="O148" s="1098">
        <v>5</v>
      </c>
      <c r="P148" s="963">
        <v>26</v>
      </c>
      <c r="Q148" s="1098">
        <f t="shared" si="40"/>
        <v>130</v>
      </c>
      <c r="R148" s="964"/>
      <c r="S148" s="964"/>
      <c r="T148" s="964"/>
      <c r="U148" s="964"/>
      <c r="V148" s="964"/>
      <c r="W148" s="964"/>
      <c r="X148" s="1520">
        <v>130</v>
      </c>
      <c r="Y148" s="1187"/>
      <c r="Z148" s="1188"/>
      <c r="AA148" s="1188"/>
      <c r="AB148" s="1188"/>
      <c r="AC148" s="1188"/>
      <c r="AD148" s="1188"/>
      <c r="AE148" s="1188"/>
      <c r="AF148" s="1188"/>
      <c r="AG148" s="1149"/>
    </row>
    <row r="149" spans="1:33" s="969" customFormat="1" ht="75.75" customHeight="1">
      <c r="A149" s="1529">
        <v>1215</v>
      </c>
      <c r="B149" s="968" t="s">
        <v>749</v>
      </c>
      <c r="C149" s="1076" t="s">
        <v>750</v>
      </c>
      <c r="D149" s="963"/>
      <c r="E149" s="671">
        <f t="shared" si="37"/>
        <v>6</v>
      </c>
      <c r="F149" s="670">
        <v>43318</v>
      </c>
      <c r="G149" s="670">
        <f t="shared" si="38"/>
        <v>43323</v>
      </c>
      <c r="H149" s="1317"/>
      <c r="I149" s="671" t="s">
        <v>170</v>
      </c>
      <c r="J149" s="669"/>
      <c r="K149" s="1318" t="s">
        <v>486</v>
      </c>
      <c r="L149" s="1231">
        <v>23173</v>
      </c>
      <c r="M149" s="963"/>
      <c r="N149" s="963"/>
      <c r="O149" s="1098">
        <v>156</v>
      </c>
      <c r="P149" s="963">
        <v>6</v>
      </c>
      <c r="Q149" s="1098">
        <f t="shared" si="40"/>
        <v>936</v>
      </c>
      <c r="R149" s="964"/>
      <c r="S149" s="964"/>
      <c r="T149" s="964"/>
      <c r="U149" s="964"/>
      <c r="V149" s="964"/>
      <c r="W149" s="964"/>
      <c r="X149" s="1520">
        <v>936</v>
      </c>
      <c r="Y149" s="1187"/>
      <c r="Z149" s="1188"/>
      <c r="AA149" s="1188"/>
      <c r="AB149" s="1188"/>
      <c r="AC149" s="1188"/>
      <c r="AD149" s="1188"/>
      <c r="AE149" s="1188"/>
      <c r="AF149" s="1188"/>
      <c r="AG149" s="1149"/>
    </row>
    <row r="150" spans="1:33" s="969" customFormat="1" ht="75.75" customHeight="1">
      <c r="A150" s="1529">
        <v>1215</v>
      </c>
      <c r="B150" s="968" t="s">
        <v>749</v>
      </c>
      <c r="C150" s="1076" t="s">
        <v>750</v>
      </c>
      <c r="D150" s="963"/>
      <c r="E150" s="671">
        <f t="shared" si="37"/>
        <v>6</v>
      </c>
      <c r="F150" s="670">
        <v>43318</v>
      </c>
      <c r="G150" s="670">
        <f t="shared" si="38"/>
        <v>43323</v>
      </c>
      <c r="H150" s="1317"/>
      <c r="I150" s="671" t="s">
        <v>170</v>
      </c>
      <c r="J150" s="669"/>
      <c r="K150" s="1318" t="s">
        <v>723</v>
      </c>
      <c r="L150" s="1233">
        <v>23174</v>
      </c>
      <c r="M150" s="963"/>
      <c r="N150" s="963"/>
      <c r="O150" s="1098">
        <v>169</v>
      </c>
      <c r="P150" s="963">
        <v>2</v>
      </c>
      <c r="Q150" s="1098">
        <f t="shared" si="40"/>
        <v>338</v>
      </c>
      <c r="R150" s="964"/>
      <c r="S150" s="964"/>
      <c r="T150" s="964"/>
      <c r="U150" s="964"/>
      <c r="V150" s="964"/>
      <c r="W150" s="964"/>
      <c r="X150" s="1520">
        <v>338</v>
      </c>
      <c r="Y150" s="1187"/>
      <c r="Z150" s="1188"/>
      <c r="AA150" s="1188"/>
      <c r="AB150" s="1188"/>
      <c r="AC150" s="1188"/>
      <c r="AD150" s="1188"/>
      <c r="AE150" s="1188"/>
      <c r="AF150" s="1188"/>
      <c r="AG150" s="1149"/>
    </row>
    <row r="151" spans="1:33" s="969" customFormat="1" ht="75.75" customHeight="1">
      <c r="A151" s="1529">
        <v>1215</v>
      </c>
      <c r="B151" s="968" t="s">
        <v>749</v>
      </c>
      <c r="C151" s="1076" t="s">
        <v>750</v>
      </c>
      <c r="D151" s="963"/>
      <c r="E151" s="671">
        <f t="shared" si="37"/>
        <v>6</v>
      </c>
      <c r="F151" s="670">
        <v>43318</v>
      </c>
      <c r="G151" s="670">
        <f t="shared" si="38"/>
        <v>43323</v>
      </c>
      <c r="H151" s="1317"/>
      <c r="I151" s="671" t="s">
        <v>170</v>
      </c>
      <c r="J151" s="669"/>
      <c r="K151" s="1318" t="s">
        <v>755</v>
      </c>
      <c r="L151" s="1233">
        <v>23173</v>
      </c>
      <c r="M151" s="963"/>
      <c r="N151" s="963"/>
      <c r="O151" s="1098">
        <v>10</v>
      </c>
      <c r="P151" s="963">
        <v>60</v>
      </c>
      <c r="Q151" s="1098">
        <f t="shared" si="40"/>
        <v>600</v>
      </c>
      <c r="R151" s="964"/>
      <c r="S151" s="964"/>
      <c r="T151" s="964"/>
      <c r="U151" s="964"/>
      <c r="V151" s="964"/>
      <c r="W151" s="964"/>
      <c r="X151" s="1520">
        <v>600</v>
      </c>
      <c r="Y151" s="1187"/>
      <c r="Z151" s="1188"/>
      <c r="AA151" s="1188"/>
      <c r="AB151" s="1188"/>
      <c r="AC151" s="1188"/>
      <c r="AD151" s="1188"/>
      <c r="AE151" s="1188"/>
      <c r="AF151" s="1188"/>
      <c r="AG151" s="1149"/>
    </row>
    <row r="152" spans="1:33" s="1035" customFormat="1" ht="75.75" customHeight="1">
      <c r="A152" s="1528">
        <v>1216</v>
      </c>
      <c r="B152" s="965" t="s">
        <v>756</v>
      </c>
      <c r="C152" s="1075" t="s">
        <v>757</v>
      </c>
      <c r="D152" s="1033"/>
      <c r="E152" s="1030">
        <f t="shared" si="37"/>
        <v>27</v>
      </c>
      <c r="F152" s="1029">
        <v>43332</v>
      </c>
      <c r="G152" s="1029">
        <v>43358</v>
      </c>
      <c r="H152" s="1310"/>
      <c r="I152" s="1030"/>
      <c r="J152" s="734"/>
      <c r="K152" s="1319"/>
      <c r="L152" s="1234"/>
      <c r="M152" s="1033"/>
      <c r="N152" s="1033"/>
      <c r="O152" s="1099"/>
      <c r="P152" s="1033"/>
      <c r="Q152" s="1099">
        <f>SUM(Q153:Q167)</f>
        <v>24431</v>
      </c>
      <c r="R152" s="1034">
        <f>SUM(Q153:Q167)</f>
        <v>24431</v>
      </c>
      <c r="S152" s="1054">
        <f t="shared" ref="S152:AF152" si="41">SUM(S153:S167)</f>
        <v>0</v>
      </c>
      <c r="T152" s="1054">
        <f t="shared" si="41"/>
        <v>0</v>
      </c>
      <c r="U152" s="1054">
        <f t="shared" si="41"/>
        <v>0</v>
      </c>
      <c r="V152" s="1054">
        <f t="shared" si="41"/>
        <v>0</v>
      </c>
      <c r="W152" s="1054">
        <f t="shared" si="41"/>
        <v>0</v>
      </c>
      <c r="X152" s="1171">
        <f t="shared" si="41"/>
        <v>0</v>
      </c>
      <c r="Y152" s="1189">
        <f t="shared" si="41"/>
        <v>24431</v>
      </c>
      <c r="Z152" s="1189">
        <f t="shared" si="41"/>
        <v>0</v>
      </c>
      <c r="AA152" s="1189">
        <f t="shared" si="41"/>
        <v>0</v>
      </c>
      <c r="AB152" s="1189">
        <f t="shared" si="41"/>
        <v>0</v>
      </c>
      <c r="AC152" s="1189">
        <f t="shared" si="41"/>
        <v>0</v>
      </c>
      <c r="AD152" s="1189">
        <f t="shared" si="41"/>
        <v>0</v>
      </c>
      <c r="AE152" s="1189">
        <f t="shared" si="41"/>
        <v>0</v>
      </c>
      <c r="AF152" s="1189">
        <f t="shared" si="41"/>
        <v>0</v>
      </c>
      <c r="AG152" s="1066">
        <f>SUM(S152:AF152)</f>
        <v>24431</v>
      </c>
    </row>
    <row r="153" spans="1:33" s="969" customFormat="1" ht="75.75" customHeight="1">
      <c r="A153" s="1529">
        <v>1216</v>
      </c>
      <c r="B153" s="966" t="s">
        <v>756</v>
      </c>
      <c r="C153" s="1076" t="s">
        <v>757</v>
      </c>
      <c r="D153" s="963"/>
      <c r="E153" s="671">
        <f t="shared" si="37"/>
        <v>27</v>
      </c>
      <c r="F153" s="670">
        <v>43332</v>
      </c>
      <c r="G153" s="670">
        <v>43358</v>
      </c>
      <c r="H153" s="1317"/>
      <c r="I153" s="671" t="s">
        <v>170</v>
      </c>
      <c r="J153" s="669"/>
      <c r="K153" s="1318" t="s">
        <v>758</v>
      </c>
      <c r="L153" s="1233">
        <v>23174</v>
      </c>
      <c r="M153" s="963"/>
      <c r="N153" s="963"/>
      <c r="O153" s="1098">
        <v>214</v>
      </c>
      <c r="P153" s="963">
        <v>31</v>
      </c>
      <c r="Q153" s="1098">
        <f t="shared" ref="Q153:Q167" si="42">+O153*P153</f>
        <v>6634</v>
      </c>
      <c r="R153" s="964"/>
      <c r="S153" s="964"/>
      <c r="T153" s="964"/>
      <c r="U153" s="964"/>
      <c r="V153" s="964"/>
      <c r="W153" s="964"/>
      <c r="X153" s="1170"/>
      <c r="Y153" s="1521">
        <v>6634</v>
      </c>
      <c r="Z153" s="1188"/>
      <c r="AA153" s="1188"/>
      <c r="AB153" s="1188"/>
      <c r="AC153" s="1188"/>
      <c r="AD153" s="1188"/>
      <c r="AE153" s="1188"/>
      <c r="AF153" s="1188"/>
      <c r="AG153" s="1149"/>
    </row>
    <row r="154" spans="1:33" s="969" customFormat="1" ht="75.75" customHeight="1">
      <c r="A154" s="1529">
        <v>1216</v>
      </c>
      <c r="B154" s="966" t="s">
        <v>756</v>
      </c>
      <c r="C154" s="1076" t="s">
        <v>757</v>
      </c>
      <c r="D154" s="963"/>
      <c r="E154" s="671">
        <f t="shared" si="37"/>
        <v>27</v>
      </c>
      <c r="F154" s="670">
        <v>43332</v>
      </c>
      <c r="G154" s="670">
        <v>43358</v>
      </c>
      <c r="H154" s="1317"/>
      <c r="I154" s="671" t="s">
        <v>170</v>
      </c>
      <c r="J154" s="669"/>
      <c r="K154" s="1318" t="s">
        <v>759</v>
      </c>
      <c r="L154" s="1233">
        <v>23174</v>
      </c>
      <c r="M154" s="963"/>
      <c r="N154" s="963"/>
      <c r="O154" s="1098">
        <v>225</v>
      </c>
      <c r="P154" s="963">
        <v>31</v>
      </c>
      <c r="Q154" s="1098">
        <f t="shared" si="42"/>
        <v>6975</v>
      </c>
      <c r="R154" s="964"/>
      <c r="S154" s="964"/>
      <c r="T154" s="964"/>
      <c r="U154" s="964"/>
      <c r="V154" s="964"/>
      <c r="W154" s="964"/>
      <c r="X154" s="1170"/>
      <c r="Y154" s="1521">
        <v>6975</v>
      </c>
      <c r="Z154" s="1188"/>
      <c r="AA154" s="1188"/>
      <c r="AB154" s="1188"/>
      <c r="AC154" s="1188"/>
      <c r="AD154" s="1188"/>
      <c r="AE154" s="1188"/>
      <c r="AF154" s="1188"/>
      <c r="AG154" s="1149"/>
    </row>
    <row r="155" spans="1:33" s="969" customFormat="1" ht="75.75" customHeight="1">
      <c r="A155" s="1529">
        <v>1216</v>
      </c>
      <c r="B155" s="966" t="s">
        <v>756</v>
      </c>
      <c r="C155" s="1076" t="s">
        <v>757</v>
      </c>
      <c r="D155" s="963"/>
      <c r="E155" s="671">
        <f t="shared" si="37"/>
        <v>27</v>
      </c>
      <c r="F155" s="670">
        <v>43332</v>
      </c>
      <c r="G155" s="670">
        <v>43358</v>
      </c>
      <c r="H155" s="1317"/>
      <c r="I155" s="671" t="s">
        <v>170</v>
      </c>
      <c r="J155" s="669"/>
      <c r="K155" s="1323" t="s">
        <v>760</v>
      </c>
      <c r="L155" s="1233">
        <v>23174</v>
      </c>
      <c r="M155" s="963"/>
      <c r="N155" s="963"/>
      <c r="O155" s="1098">
        <v>37</v>
      </c>
      <c r="P155" s="963">
        <v>31</v>
      </c>
      <c r="Q155" s="1098">
        <f t="shared" si="42"/>
        <v>1147</v>
      </c>
      <c r="R155" s="964"/>
      <c r="S155" s="964"/>
      <c r="T155" s="964"/>
      <c r="U155" s="964"/>
      <c r="V155" s="964"/>
      <c r="W155" s="964"/>
      <c r="X155" s="1170"/>
      <c r="Y155" s="1521">
        <v>1147</v>
      </c>
      <c r="Z155" s="1188"/>
      <c r="AA155" s="1188"/>
      <c r="AB155" s="1188"/>
      <c r="AC155" s="1188"/>
      <c r="AD155" s="1188"/>
      <c r="AE155" s="1188"/>
      <c r="AF155" s="1188"/>
      <c r="AG155" s="1149"/>
    </row>
    <row r="156" spans="1:33" s="969" customFormat="1" ht="75.75" customHeight="1">
      <c r="A156" s="1529">
        <v>1216</v>
      </c>
      <c r="B156" s="966" t="s">
        <v>756</v>
      </c>
      <c r="C156" s="1076" t="s">
        <v>757</v>
      </c>
      <c r="D156" s="963"/>
      <c r="E156" s="671">
        <f t="shared" si="37"/>
        <v>27</v>
      </c>
      <c r="F156" s="670">
        <v>43332</v>
      </c>
      <c r="G156" s="670">
        <v>43358</v>
      </c>
      <c r="H156" s="1317"/>
      <c r="I156" s="671" t="s">
        <v>170</v>
      </c>
      <c r="J156" s="669"/>
      <c r="K156" s="1318" t="s">
        <v>743</v>
      </c>
      <c r="L156" s="1233">
        <v>23174</v>
      </c>
      <c r="M156" s="963"/>
      <c r="N156" s="963"/>
      <c r="O156" s="1098">
        <f>+O153</f>
        <v>214</v>
      </c>
      <c r="P156" s="963">
        <v>2</v>
      </c>
      <c r="Q156" s="1098">
        <f t="shared" si="42"/>
        <v>428</v>
      </c>
      <c r="R156" s="964"/>
      <c r="S156" s="964"/>
      <c r="T156" s="964"/>
      <c r="U156" s="964"/>
      <c r="V156" s="964"/>
      <c r="W156" s="964"/>
      <c r="X156" s="1170"/>
      <c r="Y156" s="1521">
        <v>428</v>
      </c>
      <c r="Z156" s="1188"/>
      <c r="AA156" s="1188"/>
      <c r="AB156" s="1188"/>
      <c r="AC156" s="1188"/>
      <c r="AD156" s="1188"/>
      <c r="AE156" s="1188"/>
      <c r="AF156" s="1188"/>
      <c r="AG156" s="1149"/>
    </row>
    <row r="157" spans="1:33" s="969" customFormat="1" ht="75.75" customHeight="1">
      <c r="A157" s="1529">
        <v>1216</v>
      </c>
      <c r="B157" s="966" t="s">
        <v>756</v>
      </c>
      <c r="C157" s="1076" t="s">
        <v>757</v>
      </c>
      <c r="D157" s="963"/>
      <c r="E157" s="671">
        <f t="shared" si="37"/>
        <v>27</v>
      </c>
      <c r="F157" s="670">
        <v>43332</v>
      </c>
      <c r="G157" s="670">
        <v>43358</v>
      </c>
      <c r="H157" s="1317"/>
      <c r="I157" s="671" t="s">
        <v>170</v>
      </c>
      <c r="J157" s="669"/>
      <c r="K157" s="1318" t="s">
        <v>744</v>
      </c>
      <c r="L157" s="1233">
        <v>23174</v>
      </c>
      <c r="M157" s="963"/>
      <c r="N157" s="963"/>
      <c r="O157" s="1098">
        <f>+O154</f>
        <v>225</v>
      </c>
      <c r="P157" s="963">
        <v>2</v>
      </c>
      <c r="Q157" s="1098">
        <f t="shared" si="42"/>
        <v>450</v>
      </c>
      <c r="R157" s="964"/>
      <c r="S157" s="964"/>
      <c r="T157" s="964"/>
      <c r="U157" s="964"/>
      <c r="V157" s="964"/>
      <c r="W157" s="964"/>
      <c r="X157" s="1170"/>
      <c r="Y157" s="1521">
        <v>450</v>
      </c>
      <c r="Z157" s="1188"/>
      <c r="AA157" s="1188"/>
      <c r="AB157" s="1188"/>
      <c r="AC157" s="1188"/>
      <c r="AD157" s="1188"/>
      <c r="AE157" s="1188"/>
      <c r="AF157" s="1188"/>
      <c r="AG157" s="1149"/>
    </row>
    <row r="158" spans="1:33" s="969" customFormat="1" ht="75.75" customHeight="1">
      <c r="A158" s="1529">
        <v>1216</v>
      </c>
      <c r="B158" s="966" t="s">
        <v>756</v>
      </c>
      <c r="C158" s="1076" t="s">
        <v>757</v>
      </c>
      <c r="D158" s="963"/>
      <c r="E158" s="671">
        <f t="shared" si="37"/>
        <v>27</v>
      </c>
      <c r="F158" s="670">
        <v>43332</v>
      </c>
      <c r="G158" s="670">
        <v>43358</v>
      </c>
      <c r="H158" s="1317"/>
      <c r="I158" s="671" t="s">
        <v>170</v>
      </c>
      <c r="J158" s="669"/>
      <c r="K158" s="1318" t="s">
        <v>745</v>
      </c>
      <c r="L158" s="1233">
        <v>23174</v>
      </c>
      <c r="M158" s="963"/>
      <c r="N158" s="963"/>
      <c r="O158" s="1098">
        <v>255</v>
      </c>
      <c r="P158" s="963">
        <v>2</v>
      </c>
      <c r="Q158" s="1098">
        <f t="shared" si="42"/>
        <v>510</v>
      </c>
      <c r="R158" s="964"/>
      <c r="S158" s="964"/>
      <c r="T158" s="964"/>
      <c r="U158" s="964"/>
      <c r="V158" s="964"/>
      <c r="W158" s="964"/>
      <c r="X158" s="1170"/>
      <c r="Y158" s="1521">
        <v>510</v>
      </c>
      <c r="Z158" s="1188"/>
      <c r="AA158" s="1188"/>
      <c r="AB158" s="1188"/>
      <c r="AC158" s="1188"/>
      <c r="AD158" s="1188"/>
      <c r="AE158" s="1188"/>
      <c r="AF158" s="1188"/>
      <c r="AG158" s="1149"/>
    </row>
    <row r="159" spans="1:33" s="969" customFormat="1" ht="75.75" customHeight="1">
      <c r="A159" s="1529">
        <v>1216</v>
      </c>
      <c r="B159" s="966" t="s">
        <v>756</v>
      </c>
      <c r="C159" s="1076" t="s">
        <v>757</v>
      </c>
      <c r="D159" s="963"/>
      <c r="E159" s="671">
        <f t="shared" si="37"/>
        <v>27</v>
      </c>
      <c r="F159" s="670">
        <v>43332</v>
      </c>
      <c r="G159" s="670">
        <v>43358</v>
      </c>
      <c r="H159" s="1317"/>
      <c r="I159" s="671" t="s">
        <v>170</v>
      </c>
      <c r="J159" s="669"/>
      <c r="K159" s="1318" t="s">
        <v>727</v>
      </c>
      <c r="L159" s="1233">
        <v>23174</v>
      </c>
      <c r="M159" s="963"/>
      <c r="N159" s="963"/>
      <c r="O159" s="1098">
        <v>178</v>
      </c>
      <c r="P159" s="963">
        <v>2</v>
      </c>
      <c r="Q159" s="1098">
        <f t="shared" si="42"/>
        <v>356</v>
      </c>
      <c r="R159" s="964"/>
      <c r="S159" s="964"/>
      <c r="T159" s="964"/>
      <c r="U159" s="964"/>
      <c r="V159" s="964"/>
      <c r="W159" s="964"/>
      <c r="X159" s="1170"/>
      <c r="Y159" s="1521">
        <v>356</v>
      </c>
      <c r="Z159" s="1188"/>
      <c r="AA159" s="1188"/>
      <c r="AB159" s="1188"/>
      <c r="AC159" s="1188"/>
      <c r="AD159" s="1188"/>
      <c r="AE159" s="1188"/>
      <c r="AF159" s="1188"/>
      <c r="AG159" s="1149"/>
    </row>
    <row r="160" spans="1:33" s="969" customFormat="1" ht="75.75" customHeight="1">
      <c r="A160" s="1529">
        <v>1216</v>
      </c>
      <c r="B160" s="966" t="s">
        <v>756</v>
      </c>
      <c r="C160" s="1076" t="s">
        <v>757</v>
      </c>
      <c r="D160" s="963"/>
      <c r="E160" s="671">
        <f t="shared" si="37"/>
        <v>27</v>
      </c>
      <c r="F160" s="670">
        <v>43332</v>
      </c>
      <c r="G160" s="670">
        <v>43358</v>
      </c>
      <c r="H160" s="1317"/>
      <c r="I160" s="671" t="s">
        <v>170</v>
      </c>
      <c r="J160" s="669"/>
      <c r="K160" s="1318" t="s">
        <v>736</v>
      </c>
      <c r="L160" s="1233">
        <v>23174</v>
      </c>
      <c r="M160" s="963"/>
      <c r="N160" s="963"/>
      <c r="O160" s="1098">
        <v>112</v>
      </c>
      <c r="P160" s="963">
        <v>2</v>
      </c>
      <c r="Q160" s="1098">
        <f t="shared" si="42"/>
        <v>224</v>
      </c>
      <c r="R160" s="964"/>
      <c r="S160" s="964"/>
      <c r="T160" s="964"/>
      <c r="U160" s="964"/>
      <c r="V160" s="964"/>
      <c r="W160" s="964"/>
      <c r="X160" s="1170"/>
      <c r="Y160" s="1521">
        <v>224</v>
      </c>
      <c r="Z160" s="1188"/>
      <c r="AA160" s="1188"/>
      <c r="AB160" s="1188"/>
      <c r="AC160" s="1188"/>
      <c r="AD160" s="1188"/>
      <c r="AE160" s="1188"/>
      <c r="AF160" s="1188"/>
      <c r="AG160" s="1149"/>
    </row>
    <row r="161" spans="1:33" s="969" customFormat="1" ht="75.75" customHeight="1">
      <c r="A161" s="1529">
        <v>1216</v>
      </c>
      <c r="B161" s="966" t="s">
        <v>756</v>
      </c>
      <c r="C161" s="1076" t="s">
        <v>757</v>
      </c>
      <c r="D161" s="963"/>
      <c r="E161" s="671">
        <f t="shared" si="37"/>
        <v>27</v>
      </c>
      <c r="F161" s="670">
        <v>43332</v>
      </c>
      <c r="G161" s="670">
        <v>43358</v>
      </c>
      <c r="H161" s="1317"/>
      <c r="I161" s="671" t="s">
        <v>170</v>
      </c>
      <c r="J161" s="669"/>
      <c r="K161" s="1318" t="s">
        <v>302</v>
      </c>
      <c r="L161" s="1233">
        <v>23173</v>
      </c>
      <c r="M161" s="963"/>
      <c r="N161" s="963"/>
      <c r="O161" s="1098">
        <v>15</v>
      </c>
      <c r="P161" s="963">
        <v>30</v>
      </c>
      <c r="Q161" s="1098">
        <f t="shared" si="42"/>
        <v>450</v>
      </c>
      <c r="R161" s="964"/>
      <c r="S161" s="964"/>
      <c r="T161" s="964"/>
      <c r="U161" s="964"/>
      <c r="V161" s="964"/>
      <c r="W161" s="964"/>
      <c r="X161" s="1170"/>
      <c r="Y161" s="1521">
        <v>450</v>
      </c>
      <c r="Z161" s="1188"/>
      <c r="AA161" s="1188"/>
      <c r="AB161" s="1188"/>
      <c r="AC161" s="1188"/>
      <c r="AD161" s="1188"/>
      <c r="AE161" s="1188"/>
      <c r="AF161" s="1188"/>
      <c r="AG161" s="1149"/>
    </row>
    <row r="162" spans="1:33" s="969" customFormat="1" ht="75.75" customHeight="1">
      <c r="A162" s="1529">
        <v>1216</v>
      </c>
      <c r="B162" s="966" t="s">
        <v>756</v>
      </c>
      <c r="C162" s="1076" t="s">
        <v>757</v>
      </c>
      <c r="D162" s="963"/>
      <c r="E162" s="671">
        <f t="shared" si="37"/>
        <v>27</v>
      </c>
      <c r="F162" s="670">
        <v>43332</v>
      </c>
      <c r="G162" s="670">
        <v>43358</v>
      </c>
      <c r="H162" s="1317"/>
      <c r="I162" s="671" t="s">
        <v>170</v>
      </c>
      <c r="J162" s="669"/>
      <c r="K162" s="1318" t="s">
        <v>486</v>
      </c>
      <c r="L162" s="1231">
        <v>23173</v>
      </c>
      <c r="M162" s="963"/>
      <c r="N162" s="963"/>
      <c r="O162" s="1098">
        <v>156</v>
      </c>
      <c r="P162" s="963">
        <v>15</v>
      </c>
      <c r="Q162" s="1098">
        <f t="shared" si="42"/>
        <v>2340</v>
      </c>
      <c r="R162" s="964"/>
      <c r="S162" s="964"/>
      <c r="T162" s="964"/>
      <c r="U162" s="964"/>
      <c r="V162" s="964"/>
      <c r="W162" s="964"/>
      <c r="X162" s="1170"/>
      <c r="Y162" s="1521">
        <v>2340</v>
      </c>
      <c r="Z162" s="1188"/>
      <c r="AA162" s="1188"/>
      <c r="AB162" s="1188"/>
      <c r="AC162" s="1188"/>
      <c r="AD162" s="1188"/>
      <c r="AE162" s="1188"/>
      <c r="AF162" s="1188"/>
      <c r="AG162" s="1149"/>
    </row>
    <row r="163" spans="1:33" s="969" customFormat="1" ht="75.75" customHeight="1">
      <c r="A163" s="1529">
        <v>1216</v>
      </c>
      <c r="B163" s="966" t="s">
        <v>756</v>
      </c>
      <c r="C163" s="1076" t="s">
        <v>757</v>
      </c>
      <c r="D163" s="963"/>
      <c r="E163" s="671">
        <f t="shared" si="37"/>
        <v>27</v>
      </c>
      <c r="F163" s="670">
        <v>43332</v>
      </c>
      <c r="G163" s="670">
        <v>43358</v>
      </c>
      <c r="H163" s="1317"/>
      <c r="I163" s="671" t="s">
        <v>170</v>
      </c>
      <c r="J163" s="669"/>
      <c r="K163" s="1318" t="s">
        <v>723</v>
      </c>
      <c r="L163" s="1233">
        <v>23174</v>
      </c>
      <c r="M163" s="963"/>
      <c r="N163" s="963"/>
      <c r="O163" s="1098">
        <v>281</v>
      </c>
      <c r="P163" s="963">
        <v>2</v>
      </c>
      <c r="Q163" s="1098">
        <f t="shared" si="42"/>
        <v>562</v>
      </c>
      <c r="R163" s="964"/>
      <c r="S163" s="964"/>
      <c r="T163" s="964"/>
      <c r="U163" s="964"/>
      <c r="V163" s="964"/>
      <c r="W163" s="964"/>
      <c r="X163" s="1170"/>
      <c r="Y163" s="1521">
        <v>562</v>
      </c>
      <c r="Z163" s="1188"/>
      <c r="AA163" s="1188"/>
      <c r="AB163" s="1188"/>
      <c r="AC163" s="1188"/>
      <c r="AD163" s="1188"/>
      <c r="AE163" s="1188"/>
      <c r="AF163" s="1188"/>
      <c r="AG163" s="1149"/>
    </row>
    <row r="164" spans="1:33" s="969" customFormat="1" ht="75.75" customHeight="1">
      <c r="A164" s="1529">
        <v>1216</v>
      </c>
      <c r="B164" s="966" t="s">
        <v>756</v>
      </c>
      <c r="C164" s="1076" t="s">
        <v>757</v>
      </c>
      <c r="D164" s="963"/>
      <c r="E164" s="671">
        <f t="shared" si="37"/>
        <v>27</v>
      </c>
      <c r="F164" s="670">
        <v>43332</v>
      </c>
      <c r="G164" s="670">
        <v>43358</v>
      </c>
      <c r="H164" s="1317"/>
      <c r="I164" s="671" t="s">
        <v>170</v>
      </c>
      <c r="J164" s="669"/>
      <c r="K164" s="1318" t="s">
        <v>761</v>
      </c>
      <c r="L164" s="1233">
        <v>23173</v>
      </c>
      <c r="M164" s="963"/>
      <c r="N164" s="963"/>
      <c r="O164" s="1098">
        <v>10</v>
      </c>
      <c r="P164" s="963">
        <v>50</v>
      </c>
      <c r="Q164" s="1098">
        <f t="shared" si="42"/>
        <v>500</v>
      </c>
      <c r="R164" s="964"/>
      <c r="S164" s="964"/>
      <c r="T164" s="964"/>
      <c r="U164" s="964"/>
      <c r="V164" s="964"/>
      <c r="W164" s="964"/>
      <c r="X164" s="1170"/>
      <c r="Y164" s="1521">
        <v>500</v>
      </c>
      <c r="Z164" s="1188"/>
      <c r="AA164" s="1188"/>
      <c r="AB164" s="1188"/>
      <c r="AC164" s="1188"/>
      <c r="AD164" s="1188"/>
      <c r="AE164" s="1188"/>
      <c r="AF164" s="1188"/>
      <c r="AG164" s="1149"/>
    </row>
    <row r="165" spans="1:33" s="969" customFormat="1" ht="75.75" customHeight="1">
      <c r="A165" s="1529">
        <v>1216</v>
      </c>
      <c r="B165" s="966" t="s">
        <v>756</v>
      </c>
      <c r="C165" s="1076" t="s">
        <v>757</v>
      </c>
      <c r="D165" s="963"/>
      <c r="E165" s="671">
        <f t="shared" si="37"/>
        <v>27</v>
      </c>
      <c r="F165" s="670">
        <v>43332</v>
      </c>
      <c r="G165" s="670">
        <v>43358</v>
      </c>
      <c r="H165" s="1317"/>
      <c r="I165" s="671" t="s">
        <v>170</v>
      </c>
      <c r="J165" s="669"/>
      <c r="K165" s="1318" t="s">
        <v>762</v>
      </c>
      <c r="L165" s="1233">
        <v>23173</v>
      </c>
      <c r="M165" s="963"/>
      <c r="N165" s="963"/>
      <c r="O165" s="1098">
        <v>15</v>
      </c>
      <c r="P165" s="963">
        <v>50</v>
      </c>
      <c r="Q165" s="1098">
        <f t="shared" si="42"/>
        <v>750</v>
      </c>
      <c r="R165" s="964"/>
      <c r="S165" s="964"/>
      <c r="T165" s="964"/>
      <c r="U165" s="964"/>
      <c r="V165" s="964"/>
      <c r="W165" s="964"/>
      <c r="X165" s="1170"/>
      <c r="Y165" s="1521">
        <v>750</v>
      </c>
      <c r="Z165" s="1188"/>
      <c r="AA165" s="1188"/>
      <c r="AB165" s="1188"/>
      <c r="AC165" s="1188"/>
      <c r="AD165" s="1188"/>
      <c r="AE165" s="1188"/>
      <c r="AF165" s="1188"/>
      <c r="AG165" s="1149"/>
    </row>
    <row r="166" spans="1:33" s="969" customFormat="1" ht="75.75" customHeight="1">
      <c r="A166" s="1529">
        <v>1216</v>
      </c>
      <c r="B166" s="966" t="s">
        <v>756</v>
      </c>
      <c r="C166" s="1076" t="s">
        <v>757</v>
      </c>
      <c r="D166" s="963"/>
      <c r="E166" s="671">
        <f t="shared" si="37"/>
        <v>27</v>
      </c>
      <c r="F166" s="670">
        <v>43332</v>
      </c>
      <c r="G166" s="670">
        <v>43358</v>
      </c>
      <c r="H166" s="1317"/>
      <c r="I166" s="671" t="s">
        <v>170</v>
      </c>
      <c r="J166" s="669"/>
      <c r="K166" s="1318" t="s">
        <v>763</v>
      </c>
      <c r="L166" s="1233">
        <v>23173</v>
      </c>
      <c r="M166" s="963"/>
      <c r="N166" s="963"/>
      <c r="O166" s="1098">
        <v>10</v>
      </c>
      <c r="P166" s="963">
        <f>22+114+28+23+10+10</f>
        <v>207</v>
      </c>
      <c r="Q166" s="1098">
        <f t="shared" si="42"/>
        <v>2070</v>
      </c>
      <c r="R166" s="964"/>
      <c r="S166" s="964"/>
      <c r="T166" s="964"/>
      <c r="U166" s="964"/>
      <c r="V166" s="964"/>
      <c r="W166" s="964"/>
      <c r="X166" s="1170"/>
      <c r="Y166" s="1521">
        <v>2070</v>
      </c>
      <c r="Z166" s="1188"/>
      <c r="AA166" s="1188"/>
      <c r="AB166" s="1188"/>
      <c r="AC166" s="1188"/>
      <c r="AD166" s="1188"/>
      <c r="AE166" s="1188"/>
      <c r="AF166" s="1188"/>
      <c r="AG166" s="1149"/>
    </row>
    <row r="167" spans="1:33" s="969" customFormat="1" ht="75.75" customHeight="1">
      <c r="A167" s="1529">
        <v>1216</v>
      </c>
      <c r="B167" s="966" t="s">
        <v>756</v>
      </c>
      <c r="C167" s="1076" t="s">
        <v>757</v>
      </c>
      <c r="D167" s="963"/>
      <c r="E167" s="671">
        <f t="shared" si="37"/>
        <v>27</v>
      </c>
      <c r="F167" s="670">
        <v>43332</v>
      </c>
      <c r="G167" s="670">
        <v>43358</v>
      </c>
      <c r="H167" s="1317"/>
      <c r="I167" s="671" t="s">
        <v>170</v>
      </c>
      <c r="J167" s="669"/>
      <c r="K167" s="1318" t="s">
        <v>764</v>
      </c>
      <c r="L167" s="1233">
        <v>23173</v>
      </c>
      <c r="M167" s="963"/>
      <c r="N167" s="963"/>
      <c r="O167" s="1098">
        <v>5</v>
      </c>
      <c r="P167" s="963">
        <v>207</v>
      </c>
      <c r="Q167" s="1098">
        <f t="shared" si="42"/>
        <v>1035</v>
      </c>
      <c r="R167" s="964"/>
      <c r="S167" s="964"/>
      <c r="T167" s="964"/>
      <c r="U167" s="964"/>
      <c r="V167" s="964"/>
      <c r="W167" s="964"/>
      <c r="X167" s="1170"/>
      <c r="Y167" s="1521">
        <v>1035</v>
      </c>
      <c r="Z167" s="1188"/>
      <c r="AA167" s="1188"/>
      <c r="AB167" s="1188"/>
      <c r="AC167" s="1188"/>
      <c r="AD167" s="1188"/>
      <c r="AE167" s="1188"/>
      <c r="AF167" s="1188"/>
      <c r="AG167" s="1149"/>
    </row>
    <row r="168" spans="1:33" s="1035" customFormat="1" ht="75.75" customHeight="1">
      <c r="A168" s="1528">
        <v>1217</v>
      </c>
      <c r="B168" s="965" t="s">
        <v>765</v>
      </c>
      <c r="C168" s="1075" t="s">
        <v>766</v>
      </c>
      <c r="D168" s="1033"/>
      <c r="E168" s="1030"/>
      <c r="F168" s="1029">
        <v>43185</v>
      </c>
      <c r="G168" s="1029">
        <v>43373</v>
      </c>
      <c r="H168" s="1310"/>
      <c r="I168" s="1030"/>
      <c r="J168" s="734"/>
      <c r="K168" s="1319"/>
      <c r="L168" s="1234"/>
      <c r="M168" s="1033"/>
      <c r="N168" s="1033"/>
      <c r="O168" s="1099"/>
      <c r="P168" s="1033"/>
      <c r="Q168" s="1099">
        <f>SUM(Q169:Q170)</f>
        <v>65000</v>
      </c>
      <c r="R168" s="1034">
        <f>SUM(Q169+Q170)</f>
        <v>65000</v>
      </c>
      <c r="S168" s="1054">
        <f t="shared" ref="S168:AF168" si="43">SUM(S169:S170)</f>
        <v>0</v>
      </c>
      <c r="T168" s="1054">
        <f t="shared" si="43"/>
        <v>65000</v>
      </c>
      <c r="U168" s="1054">
        <f t="shared" si="43"/>
        <v>0</v>
      </c>
      <c r="V168" s="1054">
        <f t="shared" si="43"/>
        <v>0</v>
      </c>
      <c r="W168" s="1054">
        <f t="shared" si="43"/>
        <v>0</v>
      </c>
      <c r="X168" s="1171">
        <f t="shared" si="43"/>
        <v>0</v>
      </c>
      <c r="Y168" s="1189">
        <f t="shared" si="43"/>
        <v>0</v>
      </c>
      <c r="Z168" s="1189">
        <f t="shared" si="43"/>
        <v>0</v>
      </c>
      <c r="AA168" s="1189">
        <f t="shared" si="43"/>
        <v>0</v>
      </c>
      <c r="AB168" s="1189">
        <f t="shared" si="43"/>
        <v>0</v>
      </c>
      <c r="AC168" s="1189">
        <f t="shared" si="43"/>
        <v>0</v>
      </c>
      <c r="AD168" s="1189">
        <f t="shared" si="43"/>
        <v>0</v>
      </c>
      <c r="AE168" s="1189">
        <f t="shared" si="43"/>
        <v>0</v>
      </c>
      <c r="AF168" s="1189">
        <f t="shared" si="43"/>
        <v>0</v>
      </c>
      <c r="AG168" s="1066">
        <f>SUM(S168:AF168)</f>
        <v>65000</v>
      </c>
    </row>
    <row r="169" spans="1:33" s="969" customFormat="1" ht="75.75" customHeight="1">
      <c r="A169" s="1529">
        <v>1217</v>
      </c>
      <c r="B169" s="966" t="s">
        <v>499</v>
      </c>
      <c r="C169" s="1076" t="s">
        <v>767</v>
      </c>
      <c r="D169" s="963"/>
      <c r="E169" s="671">
        <f t="shared" si="37"/>
        <v>189</v>
      </c>
      <c r="F169" s="670">
        <v>43185</v>
      </c>
      <c r="G169" s="670">
        <v>43373</v>
      </c>
      <c r="H169" s="1317"/>
      <c r="I169" s="671" t="s">
        <v>768</v>
      </c>
      <c r="J169" s="669"/>
      <c r="K169" s="1318"/>
      <c r="L169" s="1233">
        <v>23173</v>
      </c>
      <c r="M169" s="963"/>
      <c r="N169" s="963"/>
      <c r="O169" s="1098">
        <v>50000</v>
      </c>
      <c r="P169" s="963"/>
      <c r="Q169" s="1098">
        <v>50000</v>
      </c>
      <c r="R169" s="964"/>
      <c r="S169" s="964"/>
      <c r="T169" s="1098">
        <v>50000</v>
      </c>
      <c r="U169" s="964"/>
      <c r="V169" s="964"/>
      <c r="W169" s="964"/>
      <c r="X169" s="1170"/>
      <c r="Y169" s="1187"/>
      <c r="Z169" s="1188"/>
      <c r="AA169" s="1188"/>
      <c r="AB169" s="1188"/>
      <c r="AC169" s="1188"/>
      <c r="AD169" s="1188"/>
      <c r="AE169" s="1188"/>
      <c r="AF169" s="1188"/>
      <c r="AG169" s="1149"/>
    </row>
    <row r="170" spans="1:33" s="969" customFormat="1" ht="57.75" customHeight="1">
      <c r="A170" s="1529">
        <v>1218</v>
      </c>
      <c r="B170" s="966" t="s">
        <v>769</v>
      </c>
      <c r="C170" s="1076" t="s">
        <v>770</v>
      </c>
      <c r="D170" s="963"/>
      <c r="E170" s="671">
        <f t="shared" si="37"/>
        <v>189</v>
      </c>
      <c r="F170" s="670">
        <v>43185</v>
      </c>
      <c r="G170" s="670">
        <v>43373</v>
      </c>
      <c r="H170" s="1317"/>
      <c r="I170" s="671" t="s">
        <v>768</v>
      </c>
      <c r="J170" s="669"/>
      <c r="K170" s="1318"/>
      <c r="L170" s="1233">
        <v>23173</v>
      </c>
      <c r="M170" s="963"/>
      <c r="N170" s="963"/>
      <c r="O170" s="1098">
        <v>15000</v>
      </c>
      <c r="P170" s="963"/>
      <c r="Q170" s="1098">
        <v>15000</v>
      </c>
      <c r="R170" s="964"/>
      <c r="S170" s="964"/>
      <c r="T170" s="1098">
        <v>15000</v>
      </c>
      <c r="U170" s="964"/>
      <c r="V170" s="964"/>
      <c r="W170" s="964"/>
      <c r="X170" s="1170"/>
      <c r="Y170" s="1187"/>
      <c r="Z170" s="1188"/>
      <c r="AA170" s="1188"/>
      <c r="AB170" s="1188"/>
      <c r="AC170" s="1188"/>
      <c r="AD170" s="1188"/>
      <c r="AE170" s="1188"/>
      <c r="AF170" s="1188"/>
      <c r="AG170" s="1149"/>
    </row>
    <row r="171" spans="1:33" ht="16.5" customHeight="1">
      <c r="A171" s="1324">
        <v>122</v>
      </c>
      <c r="B171" s="1463" t="s">
        <v>771</v>
      </c>
      <c r="C171" s="1498"/>
      <c r="D171" s="1325"/>
      <c r="E171" s="1325"/>
      <c r="F171" s="1325"/>
      <c r="G171" s="1325"/>
      <c r="H171" s="1325"/>
      <c r="I171" s="1325"/>
      <c r="J171" s="636"/>
      <c r="K171" s="1296"/>
      <c r="L171" s="1298"/>
      <c r="M171" s="1326"/>
      <c r="N171" s="1297"/>
      <c r="O171" s="1327"/>
      <c r="P171" s="1328"/>
      <c r="Q171" s="1329">
        <f>Q172+Q182+Q192+Q202+Q206+Q207+Q217+Q218+Q227+Q237</f>
        <v>150847.67633333331</v>
      </c>
      <c r="R171" s="790"/>
      <c r="S171" s="1329">
        <f t="shared" ref="S171:AF171" si="44">S172+S182+S192+S202+S206+S207+S217+S218+S227+S237</f>
        <v>0</v>
      </c>
      <c r="T171" s="1329">
        <f t="shared" si="44"/>
        <v>13416.399666666666</v>
      </c>
      <c r="U171" s="1329">
        <f t="shared" si="44"/>
        <v>32731.999333333333</v>
      </c>
      <c r="V171" s="1329">
        <f t="shared" si="44"/>
        <v>80559.725000000006</v>
      </c>
      <c r="W171" s="1329">
        <f t="shared" si="44"/>
        <v>24139.552333333333</v>
      </c>
      <c r="X171" s="1329">
        <f t="shared" si="44"/>
        <v>0</v>
      </c>
      <c r="Y171" s="1329">
        <f t="shared" si="44"/>
        <v>0</v>
      </c>
      <c r="Z171" s="1051">
        <f t="shared" si="44"/>
        <v>0</v>
      </c>
      <c r="AA171" s="1051">
        <f t="shared" si="44"/>
        <v>0</v>
      </c>
      <c r="AB171" s="1051">
        <f t="shared" si="44"/>
        <v>0</v>
      </c>
      <c r="AC171" s="1051">
        <f t="shared" si="44"/>
        <v>0</v>
      </c>
      <c r="AD171" s="1051">
        <f t="shared" si="44"/>
        <v>0</v>
      </c>
      <c r="AE171" s="1051">
        <f t="shared" si="44"/>
        <v>0</v>
      </c>
      <c r="AF171" s="1051">
        <f t="shared" si="44"/>
        <v>0</v>
      </c>
      <c r="AG171" s="1329">
        <f>AG172+AG182+AG192+AG202+AG206+AG207+AG217+AG218+AG227+AG237</f>
        <v>150847.67633333331</v>
      </c>
    </row>
    <row r="172" spans="1:33" s="1041" customFormat="1" ht="57.75" customHeight="1">
      <c r="A172" s="1037">
        <v>1221</v>
      </c>
      <c r="B172" s="939" t="s">
        <v>772</v>
      </c>
      <c r="C172" s="1077" t="s">
        <v>773</v>
      </c>
      <c r="D172" s="1036"/>
      <c r="E172" s="1037">
        <v>10</v>
      </c>
      <c r="F172" s="1038">
        <v>43206</v>
      </c>
      <c r="G172" s="1038">
        <f>F172+E172</f>
        <v>43216</v>
      </c>
      <c r="H172" s="1036" t="s">
        <v>774</v>
      </c>
      <c r="I172" s="1037" t="s">
        <v>170</v>
      </c>
      <c r="J172" s="721"/>
      <c r="K172" s="1036"/>
      <c r="L172" s="1235"/>
      <c r="M172" s="1036"/>
      <c r="N172" s="1036"/>
      <c r="O172" s="1042"/>
      <c r="P172" s="1036"/>
      <c r="Q172" s="1100">
        <f>SUM(Q173:Q181)</f>
        <v>13416.399666666666</v>
      </c>
      <c r="R172" s="1040"/>
      <c r="S172" s="1053">
        <f t="shared" ref="S172:AF172" si="45">SUM(S173:S181)</f>
        <v>0</v>
      </c>
      <c r="T172" s="1053">
        <f t="shared" si="45"/>
        <v>13416.399666666666</v>
      </c>
      <c r="U172" s="1053">
        <f t="shared" si="45"/>
        <v>0</v>
      </c>
      <c r="V172" s="1053">
        <f t="shared" si="45"/>
        <v>0</v>
      </c>
      <c r="W172" s="1053">
        <f t="shared" si="45"/>
        <v>0</v>
      </c>
      <c r="X172" s="1172">
        <f t="shared" si="45"/>
        <v>0</v>
      </c>
      <c r="Y172" s="1190">
        <f t="shared" si="45"/>
        <v>0</v>
      </c>
      <c r="Z172" s="1190">
        <f t="shared" si="45"/>
        <v>0</v>
      </c>
      <c r="AA172" s="1190">
        <f t="shared" si="45"/>
        <v>0</v>
      </c>
      <c r="AB172" s="1190">
        <f t="shared" si="45"/>
        <v>0</v>
      </c>
      <c r="AC172" s="1190">
        <f t="shared" si="45"/>
        <v>0</v>
      </c>
      <c r="AD172" s="1190">
        <f t="shared" si="45"/>
        <v>0</v>
      </c>
      <c r="AE172" s="1190">
        <f t="shared" si="45"/>
        <v>0</v>
      </c>
      <c r="AF172" s="1190">
        <f t="shared" si="45"/>
        <v>0</v>
      </c>
      <c r="AG172" s="1066">
        <f>SUM(S172:AF172)</f>
        <v>13416.399666666666</v>
      </c>
    </row>
    <row r="173" spans="1:33" s="1044" customFormat="1" ht="57.75" customHeight="1">
      <c r="A173" s="706">
        <v>1221</v>
      </c>
      <c r="B173" s="945" t="s">
        <v>772</v>
      </c>
      <c r="C173" s="1078" t="s">
        <v>773</v>
      </c>
      <c r="D173" s="938"/>
      <c r="E173" s="706">
        <v>10</v>
      </c>
      <c r="F173" s="709">
        <v>43206</v>
      </c>
      <c r="G173" s="709">
        <f>F173+E173</f>
        <v>43216</v>
      </c>
      <c r="H173" s="938" t="s">
        <v>774</v>
      </c>
      <c r="I173" s="706" t="s">
        <v>170</v>
      </c>
      <c r="J173" s="708"/>
      <c r="K173" s="938" t="s">
        <v>775</v>
      </c>
      <c r="L173" s="1236">
        <v>23174</v>
      </c>
      <c r="M173" s="938"/>
      <c r="N173" s="938"/>
      <c r="O173" s="949">
        <v>4536</v>
      </c>
      <c r="P173" s="938">
        <v>1</v>
      </c>
      <c r="Q173" s="1101">
        <f t="shared" ref="Q173:Q181" si="46">O173*P173</f>
        <v>4536</v>
      </c>
      <c r="R173" s="1043">
        <v>4536</v>
      </c>
      <c r="S173" s="941"/>
      <c r="T173" s="1101">
        <v>4536</v>
      </c>
      <c r="U173" s="940"/>
      <c r="V173" s="938"/>
      <c r="W173" s="943"/>
      <c r="X173" s="1173"/>
      <c r="Y173" s="1159"/>
      <c r="Z173" s="1159"/>
      <c r="AA173" s="1159"/>
      <c r="AB173" s="1159"/>
      <c r="AC173" s="1160"/>
      <c r="AD173" s="1160"/>
      <c r="AE173" s="1160"/>
      <c r="AF173" s="1160"/>
      <c r="AG173" s="1060"/>
    </row>
    <row r="174" spans="1:33" s="944" customFormat="1" ht="57.75" customHeight="1">
      <c r="A174" s="706">
        <v>1221</v>
      </c>
      <c r="B174" s="945" t="s">
        <v>772</v>
      </c>
      <c r="C174" s="1078" t="s">
        <v>773</v>
      </c>
      <c r="D174" s="938"/>
      <c r="E174" s="706">
        <v>10</v>
      </c>
      <c r="F174" s="709">
        <v>43206</v>
      </c>
      <c r="G174" s="709">
        <f t="shared" ref="G174:G179" si="47">F174+E174</f>
        <v>43216</v>
      </c>
      <c r="H174" s="938" t="s">
        <v>774</v>
      </c>
      <c r="I174" s="706" t="s">
        <v>170</v>
      </c>
      <c r="J174" s="708"/>
      <c r="K174" s="938" t="s">
        <v>776</v>
      </c>
      <c r="L174" s="1236">
        <v>23174</v>
      </c>
      <c r="M174" s="938"/>
      <c r="N174" s="938"/>
      <c r="O174" s="949">
        <v>1320</v>
      </c>
      <c r="P174" s="938">
        <v>1</v>
      </c>
      <c r="Q174" s="1101">
        <f t="shared" si="46"/>
        <v>1320</v>
      </c>
      <c r="R174" s="942">
        <v>1320</v>
      </c>
      <c r="S174" s="1039"/>
      <c r="T174" s="1101">
        <v>1320</v>
      </c>
      <c r="U174" s="940"/>
      <c r="V174" s="938"/>
      <c r="W174" s="943"/>
      <c r="X174" s="1174"/>
      <c r="Y174" s="1159"/>
      <c r="Z174" s="1159"/>
      <c r="AA174" s="1159"/>
      <c r="AB174" s="1159"/>
      <c r="AC174" s="1161"/>
      <c r="AD174" s="1161"/>
      <c r="AE174" s="1161"/>
      <c r="AF174" s="1161"/>
      <c r="AG174" s="1060"/>
    </row>
    <row r="175" spans="1:33" s="944" customFormat="1" ht="57.75" customHeight="1">
      <c r="A175" s="706">
        <v>1221</v>
      </c>
      <c r="B175" s="945" t="s">
        <v>772</v>
      </c>
      <c r="C175" s="1078" t="s">
        <v>773</v>
      </c>
      <c r="D175" s="938"/>
      <c r="E175" s="706">
        <v>10</v>
      </c>
      <c r="F175" s="709">
        <v>43206</v>
      </c>
      <c r="G175" s="709">
        <f t="shared" si="47"/>
        <v>43216</v>
      </c>
      <c r="H175" s="938" t="s">
        <v>774</v>
      </c>
      <c r="I175" s="706" t="s">
        <v>170</v>
      </c>
      <c r="J175" s="708"/>
      <c r="K175" s="938" t="s">
        <v>777</v>
      </c>
      <c r="L175" s="1236">
        <v>23174</v>
      </c>
      <c r="M175" s="938"/>
      <c r="N175" s="938"/>
      <c r="O175" s="949">
        <v>260</v>
      </c>
      <c r="P175" s="938">
        <v>1</v>
      </c>
      <c r="Q175" s="1101">
        <f t="shared" si="46"/>
        <v>260</v>
      </c>
      <c r="R175" s="942">
        <v>260</v>
      </c>
      <c r="S175" s="1039"/>
      <c r="T175" s="1101">
        <v>260</v>
      </c>
      <c r="U175" s="940"/>
      <c r="V175" s="938"/>
      <c r="W175" s="943"/>
      <c r="X175" s="1174"/>
      <c r="Y175" s="1159"/>
      <c r="Z175" s="1159"/>
      <c r="AA175" s="1159"/>
      <c r="AB175" s="1159"/>
      <c r="AC175" s="1161"/>
      <c r="AD175" s="1161"/>
      <c r="AE175" s="1161"/>
      <c r="AF175" s="1161"/>
      <c r="AG175" s="1060"/>
    </row>
    <row r="176" spans="1:33" s="944" customFormat="1" ht="57.75" customHeight="1">
      <c r="A176" s="706">
        <v>1221</v>
      </c>
      <c r="B176" s="945" t="s">
        <v>772</v>
      </c>
      <c r="C176" s="1078" t="s">
        <v>773</v>
      </c>
      <c r="D176" s="938"/>
      <c r="E176" s="706">
        <v>10</v>
      </c>
      <c r="F176" s="709">
        <v>43206</v>
      </c>
      <c r="G176" s="709">
        <f t="shared" si="47"/>
        <v>43216</v>
      </c>
      <c r="H176" s="938" t="s">
        <v>774</v>
      </c>
      <c r="I176" s="706" t="s">
        <v>170</v>
      </c>
      <c r="J176" s="708"/>
      <c r="K176" s="938" t="s">
        <v>778</v>
      </c>
      <c r="L176" s="1236">
        <v>23174</v>
      </c>
      <c r="M176" s="938"/>
      <c r="N176" s="938"/>
      <c r="O176" s="949">
        <v>4573.333333333333</v>
      </c>
      <c r="P176" s="938">
        <v>1</v>
      </c>
      <c r="Q176" s="1101">
        <f t="shared" si="46"/>
        <v>4573.333333333333</v>
      </c>
      <c r="R176" s="942">
        <v>4573.333333333333</v>
      </c>
      <c r="S176" s="1039"/>
      <c r="T176" s="949">
        <v>4573.333333333333</v>
      </c>
      <c r="U176" s="940"/>
      <c r="V176" s="938"/>
      <c r="W176" s="943"/>
      <c r="X176" s="1174"/>
      <c r="Y176" s="1159"/>
      <c r="Z176" s="1159"/>
      <c r="AA176" s="1159"/>
      <c r="AB176" s="1159"/>
      <c r="AC176" s="1161"/>
      <c r="AD176" s="1161"/>
      <c r="AE176" s="1161"/>
      <c r="AF176" s="1161"/>
      <c r="AG176" s="1060"/>
    </row>
    <row r="177" spans="1:33" s="944" customFormat="1" ht="57.75" customHeight="1">
      <c r="A177" s="706">
        <v>1221</v>
      </c>
      <c r="B177" s="945" t="s">
        <v>772</v>
      </c>
      <c r="C177" s="1078" t="s">
        <v>773</v>
      </c>
      <c r="D177" s="938"/>
      <c r="E177" s="706">
        <v>10</v>
      </c>
      <c r="F177" s="709">
        <v>43206</v>
      </c>
      <c r="G177" s="709">
        <f t="shared" si="47"/>
        <v>43216</v>
      </c>
      <c r="H177" s="938" t="s">
        <v>774</v>
      </c>
      <c r="I177" s="706" t="s">
        <v>170</v>
      </c>
      <c r="J177" s="708"/>
      <c r="K177" s="938" t="s">
        <v>779</v>
      </c>
      <c r="L177" s="1236">
        <v>23174</v>
      </c>
      <c r="M177" s="938"/>
      <c r="N177" s="938"/>
      <c r="O177" s="949">
        <v>153.33333333333334</v>
      </c>
      <c r="P177" s="938">
        <v>1</v>
      </c>
      <c r="Q177" s="1101">
        <f t="shared" si="46"/>
        <v>153.33333333333334</v>
      </c>
      <c r="R177" s="942">
        <v>153.33333333333334</v>
      </c>
      <c r="S177" s="1039"/>
      <c r="T177" s="1101">
        <v>153.33333333333334</v>
      </c>
      <c r="U177" s="940"/>
      <c r="V177" s="938"/>
      <c r="W177" s="943"/>
      <c r="X177" s="1174"/>
      <c r="Y177" s="1159"/>
      <c r="Z177" s="1159"/>
      <c r="AA177" s="1159"/>
      <c r="AB177" s="1159"/>
      <c r="AC177" s="1161"/>
      <c r="AD177" s="1161"/>
      <c r="AE177" s="1161"/>
      <c r="AF177" s="1161"/>
      <c r="AG177" s="1060"/>
    </row>
    <row r="178" spans="1:33" s="944" customFormat="1" ht="57.75" customHeight="1">
      <c r="A178" s="706">
        <v>1221</v>
      </c>
      <c r="B178" s="945" t="s">
        <v>772</v>
      </c>
      <c r="C178" s="1078" t="s">
        <v>773</v>
      </c>
      <c r="D178" s="938"/>
      <c r="E178" s="706">
        <v>10</v>
      </c>
      <c r="F178" s="709">
        <v>43206</v>
      </c>
      <c r="G178" s="709">
        <f t="shared" si="47"/>
        <v>43216</v>
      </c>
      <c r="H178" s="938" t="s">
        <v>774</v>
      </c>
      <c r="I178" s="706" t="s">
        <v>170</v>
      </c>
      <c r="J178" s="708"/>
      <c r="K178" s="938" t="s">
        <v>780</v>
      </c>
      <c r="L178" s="1236">
        <v>23174</v>
      </c>
      <c r="M178" s="938"/>
      <c r="N178" s="938"/>
      <c r="O178" s="949">
        <v>238</v>
      </c>
      <c r="P178" s="938">
        <v>1</v>
      </c>
      <c r="Q178" s="1101">
        <f t="shared" si="46"/>
        <v>238</v>
      </c>
      <c r="R178" s="942">
        <v>238</v>
      </c>
      <c r="S178" s="1039"/>
      <c r="T178" s="1101">
        <v>238</v>
      </c>
      <c r="U178" s="940"/>
      <c r="V178" s="938"/>
      <c r="W178" s="943"/>
      <c r="X178" s="1174"/>
      <c r="Y178" s="1159"/>
      <c r="Z178" s="1159"/>
      <c r="AA178" s="1159"/>
      <c r="AB178" s="1159"/>
      <c r="AC178" s="1161"/>
      <c r="AD178" s="1161"/>
      <c r="AE178" s="1161"/>
      <c r="AF178" s="1161"/>
      <c r="AG178" s="1060"/>
    </row>
    <row r="179" spans="1:33" s="944" customFormat="1" ht="57.75" customHeight="1">
      <c r="A179" s="706">
        <v>1221</v>
      </c>
      <c r="B179" s="945" t="s">
        <v>772</v>
      </c>
      <c r="C179" s="1078" t="s">
        <v>773</v>
      </c>
      <c r="D179" s="938"/>
      <c r="E179" s="706">
        <v>10</v>
      </c>
      <c r="F179" s="709">
        <v>43206</v>
      </c>
      <c r="G179" s="709">
        <f t="shared" si="47"/>
        <v>43216</v>
      </c>
      <c r="H179" s="938" t="s">
        <v>774</v>
      </c>
      <c r="I179" s="706" t="s">
        <v>170</v>
      </c>
      <c r="J179" s="708"/>
      <c r="K179" s="938" t="s">
        <v>781</v>
      </c>
      <c r="L179" s="1236">
        <v>23174</v>
      </c>
      <c r="M179" s="938"/>
      <c r="N179" s="938"/>
      <c r="O179" s="949">
        <v>594.73333333333335</v>
      </c>
      <c r="P179" s="938">
        <v>1</v>
      </c>
      <c r="Q179" s="1101">
        <f t="shared" si="46"/>
        <v>594.73333333333335</v>
      </c>
      <c r="R179" s="942">
        <v>594.73333333333335</v>
      </c>
      <c r="S179" s="1039"/>
      <c r="T179" s="1101">
        <v>594.73333333333335</v>
      </c>
      <c r="U179" s="940"/>
      <c r="V179" s="938"/>
      <c r="W179" s="943"/>
      <c r="X179" s="1174"/>
      <c r="Y179" s="1159"/>
      <c r="Z179" s="1159"/>
      <c r="AA179" s="1159"/>
      <c r="AB179" s="1159"/>
      <c r="AC179" s="1161"/>
      <c r="AD179" s="1161"/>
      <c r="AE179" s="1161"/>
      <c r="AF179" s="1161"/>
      <c r="AG179" s="1060"/>
    </row>
    <row r="180" spans="1:33" s="944" customFormat="1" ht="57.75" customHeight="1">
      <c r="A180" s="706">
        <v>1221</v>
      </c>
      <c r="B180" s="945" t="s">
        <v>772</v>
      </c>
      <c r="C180" s="1078" t="s">
        <v>773</v>
      </c>
      <c r="D180" s="938"/>
      <c r="E180" s="706"/>
      <c r="F180" s="709"/>
      <c r="G180" s="709"/>
      <c r="H180" s="938" t="s">
        <v>774</v>
      </c>
      <c r="I180" s="706" t="s">
        <v>170</v>
      </c>
      <c r="J180" s="708"/>
      <c r="K180" s="1330" t="s">
        <v>782</v>
      </c>
      <c r="L180" s="1236">
        <v>23173</v>
      </c>
      <c r="M180" s="938"/>
      <c r="N180" s="938"/>
      <c r="O180" s="949">
        <v>74.332999999999998</v>
      </c>
      <c r="P180" s="938">
        <v>1</v>
      </c>
      <c r="Q180" s="1101">
        <f t="shared" si="46"/>
        <v>74.332999999999998</v>
      </c>
      <c r="R180" s="942">
        <v>74.332999999999998</v>
      </c>
      <c r="S180" s="1039"/>
      <c r="T180" s="1101">
        <v>74.332999999999998</v>
      </c>
      <c r="U180" s="940"/>
      <c r="V180" s="938"/>
      <c r="W180" s="943"/>
      <c r="X180" s="1174"/>
      <c r="Y180" s="1159"/>
      <c r="Z180" s="1159"/>
      <c r="AA180" s="1159"/>
      <c r="AB180" s="1159"/>
      <c r="AC180" s="1161"/>
      <c r="AD180" s="1161"/>
      <c r="AE180" s="1161"/>
      <c r="AF180" s="1161"/>
      <c r="AG180" s="1060"/>
    </row>
    <row r="181" spans="1:33" s="944" customFormat="1" ht="57.75" customHeight="1">
      <c r="A181" s="706">
        <v>1221</v>
      </c>
      <c r="B181" s="945" t="s">
        <v>772</v>
      </c>
      <c r="C181" s="1078" t="s">
        <v>773</v>
      </c>
      <c r="D181" s="938"/>
      <c r="E181" s="706"/>
      <c r="F181" s="718"/>
      <c r="G181" s="718"/>
      <c r="H181" s="938" t="s">
        <v>774</v>
      </c>
      <c r="I181" s="706" t="s">
        <v>170</v>
      </c>
      <c r="J181" s="708"/>
      <c r="K181" s="938" t="s">
        <v>415</v>
      </c>
      <c r="L181" s="1236">
        <v>23173</v>
      </c>
      <c r="M181" s="938"/>
      <c r="N181" s="938"/>
      <c r="O181" s="949">
        <v>1666.6666666666667</v>
      </c>
      <c r="P181" s="938">
        <v>1</v>
      </c>
      <c r="Q181" s="1101">
        <f t="shared" si="46"/>
        <v>1666.6666666666667</v>
      </c>
      <c r="R181" s="942">
        <v>1666.6666666666667</v>
      </c>
      <c r="S181" s="1039"/>
      <c r="T181" s="1101">
        <v>1666.6666666666667</v>
      </c>
      <c r="U181" s="940"/>
      <c r="V181" s="938"/>
      <c r="W181" s="943"/>
      <c r="X181" s="1174"/>
      <c r="Y181" s="1159"/>
      <c r="Z181" s="1159"/>
      <c r="AA181" s="1159"/>
      <c r="AB181" s="1159"/>
      <c r="AC181" s="1161"/>
      <c r="AD181" s="1161"/>
      <c r="AE181" s="1161"/>
      <c r="AF181" s="1161"/>
      <c r="AG181" s="1060"/>
    </row>
    <row r="182" spans="1:33" s="1041" customFormat="1" ht="57.75" customHeight="1">
      <c r="A182" s="1037">
        <v>1222</v>
      </c>
      <c r="B182" s="946" t="s">
        <v>783</v>
      </c>
      <c r="C182" s="1079" t="s">
        <v>784</v>
      </c>
      <c r="D182" s="1036"/>
      <c r="E182" s="1037">
        <v>10</v>
      </c>
      <c r="F182" s="1038">
        <v>43227</v>
      </c>
      <c r="G182" s="1038">
        <f>F182+E182</f>
        <v>43237</v>
      </c>
      <c r="H182" s="1036" t="s">
        <v>785</v>
      </c>
      <c r="I182" s="1037" t="s">
        <v>170</v>
      </c>
      <c r="J182" s="721"/>
      <c r="K182" s="1036"/>
      <c r="L182" s="1235"/>
      <c r="M182" s="1036"/>
      <c r="N182" s="1036"/>
      <c r="O182" s="1042"/>
      <c r="P182" s="1036"/>
      <c r="Q182" s="1100">
        <f>SUM(Q183:Q191)</f>
        <v>15757.999666666667</v>
      </c>
      <c r="R182" s="1040">
        <v>4956</v>
      </c>
      <c r="S182" s="1053">
        <f t="shared" ref="S182:AF182" si="48">SUM(S183:S191)</f>
        <v>0</v>
      </c>
      <c r="T182" s="1053">
        <f t="shared" si="48"/>
        <v>0</v>
      </c>
      <c r="U182" s="1053">
        <f t="shared" si="48"/>
        <v>15757.999666666667</v>
      </c>
      <c r="V182" s="1053">
        <f t="shared" si="48"/>
        <v>0</v>
      </c>
      <c r="W182" s="1053">
        <f t="shared" si="48"/>
        <v>0</v>
      </c>
      <c r="X182" s="1172">
        <f t="shared" si="48"/>
        <v>0</v>
      </c>
      <c r="Y182" s="1190">
        <f t="shared" si="48"/>
        <v>0</v>
      </c>
      <c r="Z182" s="1190">
        <f t="shared" si="48"/>
        <v>0</v>
      </c>
      <c r="AA182" s="1190">
        <f t="shared" si="48"/>
        <v>0</v>
      </c>
      <c r="AB182" s="1190">
        <f t="shared" si="48"/>
        <v>0</v>
      </c>
      <c r="AC182" s="1190">
        <f t="shared" si="48"/>
        <v>0</v>
      </c>
      <c r="AD182" s="1190">
        <f t="shared" si="48"/>
        <v>0</v>
      </c>
      <c r="AE182" s="1190">
        <f t="shared" si="48"/>
        <v>0</v>
      </c>
      <c r="AF182" s="1190">
        <f t="shared" si="48"/>
        <v>0</v>
      </c>
      <c r="AG182" s="1066">
        <f>SUM(S182:AF182)</f>
        <v>15757.999666666667</v>
      </c>
    </row>
    <row r="183" spans="1:33" s="1044" customFormat="1" ht="57.75" customHeight="1">
      <c r="A183" s="706">
        <v>1222</v>
      </c>
      <c r="B183" s="947" t="s">
        <v>783</v>
      </c>
      <c r="C183" s="1080" t="s">
        <v>784</v>
      </c>
      <c r="D183" s="938"/>
      <c r="E183" s="706">
        <v>10</v>
      </c>
      <c r="F183" s="709">
        <v>43227</v>
      </c>
      <c r="G183" s="709">
        <f>F183+E183</f>
        <v>43237</v>
      </c>
      <c r="H183" s="938" t="s">
        <v>785</v>
      </c>
      <c r="I183" s="706" t="s">
        <v>170</v>
      </c>
      <c r="J183" s="708"/>
      <c r="K183" s="938" t="s">
        <v>775</v>
      </c>
      <c r="L183" s="1236">
        <v>23174</v>
      </c>
      <c r="M183" s="938"/>
      <c r="N183" s="938"/>
      <c r="O183" s="949">
        <v>4956</v>
      </c>
      <c r="P183" s="938">
        <v>1</v>
      </c>
      <c r="Q183" s="1101">
        <f t="shared" ref="Q183:Q191" si="49">O183*P183</f>
        <v>4956</v>
      </c>
      <c r="R183" s="1043">
        <v>4956</v>
      </c>
      <c r="S183" s="941"/>
      <c r="T183" s="941"/>
      <c r="U183" s="949">
        <v>4956</v>
      </c>
      <c r="V183" s="938"/>
      <c r="W183" s="938"/>
      <c r="X183" s="1174"/>
      <c r="Y183" s="1159"/>
      <c r="Z183" s="1159"/>
      <c r="AA183" s="1159"/>
      <c r="AB183" s="1159"/>
      <c r="AC183" s="1160"/>
      <c r="AD183" s="1160"/>
      <c r="AE183" s="1160"/>
      <c r="AF183" s="1160"/>
      <c r="AG183" s="1060"/>
    </row>
    <row r="184" spans="1:33" s="944" customFormat="1" ht="57.75" customHeight="1">
      <c r="A184" s="706">
        <v>1222</v>
      </c>
      <c r="B184" s="947" t="s">
        <v>783</v>
      </c>
      <c r="C184" s="1080" t="s">
        <v>784</v>
      </c>
      <c r="D184" s="938"/>
      <c r="E184" s="706">
        <v>10</v>
      </c>
      <c r="F184" s="709">
        <v>43227</v>
      </c>
      <c r="G184" s="709">
        <f t="shared" ref="G184:G189" si="50">F184+E184</f>
        <v>43237</v>
      </c>
      <c r="H184" s="938" t="s">
        <v>785</v>
      </c>
      <c r="I184" s="706" t="s">
        <v>170</v>
      </c>
      <c r="J184" s="708"/>
      <c r="K184" s="938" t="s">
        <v>777</v>
      </c>
      <c r="L184" s="1236">
        <v>23174</v>
      </c>
      <c r="M184" s="938"/>
      <c r="N184" s="938"/>
      <c r="O184" s="949">
        <v>290</v>
      </c>
      <c r="P184" s="938">
        <v>1</v>
      </c>
      <c r="Q184" s="1101">
        <f t="shared" si="49"/>
        <v>290</v>
      </c>
      <c r="R184" s="942">
        <v>290</v>
      </c>
      <c r="S184" s="1039"/>
      <c r="T184" s="941"/>
      <c r="U184" s="949">
        <v>290</v>
      </c>
      <c r="V184" s="938"/>
      <c r="W184" s="938"/>
      <c r="X184" s="1174"/>
      <c r="Y184" s="1159"/>
      <c r="Z184" s="1159"/>
      <c r="AA184" s="1159"/>
      <c r="AB184" s="1159"/>
      <c r="AC184" s="1161"/>
      <c r="AD184" s="1161"/>
      <c r="AE184" s="1161"/>
      <c r="AF184" s="1161"/>
      <c r="AG184" s="1060"/>
    </row>
    <row r="185" spans="1:33" s="944" customFormat="1" ht="57.75" customHeight="1">
      <c r="A185" s="706">
        <v>1222</v>
      </c>
      <c r="B185" s="947" t="s">
        <v>783</v>
      </c>
      <c r="C185" s="1080" t="s">
        <v>784</v>
      </c>
      <c r="D185" s="938"/>
      <c r="E185" s="706">
        <v>10</v>
      </c>
      <c r="F185" s="709">
        <v>43227</v>
      </c>
      <c r="G185" s="709">
        <f t="shared" si="50"/>
        <v>43237</v>
      </c>
      <c r="H185" s="938" t="s">
        <v>785</v>
      </c>
      <c r="I185" s="706" t="s">
        <v>170</v>
      </c>
      <c r="J185" s="708"/>
      <c r="K185" s="938" t="s">
        <v>776</v>
      </c>
      <c r="L185" s="1236">
        <v>23174</v>
      </c>
      <c r="M185" s="938"/>
      <c r="N185" s="938"/>
      <c r="O185" s="949">
        <v>1440</v>
      </c>
      <c r="P185" s="938">
        <v>1</v>
      </c>
      <c r="Q185" s="1101">
        <f t="shared" si="49"/>
        <v>1440</v>
      </c>
      <c r="R185" s="942">
        <v>1440</v>
      </c>
      <c r="S185" s="1039"/>
      <c r="T185" s="941"/>
      <c r="U185" s="949">
        <v>1440</v>
      </c>
      <c r="V185" s="938"/>
      <c r="W185" s="938"/>
      <c r="X185" s="1174"/>
      <c r="Y185" s="1159"/>
      <c r="Z185" s="1159"/>
      <c r="AA185" s="1159"/>
      <c r="AB185" s="1159"/>
      <c r="AC185" s="1161"/>
      <c r="AD185" s="1161"/>
      <c r="AE185" s="1161"/>
      <c r="AF185" s="1161"/>
      <c r="AG185" s="1060"/>
    </row>
    <row r="186" spans="1:33" s="944" customFormat="1" ht="57.75" customHeight="1">
      <c r="A186" s="706">
        <v>1222</v>
      </c>
      <c r="B186" s="947" t="s">
        <v>783</v>
      </c>
      <c r="C186" s="1080" t="s">
        <v>784</v>
      </c>
      <c r="D186" s="938"/>
      <c r="E186" s="706">
        <v>10</v>
      </c>
      <c r="F186" s="709">
        <v>43227</v>
      </c>
      <c r="G186" s="709">
        <f t="shared" si="50"/>
        <v>43237</v>
      </c>
      <c r="H186" s="938" t="s">
        <v>785</v>
      </c>
      <c r="I186" s="706" t="s">
        <v>170</v>
      </c>
      <c r="J186" s="708"/>
      <c r="K186" s="938" t="s">
        <v>778</v>
      </c>
      <c r="L186" s="1236">
        <v>23174</v>
      </c>
      <c r="M186" s="938"/>
      <c r="N186" s="938"/>
      <c r="O186" s="949">
        <v>5040</v>
      </c>
      <c r="P186" s="938">
        <v>1</v>
      </c>
      <c r="Q186" s="1101">
        <f t="shared" si="49"/>
        <v>5040</v>
      </c>
      <c r="R186" s="942">
        <v>5040</v>
      </c>
      <c r="S186" s="1039"/>
      <c r="T186" s="941"/>
      <c r="U186" s="949">
        <v>5040</v>
      </c>
      <c r="V186" s="938"/>
      <c r="W186" s="938"/>
      <c r="X186" s="1174"/>
      <c r="Y186" s="1159"/>
      <c r="Z186" s="1159"/>
      <c r="AA186" s="1159"/>
      <c r="AB186" s="1159"/>
      <c r="AC186" s="1161"/>
      <c r="AD186" s="1161"/>
      <c r="AE186" s="1161"/>
      <c r="AF186" s="1161"/>
      <c r="AG186" s="1060"/>
    </row>
    <row r="187" spans="1:33" s="944" customFormat="1" ht="57.75" customHeight="1">
      <c r="A187" s="706">
        <v>1222</v>
      </c>
      <c r="B187" s="947" t="s">
        <v>783</v>
      </c>
      <c r="C187" s="1080" t="s">
        <v>784</v>
      </c>
      <c r="D187" s="938"/>
      <c r="E187" s="706">
        <v>10</v>
      </c>
      <c r="F187" s="709">
        <v>43227</v>
      </c>
      <c r="G187" s="709">
        <f t="shared" si="50"/>
        <v>43237</v>
      </c>
      <c r="H187" s="938" t="s">
        <v>785</v>
      </c>
      <c r="I187" s="706" t="s">
        <v>170</v>
      </c>
      <c r="J187" s="708"/>
      <c r="K187" s="938" t="s">
        <v>779</v>
      </c>
      <c r="L187" s="1236">
        <v>23174</v>
      </c>
      <c r="M187" s="938"/>
      <c r="N187" s="938"/>
      <c r="O187" s="949">
        <v>173.33333333333334</v>
      </c>
      <c r="P187" s="938">
        <v>1</v>
      </c>
      <c r="Q187" s="1101">
        <f t="shared" si="49"/>
        <v>173.33333333333334</v>
      </c>
      <c r="R187" s="942">
        <v>173.33333333333334</v>
      </c>
      <c r="S187" s="1039"/>
      <c r="T187" s="941"/>
      <c r="U187" s="949">
        <v>173.33333333333334</v>
      </c>
      <c r="V187" s="938"/>
      <c r="W187" s="938"/>
      <c r="X187" s="1174"/>
      <c r="Y187" s="1159"/>
      <c r="Z187" s="1159"/>
      <c r="AA187" s="1159"/>
      <c r="AB187" s="1159"/>
      <c r="AC187" s="1161"/>
      <c r="AD187" s="1161"/>
      <c r="AE187" s="1161"/>
      <c r="AF187" s="1161"/>
      <c r="AG187" s="1060"/>
    </row>
    <row r="188" spans="1:33" s="944" customFormat="1" ht="57.75" customHeight="1">
      <c r="A188" s="706">
        <v>1222</v>
      </c>
      <c r="B188" s="947" t="s">
        <v>783</v>
      </c>
      <c r="C188" s="1080" t="s">
        <v>784</v>
      </c>
      <c r="D188" s="938"/>
      <c r="E188" s="706">
        <v>10</v>
      </c>
      <c r="F188" s="709">
        <v>43227</v>
      </c>
      <c r="G188" s="709">
        <f t="shared" si="50"/>
        <v>43237</v>
      </c>
      <c r="H188" s="938" t="s">
        <v>785</v>
      </c>
      <c r="I188" s="706" t="s">
        <v>170</v>
      </c>
      <c r="J188" s="708"/>
      <c r="K188" s="938" t="s">
        <v>780</v>
      </c>
      <c r="L188" s="1236">
        <v>23174</v>
      </c>
      <c r="M188" s="938"/>
      <c r="N188" s="938"/>
      <c r="O188" s="949">
        <v>816</v>
      </c>
      <c r="P188" s="938">
        <v>1</v>
      </c>
      <c r="Q188" s="1101">
        <f t="shared" si="49"/>
        <v>816</v>
      </c>
      <c r="R188" s="942">
        <v>816</v>
      </c>
      <c r="S188" s="1039"/>
      <c r="T188" s="941"/>
      <c r="U188" s="949">
        <v>816</v>
      </c>
      <c r="V188" s="938"/>
      <c r="W188" s="938"/>
      <c r="X188" s="1174"/>
      <c r="Y188" s="1159"/>
      <c r="Z188" s="1159"/>
      <c r="AA188" s="1159"/>
      <c r="AB188" s="1159"/>
      <c r="AC188" s="1161"/>
      <c r="AD188" s="1161"/>
      <c r="AE188" s="1161"/>
      <c r="AF188" s="1161"/>
      <c r="AG188" s="1060"/>
    </row>
    <row r="189" spans="1:33" s="944" customFormat="1" ht="57.75" customHeight="1">
      <c r="A189" s="706">
        <v>1222</v>
      </c>
      <c r="B189" s="947" t="s">
        <v>783</v>
      </c>
      <c r="C189" s="1080" t="s">
        <v>784</v>
      </c>
      <c r="D189" s="938"/>
      <c r="E189" s="706">
        <v>10</v>
      </c>
      <c r="F189" s="709">
        <v>43227</v>
      </c>
      <c r="G189" s="709">
        <f t="shared" si="50"/>
        <v>43237</v>
      </c>
      <c r="H189" s="938" t="s">
        <v>785</v>
      </c>
      <c r="I189" s="706" t="s">
        <v>170</v>
      </c>
      <c r="J189" s="708"/>
      <c r="K189" s="938" t="s">
        <v>781</v>
      </c>
      <c r="L189" s="1236">
        <v>23174</v>
      </c>
      <c r="M189" s="938"/>
      <c r="N189" s="938"/>
      <c r="O189" s="949">
        <v>1301.6666666666667</v>
      </c>
      <c r="P189" s="938">
        <v>1</v>
      </c>
      <c r="Q189" s="1101">
        <f t="shared" si="49"/>
        <v>1301.6666666666667</v>
      </c>
      <c r="R189" s="942">
        <v>1301.6666666666667</v>
      </c>
      <c r="S189" s="1039"/>
      <c r="T189" s="941"/>
      <c r="U189" s="949">
        <v>1301.6666666666667</v>
      </c>
      <c r="V189" s="938"/>
      <c r="W189" s="938"/>
      <c r="X189" s="1174"/>
      <c r="Y189" s="1159"/>
      <c r="Z189" s="1159"/>
      <c r="AA189" s="1159"/>
      <c r="AB189" s="1159"/>
      <c r="AC189" s="1161"/>
      <c r="AD189" s="1161"/>
      <c r="AE189" s="1161"/>
      <c r="AF189" s="1161"/>
      <c r="AG189" s="1060"/>
    </row>
    <row r="190" spans="1:33" s="944" customFormat="1" ht="57.75" customHeight="1">
      <c r="A190" s="706">
        <v>1222</v>
      </c>
      <c r="B190" s="947" t="s">
        <v>783</v>
      </c>
      <c r="C190" s="1080" t="s">
        <v>784</v>
      </c>
      <c r="D190" s="938"/>
      <c r="E190" s="706"/>
      <c r="F190" s="709"/>
      <c r="G190" s="709"/>
      <c r="H190" s="938" t="s">
        <v>785</v>
      </c>
      <c r="I190" s="706" t="s">
        <v>170</v>
      </c>
      <c r="J190" s="708"/>
      <c r="K190" s="1330" t="s">
        <v>782</v>
      </c>
      <c r="L190" s="1236">
        <v>23173</v>
      </c>
      <c r="M190" s="938"/>
      <c r="N190" s="938"/>
      <c r="O190" s="949">
        <v>74.332999999999998</v>
      </c>
      <c r="P190" s="938">
        <v>1</v>
      </c>
      <c r="Q190" s="1101">
        <f t="shared" si="49"/>
        <v>74.332999999999998</v>
      </c>
      <c r="R190" s="942">
        <v>74.332999999999998</v>
      </c>
      <c r="S190" s="1039"/>
      <c r="T190" s="941"/>
      <c r="U190" s="949">
        <v>74.332999999999998</v>
      </c>
      <c r="V190" s="938"/>
      <c r="W190" s="938"/>
      <c r="X190" s="1174"/>
      <c r="Y190" s="1159"/>
      <c r="Z190" s="1159"/>
      <c r="AA190" s="1159"/>
      <c r="AB190" s="1159"/>
      <c r="AC190" s="1161"/>
      <c r="AD190" s="1161"/>
      <c r="AE190" s="1161"/>
      <c r="AF190" s="1161"/>
      <c r="AG190" s="1060"/>
    </row>
    <row r="191" spans="1:33" s="944" customFormat="1" ht="57.75" customHeight="1">
      <c r="A191" s="706">
        <v>1222</v>
      </c>
      <c r="B191" s="947" t="s">
        <v>783</v>
      </c>
      <c r="C191" s="1080" t="s">
        <v>784</v>
      </c>
      <c r="D191" s="938"/>
      <c r="E191" s="706"/>
      <c r="F191" s="709"/>
      <c r="G191" s="706"/>
      <c r="H191" s="938" t="s">
        <v>785</v>
      </c>
      <c r="I191" s="706" t="s">
        <v>170</v>
      </c>
      <c r="J191" s="708"/>
      <c r="K191" s="938" t="s">
        <v>415</v>
      </c>
      <c r="L191" s="1236">
        <v>23173</v>
      </c>
      <c r="M191" s="938"/>
      <c r="N191" s="938"/>
      <c r="O191" s="949">
        <v>1666.6666666666667</v>
      </c>
      <c r="P191" s="938">
        <v>1</v>
      </c>
      <c r="Q191" s="1101">
        <f t="shared" si="49"/>
        <v>1666.6666666666667</v>
      </c>
      <c r="R191" s="942">
        <v>1666.6666666666667</v>
      </c>
      <c r="S191" s="1039"/>
      <c r="T191" s="941"/>
      <c r="U191" s="949">
        <v>1666.6666666666667</v>
      </c>
      <c r="V191" s="938"/>
      <c r="W191" s="938"/>
      <c r="X191" s="1174"/>
      <c r="Y191" s="1159"/>
      <c r="Z191" s="1159"/>
      <c r="AA191" s="1159"/>
      <c r="AB191" s="1159"/>
      <c r="AC191" s="1161"/>
      <c r="AD191" s="1161"/>
      <c r="AE191" s="1161"/>
      <c r="AF191" s="1161"/>
      <c r="AG191" s="1060"/>
    </row>
    <row r="192" spans="1:33" s="1041" customFormat="1" ht="57.75" customHeight="1">
      <c r="A192" s="1037">
        <v>1223</v>
      </c>
      <c r="B192" s="946" t="s">
        <v>786</v>
      </c>
      <c r="C192" s="1079" t="s">
        <v>787</v>
      </c>
      <c r="D192" s="1036"/>
      <c r="E192" s="1037">
        <v>10</v>
      </c>
      <c r="F192" s="1038">
        <v>43262</v>
      </c>
      <c r="G192" s="1038">
        <f>F192+E192</f>
        <v>43272</v>
      </c>
      <c r="H192" s="1036" t="s">
        <v>785</v>
      </c>
      <c r="I192" s="1037" t="s">
        <v>170</v>
      </c>
      <c r="J192" s="721"/>
      <c r="K192" s="1036"/>
      <c r="L192" s="1235"/>
      <c r="M192" s="1036"/>
      <c r="N192" s="1036"/>
      <c r="O192" s="1042"/>
      <c r="P192" s="1036"/>
      <c r="Q192" s="1100">
        <f>SUM(Q193:Q201)</f>
        <v>15757.999666666667</v>
      </c>
      <c r="R192" s="1040">
        <v>4956</v>
      </c>
      <c r="S192" s="1053">
        <f t="shared" ref="S192:AF192" si="51">SUM(S193:S201)</f>
        <v>0</v>
      </c>
      <c r="T192" s="1053">
        <f t="shared" si="51"/>
        <v>0</v>
      </c>
      <c r="U192" s="1053">
        <f t="shared" si="51"/>
        <v>15757.999666666667</v>
      </c>
      <c r="V192" s="1053">
        <f t="shared" si="51"/>
        <v>0</v>
      </c>
      <c r="W192" s="1053">
        <f t="shared" si="51"/>
        <v>0</v>
      </c>
      <c r="X192" s="1172">
        <f t="shared" si="51"/>
        <v>0</v>
      </c>
      <c r="Y192" s="1190">
        <f t="shared" si="51"/>
        <v>0</v>
      </c>
      <c r="Z192" s="1190">
        <f t="shared" si="51"/>
        <v>0</v>
      </c>
      <c r="AA192" s="1190">
        <f t="shared" si="51"/>
        <v>0</v>
      </c>
      <c r="AB192" s="1190">
        <f t="shared" si="51"/>
        <v>0</v>
      </c>
      <c r="AC192" s="1190">
        <f t="shared" si="51"/>
        <v>0</v>
      </c>
      <c r="AD192" s="1190">
        <f t="shared" si="51"/>
        <v>0</v>
      </c>
      <c r="AE192" s="1190">
        <f t="shared" si="51"/>
        <v>0</v>
      </c>
      <c r="AF192" s="1190">
        <f t="shared" si="51"/>
        <v>0</v>
      </c>
      <c r="AG192" s="1066">
        <f>SUM(S192:AF192)</f>
        <v>15757.999666666667</v>
      </c>
    </row>
    <row r="193" spans="1:33" s="1044" customFormat="1" ht="57.75" customHeight="1">
      <c r="A193" s="706">
        <v>1223</v>
      </c>
      <c r="B193" s="947" t="s">
        <v>786</v>
      </c>
      <c r="C193" s="1080" t="s">
        <v>787</v>
      </c>
      <c r="D193" s="938"/>
      <c r="E193" s="706">
        <v>10</v>
      </c>
      <c r="F193" s="709">
        <v>43262</v>
      </c>
      <c r="G193" s="709">
        <f>F193+E193</f>
        <v>43272</v>
      </c>
      <c r="H193" s="938" t="s">
        <v>785</v>
      </c>
      <c r="I193" s="706" t="s">
        <v>170</v>
      </c>
      <c r="J193" s="708"/>
      <c r="K193" s="938" t="s">
        <v>775</v>
      </c>
      <c r="L193" s="1236">
        <v>23174</v>
      </c>
      <c r="M193" s="938"/>
      <c r="N193" s="938"/>
      <c r="O193" s="949">
        <v>4956</v>
      </c>
      <c r="P193" s="938">
        <v>1</v>
      </c>
      <c r="Q193" s="1101">
        <f t="shared" ref="Q193:Q201" si="52">O193*P193</f>
        <v>4956</v>
      </c>
      <c r="R193" s="1043">
        <v>4956</v>
      </c>
      <c r="S193" s="941"/>
      <c r="T193" s="941"/>
      <c r="U193" s="1103">
        <v>4956</v>
      </c>
      <c r="V193" s="938"/>
      <c r="W193" s="938"/>
      <c r="X193" s="1174"/>
      <c r="Y193" s="1159"/>
      <c r="Z193" s="1159"/>
      <c r="AA193" s="1159"/>
      <c r="AB193" s="1159"/>
      <c r="AC193" s="1160"/>
      <c r="AD193" s="1160"/>
      <c r="AE193" s="1160"/>
      <c r="AF193" s="1160"/>
      <c r="AG193" s="1060"/>
    </row>
    <row r="194" spans="1:33" s="944" customFormat="1" ht="57.75" customHeight="1">
      <c r="A194" s="706">
        <v>1223</v>
      </c>
      <c r="B194" s="947" t="s">
        <v>786</v>
      </c>
      <c r="C194" s="1080" t="s">
        <v>787</v>
      </c>
      <c r="D194" s="938"/>
      <c r="E194" s="706">
        <v>10</v>
      </c>
      <c r="F194" s="709">
        <v>43262</v>
      </c>
      <c r="G194" s="709">
        <f t="shared" ref="G194:G199" si="53">F194+E194</f>
        <v>43272</v>
      </c>
      <c r="H194" s="938" t="s">
        <v>785</v>
      </c>
      <c r="I194" s="706" t="s">
        <v>170</v>
      </c>
      <c r="J194" s="708"/>
      <c r="K194" s="938" t="s">
        <v>777</v>
      </c>
      <c r="L194" s="1236">
        <v>23174</v>
      </c>
      <c r="M194" s="938"/>
      <c r="N194" s="938"/>
      <c r="O194" s="949">
        <v>290</v>
      </c>
      <c r="P194" s="938">
        <v>1</v>
      </c>
      <c r="Q194" s="1101">
        <f t="shared" si="52"/>
        <v>290</v>
      </c>
      <c r="R194" s="942">
        <v>290</v>
      </c>
      <c r="S194" s="1039"/>
      <c r="T194" s="941"/>
      <c r="U194" s="1103">
        <v>290</v>
      </c>
      <c r="V194" s="938"/>
      <c r="W194" s="938"/>
      <c r="X194" s="1174"/>
      <c r="Y194" s="1159"/>
      <c r="Z194" s="1159"/>
      <c r="AA194" s="1159"/>
      <c r="AB194" s="1159"/>
      <c r="AC194" s="1161"/>
      <c r="AD194" s="1161"/>
      <c r="AE194" s="1161"/>
      <c r="AF194" s="1161"/>
      <c r="AG194" s="1060"/>
    </row>
    <row r="195" spans="1:33" s="944" customFormat="1" ht="57.75" customHeight="1">
      <c r="A195" s="706">
        <v>1223</v>
      </c>
      <c r="B195" s="947" t="s">
        <v>786</v>
      </c>
      <c r="C195" s="1080" t="s">
        <v>787</v>
      </c>
      <c r="D195" s="938"/>
      <c r="E195" s="706">
        <v>10</v>
      </c>
      <c r="F195" s="709">
        <v>43262</v>
      </c>
      <c r="G195" s="709">
        <f t="shared" si="53"/>
        <v>43272</v>
      </c>
      <c r="H195" s="938" t="s">
        <v>785</v>
      </c>
      <c r="I195" s="706" t="s">
        <v>170</v>
      </c>
      <c r="J195" s="708"/>
      <c r="K195" s="938" t="s">
        <v>776</v>
      </c>
      <c r="L195" s="1236">
        <v>23174</v>
      </c>
      <c r="M195" s="938"/>
      <c r="N195" s="938"/>
      <c r="O195" s="949">
        <v>1440</v>
      </c>
      <c r="P195" s="938">
        <v>1</v>
      </c>
      <c r="Q195" s="1101">
        <f t="shared" si="52"/>
        <v>1440</v>
      </c>
      <c r="R195" s="942">
        <v>1440</v>
      </c>
      <c r="S195" s="1039"/>
      <c r="T195" s="941"/>
      <c r="U195" s="1103">
        <v>1440</v>
      </c>
      <c r="V195" s="938"/>
      <c r="W195" s="938"/>
      <c r="X195" s="1174"/>
      <c r="Y195" s="1159"/>
      <c r="Z195" s="1159"/>
      <c r="AA195" s="1159"/>
      <c r="AB195" s="1159"/>
      <c r="AC195" s="1161"/>
      <c r="AD195" s="1161"/>
      <c r="AE195" s="1161"/>
      <c r="AF195" s="1161"/>
      <c r="AG195" s="1060"/>
    </row>
    <row r="196" spans="1:33" s="944" customFormat="1" ht="57.75" customHeight="1">
      <c r="A196" s="706">
        <v>1223</v>
      </c>
      <c r="B196" s="947" t="s">
        <v>786</v>
      </c>
      <c r="C196" s="1080" t="s">
        <v>787</v>
      </c>
      <c r="D196" s="938"/>
      <c r="E196" s="706">
        <v>10</v>
      </c>
      <c r="F196" s="709">
        <v>43262</v>
      </c>
      <c r="G196" s="709">
        <f t="shared" si="53"/>
        <v>43272</v>
      </c>
      <c r="H196" s="938" t="s">
        <v>785</v>
      </c>
      <c r="I196" s="706" t="s">
        <v>170</v>
      </c>
      <c r="J196" s="708"/>
      <c r="K196" s="938" t="s">
        <v>778</v>
      </c>
      <c r="L196" s="1236">
        <v>23174</v>
      </c>
      <c r="M196" s="938"/>
      <c r="N196" s="938"/>
      <c r="O196" s="949">
        <v>5040</v>
      </c>
      <c r="P196" s="938">
        <v>1</v>
      </c>
      <c r="Q196" s="1101">
        <f t="shared" si="52"/>
        <v>5040</v>
      </c>
      <c r="R196" s="942">
        <v>5040</v>
      </c>
      <c r="S196" s="1039"/>
      <c r="T196" s="941"/>
      <c r="U196" s="1103">
        <v>5040</v>
      </c>
      <c r="V196" s="938"/>
      <c r="W196" s="938"/>
      <c r="X196" s="1174"/>
      <c r="Y196" s="1159"/>
      <c r="Z196" s="1159"/>
      <c r="AA196" s="1159"/>
      <c r="AB196" s="1159"/>
      <c r="AC196" s="1161"/>
      <c r="AD196" s="1161"/>
      <c r="AE196" s="1161"/>
      <c r="AF196" s="1161"/>
      <c r="AG196" s="1060"/>
    </row>
    <row r="197" spans="1:33" s="944" customFormat="1" ht="57.75" customHeight="1">
      <c r="A197" s="706">
        <v>1223</v>
      </c>
      <c r="B197" s="947" t="s">
        <v>786</v>
      </c>
      <c r="C197" s="1080" t="s">
        <v>787</v>
      </c>
      <c r="D197" s="938"/>
      <c r="E197" s="706">
        <v>10</v>
      </c>
      <c r="F197" s="709">
        <v>43262</v>
      </c>
      <c r="G197" s="709">
        <f t="shared" si="53"/>
        <v>43272</v>
      </c>
      <c r="H197" s="938" t="s">
        <v>785</v>
      </c>
      <c r="I197" s="706" t="s">
        <v>170</v>
      </c>
      <c r="J197" s="708"/>
      <c r="K197" s="938" t="s">
        <v>779</v>
      </c>
      <c r="L197" s="1236">
        <v>23174</v>
      </c>
      <c r="M197" s="938"/>
      <c r="N197" s="938"/>
      <c r="O197" s="949">
        <v>173.33333333333334</v>
      </c>
      <c r="P197" s="938">
        <v>1</v>
      </c>
      <c r="Q197" s="1101">
        <f t="shared" si="52"/>
        <v>173.33333333333334</v>
      </c>
      <c r="R197" s="942">
        <v>173.33333333333334</v>
      </c>
      <c r="S197" s="1039"/>
      <c r="T197" s="941"/>
      <c r="U197" s="1103">
        <v>173.33333333333334</v>
      </c>
      <c r="V197" s="938"/>
      <c r="W197" s="938"/>
      <c r="X197" s="1174"/>
      <c r="Y197" s="1159"/>
      <c r="Z197" s="1159"/>
      <c r="AA197" s="1159"/>
      <c r="AB197" s="1159"/>
      <c r="AC197" s="1161"/>
      <c r="AD197" s="1161"/>
      <c r="AE197" s="1161"/>
      <c r="AF197" s="1161"/>
      <c r="AG197" s="1060"/>
    </row>
    <row r="198" spans="1:33" s="944" customFormat="1" ht="57.75" customHeight="1">
      <c r="A198" s="706">
        <v>1223</v>
      </c>
      <c r="B198" s="947" t="s">
        <v>786</v>
      </c>
      <c r="C198" s="1080" t="s">
        <v>787</v>
      </c>
      <c r="D198" s="938"/>
      <c r="E198" s="706">
        <v>10</v>
      </c>
      <c r="F198" s="709">
        <v>43262</v>
      </c>
      <c r="G198" s="709">
        <f t="shared" si="53"/>
        <v>43272</v>
      </c>
      <c r="H198" s="938" t="s">
        <v>785</v>
      </c>
      <c r="I198" s="706" t="s">
        <v>170</v>
      </c>
      <c r="J198" s="708"/>
      <c r="K198" s="938" t="s">
        <v>780</v>
      </c>
      <c r="L198" s="1236">
        <v>23174</v>
      </c>
      <c r="M198" s="938"/>
      <c r="N198" s="938"/>
      <c r="O198" s="949">
        <v>816</v>
      </c>
      <c r="P198" s="938">
        <v>1</v>
      </c>
      <c r="Q198" s="1101">
        <f t="shared" si="52"/>
        <v>816</v>
      </c>
      <c r="R198" s="942">
        <v>816</v>
      </c>
      <c r="S198" s="1039"/>
      <c r="T198" s="941"/>
      <c r="U198" s="1103">
        <v>816</v>
      </c>
      <c r="V198" s="938"/>
      <c r="W198" s="938"/>
      <c r="X198" s="1174"/>
      <c r="Y198" s="1159"/>
      <c r="Z198" s="1159"/>
      <c r="AA198" s="1159"/>
      <c r="AB198" s="1159"/>
      <c r="AC198" s="1161"/>
      <c r="AD198" s="1161"/>
      <c r="AE198" s="1161"/>
      <c r="AF198" s="1161"/>
      <c r="AG198" s="1060"/>
    </row>
    <row r="199" spans="1:33" s="944" customFormat="1" ht="57.75" customHeight="1">
      <c r="A199" s="706">
        <v>1223</v>
      </c>
      <c r="B199" s="947" t="s">
        <v>786</v>
      </c>
      <c r="C199" s="1080" t="s">
        <v>787</v>
      </c>
      <c r="D199" s="938"/>
      <c r="E199" s="706">
        <v>10</v>
      </c>
      <c r="F199" s="709">
        <v>43262</v>
      </c>
      <c r="G199" s="709">
        <f t="shared" si="53"/>
        <v>43272</v>
      </c>
      <c r="H199" s="938" t="s">
        <v>785</v>
      </c>
      <c r="I199" s="706" t="s">
        <v>170</v>
      </c>
      <c r="J199" s="708"/>
      <c r="K199" s="938" t="s">
        <v>781</v>
      </c>
      <c r="L199" s="1236">
        <v>23174</v>
      </c>
      <c r="M199" s="938"/>
      <c r="N199" s="938"/>
      <c r="O199" s="949">
        <v>1301.6666666666667</v>
      </c>
      <c r="P199" s="938">
        <v>1</v>
      </c>
      <c r="Q199" s="1101">
        <f t="shared" si="52"/>
        <v>1301.6666666666667</v>
      </c>
      <c r="R199" s="942">
        <v>1301.6666666666667</v>
      </c>
      <c r="S199" s="1039"/>
      <c r="T199" s="941"/>
      <c r="U199" s="1103">
        <v>1301.6666666666667</v>
      </c>
      <c r="V199" s="938"/>
      <c r="W199" s="938"/>
      <c r="X199" s="1174"/>
      <c r="Y199" s="1159"/>
      <c r="Z199" s="1159"/>
      <c r="AA199" s="1159"/>
      <c r="AB199" s="1159"/>
      <c r="AC199" s="1161"/>
      <c r="AD199" s="1161"/>
      <c r="AE199" s="1161"/>
      <c r="AF199" s="1161"/>
      <c r="AG199" s="1060"/>
    </row>
    <row r="200" spans="1:33" s="944" customFormat="1" ht="57.75" customHeight="1">
      <c r="A200" s="706">
        <v>1223</v>
      </c>
      <c r="B200" s="947" t="s">
        <v>786</v>
      </c>
      <c r="C200" s="1080" t="s">
        <v>787</v>
      </c>
      <c r="D200" s="938"/>
      <c r="E200" s="706"/>
      <c r="F200" s="709"/>
      <c r="G200" s="709"/>
      <c r="H200" s="938" t="s">
        <v>785</v>
      </c>
      <c r="I200" s="706" t="s">
        <v>170</v>
      </c>
      <c r="J200" s="708"/>
      <c r="K200" s="1330" t="s">
        <v>782</v>
      </c>
      <c r="L200" s="1236">
        <v>23173</v>
      </c>
      <c r="M200" s="938"/>
      <c r="N200" s="938"/>
      <c r="O200" s="949">
        <v>74.332999999999998</v>
      </c>
      <c r="P200" s="938">
        <v>1</v>
      </c>
      <c r="Q200" s="1101">
        <f t="shared" si="52"/>
        <v>74.332999999999998</v>
      </c>
      <c r="R200" s="942">
        <v>74.332999999999998</v>
      </c>
      <c r="S200" s="1039"/>
      <c r="T200" s="941"/>
      <c r="U200" s="1103">
        <v>74.332999999999998</v>
      </c>
      <c r="V200" s="938"/>
      <c r="W200" s="938"/>
      <c r="X200" s="1174"/>
      <c r="Y200" s="1159"/>
      <c r="Z200" s="1159"/>
      <c r="AA200" s="1159"/>
      <c r="AB200" s="1159"/>
      <c r="AC200" s="1161"/>
      <c r="AD200" s="1161"/>
      <c r="AE200" s="1161"/>
      <c r="AF200" s="1161"/>
      <c r="AG200" s="1060"/>
    </row>
    <row r="201" spans="1:33" s="944" customFormat="1" ht="57.75" customHeight="1">
      <c r="A201" s="706">
        <v>1223</v>
      </c>
      <c r="B201" s="947" t="s">
        <v>786</v>
      </c>
      <c r="C201" s="1080" t="s">
        <v>787</v>
      </c>
      <c r="D201" s="938"/>
      <c r="E201" s="706"/>
      <c r="F201" s="709"/>
      <c r="G201" s="709"/>
      <c r="H201" s="938" t="s">
        <v>785</v>
      </c>
      <c r="I201" s="706" t="s">
        <v>170</v>
      </c>
      <c r="J201" s="708"/>
      <c r="K201" s="938" t="s">
        <v>415</v>
      </c>
      <c r="L201" s="1236">
        <v>23173</v>
      </c>
      <c r="M201" s="938"/>
      <c r="N201" s="938"/>
      <c r="O201" s="949">
        <v>1666.6666666666667</v>
      </c>
      <c r="P201" s="938">
        <v>1</v>
      </c>
      <c r="Q201" s="1101">
        <f t="shared" si="52"/>
        <v>1666.6666666666667</v>
      </c>
      <c r="R201" s="942">
        <v>1666.6666666666667</v>
      </c>
      <c r="S201" s="1039"/>
      <c r="T201" s="941"/>
      <c r="U201" s="1103">
        <v>1666.6666666666667</v>
      </c>
      <c r="V201" s="938"/>
      <c r="W201" s="938"/>
      <c r="X201" s="1174"/>
      <c r="Y201" s="1159"/>
      <c r="Z201" s="1159"/>
      <c r="AA201" s="1159"/>
      <c r="AB201" s="1159"/>
      <c r="AC201" s="1161"/>
      <c r="AD201" s="1161"/>
      <c r="AE201" s="1161"/>
      <c r="AF201" s="1161"/>
      <c r="AG201" s="1060"/>
    </row>
    <row r="202" spans="1:33" s="1041" customFormat="1" ht="57.75" customHeight="1">
      <c r="A202" s="1037">
        <v>1224</v>
      </c>
      <c r="B202" s="946" t="s">
        <v>788</v>
      </c>
      <c r="C202" s="1077" t="s">
        <v>789</v>
      </c>
      <c r="D202" s="1036"/>
      <c r="E202" s="1037">
        <v>1</v>
      </c>
      <c r="F202" s="1038">
        <v>43279</v>
      </c>
      <c r="G202" s="1038">
        <f>F202+E202-1</f>
        <v>43279</v>
      </c>
      <c r="H202" s="1036" t="s">
        <v>790</v>
      </c>
      <c r="I202" s="1037" t="s">
        <v>170</v>
      </c>
      <c r="J202" s="721"/>
      <c r="K202" s="1036"/>
      <c r="L202" s="1235"/>
      <c r="M202" s="1036"/>
      <c r="N202" s="1036"/>
      <c r="O202" s="1042"/>
      <c r="P202" s="1036"/>
      <c r="Q202" s="1100">
        <f>SUM(Q203:Q205)</f>
        <v>1216</v>
      </c>
      <c r="R202" s="1040">
        <v>666.66666666666663</v>
      </c>
      <c r="S202" s="1053">
        <f t="shared" ref="S202:AF202" si="54">SUM(S203:S205)</f>
        <v>0</v>
      </c>
      <c r="T202" s="1053">
        <f t="shared" si="54"/>
        <v>0</v>
      </c>
      <c r="U202" s="1053">
        <f t="shared" si="54"/>
        <v>1216</v>
      </c>
      <c r="V202" s="1053">
        <f t="shared" si="54"/>
        <v>0</v>
      </c>
      <c r="W202" s="1053">
        <f t="shared" si="54"/>
        <v>0</v>
      </c>
      <c r="X202" s="1172">
        <f t="shared" si="54"/>
        <v>0</v>
      </c>
      <c r="Y202" s="1190">
        <f t="shared" si="54"/>
        <v>0</v>
      </c>
      <c r="Z202" s="1190">
        <f t="shared" si="54"/>
        <v>0</v>
      </c>
      <c r="AA202" s="1190">
        <f t="shared" si="54"/>
        <v>0</v>
      </c>
      <c r="AB202" s="1190">
        <f t="shared" si="54"/>
        <v>0</v>
      </c>
      <c r="AC202" s="1190">
        <f t="shared" si="54"/>
        <v>0</v>
      </c>
      <c r="AD202" s="1190">
        <f t="shared" si="54"/>
        <v>0</v>
      </c>
      <c r="AE202" s="1190">
        <f t="shared" si="54"/>
        <v>0</v>
      </c>
      <c r="AF202" s="1190">
        <f t="shared" si="54"/>
        <v>0</v>
      </c>
      <c r="AG202" s="1066">
        <f>SUM(S202:AF202)</f>
        <v>1216</v>
      </c>
    </row>
    <row r="203" spans="1:33" s="1044" customFormat="1" ht="57.75" customHeight="1">
      <c r="A203" s="706">
        <v>1224</v>
      </c>
      <c r="B203" s="947" t="s">
        <v>788</v>
      </c>
      <c r="C203" s="1078" t="s">
        <v>789</v>
      </c>
      <c r="D203" s="938"/>
      <c r="E203" s="706">
        <v>1</v>
      </c>
      <c r="F203" s="709">
        <v>43279</v>
      </c>
      <c r="G203" s="709">
        <f>F203+E203-1</f>
        <v>43279</v>
      </c>
      <c r="H203" s="938" t="s">
        <v>790</v>
      </c>
      <c r="I203" s="706" t="s">
        <v>170</v>
      </c>
      <c r="J203" s="708"/>
      <c r="K203" s="938" t="s">
        <v>670</v>
      </c>
      <c r="L203" s="1236">
        <v>23173</v>
      </c>
      <c r="M203" s="938"/>
      <c r="N203" s="938"/>
      <c r="O203" s="949">
        <v>666.66666666666663</v>
      </c>
      <c r="P203" s="938">
        <v>1</v>
      </c>
      <c r="Q203" s="1101">
        <f>O203*P203</f>
        <v>666.66666666666663</v>
      </c>
      <c r="R203" s="1043">
        <v>666.66666666666663</v>
      </c>
      <c r="S203" s="941"/>
      <c r="T203" s="940"/>
      <c r="U203" s="1103">
        <v>666.66666666666663</v>
      </c>
      <c r="V203" s="938"/>
      <c r="W203" s="938"/>
      <c r="X203" s="1174"/>
      <c r="Y203" s="1159"/>
      <c r="Z203" s="1159"/>
      <c r="AA203" s="1159"/>
      <c r="AB203" s="1159"/>
      <c r="AC203" s="1160"/>
      <c r="AD203" s="1160"/>
      <c r="AE203" s="1160"/>
      <c r="AF203" s="1160"/>
      <c r="AG203" s="1060"/>
    </row>
    <row r="204" spans="1:33" s="944" customFormat="1" ht="57.75" customHeight="1">
      <c r="A204" s="706">
        <v>1224</v>
      </c>
      <c r="B204" s="947" t="s">
        <v>788</v>
      </c>
      <c r="C204" s="1078" t="s">
        <v>789</v>
      </c>
      <c r="D204" s="938"/>
      <c r="E204" s="706">
        <v>1</v>
      </c>
      <c r="F204" s="709">
        <v>43279</v>
      </c>
      <c r="G204" s="709">
        <f>F204+E204-1</f>
        <v>43279</v>
      </c>
      <c r="H204" s="938" t="s">
        <v>790</v>
      </c>
      <c r="I204" s="706" t="s">
        <v>170</v>
      </c>
      <c r="J204" s="708"/>
      <c r="K204" s="938" t="s">
        <v>415</v>
      </c>
      <c r="L204" s="1236">
        <v>23173</v>
      </c>
      <c r="M204" s="938"/>
      <c r="N204" s="938"/>
      <c r="O204" s="949">
        <v>333.33333333333331</v>
      </c>
      <c r="P204" s="938">
        <v>1</v>
      </c>
      <c r="Q204" s="1101">
        <f>O204*P204</f>
        <v>333.33333333333331</v>
      </c>
      <c r="R204" s="942">
        <v>333.33333333333331</v>
      </c>
      <c r="S204" s="1039"/>
      <c r="T204" s="941"/>
      <c r="U204" s="1103">
        <v>333.33333333333331</v>
      </c>
      <c r="V204" s="938"/>
      <c r="W204" s="938"/>
      <c r="X204" s="1174"/>
      <c r="Y204" s="1159"/>
      <c r="Z204" s="1159"/>
      <c r="AA204" s="1159"/>
      <c r="AB204" s="1159"/>
      <c r="AC204" s="1161"/>
      <c r="AD204" s="1161"/>
      <c r="AE204" s="1161"/>
      <c r="AF204" s="1161"/>
      <c r="AG204" s="1060"/>
    </row>
    <row r="205" spans="1:33" s="944" customFormat="1" ht="57.75" customHeight="1">
      <c r="A205" s="706">
        <v>1224</v>
      </c>
      <c r="B205" s="947" t="s">
        <v>788</v>
      </c>
      <c r="C205" s="1078" t="s">
        <v>789</v>
      </c>
      <c r="D205" s="938"/>
      <c r="E205" s="706">
        <v>1</v>
      </c>
      <c r="F205" s="709">
        <v>43279</v>
      </c>
      <c r="G205" s="709">
        <f>F205+E205-1</f>
        <v>43279</v>
      </c>
      <c r="H205" s="938" t="s">
        <v>790</v>
      </c>
      <c r="I205" s="706" t="s">
        <v>170</v>
      </c>
      <c r="J205" s="708"/>
      <c r="K205" s="938" t="s">
        <v>638</v>
      </c>
      <c r="L205" s="1236">
        <v>23173</v>
      </c>
      <c r="M205" s="938"/>
      <c r="N205" s="938"/>
      <c r="O205" s="949">
        <v>216</v>
      </c>
      <c r="P205" s="938">
        <v>1</v>
      </c>
      <c r="Q205" s="1101">
        <f>O205*P205</f>
        <v>216</v>
      </c>
      <c r="R205" s="942">
        <v>216</v>
      </c>
      <c r="S205" s="1039"/>
      <c r="T205" s="941"/>
      <c r="U205" s="1103">
        <v>216</v>
      </c>
      <c r="V205" s="938"/>
      <c r="W205" s="938"/>
      <c r="X205" s="1174"/>
      <c r="Y205" s="1159"/>
      <c r="Z205" s="1159"/>
      <c r="AA205" s="1159"/>
      <c r="AB205" s="1159"/>
      <c r="AC205" s="1161"/>
      <c r="AD205" s="1161"/>
      <c r="AE205" s="1161"/>
      <c r="AF205" s="1161"/>
      <c r="AG205" s="1060"/>
    </row>
    <row r="206" spans="1:33" s="1041" customFormat="1" ht="57.75" customHeight="1">
      <c r="A206" s="1037">
        <v>1225</v>
      </c>
      <c r="B206" s="946" t="s">
        <v>791</v>
      </c>
      <c r="C206" s="1077" t="s">
        <v>792</v>
      </c>
      <c r="D206" s="1036"/>
      <c r="E206" s="1037"/>
      <c r="F206" s="1038">
        <v>43283</v>
      </c>
      <c r="G206" s="1037"/>
      <c r="H206" s="1036" t="s">
        <v>793</v>
      </c>
      <c r="I206" s="1037" t="s">
        <v>170</v>
      </c>
      <c r="J206" s="721"/>
      <c r="K206" s="1036" t="s">
        <v>794</v>
      </c>
      <c r="L206" s="1235">
        <v>23173</v>
      </c>
      <c r="M206" s="1036"/>
      <c r="N206" s="1036"/>
      <c r="O206" s="1042">
        <v>12705</v>
      </c>
      <c r="P206" s="1036">
        <v>1</v>
      </c>
      <c r="Q206" s="1100">
        <f>O206*P206</f>
        <v>12705</v>
      </c>
      <c r="R206" s="1040">
        <v>12705</v>
      </c>
      <c r="S206" s="1053"/>
      <c r="T206" s="1053"/>
      <c r="U206" s="1053"/>
      <c r="V206" s="1053">
        <v>12705</v>
      </c>
      <c r="W206" s="1053"/>
      <c r="X206" s="1172"/>
      <c r="Y206" s="1190"/>
      <c r="Z206" s="1190"/>
      <c r="AA206" s="1190"/>
      <c r="AB206" s="1190"/>
      <c r="AC206" s="1190"/>
      <c r="AD206" s="1190"/>
      <c r="AE206" s="1190"/>
      <c r="AF206" s="1190"/>
      <c r="AG206" s="1066">
        <f>SUM(S206:AF206)</f>
        <v>12705</v>
      </c>
    </row>
    <row r="207" spans="1:33" s="1041" customFormat="1" ht="57.75" customHeight="1">
      <c r="A207" s="1037">
        <v>1226</v>
      </c>
      <c r="B207" s="946" t="s">
        <v>795</v>
      </c>
      <c r="C207" s="1077" t="s">
        <v>796</v>
      </c>
      <c r="D207" s="1036"/>
      <c r="E207" s="1037">
        <v>5</v>
      </c>
      <c r="F207" s="1038">
        <v>43297</v>
      </c>
      <c r="G207" s="1038">
        <f>F207+E207</f>
        <v>43302</v>
      </c>
      <c r="H207" s="1036" t="s">
        <v>785</v>
      </c>
      <c r="I207" s="1037" t="s">
        <v>170</v>
      </c>
      <c r="J207" s="721"/>
      <c r="K207" s="1036"/>
      <c r="L207" s="1235"/>
      <c r="M207" s="1036"/>
      <c r="N207" s="1036"/>
      <c r="O207" s="1042"/>
      <c r="P207" s="1036"/>
      <c r="Q207" s="1100">
        <f>SUM(Q208:Q216)</f>
        <v>5745.1666666666661</v>
      </c>
      <c r="R207" s="1040">
        <v>1680</v>
      </c>
      <c r="S207" s="1053">
        <f t="shared" ref="S207:AF207" si="55">SUM(S208:S216)</f>
        <v>0</v>
      </c>
      <c r="T207" s="1053">
        <f t="shared" si="55"/>
        <v>0</v>
      </c>
      <c r="U207" s="1053">
        <f t="shared" si="55"/>
        <v>0</v>
      </c>
      <c r="V207" s="1053">
        <f t="shared" si="55"/>
        <v>5745.1666666666661</v>
      </c>
      <c r="W207" s="1053">
        <f t="shared" si="55"/>
        <v>0</v>
      </c>
      <c r="X207" s="1172">
        <f t="shared" si="55"/>
        <v>0</v>
      </c>
      <c r="Y207" s="1190">
        <f t="shared" si="55"/>
        <v>0</v>
      </c>
      <c r="Z207" s="1190">
        <f t="shared" si="55"/>
        <v>0</v>
      </c>
      <c r="AA207" s="1190">
        <f t="shared" si="55"/>
        <v>0</v>
      </c>
      <c r="AB207" s="1190">
        <f t="shared" si="55"/>
        <v>0</v>
      </c>
      <c r="AC207" s="1190">
        <f t="shared" si="55"/>
        <v>0</v>
      </c>
      <c r="AD207" s="1190">
        <f t="shared" si="55"/>
        <v>0</v>
      </c>
      <c r="AE207" s="1190">
        <f t="shared" si="55"/>
        <v>0</v>
      </c>
      <c r="AF207" s="1190">
        <f t="shared" si="55"/>
        <v>0</v>
      </c>
      <c r="AG207" s="1066">
        <f>SUM(S207:AF207)</f>
        <v>5745.1666666666661</v>
      </c>
    </row>
    <row r="208" spans="1:33" s="1044" customFormat="1" ht="57.75" customHeight="1">
      <c r="A208" s="706">
        <v>1226</v>
      </c>
      <c r="B208" s="947" t="s">
        <v>795</v>
      </c>
      <c r="C208" s="1078" t="s">
        <v>796</v>
      </c>
      <c r="D208" s="938"/>
      <c r="E208" s="706">
        <v>5</v>
      </c>
      <c r="F208" s="709">
        <v>43297</v>
      </c>
      <c r="G208" s="709">
        <f>F208+E208</f>
        <v>43302</v>
      </c>
      <c r="H208" s="938" t="s">
        <v>785</v>
      </c>
      <c r="I208" s="706" t="s">
        <v>170</v>
      </c>
      <c r="J208" s="708"/>
      <c r="K208" s="938" t="s">
        <v>797</v>
      </c>
      <c r="L208" s="1236">
        <v>23174</v>
      </c>
      <c r="M208" s="938"/>
      <c r="N208" s="938"/>
      <c r="O208" s="949">
        <v>1680</v>
      </c>
      <c r="P208" s="938">
        <v>1</v>
      </c>
      <c r="Q208" s="1101">
        <f t="shared" ref="Q208:Q216" si="56">O208*P208</f>
        <v>1680</v>
      </c>
      <c r="R208" s="1043">
        <v>1680</v>
      </c>
      <c r="S208" s="941"/>
      <c r="T208" s="941"/>
      <c r="U208" s="940"/>
      <c r="V208" s="949">
        <v>1680</v>
      </c>
      <c r="W208" s="938"/>
      <c r="X208" s="1174"/>
      <c r="Y208" s="1159"/>
      <c r="Z208" s="1159"/>
      <c r="AA208" s="1159"/>
      <c r="AB208" s="1159"/>
      <c r="AC208" s="1160"/>
      <c r="AD208" s="1160"/>
      <c r="AE208" s="1160"/>
      <c r="AF208" s="1160"/>
      <c r="AG208" s="1060"/>
    </row>
    <row r="209" spans="1:33" s="944" customFormat="1" ht="57.75" customHeight="1">
      <c r="A209" s="706">
        <v>1226</v>
      </c>
      <c r="B209" s="947" t="s">
        <v>795</v>
      </c>
      <c r="C209" s="1078" t="s">
        <v>796</v>
      </c>
      <c r="D209" s="938"/>
      <c r="E209" s="706">
        <v>5</v>
      </c>
      <c r="F209" s="709">
        <v>43297</v>
      </c>
      <c r="G209" s="709">
        <f t="shared" ref="G209:G214" si="57">F209+E209</f>
        <v>43302</v>
      </c>
      <c r="H209" s="938" t="s">
        <v>785</v>
      </c>
      <c r="I209" s="706" t="s">
        <v>170</v>
      </c>
      <c r="J209" s="708"/>
      <c r="K209" s="938" t="s">
        <v>798</v>
      </c>
      <c r="L209" s="1236">
        <v>23174</v>
      </c>
      <c r="M209" s="938"/>
      <c r="N209" s="938"/>
      <c r="O209" s="949">
        <v>900</v>
      </c>
      <c r="P209" s="938">
        <v>1</v>
      </c>
      <c r="Q209" s="1101">
        <f t="shared" si="56"/>
        <v>900</v>
      </c>
      <c r="R209" s="942">
        <v>900</v>
      </c>
      <c r="S209" s="1039"/>
      <c r="T209" s="941"/>
      <c r="U209" s="940"/>
      <c r="V209" s="949">
        <v>900</v>
      </c>
      <c r="W209" s="938"/>
      <c r="X209" s="1174"/>
      <c r="Y209" s="1159"/>
      <c r="Z209" s="1159"/>
      <c r="AA209" s="1159"/>
      <c r="AB209" s="1159"/>
      <c r="AC209" s="1161"/>
      <c r="AD209" s="1161"/>
      <c r="AE209" s="1161"/>
      <c r="AF209" s="1161"/>
      <c r="AG209" s="1060"/>
    </row>
    <row r="210" spans="1:33" s="944" customFormat="1" ht="57.75" customHeight="1">
      <c r="A210" s="706">
        <v>1226</v>
      </c>
      <c r="B210" s="947" t="s">
        <v>795</v>
      </c>
      <c r="C210" s="1078" t="s">
        <v>796</v>
      </c>
      <c r="D210" s="938"/>
      <c r="E210" s="706">
        <v>5</v>
      </c>
      <c r="F210" s="709">
        <v>43297</v>
      </c>
      <c r="G210" s="709">
        <f t="shared" si="57"/>
        <v>43302</v>
      </c>
      <c r="H210" s="938" t="s">
        <v>785</v>
      </c>
      <c r="I210" s="706" t="s">
        <v>170</v>
      </c>
      <c r="J210" s="708"/>
      <c r="K210" s="938" t="s">
        <v>799</v>
      </c>
      <c r="L210" s="1236">
        <v>23174</v>
      </c>
      <c r="M210" s="938"/>
      <c r="N210" s="938"/>
      <c r="O210" s="949">
        <v>120</v>
      </c>
      <c r="P210" s="938">
        <v>1</v>
      </c>
      <c r="Q210" s="1101">
        <f t="shared" si="56"/>
        <v>120</v>
      </c>
      <c r="R210" s="942">
        <v>120</v>
      </c>
      <c r="S210" s="1039"/>
      <c r="T210" s="941"/>
      <c r="U210" s="940"/>
      <c r="V210" s="949">
        <v>120</v>
      </c>
      <c r="W210" s="938"/>
      <c r="X210" s="1174"/>
      <c r="Y210" s="1159"/>
      <c r="Z210" s="1159"/>
      <c r="AA210" s="1159"/>
      <c r="AB210" s="1159"/>
      <c r="AC210" s="1161"/>
      <c r="AD210" s="1161"/>
      <c r="AE210" s="1161"/>
      <c r="AF210" s="1161"/>
      <c r="AG210" s="1060"/>
    </row>
    <row r="211" spans="1:33" s="944" customFormat="1" ht="57.75" customHeight="1">
      <c r="A211" s="706">
        <v>1226</v>
      </c>
      <c r="B211" s="947" t="s">
        <v>795</v>
      </c>
      <c r="C211" s="1078" t="s">
        <v>796</v>
      </c>
      <c r="D211" s="938"/>
      <c r="E211" s="706">
        <v>5</v>
      </c>
      <c r="F211" s="709">
        <v>43297</v>
      </c>
      <c r="G211" s="709">
        <f t="shared" si="57"/>
        <v>43302</v>
      </c>
      <c r="H211" s="938" t="s">
        <v>785</v>
      </c>
      <c r="I211" s="706" t="s">
        <v>170</v>
      </c>
      <c r="J211" s="708"/>
      <c r="K211" s="938" t="s">
        <v>800</v>
      </c>
      <c r="L211" s="1236">
        <v>23174</v>
      </c>
      <c r="M211" s="938"/>
      <c r="N211" s="938"/>
      <c r="O211" s="949">
        <v>773.33333333333337</v>
      </c>
      <c r="P211" s="938">
        <v>1</v>
      </c>
      <c r="Q211" s="1101">
        <f t="shared" si="56"/>
        <v>773.33333333333337</v>
      </c>
      <c r="R211" s="942">
        <v>773.33333333333337</v>
      </c>
      <c r="S211" s="1039"/>
      <c r="T211" s="941"/>
      <c r="U211" s="940"/>
      <c r="V211" s="949">
        <v>773.33333333333337</v>
      </c>
      <c r="W211" s="938"/>
      <c r="X211" s="1174"/>
      <c r="Y211" s="1159"/>
      <c r="Z211" s="1159"/>
      <c r="AA211" s="1159"/>
      <c r="AB211" s="1159"/>
      <c r="AC211" s="1161"/>
      <c r="AD211" s="1161"/>
      <c r="AE211" s="1161"/>
      <c r="AF211" s="1161"/>
      <c r="AG211" s="1060"/>
    </row>
    <row r="212" spans="1:33" s="944" customFormat="1" ht="57.75" customHeight="1">
      <c r="A212" s="706">
        <v>1226</v>
      </c>
      <c r="B212" s="947" t="s">
        <v>795</v>
      </c>
      <c r="C212" s="1078" t="s">
        <v>796</v>
      </c>
      <c r="D212" s="938"/>
      <c r="E212" s="706">
        <v>5</v>
      </c>
      <c r="F212" s="709">
        <v>43297</v>
      </c>
      <c r="G212" s="709">
        <f t="shared" si="57"/>
        <v>43302</v>
      </c>
      <c r="H212" s="938" t="s">
        <v>785</v>
      </c>
      <c r="I212" s="706" t="s">
        <v>170</v>
      </c>
      <c r="J212" s="708"/>
      <c r="K212" s="938" t="s">
        <v>801</v>
      </c>
      <c r="L212" s="1236">
        <v>23174</v>
      </c>
      <c r="M212" s="938"/>
      <c r="N212" s="938"/>
      <c r="O212" s="949">
        <v>106.66666666666667</v>
      </c>
      <c r="P212" s="938">
        <v>1</v>
      </c>
      <c r="Q212" s="1101">
        <f t="shared" si="56"/>
        <v>106.66666666666667</v>
      </c>
      <c r="R212" s="942">
        <v>106.66666666666667</v>
      </c>
      <c r="S212" s="1039"/>
      <c r="T212" s="941"/>
      <c r="U212" s="940"/>
      <c r="V212" s="949">
        <v>106.66666666666667</v>
      </c>
      <c r="W212" s="938"/>
      <c r="X212" s="1174"/>
      <c r="Y212" s="1159"/>
      <c r="Z212" s="1159"/>
      <c r="AA212" s="1159"/>
      <c r="AB212" s="1159"/>
      <c r="AC212" s="1161"/>
      <c r="AD212" s="1161"/>
      <c r="AE212" s="1161"/>
      <c r="AF212" s="1161"/>
      <c r="AG212" s="1060"/>
    </row>
    <row r="213" spans="1:33" s="944" customFormat="1" ht="57.75" customHeight="1">
      <c r="A213" s="706">
        <v>1226</v>
      </c>
      <c r="B213" s="947" t="s">
        <v>795</v>
      </c>
      <c r="C213" s="1078" t="s">
        <v>796</v>
      </c>
      <c r="D213" s="938"/>
      <c r="E213" s="706">
        <v>5</v>
      </c>
      <c r="F213" s="709">
        <v>43297</v>
      </c>
      <c r="G213" s="709">
        <f t="shared" si="57"/>
        <v>43302</v>
      </c>
      <c r="H213" s="938" t="s">
        <v>785</v>
      </c>
      <c r="I213" s="706" t="s">
        <v>170</v>
      </c>
      <c r="J213" s="708"/>
      <c r="K213" s="938" t="s">
        <v>802</v>
      </c>
      <c r="L213" s="1236">
        <v>23174</v>
      </c>
      <c r="M213" s="938"/>
      <c r="N213" s="938"/>
      <c r="O213" s="949">
        <v>816</v>
      </c>
      <c r="P213" s="938">
        <v>1</v>
      </c>
      <c r="Q213" s="1101">
        <f t="shared" si="56"/>
        <v>816</v>
      </c>
      <c r="R213" s="942">
        <v>816</v>
      </c>
      <c r="S213" s="1039"/>
      <c r="T213" s="941"/>
      <c r="U213" s="940"/>
      <c r="V213" s="949">
        <v>816</v>
      </c>
      <c r="W213" s="938"/>
      <c r="X213" s="1174"/>
      <c r="Y213" s="1159"/>
      <c r="Z213" s="1159"/>
      <c r="AA213" s="1159"/>
      <c r="AB213" s="1159"/>
      <c r="AC213" s="1161"/>
      <c r="AD213" s="1161"/>
      <c r="AE213" s="1161"/>
      <c r="AF213" s="1161"/>
      <c r="AG213" s="1060"/>
    </row>
    <row r="214" spans="1:33" s="944" customFormat="1" ht="57.75" customHeight="1">
      <c r="A214" s="706">
        <v>1226</v>
      </c>
      <c r="B214" s="947" t="s">
        <v>795</v>
      </c>
      <c r="C214" s="1078" t="s">
        <v>796</v>
      </c>
      <c r="D214" s="938"/>
      <c r="E214" s="706">
        <v>5</v>
      </c>
      <c r="F214" s="709">
        <v>43297</v>
      </c>
      <c r="G214" s="709">
        <f t="shared" si="57"/>
        <v>43302</v>
      </c>
      <c r="H214" s="938" t="s">
        <v>785</v>
      </c>
      <c r="I214" s="706" t="s">
        <v>170</v>
      </c>
      <c r="J214" s="708"/>
      <c r="K214" s="938" t="s">
        <v>803</v>
      </c>
      <c r="L214" s="1236">
        <v>23174</v>
      </c>
      <c r="M214" s="938"/>
      <c r="N214" s="938"/>
      <c r="O214" s="949">
        <v>480</v>
      </c>
      <c r="P214" s="938">
        <v>1</v>
      </c>
      <c r="Q214" s="1101">
        <f t="shared" si="56"/>
        <v>480</v>
      </c>
      <c r="R214" s="942">
        <v>480</v>
      </c>
      <c r="S214" s="1039"/>
      <c r="T214" s="941"/>
      <c r="U214" s="940"/>
      <c r="V214" s="949">
        <v>480</v>
      </c>
      <c r="W214" s="938"/>
      <c r="X214" s="1174"/>
      <c r="Y214" s="1159"/>
      <c r="Z214" s="1159"/>
      <c r="AA214" s="1159"/>
      <c r="AB214" s="1159"/>
      <c r="AC214" s="1161"/>
      <c r="AD214" s="1161"/>
      <c r="AE214" s="1161"/>
      <c r="AF214" s="1161"/>
      <c r="AG214" s="1060"/>
    </row>
    <row r="215" spans="1:33" s="944" customFormat="1" ht="57.75" customHeight="1">
      <c r="A215" s="706">
        <v>1226</v>
      </c>
      <c r="B215" s="947" t="s">
        <v>795</v>
      </c>
      <c r="C215" s="1078" t="s">
        <v>796</v>
      </c>
      <c r="D215" s="938"/>
      <c r="E215" s="706"/>
      <c r="F215" s="709"/>
      <c r="G215" s="709"/>
      <c r="H215" s="938" t="s">
        <v>785</v>
      </c>
      <c r="I215" s="706" t="s">
        <v>170</v>
      </c>
      <c r="J215" s="708"/>
      <c r="K215" s="938" t="s">
        <v>415</v>
      </c>
      <c r="L215" s="1236">
        <v>23173</v>
      </c>
      <c r="M215" s="938"/>
      <c r="N215" s="938"/>
      <c r="O215" s="949">
        <v>833.33333333333337</v>
      </c>
      <c r="P215" s="938">
        <v>1</v>
      </c>
      <c r="Q215" s="1101">
        <f t="shared" si="56"/>
        <v>833.33333333333337</v>
      </c>
      <c r="R215" s="942">
        <v>833.33333333333337</v>
      </c>
      <c r="S215" s="1039"/>
      <c r="T215" s="941"/>
      <c r="U215" s="940"/>
      <c r="V215" s="949">
        <v>833.33333333333337</v>
      </c>
      <c r="W215" s="938"/>
      <c r="X215" s="1174"/>
      <c r="Y215" s="1159"/>
      <c r="Z215" s="1159"/>
      <c r="AA215" s="1159"/>
      <c r="AB215" s="1159"/>
      <c r="AC215" s="1161"/>
      <c r="AD215" s="1161"/>
      <c r="AE215" s="1161"/>
      <c r="AF215" s="1161"/>
      <c r="AG215" s="1060"/>
    </row>
    <row r="216" spans="1:33" s="944" customFormat="1" ht="57.75" customHeight="1">
      <c r="A216" s="706">
        <v>1226</v>
      </c>
      <c r="B216" s="947" t="s">
        <v>795</v>
      </c>
      <c r="C216" s="1078" t="s">
        <v>796</v>
      </c>
      <c r="D216" s="938"/>
      <c r="E216" s="706"/>
      <c r="F216" s="709"/>
      <c r="G216" s="709"/>
      <c r="H216" s="938" t="s">
        <v>785</v>
      </c>
      <c r="I216" s="706" t="s">
        <v>170</v>
      </c>
      <c r="J216" s="708"/>
      <c r="K216" s="938" t="s">
        <v>804</v>
      </c>
      <c r="L216" s="1236">
        <v>23173</v>
      </c>
      <c r="M216" s="938"/>
      <c r="N216" s="938"/>
      <c r="O216" s="949">
        <v>35.833333333333336</v>
      </c>
      <c r="P216" s="938">
        <v>1</v>
      </c>
      <c r="Q216" s="1101">
        <f t="shared" si="56"/>
        <v>35.833333333333336</v>
      </c>
      <c r="R216" s="942">
        <v>35.833333333333336</v>
      </c>
      <c r="S216" s="1039"/>
      <c r="T216" s="941"/>
      <c r="U216" s="940"/>
      <c r="V216" s="949">
        <v>35.833333333333336</v>
      </c>
      <c r="W216" s="938"/>
      <c r="X216" s="1174"/>
      <c r="Y216" s="1159"/>
      <c r="Z216" s="1159"/>
      <c r="AA216" s="1159"/>
      <c r="AB216" s="1159"/>
      <c r="AC216" s="1161"/>
      <c r="AD216" s="1161"/>
      <c r="AE216" s="1161"/>
      <c r="AF216" s="1161"/>
      <c r="AG216" s="1060"/>
    </row>
    <row r="217" spans="1:33" s="1041" customFormat="1" ht="57.75" customHeight="1">
      <c r="A217" s="1037">
        <v>1227</v>
      </c>
      <c r="B217" s="946" t="s">
        <v>805</v>
      </c>
      <c r="C217" s="1077" t="s">
        <v>806</v>
      </c>
      <c r="D217" s="1036"/>
      <c r="E217" s="1037"/>
      <c r="F217" s="1038">
        <v>43304</v>
      </c>
      <c r="G217" s="1037"/>
      <c r="H217" s="1036" t="s">
        <v>793</v>
      </c>
      <c r="I217" s="1037" t="s">
        <v>170</v>
      </c>
      <c r="J217" s="721"/>
      <c r="K217" s="1036" t="s">
        <v>807</v>
      </c>
      <c r="L217" s="1235">
        <v>23173</v>
      </c>
      <c r="M217" s="1036"/>
      <c r="N217" s="1036"/>
      <c r="O217" s="1042">
        <v>1089</v>
      </c>
      <c r="P217" s="1036">
        <v>1</v>
      </c>
      <c r="Q217" s="1042">
        <f>P217*O217</f>
        <v>1089</v>
      </c>
      <c r="R217" s="1040">
        <v>1089</v>
      </c>
      <c r="S217" s="1064"/>
      <c r="T217" s="1064"/>
      <c r="U217" s="1064"/>
      <c r="V217" s="1522">
        <v>1089</v>
      </c>
      <c r="W217" s="1064"/>
      <c r="X217" s="1175"/>
      <c r="Y217" s="1191"/>
      <c r="Z217" s="1191"/>
      <c r="AA217" s="1191"/>
      <c r="AB217" s="1191"/>
      <c r="AC217" s="1191"/>
      <c r="AD217" s="1191"/>
      <c r="AE217" s="1191"/>
      <c r="AF217" s="1191"/>
      <c r="AG217" s="1066">
        <f>SUM(S217:AF217)</f>
        <v>1089</v>
      </c>
    </row>
    <row r="218" spans="1:33" s="1041" customFormat="1" ht="57.75" customHeight="1">
      <c r="A218" s="1037">
        <v>1228</v>
      </c>
      <c r="B218" s="946" t="s">
        <v>808</v>
      </c>
      <c r="C218" s="1077" t="s">
        <v>809</v>
      </c>
      <c r="D218" s="1036"/>
      <c r="E218" s="1037">
        <v>10</v>
      </c>
      <c r="F218" s="1038">
        <v>43318</v>
      </c>
      <c r="G218" s="1038">
        <f>F218+E218</f>
        <v>43328</v>
      </c>
      <c r="H218" s="1036" t="s">
        <v>810</v>
      </c>
      <c r="I218" s="1037" t="s">
        <v>170</v>
      </c>
      <c r="J218" s="721"/>
      <c r="K218" s="1036"/>
      <c r="L218" s="1235"/>
      <c r="M218" s="1036"/>
      <c r="N218" s="1036"/>
      <c r="O218" s="1042"/>
      <c r="P218" s="1036"/>
      <c r="Q218" s="1102">
        <f>SUM(Q219:Q226)</f>
        <v>61020.558333333334</v>
      </c>
      <c r="R218" s="1040">
        <v>36000</v>
      </c>
      <c r="S218" s="1064">
        <f t="shared" ref="S218:Y218" si="58">SUM(S219:S226)</f>
        <v>0</v>
      </c>
      <c r="T218" s="1064">
        <f t="shared" si="58"/>
        <v>0</v>
      </c>
      <c r="U218" s="1064">
        <f t="shared" si="58"/>
        <v>0</v>
      </c>
      <c r="V218" s="1064">
        <f t="shared" si="58"/>
        <v>61020.558333333334</v>
      </c>
      <c r="W218" s="1064">
        <f t="shared" si="58"/>
        <v>0</v>
      </c>
      <c r="X218" s="1175">
        <f t="shared" si="58"/>
        <v>0</v>
      </c>
      <c r="Y218" s="1191">
        <f t="shared" si="58"/>
        <v>0</v>
      </c>
      <c r="Z218" s="1191">
        <f t="shared" ref="Z218:AF218" si="59">SUM(Z219:Z226)</f>
        <v>0</v>
      </c>
      <c r="AA218" s="1191">
        <f t="shared" si="59"/>
        <v>0</v>
      </c>
      <c r="AB218" s="1191">
        <f t="shared" si="59"/>
        <v>0</v>
      </c>
      <c r="AC218" s="1191">
        <f t="shared" si="59"/>
        <v>0</v>
      </c>
      <c r="AD218" s="1191">
        <f t="shared" si="59"/>
        <v>0</v>
      </c>
      <c r="AE218" s="1191">
        <f t="shared" si="59"/>
        <v>0</v>
      </c>
      <c r="AF218" s="1191">
        <f t="shared" si="59"/>
        <v>0</v>
      </c>
      <c r="AG218" s="1066">
        <f>SUM(S218:AF218)</f>
        <v>61020.558333333334</v>
      </c>
    </row>
    <row r="219" spans="1:33" s="1044" customFormat="1" ht="57.75" customHeight="1">
      <c r="A219" s="706">
        <v>1228</v>
      </c>
      <c r="B219" s="947" t="s">
        <v>808</v>
      </c>
      <c r="C219" s="1078" t="s">
        <v>809</v>
      </c>
      <c r="D219" s="938"/>
      <c r="E219" s="706">
        <v>10</v>
      </c>
      <c r="F219" s="709">
        <v>43318</v>
      </c>
      <c r="G219" s="709">
        <f>F219+E219</f>
        <v>43328</v>
      </c>
      <c r="H219" s="938" t="s">
        <v>810</v>
      </c>
      <c r="I219" s="706" t="s">
        <v>170</v>
      </c>
      <c r="J219" s="708"/>
      <c r="K219" s="938" t="s">
        <v>811</v>
      </c>
      <c r="L219" s="1236">
        <v>23174</v>
      </c>
      <c r="M219" s="938"/>
      <c r="N219" s="938"/>
      <c r="O219" s="949">
        <v>36000</v>
      </c>
      <c r="P219" s="938">
        <v>1</v>
      </c>
      <c r="Q219" s="1103">
        <f t="shared" ref="Q219:Q226" si="60">O219*P219</f>
        <v>36000</v>
      </c>
      <c r="R219" s="1043">
        <v>36000</v>
      </c>
      <c r="S219" s="941"/>
      <c r="T219" s="950"/>
      <c r="U219" s="948"/>
      <c r="V219" s="1103">
        <v>36000</v>
      </c>
      <c r="W219" s="938"/>
      <c r="X219" s="1174"/>
      <c r="Y219" s="1159"/>
      <c r="Z219" s="1159"/>
      <c r="AA219" s="1159"/>
      <c r="AB219" s="1159"/>
      <c r="AC219" s="1160"/>
      <c r="AD219" s="1160"/>
      <c r="AE219" s="1160"/>
      <c r="AF219" s="1160"/>
      <c r="AG219" s="1060"/>
    </row>
    <row r="220" spans="1:33" s="944" customFormat="1" ht="57.75" customHeight="1">
      <c r="A220" s="706">
        <v>1228</v>
      </c>
      <c r="B220" s="947" t="s">
        <v>808</v>
      </c>
      <c r="C220" s="1078" t="s">
        <v>809</v>
      </c>
      <c r="D220" s="938"/>
      <c r="E220" s="706">
        <v>10</v>
      </c>
      <c r="F220" s="709">
        <v>43318</v>
      </c>
      <c r="G220" s="709">
        <f t="shared" ref="G220:G225" si="61">F220+E220</f>
        <v>43328</v>
      </c>
      <c r="H220" s="938" t="s">
        <v>810</v>
      </c>
      <c r="I220" s="706" t="s">
        <v>170</v>
      </c>
      <c r="J220" s="708"/>
      <c r="K220" s="938" t="s">
        <v>812</v>
      </c>
      <c r="L220" s="1236">
        <v>23174</v>
      </c>
      <c r="N220" s="938"/>
      <c r="O220" s="949">
        <v>7920</v>
      </c>
      <c r="P220" s="938">
        <v>1</v>
      </c>
      <c r="Q220" s="1103">
        <f t="shared" si="60"/>
        <v>7920</v>
      </c>
      <c r="R220" s="942">
        <v>7920</v>
      </c>
      <c r="S220" s="1039"/>
      <c r="T220" s="950"/>
      <c r="U220" s="948"/>
      <c r="V220" s="1103">
        <v>7920</v>
      </c>
      <c r="W220" s="938"/>
      <c r="X220" s="1174"/>
      <c r="Y220" s="1159"/>
      <c r="Z220" s="1159"/>
      <c r="AA220" s="1159"/>
      <c r="AB220" s="1159"/>
      <c r="AC220" s="1161"/>
      <c r="AD220" s="1161"/>
      <c r="AE220" s="1161"/>
      <c r="AF220" s="1161"/>
      <c r="AG220" s="1060"/>
    </row>
    <row r="221" spans="1:33" s="944" customFormat="1" ht="57.75" customHeight="1">
      <c r="A221" s="706">
        <v>1228</v>
      </c>
      <c r="B221" s="947" t="s">
        <v>808</v>
      </c>
      <c r="C221" s="1078" t="s">
        <v>809</v>
      </c>
      <c r="D221" s="938"/>
      <c r="E221" s="706">
        <v>10</v>
      </c>
      <c r="F221" s="709">
        <v>43318</v>
      </c>
      <c r="G221" s="709">
        <f t="shared" si="61"/>
        <v>43328</v>
      </c>
      <c r="H221" s="938" t="s">
        <v>810</v>
      </c>
      <c r="I221" s="706" t="s">
        <v>170</v>
      </c>
      <c r="J221" s="708"/>
      <c r="K221" s="938" t="s">
        <v>813</v>
      </c>
      <c r="L221" s="1236">
        <v>23174</v>
      </c>
      <c r="M221" s="938"/>
      <c r="N221" s="938"/>
      <c r="O221" s="949">
        <v>600</v>
      </c>
      <c r="P221" s="938">
        <v>1</v>
      </c>
      <c r="Q221" s="1103">
        <f t="shared" si="60"/>
        <v>600</v>
      </c>
      <c r="R221" s="942">
        <v>600</v>
      </c>
      <c r="S221" s="1039"/>
      <c r="T221" s="950"/>
      <c r="U221" s="948"/>
      <c r="V221" s="1103">
        <v>600</v>
      </c>
      <c r="W221" s="938"/>
      <c r="X221" s="1174"/>
      <c r="Y221" s="1159"/>
      <c r="Z221" s="1159"/>
      <c r="AA221" s="1159"/>
      <c r="AB221" s="1159"/>
      <c r="AC221" s="1161"/>
      <c r="AD221" s="1161"/>
      <c r="AE221" s="1161"/>
      <c r="AF221" s="1161"/>
      <c r="AG221" s="1060"/>
    </row>
    <row r="222" spans="1:33" s="944" customFormat="1" ht="57.75" customHeight="1">
      <c r="A222" s="706">
        <v>1228</v>
      </c>
      <c r="B222" s="947" t="s">
        <v>808</v>
      </c>
      <c r="C222" s="1078" t="s">
        <v>809</v>
      </c>
      <c r="D222" s="938"/>
      <c r="E222" s="706">
        <v>10</v>
      </c>
      <c r="F222" s="709">
        <v>43318</v>
      </c>
      <c r="G222" s="709">
        <f t="shared" si="61"/>
        <v>43328</v>
      </c>
      <c r="H222" s="938" t="s">
        <v>810</v>
      </c>
      <c r="I222" s="706" t="s">
        <v>170</v>
      </c>
      <c r="J222" s="708"/>
      <c r="K222" s="938" t="s">
        <v>814</v>
      </c>
      <c r="L222" s="1236">
        <v>23174</v>
      </c>
      <c r="M222" s="938"/>
      <c r="N222" s="938"/>
      <c r="O222" s="949">
        <v>6600</v>
      </c>
      <c r="P222" s="938">
        <v>1</v>
      </c>
      <c r="Q222" s="1103">
        <f t="shared" si="60"/>
        <v>6600</v>
      </c>
      <c r="R222" s="942">
        <v>6600</v>
      </c>
      <c r="S222" s="1039"/>
      <c r="T222" s="950"/>
      <c r="U222" s="948"/>
      <c r="V222" s="1103">
        <v>6600</v>
      </c>
      <c r="W222" s="938"/>
      <c r="X222" s="1174"/>
      <c r="Y222" s="1159"/>
      <c r="Z222" s="1159"/>
      <c r="AA222" s="1159"/>
      <c r="AB222" s="1159"/>
      <c r="AC222" s="1161"/>
      <c r="AD222" s="1161"/>
      <c r="AE222" s="1161"/>
      <c r="AF222" s="1161"/>
      <c r="AG222" s="1060"/>
    </row>
    <row r="223" spans="1:33" s="944" customFormat="1" ht="57.75" customHeight="1">
      <c r="A223" s="706">
        <v>1228</v>
      </c>
      <c r="B223" s="947" t="s">
        <v>808</v>
      </c>
      <c r="C223" s="1078" t="s">
        <v>809</v>
      </c>
      <c r="D223" s="938"/>
      <c r="E223" s="706">
        <v>10</v>
      </c>
      <c r="F223" s="709">
        <v>43318</v>
      </c>
      <c r="G223" s="709">
        <f t="shared" si="61"/>
        <v>43328</v>
      </c>
      <c r="H223" s="938" t="s">
        <v>810</v>
      </c>
      <c r="I223" s="706" t="s">
        <v>170</v>
      </c>
      <c r="J223" s="708"/>
      <c r="K223" s="938" t="s">
        <v>815</v>
      </c>
      <c r="L223" s="1236">
        <v>23174</v>
      </c>
      <c r="M223" s="938"/>
      <c r="N223" s="938"/>
      <c r="O223" s="949">
        <v>300</v>
      </c>
      <c r="P223" s="938">
        <v>1</v>
      </c>
      <c r="Q223" s="1103">
        <f t="shared" si="60"/>
        <v>300</v>
      </c>
      <c r="R223" s="942">
        <v>300</v>
      </c>
      <c r="S223" s="1039"/>
      <c r="T223" s="950"/>
      <c r="U223" s="948"/>
      <c r="V223" s="1103">
        <v>300</v>
      </c>
      <c r="W223" s="938"/>
      <c r="X223" s="1174"/>
      <c r="Y223" s="1159"/>
      <c r="Z223" s="1159"/>
      <c r="AA223" s="1159"/>
      <c r="AB223" s="1159"/>
      <c r="AC223" s="1161"/>
      <c r="AD223" s="1161"/>
      <c r="AE223" s="1161"/>
      <c r="AF223" s="1161"/>
      <c r="AG223" s="1060"/>
    </row>
    <row r="224" spans="1:33" s="944" customFormat="1" ht="57.75" customHeight="1">
      <c r="A224" s="706">
        <v>1228</v>
      </c>
      <c r="B224" s="947" t="s">
        <v>808</v>
      </c>
      <c r="C224" s="1078" t="s">
        <v>809</v>
      </c>
      <c r="D224" s="938"/>
      <c r="E224" s="706">
        <v>10</v>
      </c>
      <c r="F224" s="709">
        <v>43318</v>
      </c>
      <c r="G224" s="709">
        <f t="shared" si="61"/>
        <v>43328</v>
      </c>
      <c r="H224" s="938" t="s">
        <v>810</v>
      </c>
      <c r="I224" s="706" t="s">
        <v>170</v>
      </c>
      <c r="J224" s="708"/>
      <c r="K224" s="938" t="s">
        <v>816</v>
      </c>
      <c r="L224" s="1236">
        <v>23174</v>
      </c>
      <c r="M224" s="938"/>
      <c r="N224" s="938"/>
      <c r="O224" s="949">
        <v>2720</v>
      </c>
      <c r="P224" s="938">
        <v>1</v>
      </c>
      <c r="Q224" s="1103">
        <f t="shared" si="60"/>
        <v>2720</v>
      </c>
      <c r="R224" s="942">
        <v>2720</v>
      </c>
      <c r="S224" s="1039"/>
      <c r="T224" s="950"/>
      <c r="U224" s="948"/>
      <c r="V224" s="1103">
        <v>2720</v>
      </c>
      <c r="W224" s="938"/>
      <c r="X224" s="1174"/>
      <c r="Y224" s="1159"/>
      <c r="Z224" s="1159"/>
      <c r="AA224" s="1159"/>
      <c r="AB224" s="1159"/>
      <c r="AC224" s="1161"/>
      <c r="AD224" s="1161"/>
      <c r="AE224" s="1161"/>
      <c r="AF224" s="1161"/>
      <c r="AG224" s="1060"/>
    </row>
    <row r="225" spans="1:33" s="944" customFormat="1" ht="57.75" customHeight="1">
      <c r="A225" s="706">
        <v>1228</v>
      </c>
      <c r="B225" s="947" t="s">
        <v>808</v>
      </c>
      <c r="C225" s="1078" t="s">
        <v>809</v>
      </c>
      <c r="D225" s="938"/>
      <c r="E225" s="706">
        <v>10</v>
      </c>
      <c r="F225" s="709">
        <v>43318</v>
      </c>
      <c r="G225" s="709">
        <f t="shared" si="61"/>
        <v>43328</v>
      </c>
      <c r="H225" s="938" t="s">
        <v>810</v>
      </c>
      <c r="I225" s="706" t="s">
        <v>170</v>
      </c>
      <c r="J225" s="708"/>
      <c r="K225" s="938" t="s">
        <v>817</v>
      </c>
      <c r="L225" s="1236">
        <v>23174</v>
      </c>
      <c r="M225" s="938"/>
      <c r="N225" s="938"/>
      <c r="O225" s="949">
        <v>6674.9333333333334</v>
      </c>
      <c r="P225" s="938">
        <v>1</v>
      </c>
      <c r="Q225" s="1103">
        <f t="shared" si="60"/>
        <v>6674.9333333333334</v>
      </c>
      <c r="R225" s="942">
        <v>6674.9333333333334</v>
      </c>
      <c r="S225" s="1039"/>
      <c r="T225" s="950"/>
      <c r="U225" s="948"/>
      <c r="V225" s="1103">
        <v>6674.9333333333334</v>
      </c>
      <c r="W225" s="938"/>
      <c r="X225" s="1174"/>
      <c r="Y225" s="1159"/>
      <c r="Z225" s="1159"/>
      <c r="AA225" s="1159"/>
      <c r="AB225" s="1159"/>
      <c r="AC225" s="1161"/>
      <c r="AD225" s="1161"/>
      <c r="AE225" s="1161"/>
      <c r="AF225" s="1161"/>
      <c r="AG225" s="1060"/>
    </row>
    <row r="226" spans="1:33" s="944" customFormat="1" ht="57.75" customHeight="1">
      <c r="A226" s="706">
        <v>1228</v>
      </c>
      <c r="B226" s="947" t="s">
        <v>808</v>
      </c>
      <c r="C226" s="1078" t="s">
        <v>809</v>
      </c>
      <c r="D226" s="938"/>
      <c r="E226" s="706">
        <v>45</v>
      </c>
      <c r="F226" s="709"/>
      <c r="G226" s="709"/>
      <c r="H226" s="938" t="s">
        <v>810</v>
      </c>
      <c r="I226" s="706" t="s">
        <v>170</v>
      </c>
      <c r="J226" s="708"/>
      <c r="K226" s="938" t="s">
        <v>818</v>
      </c>
      <c r="L226" s="1236">
        <v>23173</v>
      </c>
      <c r="M226" s="938"/>
      <c r="N226" s="938"/>
      <c r="O226" s="949">
        <v>205.625</v>
      </c>
      <c r="P226" s="938">
        <v>1</v>
      </c>
      <c r="Q226" s="1103">
        <f t="shared" si="60"/>
        <v>205.625</v>
      </c>
      <c r="R226" s="942">
        <v>205.625</v>
      </c>
      <c r="S226" s="1039"/>
      <c r="T226" s="950"/>
      <c r="U226" s="948"/>
      <c r="V226" s="1103">
        <v>205.625</v>
      </c>
      <c r="W226" s="938"/>
      <c r="X226" s="1174"/>
      <c r="Y226" s="1159"/>
      <c r="Z226" s="1159"/>
      <c r="AA226" s="1159"/>
      <c r="AB226" s="1159"/>
      <c r="AC226" s="1161"/>
      <c r="AD226" s="1161"/>
      <c r="AE226" s="1161"/>
      <c r="AF226" s="1161"/>
      <c r="AG226" s="1060"/>
    </row>
    <row r="227" spans="1:33" s="1041" customFormat="1" ht="57.75" customHeight="1">
      <c r="A227" s="1037">
        <v>1229</v>
      </c>
      <c r="B227" s="946" t="s">
        <v>819</v>
      </c>
      <c r="C227" s="1079" t="s">
        <v>820</v>
      </c>
      <c r="D227" s="1045"/>
      <c r="E227" s="1046">
        <v>10</v>
      </c>
      <c r="F227" s="1038">
        <v>43339</v>
      </c>
      <c r="G227" s="1038">
        <f>F227+E227</f>
        <v>43349</v>
      </c>
      <c r="H227" s="1036" t="s">
        <v>774</v>
      </c>
      <c r="I227" s="1037" t="s">
        <v>170</v>
      </c>
      <c r="J227" s="656"/>
      <c r="K227" s="1036"/>
      <c r="L227" s="1235"/>
      <c r="M227" s="1045"/>
      <c r="N227" s="1045"/>
      <c r="O227" s="1042"/>
      <c r="P227" s="1036"/>
      <c r="Q227" s="1042">
        <f>SUM(Q228:Q236)</f>
        <v>16171.887999999999</v>
      </c>
      <c r="R227" s="1040">
        <v>1320</v>
      </c>
      <c r="S227" s="1064">
        <f t="shared" ref="S227:AF227" si="62">SUM(S228:S236)</f>
        <v>0</v>
      </c>
      <c r="T227" s="1064">
        <f t="shared" si="62"/>
        <v>0</v>
      </c>
      <c r="U227" s="1064">
        <f t="shared" si="62"/>
        <v>0</v>
      </c>
      <c r="V227" s="1064">
        <f t="shared" si="62"/>
        <v>0</v>
      </c>
      <c r="W227" s="1064">
        <f t="shared" si="62"/>
        <v>16171.887999999999</v>
      </c>
      <c r="X227" s="1175">
        <f t="shared" si="62"/>
        <v>0</v>
      </c>
      <c r="Y227" s="1191">
        <f t="shared" si="62"/>
        <v>0</v>
      </c>
      <c r="Z227" s="1191">
        <f t="shared" si="62"/>
        <v>0</v>
      </c>
      <c r="AA227" s="1191">
        <f t="shared" si="62"/>
        <v>0</v>
      </c>
      <c r="AB227" s="1191">
        <f t="shared" si="62"/>
        <v>0</v>
      </c>
      <c r="AC227" s="1191">
        <f t="shared" si="62"/>
        <v>0</v>
      </c>
      <c r="AD227" s="1191">
        <f t="shared" si="62"/>
        <v>0</v>
      </c>
      <c r="AE227" s="1191">
        <f t="shared" si="62"/>
        <v>0</v>
      </c>
      <c r="AF227" s="1191">
        <f t="shared" si="62"/>
        <v>0</v>
      </c>
      <c r="AG227" s="1066">
        <f>SUM(S227:AF227)</f>
        <v>16171.887999999999</v>
      </c>
    </row>
    <row r="228" spans="1:33" s="1044" customFormat="1" ht="57.75" customHeight="1">
      <c r="A228" s="706">
        <v>1229</v>
      </c>
      <c r="B228" s="947" t="s">
        <v>819</v>
      </c>
      <c r="C228" s="1080" t="s">
        <v>820</v>
      </c>
      <c r="D228" s="1048"/>
      <c r="E228" s="1049">
        <v>10</v>
      </c>
      <c r="F228" s="709">
        <v>43339</v>
      </c>
      <c r="G228" s="709">
        <f>F228+E228</f>
        <v>43349</v>
      </c>
      <c r="H228" s="938" t="s">
        <v>774</v>
      </c>
      <c r="I228" s="706" t="s">
        <v>170</v>
      </c>
      <c r="J228" s="1488"/>
      <c r="K228" s="938" t="s">
        <v>821</v>
      </c>
      <c r="L228" s="1236">
        <v>23174</v>
      </c>
      <c r="M228" s="1048"/>
      <c r="N228" s="1048"/>
      <c r="O228" s="949">
        <v>1320</v>
      </c>
      <c r="P228" s="938">
        <v>1</v>
      </c>
      <c r="Q228" s="949">
        <f t="shared" ref="Q228:Q236" si="63">O228*P228</f>
        <v>1320</v>
      </c>
      <c r="R228" s="1043">
        <v>1320</v>
      </c>
      <c r="S228" s="941"/>
      <c r="T228" s="941"/>
      <c r="U228" s="1050"/>
      <c r="V228" s="1048"/>
      <c r="W228" s="1105">
        <v>1320</v>
      </c>
      <c r="X228" s="1176"/>
      <c r="Y228" s="1160"/>
      <c r="Z228" s="1160"/>
      <c r="AA228" s="1160"/>
      <c r="AB228" s="1160"/>
      <c r="AC228" s="1160"/>
      <c r="AD228" s="1160"/>
      <c r="AE228" s="1160"/>
      <c r="AF228" s="1160"/>
      <c r="AG228" s="1061"/>
    </row>
    <row r="229" spans="1:33" s="944" customFormat="1" ht="57.75" customHeight="1">
      <c r="A229" s="706">
        <v>1229</v>
      </c>
      <c r="B229" s="947" t="s">
        <v>819</v>
      </c>
      <c r="C229" s="1080" t="s">
        <v>820</v>
      </c>
      <c r="D229" s="951"/>
      <c r="E229" s="726">
        <v>10</v>
      </c>
      <c r="F229" s="709">
        <v>43339</v>
      </c>
      <c r="G229" s="709">
        <f t="shared" ref="G229:G234" si="64">F229+E229</f>
        <v>43349</v>
      </c>
      <c r="H229" s="938" t="s">
        <v>774</v>
      </c>
      <c r="I229" s="706" t="s">
        <v>170</v>
      </c>
      <c r="J229" s="728"/>
      <c r="K229" s="938" t="s">
        <v>822</v>
      </c>
      <c r="L229" s="1236">
        <v>23174</v>
      </c>
      <c r="M229" s="951"/>
      <c r="N229" s="951"/>
      <c r="O229" s="949">
        <v>5724</v>
      </c>
      <c r="P229" s="938">
        <v>1</v>
      </c>
      <c r="Q229" s="949">
        <f t="shared" si="63"/>
        <v>5724</v>
      </c>
      <c r="R229" s="942">
        <v>5724</v>
      </c>
      <c r="S229" s="1039"/>
      <c r="T229" s="941"/>
      <c r="U229" s="952"/>
      <c r="V229" s="951"/>
      <c r="W229" s="1106">
        <v>5724</v>
      </c>
      <c r="X229" s="1177"/>
      <c r="Y229" s="1161"/>
      <c r="Z229" s="1161"/>
      <c r="AA229" s="1161"/>
      <c r="AB229" s="1161"/>
      <c r="AC229" s="1161"/>
      <c r="AD229" s="1161"/>
      <c r="AE229" s="1161"/>
      <c r="AF229" s="1161"/>
      <c r="AG229" s="1062"/>
    </row>
    <row r="230" spans="1:33" s="944" customFormat="1" ht="57.75" customHeight="1">
      <c r="A230" s="706">
        <v>1229</v>
      </c>
      <c r="B230" s="947" t="s">
        <v>819</v>
      </c>
      <c r="C230" s="1080" t="s">
        <v>820</v>
      </c>
      <c r="D230" s="951"/>
      <c r="E230" s="726">
        <v>10</v>
      </c>
      <c r="F230" s="709">
        <v>43339</v>
      </c>
      <c r="G230" s="709">
        <f t="shared" si="64"/>
        <v>43349</v>
      </c>
      <c r="H230" s="938" t="s">
        <v>774</v>
      </c>
      <c r="I230" s="706" t="s">
        <v>170</v>
      </c>
      <c r="J230" s="728"/>
      <c r="K230" s="938" t="s">
        <v>799</v>
      </c>
      <c r="L230" s="1236">
        <v>23174</v>
      </c>
      <c r="M230" s="951"/>
      <c r="N230" s="951"/>
      <c r="O230" s="949">
        <v>260</v>
      </c>
      <c r="P230" s="938">
        <v>1</v>
      </c>
      <c r="Q230" s="949">
        <f t="shared" si="63"/>
        <v>260</v>
      </c>
      <c r="R230" s="942">
        <v>260</v>
      </c>
      <c r="S230" s="1039"/>
      <c r="T230" s="941"/>
      <c r="U230" s="952"/>
      <c r="V230" s="951"/>
      <c r="W230" s="1106">
        <v>260</v>
      </c>
      <c r="X230" s="1177"/>
      <c r="Y230" s="1161"/>
      <c r="Z230" s="1161"/>
      <c r="AA230" s="1161"/>
      <c r="AB230" s="1161"/>
      <c r="AC230" s="1161"/>
      <c r="AD230" s="1161"/>
      <c r="AE230" s="1161"/>
      <c r="AF230" s="1161"/>
      <c r="AG230" s="1062"/>
    </row>
    <row r="231" spans="1:33" s="944" customFormat="1" ht="57.75" customHeight="1">
      <c r="A231" s="706">
        <v>1229</v>
      </c>
      <c r="B231" s="947" t="s">
        <v>819</v>
      </c>
      <c r="C231" s="1080" t="s">
        <v>820</v>
      </c>
      <c r="D231" s="951"/>
      <c r="E231" s="726">
        <v>10</v>
      </c>
      <c r="F231" s="709">
        <v>43339</v>
      </c>
      <c r="G231" s="709">
        <f t="shared" si="64"/>
        <v>43349</v>
      </c>
      <c r="H231" s="938" t="s">
        <v>774</v>
      </c>
      <c r="I231" s="706" t="s">
        <v>170</v>
      </c>
      <c r="J231" s="728"/>
      <c r="K231" s="938" t="s">
        <v>823</v>
      </c>
      <c r="L231" s="1236">
        <v>23174</v>
      </c>
      <c r="M231" s="951"/>
      <c r="N231" s="951"/>
      <c r="O231" s="949">
        <v>5773.333333333333</v>
      </c>
      <c r="P231" s="938">
        <v>1</v>
      </c>
      <c r="Q231" s="949">
        <f t="shared" si="63"/>
        <v>5773.333333333333</v>
      </c>
      <c r="R231" s="942">
        <v>5773.333333333333</v>
      </c>
      <c r="S231" s="1039"/>
      <c r="T231" s="941"/>
      <c r="U231" s="952"/>
      <c r="V231" s="951"/>
      <c r="W231" s="1106">
        <v>5773.333333333333</v>
      </c>
      <c r="X231" s="1177"/>
      <c r="Y231" s="1161"/>
      <c r="Z231" s="1161"/>
      <c r="AA231" s="1161"/>
      <c r="AB231" s="1161"/>
      <c r="AC231" s="1161"/>
      <c r="AD231" s="1161"/>
      <c r="AE231" s="1161"/>
      <c r="AF231" s="1161"/>
      <c r="AG231" s="1062"/>
    </row>
    <row r="232" spans="1:33" s="944" customFormat="1" ht="57.75" customHeight="1">
      <c r="A232" s="706">
        <v>1229</v>
      </c>
      <c r="B232" s="947" t="s">
        <v>819</v>
      </c>
      <c r="C232" s="1080" t="s">
        <v>820</v>
      </c>
      <c r="D232" s="951"/>
      <c r="E232" s="726">
        <v>10</v>
      </c>
      <c r="F232" s="709">
        <v>43339</v>
      </c>
      <c r="G232" s="709">
        <f t="shared" si="64"/>
        <v>43349</v>
      </c>
      <c r="H232" s="938" t="s">
        <v>774</v>
      </c>
      <c r="I232" s="706" t="s">
        <v>170</v>
      </c>
      <c r="J232" s="728"/>
      <c r="K232" s="938" t="s">
        <v>779</v>
      </c>
      <c r="L232" s="1236">
        <v>23174</v>
      </c>
      <c r="M232" s="951"/>
      <c r="N232" s="951"/>
      <c r="O232" s="949">
        <v>153.33333333333334</v>
      </c>
      <c r="P232" s="938">
        <v>1</v>
      </c>
      <c r="Q232" s="949">
        <f t="shared" si="63"/>
        <v>153.33333333333334</v>
      </c>
      <c r="R232" s="942">
        <v>153.33333333333334</v>
      </c>
      <c r="S232" s="1039"/>
      <c r="T232" s="941"/>
      <c r="U232" s="952"/>
      <c r="V232" s="951"/>
      <c r="W232" s="1106">
        <v>153.33333333333334</v>
      </c>
      <c r="X232" s="1177"/>
      <c r="Y232" s="1161"/>
      <c r="Z232" s="1161"/>
      <c r="AA232" s="1161"/>
      <c r="AB232" s="1161"/>
      <c r="AC232" s="1161"/>
      <c r="AD232" s="1161"/>
      <c r="AE232" s="1161"/>
      <c r="AF232" s="1161"/>
      <c r="AG232" s="1062"/>
    </row>
    <row r="233" spans="1:33" s="944" customFormat="1" ht="57.75" customHeight="1">
      <c r="A233" s="706">
        <v>1229</v>
      </c>
      <c r="B233" s="947" t="s">
        <v>819</v>
      </c>
      <c r="C233" s="1080" t="s">
        <v>820</v>
      </c>
      <c r="D233" s="951"/>
      <c r="E233" s="726">
        <v>10</v>
      </c>
      <c r="F233" s="709">
        <v>43339</v>
      </c>
      <c r="G233" s="709">
        <f t="shared" si="64"/>
        <v>43349</v>
      </c>
      <c r="H233" s="938" t="s">
        <v>774</v>
      </c>
      <c r="I233" s="706" t="s">
        <v>170</v>
      </c>
      <c r="J233" s="728"/>
      <c r="K233" s="938" t="s">
        <v>824</v>
      </c>
      <c r="L233" s="1236">
        <v>23174</v>
      </c>
      <c r="M233" s="951"/>
      <c r="N233" s="951"/>
      <c r="O233" s="949">
        <v>238</v>
      </c>
      <c r="P233" s="938">
        <v>1</v>
      </c>
      <c r="Q233" s="949">
        <f t="shared" si="63"/>
        <v>238</v>
      </c>
      <c r="R233" s="942">
        <v>238</v>
      </c>
      <c r="S233" s="1039"/>
      <c r="T233" s="941"/>
      <c r="U233" s="952"/>
      <c r="V233" s="951"/>
      <c r="W233" s="1106">
        <v>238</v>
      </c>
      <c r="X233" s="1177"/>
      <c r="Y233" s="1161"/>
      <c r="Z233" s="1161"/>
      <c r="AA233" s="1161"/>
      <c r="AB233" s="1161"/>
      <c r="AC233" s="1161"/>
      <c r="AD233" s="1161"/>
      <c r="AE233" s="1161"/>
      <c r="AF233" s="1161"/>
      <c r="AG233" s="1062"/>
    </row>
    <row r="234" spans="1:33" s="944" customFormat="1" ht="57.75" customHeight="1">
      <c r="A234" s="706">
        <v>1229</v>
      </c>
      <c r="B234" s="947" t="s">
        <v>819</v>
      </c>
      <c r="C234" s="1080" t="s">
        <v>820</v>
      </c>
      <c r="D234" s="951"/>
      <c r="E234" s="726">
        <v>10</v>
      </c>
      <c r="F234" s="709">
        <v>43339</v>
      </c>
      <c r="G234" s="709">
        <f t="shared" si="64"/>
        <v>43349</v>
      </c>
      <c r="H234" s="938" t="s">
        <v>774</v>
      </c>
      <c r="I234" s="706" t="s">
        <v>170</v>
      </c>
      <c r="J234" s="728"/>
      <c r="K234" s="938" t="s">
        <v>825</v>
      </c>
      <c r="L234" s="1236">
        <v>23174</v>
      </c>
      <c r="M234" s="951"/>
      <c r="N234" s="951"/>
      <c r="O234" s="949">
        <v>501.66666666666669</v>
      </c>
      <c r="P234" s="938">
        <v>1</v>
      </c>
      <c r="Q234" s="949">
        <f t="shared" si="63"/>
        <v>501.66666666666669</v>
      </c>
      <c r="R234" s="942">
        <v>501.66666666666669</v>
      </c>
      <c r="S234" s="1039"/>
      <c r="T234" s="941"/>
      <c r="U234" s="952"/>
      <c r="V234" s="951"/>
      <c r="W234" s="1106">
        <v>501.66666666666669</v>
      </c>
      <c r="X234" s="1177"/>
      <c r="Y234" s="1161"/>
      <c r="Z234" s="1161"/>
      <c r="AA234" s="1161"/>
      <c r="AB234" s="1161"/>
      <c r="AC234" s="1161"/>
      <c r="AD234" s="1161"/>
      <c r="AE234" s="1161"/>
      <c r="AF234" s="1161"/>
      <c r="AG234" s="1062"/>
    </row>
    <row r="235" spans="1:33" s="944" customFormat="1" ht="57.75" customHeight="1">
      <c r="A235" s="706">
        <v>1229</v>
      </c>
      <c r="B235" s="947" t="s">
        <v>819</v>
      </c>
      <c r="C235" s="1080" t="s">
        <v>820</v>
      </c>
      <c r="D235" s="951"/>
      <c r="E235" s="726"/>
      <c r="F235" s="709"/>
      <c r="G235" s="709"/>
      <c r="H235" s="938" t="s">
        <v>774</v>
      </c>
      <c r="I235" s="706" t="s">
        <v>170</v>
      </c>
      <c r="J235" s="728"/>
      <c r="K235" s="1330" t="s">
        <v>818</v>
      </c>
      <c r="L235" s="1236">
        <v>23173</v>
      </c>
      <c r="M235" s="951"/>
      <c r="N235" s="951"/>
      <c r="O235" s="949">
        <v>534.88800000000003</v>
      </c>
      <c r="P235" s="952">
        <v>1</v>
      </c>
      <c r="Q235" s="949">
        <f t="shared" si="63"/>
        <v>534.88800000000003</v>
      </c>
      <c r="R235" s="942">
        <v>534.88800000000003</v>
      </c>
      <c r="S235" s="1039"/>
      <c r="T235" s="941"/>
      <c r="U235" s="952"/>
      <c r="V235" s="951"/>
      <c r="W235" s="1106">
        <v>534.88800000000003</v>
      </c>
      <c r="X235" s="1177"/>
      <c r="Y235" s="1161"/>
      <c r="Z235" s="1161"/>
      <c r="AA235" s="1161"/>
      <c r="AB235" s="1161"/>
      <c r="AC235" s="1161"/>
      <c r="AD235" s="1161"/>
      <c r="AE235" s="1161"/>
      <c r="AF235" s="1161"/>
      <c r="AG235" s="1062"/>
    </row>
    <row r="236" spans="1:33" s="944" customFormat="1" ht="57.75" customHeight="1">
      <c r="A236" s="706">
        <v>1229</v>
      </c>
      <c r="B236" s="947" t="s">
        <v>819</v>
      </c>
      <c r="C236" s="1080" t="s">
        <v>820</v>
      </c>
      <c r="D236" s="951"/>
      <c r="E236" s="726"/>
      <c r="F236" s="726"/>
      <c r="G236" s="726"/>
      <c r="H236" s="938" t="s">
        <v>774</v>
      </c>
      <c r="I236" s="706" t="s">
        <v>170</v>
      </c>
      <c r="J236" s="728"/>
      <c r="K236" s="938" t="s">
        <v>415</v>
      </c>
      <c r="L236" s="1236">
        <v>23173</v>
      </c>
      <c r="M236" s="951"/>
      <c r="N236" s="951"/>
      <c r="O236" s="949">
        <v>1666.6666666666667</v>
      </c>
      <c r="P236" s="938">
        <v>1</v>
      </c>
      <c r="Q236" s="949">
        <f t="shared" si="63"/>
        <v>1666.6666666666667</v>
      </c>
      <c r="R236" s="942">
        <v>1666.6666666666667</v>
      </c>
      <c r="S236" s="1039"/>
      <c r="T236" s="941"/>
      <c r="U236" s="952"/>
      <c r="V236" s="951"/>
      <c r="W236" s="1106">
        <v>1666.6666666666667</v>
      </c>
      <c r="X236" s="1177"/>
      <c r="Y236" s="1161"/>
      <c r="Z236" s="1161"/>
      <c r="AA236" s="1161"/>
      <c r="AB236" s="1161"/>
      <c r="AC236" s="1161"/>
      <c r="AD236" s="1161"/>
      <c r="AE236" s="1161"/>
      <c r="AF236" s="1161"/>
      <c r="AG236" s="1062"/>
    </row>
    <row r="237" spans="1:33" s="1041" customFormat="1" ht="57.75" customHeight="1">
      <c r="A237" s="1037">
        <v>1230</v>
      </c>
      <c r="B237" s="946" t="s">
        <v>826</v>
      </c>
      <c r="C237" s="1081" t="s">
        <v>827</v>
      </c>
      <c r="D237" s="1045"/>
      <c r="E237" s="1046">
        <v>5</v>
      </c>
      <c r="F237" s="1038">
        <v>43360</v>
      </c>
      <c r="G237" s="1038">
        <f>F237+E237</f>
        <v>43365</v>
      </c>
      <c r="H237" s="1036" t="s">
        <v>785</v>
      </c>
      <c r="I237" s="1037" t="s">
        <v>170</v>
      </c>
      <c r="J237" s="656"/>
      <c r="K237" s="1036"/>
      <c r="L237" s="1235"/>
      <c r="M237" s="1045"/>
      <c r="N237" s="1045"/>
      <c r="O237" s="1042"/>
      <c r="P237" s="1036"/>
      <c r="Q237" s="1104">
        <f>SUM(Q238:Q246)</f>
        <v>7967.6643333333332</v>
      </c>
      <c r="R237" s="1040">
        <v>2520</v>
      </c>
      <c r="S237" s="1065">
        <f t="shared" ref="S237:AF237" si="65">SUM(S238:S246)</f>
        <v>0</v>
      </c>
      <c r="T237" s="1065">
        <f t="shared" si="65"/>
        <v>0</v>
      </c>
      <c r="U237" s="1065">
        <f t="shared" si="65"/>
        <v>0</v>
      </c>
      <c r="V237" s="1065">
        <f t="shared" si="65"/>
        <v>0</v>
      </c>
      <c r="W237" s="1065">
        <f t="shared" si="65"/>
        <v>7967.6643333333332</v>
      </c>
      <c r="X237" s="1178">
        <f t="shared" si="65"/>
        <v>0</v>
      </c>
      <c r="Y237" s="1192">
        <f t="shared" si="65"/>
        <v>0</v>
      </c>
      <c r="Z237" s="1192">
        <f t="shared" si="65"/>
        <v>0</v>
      </c>
      <c r="AA237" s="1192">
        <f t="shared" si="65"/>
        <v>0</v>
      </c>
      <c r="AB237" s="1192">
        <f t="shared" si="65"/>
        <v>0</v>
      </c>
      <c r="AC237" s="1192">
        <f t="shared" si="65"/>
        <v>0</v>
      </c>
      <c r="AD237" s="1192">
        <f t="shared" si="65"/>
        <v>0</v>
      </c>
      <c r="AE237" s="1192">
        <f t="shared" si="65"/>
        <v>0</v>
      </c>
      <c r="AF237" s="1192">
        <f t="shared" si="65"/>
        <v>0</v>
      </c>
      <c r="AG237" s="1066">
        <f>SUM(S237:AF237)</f>
        <v>7967.6643333333332</v>
      </c>
    </row>
    <row r="238" spans="1:33" s="1044" customFormat="1" ht="57.75" customHeight="1">
      <c r="A238" s="706">
        <v>1230</v>
      </c>
      <c r="B238" s="947" t="s">
        <v>826</v>
      </c>
      <c r="C238" s="1082" t="s">
        <v>827</v>
      </c>
      <c r="D238" s="1048"/>
      <c r="E238" s="1049">
        <v>5</v>
      </c>
      <c r="F238" s="709">
        <v>43360</v>
      </c>
      <c r="G238" s="709">
        <f>F238+E238</f>
        <v>43365</v>
      </c>
      <c r="H238" s="938" t="s">
        <v>785</v>
      </c>
      <c r="I238" s="706" t="s">
        <v>170</v>
      </c>
      <c r="J238" s="1488"/>
      <c r="K238" s="938" t="s">
        <v>828</v>
      </c>
      <c r="L238" s="1236">
        <v>23174</v>
      </c>
      <c r="M238" s="1048"/>
      <c r="N238" s="1048"/>
      <c r="O238" s="949">
        <v>2520</v>
      </c>
      <c r="P238" s="938">
        <v>1</v>
      </c>
      <c r="Q238" s="1105">
        <f>O238*P238</f>
        <v>2520</v>
      </c>
      <c r="R238" s="1043">
        <v>2520</v>
      </c>
      <c r="S238" s="941"/>
      <c r="T238" s="941"/>
      <c r="U238" s="1050"/>
      <c r="V238" s="1048"/>
      <c r="W238" s="1105">
        <v>2520</v>
      </c>
      <c r="X238" s="1176"/>
      <c r="Y238" s="1160"/>
      <c r="Z238" s="1160"/>
      <c r="AA238" s="1160"/>
      <c r="AB238" s="1160"/>
      <c r="AC238" s="1160"/>
      <c r="AD238" s="1160"/>
      <c r="AE238" s="1160"/>
      <c r="AF238" s="1160"/>
      <c r="AG238" s="1061"/>
    </row>
    <row r="239" spans="1:33" s="944" customFormat="1" ht="57.75" customHeight="1">
      <c r="A239" s="706">
        <v>1230</v>
      </c>
      <c r="B239" s="947" t="s">
        <v>826</v>
      </c>
      <c r="C239" s="1082" t="s">
        <v>827</v>
      </c>
      <c r="D239" s="951"/>
      <c r="E239" s="726">
        <v>5</v>
      </c>
      <c r="F239" s="709">
        <v>43360</v>
      </c>
      <c r="G239" s="709">
        <f t="shared" ref="G239:G244" si="66">F239+E239</f>
        <v>43365</v>
      </c>
      <c r="H239" s="938" t="s">
        <v>785</v>
      </c>
      <c r="I239" s="706" t="s">
        <v>170</v>
      </c>
      <c r="J239" s="728"/>
      <c r="K239" s="938" t="s">
        <v>829</v>
      </c>
      <c r="L239" s="1236">
        <v>23174</v>
      </c>
      <c r="M239" s="951"/>
      <c r="N239" s="951"/>
      <c r="O239" s="949">
        <v>1236</v>
      </c>
      <c r="P239" s="938">
        <v>1</v>
      </c>
      <c r="Q239" s="1106">
        <f>O239*P239</f>
        <v>1236</v>
      </c>
      <c r="R239" s="942">
        <v>1236</v>
      </c>
      <c r="S239" s="1039"/>
      <c r="T239" s="941"/>
      <c r="U239" s="952"/>
      <c r="V239" s="951"/>
      <c r="W239" s="1106">
        <v>1236</v>
      </c>
      <c r="X239" s="1177"/>
      <c r="Y239" s="1161"/>
      <c r="Z239" s="1161"/>
      <c r="AA239" s="1161"/>
      <c r="AB239" s="1161"/>
      <c r="AC239" s="1161"/>
      <c r="AD239" s="1161"/>
      <c r="AE239" s="1161"/>
      <c r="AF239" s="1161"/>
      <c r="AG239" s="1062"/>
    </row>
    <row r="240" spans="1:33" s="944" customFormat="1" ht="57.75" customHeight="1">
      <c r="A240" s="706">
        <v>1230</v>
      </c>
      <c r="B240" s="947" t="s">
        <v>826</v>
      </c>
      <c r="C240" s="1082" t="s">
        <v>827</v>
      </c>
      <c r="D240" s="951"/>
      <c r="E240" s="726">
        <v>5</v>
      </c>
      <c r="F240" s="709">
        <v>43360</v>
      </c>
      <c r="G240" s="709">
        <f t="shared" si="66"/>
        <v>43365</v>
      </c>
      <c r="H240" s="938" t="s">
        <v>785</v>
      </c>
      <c r="I240" s="706" t="s">
        <v>170</v>
      </c>
      <c r="J240" s="728"/>
      <c r="K240" s="938" t="s">
        <v>830</v>
      </c>
      <c r="L240" s="1236">
        <v>23174</v>
      </c>
      <c r="M240" s="951"/>
      <c r="N240" s="951"/>
      <c r="O240" s="949">
        <v>260</v>
      </c>
      <c r="P240" s="938">
        <v>1</v>
      </c>
      <c r="Q240" s="1106">
        <f>O240*P240</f>
        <v>260</v>
      </c>
      <c r="R240" s="942">
        <v>260</v>
      </c>
      <c r="S240" s="1039"/>
      <c r="T240" s="941"/>
      <c r="U240" s="952"/>
      <c r="V240" s="951"/>
      <c r="W240" s="1106">
        <v>260</v>
      </c>
      <c r="X240" s="1177"/>
      <c r="Y240" s="1161"/>
      <c r="Z240" s="1161"/>
      <c r="AA240" s="1161"/>
      <c r="AB240" s="1161"/>
      <c r="AC240" s="1161"/>
      <c r="AD240" s="1161"/>
      <c r="AE240" s="1161"/>
      <c r="AF240" s="1161"/>
      <c r="AG240" s="1062"/>
    </row>
    <row r="241" spans="1:33" s="944" customFormat="1" ht="57.75" customHeight="1">
      <c r="A241" s="706">
        <v>1230</v>
      </c>
      <c r="B241" s="947" t="s">
        <v>826</v>
      </c>
      <c r="C241" s="1082" t="s">
        <v>827</v>
      </c>
      <c r="D241" s="951"/>
      <c r="E241" s="726">
        <v>5</v>
      </c>
      <c r="F241" s="709">
        <v>43360</v>
      </c>
      <c r="G241" s="709">
        <f t="shared" si="66"/>
        <v>43365</v>
      </c>
      <c r="H241" s="938" t="s">
        <v>785</v>
      </c>
      <c r="I241" s="706" t="s">
        <v>170</v>
      </c>
      <c r="J241" s="728"/>
      <c r="K241" s="938" t="s">
        <v>831</v>
      </c>
      <c r="L241" s="1236">
        <v>23174</v>
      </c>
      <c r="M241" s="951"/>
      <c r="N241" s="951"/>
      <c r="O241" s="949">
        <v>1173.3333333333333</v>
      </c>
      <c r="P241" s="938">
        <v>1</v>
      </c>
      <c r="Q241" s="1106">
        <f>O241*P241</f>
        <v>1173.3333333333333</v>
      </c>
      <c r="R241" s="942">
        <v>1173.3333333333333</v>
      </c>
      <c r="S241" s="1039"/>
      <c r="T241" s="941"/>
      <c r="U241" s="952"/>
      <c r="V241" s="951"/>
      <c r="W241" s="1106">
        <v>1173.3333333333333</v>
      </c>
      <c r="X241" s="1177"/>
      <c r="Y241" s="1161"/>
      <c r="Z241" s="1161"/>
      <c r="AA241" s="1161"/>
      <c r="AB241" s="1161"/>
      <c r="AC241" s="1161"/>
      <c r="AD241" s="1161"/>
      <c r="AE241" s="1161"/>
      <c r="AF241" s="1161"/>
      <c r="AG241" s="1062"/>
    </row>
    <row r="242" spans="1:33" s="944" customFormat="1" ht="57.75" customHeight="1">
      <c r="A242" s="706">
        <v>1230</v>
      </c>
      <c r="B242" s="947" t="s">
        <v>826</v>
      </c>
      <c r="C242" s="1082" t="s">
        <v>827</v>
      </c>
      <c r="D242" s="951"/>
      <c r="E242" s="726">
        <v>5</v>
      </c>
      <c r="F242" s="709">
        <v>43360</v>
      </c>
      <c r="G242" s="709">
        <f t="shared" si="66"/>
        <v>43365</v>
      </c>
      <c r="H242" s="938" t="s">
        <v>785</v>
      </c>
      <c r="I242" s="706" t="s">
        <v>170</v>
      </c>
      <c r="J242" s="728"/>
      <c r="K242" s="938" t="s">
        <v>832</v>
      </c>
      <c r="L242" s="1236">
        <v>23174</v>
      </c>
      <c r="M242" s="951"/>
      <c r="N242" s="951"/>
      <c r="O242" s="949">
        <v>146.66666666666666</v>
      </c>
      <c r="P242" s="938">
        <v>1</v>
      </c>
      <c r="Q242" s="1106">
        <f>P242*O242</f>
        <v>146.66666666666666</v>
      </c>
      <c r="R242" s="942">
        <v>146.66666666666666</v>
      </c>
      <c r="S242" s="1039"/>
      <c r="T242" s="941"/>
      <c r="U242" s="952"/>
      <c r="V242" s="951"/>
      <c r="W242" s="1106">
        <v>146.66666666666666</v>
      </c>
      <c r="X242" s="1177"/>
      <c r="Y242" s="1161"/>
      <c r="Z242" s="1161"/>
      <c r="AA242" s="1161"/>
      <c r="AB242" s="1161"/>
      <c r="AC242" s="1161"/>
      <c r="AD242" s="1161"/>
      <c r="AE242" s="1161"/>
      <c r="AF242" s="1161"/>
      <c r="AG242" s="1062"/>
    </row>
    <row r="243" spans="1:33" s="944" customFormat="1" ht="57.75" customHeight="1">
      <c r="A243" s="706">
        <v>1230</v>
      </c>
      <c r="B243" s="947" t="s">
        <v>826</v>
      </c>
      <c r="C243" s="1082" t="s">
        <v>827</v>
      </c>
      <c r="D243" s="951"/>
      <c r="E243" s="726">
        <v>5</v>
      </c>
      <c r="F243" s="709">
        <v>43360</v>
      </c>
      <c r="G243" s="709">
        <f t="shared" si="66"/>
        <v>43365</v>
      </c>
      <c r="H243" s="938" t="s">
        <v>785</v>
      </c>
      <c r="I243" s="706" t="s">
        <v>170</v>
      </c>
      <c r="J243" s="728"/>
      <c r="K243" s="938" t="s">
        <v>833</v>
      </c>
      <c r="L243" s="1236">
        <v>23174</v>
      </c>
      <c r="M243" s="951"/>
      <c r="N243" s="951"/>
      <c r="O243" s="949">
        <v>1088</v>
      </c>
      <c r="P243" s="938">
        <v>1</v>
      </c>
      <c r="Q243" s="1106">
        <f>P243*O243</f>
        <v>1088</v>
      </c>
      <c r="R243" s="942">
        <v>1088</v>
      </c>
      <c r="S243" s="1039"/>
      <c r="T243" s="941"/>
      <c r="U243" s="952"/>
      <c r="V243" s="951"/>
      <c r="W243" s="1106">
        <v>1088</v>
      </c>
      <c r="X243" s="1177"/>
      <c r="Y243" s="1161"/>
      <c r="Z243" s="1161"/>
      <c r="AA243" s="1161"/>
      <c r="AB243" s="1161"/>
      <c r="AC243" s="1161"/>
      <c r="AD243" s="1161"/>
      <c r="AE243" s="1161"/>
      <c r="AF243" s="1161"/>
      <c r="AG243" s="1062"/>
    </row>
    <row r="244" spans="1:33" s="944" customFormat="1" ht="57.75" customHeight="1">
      <c r="A244" s="706">
        <v>1230</v>
      </c>
      <c r="B244" s="947" t="s">
        <v>826</v>
      </c>
      <c r="C244" s="1082" t="s">
        <v>827</v>
      </c>
      <c r="D244" s="951"/>
      <c r="E244" s="726">
        <v>5</v>
      </c>
      <c r="F244" s="709">
        <v>43360</v>
      </c>
      <c r="G244" s="709">
        <f t="shared" si="66"/>
        <v>43365</v>
      </c>
      <c r="H244" s="938" t="s">
        <v>785</v>
      </c>
      <c r="I244" s="706" t="s">
        <v>170</v>
      </c>
      <c r="J244" s="728"/>
      <c r="K244" s="938" t="s">
        <v>834</v>
      </c>
      <c r="L244" s="1236">
        <v>23174</v>
      </c>
      <c r="M244" s="951"/>
      <c r="N244" s="951"/>
      <c r="O244" s="949">
        <v>680</v>
      </c>
      <c r="P244" s="938">
        <v>1</v>
      </c>
      <c r="Q244" s="1106">
        <f>O244*P244</f>
        <v>680</v>
      </c>
      <c r="R244" s="942">
        <v>680</v>
      </c>
      <c r="S244" s="1039"/>
      <c r="T244" s="941"/>
      <c r="U244" s="952"/>
      <c r="V244" s="951"/>
      <c r="W244" s="1106">
        <v>680</v>
      </c>
      <c r="X244" s="1177"/>
      <c r="Y244" s="1161"/>
      <c r="Z244" s="1161"/>
      <c r="AA244" s="1161"/>
      <c r="AB244" s="1161"/>
      <c r="AC244" s="1161"/>
      <c r="AD244" s="1161"/>
      <c r="AE244" s="1161"/>
      <c r="AF244" s="1161"/>
      <c r="AG244" s="1062"/>
    </row>
    <row r="245" spans="1:33" s="944" customFormat="1" ht="57.75" customHeight="1">
      <c r="A245" s="706">
        <v>1230</v>
      </c>
      <c r="B245" s="947" t="s">
        <v>826</v>
      </c>
      <c r="C245" s="1082" t="s">
        <v>827</v>
      </c>
      <c r="D245" s="951"/>
      <c r="E245" s="726"/>
      <c r="F245" s="709"/>
      <c r="G245" s="709"/>
      <c r="H245" s="938" t="s">
        <v>785</v>
      </c>
      <c r="I245" s="706" t="s">
        <v>170</v>
      </c>
      <c r="J245" s="728"/>
      <c r="K245" s="1330" t="s">
        <v>835</v>
      </c>
      <c r="L245" s="1236">
        <v>23173</v>
      </c>
      <c r="M245" s="951"/>
      <c r="N245" s="951"/>
      <c r="O245" s="949">
        <v>30.331</v>
      </c>
      <c r="P245" s="938">
        <v>1</v>
      </c>
      <c r="Q245" s="1106">
        <f>O245*P245</f>
        <v>30.331</v>
      </c>
      <c r="R245" s="942">
        <v>30.331</v>
      </c>
      <c r="S245" s="1039"/>
      <c r="T245" s="941"/>
      <c r="U245" s="952"/>
      <c r="V245" s="951"/>
      <c r="W245" s="1106">
        <v>30.331</v>
      </c>
      <c r="X245" s="1177"/>
      <c r="Y245" s="1161"/>
      <c r="Z245" s="1161"/>
      <c r="AA245" s="1161"/>
      <c r="AB245" s="1161"/>
      <c r="AC245" s="1161"/>
      <c r="AD245" s="1161"/>
      <c r="AE245" s="1161"/>
      <c r="AF245" s="1161"/>
      <c r="AG245" s="1062"/>
    </row>
    <row r="246" spans="1:33" s="944" customFormat="1" ht="57.75" customHeight="1">
      <c r="A246" s="706">
        <v>1230</v>
      </c>
      <c r="B246" s="947" t="s">
        <v>826</v>
      </c>
      <c r="C246" s="1082" t="s">
        <v>827</v>
      </c>
      <c r="D246" s="951"/>
      <c r="E246" s="726"/>
      <c r="F246" s="726"/>
      <c r="G246" s="726"/>
      <c r="H246" s="938" t="s">
        <v>785</v>
      </c>
      <c r="I246" s="706" t="s">
        <v>170</v>
      </c>
      <c r="J246" s="728"/>
      <c r="K246" s="938" t="s">
        <v>415</v>
      </c>
      <c r="L246" s="1236">
        <v>23173</v>
      </c>
      <c r="M246" s="951"/>
      <c r="N246" s="951"/>
      <c r="O246" s="949">
        <v>833.33333333333337</v>
      </c>
      <c r="P246" s="938">
        <v>1</v>
      </c>
      <c r="Q246" s="1106">
        <f>O246*P246</f>
        <v>833.33333333333337</v>
      </c>
      <c r="R246" s="942">
        <v>833.33333333333337</v>
      </c>
      <c r="S246" s="1039"/>
      <c r="T246" s="941"/>
      <c r="U246" s="952"/>
      <c r="V246" s="951"/>
      <c r="W246" s="1106">
        <v>833.33333333333337</v>
      </c>
      <c r="X246" s="1177"/>
      <c r="Y246" s="1161"/>
      <c r="Z246" s="1161"/>
      <c r="AA246" s="1161"/>
      <c r="AB246" s="1161"/>
      <c r="AC246" s="1161"/>
      <c r="AD246" s="1161"/>
      <c r="AE246" s="1161"/>
      <c r="AF246" s="1161"/>
      <c r="AG246" s="1062"/>
    </row>
    <row r="247" spans="1:33" s="992" customFormat="1" ht="33.75" customHeight="1">
      <c r="A247" s="1539" t="s">
        <v>235</v>
      </c>
      <c r="B247" s="1460"/>
      <c r="C247" s="1499"/>
      <c r="D247" s="1331"/>
      <c r="E247" s="1331"/>
      <c r="F247" s="1331"/>
      <c r="G247" s="1331"/>
      <c r="H247" s="1331"/>
      <c r="I247" s="1332"/>
      <c r="J247" s="265"/>
      <c r="K247" s="1247"/>
      <c r="L247" s="1262"/>
      <c r="M247" s="1263"/>
      <c r="N247" s="1261"/>
      <c r="O247" s="1264"/>
      <c r="P247" s="1261"/>
      <c r="Q247" s="1265">
        <f>Q248+Q328+Q375</f>
        <v>688782.5104266667</v>
      </c>
      <c r="R247" s="1266">
        <f>+R248+R328+R375</f>
        <v>688782.21375999996</v>
      </c>
      <c r="S247" s="1265">
        <f t="shared" ref="S247:Y247" si="67">S248+S328+S375</f>
        <v>0</v>
      </c>
      <c r="T247" s="1265">
        <f t="shared" si="67"/>
        <v>1700</v>
      </c>
      <c r="U247" s="1265">
        <f t="shared" si="67"/>
        <v>152563.84376000002</v>
      </c>
      <c r="V247" s="1265">
        <f t="shared" si="67"/>
        <v>137838.66666666669</v>
      </c>
      <c r="W247" s="1265">
        <f t="shared" si="67"/>
        <v>64436</v>
      </c>
      <c r="X247" s="1333">
        <f t="shared" si="67"/>
        <v>109804</v>
      </c>
      <c r="Y247" s="1334">
        <f t="shared" si="67"/>
        <v>187000</v>
      </c>
      <c r="Z247" s="1193">
        <f t="shared" ref="Z247:AG247" si="68">Z248+Z328+Z375</f>
        <v>11600</v>
      </c>
      <c r="AA247" s="1193">
        <f t="shared" si="68"/>
        <v>11640</v>
      </c>
      <c r="AB247" s="1193">
        <f t="shared" si="68"/>
        <v>500</v>
      </c>
      <c r="AC247" s="1193">
        <f t="shared" si="68"/>
        <v>500</v>
      </c>
      <c r="AD247" s="1193">
        <f t="shared" si="68"/>
        <v>10200</v>
      </c>
      <c r="AE247" s="1193">
        <f t="shared" si="68"/>
        <v>500</v>
      </c>
      <c r="AF247" s="1193">
        <f t="shared" si="68"/>
        <v>500</v>
      </c>
      <c r="AG247" s="268">
        <f t="shared" si="68"/>
        <v>688782.5104266667</v>
      </c>
    </row>
    <row r="248" spans="1:33" ht="37.5" customHeight="1">
      <c r="A248" s="1540" t="s">
        <v>236</v>
      </c>
      <c r="B248" s="1461"/>
      <c r="C248" s="1500"/>
      <c r="D248" s="1335"/>
      <c r="E248" s="1335"/>
      <c r="F248" s="1335"/>
      <c r="G248" s="1335"/>
      <c r="H248" s="1335"/>
      <c r="I248" s="1336"/>
      <c r="J248" s="273"/>
      <c r="K248" s="1248"/>
      <c r="L248" s="1269"/>
      <c r="M248" s="1270"/>
      <c r="N248" s="1268"/>
      <c r="O248" s="1271"/>
      <c r="P248" s="1268"/>
      <c r="Q248" s="1272">
        <f>+Q249+Q258+Q270+Q289+Q308</f>
        <v>300354.41666666669</v>
      </c>
      <c r="R248" s="1273">
        <f>+'[2]Compil Costing PPA 3 millions'!F7</f>
        <v>300354.12</v>
      </c>
      <c r="S248" s="1272">
        <f t="shared" ref="S248:AB248" si="69">+S249+S258+S270+S289+S308</f>
        <v>0</v>
      </c>
      <c r="T248" s="1272">
        <f t="shared" si="69"/>
        <v>0</v>
      </c>
      <c r="U248" s="1272">
        <f t="shared" si="69"/>
        <v>79470.75</v>
      </c>
      <c r="V248" s="1272">
        <f t="shared" si="69"/>
        <v>40583.666666666672</v>
      </c>
      <c r="W248" s="1272">
        <f t="shared" si="69"/>
        <v>54436</v>
      </c>
      <c r="X248" s="1337">
        <f t="shared" si="69"/>
        <v>45624</v>
      </c>
      <c r="Y248" s="1338">
        <f t="shared" si="69"/>
        <v>77200</v>
      </c>
      <c r="Z248" s="1071">
        <f t="shared" si="69"/>
        <v>0</v>
      </c>
      <c r="AA248" s="1071">
        <f t="shared" si="69"/>
        <v>3040</v>
      </c>
      <c r="AB248" s="1071">
        <f t="shared" si="69"/>
        <v>0</v>
      </c>
      <c r="AC248" s="1071">
        <f>+AC249+AC258+AC270+AC289+AC308</f>
        <v>0</v>
      </c>
      <c r="AD248" s="1071">
        <f>+AD249+AD258+AD270+AD289+AD308</f>
        <v>0</v>
      </c>
      <c r="AE248" s="1071">
        <f>+AE249+AE258+AE270+AE289+AE308</f>
        <v>0</v>
      </c>
      <c r="AF248" s="1071">
        <f>+AF249+AF258+AF270+AF289+AF308</f>
        <v>0</v>
      </c>
      <c r="AG248" s="276">
        <f>+AG249+AG258+AG270+AG289+AG308</f>
        <v>300354.41666666669</v>
      </c>
    </row>
    <row r="249" spans="1:33" ht="29.25" customHeight="1">
      <c r="A249" s="1275">
        <v>211</v>
      </c>
      <c r="B249" s="995" t="s">
        <v>59</v>
      </c>
      <c r="C249" s="1083"/>
      <c r="D249" s="1339"/>
      <c r="E249" s="1340"/>
      <c r="F249" s="1340"/>
      <c r="G249" s="1340"/>
      <c r="H249" s="1339"/>
      <c r="I249" s="1341"/>
      <c r="J249" s="283"/>
      <c r="K249" s="1278"/>
      <c r="L249" s="1279"/>
      <c r="M249" s="1280"/>
      <c r="N249" s="1277"/>
      <c r="O249" s="1281"/>
      <c r="P249" s="1277"/>
      <c r="Q249" s="1282">
        <f>SUM(Q250:Q257)</f>
        <v>32625.75</v>
      </c>
      <c r="R249" s="287"/>
      <c r="S249" s="1282">
        <f t="shared" ref="S249:AB249" si="70">SUM(S250:S257)</f>
        <v>0</v>
      </c>
      <c r="T249" s="1282">
        <f t="shared" si="70"/>
        <v>0</v>
      </c>
      <c r="U249" s="1282">
        <f t="shared" si="70"/>
        <v>32625.75</v>
      </c>
      <c r="V249" s="1282">
        <f t="shared" si="70"/>
        <v>0</v>
      </c>
      <c r="W249" s="1282">
        <f t="shared" si="70"/>
        <v>0</v>
      </c>
      <c r="X249" s="1342">
        <f t="shared" si="70"/>
        <v>0</v>
      </c>
      <c r="Y249" s="1343">
        <f t="shared" si="70"/>
        <v>0</v>
      </c>
      <c r="Z249" s="1151">
        <f t="shared" si="70"/>
        <v>0</v>
      </c>
      <c r="AA249" s="1151">
        <f t="shared" si="70"/>
        <v>0</v>
      </c>
      <c r="AB249" s="1151">
        <f t="shared" si="70"/>
        <v>0</v>
      </c>
      <c r="AC249" s="1151">
        <f>SUM(AC250:AC257)</f>
        <v>0</v>
      </c>
      <c r="AD249" s="1151">
        <f>SUM(AD250:AD257)</f>
        <v>0</v>
      </c>
      <c r="AE249" s="1151">
        <f>SUM(AE250:AE257)</f>
        <v>0</v>
      </c>
      <c r="AF249" s="1151">
        <f>SUM(AF250:AF257)</f>
        <v>0</v>
      </c>
      <c r="AG249" s="1151">
        <f>SUM(S249:AF249)</f>
        <v>32625.75</v>
      </c>
    </row>
    <row r="250" spans="1:33" ht="32.25" customHeight="1">
      <c r="A250" s="1442">
        <v>2111</v>
      </c>
      <c r="B250" s="973" t="s">
        <v>59</v>
      </c>
      <c r="C250" s="824" t="s">
        <v>293</v>
      </c>
      <c r="D250" s="326"/>
      <c r="E250" s="294">
        <v>5</v>
      </c>
      <c r="F250" s="293">
        <v>43221</v>
      </c>
      <c r="G250" s="293">
        <f>+E250+F250</f>
        <v>43226</v>
      </c>
      <c r="H250" s="293" t="s">
        <v>294</v>
      </c>
      <c r="I250" s="294" t="s">
        <v>171</v>
      </c>
      <c r="J250" s="307" t="s">
        <v>295</v>
      </c>
      <c r="K250" s="326" t="s">
        <v>296</v>
      </c>
      <c r="L250" s="1237">
        <v>23174</v>
      </c>
      <c r="M250" s="326"/>
      <c r="N250" s="294"/>
      <c r="O250" s="354">
        <v>1800</v>
      </c>
      <c r="P250" s="294">
        <v>3</v>
      </c>
      <c r="Q250" s="355">
        <f t="shared" ref="Q250:Q257" si="71">+O250*P250</f>
        <v>5400</v>
      </c>
      <c r="R250" s="299"/>
      <c r="S250" s="355"/>
      <c r="T250" s="355"/>
      <c r="U250" s="355">
        <f t="shared" ref="U250:U298" si="72">+Q250</f>
        <v>5400</v>
      </c>
      <c r="V250" s="355"/>
      <c r="W250" s="355"/>
      <c r="X250" s="1137"/>
      <c r="Y250" s="1126"/>
      <c r="Z250" s="1194"/>
      <c r="AA250" s="1194"/>
      <c r="AB250" s="1194"/>
      <c r="AC250" s="1124"/>
      <c r="AD250" s="1124"/>
      <c r="AE250" s="1425"/>
      <c r="AF250" s="1124"/>
      <c r="AG250" s="1126"/>
    </row>
    <row r="251" spans="1:33" ht="32.25" customHeight="1">
      <c r="A251" s="1442">
        <v>2111</v>
      </c>
      <c r="B251" s="973" t="s">
        <v>59</v>
      </c>
      <c r="C251" s="824" t="s">
        <v>293</v>
      </c>
      <c r="D251" s="326"/>
      <c r="E251" s="294">
        <v>5</v>
      </c>
      <c r="F251" s="293">
        <v>43221</v>
      </c>
      <c r="G251" s="293">
        <f t="shared" ref="G251:G257" si="73">+E251+F251</f>
        <v>43226</v>
      </c>
      <c r="H251" s="293" t="s">
        <v>294</v>
      </c>
      <c r="I251" s="294" t="s">
        <v>171</v>
      </c>
      <c r="J251" s="307" t="s">
        <v>295</v>
      </c>
      <c r="K251" s="326" t="s">
        <v>297</v>
      </c>
      <c r="L251" s="1237">
        <v>23174</v>
      </c>
      <c r="M251" s="326"/>
      <c r="N251" s="294"/>
      <c r="O251" s="354">
        <v>177.33333333333334</v>
      </c>
      <c r="P251" s="294">
        <v>3</v>
      </c>
      <c r="Q251" s="355">
        <f t="shared" si="71"/>
        <v>532</v>
      </c>
      <c r="R251" s="299"/>
      <c r="S251" s="355"/>
      <c r="T251" s="355"/>
      <c r="U251" s="355">
        <f t="shared" si="72"/>
        <v>532</v>
      </c>
      <c r="V251" s="355"/>
      <c r="W251" s="355"/>
      <c r="X251" s="1137"/>
      <c r="Y251" s="1126"/>
      <c r="Z251" s="1194"/>
      <c r="AA251" s="1194"/>
      <c r="AB251" s="1194"/>
      <c r="AC251" s="1124"/>
      <c r="AD251" s="1124"/>
      <c r="AE251" s="1425"/>
      <c r="AF251" s="1124"/>
      <c r="AG251" s="1126"/>
    </row>
    <row r="252" spans="1:33" ht="32.25" customHeight="1">
      <c r="A252" s="1442">
        <v>2111</v>
      </c>
      <c r="B252" s="973" t="s">
        <v>59</v>
      </c>
      <c r="C252" s="824" t="s">
        <v>293</v>
      </c>
      <c r="D252" s="326"/>
      <c r="E252" s="294">
        <v>5</v>
      </c>
      <c r="F252" s="293">
        <v>43221</v>
      </c>
      <c r="G252" s="293">
        <f t="shared" si="73"/>
        <v>43226</v>
      </c>
      <c r="H252" s="293" t="s">
        <v>294</v>
      </c>
      <c r="I252" s="294" t="s">
        <v>171</v>
      </c>
      <c r="J252" s="307" t="s">
        <v>295</v>
      </c>
      <c r="K252" s="326" t="s">
        <v>298</v>
      </c>
      <c r="L252" s="1237">
        <v>23174</v>
      </c>
      <c r="M252" s="326"/>
      <c r="N252" s="294"/>
      <c r="O252" s="354">
        <v>224</v>
      </c>
      <c r="P252" s="294">
        <v>3</v>
      </c>
      <c r="Q252" s="355">
        <f t="shared" si="71"/>
        <v>672</v>
      </c>
      <c r="R252" s="299"/>
      <c r="S252" s="355"/>
      <c r="T252" s="355"/>
      <c r="U252" s="355">
        <f t="shared" si="72"/>
        <v>672</v>
      </c>
      <c r="V252" s="355"/>
      <c r="W252" s="355"/>
      <c r="X252" s="1137"/>
      <c r="Y252" s="1126"/>
      <c r="Z252" s="1194"/>
      <c r="AA252" s="1194"/>
      <c r="AB252" s="1194"/>
      <c r="AC252" s="1124"/>
      <c r="AD252" s="1124"/>
      <c r="AE252" s="1425"/>
      <c r="AF252" s="1124"/>
      <c r="AG252" s="1126"/>
    </row>
    <row r="253" spans="1:33" ht="32.25" customHeight="1">
      <c r="A253" s="1442">
        <v>2111</v>
      </c>
      <c r="B253" s="973" t="s">
        <v>59</v>
      </c>
      <c r="C253" s="824" t="s">
        <v>293</v>
      </c>
      <c r="D253" s="326"/>
      <c r="E253" s="294">
        <v>5</v>
      </c>
      <c r="F253" s="293">
        <v>43221</v>
      </c>
      <c r="G253" s="293">
        <f t="shared" si="73"/>
        <v>43226</v>
      </c>
      <c r="H253" s="293" t="s">
        <v>294</v>
      </c>
      <c r="I253" s="294" t="s">
        <v>171</v>
      </c>
      <c r="J253" s="307" t="s">
        <v>295</v>
      </c>
      <c r="K253" s="326" t="s">
        <v>299</v>
      </c>
      <c r="L253" s="1237">
        <v>23174</v>
      </c>
      <c r="M253" s="326"/>
      <c r="N253" s="294"/>
      <c r="O253" s="354">
        <v>166.66666666666666</v>
      </c>
      <c r="P253" s="294">
        <v>3</v>
      </c>
      <c r="Q253" s="355">
        <f t="shared" si="71"/>
        <v>500</v>
      </c>
      <c r="R253" s="299"/>
      <c r="S253" s="355"/>
      <c r="T253" s="355"/>
      <c r="U253" s="355">
        <f t="shared" si="72"/>
        <v>500</v>
      </c>
      <c r="V253" s="355"/>
      <c r="W253" s="355"/>
      <c r="X253" s="1137"/>
      <c r="Y253" s="1126"/>
      <c r="Z253" s="1194"/>
      <c r="AA253" s="1194"/>
      <c r="AB253" s="1194"/>
      <c r="AC253" s="1124"/>
      <c r="AD253" s="1124"/>
      <c r="AE253" s="1425"/>
      <c r="AF253" s="1124"/>
      <c r="AG253" s="1126"/>
    </row>
    <row r="254" spans="1:33" ht="32.25" customHeight="1">
      <c r="A254" s="1442">
        <v>2111</v>
      </c>
      <c r="B254" s="973" t="s">
        <v>59</v>
      </c>
      <c r="C254" s="824" t="s">
        <v>293</v>
      </c>
      <c r="D254" s="326"/>
      <c r="E254" s="294">
        <v>5</v>
      </c>
      <c r="F254" s="293">
        <v>43221</v>
      </c>
      <c r="G254" s="293">
        <f t="shared" si="73"/>
        <v>43226</v>
      </c>
      <c r="H254" s="293" t="s">
        <v>294</v>
      </c>
      <c r="I254" s="294" t="s">
        <v>171</v>
      </c>
      <c r="J254" s="307" t="s">
        <v>295</v>
      </c>
      <c r="K254" s="326" t="s">
        <v>300</v>
      </c>
      <c r="L254" s="1237">
        <v>23174</v>
      </c>
      <c r="M254" s="326"/>
      <c r="N254" s="294"/>
      <c r="O254" s="354">
        <v>426.66666666666669</v>
      </c>
      <c r="P254" s="294">
        <v>3</v>
      </c>
      <c r="Q254" s="355">
        <f t="shared" si="71"/>
        <v>1280</v>
      </c>
      <c r="R254" s="299"/>
      <c r="S254" s="355"/>
      <c r="T254" s="355"/>
      <c r="U254" s="355">
        <f t="shared" si="72"/>
        <v>1280</v>
      </c>
      <c r="V254" s="355"/>
      <c r="W254" s="355"/>
      <c r="X254" s="1137"/>
      <c r="Y254" s="1126"/>
      <c r="Z254" s="1194"/>
      <c r="AA254" s="1194"/>
      <c r="AB254" s="1194"/>
      <c r="AC254" s="1124"/>
      <c r="AD254" s="1124"/>
      <c r="AE254" s="1425"/>
      <c r="AF254" s="1124"/>
      <c r="AG254" s="1126"/>
    </row>
    <row r="255" spans="1:33" ht="32.25" customHeight="1">
      <c r="A255" s="1442">
        <v>2111</v>
      </c>
      <c r="B255" s="973" t="s">
        <v>59</v>
      </c>
      <c r="C255" s="824" t="s">
        <v>293</v>
      </c>
      <c r="D255" s="326"/>
      <c r="E255" s="294">
        <v>5</v>
      </c>
      <c r="F255" s="293">
        <v>43221</v>
      </c>
      <c r="G255" s="293">
        <f t="shared" si="73"/>
        <v>43226</v>
      </c>
      <c r="H255" s="293" t="s">
        <v>294</v>
      </c>
      <c r="I255" s="294" t="s">
        <v>171</v>
      </c>
      <c r="J255" s="307" t="s">
        <v>295</v>
      </c>
      <c r="K255" s="326" t="s">
        <v>301</v>
      </c>
      <c r="L255" s="1237">
        <v>23173</v>
      </c>
      <c r="M255" s="326"/>
      <c r="N255" s="294"/>
      <c r="O255" s="354">
        <v>166.66666666666666</v>
      </c>
      <c r="P255" s="294">
        <v>3</v>
      </c>
      <c r="Q255" s="355">
        <f t="shared" si="71"/>
        <v>500</v>
      </c>
      <c r="R255" s="299"/>
      <c r="S255" s="355"/>
      <c r="T255" s="355"/>
      <c r="U255" s="355">
        <f t="shared" si="72"/>
        <v>500</v>
      </c>
      <c r="V255" s="355"/>
      <c r="W255" s="355"/>
      <c r="X255" s="1137"/>
      <c r="Y255" s="1126"/>
      <c r="Z255" s="1194"/>
      <c r="AA255" s="1194"/>
      <c r="AB255" s="1194"/>
      <c r="AC255" s="1124"/>
      <c r="AD255" s="1124"/>
      <c r="AE255" s="1425"/>
      <c r="AF255" s="1124"/>
      <c r="AG255" s="1126"/>
    </row>
    <row r="256" spans="1:33" ht="32.25" customHeight="1">
      <c r="A256" s="1442">
        <v>2111</v>
      </c>
      <c r="B256" s="973" t="s">
        <v>59</v>
      </c>
      <c r="C256" s="824" t="s">
        <v>293</v>
      </c>
      <c r="D256" s="326"/>
      <c r="E256" s="294">
        <v>5</v>
      </c>
      <c r="F256" s="293">
        <v>43221</v>
      </c>
      <c r="G256" s="293">
        <f t="shared" si="73"/>
        <v>43226</v>
      </c>
      <c r="H256" s="293" t="s">
        <v>294</v>
      </c>
      <c r="I256" s="294" t="s">
        <v>171</v>
      </c>
      <c r="J256" s="307" t="s">
        <v>295</v>
      </c>
      <c r="K256" s="326" t="s">
        <v>302</v>
      </c>
      <c r="L256" s="1237">
        <v>23173</v>
      </c>
      <c r="M256" s="326"/>
      <c r="N256" s="294"/>
      <c r="O256" s="354">
        <v>343.66666666666669</v>
      </c>
      <c r="P256" s="294">
        <v>3</v>
      </c>
      <c r="Q256" s="355">
        <f t="shared" si="71"/>
        <v>1031</v>
      </c>
      <c r="R256" s="299"/>
      <c r="S256" s="355"/>
      <c r="T256" s="355"/>
      <c r="U256" s="355">
        <f t="shared" si="72"/>
        <v>1031</v>
      </c>
      <c r="V256" s="355"/>
      <c r="W256" s="355"/>
      <c r="X256" s="1137"/>
      <c r="Y256" s="1126"/>
      <c r="Z256" s="1194"/>
      <c r="AA256" s="1194"/>
      <c r="AB256" s="1194"/>
      <c r="AC256" s="1124"/>
      <c r="AD256" s="1124"/>
      <c r="AE256" s="1425"/>
      <c r="AF256" s="1124"/>
      <c r="AG256" s="1126"/>
    </row>
    <row r="257" spans="1:33" ht="32.25" customHeight="1">
      <c r="A257" s="1442">
        <v>2112</v>
      </c>
      <c r="B257" s="973" t="s">
        <v>303</v>
      </c>
      <c r="C257" s="824" t="s">
        <v>304</v>
      </c>
      <c r="D257" s="326"/>
      <c r="E257" s="294">
        <v>60</v>
      </c>
      <c r="F257" s="293">
        <v>43221</v>
      </c>
      <c r="G257" s="293">
        <f t="shared" si="73"/>
        <v>43281</v>
      </c>
      <c r="H257" s="293" t="s">
        <v>294</v>
      </c>
      <c r="I257" s="294" t="s">
        <v>171</v>
      </c>
      <c r="J257" s="307" t="s">
        <v>295</v>
      </c>
      <c r="K257" s="326" t="s">
        <v>305</v>
      </c>
      <c r="L257" s="1237">
        <v>2461</v>
      </c>
      <c r="M257" s="326"/>
      <c r="N257" s="294"/>
      <c r="O257" s="354">
        <v>504.68333333333334</v>
      </c>
      <c r="P257" s="294">
        <v>45</v>
      </c>
      <c r="Q257" s="355">
        <f t="shared" si="71"/>
        <v>22710.75</v>
      </c>
      <c r="R257" s="299"/>
      <c r="S257" s="355"/>
      <c r="T257" s="355"/>
      <c r="U257" s="355">
        <f t="shared" si="72"/>
        <v>22710.75</v>
      </c>
      <c r="V257" s="355"/>
      <c r="W257" s="355"/>
      <c r="X257" s="1137"/>
      <c r="Y257" s="1126"/>
      <c r="Z257" s="1194"/>
      <c r="AA257" s="1194"/>
      <c r="AB257" s="1194"/>
      <c r="AC257" s="1124"/>
      <c r="AD257" s="1124"/>
      <c r="AE257" s="1425"/>
      <c r="AF257" s="1124"/>
      <c r="AG257" s="1126"/>
    </row>
    <row r="258" spans="1:33" ht="29.25" customHeight="1">
      <c r="A258" s="1275">
        <v>212</v>
      </c>
      <c r="B258" s="995" t="s">
        <v>306</v>
      </c>
      <c r="C258" s="1083"/>
      <c r="D258" s="1339"/>
      <c r="E258" s="1340"/>
      <c r="F258" s="1340"/>
      <c r="G258" s="1340"/>
      <c r="H258" s="1339"/>
      <c r="I258" s="1341"/>
      <c r="J258" s="283"/>
      <c r="K258" s="1278"/>
      <c r="L258" s="1279"/>
      <c r="M258" s="1280"/>
      <c r="N258" s="1277"/>
      <c r="O258" s="1281"/>
      <c r="P258" s="1277"/>
      <c r="Q258" s="1282">
        <f>SUM(Q259:Q269)</f>
        <v>39681</v>
      </c>
      <c r="R258" s="287"/>
      <c r="S258" s="1282">
        <f t="shared" ref="S258:AF258" si="74">SUM(S259:S269)</f>
        <v>0</v>
      </c>
      <c r="T258" s="1282">
        <f t="shared" si="74"/>
        <v>0</v>
      </c>
      <c r="U258" s="1282">
        <f t="shared" si="74"/>
        <v>11347.666666666666</v>
      </c>
      <c r="V258" s="1282">
        <f t="shared" si="74"/>
        <v>0</v>
      </c>
      <c r="W258" s="1282">
        <f t="shared" si="74"/>
        <v>28333.333333333336</v>
      </c>
      <c r="X258" s="1342">
        <f t="shared" si="74"/>
        <v>0</v>
      </c>
      <c r="Y258" s="1343">
        <f t="shared" si="74"/>
        <v>0</v>
      </c>
      <c r="Z258" s="1151">
        <f t="shared" si="74"/>
        <v>0</v>
      </c>
      <c r="AA258" s="1151">
        <f t="shared" si="74"/>
        <v>0</v>
      </c>
      <c r="AB258" s="1151">
        <f t="shared" si="74"/>
        <v>0</v>
      </c>
      <c r="AC258" s="1151">
        <f t="shared" si="74"/>
        <v>0</v>
      </c>
      <c r="AD258" s="1151">
        <f t="shared" si="74"/>
        <v>0</v>
      </c>
      <c r="AE258" s="1151">
        <f t="shared" si="74"/>
        <v>0</v>
      </c>
      <c r="AF258" s="1151">
        <f t="shared" si="74"/>
        <v>0</v>
      </c>
      <c r="AG258" s="1151">
        <f>SUM(S258:AF258)</f>
        <v>39681</v>
      </c>
    </row>
    <row r="259" spans="1:33" ht="32.25" customHeight="1">
      <c r="A259" s="1442">
        <v>2121</v>
      </c>
      <c r="B259" s="973" t="s">
        <v>60</v>
      </c>
      <c r="C259" s="824" t="s">
        <v>307</v>
      </c>
      <c r="D259" s="326"/>
      <c r="E259" s="294">
        <v>2</v>
      </c>
      <c r="F259" s="293">
        <v>43227</v>
      </c>
      <c r="G259" s="293">
        <f t="shared" ref="G259:G269" si="75">+E259+F259</f>
        <v>43229</v>
      </c>
      <c r="H259" s="293" t="s">
        <v>294</v>
      </c>
      <c r="I259" s="294" t="s">
        <v>171</v>
      </c>
      <c r="J259" s="307" t="s">
        <v>295</v>
      </c>
      <c r="K259" s="326" t="s">
        <v>308</v>
      </c>
      <c r="L259" s="1237">
        <v>23173</v>
      </c>
      <c r="M259" s="326"/>
      <c r="N259" s="294"/>
      <c r="O259" s="1114">
        <v>270</v>
      </c>
      <c r="P259" s="294">
        <v>1</v>
      </c>
      <c r="Q259" s="355">
        <v>90</v>
      </c>
      <c r="R259" s="299"/>
      <c r="S259" s="355"/>
      <c r="T259" s="355"/>
      <c r="U259" s="355">
        <f t="shared" si="72"/>
        <v>90</v>
      </c>
      <c r="V259" s="355"/>
      <c r="W259" s="355"/>
      <c r="X259" s="1137"/>
      <c r="Y259" s="1126"/>
      <c r="Z259" s="1194"/>
      <c r="AA259" s="1194"/>
      <c r="AB259" s="1194"/>
      <c r="AC259" s="1124"/>
      <c r="AD259" s="1124"/>
      <c r="AE259" s="1425"/>
      <c r="AF259" s="1124"/>
      <c r="AG259" s="1126"/>
    </row>
    <row r="260" spans="1:33" ht="32.25" customHeight="1">
      <c r="A260" s="1442">
        <v>2121</v>
      </c>
      <c r="B260" s="973" t="s">
        <v>60</v>
      </c>
      <c r="C260" s="824" t="s">
        <v>307</v>
      </c>
      <c r="D260" s="326"/>
      <c r="E260" s="294">
        <v>2</v>
      </c>
      <c r="F260" s="293">
        <v>43227</v>
      </c>
      <c r="G260" s="293">
        <f t="shared" si="75"/>
        <v>43229</v>
      </c>
      <c r="H260" s="293" t="s">
        <v>294</v>
      </c>
      <c r="I260" s="294" t="s">
        <v>171</v>
      </c>
      <c r="J260" s="307" t="s">
        <v>295</v>
      </c>
      <c r="K260" s="326" t="s">
        <v>309</v>
      </c>
      <c r="L260" s="1237">
        <v>23173</v>
      </c>
      <c r="M260" s="326"/>
      <c r="N260" s="294"/>
      <c r="O260" s="1114">
        <v>1260</v>
      </c>
      <c r="P260" s="294">
        <v>1</v>
      </c>
      <c r="Q260" s="355">
        <v>420</v>
      </c>
      <c r="R260" s="299"/>
      <c r="S260" s="355"/>
      <c r="T260" s="355"/>
      <c r="U260" s="355">
        <f t="shared" si="72"/>
        <v>420</v>
      </c>
      <c r="V260" s="355"/>
      <c r="W260" s="355"/>
      <c r="X260" s="1137"/>
      <c r="Y260" s="1126"/>
      <c r="Z260" s="1194"/>
      <c r="AA260" s="1194"/>
      <c r="AB260" s="1194"/>
      <c r="AC260" s="1124"/>
      <c r="AD260" s="1124"/>
      <c r="AE260" s="1425"/>
      <c r="AF260" s="1124"/>
      <c r="AG260" s="1126"/>
    </row>
    <row r="261" spans="1:33" ht="32.25" customHeight="1">
      <c r="A261" s="1442">
        <v>2121</v>
      </c>
      <c r="B261" s="973" t="s">
        <v>60</v>
      </c>
      <c r="C261" s="824" t="s">
        <v>307</v>
      </c>
      <c r="D261" s="326"/>
      <c r="E261" s="294">
        <v>2</v>
      </c>
      <c r="F261" s="293">
        <v>43227</v>
      </c>
      <c r="G261" s="293">
        <f t="shared" si="75"/>
        <v>43229</v>
      </c>
      <c r="H261" s="293" t="s">
        <v>294</v>
      </c>
      <c r="I261" s="294" t="s">
        <v>171</v>
      </c>
      <c r="J261" s="307" t="s">
        <v>295</v>
      </c>
      <c r="K261" s="1023" t="s">
        <v>310</v>
      </c>
      <c r="L261" s="1237">
        <v>23174</v>
      </c>
      <c r="M261" s="326"/>
      <c r="N261" s="294"/>
      <c r="O261" s="1114">
        <v>11400</v>
      </c>
      <c r="P261" s="294">
        <v>1</v>
      </c>
      <c r="Q261" s="355">
        <v>3800</v>
      </c>
      <c r="R261" s="299"/>
      <c r="S261" s="355"/>
      <c r="T261" s="355"/>
      <c r="U261" s="355">
        <f t="shared" si="72"/>
        <v>3800</v>
      </c>
      <c r="V261" s="355"/>
      <c r="W261" s="355"/>
      <c r="X261" s="1137"/>
      <c r="Y261" s="1126"/>
      <c r="Z261" s="1194"/>
      <c r="AA261" s="1194"/>
      <c r="AB261" s="1194"/>
      <c r="AC261" s="1124"/>
      <c r="AD261" s="1124"/>
      <c r="AE261" s="1425"/>
      <c r="AF261" s="1124"/>
      <c r="AG261" s="1126"/>
    </row>
    <row r="262" spans="1:33" ht="32.25" customHeight="1">
      <c r="A262" s="1442">
        <v>2121</v>
      </c>
      <c r="B262" s="973" t="s">
        <v>60</v>
      </c>
      <c r="C262" s="824" t="s">
        <v>307</v>
      </c>
      <c r="D262" s="326"/>
      <c r="E262" s="294">
        <v>2</v>
      </c>
      <c r="F262" s="293">
        <v>43227</v>
      </c>
      <c r="G262" s="293">
        <f t="shared" si="75"/>
        <v>43229</v>
      </c>
      <c r="H262" s="293" t="s">
        <v>294</v>
      </c>
      <c r="I262" s="294" t="s">
        <v>171</v>
      </c>
      <c r="J262" s="307" t="s">
        <v>295</v>
      </c>
      <c r="K262" s="326" t="s">
        <v>311</v>
      </c>
      <c r="L262" s="1237">
        <v>23174</v>
      </c>
      <c r="M262" s="326"/>
      <c r="N262" s="294"/>
      <c r="O262" s="1114">
        <v>1200</v>
      </c>
      <c r="P262" s="294">
        <v>1</v>
      </c>
      <c r="Q262" s="355">
        <v>400</v>
      </c>
      <c r="R262" s="299"/>
      <c r="S262" s="355"/>
      <c r="T262" s="355"/>
      <c r="U262" s="355">
        <f t="shared" si="72"/>
        <v>400</v>
      </c>
      <c r="V262" s="355"/>
      <c r="W262" s="355"/>
      <c r="X262" s="1137"/>
      <c r="Y262" s="1126"/>
      <c r="Z262" s="1194"/>
      <c r="AA262" s="1194"/>
      <c r="AB262" s="1194"/>
      <c r="AC262" s="1124"/>
      <c r="AD262" s="1124"/>
      <c r="AE262" s="1425"/>
      <c r="AF262" s="1124"/>
      <c r="AG262" s="1126"/>
    </row>
    <row r="263" spans="1:33" ht="32.25" customHeight="1">
      <c r="A263" s="1442">
        <v>2121</v>
      </c>
      <c r="B263" s="973" t="s">
        <v>60</v>
      </c>
      <c r="C263" s="824" t="s">
        <v>307</v>
      </c>
      <c r="D263" s="326"/>
      <c r="E263" s="294">
        <v>2</v>
      </c>
      <c r="F263" s="293">
        <v>43227</v>
      </c>
      <c r="G263" s="293">
        <f t="shared" si="75"/>
        <v>43229</v>
      </c>
      <c r="H263" s="293" t="s">
        <v>294</v>
      </c>
      <c r="I263" s="294" t="s">
        <v>171</v>
      </c>
      <c r="J263" s="307" t="s">
        <v>295</v>
      </c>
      <c r="K263" s="326" t="s">
        <v>301</v>
      </c>
      <c r="L263" s="1237">
        <v>23173</v>
      </c>
      <c r="M263" s="326"/>
      <c r="N263" s="294"/>
      <c r="O263" s="1114">
        <v>900</v>
      </c>
      <c r="P263" s="294">
        <v>1</v>
      </c>
      <c r="Q263" s="355">
        <v>300</v>
      </c>
      <c r="R263" s="299"/>
      <c r="S263" s="355"/>
      <c r="T263" s="355"/>
      <c r="U263" s="355">
        <f t="shared" si="72"/>
        <v>300</v>
      </c>
      <c r="V263" s="355"/>
      <c r="W263" s="355"/>
      <c r="X263" s="1137"/>
      <c r="Y263" s="1126"/>
      <c r="Z263" s="1194"/>
      <c r="AA263" s="1194"/>
      <c r="AB263" s="1194"/>
      <c r="AC263" s="1124"/>
      <c r="AD263" s="1124"/>
      <c r="AE263" s="1425"/>
      <c r="AF263" s="1124"/>
      <c r="AG263" s="1126"/>
    </row>
    <row r="264" spans="1:33" ht="32.25" customHeight="1">
      <c r="A264" s="1442">
        <v>2121</v>
      </c>
      <c r="B264" s="973" t="s">
        <v>60</v>
      </c>
      <c r="C264" s="824" t="s">
        <v>307</v>
      </c>
      <c r="D264" s="326"/>
      <c r="E264" s="294">
        <v>2</v>
      </c>
      <c r="F264" s="293">
        <v>43227</v>
      </c>
      <c r="G264" s="293">
        <f t="shared" si="75"/>
        <v>43229</v>
      </c>
      <c r="H264" s="293" t="s">
        <v>294</v>
      </c>
      <c r="I264" s="294" t="s">
        <v>171</v>
      </c>
      <c r="J264" s="307" t="s">
        <v>295</v>
      </c>
      <c r="K264" s="1023" t="s">
        <v>312</v>
      </c>
      <c r="L264" s="1237">
        <v>23173</v>
      </c>
      <c r="M264" s="326"/>
      <c r="N264" s="294"/>
      <c r="O264" s="1114">
        <v>300</v>
      </c>
      <c r="P264" s="294">
        <v>1</v>
      </c>
      <c r="Q264" s="355">
        <v>100</v>
      </c>
      <c r="R264" s="299"/>
      <c r="S264" s="355"/>
      <c r="T264" s="355"/>
      <c r="U264" s="355">
        <f t="shared" si="72"/>
        <v>100</v>
      </c>
      <c r="V264" s="355"/>
      <c r="W264" s="355"/>
      <c r="X264" s="1137"/>
      <c r="Y264" s="1126"/>
      <c r="Z264" s="1194"/>
      <c r="AA264" s="1194"/>
      <c r="AB264" s="1194"/>
      <c r="AC264" s="1124"/>
      <c r="AD264" s="1124"/>
      <c r="AE264" s="1425"/>
      <c r="AF264" s="1124"/>
      <c r="AG264" s="1126"/>
    </row>
    <row r="265" spans="1:33" ht="32.25" customHeight="1">
      <c r="A265" s="1442">
        <v>2121</v>
      </c>
      <c r="B265" s="973" t="s">
        <v>60</v>
      </c>
      <c r="C265" s="824" t="s">
        <v>307</v>
      </c>
      <c r="D265" s="326"/>
      <c r="E265" s="294">
        <v>2</v>
      </c>
      <c r="F265" s="293">
        <v>43227</v>
      </c>
      <c r="G265" s="293">
        <f t="shared" si="75"/>
        <v>43229</v>
      </c>
      <c r="H265" s="293" t="s">
        <v>294</v>
      </c>
      <c r="I265" s="294" t="s">
        <v>171</v>
      </c>
      <c r="J265" s="307" t="s">
        <v>295</v>
      </c>
      <c r="K265" s="326" t="s">
        <v>302</v>
      </c>
      <c r="L265" s="1237">
        <v>23173</v>
      </c>
      <c r="M265" s="326"/>
      <c r="N265" s="294"/>
      <c r="O265" s="1114">
        <v>713</v>
      </c>
      <c r="P265" s="294">
        <v>1</v>
      </c>
      <c r="Q265" s="355">
        <v>237.66666666666666</v>
      </c>
      <c r="R265" s="299"/>
      <c r="S265" s="355"/>
      <c r="T265" s="355"/>
      <c r="U265" s="355">
        <f t="shared" si="72"/>
        <v>237.66666666666666</v>
      </c>
      <c r="V265" s="355"/>
      <c r="W265" s="355"/>
      <c r="X265" s="1137"/>
      <c r="Y265" s="1126"/>
      <c r="Z265" s="1194"/>
      <c r="AA265" s="1194"/>
      <c r="AB265" s="1194"/>
      <c r="AC265" s="1124"/>
      <c r="AD265" s="1124"/>
      <c r="AE265" s="1425"/>
      <c r="AF265" s="1124"/>
      <c r="AG265" s="1126"/>
    </row>
    <row r="266" spans="1:33" ht="32.25" customHeight="1">
      <c r="A266" s="1442">
        <v>2122</v>
      </c>
      <c r="B266" s="973" t="s">
        <v>313</v>
      </c>
      <c r="C266" s="1493" t="s">
        <v>314</v>
      </c>
      <c r="D266" s="326"/>
      <c r="E266" s="294">
        <v>60</v>
      </c>
      <c r="F266" s="293">
        <v>43221</v>
      </c>
      <c r="G266" s="293">
        <f t="shared" si="75"/>
        <v>43281</v>
      </c>
      <c r="H266" s="293" t="s">
        <v>294</v>
      </c>
      <c r="I266" s="294" t="s">
        <v>171</v>
      </c>
      <c r="J266" s="307" t="s">
        <v>295</v>
      </c>
      <c r="K266" s="326" t="s">
        <v>315</v>
      </c>
      <c r="L266" s="1237">
        <v>2313</v>
      </c>
      <c r="M266" s="326"/>
      <c r="N266" s="294"/>
      <c r="O266" s="354">
        <v>3333.3333333333335</v>
      </c>
      <c r="P266" s="294">
        <v>1</v>
      </c>
      <c r="Q266" s="355">
        <f>+O266*P266</f>
        <v>3333.3333333333335</v>
      </c>
      <c r="R266" s="299"/>
      <c r="S266" s="355"/>
      <c r="T266" s="355"/>
      <c r="U266" s="355">
        <f t="shared" si="72"/>
        <v>3333.3333333333335</v>
      </c>
      <c r="V266" s="355"/>
      <c r="W266" s="355"/>
      <c r="X266" s="1137"/>
      <c r="Y266" s="1126"/>
      <c r="Z266" s="1194"/>
      <c r="AA266" s="1194"/>
      <c r="AB266" s="1194"/>
      <c r="AC266" s="1124"/>
      <c r="AD266" s="1124"/>
      <c r="AE266" s="1425"/>
      <c r="AF266" s="1124"/>
      <c r="AG266" s="1126"/>
    </row>
    <row r="267" spans="1:33" ht="32.25" customHeight="1">
      <c r="A267" s="1442">
        <v>2123</v>
      </c>
      <c r="B267" s="974" t="s">
        <v>316</v>
      </c>
      <c r="C267" s="1493" t="s">
        <v>314</v>
      </c>
      <c r="D267" s="326"/>
      <c r="E267" s="294">
        <v>60</v>
      </c>
      <c r="F267" s="293">
        <v>43221</v>
      </c>
      <c r="G267" s="293">
        <f t="shared" si="75"/>
        <v>43281</v>
      </c>
      <c r="H267" s="293" t="s">
        <v>294</v>
      </c>
      <c r="I267" s="294" t="s">
        <v>171</v>
      </c>
      <c r="J267" s="307" t="s">
        <v>295</v>
      </c>
      <c r="K267" s="326" t="s">
        <v>317</v>
      </c>
      <c r="L267" s="1237">
        <v>2313</v>
      </c>
      <c r="M267" s="326"/>
      <c r="N267" s="294"/>
      <c r="O267" s="354">
        <v>2666.6666666666665</v>
      </c>
      <c r="P267" s="294">
        <v>1</v>
      </c>
      <c r="Q267" s="355">
        <f>+O267*P267</f>
        <v>2666.6666666666665</v>
      </c>
      <c r="R267" s="299"/>
      <c r="S267" s="355"/>
      <c r="T267" s="355"/>
      <c r="U267" s="355">
        <f t="shared" si="72"/>
        <v>2666.6666666666665</v>
      </c>
      <c r="V267" s="355"/>
      <c r="W267" s="355"/>
      <c r="X267" s="1137"/>
      <c r="Y267" s="1126"/>
      <c r="Z267" s="1194"/>
      <c r="AA267" s="1194"/>
      <c r="AB267" s="1194"/>
      <c r="AC267" s="1124"/>
      <c r="AD267" s="1124"/>
      <c r="AE267" s="1425"/>
      <c r="AF267" s="1124"/>
      <c r="AG267" s="1126"/>
    </row>
    <row r="268" spans="1:33" ht="32.25" customHeight="1">
      <c r="A268" s="1442">
        <v>2124</v>
      </c>
      <c r="B268" s="974" t="s">
        <v>318</v>
      </c>
      <c r="C268" s="1493" t="s">
        <v>319</v>
      </c>
      <c r="D268" s="326"/>
      <c r="E268" s="294">
        <v>15</v>
      </c>
      <c r="F268" s="293">
        <v>43283</v>
      </c>
      <c r="G268" s="293">
        <f t="shared" si="75"/>
        <v>43298</v>
      </c>
      <c r="H268" s="293" t="s">
        <v>294</v>
      </c>
      <c r="I268" s="294" t="s">
        <v>171</v>
      </c>
      <c r="J268" s="307" t="s">
        <v>295</v>
      </c>
      <c r="K268" s="311" t="s">
        <v>320</v>
      </c>
      <c r="L268" s="1237">
        <v>23173</v>
      </c>
      <c r="M268" s="326"/>
      <c r="N268" s="294"/>
      <c r="O268" s="354">
        <v>16666.666666666668</v>
      </c>
      <c r="P268" s="354">
        <v>0.5</v>
      </c>
      <c r="Q268" s="355">
        <f>+O268*P268</f>
        <v>8333.3333333333339</v>
      </c>
      <c r="R268" s="299"/>
      <c r="S268" s="355"/>
      <c r="T268" s="355"/>
      <c r="U268" s="355"/>
      <c r="V268" s="355"/>
      <c r="W268" s="355">
        <f>+Q268</f>
        <v>8333.3333333333339</v>
      </c>
      <c r="X268" s="1137"/>
      <c r="Y268" s="1126"/>
      <c r="Z268" s="1194"/>
      <c r="AA268" s="1194"/>
      <c r="AB268" s="1194"/>
      <c r="AC268" s="1124"/>
      <c r="AD268" s="1124"/>
      <c r="AE268" s="1425"/>
      <c r="AF268" s="1124"/>
      <c r="AG268" s="1126"/>
    </row>
    <row r="269" spans="1:33" ht="32.25" customHeight="1">
      <c r="A269" s="1442">
        <v>2125</v>
      </c>
      <c r="B269" s="975" t="s">
        <v>61</v>
      </c>
      <c r="C269" s="1501" t="s">
        <v>321</v>
      </c>
      <c r="D269" s="326"/>
      <c r="E269" s="294">
        <v>15</v>
      </c>
      <c r="F269" s="293">
        <v>43304</v>
      </c>
      <c r="G269" s="293">
        <f t="shared" si="75"/>
        <v>43319</v>
      </c>
      <c r="H269" s="293" t="s">
        <v>294</v>
      </c>
      <c r="I269" s="294" t="s">
        <v>171</v>
      </c>
      <c r="J269" s="307" t="s">
        <v>295</v>
      </c>
      <c r="K269" s="326" t="s">
        <v>322</v>
      </c>
      <c r="L269" s="1237">
        <v>2315</v>
      </c>
      <c r="M269" s="326"/>
      <c r="N269" s="294"/>
      <c r="O269" s="354">
        <v>333.33333333333331</v>
      </c>
      <c r="P269" s="294">
        <v>60</v>
      </c>
      <c r="Q269" s="355">
        <f>+O269*P269</f>
        <v>20000</v>
      </c>
      <c r="R269" s="299"/>
      <c r="S269" s="355"/>
      <c r="T269" s="355"/>
      <c r="U269" s="355"/>
      <c r="V269" s="355"/>
      <c r="W269" s="355">
        <f>+Q269</f>
        <v>20000</v>
      </c>
      <c r="X269" s="1137"/>
      <c r="Y269" s="1126"/>
      <c r="Z269" s="1194"/>
      <c r="AA269" s="1194"/>
      <c r="AB269" s="1194"/>
      <c r="AC269" s="1124"/>
      <c r="AD269" s="1124"/>
      <c r="AE269" s="1425"/>
      <c r="AF269" s="1124"/>
      <c r="AG269" s="1126"/>
    </row>
    <row r="270" spans="1:33" ht="29.25" customHeight="1">
      <c r="A270" s="1275">
        <v>213</v>
      </c>
      <c r="B270" s="995" t="s">
        <v>323</v>
      </c>
      <c r="C270" s="1083"/>
      <c r="D270" s="1339"/>
      <c r="E270" s="1340"/>
      <c r="F270" s="1340"/>
      <c r="G270" s="1340"/>
      <c r="H270" s="1339"/>
      <c r="I270" s="1341"/>
      <c r="J270" s="283"/>
      <c r="K270" s="1278"/>
      <c r="L270" s="1279"/>
      <c r="M270" s="1280"/>
      <c r="N270" s="1277"/>
      <c r="O270" s="1281"/>
      <c r="P270" s="1277"/>
      <c r="Q270" s="1282">
        <f>SUM(Q271:Q288)</f>
        <v>127504</v>
      </c>
      <c r="R270" s="287"/>
      <c r="S270" s="1282">
        <f t="shared" ref="S270:AF270" si="76">SUM(S271:S288)</f>
        <v>0</v>
      </c>
      <c r="T270" s="1282">
        <f t="shared" si="76"/>
        <v>0</v>
      </c>
      <c r="U270" s="1282">
        <f t="shared" si="76"/>
        <v>0</v>
      </c>
      <c r="V270" s="1282">
        <f t="shared" si="76"/>
        <v>0</v>
      </c>
      <c r="W270" s="1282">
        <f t="shared" si="76"/>
        <v>4680</v>
      </c>
      <c r="X270" s="1342">
        <f t="shared" si="76"/>
        <v>45624</v>
      </c>
      <c r="Y270" s="1343">
        <f t="shared" si="76"/>
        <v>77200</v>
      </c>
      <c r="Z270" s="1151">
        <f t="shared" si="76"/>
        <v>0</v>
      </c>
      <c r="AA270" s="1151">
        <f t="shared" si="76"/>
        <v>0</v>
      </c>
      <c r="AB270" s="1151">
        <f t="shared" si="76"/>
        <v>0</v>
      </c>
      <c r="AC270" s="1151">
        <f t="shared" si="76"/>
        <v>0</v>
      </c>
      <c r="AD270" s="1151">
        <f t="shared" si="76"/>
        <v>0</v>
      </c>
      <c r="AE270" s="1151">
        <f t="shared" si="76"/>
        <v>0</v>
      </c>
      <c r="AF270" s="1151">
        <f t="shared" si="76"/>
        <v>0</v>
      </c>
      <c r="AG270" s="1151">
        <f>SUM(S270:AF270)</f>
        <v>127504</v>
      </c>
    </row>
    <row r="271" spans="1:33" ht="45">
      <c r="A271" s="1442">
        <v>2131</v>
      </c>
      <c r="B271" s="974" t="s">
        <v>62</v>
      </c>
      <c r="C271" s="1493" t="s">
        <v>324</v>
      </c>
      <c r="D271" s="326"/>
      <c r="E271" s="294">
        <v>1</v>
      </c>
      <c r="F271" s="293">
        <v>43318</v>
      </c>
      <c r="G271" s="293">
        <f t="shared" ref="G271:G288" si="77">+E271+F271</f>
        <v>43319</v>
      </c>
      <c r="H271" s="293" t="s">
        <v>294</v>
      </c>
      <c r="I271" s="294" t="s">
        <v>171</v>
      </c>
      <c r="J271" s="307" t="s">
        <v>295</v>
      </c>
      <c r="K271" s="1023" t="s">
        <v>296</v>
      </c>
      <c r="L271" s="1237">
        <v>23174</v>
      </c>
      <c r="M271" s="326"/>
      <c r="N271" s="294"/>
      <c r="O271" s="354">
        <v>36</v>
      </c>
      <c r="P271" s="294">
        <v>60</v>
      </c>
      <c r="Q271" s="355">
        <f t="shared" ref="Q271:Q288" si="78">+O271*P271</f>
        <v>2160</v>
      </c>
      <c r="R271" s="299"/>
      <c r="S271" s="355"/>
      <c r="T271" s="355"/>
      <c r="U271" s="355"/>
      <c r="V271" s="355"/>
      <c r="W271" s="355">
        <v>1080</v>
      </c>
      <c r="X271" s="1137">
        <v>1080</v>
      </c>
      <c r="Y271" s="1126"/>
      <c r="Z271" s="1194"/>
      <c r="AA271" s="1194"/>
      <c r="AB271" s="1194"/>
      <c r="AC271" s="1124"/>
      <c r="AD271" s="1124"/>
      <c r="AE271" s="1425"/>
      <c r="AF271" s="1124"/>
      <c r="AG271" s="1126"/>
    </row>
    <row r="272" spans="1:33" ht="45">
      <c r="A272" s="1442">
        <v>2131</v>
      </c>
      <c r="B272" s="974" t="s">
        <v>62</v>
      </c>
      <c r="C272" s="1493" t="s">
        <v>324</v>
      </c>
      <c r="D272" s="326"/>
      <c r="E272" s="294">
        <v>1</v>
      </c>
      <c r="F272" s="293">
        <v>43304</v>
      </c>
      <c r="G272" s="293">
        <f t="shared" si="77"/>
        <v>43305</v>
      </c>
      <c r="H272" s="293" t="s">
        <v>294</v>
      </c>
      <c r="I272" s="294" t="s">
        <v>171</v>
      </c>
      <c r="J272" s="307" t="s">
        <v>295</v>
      </c>
      <c r="K272" s="1023" t="s">
        <v>325</v>
      </c>
      <c r="L272" s="1237">
        <v>23174</v>
      </c>
      <c r="M272" s="326"/>
      <c r="N272" s="294"/>
      <c r="O272" s="354">
        <v>10</v>
      </c>
      <c r="P272" s="294">
        <v>60</v>
      </c>
      <c r="Q272" s="355">
        <f t="shared" si="78"/>
        <v>600</v>
      </c>
      <c r="R272" s="299"/>
      <c r="S272" s="355"/>
      <c r="T272" s="355"/>
      <c r="U272" s="355"/>
      <c r="V272" s="355"/>
      <c r="W272" s="355">
        <v>300</v>
      </c>
      <c r="X272" s="1137">
        <v>300</v>
      </c>
      <c r="Y272" s="1126"/>
      <c r="Z272" s="1194"/>
      <c r="AA272" s="1194"/>
      <c r="AB272" s="1194"/>
      <c r="AC272" s="1124"/>
      <c r="AD272" s="1124"/>
      <c r="AE272" s="1425"/>
      <c r="AF272" s="1124"/>
      <c r="AG272" s="1126"/>
    </row>
    <row r="273" spans="1:33" ht="45">
      <c r="A273" s="1442">
        <v>2131</v>
      </c>
      <c r="B273" s="974" t="s">
        <v>62</v>
      </c>
      <c r="C273" s="1493" t="s">
        <v>324</v>
      </c>
      <c r="D273" s="326"/>
      <c r="E273" s="294">
        <v>1</v>
      </c>
      <c r="F273" s="293">
        <v>43304</v>
      </c>
      <c r="G273" s="293">
        <f t="shared" si="77"/>
        <v>43305</v>
      </c>
      <c r="H273" s="293" t="s">
        <v>294</v>
      </c>
      <c r="I273" s="294" t="s">
        <v>171</v>
      </c>
      <c r="J273" s="307" t="s">
        <v>295</v>
      </c>
      <c r="K273" s="1023" t="s">
        <v>326</v>
      </c>
      <c r="L273" s="1237">
        <v>23174</v>
      </c>
      <c r="M273" s="326"/>
      <c r="N273" s="294"/>
      <c r="O273" s="354">
        <v>100</v>
      </c>
      <c r="P273" s="294">
        <v>60</v>
      </c>
      <c r="Q273" s="355">
        <f t="shared" si="78"/>
        <v>6000</v>
      </c>
      <c r="R273" s="299"/>
      <c r="S273" s="355"/>
      <c r="T273" s="355"/>
      <c r="U273" s="355"/>
      <c r="V273" s="355"/>
      <c r="W273" s="355">
        <v>3000</v>
      </c>
      <c r="X273" s="1137">
        <v>3000</v>
      </c>
      <c r="Y273" s="1126"/>
      <c r="Z273" s="1194"/>
      <c r="AA273" s="1194"/>
      <c r="AB273" s="1194"/>
      <c r="AC273" s="1124"/>
      <c r="AD273" s="1124"/>
      <c r="AE273" s="1425"/>
      <c r="AF273" s="1124"/>
      <c r="AG273" s="1126"/>
    </row>
    <row r="274" spans="1:33" ht="45">
      <c r="A274" s="1442">
        <v>2131</v>
      </c>
      <c r="B274" s="974" t="s">
        <v>62</v>
      </c>
      <c r="C274" s="1493" t="s">
        <v>324</v>
      </c>
      <c r="D274" s="326"/>
      <c r="E274" s="294">
        <v>1</v>
      </c>
      <c r="F274" s="293">
        <v>43304</v>
      </c>
      <c r="G274" s="293">
        <f t="shared" si="77"/>
        <v>43305</v>
      </c>
      <c r="H274" s="293" t="s">
        <v>294</v>
      </c>
      <c r="I274" s="294" t="s">
        <v>171</v>
      </c>
      <c r="J274" s="307" t="s">
        <v>295</v>
      </c>
      <c r="K274" s="1023" t="s">
        <v>312</v>
      </c>
      <c r="L274" s="1237">
        <v>23173</v>
      </c>
      <c r="M274" s="326"/>
      <c r="N274" s="294"/>
      <c r="O274" s="354">
        <v>10</v>
      </c>
      <c r="P274" s="294">
        <v>60</v>
      </c>
      <c r="Q274" s="355">
        <f t="shared" si="78"/>
        <v>600</v>
      </c>
      <c r="R274" s="299"/>
      <c r="S274" s="355"/>
      <c r="T274" s="355"/>
      <c r="U274" s="355"/>
      <c r="V274" s="355"/>
      <c r="W274" s="355">
        <v>300</v>
      </c>
      <c r="X274" s="1137">
        <v>300</v>
      </c>
      <c r="Y274" s="1126"/>
      <c r="Z274" s="1194"/>
      <c r="AA274" s="1194"/>
      <c r="AB274" s="1194"/>
      <c r="AC274" s="1124"/>
      <c r="AD274" s="1124"/>
      <c r="AE274" s="1425"/>
      <c r="AF274" s="1124"/>
      <c r="AG274" s="1126"/>
    </row>
    <row r="275" spans="1:33" ht="32.25" customHeight="1">
      <c r="A275" s="1442">
        <v>2132</v>
      </c>
      <c r="B275" s="974" t="s">
        <v>63</v>
      </c>
      <c r="C275" s="1493" t="s">
        <v>327</v>
      </c>
      <c r="D275" s="326"/>
      <c r="E275" s="294">
        <v>3</v>
      </c>
      <c r="F275" s="293">
        <v>43318</v>
      </c>
      <c r="G275" s="293">
        <f t="shared" si="77"/>
        <v>43321</v>
      </c>
      <c r="H275" s="293" t="s">
        <v>294</v>
      </c>
      <c r="I275" s="294" t="s">
        <v>171</v>
      </c>
      <c r="J275" s="307" t="s">
        <v>295</v>
      </c>
      <c r="K275" s="1023" t="s">
        <v>328</v>
      </c>
      <c r="L275" s="1237">
        <v>23174</v>
      </c>
      <c r="M275" s="326"/>
      <c r="N275" s="294"/>
      <c r="O275" s="354">
        <v>380</v>
      </c>
      <c r="P275" s="294">
        <v>3</v>
      </c>
      <c r="Q275" s="355">
        <f t="shared" si="78"/>
        <v>1140</v>
      </c>
      <c r="R275" s="299"/>
      <c r="S275" s="355"/>
      <c r="T275" s="355"/>
      <c r="U275" s="355"/>
      <c r="V275" s="355"/>
      <c r="W275" s="355"/>
      <c r="X275" s="1137">
        <f t="shared" ref="X275:X286" si="79">+Q275</f>
        <v>1140</v>
      </c>
      <c r="Y275" s="1126"/>
      <c r="Z275" s="1194"/>
      <c r="AA275" s="1194"/>
      <c r="AB275" s="1194"/>
      <c r="AC275" s="1124"/>
      <c r="AD275" s="1124"/>
      <c r="AE275" s="1425"/>
      <c r="AF275" s="1124"/>
      <c r="AG275" s="1126"/>
    </row>
    <row r="276" spans="1:33" ht="32.25" customHeight="1">
      <c r="A276" s="1442">
        <v>2132</v>
      </c>
      <c r="B276" s="974" t="s">
        <v>63</v>
      </c>
      <c r="C276" s="1493" t="s">
        <v>327</v>
      </c>
      <c r="D276" s="326"/>
      <c r="E276" s="294">
        <v>3</v>
      </c>
      <c r="F276" s="293">
        <v>43318</v>
      </c>
      <c r="G276" s="293">
        <f t="shared" si="77"/>
        <v>43321</v>
      </c>
      <c r="H276" s="293" t="s">
        <v>294</v>
      </c>
      <c r="I276" s="294" t="s">
        <v>171</v>
      </c>
      <c r="J276" s="307" t="s">
        <v>295</v>
      </c>
      <c r="K276" s="1023" t="s">
        <v>325</v>
      </c>
      <c r="L276" s="1237">
        <v>23174</v>
      </c>
      <c r="M276" s="326"/>
      <c r="N276" s="294"/>
      <c r="O276" s="354">
        <v>96.666666666666671</v>
      </c>
      <c r="P276" s="294">
        <v>3</v>
      </c>
      <c r="Q276" s="355">
        <f t="shared" si="78"/>
        <v>290</v>
      </c>
      <c r="R276" s="299"/>
      <c r="S276" s="355"/>
      <c r="T276" s="355"/>
      <c r="U276" s="355"/>
      <c r="V276" s="355"/>
      <c r="W276" s="355"/>
      <c r="X276" s="1137">
        <f t="shared" si="79"/>
        <v>290</v>
      </c>
      <c r="Y276" s="1126"/>
      <c r="Z276" s="1194"/>
      <c r="AA276" s="1194"/>
      <c r="AB276" s="1194"/>
      <c r="AC276" s="1124"/>
      <c r="AD276" s="1124"/>
      <c r="AE276" s="1425"/>
      <c r="AF276" s="1124"/>
      <c r="AG276" s="1126"/>
    </row>
    <row r="277" spans="1:33" ht="32.25" customHeight="1">
      <c r="A277" s="1442">
        <v>2132</v>
      </c>
      <c r="B277" s="974" t="s">
        <v>63</v>
      </c>
      <c r="C277" s="1493" t="s">
        <v>327</v>
      </c>
      <c r="D277" s="326"/>
      <c r="E277" s="294">
        <v>3</v>
      </c>
      <c r="F277" s="293">
        <v>43318</v>
      </c>
      <c r="G277" s="293">
        <f t="shared" si="77"/>
        <v>43321</v>
      </c>
      <c r="H277" s="293" t="s">
        <v>294</v>
      </c>
      <c r="I277" s="294" t="s">
        <v>171</v>
      </c>
      <c r="J277" s="307" t="s">
        <v>295</v>
      </c>
      <c r="K277" s="1023" t="s">
        <v>329</v>
      </c>
      <c r="L277" s="1237">
        <v>23174</v>
      </c>
      <c r="M277" s="326"/>
      <c r="N277" s="294"/>
      <c r="O277" s="354">
        <v>1000</v>
      </c>
      <c r="P277" s="294">
        <v>3</v>
      </c>
      <c r="Q277" s="355">
        <f t="shared" si="78"/>
        <v>3000</v>
      </c>
      <c r="R277" s="299"/>
      <c r="S277" s="355"/>
      <c r="T277" s="355"/>
      <c r="U277" s="355"/>
      <c r="V277" s="355"/>
      <c r="W277" s="355"/>
      <c r="X277" s="1137">
        <f t="shared" si="79"/>
        <v>3000</v>
      </c>
      <c r="Y277" s="1126"/>
      <c r="Z277" s="1194"/>
      <c r="AA277" s="1194"/>
      <c r="AB277" s="1194"/>
      <c r="AC277" s="1124"/>
      <c r="AD277" s="1124"/>
      <c r="AE277" s="1425"/>
      <c r="AF277" s="1124"/>
      <c r="AG277" s="1126"/>
    </row>
    <row r="278" spans="1:33" ht="32.25" customHeight="1">
      <c r="A278" s="1442">
        <v>2132</v>
      </c>
      <c r="B278" s="974" t="s">
        <v>63</v>
      </c>
      <c r="C278" s="1493" t="s">
        <v>327</v>
      </c>
      <c r="D278" s="326"/>
      <c r="E278" s="294">
        <v>3</v>
      </c>
      <c r="F278" s="293">
        <v>43318</v>
      </c>
      <c r="G278" s="293">
        <f t="shared" si="77"/>
        <v>43321</v>
      </c>
      <c r="H278" s="293" t="s">
        <v>294</v>
      </c>
      <c r="I278" s="294" t="s">
        <v>171</v>
      </c>
      <c r="J278" s="307" t="s">
        <v>295</v>
      </c>
      <c r="K278" s="1023" t="s">
        <v>326</v>
      </c>
      <c r="L278" s="1237">
        <v>23174</v>
      </c>
      <c r="M278" s="294"/>
      <c r="N278" s="294"/>
      <c r="O278" s="354">
        <v>100</v>
      </c>
      <c r="P278" s="294">
        <v>3</v>
      </c>
      <c r="Q278" s="355">
        <f t="shared" si="78"/>
        <v>300</v>
      </c>
      <c r="R278" s="299"/>
      <c r="S278" s="355"/>
      <c r="T278" s="355"/>
      <c r="U278" s="355"/>
      <c r="V278" s="355"/>
      <c r="W278" s="355"/>
      <c r="X278" s="1137">
        <f t="shared" si="79"/>
        <v>300</v>
      </c>
      <c r="Y278" s="1126"/>
      <c r="Z278" s="1194"/>
      <c r="AA278" s="1194"/>
      <c r="AB278" s="1194"/>
      <c r="AC278" s="1124"/>
      <c r="AD278" s="1124"/>
      <c r="AE278" s="1425"/>
      <c r="AF278" s="1124"/>
      <c r="AG278" s="1126"/>
    </row>
    <row r="279" spans="1:33" ht="32.25" customHeight="1">
      <c r="A279" s="1442">
        <v>2133</v>
      </c>
      <c r="B279" s="976" t="s">
        <v>64</v>
      </c>
      <c r="C279" s="1501" t="s">
        <v>330</v>
      </c>
      <c r="D279" s="326"/>
      <c r="E279" s="294">
        <v>2</v>
      </c>
      <c r="F279" s="293">
        <v>43325</v>
      </c>
      <c r="G279" s="293">
        <f t="shared" si="77"/>
        <v>43327</v>
      </c>
      <c r="H279" s="293" t="s">
        <v>294</v>
      </c>
      <c r="I279" s="294" t="s">
        <v>171</v>
      </c>
      <c r="J279" s="307" t="s">
        <v>295</v>
      </c>
      <c r="K279" s="1023" t="s">
        <v>296</v>
      </c>
      <c r="L279" s="1237">
        <v>23174</v>
      </c>
      <c r="M279" s="294"/>
      <c r="N279" s="294"/>
      <c r="O279" s="354">
        <v>900</v>
      </c>
      <c r="P279" s="998">
        <v>3</v>
      </c>
      <c r="Q279" s="355">
        <f t="shared" si="78"/>
        <v>2700</v>
      </c>
      <c r="R279" s="299"/>
      <c r="S279" s="355"/>
      <c r="T279" s="355"/>
      <c r="U279" s="355"/>
      <c r="V279" s="355"/>
      <c r="W279" s="355"/>
      <c r="X279" s="1137">
        <f t="shared" si="79"/>
        <v>2700</v>
      </c>
      <c r="Y279" s="1126"/>
      <c r="Z279" s="1194"/>
      <c r="AA279" s="1194"/>
      <c r="AB279" s="1194"/>
      <c r="AC279" s="1124"/>
      <c r="AD279" s="1124"/>
      <c r="AE279" s="1425"/>
      <c r="AF279" s="1124"/>
      <c r="AG279" s="1126"/>
    </row>
    <row r="280" spans="1:33" ht="32.25" customHeight="1">
      <c r="A280" s="1442">
        <v>2133</v>
      </c>
      <c r="B280" s="976" t="s">
        <v>64</v>
      </c>
      <c r="C280" s="1501" t="s">
        <v>330</v>
      </c>
      <c r="D280" s="326"/>
      <c r="E280" s="294">
        <v>2</v>
      </c>
      <c r="F280" s="293">
        <v>43325</v>
      </c>
      <c r="G280" s="293">
        <f t="shared" si="77"/>
        <v>43327</v>
      </c>
      <c r="H280" s="293" t="s">
        <v>294</v>
      </c>
      <c r="I280" s="294" t="s">
        <v>171</v>
      </c>
      <c r="J280" s="307" t="s">
        <v>295</v>
      </c>
      <c r="K280" s="1023" t="s">
        <v>297</v>
      </c>
      <c r="L280" s="1237">
        <v>23174</v>
      </c>
      <c r="M280" s="294"/>
      <c r="N280" s="294"/>
      <c r="O280" s="354">
        <v>101.33333333333333</v>
      </c>
      <c r="P280" s="998">
        <v>3</v>
      </c>
      <c r="Q280" s="355">
        <f t="shared" si="78"/>
        <v>304</v>
      </c>
      <c r="R280" s="299"/>
      <c r="S280" s="355"/>
      <c r="T280" s="355"/>
      <c r="U280" s="355"/>
      <c r="V280" s="355"/>
      <c r="W280" s="355"/>
      <c r="X280" s="1137">
        <f t="shared" si="79"/>
        <v>304</v>
      </c>
      <c r="Y280" s="1126"/>
      <c r="Z280" s="1194"/>
      <c r="AA280" s="1194"/>
      <c r="AB280" s="1194"/>
      <c r="AC280" s="1124"/>
      <c r="AD280" s="1124"/>
      <c r="AE280" s="1425"/>
      <c r="AF280" s="1124"/>
      <c r="AG280" s="1126"/>
    </row>
    <row r="281" spans="1:33" ht="32.25" customHeight="1">
      <c r="A281" s="1442">
        <v>2133</v>
      </c>
      <c r="B281" s="976" t="s">
        <v>64</v>
      </c>
      <c r="C281" s="1501" t="s">
        <v>330</v>
      </c>
      <c r="D281" s="326"/>
      <c r="E281" s="294">
        <v>2</v>
      </c>
      <c r="F281" s="293">
        <v>43325</v>
      </c>
      <c r="G281" s="293">
        <f t="shared" si="77"/>
        <v>43327</v>
      </c>
      <c r="H281" s="293" t="s">
        <v>294</v>
      </c>
      <c r="I281" s="294" t="s">
        <v>171</v>
      </c>
      <c r="J281" s="307" t="s">
        <v>295</v>
      </c>
      <c r="K281" s="1023" t="s">
        <v>331</v>
      </c>
      <c r="L281" s="1237">
        <v>23174</v>
      </c>
      <c r="M281" s="294"/>
      <c r="N281" s="294"/>
      <c r="O281" s="354">
        <v>112</v>
      </c>
      <c r="P281" s="998">
        <v>3</v>
      </c>
      <c r="Q281" s="355">
        <f t="shared" si="78"/>
        <v>336</v>
      </c>
      <c r="R281" s="299"/>
      <c r="S281" s="355"/>
      <c r="T281" s="355"/>
      <c r="U281" s="355"/>
      <c r="V281" s="355"/>
      <c r="W281" s="355"/>
      <c r="X281" s="1137">
        <f t="shared" si="79"/>
        <v>336</v>
      </c>
      <c r="Y281" s="1126"/>
      <c r="Z281" s="1194"/>
      <c r="AA281" s="1194"/>
      <c r="AB281" s="1194"/>
      <c r="AC281" s="1124"/>
      <c r="AD281" s="1124"/>
      <c r="AE281" s="1425"/>
      <c r="AF281" s="1124"/>
      <c r="AG281" s="1126"/>
    </row>
    <row r="282" spans="1:33" ht="32.25" customHeight="1">
      <c r="A282" s="1442">
        <v>2133</v>
      </c>
      <c r="B282" s="976" t="s">
        <v>64</v>
      </c>
      <c r="C282" s="1501" t="s">
        <v>330</v>
      </c>
      <c r="D282" s="326"/>
      <c r="E282" s="294">
        <v>2</v>
      </c>
      <c r="F282" s="293">
        <v>43325</v>
      </c>
      <c r="G282" s="293">
        <f t="shared" si="77"/>
        <v>43327</v>
      </c>
      <c r="H282" s="293" t="s">
        <v>294</v>
      </c>
      <c r="I282" s="294" t="s">
        <v>171</v>
      </c>
      <c r="J282" s="307" t="s">
        <v>295</v>
      </c>
      <c r="K282" s="1023" t="s">
        <v>332</v>
      </c>
      <c r="L282" s="1237">
        <v>23174</v>
      </c>
      <c r="M282" s="294"/>
      <c r="N282" s="294"/>
      <c r="O282" s="354">
        <v>166.66666666666666</v>
      </c>
      <c r="P282" s="998">
        <v>3</v>
      </c>
      <c r="Q282" s="355">
        <f t="shared" si="78"/>
        <v>500</v>
      </c>
      <c r="R282" s="299"/>
      <c r="S282" s="355"/>
      <c r="T282" s="355"/>
      <c r="U282" s="355"/>
      <c r="V282" s="355"/>
      <c r="W282" s="355"/>
      <c r="X282" s="1137">
        <f t="shared" si="79"/>
        <v>500</v>
      </c>
      <c r="Y282" s="1126"/>
      <c r="Z282" s="1194"/>
      <c r="AA282" s="1194"/>
      <c r="AB282" s="1194"/>
      <c r="AC282" s="1124"/>
      <c r="AD282" s="1124"/>
      <c r="AE282" s="1425"/>
      <c r="AF282" s="1124"/>
      <c r="AG282" s="1126"/>
    </row>
    <row r="283" spans="1:33" ht="32.25" customHeight="1">
      <c r="A283" s="1442">
        <v>2133</v>
      </c>
      <c r="B283" s="976" t="s">
        <v>64</v>
      </c>
      <c r="C283" s="1501" t="s">
        <v>330</v>
      </c>
      <c r="D283" s="326"/>
      <c r="E283" s="294">
        <v>2</v>
      </c>
      <c r="F283" s="293">
        <v>43325</v>
      </c>
      <c r="G283" s="293">
        <f t="shared" si="77"/>
        <v>43327</v>
      </c>
      <c r="H283" s="293" t="s">
        <v>294</v>
      </c>
      <c r="I283" s="294" t="s">
        <v>171</v>
      </c>
      <c r="J283" s="307" t="s">
        <v>295</v>
      </c>
      <c r="K283" s="1023" t="s">
        <v>311</v>
      </c>
      <c r="L283" s="1237">
        <v>23174</v>
      </c>
      <c r="M283" s="294"/>
      <c r="N283" s="294"/>
      <c r="O283" s="354">
        <v>426.66666666666669</v>
      </c>
      <c r="P283" s="998">
        <v>3</v>
      </c>
      <c r="Q283" s="355">
        <f t="shared" si="78"/>
        <v>1280</v>
      </c>
      <c r="R283" s="299"/>
      <c r="S283" s="355"/>
      <c r="T283" s="355"/>
      <c r="U283" s="355"/>
      <c r="V283" s="355"/>
      <c r="W283" s="355"/>
      <c r="X283" s="1137">
        <f t="shared" si="79"/>
        <v>1280</v>
      </c>
      <c r="Y283" s="1126"/>
      <c r="Z283" s="1194"/>
      <c r="AA283" s="1194"/>
      <c r="AB283" s="1194"/>
      <c r="AC283" s="1124"/>
      <c r="AD283" s="1124"/>
      <c r="AE283" s="1425"/>
      <c r="AF283" s="1124"/>
      <c r="AG283" s="1126"/>
    </row>
    <row r="284" spans="1:33" ht="32.25" customHeight="1">
      <c r="A284" s="1442">
        <v>2133</v>
      </c>
      <c r="B284" s="976" t="s">
        <v>64</v>
      </c>
      <c r="C284" s="1501" t="s">
        <v>330</v>
      </c>
      <c r="D284" s="326"/>
      <c r="E284" s="294">
        <v>2</v>
      </c>
      <c r="F284" s="293">
        <v>43325</v>
      </c>
      <c r="G284" s="293">
        <f t="shared" si="77"/>
        <v>43327</v>
      </c>
      <c r="H284" s="293" t="s">
        <v>294</v>
      </c>
      <c r="I284" s="294" t="s">
        <v>171</v>
      </c>
      <c r="J284" s="307" t="s">
        <v>295</v>
      </c>
      <c r="K284" s="1023" t="s">
        <v>301</v>
      </c>
      <c r="L284" s="1237">
        <v>23173</v>
      </c>
      <c r="M284" s="294"/>
      <c r="N284" s="294"/>
      <c r="O284" s="354">
        <v>33.333333333333336</v>
      </c>
      <c r="P284" s="998">
        <v>3</v>
      </c>
      <c r="Q284" s="355">
        <f t="shared" si="78"/>
        <v>100</v>
      </c>
      <c r="R284" s="299"/>
      <c r="S284" s="355"/>
      <c r="T284" s="355"/>
      <c r="U284" s="355"/>
      <c r="V284" s="355"/>
      <c r="W284" s="355"/>
      <c r="X284" s="1137">
        <f t="shared" si="79"/>
        <v>100</v>
      </c>
      <c r="Y284" s="1126"/>
      <c r="Z284" s="1194"/>
      <c r="AA284" s="1194"/>
      <c r="AB284" s="1194"/>
      <c r="AC284" s="1124"/>
      <c r="AD284" s="1124"/>
      <c r="AE284" s="1425"/>
      <c r="AF284" s="1124"/>
      <c r="AG284" s="1126"/>
    </row>
    <row r="285" spans="1:33" ht="32.25" customHeight="1">
      <c r="A285" s="1442">
        <v>2133</v>
      </c>
      <c r="B285" s="976" t="s">
        <v>64</v>
      </c>
      <c r="C285" s="1501" t="s">
        <v>330</v>
      </c>
      <c r="D285" s="326"/>
      <c r="E285" s="294">
        <v>2</v>
      </c>
      <c r="F285" s="293">
        <v>43325</v>
      </c>
      <c r="G285" s="293">
        <f t="shared" si="77"/>
        <v>43327</v>
      </c>
      <c r="H285" s="293" t="s">
        <v>294</v>
      </c>
      <c r="I285" s="294" t="s">
        <v>171</v>
      </c>
      <c r="J285" s="307" t="s">
        <v>295</v>
      </c>
      <c r="K285" s="1023" t="s">
        <v>302</v>
      </c>
      <c r="L285" s="1237">
        <v>23173</v>
      </c>
      <c r="M285" s="294"/>
      <c r="N285" s="294"/>
      <c r="O285" s="354">
        <v>237.66666666666666</v>
      </c>
      <c r="P285" s="998">
        <v>3</v>
      </c>
      <c r="Q285" s="355">
        <f t="shared" si="78"/>
        <v>713</v>
      </c>
      <c r="R285" s="299"/>
      <c r="S285" s="355"/>
      <c r="T285" s="355"/>
      <c r="U285" s="355"/>
      <c r="V285" s="355"/>
      <c r="W285" s="355"/>
      <c r="X285" s="1137">
        <f t="shared" si="79"/>
        <v>713</v>
      </c>
      <c r="Y285" s="1126"/>
      <c r="Z285" s="1194"/>
      <c r="AA285" s="1194"/>
      <c r="AB285" s="1194"/>
      <c r="AC285" s="1124"/>
      <c r="AD285" s="1124"/>
      <c r="AE285" s="1425"/>
      <c r="AF285" s="1124"/>
      <c r="AG285" s="1126"/>
    </row>
    <row r="286" spans="1:33" ht="32.25" customHeight="1">
      <c r="A286" s="1442">
        <v>2134</v>
      </c>
      <c r="B286" s="974" t="s">
        <v>333</v>
      </c>
      <c r="C286" s="1493" t="s">
        <v>334</v>
      </c>
      <c r="D286" s="326"/>
      <c r="E286" s="294">
        <v>15</v>
      </c>
      <c r="F286" s="293">
        <v>43304</v>
      </c>
      <c r="G286" s="293">
        <f t="shared" si="77"/>
        <v>43319</v>
      </c>
      <c r="H286" s="293" t="s">
        <v>294</v>
      </c>
      <c r="I286" s="294" t="s">
        <v>171</v>
      </c>
      <c r="J286" s="307" t="s">
        <v>295</v>
      </c>
      <c r="K286" s="311" t="s">
        <v>335</v>
      </c>
      <c r="L286" s="1238">
        <v>2461</v>
      </c>
      <c r="M286" s="294"/>
      <c r="N286" s="294"/>
      <c r="O286" s="354">
        <v>504.68333333333334</v>
      </c>
      <c r="P286" s="294">
        <v>60</v>
      </c>
      <c r="Q286" s="355">
        <f t="shared" si="78"/>
        <v>30281</v>
      </c>
      <c r="R286" s="299"/>
      <c r="S286" s="355"/>
      <c r="T286" s="355"/>
      <c r="U286" s="355"/>
      <c r="V286" s="355"/>
      <c r="W286" s="355"/>
      <c r="X286" s="1137">
        <f t="shared" si="79"/>
        <v>30281</v>
      </c>
      <c r="Y286" s="1126"/>
      <c r="Z286" s="1194"/>
      <c r="AA286" s="1194"/>
      <c r="AB286" s="1194"/>
      <c r="AC286" s="1124"/>
      <c r="AD286" s="1124"/>
      <c r="AE286" s="1425"/>
      <c r="AF286" s="1124"/>
      <c r="AG286" s="1126"/>
    </row>
    <row r="287" spans="1:33" ht="32.25" customHeight="1">
      <c r="A287" s="1442">
        <v>2135</v>
      </c>
      <c r="B287" s="974" t="s">
        <v>65</v>
      </c>
      <c r="C287" s="1493" t="s">
        <v>336</v>
      </c>
      <c r="D287" s="326"/>
      <c r="E287" s="294">
        <v>30</v>
      </c>
      <c r="F287" s="293">
        <v>43346</v>
      </c>
      <c r="G287" s="293">
        <f t="shared" si="77"/>
        <v>43376</v>
      </c>
      <c r="H287" s="293" t="s">
        <v>294</v>
      </c>
      <c r="I287" s="294" t="s">
        <v>171</v>
      </c>
      <c r="J287" s="307" t="s">
        <v>295</v>
      </c>
      <c r="K287" s="326" t="s">
        <v>337</v>
      </c>
      <c r="L287" s="1237">
        <v>6552</v>
      </c>
      <c r="M287" s="326"/>
      <c r="N287" s="294"/>
      <c r="O287" s="354">
        <v>1166.6666666666667</v>
      </c>
      <c r="P287" s="294">
        <v>60</v>
      </c>
      <c r="Q287" s="355">
        <f t="shared" si="78"/>
        <v>70000</v>
      </c>
      <c r="R287" s="299"/>
      <c r="S287" s="355"/>
      <c r="T287" s="355"/>
      <c r="U287" s="355"/>
      <c r="V287" s="355"/>
      <c r="W287" s="355"/>
      <c r="X287" s="1137"/>
      <c r="Y287" s="1126">
        <f>+Q287</f>
        <v>70000</v>
      </c>
      <c r="Z287" s="1194"/>
      <c r="AA287" s="1194"/>
      <c r="AB287" s="1194"/>
      <c r="AC287" s="1124"/>
      <c r="AD287" s="1124"/>
      <c r="AE287" s="1425"/>
      <c r="AF287" s="1124"/>
      <c r="AG287" s="1126"/>
    </row>
    <row r="288" spans="1:33" ht="32.25" customHeight="1">
      <c r="A288" s="1442">
        <v>2136</v>
      </c>
      <c r="B288" s="976" t="s">
        <v>66</v>
      </c>
      <c r="C288" s="1501" t="s">
        <v>338</v>
      </c>
      <c r="D288" s="326"/>
      <c r="E288" s="294">
        <v>30</v>
      </c>
      <c r="F288" s="293">
        <v>43346</v>
      </c>
      <c r="G288" s="293">
        <f t="shared" si="77"/>
        <v>43376</v>
      </c>
      <c r="H288" s="293" t="s">
        <v>294</v>
      </c>
      <c r="I288" s="294" t="s">
        <v>171</v>
      </c>
      <c r="J288" s="307" t="s">
        <v>295</v>
      </c>
      <c r="K288" s="326" t="s">
        <v>339</v>
      </c>
      <c r="L288" s="1239">
        <v>6565</v>
      </c>
      <c r="M288" s="326"/>
      <c r="N288" s="294"/>
      <c r="O288" s="354">
        <v>60</v>
      </c>
      <c r="P288" s="294">
        <v>120</v>
      </c>
      <c r="Q288" s="355">
        <f t="shared" si="78"/>
        <v>7200</v>
      </c>
      <c r="R288" s="299"/>
      <c r="S288" s="355"/>
      <c r="T288" s="355"/>
      <c r="U288" s="355"/>
      <c r="V288" s="355"/>
      <c r="W288" s="355"/>
      <c r="X288" s="1137"/>
      <c r="Y288" s="1126">
        <f>+Q288</f>
        <v>7200</v>
      </c>
      <c r="Z288" s="1194"/>
      <c r="AA288" s="1194"/>
      <c r="AB288" s="1194"/>
      <c r="AC288" s="1124"/>
      <c r="AD288" s="1124"/>
      <c r="AE288" s="1425"/>
      <c r="AF288" s="1124"/>
      <c r="AG288" s="1126"/>
    </row>
    <row r="289" spans="1:33" ht="29.25" customHeight="1">
      <c r="A289" s="1275">
        <v>214</v>
      </c>
      <c r="B289" s="995" t="s">
        <v>340</v>
      </c>
      <c r="C289" s="1083"/>
      <c r="D289" s="1339"/>
      <c r="E289" s="1340"/>
      <c r="F289" s="1340"/>
      <c r="G289" s="1340"/>
      <c r="H289" s="1339"/>
      <c r="I289" s="1341"/>
      <c r="J289" s="283"/>
      <c r="K289" s="1278"/>
      <c r="L289" s="1279"/>
      <c r="M289" s="1280"/>
      <c r="N289" s="1277"/>
      <c r="O289" s="1281"/>
      <c r="P289" s="1277"/>
      <c r="Q289" s="1282">
        <f>SUM(Q290:Q307)</f>
        <v>47057.333333333336</v>
      </c>
      <c r="R289" s="287"/>
      <c r="S289" s="1282">
        <f t="shared" ref="S289:AF289" si="80">SUM(S290:S307)</f>
        <v>0</v>
      </c>
      <c r="T289" s="1282">
        <f t="shared" si="80"/>
        <v>0</v>
      </c>
      <c r="U289" s="1282">
        <f t="shared" si="80"/>
        <v>22594.666666666668</v>
      </c>
      <c r="V289" s="1282">
        <f t="shared" si="80"/>
        <v>0</v>
      </c>
      <c r="W289" s="1282">
        <f t="shared" si="80"/>
        <v>21422.666666666668</v>
      </c>
      <c r="X289" s="1342">
        <f t="shared" si="80"/>
        <v>0</v>
      </c>
      <c r="Y289" s="1343">
        <f t="shared" si="80"/>
        <v>0</v>
      </c>
      <c r="Z289" s="1151">
        <f t="shared" si="80"/>
        <v>0</v>
      </c>
      <c r="AA289" s="1151">
        <f t="shared" si="80"/>
        <v>3040</v>
      </c>
      <c r="AB289" s="1151">
        <f t="shared" si="80"/>
        <v>0</v>
      </c>
      <c r="AC289" s="1151">
        <f t="shared" si="80"/>
        <v>0</v>
      </c>
      <c r="AD289" s="1151">
        <f t="shared" si="80"/>
        <v>0</v>
      </c>
      <c r="AE289" s="1151">
        <f t="shared" si="80"/>
        <v>0</v>
      </c>
      <c r="AF289" s="1151">
        <f t="shared" si="80"/>
        <v>0</v>
      </c>
      <c r="AG289" s="1151">
        <f>SUM(S289:AF289)</f>
        <v>47057.333333333336</v>
      </c>
    </row>
    <row r="290" spans="1:33" ht="32.25" customHeight="1">
      <c r="A290" s="1442">
        <v>2141</v>
      </c>
      <c r="B290" s="977" t="s">
        <v>341</v>
      </c>
      <c r="C290" s="1493" t="s">
        <v>342</v>
      </c>
      <c r="D290" s="326"/>
      <c r="E290" s="294">
        <v>5</v>
      </c>
      <c r="F290" s="293">
        <v>43227</v>
      </c>
      <c r="G290" s="293">
        <f t="shared" ref="G290:G307" si="81">+E290+F290</f>
        <v>43232</v>
      </c>
      <c r="H290" s="293" t="s">
        <v>294</v>
      </c>
      <c r="I290" s="294" t="s">
        <v>171</v>
      </c>
      <c r="J290" s="307" t="s">
        <v>295</v>
      </c>
      <c r="K290" s="1024" t="s">
        <v>343</v>
      </c>
      <c r="L290" s="1237">
        <v>23173</v>
      </c>
      <c r="M290" s="294"/>
      <c r="N290" s="294"/>
      <c r="O290" s="354">
        <v>770</v>
      </c>
      <c r="P290" s="319">
        <v>2</v>
      </c>
      <c r="Q290" s="355">
        <f t="shared" ref="Q290:Q307" si="82">+O290*P290</f>
        <v>1540</v>
      </c>
      <c r="R290" s="299"/>
      <c r="S290" s="355"/>
      <c r="T290" s="355"/>
      <c r="U290" s="355">
        <f t="shared" si="72"/>
        <v>1540</v>
      </c>
      <c r="V290" s="355"/>
      <c r="W290" s="355"/>
      <c r="X290" s="1137"/>
      <c r="Y290" s="1126"/>
      <c r="Z290" s="1194"/>
      <c r="AA290" s="1194"/>
      <c r="AB290" s="1194"/>
      <c r="AC290" s="1124"/>
      <c r="AD290" s="1124"/>
      <c r="AE290" s="1425"/>
      <c r="AF290" s="1124"/>
      <c r="AG290" s="1126"/>
    </row>
    <row r="291" spans="1:33" ht="32.25" customHeight="1">
      <c r="A291" s="1442">
        <v>2141</v>
      </c>
      <c r="B291" s="977" t="s">
        <v>341</v>
      </c>
      <c r="C291" s="1493" t="s">
        <v>342</v>
      </c>
      <c r="D291" s="326"/>
      <c r="E291" s="294">
        <v>5</v>
      </c>
      <c r="F291" s="293">
        <v>43227</v>
      </c>
      <c r="G291" s="293">
        <f t="shared" si="81"/>
        <v>43232</v>
      </c>
      <c r="H291" s="293" t="s">
        <v>294</v>
      </c>
      <c r="I291" s="294" t="s">
        <v>171</v>
      </c>
      <c r="J291" s="307" t="s">
        <v>295</v>
      </c>
      <c r="K291" s="1024" t="s">
        <v>344</v>
      </c>
      <c r="L291" s="1237">
        <v>23173</v>
      </c>
      <c r="M291" s="294"/>
      <c r="N291" s="294"/>
      <c r="O291" s="354">
        <v>165</v>
      </c>
      <c r="P291" s="319">
        <v>2</v>
      </c>
      <c r="Q291" s="355">
        <f t="shared" si="82"/>
        <v>330</v>
      </c>
      <c r="R291" s="299"/>
      <c r="S291" s="355"/>
      <c r="T291" s="355"/>
      <c r="U291" s="355">
        <f t="shared" si="72"/>
        <v>330</v>
      </c>
      <c r="V291" s="355"/>
      <c r="W291" s="355"/>
      <c r="X291" s="1137"/>
      <c r="Y291" s="1126"/>
      <c r="Z291" s="1194"/>
      <c r="AA291" s="1194"/>
      <c r="AB291" s="1194"/>
      <c r="AC291" s="1124"/>
      <c r="AD291" s="1124"/>
      <c r="AE291" s="1425"/>
      <c r="AF291" s="1124"/>
      <c r="AG291" s="1126"/>
    </row>
    <row r="292" spans="1:33" ht="32.25" customHeight="1">
      <c r="A292" s="1442">
        <v>2141</v>
      </c>
      <c r="B292" s="977" t="s">
        <v>341</v>
      </c>
      <c r="C292" s="1493" t="s">
        <v>342</v>
      </c>
      <c r="D292" s="326"/>
      <c r="E292" s="294">
        <v>5</v>
      </c>
      <c r="F292" s="293">
        <v>43227</v>
      </c>
      <c r="G292" s="293">
        <f t="shared" si="81"/>
        <v>43232</v>
      </c>
      <c r="H292" s="293" t="s">
        <v>294</v>
      </c>
      <c r="I292" s="294" t="s">
        <v>171</v>
      </c>
      <c r="J292" s="307" t="s">
        <v>295</v>
      </c>
      <c r="K292" s="1024" t="s">
        <v>310</v>
      </c>
      <c r="L292" s="1237">
        <v>23174</v>
      </c>
      <c r="M292" s="997"/>
      <c r="N292" s="294"/>
      <c r="O292" s="354">
        <v>5320</v>
      </c>
      <c r="P292" s="319">
        <v>2</v>
      </c>
      <c r="Q292" s="355">
        <f t="shared" si="82"/>
        <v>10640</v>
      </c>
      <c r="R292" s="299"/>
      <c r="S292" s="355"/>
      <c r="T292" s="355"/>
      <c r="U292" s="355">
        <f t="shared" si="72"/>
        <v>10640</v>
      </c>
      <c r="V292" s="355"/>
      <c r="W292" s="355"/>
      <c r="X292" s="1137"/>
      <c r="Y292" s="1126"/>
      <c r="Z292" s="1194"/>
      <c r="AA292" s="1194"/>
      <c r="AB292" s="1194"/>
      <c r="AC292" s="1124"/>
      <c r="AD292" s="1124"/>
      <c r="AE292" s="1425"/>
      <c r="AF292" s="1124"/>
      <c r="AG292" s="1126"/>
    </row>
    <row r="293" spans="1:33" ht="32.25" customHeight="1">
      <c r="A293" s="1442">
        <v>2141</v>
      </c>
      <c r="B293" s="977" t="s">
        <v>341</v>
      </c>
      <c r="C293" s="1493" t="s">
        <v>342</v>
      </c>
      <c r="D293" s="326"/>
      <c r="E293" s="294">
        <v>5</v>
      </c>
      <c r="F293" s="293">
        <v>43227</v>
      </c>
      <c r="G293" s="293">
        <f t="shared" si="81"/>
        <v>43232</v>
      </c>
      <c r="H293" s="293" t="s">
        <v>294</v>
      </c>
      <c r="I293" s="294" t="s">
        <v>171</v>
      </c>
      <c r="J293" s="307" t="s">
        <v>295</v>
      </c>
      <c r="K293" s="1024" t="s">
        <v>345</v>
      </c>
      <c r="L293" s="1237">
        <v>23174</v>
      </c>
      <c r="M293" s="294"/>
      <c r="N293" s="294"/>
      <c r="O293" s="354">
        <v>532</v>
      </c>
      <c r="P293" s="319">
        <v>2</v>
      </c>
      <c r="Q293" s="355">
        <f t="shared" si="82"/>
        <v>1064</v>
      </c>
      <c r="R293" s="299"/>
      <c r="S293" s="355"/>
      <c r="T293" s="355"/>
      <c r="U293" s="355">
        <f t="shared" si="72"/>
        <v>1064</v>
      </c>
      <c r="V293" s="355"/>
      <c r="W293" s="355"/>
      <c r="X293" s="1137"/>
      <c r="Y293" s="1126"/>
      <c r="Z293" s="1194"/>
      <c r="AA293" s="1194"/>
      <c r="AB293" s="1194"/>
      <c r="AC293" s="1124"/>
      <c r="AD293" s="1124"/>
      <c r="AE293" s="1425"/>
      <c r="AF293" s="1124"/>
      <c r="AG293" s="1126"/>
    </row>
    <row r="294" spans="1:33" ht="32.25" customHeight="1">
      <c r="A294" s="1442">
        <v>2141</v>
      </c>
      <c r="B294" s="977" t="s">
        <v>341</v>
      </c>
      <c r="C294" s="1493" t="s">
        <v>342</v>
      </c>
      <c r="D294" s="326"/>
      <c r="E294" s="294">
        <v>5</v>
      </c>
      <c r="F294" s="293">
        <v>43227</v>
      </c>
      <c r="G294" s="293">
        <f t="shared" si="81"/>
        <v>43232</v>
      </c>
      <c r="H294" s="293" t="s">
        <v>294</v>
      </c>
      <c r="I294" s="294" t="s">
        <v>171</v>
      </c>
      <c r="J294" s="307" t="s">
        <v>295</v>
      </c>
      <c r="K294" s="1024" t="s">
        <v>300</v>
      </c>
      <c r="L294" s="1237">
        <v>23174</v>
      </c>
      <c r="M294" s="294"/>
      <c r="N294" s="294"/>
      <c r="O294" s="354">
        <v>1000</v>
      </c>
      <c r="P294" s="319">
        <v>2</v>
      </c>
      <c r="Q294" s="355">
        <f t="shared" si="82"/>
        <v>2000</v>
      </c>
      <c r="R294" s="299"/>
      <c r="S294" s="355"/>
      <c r="T294" s="355"/>
      <c r="U294" s="355">
        <f t="shared" si="72"/>
        <v>2000</v>
      </c>
      <c r="V294" s="355"/>
      <c r="W294" s="355"/>
      <c r="X294" s="1137"/>
      <c r="Y294" s="1126"/>
      <c r="Z294" s="1194"/>
      <c r="AA294" s="1194"/>
      <c r="AB294" s="1194"/>
      <c r="AC294" s="1124"/>
      <c r="AD294" s="1124"/>
      <c r="AE294" s="1425"/>
      <c r="AF294" s="1124"/>
      <c r="AG294" s="1126"/>
    </row>
    <row r="295" spans="1:33" ht="32.25" customHeight="1">
      <c r="A295" s="1442">
        <v>2141</v>
      </c>
      <c r="B295" s="977" t="s">
        <v>341</v>
      </c>
      <c r="C295" s="1493" t="s">
        <v>342</v>
      </c>
      <c r="D295" s="326"/>
      <c r="E295" s="294">
        <v>5</v>
      </c>
      <c r="F295" s="293">
        <v>43227</v>
      </c>
      <c r="G295" s="293">
        <f t="shared" si="81"/>
        <v>43232</v>
      </c>
      <c r="H295" s="293" t="s">
        <v>294</v>
      </c>
      <c r="I295" s="294" t="s">
        <v>171</v>
      </c>
      <c r="J295" s="307" t="s">
        <v>295</v>
      </c>
      <c r="K295" s="1024" t="s">
        <v>346</v>
      </c>
      <c r="L295" s="1237">
        <v>23174</v>
      </c>
      <c r="M295" s="997"/>
      <c r="N295" s="294"/>
      <c r="O295" s="354">
        <v>1000</v>
      </c>
      <c r="P295" s="319">
        <v>2</v>
      </c>
      <c r="Q295" s="355">
        <f t="shared" si="82"/>
        <v>2000</v>
      </c>
      <c r="R295" s="299"/>
      <c r="S295" s="355"/>
      <c r="T295" s="355"/>
      <c r="U295" s="355">
        <f t="shared" si="72"/>
        <v>2000</v>
      </c>
      <c r="V295" s="355"/>
      <c r="W295" s="355"/>
      <c r="X295" s="1137"/>
      <c r="Y295" s="1126"/>
      <c r="Z295" s="1194"/>
      <c r="AA295" s="1194"/>
      <c r="AB295" s="1194"/>
      <c r="AC295" s="1124"/>
      <c r="AD295" s="1124"/>
      <c r="AE295" s="1425"/>
      <c r="AF295" s="1124"/>
      <c r="AG295" s="1126"/>
    </row>
    <row r="296" spans="1:33" ht="32.25" customHeight="1">
      <c r="A296" s="1442">
        <v>2141</v>
      </c>
      <c r="B296" s="977" t="s">
        <v>341</v>
      </c>
      <c r="C296" s="1493" t="s">
        <v>342</v>
      </c>
      <c r="D296" s="326"/>
      <c r="E296" s="294">
        <v>5</v>
      </c>
      <c r="F296" s="293">
        <v>43227</v>
      </c>
      <c r="G296" s="293">
        <f t="shared" si="81"/>
        <v>43232</v>
      </c>
      <c r="H296" s="293" t="s">
        <v>294</v>
      </c>
      <c r="I296" s="294" t="s">
        <v>171</v>
      </c>
      <c r="J296" s="307" t="s">
        <v>295</v>
      </c>
      <c r="K296" s="1024" t="s">
        <v>301</v>
      </c>
      <c r="L296" s="1237">
        <v>23173</v>
      </c>
      <c r="M296" s="294"/>
      <c r="N296" s="294"/>
      <c r="O296" s="354">
        <v>500</v>
      </c>
      <c r="P296" s="319">
        <v>2</v>
      </c>
      <c r="Q296" s="355">
        <f t="shared" si="82"/>
        <v>1000</v>
      </c>
      <c r="R296" s="299"/>
      <c r="S296" s="355"/>
      <c r="T296" s="355"/>
      <c r="U296" s="355">
        <f t="shared" si="72"/>
        <v>1000</v>
      </c>
      <c r="V296" s="355"/>
      <c r="W296" s="355"/>
      <c r="X296" s="1137"/>
      <c r="Y296" s="1126"/>
      <c r="Z296" s="1194"/>
      <c r="AA296" s="1194"/>
      <c r="AB296" s="1194"/>
      <c r="AC296" s="1124"/>
      <c r="AD296" s="1124"/>
      <c r="AE296" s="1425"/>
      <c r="AF296" s="1124"/>
      <c r="AG296" s="1126"/>
    </row>
    <row r="297" spans="1:33" ht="32.25" customHeight="1">
      <c r="A297" s="1442">
        <v>2141</v>
      </c>
      <c r="B297" s="977" t="s">
        <v>341</v>
      </c>
      <c r="C297" s="1493" t="s">
        <v>342</v>
      </c>
      <c r="D297" s="326"/>
      <c r="E297" s="294">
        <v>5</v>
      </c>
      <c r="F297" s="293">
        <v>43227</v>
      </c>
      <c r="G297" s="293">
        <f t="shared" si="81"/>
        <v>43232</v>
      </c>
      <c r="H297" s="293" t="s">
        <v>294</v>
      </c>
      <c r="I297" s="294" t="s">
        <v>171</v>
      </c>
      <c r="J297" s="307" t="s">
        <v>295</v>
      </c>
      <c r="K297" s="1024" t="s">
        <v>302</v>
      </c>
      <c r="L297" s="1237">
        <v>23173</v>
      </c>
      <c r="M297" s="326"/>
      <c r="N297" s="294"/>
      <c r="O297" s="354">
        <v>677</v>
      </c>
      <c r="P297" s="319">
        <v>2</v>
      </c>
      <c r="Q297" s="355">
        <f t="shared" si="82"/>
        <v>1354</v>
      </c>
      <c r="R297" s="299"/>
      <c r="S297" s="355"/>
      <c r="T297" s="355"/>
      <c r="U297" s="355">
        <f t="shared" si="72"/>
        <v>1354</v>
      </c>
      <c r="V297" s="355"/>
      <c r="W297" s="355"/>
      <c r="X297" s="1137"/>
      <c r="Y297" s="1126"/>
      <c r="Z297" s="1194"/>
      <c r="AA297" s="1194"/>
      <c r="AB297" s="1194"/>
      <c r="AC297" s="1124"/>
      <c r="AD297" s="1124"/>
      <c r="AE297" s="1425"/>
      <c r="AF297" s="1124"/>
      <c r="AG297" s="1126"/>
    </row>
    <row r="298" spans="1:33" ht="32.25" customHeight="1">
      <c r="A298" s="1442">
        <v>2141</v>
      </c>
      <c r="B298" s="977" t="s">
        <v>341</v>
      </c>
      <c r="C298" s="1493" t="s">
        <v>314</v>
      </c>
      <c r="D298" s="326"/>
      <c r="E298" s="294">
        <v>5</v>
      </c>
      <c r="F298" s="293">
        <v>43227</v>
      </c>
      <c r="G298" s="293">
        <f t="shared" si="81"/>
        <v>43232</v>
      </c>
      <c r="H298" s="293" t="s">
        <v>294</v>
      </c>
      <c r="I298" s="294" t="s">
        <v>171</v>
      </c>
      <c r="J298" s="307" t="s">
        <v>295</v>
      </c>
      <c r="K298" s="326" t="s">
        <v>315</v>
      </c>
      <c r="L298" s="1237">
        <v>2313</v>
      </c>
      <c r="M298" s="326"/>
      <c r="N298" s="294"/>
      <c r="O298" s="354">
        <v>2666.6666666666665</v>
      </c>
      <c r="P298" s="294">
        <v>1</v>
      </c>
      <c r="Q298" s="355">
        <f t="shared" si="82"/>
        <v>2666.6666666666665</v>
      </c>
      <c r="R298" s="299"/>
      <c r="S298" s="355"/>
      <c r="T298" s="355"/>
      <c r="U298" s="355">
        <f t="shared" si="72"/>
        <v>2666.6666666666665</v>
      </c>
      <c r="V298" s="355"/>
      <c r="W298" s="355"/>
      <c r="X298" s="1137"/>
      <c r="Y298" s="1126"/>
      <c r="Z298" s="1194"/>
      <c r="AA298" s="1194"/>
      <c r="AB298" s="1194"/>
      <c r="AC298" s="1124"/>
      <c r="AD298" s="1124"/>
      <c r="AE298" s="1425"/>
      <c r="AF298" s="1124"/>
      <c r="AG298" s="1126"/>
    </row>
    <row r="299" spans="1:33" ht="32.25" customHeight="1">
      <c r="A299" s="1442">
        <v>2142</v>
      </c>
      <c r="B299" s="976" t="s">
        <v>347</v>
      </c>
      <c r="C299" s="1501" t="s">
        <v>348</v>
      </c>
      <c r="D299" s="326"/>
      <c r="E299" s="294">
        <v>10</v>
      </c>
      <c r="F299" s="293">
        <v>43283</v>
      </c>
      <c r="G299" s="293">
        <f t="shared" si="81"/>
        <v>43293</v>
      </c>
      <c r="H299" s="293" t="s">
        <v>294</v>
      </c>
      <c r="I299" s="294" t="s">
        <v>171</v>
      </c>
      <c r="J299" s="307" t="s">
        <v>295</v>
      </c>
      <c r="K299" s="1344" t="s">
        <v>301</v>
      </c>
      <c r="L299" s="1237">
        <v>23173</v>
      </c>
      <c r="M299" s="326"/>
      <c r="N299" s="294"/>
      <c r="O299" s="354">
        <v>166.66666666666666</v>
      </c>
      <c r="P299" s="294">
        <v>4</v>
      </c>
      <c r="Q299" s="355">
        <f t="shared" si="82"/>
        <v>666.66666666666663</v>
      </c>
      <c r="R299" s="299"/>
      <c r="S299" s="355"/>
      <c r="T299" s="355"/>
      <c r="U299" s="355"/>
      <c r="V299" s="355"/>
      <c r="W299" s="355">
        <f t="shared" ref="W299:W305" si="83">+Q299</f>
        <v>666.66666666666663</v>
      </c>
      <c r="X299" s="1137"/>
      <c r="Y299" s="1126"/>
      <c r="Z299" s="1194"/>
      <c r="AA299" s="1194"/>
      <c r="AB299" s="1194"/>
      <c r="AC299" s="1124"/>
      <c r="AD299" s="1124"/>
      <c r="AE299" s="1425"/>
      <c r="AF299" s="1124"/>
      <c r="AG299" s="1126"/>
    </row>
    <row r="300" spans="1:33" ht="32.25" customHeight="1">
      <c r="A300" s="1442">
        <v>2142</v>
      </c>
      <c r="B300" s="976" t="s">
        <v>347</v>
      </c>
      <c r="C300" s="1501" t="s">
        <v>348</v>
      </c>
      <c r="D300" s="326"/>
      <c r="E300" s="294">
        <v>10</v>
      </c>
      <c r="F300" s="293">
        <v>43283</v>
      </c>
      <c r="G300" s="293">
        <f t="shared" si="81"/>
        <v>43293</v>
      </c>
      <c r="H300" s="293" t="s">
        <v>294</v>
      </c>
      <c r="I300" s="294" t="s">
        <v>171</v>
      </c>
      <c r="J300" s="307" t="s">
        <v>295</v>
      </c>
      <c r="K300" s="1344" t="s">
        <v>302</v>
      </c>
      <c r="L300" s="1237">
        <v>23173</v>
      </c>
      <c r="M300" s="326"/>
      <c r="N300" s="294"/>
      <c r="O300" s="354">
        <v>870.33333333333337</v>
      </c>
      <c r="P300" s="294">
        <v>4</v>
      </c>
      <c r="Q300" s="355">
        <f t="shared" si="82"/>
        <v>3481.3333333333335</v>
      </c>
      <c r="R300" s="299"/>
      <c r="S300" s="355"/>
      <c r="T300" s="355"/>
      <c r="U300" s="355"/>
      <c r="V300" s="355"/>
      <c r="W300" s="355">
        <f t="shared" si="83"/>
        <v>3481.3333333333335</v>
      </c>
      <c r="X300" s="1137"/>
      <c r="Y300" s="1126"/>
      <c r="Z300" s="1194"/>
      <c r="AA300" s="1194"/>
      <c r="AB300" s="1194"/>
      <c r="AC300" s="1124"/>
      <c r="AD300" s="1124"/>
      <c r="AE300" s="1425"/>
      <c r="AF300" s="1124"/>
      <c r="AG300" s="1126"/>
    </row>
    <row r="301" spans="1:33" ht="32.25" customHeight="1">
      <c r="A301" s="1442">
        <v>2142</v>
      </c>
      <c r="B301" s="976" t="s">
        <v>347</v>
      </c>
      <c r="C301" s="1501" t="s">
        <v>348</v>
      </c>
      <c r="D301" s="326"/>
      <c r="E301" s="294">
        <v>10</v>
      </c>
      <c r="F301" s="293">
        <v>43283</v>
      </c>
      <c r="G301" s="293">
        <f t="shared" si="81"/>
        <v>43293</v>
      </c>
      <c r="H301" s="293" t="s">
        <v>294</v>
      </c>
      <c r="I301" s="294" t="s">
        <v>171</v>
      </c>
      <c r="J301" s="307" t="s">
        <v>295</v>
      </c>
      <c r="K301" s="1344" t="s">
        <v>296</v>
      </c>
      <c r="L301" s="1237">
        <v>23174</v>
      </c>
      <c r="M301" s="326"/>
      <c r="N301" s="294"/>
      <c r="O301" s="354">
        <v>3000</v>
      </c>
      <c r="P301" s="294">
        <v>4</v>
      </c>
      <c r="Q301" s="355">
        <f t="shared" si="82"/>
        <v>12000</v>
      </c>
      <c r="R301" s="299"/>
      <c r="S301" s="355"/>
      <c r="T301" s="355"/>
      <c r="U301" s="355"/>
      <c r="V301" s="355"/>
      <c r="W301" s="355">
        <f t="shared" si="83"/>
        <v>12000</v>
      </c>
      <c r="X301" s="1137"/>
      <c r="Y301" s="1126"/>
      <c r="Z301" s="1194"/>
      <c r="AA301" s="1194"/>
      <c r="AB301" s="1194"/>
      <c r="AC301" s="1124"/>
      <c r="AD301" s="1124"/>
      <c r="AE301" s="1425"/>
      <c r="AF301" s="1124"/>
      <c r="AG301" s="1126"/>
    </row>
    <row r="302" spans="1:33" ht="32.25" customHeight="1">
      <c r="A302" s="1442">
        <v>2142</v>
      </c>
      <c r="B302" s="976" t="s">
        <v>347</v>
      </c>
      <c r="C302" s="1501" t="s">
        <v>348</v>
      </c>
      <c r="D302" s="326"/>
      <c r="E302" s="294">
        <v>10</v>
      </c>
      <c r="F302" s="293">
        <v>43283</v>
      </c>
      <c r="G302" s="293">
        <f t="shared" si="81"/>
        <v>43293</v>
      </c>
      <c r="H302" s="293" t="s">
        <v>294</v>
      </c>
      <c r="I302" s="294" t="s">
        <v>171</v>
      </c>
      <c r="J302" s="307" t="s">
        <v>295</v>
      </c>
      <c r="K302" s="1344" t="s">
        <v>349</v>
      </c>
      <c r="L302" s="1237">
        <v>23174</v>
      </c>
      <c r="M302" s="326"/>
      <c r="N302" s="294"/>
      <c r="O302" s="354">
        <v>304</v>
      </c>
      <c r="P302" s="294">
        <v>4</v>
      </c>
      <c r="Q302" s="355">
        <f t="shared" si="82"/>
        <v>1216</v>
      </c>
      <c r="R302" s="299"/>
      <c r="S302" s="355"/>
      <c r="T302" s="355"/>
      <c r="U302" s="355"/>
      <c r="V302" s="355"/>
      <c r="W302" s="355">
        <f t="shared" si="83"/>
        <v>1216</v>
      </c>
      <c r="X302" s="1137"/>
      <c r="Y302" s="1126"/>
      <c r="Z302" s="1194"/>
      <c r="AA302" s="1194"/>
      <c r="AB302" s="1194"/>
      <c r="AC302" s="1124"/>
      <c r="AD302" s="1124"/>
      <c r="AE302" s="1425"/>
      <c r="AF302" s="1124"/>
      <c r="AG302" s="1126"/>
    </row>
    <row r="303" spans="1:33" ht="32.25" customHeight="1">
      <c r="A303" s="1442">
        <v>2142</v>
      </c>
      <c r="B303" s="976" t="s">
        <v>347</v>
      </c>
      <c r="C303" s="1501" t="s">
        <v>348</v>
      </c>
      <c r="D303" s="326"/>
      <c r="E303" s="294">
        <v>10</v>
      </c>
      <c r="F303" s="293">
        <v>43283</v>
      </c>
      <c r="G303" s="293">
        <f t="shared" si="81"/>
        <v>43293</v>
      </c>
      <c r="H303" s="293" t="s">
        <v>294</v>
      </c>
      <c r="I303" s="294" t="s">
        <v>171</v>
      </c>
      <c r="J303" s="307" t="s">
        <v>295</v>
      </c>
      <c r="K303" s="1344" t="s">
        <v>298</v>
      </c>
      <c r="L303" s="1237">
        <v>23174</v>
      </c>
      <c r="M303" s="326"/>
      <c r="N303" s="294"/>
      <c r="O303" s="354">
        <v>448</v>
      </c>
      <c r="P303" s="294">
        <v>4</v>
      </c>
      <c r="Q303" s="355">
        <f t="shared" si="82"/>
        <v>1792</v>
      </c>
      <c r="R303" s="299"/>
      <c r="S303" s="355"/>
      <c r="T303" s="355"/>
      <c r="U303" s="355"/>
      <c r="V303" s="355"/>
      <c r="W303" s="355">
        <f t="shared" si="83"/>
        <v>1792</v>
      </c>
      <c r="X303" s="1137"/>
      <c r="Y303" s="1126"/>
      <c r="Z303" s="1194"/>
      <c r="AA303" s="1194"/>
      <c r="AB303" s="1194"/>
      <c r="AC303" s="1124"/>
      <c r="AD303" s="1124"/>
      <c r="AE303" s="1425"/>
      <c r="AF303" s="1124"/>
      <c r="AG303" s="1126"/>
    </row>
    <row r="304" spans="1:33" ht="32.25" customHeight="1">
      <c r="A304" s="1442">
        <v>2142</v>
      </c>
      <c r="B304" s="976" t="s">
        <v>347</v>
      </c>
      <c r="C304" s="1501" t="s">
        <v>348</v>
      </c>
      <c r="D304" s="326"/>
      <c r="E304" s="294">
        <v>10</v>
      </c>
      <c r="F304" s="293">
        <v>43283</v>
      </c>
      <c r="G304" s="293">
        <f t="shared" si="81"/>
        <v>43293</v>
      </c>
      <c r="H304" s="293" t="s">
        <v>294</v>
      </c>
      <c r="I304" s="294" t="s">
        <v>171</v>
      </c>
      <c r="J304" s="307" t="s">
        <v>295</v>
      </c>
      <c r="K304" s="1344" t="s">
        <v>350</v>
      </c>
      <c r="L304" s="1237">
        <v>23174</v>
      </c>
      <c r="M304" s="326"/>
      <c r="N304" s="294"/>
      <c r="O304" s="354">
        <v>166.66666666666666</v>
      </c>
      <c r="P304" s="294">
        <v>4</v>
      </c>
      <c r="Q304" s="355">
        <f t="shared" si="82"/>
        <v>666.66666666666663</v>
      </c>
      <c r="R304" s="299"/>
      <c r="S304" s="355"/>
      <c r="T304" s="355"/>
      <c r="U304" s="355"/>
      <c r="V304" s="355"/>
      <c r="W304" s="355">
        <f t="shared" si="83"/>
        <v>666.66666666666663</v>
      </c>
      <c r="X304" s="1137"/>
      <c r="Y304" s="1126"/>
      <c r="Z304" s="1194"/>
      <c r="AA304" s="1194"/>
      <c r="AB304" s="1194"/>
      <c r="AC304" s="1124"/>
      <c r="AD304" s="1124"/>
      <c r="AE304" s="1425"/>
      <c r="AF304" s="1124"/>
      <c r="AG304" s="1126"/>
    </row>
    <row r="305" spans="1:33" ht="32.25" customHeight="1">
      <c r="A305" s="1442">
        <v>2142</v>
      </c>
      <c r="B305" s="976" t="s">
        <v>347</v>
      </c>
      <c r="C305" s="1501" t="s">
        <v>348</v>
      </c>
      <c r="D305" s="326"/>
      <c r="E305" s="294">
        <v>10</v>
      </c>
      <c r="F305" s="293">
        <v>43283</v>
      </c>
      <c r="G305" s="293">
        <f t="shared" si="81"/>
        <v>43293</v>
      </c>
      <c r="H305" s="293" t="s">
        <v>294</v>
      </c>
      <c r="I305" s="294" t="s">
        <v>171</v>
      </c>
      <c r="J305" s="307" t="s">
        <v>295</v>
      </c>
      <c r="K305" s="1344" t="s">
        <v>300</v>
      </c>
      <c r="L305" s="1237">
        <v>23174</v>
      </c>
      <c r="M305" s="326"/>
      <c r="N305" s="294"/>
      <c r="O305" s="354">
        <v>400</v>
      </c>
      <c r="P305" s="294">
        <v>4</v>
      </c>
      <c r="Q305" s="355">
        <f t="shared" si="82"/>
        <v>1600</v>
      </c>
      <c r="R305" s="299"/>
      <c r="S305" s="355"/>
      <c r="T305" s="355"/>
      <c r="U305" s="355"/>
      <c r="V305" s="355"/>
      <c r="W305" s="355">
        <f t="shared" si="83"/>
        <v>1600</v>
      </c>
      <c r="X305" s="1137"/>
      <c r="Y305" s="1126"/>
      <c r="Z305" s="1194"/>
      <c r="AA305" s="1194"/>
      <c r="AB305" s="1194"/>
      <c r="AC305" s="1124"/>
      <c r="AD305" s="1124"/>
      <c r="AE305" s="1425"/>
      <c r="AF305" s="1124"/>
      <c r="AG305" s="1126"/>
    </row>
    <row r="306" spans="1:33" ht="32.25" customHeight="1">
      <c r="A306" s="1442">
        <v>2143</v>
      </c>
      <c r="B306" s="976" t="s">
        <v>69</v>
      </c>
      <c r="C306" s="1501" t="s">
        <v>351</v>
      </c>
      <c r="D306" s="326"/>
      <c r="E306" s="294">
        <v>1</v>
      </c>
      <c r="F306" s="293">
        <v>43409</v>
      </c>
      <c r="G306" s="293">
        <f t="shared" si="81"/>
        <v>43410</v>
      </c>
      <c r="H306" s="293" t="s">
        <v>294</v>
      </c>
      <c r="I306" s="294" t="s">
        <v>171</v>
      </c>
      <c r="J306" s="307" t="s">
        <v>295</v>
      </c>
      <c r="K306" s="326" t="s">
        <v>296</v>
      </c>
      <c r="L306" s="1237">
        <v>23174</v>
      </c>
      <c r="M306" s="326"/>
      <c r="N306" s="294"/>
      <c r="O306" s="999">
        <v>24</v>
      </c>
      <c r="P306" s="998">
        <v>60</v>
      </c>
      <c r="Q306" s="355">
        <f t="shared" si="82"/>
        <v>1440</v>
      </c>
      <c r="R306" s="299"/>
      <c r="S306" s="355"/>
      <c r="T306" s="355"/>
      <c r="U306" s="355"/>
      <c r="V306" s="355"/>
      <c r="W306" s="355"/>
      <c r="X306" s="1137"/>
      <c r="Y306" s="1126"/>
      <c r="Z306" s="1194"/>
      <c r="AA306" s="1126">
        <f>+Q306</f>
        <v>1440</v>
      </c>
      <c r="AB306" s="1194"/>
      <c r="AC306" s="1124"/>
      <c r="AD306" s="1124"/>
      <c r="AE306" s="1425"/>
      <c r="AF306" s="1124"/>
      <c r="AG306" s="1126"/>
    </row>
    <row r="307" spans="1:33" ht="32.25" customHeight="1">
      <c r="A307" s="1442">
        <v>2143</v>
      </c>
      <c r="B307" s="976" t="s">
        <v>69</v>
      </c>
      <c r="C307" s="1501" t="s">
        <v>351</v>
      </c>
      <c r="D307" s="326"/>
      <c r="E307" s="294">
        <v>1</v>
      </c>
      <c r="F307" s="293">
        <v>43409</v>
      </c>
      <c r="G307" s="293">
        <f t="shared" si="81"/>
        <v>43410</v>
      </c>
      <c r="H307" s="293" t="s">
        <v>294</v>
      </c>
      <c r="I307" s="294" t="s">
        <v>171</v>
      </c>
      <c r="J307" s="307" t="s">
        <v>295</v>
      </c>
      <c r="K307" s="326" t="s">
        <v>352</v>
      </c>
      <c r="L307" s="1237">
        <v>23174</v>
      </c>
      <c r="M307" s="326"/>
      <c r="N307" s="294"/>
      <c r="O307" s="354">
        <v>26.666666666666668</v>
      </c>
      <c r="P307" s="998">
        <v>60</v>
      </c>
      <c r="Q307" s="355">
        <f t="shared" si="82"/>
        <v>1600</v>
      </c>
      <c r="R307" s="299"/>
      <c r="S307" s="355"/>
      <c r="T307" s="355"/>
      <c r="U307" s="355"/>
      <c r="V307" s="355"/>
      <c r="W307" s="355"/>
      <c r="X307" s="1137"/>
      <c r="Y307" s="1126"/>
      <c r="Z307" s="1194"/>
      <c r="AA307" s="1126">
        <f>+Q307</f>
        <v>1600</v>
      </c>
      <c r="AB307" s="1194"/>
      <c r="AC307" s="1124"/>
      <c r="AD307" s="1124"/>
      <c r="AE307" s="1425"/>
      <c r="AF307" s="1124"/>
      <c r="AG307" s="1126"/>
    </row>
    <row r="308" spans="1:33" ht="29.25" customHeight="1">
      <c r="A308" s="1275">
        <v>214</v>
      </c>
      <c r="B308" s="995" t="s">
        <v>353</v>
      </c>
      <c r="C308" s="1083"/>
      <c r="D308" s="1339"/>
      <c r="E308" s="1340"/>
      <c r="F308" s="1340"/>
      <c r="G308" s="1340"/>
      <c r="H308" s="1339"/>
      <c r="I308" s="1341"/>
      <c r="J308" s="283"/>
      <c r="K308" s="1278"/>
      <c r="L308" s="1279"/>
      <c r="M308" s="1280"/>
      <c r="N308" s="1277"/>
      <c r="O308" s="1281"/>
      <c r="P308" s="1277"/>
      <c r="Q308" s="1282">
        <f>SUM(Q309:Q326)</f>
        <v>53486.333333333343</v>
      </c>
      <c r="R308" s="287"/>
      <c r="S308" s="1282">
        <f t="shared" ref="S308:AF308" si="84">SUM(S309:S326)</f>
        <v>0</v>
      </c>
      <c r="T308" s="1282">
        <f t="shared" si="84"/>
        <v>0</v>
      </c>
      <c r="U308" s="1282">
        <f t="shared" si="84"/>
        <v>12902.666666666664</v>
      </c>
      <c r="V308" s="1282">
        <f t="shared" si="84"/>
        <v>40583.666666666672</v>
      </c>
      <c r="W308" s="1282">
        <f t="shared" si="84"/>
        <v>0</v>
      </c>
      <c r="X308" s="1342">
        <f t="shared" si="84"/>
        <v>0</v>
      </c>
      <c r="Y308" s="1343">
        <f t="shared" si="84"/>
        <v>0</v>
      </c>
      <c r="Z308" s="1151">
        <f t="shared" si="84"/>
        <v>0</v>
      </c>
      <c r="AA308" s="1151">
        <f t="shared" si="84"/>
        <v>0</v>
      </c>
      <c r="AB308" s="1151">
        <f t="shared" si="84"/>
        <v>0</v>
      </c>
      <c r="AC308" s="1151">
        <f t="shared" si="84"/>
        <v>0</v>
      </c>
      <c r="AD308" s="1151">
        <f t="shared" si="84"/>
        <v>0</v>
      </c>
      <c r="AE308" s="1151">
        <f t="shared" si="84"/>
        <v>0</v>
      </c>
      <c r="AF308" s="1151">
        <f t="shared" si="84"/>
        <v>0</v>
      </c>
      <c r="AG308" s="1151">
        <f>SUM(S308:AF308)</f>
        <v>53486.333333333336</v>
      </c>
    </row>
    <row r="309" spans="1:33" ht="32.25" customHeight="1">
      <c r="A309" s="1442">
        <v>2141</v>
      </c>
      <c r="B309" s="974" t="s">
        <v>70</v>
      </c>
      <c r="C309" s="1493" t="s">
        <v>307</v>
      </c>
      <c r="D309" s="326"/>
      <c r="E309" s="294">
        <v>2</v>
      </c>
      <c r="F309" s="293">
        <v>43269</v>
      </c>
      <c r="G309" s="293">
        <f t="shared" ref="G309:G326" si="85">+E309+F309</f>
        <v>43271</v>
      </c>
      <c r="H309" s="293" t="s">
        <v>294</v>
      </c>
      <c r="I309" s="294" t="s">
        <v>171</v>
      </c>
      <c r="J309" s="307" t="s">
        <v>295</v>
      </c>
      <c r="K309" s="326" t="s">
        <v>309</v>
      </c>
      <c r="L309" s="1237">
        <v>23173</v>
      </c>
      <c r="M309" s="294"/>
      <c r="N309" s="294"/>
      <c r="O309" s="354">
        <v>205.33333333333334</v>
      </c>
      <c r="P309" s="998">
        <v>3</v>
      </c>
      <c r="Q309" s="355">
        <f t="shared" ref="Q309:Q326" si="86">+O309*P309</f>
        <v>616</v>
      </c>
      <c r="R309" s="299"/>
      <c r="S309" s="355"/>
      <c r="T309" s="355"/>
      <c r="U309" s="355"/>
      <c r="V309" s="355">
        <f t="shared" ref="V309:V316" si="87">+Q309</f>
        <v>616</v>
      </c>
      <c r="W309" s="355"/>
      <c r="X309" s="1137"/>
      <c r="Y309" s="1126"/>
      <c r="Z309" s="1194"/>
      <c r="AA309" s="1194"/>
      <c r="AB309" s="1194"/>
      <c r="AC309" s="1124"/>
      <c r="AD309" s="1124"/>
      <c r="AE309" s="1425"/>
      <c r="AF309" s="1124"/>
      <c r="AG309" s="1126"/>
    </row>
    <row r="310" spans="1:33" ht="32.25" customHeight="1">
      <c r="A310" s="1442">
        <v>2141</v>
      </c>
      <c r="B310" s="974" t="s">
        <v>70</v>
      </c>
      <c r="C310" s="1493" t="s">
        <v>307</v>
      </c>
      <c r="D310" s="326"/>
      <c r="E310" s="294">
        <v>2</v>
      </c>
      <c r="F310" s="293">
        <v>43269</v>
      </c>
      <c r="G310" s="293">
        <f t="shared" si="85"/>
        <v>43271</v>
      </c>
      <c r="H310" s="293" t="s">
        <v>294</v>
      </c>
      <c r="I310" s="294" t="s">
        <v>171</v>
      </c>
      <c r="J310" s="307" t="s">
        <v>295</v>
      </c>
      <c r="K310" s="326" t="s">
        <v>308</v>
      </c>
      <c r="L310" s="1237">
        <v>23173</v>
      </c>
      <c r="M310" s="326"/>
      <c r="N310" s="294"/>
      <c r="O310" s="354">
        <v>44</v>
      </c>
      <c r="P310" s="998">
        <v>3</v>
      </c>
      <c r="Q310" s="355">
        <f t="shared" si="86"/>
        <v>132</v>
      </c>
      <c r="R310" s="299"/>
      <c r="S310" s="355"/>
      <c r="T310" s="355"/>
      <c r="U310" s="355"/>
      <c r="V310" s="355">
        <f t="shared" si="87"/>
        <v>132</v>
      </c>
      <c r="W310" s="355"/>
      <c r="X310" s="1137"/>
      <c r="Y310" s="1126"/>
      <c r="Z310" s="1194"/>
      <c r="AA310" s="1194"/>
      <c r="AB310" s="1194"/>
      <c r="AC310" s="1124"/>
      <c r="AD310" s="1124"/>
      <c r="AE310" s="1425"/>
      <c r="AF310" s="1124"/>
      <c r="AG310" s="1126"/>
    </row>
    <row r="311" spans="1:33" ht="32.25" customHeight="1">
      <c r="A311" s="1442">
        <v>2141</v>
      </c>
      <c r="B311" s="974" t="s">
        <v>70</v>
      </c>
      <c r="C311" s="1493" t="s">
        <v>307</v>
      </c>
      <c r="D311" s="326"/>
      <c r="E311" s="294">
        <v>2</v>
      </c>
      <c r="F311" s="293">
        <v>43269</v>
      </c>
      <c r="G311" s="293">
        <f t="shared" si="85"/>
        <v>43271</v>
      </c>
      <c r="H311" s="293" t="s">
        <v>294</v>
      </c>
      <c r="I311" s="294" t="s">
        <v>171</v>
      </c>
      <c r="J311" s="307" t="s">
        <v>295</v>
      </c>
      <c r="K311" s="326" t="s">
        <v>296</v>
      </c>
      <c r="L311" s="1237">
        <v>23174</v>
      </c>
      <c r="M311" s="326"/>
      <c r="N311" s="294"/>
      <c r="O311" s="354">
        <v>480</v>
      </c>
      <c r="P311" s="998">
        <v>3</v>
      </c>
      <c r="Q311" s="355">
        <f t="shared" si="86"/>
        <v>1440</v>
      </c>
      <c r="R311" s="299"/>
      <c r="S311" s="355"/>
      <c r="T311" s="355"/>
      <c r="U311" s="355"/>
      <c r="V311" s="355">
        <f t="shared" si="87"/>
        <v>1440</v>
      </c>
      <c r="W311" s="355"/>
      <c r="X311" s="1137"/>
      <c r="Y311" s="1126"/>
      <c r="Z311" s="1194"/>
      <c r="AA311" s="1194"/>
      <c r="AB311" s="1194"/>
      <c r="AC311" s="1124"/>
      <c r="AD311" s="1124"/>
      <c r="AE311" s="1425"/>
      <c r="AF311" s="1124"/>
      <c r="AG311" s="1126"/>
    </row>
    <row r="312" spans="1:33" ht="32.25" customHeight="1">
      <c r="A312" s="1442">
        <v>2141</v>
      </c>
      <c r="B312" s="974" t="s">
        <v>70</v>
      </c>
      <c r="C312" s="1493" t="s">
        <v>307</v>
      </c>
      <c r="D312" s="326"/>
      <c r="E312" s="294">
        <v>2</v>
      </c>
      <c r="F312" s="293">
        <v>43269</v>
      </c>
      <c r="G312" s="293">
        <f t="shared" si="85"/>
        <v>43271</v>
      </c>
      <c r="H312" s="293" t="s">
        <v>294</v>
      </c>
      <c r="I312" s="294" t="s">
        <v>171</v>
      </c>
      <c r="J312" s="307" t="s">
        <v>295</v>
      </c>
      <c r="K312" s="326" t="s">
        <v>354</v>
      </c>
      <c r="L312" s="1237">
        <v>23174</v>
      </c>
      <c r="M312" s="326"/>
      <c r="N312" s="294"/>
      <c r="O312" s="354">
        <v>202.66666666666666</v>
      </c>
      <c r="P312" s="998">
        <v>3</v>
      </c>
      <c r="Q312" s="355">
        <f t="shared" si="86"/>
        <v>608</v>
      </c>
      <c r="R312" s="299"/>
      <c r="S312" s="355"/>
      <c r="T312" s="355"/>
      <c r="U312" s="355"/>
      <c r="V312" s="355">
        <f t="shared" si="87"/>
        <v>608</v>
      </c>
      <c r="W312" s="355"/>
      <c r="X312" s="1137"/>
      <c r="Y312" s="1126"/>
      <c r="Z312" s="1194"/>
      <c r="AA312" s="1194"/>
      <c r="AB312" s="1194"/>
      <c r="AC312" s="1124"/>
      <c r="AD312" s="1124"/>
      <c r="AE312" s="1425"/>
      <c r="AF312" s="1124"/>
      <c r="AG312" s="1126"/>
    </row>
    <row r="313" spans="1:33" ht="32.25" customHeight="1">
      <c r="A313" s="1442">
        <v>2141</v>
      </c>
      <c r="B313" s="974" t="s">
        <v>70</v>
      </c>
      <c r="C313" s="1493" t="s">
        <v>307</v>
      </c>
      <c r="D313" s="326"/>
      <c r="E313" s="294">
        <v>2</v>
      </c>
      <c r="F313" s="293">
        <v>43269</v>
      </c>
      <c r="G313" s="293">
        <f t="shared" si="85"/>
        <v>43271</v>
      </c>
      <c r="H313" s="293" t="s">
        <v>294</v>
      </c>
      <c r="I313" s="294" t="s">
        <v>171</v>
      </c>
      <c r="J313" s="307" t="s">
        <v>295</v>
      </c>
      <c r="K313" s="326" t="s">
        <v>355</v>
      </c>
      <c r="L313" s="1237">
        <v>23174</v>
      </c>
      <c r="M313" s="326"/>
      <c r="N313" s="294"/>
      <c r="O313" s="354">
        <v>333.33333333333331</v>
      </c>
      <c r="P313" s="998">
        <v>3</v>
      </c>
      <c r="Q313" s="355">
        <f t="shared" si="86"/>
        <v>1000</v>
      </c>
      <c r="R313" s="299"/>
      <c r="S313" s="355"/>
      <c r="T313" s="355"/>
      <c r="U313" s="355"/>
      <c r="V313" s="355">
        <f t="shared" si="87"/>
        <v>1000</v>
      </c>
      <c r="W313" s="355"/>
      <c r="X313" s="1137"/>
      <c r="Y313" s="1126"/>
      <c r="Z313" s="1194"/>
      <c r="AA313" s="1194"/>
      <c r="AB313" s="1194"/>
      <c r="AC313" s="1124"/>
      <c r="AD313" s="1124"/>
      <c r="AE313" s="1425"/>
      <c r="AF313" s="1124"/>
      <c r="AG313" s="1126"/>
    </row>
    <row r="314" spans="1:33" ht="32.25" customHeight="1">
      <c r="A314" s="1442">
        <v>2141</v>
      </c>
      <c r="B314" s="974" t="s">
        <v>70</v>
      </c>
      <c r="C314" s="1493" t="s">
        <v>307</v>
      </c>
      <c r="D314" s="326"/>
      <c r="E314" s="294">
        <v>2</v>
      </c>
      <c r="F314" s="293">
        <v>43269</v>
      </c>
      <c r="G314" s="293">
        <f t="shared" si="85"/>
        <v>43271</v>
      </c>
      <c r="H314" s="293" t="s">
        <v>294</v>
      </c>
      <c r="I314" s="294" t="s">
        <v>171</v>
      </c>
      <c r="J314" s="307" t="s">
        <v>295</v>
      </c>
      <c r="K314" s="326" t="s">
        <v>356</v>
      </c>
      <c r="L314" s="1237">
        <v>23174</v>
      </c>
      <c r="M314" s="326"/>
      <c r="N314" s="294"/>
      <c r="O314" s="354">
        <v>133.33333333333334</v>
      </c>
      <c r="P314" s="998">
        <v>3</v>
      </c>
      <c r="Q314" s="355">
        <f t="shared" si="86"/>
        <v>400</v>
      </c>
      <c r="R314" s="299"/>
      <c r="S314" s="355"/>
      <c r="T314" s="355"/>
      <c r="U314" s="355"/>
      <c r="V314" s="355">
        <f t="shared" si="87"/>
        <v>400</v>
      </c>
      <c r="W314" s="355"/>
      <c r="X314" s="1137"/>
      <c r="Y314" s="1126"/>
      <c r="Z314" s="1194"/>
      <c r="AA314" s="1194"/>
      <c r="AB314" s="1194"/>
      <c r="AC314" s="1124"/>
      <c r="AD314" s="1124"/>
      <c r="AE314" s="1425"/>
      <c r="AF314" s="1124"/>
      <c r="AG314" s="1126"/>
    </row>
    <row r="315" spans="1:33" ht="32.25" customHeight="1">
      <c r="A315" s="1442">
        <v>2141</v>
      </c>
      <c r="B315" s="974" t="s">
        <v>70</v>
      </c>
      <c r="C315" s="1493" t="s">
        <v>307</v>
      </c>
      <c r="D315" s="326"/>
      <c r="E315" s="294">
        <v>2</v>
      </c>
      <c r="F315" s="293">
        <v>43269</v>
      </c>
      <c r="G315" s="293">
        <f t="shared" si="85"/>
        <v>43271</v>
      </c>
      <c r="H315" s="293" t="s">
        <v>294</v>
      </c>
      <c r="I315" s="294" t="s">
        <v>171</v>
      </c>
      <c r="J315" s="307" t="s">
        <v>295</v>
      </c>
      <c r="K315" s="326" t="s">
        <v>301</v>
      </c>
      <c r="L315" s="1237">
        <v>23173</v>
      </c>
      <c r="M315" s="326"/>
      <c r="N315" s="294"/>
      <c r="O315" s="354">
        <v>200</v>
      </c>
      <c r="P315" s="998">
        <v>3</v>
      </c>
      <c r="Q315" s="355">
        <f t="shared" si="86"/>
        <v>600</v>
      </c>
      <c r="R315" s="299"/>
      <c r="S315" s="355"/>
      <c r="T315" s="355"/>
      <c r="U315" s="355"/>
      <c r="V315" s="355">
        <f t="shared" si="87"/>
        <v>600</v>
      </c>
      <c r="W315" s="355"/>
      <c r="X315" s="1137"/>
      <c r="Y315" s="1126"/>
      <c r="Z315" s="1194"/>
      <c r="AA315" s="1194"/>
      <c r="AB315" s="1194"/>
      <c r="AC315" s="1124"/>
      <c r="AD315" s="1124"/>
      <c r="AE315" s="1425"/>
      <c r="AF315" s="1124"/>
      <c r="AG315" s="1126"/>
    </row>
    <row r="316" spans="1:33" ht="32.25" customHeight="1">
      <c r="A316" s="1442">
        <v>2141</v>
      </c>
      <c r="B316" s="974" t="s">
        <v>70</v>
      </c>
      <c r="C316" s="1493" t="s">
        <v>307</v>
      </c>
      <c r="D316" s="326"/>
      <c r="E316" s="294">
        <v>2</v>
      </c>
      <c r="F316" s="293">
        <v>43269</v>
      </c>
      <c r="G316" s="293">
        <f t="shared" si="85"/>
        <v>43271</v>
      </c>
      <c r="H316" s="293" t="s">
        <v>294</v>
      </c>
      <c r="I316" s="294" t="s">
        <v>171</v>
      </c>
      <c r="J316" s="307" t="s">
        <v>295</v>
      </c>
      <c r="K316" s="326" t="s">
        <v>302</v>
      </c>
      <c r="L316" s="1237">
        <v>23173</v>
      </c>
      <c r="M316" s="326"/>
      <c r="N316" s="294"/>
      <c r="O316" s="354">
        <v>207</v>
      </c>
      <c r="P316" s="998">
        <v>3</v>
      </c>
      <c r="Q316" s="355">
        <f t="shared" si="86"/>
        <v>621</v>
      </c>
      <c r="R316" s="299"/>
      <c r="S316" s="355"/>
      <c r="T316" s="355"/>
      <c r="U316" s="355"/>
      <c r="V316" s="355">
        <f t="shared" si="87"/>
        <v>621</v>
      </c>
      <c r="W316" s="355"/>
      <c r="X316" s="1137"/>
      <c r="Y316" s="1126"/>
      <c r="Z316" s="1194"/>
      <c r="AA316" s="1194"/>
      <c r="AB316" s="1194"/>
      <c r="AC316" s="1124"/>
      <c r="AD316" s="1124"/>
      <c r="AE316" s="1425"/>
      <c r="AF316" s="1124"/>
      <c r="AG316" s="1126"/>
    </row>
    <row r="317" spans="1:33" ht="32.25" customHeight="1">
      <c r="A317" s="1442">
        <v>2142</v>
      </c>
      <c r="B317" s="978" t="s">
        <v>71</v>
      </c>
      <c r="C317" s="1501" t="s">
        <v>307</v>
      </c>
      <c r="D317" s="326"/>
      <c r="E317" s="294">
        <v>5</v>
      </c>
      <c r="F317" s="293">
        <v>43234</v>
      </c>
      <c r="G317" s="293">
        <f t="shared" si="85"/>
        <v>43239</v>
      </c>
      <c r="H317" s="293" t="s">
        <v>294</v>
      </c>
      <c r="I317" s="294" t="s">
        <v>171</v>
      </c>
      <c r="J317" s="307" t="s">
        <v>295</v>
      </c>
      <c r="K317" s="326" t="s">
        <v>309</v>
      </c>
      <c r="L317" s="1237">
        <v>23173</v>
      </c>
      <c r="M317" s="326"/>
      <c r="N317" s="294"/>
      <c r="O317" s="354">
        <v>933.33333333333337</v>
      </c>
      <c r="P317" s="294">
        <v>1</v>
      </c>
      <c r="Q317" s="355">
        <f t="shared" si="86"/>
        <v>933.33333333333337</v>
      </c>
      <c r="R317" s="299"/>
      <c r="S317" s="355"/>
      <c r="T317" s="355"/>
      <c r="U317" s="355">
        <f t="shared" ref="U317:U323" si="88">+Q317</f>
        <v>933.33333333333337</v>
      </c>
      <c r="V317" s="355"/>
      <c r="W317" s="355"/>
      <c r="X317" s="1137"/>
      <c r="Y317" s="1126"/>
      <c r="Z317" s="1194"/>
      <c r="AA317" s="1194"/>
      <c r="AB317" s="1194"/>
      <c r="AC317" s="1124"/>
      <c r="AD317" s="1124"/>
      <c r="AE317" s="1425"/>
      <c r="AF317" s="1124"/>
      <c r="AG317" s="1126"/>
    </row>
    <row r="318" spans="1:33" ht="32.25" customHeight="1">
      <c r="A318" s="1442">
        <v>2142</v>
      </c>
      <c r="B318" s="978" t="s">
        <v>71</v>
      </c>
      <c r="C318" s="1501" t="s">
        <v>307</v>
      </c>
      <c r="D318" s="326"/>
      <c r="E318" s="294">
        <v>5</v>
      </c>
      <c r="F318" s="293">
        <v>43234</v>
      </c>
      <c r="G318" s="293">
        <f t="shared" si="85"/>
        <v>43239</v>
      </c>
      <c r="H318" s="293" t="s">
        <v>294</v>
      </c>
      <c r="I318" s="294" t="s">
        <v>171</v>
      </c>
      <c r="J318" s="307" t="s">
        <v>295</v>
      </c>
      <c r="K318" s="326" t="s">
        <v>308</v>
      </c>
      <c r="L318" s="1237">
        <v>23173</v>
      </c>
      <c r="M318" s="326"/>
      <c r="N318" s="294"/>
      <c r="O318" s="354">
        <v>200</v>
      </c>
      <c r="P318" s="294">
        <v>1</v>
      </c>
      <c r="Q318" s="355">
        <f t="shared" si="86"/>
        <v>200</v>
      </c>
      <c r="R318" s="299"/>
      <c r="S318" s="355"/>
      <c r="T318" s="355"/>
      <c r="U318" s="355">
        <f t="shared" si="88"/>
        <v>200</v>
      </c>
      <c r="V318" s="355"/>
      <c r="W318" s="355"/>
      <c r="X318" s="1137"/>
      <c r="Y318" s="1126"/>
      <c r="Z318" s="1194"/>
      <c r="AA318" s="1194"/>
      <c r="AB318" s="1194"/>
      <c r="AC318" s="1124"/>
      <c r="AD318" s="1124"/>
      <c r="AE318" s="1425"/>
      <c r="AF318" s="1124"/>
      <c r="AG318" s="1126"/>
    </row>
    <row r="319" spans="1:33" ht="32.25" customHeight="1">
      <c r="A319" s="1442">
        <v>2142</v>
      </c>
      <c r="B319" s="978" t="s">
        <v>71</v>
      </c>
      <c r="C319" s="1501" t="s">
        <v>307</v>
      </c>
      <c r="D319" s="326"/>
      <c r="E319" s="294">
        <v>5</v>
      </c>
      <c r="F319" s="293">
        <v>43234</v>
      </c>
      <c r="G319" s="293">
        <f t="shared" si="85"/>
        <v>43239</v>
      </c>
      <c r="H319" s="293" t="s">
        <v>294</v>
      </c>
      <c r="I319" s="294" t="s">
        <v>171</v>
      </c>
      <c r="J319" s="307" t="s">
        <v>295</v>
      </c>
      <c r="K319" s="1024" t="s">
        <v>357</v>
      </c>
      <c r="L319" s="1237">
        <v>23174</v>
      </c>
      <c r="M319" s="326"/>
      <c r="N319" s="294"/>
      <c r="O319" s="354">
        <v>7093.333333333333</v>
      </c>
      <c r="P319" s="294">
        <v>1</v>
      </c>
      <c r="Q319" s="355">
        <f t="shared" si="86"/>
        <v>7093.333333333333</v>
      </c>
      <c r="R319" s="299"/>
      <c r="S319" s="355"/>
      <c r="T319" s="355"/>
      <c r="U319" s="355">
        <f t="shared" si="88"/>
        <v>7093.333333333333</v>
      </c>
      <c r="V319" s="355"/>
      <c r="W319" s="355"/>
      <c r="X319" s="1137"/>
      <c r="Y319" s="1126"/>
      <c r="Z319" s="1194"/>
      <c r="AA319" s="1194"/>
      <c r="AB319" s="1194"/>
      <c r="AC319" s="1124"/>
      <c r="AD319" s="1124"/>
      <c r="AE319" s="1425"/>
      <c r="AF319" s="1124"/>
      <c r="AG319" s="1126"/>
    </row>
    <row r="320" spans="1:33" ht="32.25" customHeight="1">
      <c r="A320" s="1442">
        <v>2142</v>
      </c>
      <c r="B320" s="978" t="s">
        <v>71</v>
      </c>
      <c r="C320" s="1501" t="s">
        <v>307</v>
      </c>
      <c r="D320" s="326"/>
      <c r="E320" s="294">
        <v>5</v>
      </c>
      <c r="F320" s="293">
        <v>43234</v>
      </c>
      <c r="G320" s="293">
        <f t="shared" si="85"/>
        <v>43239</v>
      </c>
      <c r="H320" s="293" t="s">
        <v>294</v>
      </c>
      <c r="I320" s="294" t="s">
        <v>171</v>
      </c>
      <c r="J320" s="307" t="s">
        <v>295</v>
      </c>
      <c r="K320" s="1024" t="s">
        <v>346</v>
      </c>
      <c r="L320" s="1237">
        <v>23174</v>
      </c>
      <c r="M320" s="326"/>
      <c r="N320" s="294"/>
      <c r="O320" s="354">
        <v>2666.6666666666665</v>
      </c>
      <c r="P320" s="294">
        <v>1</v>
      </c>
      <c r="Q320" s="355">
        <f t="shared" si="86"/>
        <v>2666.6666666666665</v>
      </c>
      <c r="R320" s="299"/>
      <c r="S320" s="355"/>
      <c r="T320" s="355"/>
      <c r="U320" s="355">
        <f t="shared" si="88"/>
        <v>2666.6666666666665</v>
      </c>
      <c r="V320" s="355"/>
      <c r="W320" s="355"/>
      <c r="X320" s="1137"/>
      <c r="Y320" s="1126"/>
      <c r="Z320" s="1194"/>
      <c r="AA320" s="1194"/>
      <c r="AB320" s="1194"/>
      <c r="AC320" s="1124"/>
      <c r="AD320" s="1124"/>
      <c r="AE320" s="1425"/>
      <c r="AF320" s="1124"/>
      <c r="AG320" s="1126"/>
    </row>
    <row r="321" spans="1:33" ht="32.25" customHeight="1">
      <c r="A321" s="1442">
        <v>2142</v>
      </c>
      <c r="B321" s="978" t="s">
        <v>71</v>
      </c>
      <c r="C321" s="1501" t="s">
        <v>307</v>
      </c>
      <c r="D321" s="326"/>
      <c r="E321" s="294">
        <v>5</v>
      </c>
      <c r="F321" s="293">
        <v>43234</v>
      </c>
      <c r="G321" s="293">
        <f t="shared" si="85"/>
        <v>43239</v>
      </c>
      <c r="H321" s="293" t="s">
        <v>294</v>
      </c>
      <c r="I321" s="294" t="s">
        <v>171</v>
      </c>
      <c r="J321" s="307" t="s">
        <v>295</v>
      </c>
      <c r="K321" s="1025" t="s">
        <v>358</v>
      </c>
      <c r="L321" s="1237">
        <v>23174</v>
      </c>
      <c r="M321" s="326"/>
      <c r="N321" s="294"/>
      <c r="O321" s="354">
        <v>1066.6666666666667</v>
      </c>
      <c r="P321" s="294">
        <v>1</v>
      </c>
      <c r="Q321" s="355">
        <f t="shared" si="86"/>
        <v>1066.6666666666667</v>
      </c>
      <c r="R321" s="299"/>
      <c r="S321" s="355"/>
      <c r="T321" s="355"/>
      <c r="U321" s="355">
        <f t="shared" si="88"/>
        <v>1066.6666666666667</v>
      </c>
      <c r="V321" s="355"/>
      <c r="W321" s="355"/>
      <c r="X321" s="1137"/>
      <c r="Y321" s="1126"/>
      <c r="Z321" s="1194"/>
      <c r="AA321" s="1194"/>
      <c r="AB321" s="1194"/>
      <c r="AC321" s="1124"/>
      <c r="AD321" s="1124"/>
      <c r="AE321" s="1425"/>
      <c r="AF321" s="1124"/>
      <c r="AG321" s="1126"/>
    </row>
    <row r="322" spans="1:33" ht="32.25" customHeight="1">
      <c r="A322" s="1442">
        <v>2142</v>
      </c>
      <c r="B322" s="978" t="s">
        <v>71</v>
      </c>
      <c r="C322" s="1501" t="s">
        <v>307</v>
      </c>
      <c r="D322" s="326"/>
      <c r="E322" s="294">
        <v>5</v>
      </c>
      <c r="F322" s="293">
        <v>43234</v>
      </c>
      <c r="G322" s="293">
        <f t="shared" si="85"/>
        <v>43239</v>
      </c>
      <c r="H322" s="293" t="s">
        <v>294</v>
      </c>
      <c r="I322" s="294" t="s">
        <v>171</v>
      </c>
      <c r="J322" s="307" t="s">
        <v>295</v>
      </c>
      <c r="K322" s="1024" t="s">
        <v>301</v>
      </c>
      <c r="L322" s="1237">
        <v>23173</v>
      </c>
      <c r="M322" s="326"/>
      <c r="N322" s="294"/>
      <c r="O322" s="354">
        <v>666.66666666666663</v>
      </c>
      <c r="P322" s="294">
        <v>1</v>
      </c>
      <c r="Q322" s="355">
        <f t="shared" si="86"/>
        <v>666.66666666666663</v>
      </c>
      <c r="R322" s="299"/>
      <c r="S322" s="355"/>
      <c r="T322" s="355"/>
      <c r="U322" s="355">
        <f t="shared" si="88"/>
        <v>666.66666666666663</v>
      </c>
      <c r="V322" s="355"/>
      <c r="W322" s="355"/>
      <c r="X322" s="1137"/>
      <c r="Y322" s="1126"/>
      <c r="Z322" s="1194"/>
      <c r="AA322" s="1194"/>
      <c r="AB322" s="1194"/>
      <c r="AC322" s="1124"/>
      <c r="AD322" s="1124"/>
      <c r="AE322" s="1425"/>
      <c r="AF322" s="1124"/>
      <c r="AG322" s="1126"/>
    </row>
    <row r="323" spans="1:33" ht="32.25" customHeight="1">
      <c r="A323" s="1442">
        <v>2142</v>
      </c>
      <c r="B323" s="978" t="s">
        <v>71</v>
      </c>
      <c r="C323" s="1501" t="s">
        <v>307</v>
      </c>
      <c r="D323" s="326"/>
      <c r="E323" s="294">
        <v>5</v>
      </c>
      <c r="F323" s="293">
        <v>43234</v>
      </c>
      <c r="G323" s="293">
        <f t="shared" si="85"/>
        <v>43239</v>
      </c>
      <c r="H323" s="293" t="s">
        <v>294</v>
      </c>
      <c r="I323" s="294" t="s">
        <v>171</v>
      </c>
      <c r="J323" s="307" t="s">
        <v>295</v>
      </c>
      <c r="K323" s="1024" t="s">
        <v>302</v>
      </c>
      <c r="L323" s="1237">
        <v>23173</v>
      </c>
      <c r="M323" s="326"/>
      <c r="N323" s="294"/>
      <c r="O323" s="354">
        <v>276</v>
      </c>
      <c r="P323" s="294">
        <v>1</v>
      </c>
      <c r="Q323" s="355">
        <f t="shared" si="86"/>
        <v>276</v>
      </c>
      <c r="R323" s="299"/>
      <c r="S323" s="355"/>
      <c r="T323" s="355"/>
      <c r="U323" s="355">
        <f t="shared" si="88"/>
        <v>276</v>
      </c>
      <c r="V323" s="355"/>
      <c r="W323" s="355"/>
      <c r="X323" s="1137"/>
      <c r="Y323" s="1126"/>
      <c r="Z323" s="1194"/>
      <c r="AA323" s="1194"/>
      <c r="AB323" s="1194"/>
      <c r="AC323" s="1124"/>
      <c r="AD323" s="1124"/>
      <c r="AE323" s="1425"/>
      <c r="AF323" s="1124"/>
      <c r="AG323" s="1126"/>
    </row>
    <row r="324" spans="1:33" ht="32.25" customHeight="1">
      <c r="A324" s="1442">
        <v>2143</v>
      </c>
      <c r="B324" s="974" t="s">
        <v>72</v>
      </c>
      <c r="C324" s="824" t="s">
        <v>359</v>
      </c>
      <c r="D324" s="326"/>
      <c r="E324" s="294">
        <v>30</v>
      </c>
      <c r="F324" s="293">
        <v>43255</v>
      </c>
      <c r="G324" s="293">
        <f t="shared" si="85"/>
        <v>43285</v>
      </c>
      <c r="H324" s="293" t="s">
        <v>294</v>
      </c>
      <c r="I324" s="294" t="s">
        <v>171</v>
      </c>
      <c r="J324" s="307" t="s">
        <v>295</v>
      </c>
      <c r="K324" s="326" t="s">
        <v>360</v>
      </c>
      <c r="L324" s="1237">
        <v>23172</v>
      </c>
      <c r="M324" s="326"/>
      <c r="N324" s="294"/>
      <c r="O324" s="354">
        <v>133333.33333333334</v>
      </c>
      <c r="P324" s="294">
        <v>0.2</v>
      </c>
      <c r="Q324" s="355">
        <f t="shared" si="86"/>
        <v>26666.666666666672</v>
      </c>
      <c r="R324" s="299"/>
      <c r="S324" s="355"/>
      <c r="T324" s="355"/>
      <c r="U324" s="355"/>
      <c r="V324" s="355">
        <f>+Q324</f>
        <v>26666.666666666672</v>
      </c>
      <c r="W324" s="355"/>
      <c r="X324" s="1137"/>
      <c r="Y324" s="1126"/>
      <c r="Z324" s="1194"/>
      <c r="AA324" s="1194"/>
      <c r="AB324" s="1194"/>
      <c r="AC324" s="1124"/>
      <c r="AD324" s="1124"/>
      <c r="AE324" s="1425"/>
      <c r="AF324" s="1124"/>
      <c r="AG324" s="1126"/>
    </row>
    <row r="325" spans="1:33" ht="32.25" customHeight="1">
      <c r="A325" s="1442">
        <v>2144</v>
      </c>
      <c r="B325" s="979" t="s">
        <v>73</v>
      </c>
      <c r="C325" s="824" t="s">
        <v>361</v>
      </c>
      <c r="D325" s="326"/>
      <c r="E325" s="294">
        <v>30</v>
      </c>
      <c r="F325" s="293">
        <v>43255</v>
      </c>
      <c r="G325" s="293">
        <f t="shared" si="85"/>
        <v>43285</v>
      </c>
      <c r="H325" s="293" t="s">
        <v>294</v>
      </c>
      <c r="I325" s="294" t="s">
        <v>171</v>
      </c>
      <c r="J325" s="307" t="s">
        <v>295</v>
      </c>
      <c r="K325" s="326" t="s">
        <v>360</v>
      </c>
      <c r="L325" s="1237">
        <v>23172</v>
      </c>
      <c r="M325" s="326"/>
      <c r="N325" s="294"/>
      <c r="O325" s="354">
        <v>2000</v>
      </c>
      <c r="P325" s="294">
        <v>3</v>
      </c>
      <c r="Q325" s="355">
        <f t="shared" si="86"/>
        <v>6000</v>
      </c>
      <c r="R325" s="299"/>
      <c r="S325" s="355"/>
      <c r="T325" s="355"/>
      <c r="U325" s="355"/>
      <c r="V325" s="355">
        <f>+Q325</f>
        <v>6000</v>
      </c>
      <c r="W325" s="355"/>
      <c r="X325" s="1137"/>
      <c r="Y325" s="1126"/>
      <c r="Z325" s="1194"/>
      <c r="AA325" s="1194"/>
      <c r="AB325" s="1194"/>
      <c r="AC325" s="1124"/>
      <c r="AD325" s="1124"/>
      <c r="AE325" s="1425"/>
      <c r="AF325" s="1124"/>
      <c r="AG325" s="1126"/>
    </row>
    <row r="326" spans="1:33" ht="32.25" customHeight="1">
      <c r="A326" s="1442">
        <v>2145</v>
      </c>
      <c r="B326" s="979" t="s">
        <v>74</v>
      </c>
      <c r="C326" s="1493" t="s">
        <v>362</v>
      </c>
      <c r="D326" s="326"/>
      <c r="E326" s="294">
        <v>30</v>
      </c>
      <c r="F326" s="293">
        <v>43255</v>
      </c>
      <c r="G326" s="293">
        <f t="shared" si="85"/>
        <v>43285</v>
      </c>
      <c r="H326" s="293" t="s">
        <v>294</v>
      </c>
      <c r="I326" s="294" t="s">
        <v>171</v>
      </c>
      <c r="J326" s="307" t="s">
        <v>295</v>
      </c>
      <c r="K326" s="326" t="s">
        <v>360</v>
      </c>
      <c r="L326" s="1237">
        <v>23172</v>
      </c>
      <c r="M326" s="326"/>
      <c r="N326" s="294"/>
      <c r="O326" s="354">
        <v>833.33333333333337</v>
      </c>
      <c r="P326" s="294">
        <v>3</v>
      </c>
      <c r="Q326" s="355">
        <f t="shared" si="86"/>
        <v>2500</v>
      </c>
      <c r="R326" s="299"/>
      <c r="S326" s="355"/>
      <c r="T326" s="355"/>
      <c r="U326" s="355"/>
      <c r="V326" s="355">
        <f>+Q326</f>
        <v>2500</v>
      </c>
      <c r="W326" s="355"/>
      <c r="X326" s="1137"/>
      <c r="Y326" s="1126"/>
      <c r="Z326" s="1194"/>
      <c r="AA326" s="1194"/>
      <c r="AB326" s="1194"/>
      <c r="AC326" s="1124"/>
      <c r="AD326" s="1124"/>
      <c r="AE326" s="1425"/>
      <c r="AF326" s="1124"/>
      <c r="AG326" s="1126"/>
    </row>
    <row r="327" spans="1:33">
      <c r="A327" s="294" t="s">
        <v>233</v>
      </c>
      <c r="B327" s="973"/>
      <c r="C327" s="824"/>
      <c r="D327" s="326"/>
      <c r="E327" s="294"/>
      <c r="F327" s="293"/>
      <c r="G327" s="293"/>
      <c r="H327" s="293"/>
      <c r="I327" s="294"/>
      <c r="J327" s="307"/>
      <c r="K327" s="326"/>
      <c r="L327" s="1237"/>
      <c r="M327" s="326"/>
      <c r="N327" s="294"/>
      <c r="O327" s="354"/>
      <c r="P327" s="294"/>
      <c r="Q327" s="355"/>
      <c r="R327" s="299"/>
      <c r="S327" s="355"/>
      <c r="T327" s="355"/>
      <c r="U327" s="355"/>
      <c r="V327" s="355"/>
      <c r="W327" s="355"/>
      <c r="X327" s="1137"/>
      <c r="Y327" s="1126"/>
      <c r="Z327" s="1194"/>
      <c r="AA327" s="1194"/>
      <c r="AB327" s="1194"/>
      <c r="AC327" s="1124"/>
      <c r="AD327" s="1124"/>
      <c r="AE327" s="1425"/>
      <c r="AF327" s="1124"/>
      <c r="AG327" s="1126"/>
    </row>
    <row r="328" spans="1:33" ht="37.5" customHeight="1">
      <c r="A328" s="1248" t="s">
        <v>237</v>
      </c>
      <c r="B328" s="274"/>
      <c r="C328" s="278"/>
      <c r="D328" s="1270"/>
      <c r="E328" s="1270"/>
      <c r="F328" s="1270"/>
      <c r="G328" s="1270"/>
      <c r="H328" s="1270"/>
      <c r="I328" s="1270"/>
      <c r="J328" s="273"/>
      <c r="K328" s="1248"/>
      <c r="L328" s="1269"/>
      <c r="M328" s="1270"/>
      <c r="N328" s="1268"/>
      <c r="O328" s="1271"/>
      <c r="P328" s="1268"/>
      <c r="Q328" s="1272">
        <f>Q329+Q339+Q351+Q372</f>
        <v>300000</v>
      </c>
      <c r="R328" s="1273">
        <f>+'[2]Compil Costing PPA 3 millions'!F8</f>
        <v>300000</v>
      </c>
      <c r="S328" s="1272">
        <f t="shared" ref="S328:AB328" si="89">S329+S339+S351+S372</f>
        <v>0</v>
      </c>
      <c r="T328" s="1272">
        <f t="shared" si="89"/>
        <v>1700</v>
      </c>
      <c r="U328" s="1272">
        <f t="shared" si="89"/>
        <v>17480</v>
      </c>
      <c r="V328" s="1272">
        <f t="shared" si="89"/>
        <v>64440</v>
      </c>
      <c r="W328" s="1272">
        <f t="shared" si="89"/>
        <v>10000</v>
      </c>
      <c r="X328" s="1337">
        <f t="shared" si="89"/>
        <v>64180</v>
      </c>
      <c r="Y328" s="1338">
        <f t="shared" si="89"/>
        <v>109800</v>
      </c>
      <c r="Z328" s="1071">
        <f t="shared" si="89"/>
        <v>11600</v>
      </c>
      <c r="AA328" s="1071">
        <f t="shared" si="89"/>
        <v>8600</v>
      </c>
      <c r="AB328" s="1071">
        <f t="shared" si="89"/>
        <v>500</v>
      </c>
      <c r="AC328" s="1071">
        <f>AC329+AC339+AC351+AC372</f>
        <v>500</v>
      </c>
      <c r="AD328" s="1071">
        <f>AD329+AD339+AD351+AD372</f>
        <v>10200</v>
      </c>
      <c r="AE328" s="1071">
        <f>AE329+AE339+AE351+AE372</f>
        <v>500</v>
      </c>
      <c r="AF328" s="1071">
        <f>AF329+AF339+AF351+AF372</f>
        <v>500</v>
      </c>
      <c r="AG328" s="276">
        <f>AG329+AG339+AG351+AG372</f>
        <v>300000</v>
      </c>
    </row>
    <row r="329" spans="1:33" ht="16.5" customHeight="1">
      <c r="A329" s="1324">
        <v>221</v>
      </c>
      <c r="B329" s="1555" t="s">
        <v>238</v>
      </c>
      <c r="C329" s="959"/>
      <c r="D329" s="1556"/>
      <c r="E329" s="1556"/>
      <c r="F329" s="1556"/>
      <c r="G329" s="1556"/>
      <c r="H329" s="1556"/>
      <c r="I329" s="1556"/>
      <c r="J329" s="636"/>
      <c r="K329" s="1296"/>
      <c r="L329" s="1298"/>
      <c r="M329" s="1326"/>
      <c r="N329" s="1297"/>
      <c r="O329" s="1327"/>
      <c r="P329" s="1297"/>
      <c r="Q329" s="1329">
        <f>SUM(Q330:Q338)</f>
        <v>42960</v>
      </c>
      <c r="R329" s="790"/>
      <c r="S329" s="1329">
        <f t="shared" ref="S329:AB329" si="90">SUM(S330:S338)</f>
        <v>0</v>
      </c>
      <c r="T329" s="1329">
        <f t="shared" si="90"/>
        <v>240</v>
      </c>
      <c r="U329" s="1329">
        <f t="shared" si="90"/>
        <v>0</v>
      </c>
      <c r="V329" s="1329">
        <f t="shared" si="90"/>
        <v>740</v>
      </c>
      <c r="W329" s="1329">
        <f t="shared" si="90"/>
        <v>0</v>
      </c>
      <c r="X329" s="1342">
        <f t="shared" si="90"/>
        <v>12480</v>
      </c>
      <c r="Y329" s="1343">
        <f t="shared" si="90"/>
        <v>10300</v>
      </c>
      <c r="Z329" s="1151">
        <f t="shared" si="90"/>
        <v>11100</v>
      </c>
      <c r="AA329" s="1151">
        <f t="shared" si="90"/>
        <v>8100</v>
      </c>
      <c r="AB329" s="1151">
        <f t="shared" si="90"/>
        <v>0</v>
      </c>
      <c r="AC329" s="1151">
        <f>SUM(AC330:AC338)</f>
        <v>0</v>
      </c>
      <c r="AD329" s="1151">
        <f>SUM(AD330:AD338)</f>
        <v>0</v>
      </c>
      <c r="AE329" s="1151">
        <f>SUM(AE330:AE338)</f>
        <v>0</v>
      </c>
      <c r="AF329" s="1151">
        <f>SUM(AF330:AF338)</f>
        <v>0</v>
      </c>
      <c r="AG329" s="1051">
        <f>SUM(S329:AF329)</f>
        <v>42960</v>
      </c>
    </row>
    <row r="330" spans="1:33">
      <c r="A330" s="796">
        <v>2211</v>
      </c>
      <c r="B330" s="808" t="s">
        <v>845</v>
      </c>
      <c r="C330" s="793" t="s">
        <v>846</v>
      </c>
      <c r="D330" s="796"/>
      <c r="E330" s="796">
        <v>15</v>
      </c>
      <c r="F330" s="795">
        <v>43199</v>
      </c>
      <c r="G330" s="795">
        <f>+F330+E330</f>
        <v>43214</v>
      </c>
      <c r="H330" s="795" t="s">
        <v>368</v>
      </c>
      <c r="I330" s="796" t="s">
        <v>169</v>
      </c>
      <c r="J330" s="792" t="s">
        <v>174</v>
      </c>
      <c r="K330" s="805" t="s">
        <v>847</v>
      </c>
      <c r="L330" s="1232">
        <v>23173</v>
      </c>
      <c r="M330" s="805"/>
      <c r="N330" s="796" t="s">
        <v>366</v>
      </c>
      <c r="O330" s="1107">
        <v>80</v>
      </c>
      <c r="P330" s="796">
        <v>3</v>
      </c>
      <c r="Q330" s="1107">
        <f>+P330*O330</f>
        <v>240</v>
      </c>
      <c r="R330" s="800"/>
      <c r="S330" s="1107"/>
      <c r="T330" s="1107">
        <v>240</v>
      </c>
      <c r="U330" s="1107"/>
      <c r="V330" s="1107"/>
      <c r="W330" s="1107"/>
      <c r="X330" s="1137"/>
      <c r="Y330" s="1126"/>
      <c r="Z330" s="1125"/>
      <c r="AA330" s="1125"/>
      <c r="AB330" s="1125"/>
      <c r="AC330" s="1124"/>
      <c r="AD330" s="1124"/>
      <c r="AE330" s="1124"/>
      <c r="AF330" s="1124"/>
      <c r="AG330" s="1125"/>
    </row>
    <row r="331" spans="1:33">
      <c r="A331" s="796">
        <f>A330</f>
        <v>2211</v>
      </c>
      <c r="B331" s="808" t="s">
        <v>845</v>
      </c>
      <c r="C331" s="1503" t="s">
        <v>848</v>
      </c>
      <c r="D331" s="796" t="s">
        <v>849</v>
      </c>
      <c r="E331" s="796">
        <v>150</v>
      </c>
      <c r="F331" s="795">
        <f>+G330</f>
        <v>43214</v>
      </c>
      <c r="G331" s="795">
        <f>+G330+E331</f>
        <v>43364</v>
      </c>
      <c r="H331" s="795" t="s">
        <v>368</v>
      </c>
      <c r="I331" s="796" t="s">
        <v>174</v>
      </c>
      <c r="J331" s="792" t="s">
        <v>169</v>
      </c>
      <c r="K331" s="1543" t="s">
        <v>365</v>
      </c>
      <c r="L331" s="1232">
        <v>2313</v>
      </c>
      <c r="M331" s="805"/>
      <c r="N331" s="796" t="s">
        <v>366</v>
      </c>
      <c r="O331" s="1107">
        <v>27000</v>
      </c>
      <c r="P331" s="796">
        <v>1</v>
      </c>
      <c r="Q331" s="1107">
        <f>+O331*P331</f>
        <v>27000</v>
      </c>
      <c r="R331" s="800"/>
      <c r="S331" s="1107"/>
      <c r="T331" s="1107"/>
      <c r="U331" s="1107"/>
      <c r="V331" s="1107"/>
      <c r="X331" s="1137">
        <v>5400</v>
      </c>
      <c r="Y331" s="1126">
        <v>5400</v>
      </c>
      <c r="Z331" s="1126">
        <v>8100</v>
      </c>
      <c r="AA331" s="1125">
        <v>8100</v>
      </c>
      <c r="AB331" s="1125"/>
      <c r="AC331" s="1124"/>
      <c r="AD331" s="1124"/>
      <c r="AE331" s="1124"/>
      <c r="AF331" s="1124"/>
      <c r="AG331" s="1125"/>
    </row>
    <row r="332" spans="1:33">
      <c r="A332" s="796">
        <f>+A331+1</f>
        <v>2212</v>
      </c>
      <c r="B332" s="808" t="s">
        <v>850</v>
      </c>
      <c r="C332" s="793" t="s">
        <v>846</v>
      </c>
      <c r="D332" s="796"/>
      <c r="E332" s="796">
        <v>20</v>
      </c>
      <c r="F332" s="795">
        <v>43226</v>
      </c>
      <c r="G332" s="795">
        <v>43246</v>
      </c>
      <c r="H332" s="795" t="s">
        <v>368</v>
      </c>
      <c r="I332" s="796" t="s">
        <v>169</v>
      </c>
      <c r="J332" s="792" t="s">
        <v>174</v>
      </c>
      <c r="K332" s="805" t="s">
        <v>847</v>
      </c>
      <c r="L332" s="1232">
        <v>23173</v>
      </c>
      <c r="M332" s="805"/>
      <c r="N332" s="796" t="s">
        <v>366</v>
      </c>
      <c r="O332" s="1107">
        <v>80</v>
      </c>
      <c r="P332" s="796">
        <v>3</v>
      </c>
      <c r="Q332" s="1107">
        <f t="shared" ref="Q332:Q338" si="91">O332*P332</f>
        <v>240</v>
      </c>
      <c r="R332" s="800"/>
      <c r="S332" s="1107"/>
      <c r="T332" s="1107"/>
      <c r="U332" s="1107"/>
      <c r="V332" s="1107">
        <v>240</v>
      </c>
      <c r="W332" s="1107"/>
      <c r="X332" s="1137"/>
      <c r="Y332" s="1126"/>
      <c r="Z332" s="1125"/>
      <c r="AA332" s="1125"/>
      <c r="AB332" s="1125"/>
      <c r="AC332" s="1124"/>
      <c r="AD332" s="1124"/>
      <c r="AE332" s="1124"/>
      <c r="AF332" s="1124"/>
      <c r="AG332" s="1125"/>
    </row>
    <row r="333" spans="1:33">
      <c r="A333" s="796">
        <v>2212</v>
      </c>
      <c r="B333" s="808" t="s">
        <v>851</v>
      </c>
      <c r="C333" s="1503" t="s">
        <v>852</v>
      </c>
      <c r="D333" s="796" t="s">
        <v>849</v>
      </c>
      <c r="E333" s="796">
        <v>95</v>
      </c>
      <c r="F333" s="795">
        <v>43249</v>
      </c>
      <c r="G333" s="795">
        <v>43341</v>
      </c>
      <c r="H333" s="795" t="s">
        <v>368</v>
      </c>
      <c r="I333" s="796" t="s">
        <v>174</v>
      </c>
      <c r="J333" s="792" t="s">
        <v>169</v>
      </c>
      <c r="K333" s="805" t="s">
        <v>365</v>
      </c>
      <c r="L333" s="1232">
        <v>2313</v>
      </c>
      <c r="M333" s="805"/>
      <c r="N333" s="796" t="s">
        <v>366</v>
      </c>
      <c r="O333" s="994">
        <v>5000</v>
      </c>
      <c r="P333" s="796">
        <v>1</v>
      </c>
      <c r="Q333" s="1107">
        <f t="shared" si="91"/>
        <v>5000</v>
      </c>
      <c r="R333" s="800"/>
      <c r="S333" s="1107"/>
      <c r="T333" s="1107"/>
      <c r="U333" s="1107"/>
      <c r="V333" s="1107">
        <v>500</v>
      </c>
      <c r="W333" s="1107"/>
      <c r="X333" s="1137">
        <v>2000</v>
      </c>
      <c r="Y333" s="1126">
        <v>2500</v>
      </c>
      <c r="Z333" s="1125"/>
      <c r="AA333" s="1125"/>
      <c r="AB333" s="1125"/>
      <c r="AC333" s="1124"/>
      <c r="AD333" s="1124"/>
      <c r="AE333" s="1124"/>
      <c r="AF333" s="1124"/>
      <c r="AG333" s="1125"/>
    </row>
    <row r="334" spans="1:33">
      <c r="A334" s="796">
        <f>+A333+1</f>
        <v>2213</v>
      </c>
      <c r="B334" s="808" t="s">
        <v>853</v>
      </c>
      <c r="C334" s="793" t="s">
        <v>846</v>
      </c>
      <c r="D334" s="796"/>
      <c r="E334" s="796">
        <v>20</v>
      </c>
      <c r="F334" s="795">
        <v>43288</v>
      </c>
      <c r="G334" s="795">
        <v>43308</v>
      </c>
      <c r="H334" s="795" t="s">
        <v>368</v>
      </c>
      <c r="I334" s="796" t="s">
        <v>169</v>
      </c>
      <c r="J334" s="792" t="s">
        <v>174</v>
      </c>
      <c r="K334" s="805" t="s">
        <v>847</v>
      </c>
      <c r="L334" s="1232">
        <v>23173</v>
      </c>
      <c r="M334" s="805"/>
      <c r="N334" s="796" t="s">
        <v>366</v>
      </c>
      <c r="O334" s="994">
        <v>80</v>
      </c>
      <c r="P334" s="796">
        <v>3</v>
      </c>
      <c r="Q334" s="1107">
        <f t="shared" si="91"/>
        <v>240</v>
      </c>
      <c r="R334" s="800"/>
      <c r="S334" s="1107"/>
      <c r="T334" s="1107"/>
      <c r="U334" s="1107"/>
      <c r="V334" s="1107"/>
      <c r="W334" s="1107"/>
      <c r="X334" s="1137">
        <v>240</v>
      </c>
      <c r="Y334" s="1126"/>
      <c r="Z334" s="1125"/>
      <c r="AA334" s="1125"/>
      <c r="AB334" s="1125"/>
      <c r="AC334" s="1124"/>
      <c r="AD334" s="1124"/>
      <c r="AE334" s="1124"/>
      <c r="AF334" s="1124"/>
      <c r="AG334" s="1125"/>
    </row>
    <row r="335" spans="1:33">
      <c r="A335" s="796">
        <v>2213</v>
      </c>
      <c r="B335" s="808" t="s">
        <v>854</v>
      </c>
      <c r="C335" s="793" t="s">
        <v>367</v>
      </c>
      <c r="D335" s="796" t="s">
        <v>849</v>
      </c>
      <c r="E335" s="796">
        <v>95</v>
      </c>
      <c r="F335" s="795">
        <v>43309</v>
      </c>
      <c r="G335" s="795">
        <v>43403</v>
      </c>
      <c r="H335" s="795" t="s">
        <v>368</v>
      </c>
      <c r="I335" s="796" t="s">
        <v>174</v>
      </c>
      <c r="J335" s="792" t="s">
        <v>169</v>
      </c>
      <c r="K335" s="805" t="s">
        <v>365</v>
      </c>
      <c r="L335" s="1232">
        <v>2313</v>
      </c>
      <c r="M335" s="805"/>
      <c r="N335" s="796" t="s">
        <v>366</v>
      </c>
      <c r="O335" s="994">
        <v>6000</v>
      </c>
      <c r="P335" s="796">
        <v>1</v>
      </c>
      <c r="Q335" s="1107">
        <f t="shared" si="91"/>
        <v>6000</v>
      </c>
      <c r="R335" s="800"/>
      <c r="S335" s="1107"/>
      <c r="T335" s="1107"/>
      <c r="U335" s="1107"/>
      <c r="V335" s="1107"/>
      <c r="W335" s="1107"/>
      <c r="X335" s="1137">
        <v>600</v>
      </c>
      <c r="Y335" s="1126">
        <v>2400</v>
      </c>
      <c r="Z335" s="1125">
        <v>3000</v>
      </c>
      <c r="AA335" s="1125"/>
      <c r="AB335" s="1125"/>
      <c r="AC335" s="1124"/>
      <c r="AD335" s="1124"/>
      <c r="AE335" s="1124"/>
      <c r="AF335" s="1124"/>
      <c r="AG335" s="1125"/>
    </row>
    <row r="336" spans="1:33" ht="47.25">
      <c r="A336" s="796">
        <f>+A335+1</f>
        <v>2214</v>
      </c>
      <c r="B336" s="808" t="s">
        <v>855</v>
      </c>
      <c r="C336" s="793" t="s">
        <v>856</v>
      </c>
      <c r="D336" s="813"/>
      <c r="E336" s="796">
        <v>5</v>
      </c>
      <c r="F336" s="816">
        <v>43318</v>
      </c>
      <c r="G336" s="816">
        <v>43321</v>
      </c>
      <c r="H336" s="795" t="s">
        <v>368</v>
      </c>
      <c r="I336" s="796" t="s">
        <v>174</v>
      </c>
      <c r="J336" s="792" t="s">
        <v>169</v>
      </c>
      <c r="K336" s="805" t="s">
        <v>486</v>
      </c>
      <c r="L336" s="1232">
        <v>23173</v>
      </c>
      <c r="M336" s="805"/>
      <c r="N336" s="796" t="s">
        <v>366</v>
      </c>
      <c r="O336" s="1115">
        <v>343</v>
      </c>
      <c r="P336" s="796">
        <v>1</v>
      </c>
      <c r="Q336" s="1107">
        <f t="shared" si="91"/>
        <v>343</v>
      </c>
      <c r="R336" s="800"/>
      <c r="S336" s="1107"/>
      <c r="T336" s="1107"/>
      <c r="U336" s="1107"/>
      <c r="V336" s="1107"/>
      <c r="W336" s="1107"/>
      <c r="X336" s="1180">
        <v>343</v>
      </c>
      <c r="Y336" s="1126"/>
      <c r="Z336" s="1125"/>
      <c r="AA336" s="1125"/>
      <c r="AB336" s="1125"/>
      <c r="AC336" s="1124"/>
      <c r="AD336" s="1124"/>
      <c r="AE336" s="1124"/>
      <c r="AF336" s="1124"/>
      <c r="AG336" s="1125"/>
    </row>
    <row r="337" spans="1:33" ht="47.25">
      <c r="A337" s="796">
        <f>A336</f>
        <v>2214</v>
      </c>
      <c r="B337" s="808" t="s">
        <v>855</v>
      </c>
      <c r="C337" s="793" t="s">
        <v>856</v>
      </c>
      <c r="D337" s="813"/>
      <c r="E337" s="796">
        <v>5</v>
      </c>
      <c r="F337" s="816">
        <v>43318</v>
      </c>
      <c r="G337" s="816">
        <v>43321</v>
      </c>
      <c r="H337" s="795" t="s">
        <v>368</v>
      </c>
      <c r="I337" s="796" t="s">
        <v>169</v>
      </c>
      <c r="J337" s="792" t="s">
        <v>174</v>
      </c>
      <c r="K337" s="1544" t="s">
        <v>857</v>
      </c>
      <c r="L337" s="1237">
        <v>23174</v>
      </c>
      <c r="M337" s="326"/>
      <c r="N337" s="294"/>
      <c r="O337" s="1557">
        <v>3657</v>
      </c>
      <c r="P337" s="294">
        <v>1</v>
      </c>
      <c r="Q337" s="355">
        <f t="shared" si="91"/>
        <v>3657</v>
      </c>
      <c r="R337" s="299"/>
      <c r="S337" s="355"/>
      <c r="T337" s="355"/>
      <c r="U337" s="355"/>
      <c r="V337" s="355"/>
      <c r="W337" s="355"/>
      <c r="X337" s="1558">
        <v>3657</v>
      </c>
      <c r="Y337" s="1126"/>
      <c r="Z337" s="1125"/>
      <c r="AA337" s="1125"/>
      <c r="AB337" s="1125"/>
      <c r="AC337" s="1124"/>
      <c r="AD337" s="1124"/>
      <c r="AE337" s="1124"/>
      <c r="AF337" s="1124"/>
      <c r="AG337" s="1125"/>
    </row>
    <row r="338" spans="1:33">
      <c r="A338" s="294">
        <f>+A336+1</f>
        <v>2215</v>
      </c>
      <c r="B338" s="820" t="s">
        <v>858</v>
      </c>
      <c r="C338" s="291" t="s">
        <v>859</v>
      </c>
      <c r="D338" s="294" t="s">
        <v>514</v>
      </c>
      <c r="E338" s="294">
        <v>20</v>
      </c>
      <c r="F338" s="293">
        <v>43288</v>
      </c>
      <c r="G338" s="293">
        <v>43308</v>
      </c>
      <c r="H338" s="293" t="s">
        <v>368</v>
      </c>
      <c r="I338" s="294" t="s">
        <v>174</v>
      </c>
      <c r="J338" s="307" t="s">
        <v>169</v>
      </c>
      <c r="K338" s="326" t="s">
        <v>860</v>
      </c>
      <c r="L338" s="1237">
        <v>23173</v>
      </c>
      <c r="M338" s="326"/>
      <c r="N338" s="294"/>
      <c r="O338" s="354">
        <v>80</v>
      </c>
      <c r="P338" s="294">
        <v>3</v>
      </c>
      <c r="Q338" s="355">
        <f t="shared" si="91"/>
        <v>240</v>
      </c>
      <c r="R338" s="299"/>
      <c r="S338" s="355"/>
      <c r="T338" s="355"/>
      <c r="U338" s="355"/>
      <c r="V338" s="355"/>
      <c r="W338" s="355"/>
      <c r="X338" s="1137">
        <v>240</v>
      </c>
      <c r="Y338" s="1126"/>
      <c r="Z338" s="1125"/>
      <c r="AA338" s="1125"/>
      <c r="AB338" s="1125"/>
      <c r="AC338" s="1124"/>
      <c r="AD338" s="1124"/>
      <c r="AE338" s="1124"/>
      <c r="AF338" s="1124"/>
      <c r="AG338" s="1125"/>
    </row>
    <row r="339" spans="1:33" ht="33.75" customHeight="1">
      <c r="A339" s="1275">
        <v>222</v>
      </c>
      <c r="B339" s="508" t="s">
        <v>861</v>
      </c>
      <c r="C339" s="1559"/>
      <c r="D339" s="822"/>
      <c r="E339" s="822"/>
      <c r="F339" s="822"/>
      <c r="G339" s="822"/>
      <c r="H339" s="822"/>
      <c r="I339" s="822"/>
      <c r="J339" s="508"/>
      <c r="K339" s="1560"/>
      <c r="L339" s="1561"/>
      <c r="M339" s="822"/>
      <c r="N339" s="822"/>
      <c r="O339" s="1562"/>
      <c r="P339" s="822"/>
      <c r="Q339" s="1562">
        <f>SUM(Q340:Q350)</f>
        <v>24920.000000000004</v>
      </c>
      <c r="R339" s="822"/>
      <c r="S339" s="1562">
        <f t="shared" ref="S339:AD339" si="92">SUM(S340:S350)</f>
        <v>0</v>
      </c>
      <c r="T339" s="1562">
        <f t="shared" si="92"/>
        <v>720</v>
      </c>
      <c r="U339" s="1562">
        <f t="shared" si="92"/>
        <v>500</v>
      </c>
      <c r="V339" s="1562">
        <f t="shared" si="92"/>
        <v>500</v>
      </c>
      <c r="W339" s="1562">
        <f t="shared" si="92"/>
        <v>9000</v>
      </c>
      <c r="X339" s="1562">
        <f t="shared" si="92"/>
        <v>500</v>
      </c>
      <c r="Y339" s="1562">
        <f t="shared" si="92"/>
        <v>500</v>
      </c>
      <c r="Z339" s="1563">
        <f t="shared" si="92"/>
        <v>500</v>
      </c>
      <c r="AA339" s="1563">
        <f t="shared" si="92"/>
        <v>500</v>
      </c>
      <c r="AB339" s="1563">
        <f t="shared" si="92"/>
        <v>500</v>
      </c>
      <c r="AC339" s="1563">
        <f t="shared" si="92"/>
        <v>500</v>
      </c>
      <c r="AD339" s="1563">
        <f t="shared" si="92"/>
        <v>10200</v>
      </c>
      <c r="AE339" s="1563">
        <f>SUM(AE340:AE350)</f>
        <v>500</v>
      </c>
      <c r="AF339" s="1563">
        <f>SUM(AF340:AF350)</f>
        <v>500</v>
      </c>
      <c r="AG339" s="1051">
        <f>SUM(S339:AF339)</f>
        <v>24920</v>
      </c>
    </row>
    <row r="340" spans="1:33" ht="45" customHeight="1">
      <c r="A340" s="294">
        <v>2221</v>
      </c>
      <c r="B340" s="291" t="s">
        <v>862</v>
      </c>
      <c r="C340" s="291" t="s">
        <v>846</v>
      </c>
      <c r="D340" s="821"/>
      <c r="E340" s="294">
        <v>20</v>
      </c>
      <c r="F340" s="293">
        <v>43199</v>
      </c>
      <c r="G340" s="293">
        <v>43219</v>
      </c>
      <c r="H340" s="293" t="s">
        <v>368</v>
      </c>
      <c r="I340" s="294" t="s">
        <v>169</v>
      </c>
      <c r="J340" s="307" t="s">
        <v>174</v>
      </c>
      <c r="K340" s="326" t="s">
        <v>847</v>
      </c>
      <c r="L340" s="1237">
        <v>23173</v>
      </c>
      <c r="M340" s="326"/>
      <c r="N340" s="294"/>
      <c r="O340" s="354">
        <v>80</v>
      </c>
      <c r="P340" s="294">
        <v>3</v>
      </c>
      <c r="Q340" s="355">
        <f t="shared" ref="Q340:Q350" si="93">O340*P340</f>
        <v>240</v>
      </c>
      <c r="R340" s="299"/>
      <c r="S340" s="355"/>
      <c r="T340" s="355">
        <v>240</v>
      </c>
      <c r="U340" s="355"/>
      <c r="V340" s="355"/>
      <c r="W340" s="355"/>
      <c r="X340" s="1137"/>
      <c r="Y340" s="1126"/>
      <c r="Z340" s="1124"/>
      <c r="AA340" s="1124"/>
      <c r="AB340" s="1124"/>
      <c r="AC340" s="1124"/>
      <c r="AD340" s="1124"/>
      <c r="AE340" s="1124"/>
      <c r="AF340" s="1124"/>
      <c r="AG340" s="1124"/>
    </row>
    <row r="341" spans="1:33" ht="72" customHeight="1">
      <c r="A341" s="294">
        <f>A340</f>
        <v>2221</v>
      </c>
      <c r="B341" s="291" t="s">
        <v>862</v>
      </c>
      <c r="C341" s="291" t="s">
        <v>863</v>
      </c>
      <c r="D341" s="821"/>
      <c r="E341" s="294">
        <f>56+365</f>
        <v>421</v>
      </c>
      <c r="F341" s="293">
        <v>43181</v>
      </c>
      <c r="G341" s="293">
        <v>43581</v>
      </c>
      <c r="H341" s="293" t="s">
        <v>368</v>
      </c>
      <c r="I341" s="294" t="s">
        <v>174</v>
      </c>
      <c r="J341" s="307" t="s">
        <v>169</v>
      </c>
      <c r="K341" s="326" t="s">
        <v>864</v>
      </c>
      <c r="L341" s="1237">
        <v>23171</v>
      </c>
      <c r="M341" s="326"/>
      <c r="N341" s="294"/>
      <c r="O341" s="354">
        <v>250</v>
      </c>
      <c r="P341" s="294">
        <v>12</v>
      </c>
      <c r="Q341" s="355">
        <f t="shared" si="93"/>
        <v>3000</v>
      </c>
      <c r="R341" s="299"/>
      <c r="S341" s="355"/>
      <c r="T341" s="355"/>
      <c r="U341" s="355">
        <v>250</v>
      </c>
      <c r="V341" s="355">
        <v>250</v>
      </c>
      <c r="W341" s="355">
        <v>250</v>
      </c>
      <c r="X341" s="1137">
        <v>250</v>
      </c>
      <c r="Y341" s="1126">
        <v>250</v>
      </c>
      <c r="Z341" s="1126">
        <v>250</v>
      </c>
      <c r="AA341" s="1126">
        <v>250</v>
      </c>
      <c r="AB341" s="1126">
        <v>250</v>
      </c>
      <c r="AC341" s="1126">
        <v>250</v>
      </c>
      <c r="AD341" s="1126">
        <v>250</v>
      </c>
      <c r="AE341" s="1126">
        <v>250</v>
      </c>
      <c r="AF341" s="1126">
        <v>250</v>
      </c>
      <c r="AG341" s="1126"/>
    </row>
    <row r="342" spans="1:33" ht="31.5">
      <c r="A342" s="294">
        <v>2222</v>
      </c>
      <c r="B342" s="291" t="s">
        <v>865</v>
      </c>
      <c r="C342" s="291" t="s">
        <v>846</v>
      </c>
      <c r="D342" s="821"/>
      <c r="E342" s="294">
        <v>20</v>
      </c>
      <c r="F342" s="293">
        <v>43199</v>
      </c>
      <c r="G342" s="293">
        <v>43219</v>
      </c>
      <c r="H342" s="293" t="s">
        <v>368</v>
      </c>
      <c r="I342" s="294" t="s">
        <v>169</v>
      </c>
      <c r="J342" s="307" t="s">
        <v>174</v>
      </c>
      <c r="K342" s="326" t="s">
        <v>847</v>
      </c>
      <c r="L342" s="1237">
        <v>23173</v>
      </c>
      <c r="M342" s="326"/>
      <c r="N342" s="294"/>
      <c r="O342" s="354">
        <v>80</v>
      </c>
      <c r="P342" s="294">
        <v>3</v>
      </c>
      <c r="Q342" s="355">
        <f t="shared" si="93"/>
        <v>240</v>
      </c>
      <c r="R342" s="299"/>
      <c r="S342" s="355"/>
      <c r="T342" s="355">
        <v>240</v>
      </c>
      <c r="U342" s="355"/>
      <c r="V342" s="355"/>
      <c r="W342" s="355"/>
      <c r="X342" s="1137"/>
      <c r="Y342" s="1126"/>
      <c r="Z342" s="1124"/>
      <c r="AA342" s="1124"/>
      <c r="AB342" s="1124"/>
      <c r="AC342" s="1124"/>
      <c r="AD342" s="1124"/>
      <c r="AE342" s="1124"/>
      <c r="AF342" s="1124"/>
      <c r="AG342" s="1124"/>
    </row>
    <row r="343" spans="1:33" ht="31.5">
      <c r="A343" s="294">
        <f>A342</f>
        <v>2222</v>
      </c>
      <c r="B343" s="291" t="s">
        <v>865</v>
      </c>
      <c r="C343" s="291" t="s">
        <v>866</v>
      </c>
      <c r="D343" s="821"/>
      <c r="E343" s="294">
        <f>56+365</f>
        <v>421</v>
      </c>
      <c r="F343" s="293">
        <v>43181</v>
      </c>
      <c r="G343" s="293">
        <v>43581</v>
      </c>
      <c r="H343" s="293" t="s">
        <v>368</v>
      </c>
      <c r="I343" s="294" t="s">
        <v>174</v>
      </c>
      <c r="J343" s="307" t="s">
        <v>169</v>
      </c>
      <c r="K343" s="326" t="s">
        <v>864</v>
      </c>
      <c r="L343" s="1237">
        <v>23171</v>
      </c>
      <c r="M343" s="326"/>
      <c r="N343" s="294"/>
      <c r="O343" s="354">
        <v>250</v>
      </c>
      <c r="P343" s="294">
        <v>12</v>
      </c>
      <c r="Q343" s="355">
        <f t="shared" si="93"/>
        <v>3000</v>
      </c>
      <c r="R343" s="299"/>
      <c r="S343" s="355"/>
      <c r="T343" s="355"/>
      <c r="U343" s="355">
        <v>250</v>
      </c>
      <c r="V343" s="355">
        <v>250</v>
      </c>
      <c r="W343" s="355">
        <v>250</v>
      </c>
      <c r="X343" s="1137">
        <v>250</v>
      </c>
      <c r="Y343" s="1126">
        <v>250</v>
      </c>
      <c r="Z343" s="1126">
        <v>250</v>
      </c>
      <c r="AA343" s="1126">
        <v>250</v>
      </c>
      <c r="AB343" s="1126">
        <v>250</v>
      </c>
      <c r="AC343" s="1126">
        <v>250</v>
      </c>
      <c r="AD343" s="1126">
        <v>250</v>
      </c>
      <c r="AE343" s="1126">
        <v>250</v>
      </c>
      <c r="AF343" s="1126">
        <v>250</v>
      </c>
      <c r="AG343" s="1126"/>
    </row>
    <row r="344" spans="1:33" ht="31.5">
      <c r="A344" s="294">
        <v>2223</v>
      </c>
      <c r="B344" s="824" t="s">
        <v>99</v>
      </c>
      <c r="C344" s="291" t="s">
        <v>846</v>
      </c>
      <c r="D344" s="821"/>
      <c r="E344" s="294">
        <v>20</v>
      </c>
      <c r="F344" s="293">
        <v>43196</v>
      </c>
      <c r="G344" s="293">
        <v>43215</v>
      </c>
      <c r="H344" s="293" t="s">
        <v>368</v>
      </c>
      <c r="I344" s="294" t="s">
        <v>867</v>
      </c>
      <c r="J344" s="307" t="s">
        <v>169</v>
      </c>
      <c r="K344" s="326" t="s">
        <v>847</v>
      </c>
      <c r="L344" s="1237">
        <v>23173</v>
      </c>
      <c r="M344" s="326"/>
      <c r="N344" s="294"/>
      <c r="O344" s="354">
        <v>80</v>
      </c>
      <c r="P344" s="294">
        <v>3</v>
      </c>
      <c r="Q344" s="355">
        <f t="shared" si="93"/>
        <v>240</v>
      </c>
      <c r="R344" s="299"/>
      <c r="S344" s="355"/>
      <c r="T344" s="355">
        <v>240</v>
      </c>
      <c r="U344" s="355"/>
      <c r="V344" s="355"/>
      <c r="W344" s="355"/>
      <c r="X344" s="1137"/>
      <c r="Y344" s="1126"/>
      <c r="Z344" s="1124"/>
      <c r="AA344" s="1124"/>
      <c r="AB344" s="1124"/>
      <c r="AC344" s="1124"/>
      <c r="AD344" s="1124"/>
      <c r="AE344" s="1124"/>
      <c r="AF344" s="1124"/>
      <c r="AG344" s="1124"/>
    </row>
    <row r="345" spans="1:33" ht="31.5">
      <c r="A345" s="294">
        <f>A344</f>
        <v>2223</v>
      </c>
      <c r="B345" s="824" t="s">
        <v>99</v>
      </c>
      <c r="C345" s="291" t="s">
        <v>868</v>
      </c>
      <c r="D345" s="821"/>
      <c r="E345" s="294">
        <v>2</v>
      </c>
      <c r="F345" s="293">
        <v>43279</v>
      </c>
      <c r="G345" s="293">
        <f>+F345+E345</f>
        <v>43281</v>
      </c>
      <c r="H345" s="293" t="s">
        <v>869</v>
      </c>
      <c r="I345" s="294" t="s">
        <v>174</v>
      </c>
      <c r="J345" s="306" t="s">
        <v>169</v>
      </c>
      <c r="K345" s="326" t="s">
        <v>365</v>
      </c>
      <c r="L345" s="1237">
        <v>2313</v>
      </c>
      <c r="M345" s="326"/>
      <c r="N345" s="294"/>
      <c r="O345" s="354">
        <v>2711.4</v>
      </c>
      <c r="P345" s="294">
        <v>1</v>
      </c>
      <c r="Q345" s="355">
        <f t="shared" si="93"/>
        <v>2711.4</v>
      </c>
      <c r="R345" s="299"/>
      <c r="S345" s="355"/>
      <c r="T345" s="355"/>
      <c r="U345" s="355"/>
      <c r="V345" s="355"/>
      <c r="W345" s="354">
        <v>2711.4</v>
      </c>
      <c r="X345" s="1137"/>
      <c r="Y345" s="1126"/>
      <c r="Z345" s="1124"/>
      <c r="AA345" s="1124"/>
      <c r="AB345" s="1124"/>
      <c r="AC345" s="1124"/>
      <c r="AD345" s="1124"/>
      <c r="AE345" s="1124"/>
      <c r="AF345" s="1124"/>
      <c r="AG345" s="1124"/>
    </row>
    <row r="346" spans="1:33" ht="31.5">
      <c r="A346" s="294">
        <f>A344</f>
        <v>2223</v>
      </c>
      <c r="B346" s="824" t="s">
        <v>99</v>
      </c>
      <c r="C346" s="291" t="s">
        <v>868</v>
      </c>
      <c r="D346" s="821"/>
      <c r="E346" s="294">
        <v>2</v>
      </c>
      <c r="F346" s="293">
        <v>43279</v>
      </c>
      <c r="G346" s="293">
        <f>+F346+E346</f>
        <v>43281</v>
      </c>
      <c r="H346" s="293" t="s">
        <v>869</v>
      </c>
      <c r="I346" s="293" t="s">
        <v>169</v>
      </c>
      <c r="J346" s="307" t="s">
        <v>174</v>
      </c>
      <c r="K346" s="326" t="s">
        <v>486</v>
      </c>
      <c r="L346" s="1237">
        <v>23173</v>
      </c>
      <c r="M346" s="326"/>
      <c r="N346" s="294"/>
      <c r="O346" s="354">
        <v>257.33</v>
      </c>
      <c r="P346" s="294">
        <v>1</v>
      </c>
      <c r="Q346" s="355">
        <f t="shared" si="93"/>
        <v>257.33</v>
      </c>
      <c r="R346" s="299"/>
      <c r="S346" s="355"/>
      <c r="T346" s="355"/>
      <c r="U346" s="355"/>
      <c r="V346" s="355"/>
      <c r="W346" s="354">
        <v>257.33</v>
      </c>
      <c r="X346" s="1137"/>
      <c r="Y346" s="1126"/>
      <c r="Z346" s="1124"/>
      <c r="AA346" s="1124"/>
      <c r="AB346" s="1124"/>
      <c r="AC346" s="1124"/>
      <c r="AD346" s="1124"/>
      <c r="AE346" s="1124"/>
      <c r="AF346" s="1124"/>
      <c r="AG346" s="1124"/>
    </row>
    <row r="347" spans="1:33" ht="31.5">
      <c r="A347" s="294">
        <f>A344</f>
        <v>2223</v>
      </c>
      <c r="B347" s="824" t="s">
        <v>99</v>
      </c>
      <c r="C347" s="291" t="s">
        <v>868</v>
      </c>
      <c r="D347" s="821"/>
      <c r="E347" s="294">
        <v>2</v>
      </c>
      <c r="F347" s="293">
        <v>43279</v>
      </c>
      <c r="G347" s="293">
        <f>+F347+E347</f>
        <v>43281</v>
      </c>
      <c r="H347" s="293" t="s">
        <v>869</v>
      </c>
      <c r="I347" s="293" t="s">
        <v>169</v>
      </c>
      <c r="J347" s="307" t="s">
        <v>174</v>
      </c>
      <c r="K347" s="1544" t="s">
        <v>857</v>
      </c>
      <c r="L347" s="1237">
        <v>23174</v>
      </c>
      <c r="M347" s="326"/>
      <c r="N347" s="294"/>
      <c r="O347" s="354">
        <v>5531.27</v>
      </c>
      <c r="P347" s="294">
        <v>1</v>
      </c>
      <c r="Q347" s="355">
        <f t="shared" si="93"/>
        <v>5531.27</v>
      </c>
      <c r="R347" s="299"/>
      <c r="S347" s="355"/>
      <c r="T347" s="355"/>
      <c r="U347" s="355"/>
      <c r="V347" s="355"/>
      <c r="W347" s="354">
        <v>5531.27</v>
      </c>
      <c r="X347" s="1137"/>
      <c r="Y347" s="1126"/>
      <c r="Z347" s="1124"/>
      <c r="AA347" s="1124"/>
      <c r="AB347" s="1124"/>
      <c r="AC347" s="1124"/>
      <c r="AD347" s="1124"/>
      <c r="AE347" s="1124"/>
      <c r="AF347" s="1124"/>
      <c r="AG347" s="1124"/>
    </row>
    <row r="348" spans="1:33" ht="31.5">
      <c r="A348" s="294">
        <v>2224</v>
      </c>
      <c r="B348" s="824" t="s">
        <v>99</v>
      </c>
      <c r="C348" s="291" t="s">
        <v>870</v>
      </c>
      <c r="D348" s="821"/>
      <c r="E348" s="294">
        <v>2</v>
      </c>
      <c r="F348" s="293">
        <v>43500</v>
      </c>
      <c r="G348" s="293">
        <f>+F348+E348</f>
        <v>43502</v>
      </c>
      <c r="H348" s="293" t="s">
        <v>871</v>
      </c>
      <c r="I348" s="294" t="s">
        <v>174</v>
      </c>
      <c r="J348" s="306" t="s">
        <v>169</v>
      </c>
      <c r="K348" s="326" t="s">
        <v>365</v>
      </c>
      <c r="L348" s="1237">
        <v>2313</v>
      </c>
      <c r="M348" s="326"/>
      <c r="N348" s="294"/>
      <c r="O348" s="354">
        <v>2711.4</v>
      </c>
      <c r="P348" s="294">
        <v>1</v>
      </c>
      <c r="Q348" s="355">
        <f t="shared" si="93"/>
        <v>2711.4</v>
      </c>
      <c r="R348" s="299"/>
      <c r="S348" s="355"/>
      <c r="T348" s="355"/>
      <c r="U348" s="355"/>
      <c r="V348" s="355"/>
      <c r="W348" s="355"/>
      <c r="X348" s="1137"/>
      <c r="Y348" s="1126"/>
      <c r="Z348" s="1124"/>
      <c r="AA348" s="1124"/>
      <c r="AB348" s="1124"/>
      <c r="AC348" s="1124"/>
      <c r="AD348" s="355">
        <v>2711.4</v>
      </c>
      <c r="AE348" s="1124"/>
      <c r="AF348" s="1124"/>
      <c r="AG348" s="1124"/>
    </row>
    <row r="349" spans="1:33" ht="31.5">
      <c r="A349" s="294">
        <v>2224</v>
      </c>
      <c r="B349" s="824" t="s">
        <v>99</v>
      </c>
      <c r="C349" s="291" t="s">
        <v>870</v>
      </c>
      <c r="D349" s="821"/>
      <c r="E349" s="294">
        <v>2</v>
      </c>
      <c r="F349" s="293">
        <v>43500</v>
      </c>
      <c r="G349" s="293">
        <v>43502</v>
      </c>
      <c r="H349" s="293" t="s">
        <v>871</v>
      </c>
      <c r="I349" s="293" t="s">
        <v>169</v>
      </c>
      <c r="J349" s="307" t="s">
        <v>174</v>
      </c>
      <c r="K349" s="326" t="s">
        <v>486</v>
      </c>
      <c r="L349" s="1237">
        <v>23173</v>
      </c>
      <c r="M349" s="326"/>
      <c r="N349" s="294"/>
      <c r="O349" s="354">
        <v>431.33</v>
      </c>
      <c r="P349" s="294">
        <v>1</v>
      </c>
      <c r="Q349" s="355">
        <f t="shared" si="93"/>
        <v>431.33</v>
      </c>
      <c r="R349" s="299"/>
      <c r="S349" s="355"/>
      <c r="T349" s="355"/>
      <c r="U349" s="355"/>
      <c r="V349" s="355"/>
      <c r="W349" s="355"/>
      <c r="X349" s="1137"/>
      <c r="Y349" s="1126"/>
      <c r="Z349" s="1124"/>
      <c r="AA349" s="1124"/>
      <c r="AB349" s="1124"/>
      <c r="AC349" s="1124"/>
      <c r="AD349" s="355">
        <v>431.33</v>
      </c>
      <c r="AE349" s="1124"/>
      <c r="AF349" s="1124"/>
      <c r="AG349" s="1124"/>
    </row>
    <row r="350" spans="1:33" ht="31.5">
      <c r="A350" s="294">
        <v>2224</v>
      </c>
      <c r="B350" s="824" t="s">
        <v>99</v>
      </c>
      <c r="C350" s="291" t="s">
        <v>870</v>
      </c>
      <c r="D350" s="821"/>
      <c r="E350" s="294">
        <v>2</v>
      </c>
      <c r="F350" s="293">
        <v>43500</v>
      </c>
      <c r="G350" s="293">
        <v>43502</v>
      </c>
      <c r="H350" s="293" t="s">
        <v>871</v>
      </c>
      <c r="I350" s="293" t="s">
        <v>169</v>
      </c>
      <c r="J350" s="307" t="s">
        <v>174</v>
      </c>
      <c r="K350" s="1544" t="s">
        <v>857</v>
      </c>
      <c r="L350" s="1237">
        <v>23174</v>
      </c>
      <c r="M350" s="326"/>
      <c r="N350" s="294"/>
      <c r="O350" s="354">
        <v>6557.27</v>
      </c>
      <c r="P350" s="294">
        <v>1</v>
      </c>
      <c r="Q350" s="355">
        <f t="shared" si="93"/>
        <v>6557.27</v>
      </c>
      <c r="R350" s="299"/>
      <c r="S350" s="355"/>
      <c r="T350" s="355"/>
      <c r="U350" s="355"/>
      <c r="V350" s="355"/>
      <c r="W350" s="355"/>
      <c r="X350" s="1137"/>
      <c r="Y350" s="1126"/>
      <c r="Z350" s="1124"/>
      <c r="AA350" s="1124"/>
      <c r="AB350" s="1124"/>
      <c r="AC350" s="1124"/>
      <c r="AD350" s="355">
        <v>6557.27</v>
      </c>
      <c r="AE350" s="1124"/>
      <c r="AF350" s="1124"/>
      <c r="AG350" s="1124"/>
    </row>
    <row r="351" spans="1:33" ht="38.25" customHeight="1">
      <c r="A351" s="1275">
        <v>223</v>
      </c>
      <c r="B351" s="508" t="s">
        <v>872</v>
      </c>
      <c r="C351" s="1559"/>
      <c r="D351" s="822"/>
      <c r="E351" s="822"/>
      <c r="F351" s="822"/>
      <c r="G351" s="822"/>
      <c r="H351" s="822"/>
      <c r="I351" s="822"/>
      <c r="J351" s="508"/>
      <c r="K351" s="1560"/>
      <c r="L351" s="1561"/>
      <c r="M351" s="822"/>
      <c r="N351" s="822"/>
      <c r="O351" s="1562"/>
      <c r="P351" s="822"/>
      <c r="Q351" s="1562">
        <f>Q352+Q355+Q359+Q370</f>
        <v>209880</v>
      </c>
      <c r="R351" s="822"/>
      <c r="S351" s="1562">
        <f t="shared" ref="S351:AF351" si="94">S352+S355+S359+S370</f>
        <v>0</v>
      </c>
      <c r="T351" s="1562">
        <f t="shared" si="94"/>
        <v>740</v>
      </c>
      <c r="U351" s="1562">
        <f t="shared" si="94"/>
        <v>16740</v>
      </c>
      <c r="V351" s="1562">
        <f t="shared" si="94"/>
        <v>63200</v>
      </c>
      <c r="W351" s="1562">
        <f t="shared" si="94"/>
        <v>1000</v>
      </c>
      <c r="X351" s="1562">
        <f t="shared" si="94"/>
        <v>40200</v>
      </c>
      <c r="Y351" s="1562">
        <f t="shared" si="94"/>
        <v>88000</v>
      </c>
      <c r="Z351" s="1563">
        <f t="shared" si="94"/>
        <v>0</v>
      </c>
      <c r="AA351" s="1563">
        <f t="shared" si="94"/>
        <v>0</v>
      </c>
      <c r="AB351" s="1563">
        <f t="shared" si="94"/>
        <v>0</v>
      </c>
      <c r="AC351" s="1563">
        <f t="shared" si="94"/>
        <v>0</v>
      </c>
      <c r="AD351" s="1563">
        <f t="shared" si="94"/>
        <v>0</v>
      </c>
      <c r="AE351" s="1563">
        <f t="shared" si="94"/>
        <v>0</v>
      </c>
      <c r="AF351" s="1563">
        <f t="shared" si="94"/>
        <v>0</v>
      </c>
      <c r="AG351" s="1051">
        <f>SUM(S351:AF351)</f>
        <v>209880</v>
      </c>
    </row>
    <row r="352" spans="1:33" ht="21.75" customHeight="1">
      <c r="A352" s="1361">
        <v>2231</v>
      </c>
      <c r="B352" s="1541" t="s">
        <v>873</v>
      </c>
      <c r="C352" s="1564"/>
      <c r="D352" s="826"/>
      <c r="E352" s="826"/>
      <c r="F352" s="826"/>
      <c r="G352" s="826"/>
      <c r="H352" s="826"/>
      <c r="I352" s="826"/>
      <c r="J352" s="307"/>
      <c r="K352" s="326"/>
      <c r="L352" s="1237"/>
      <c r="M352" s="326"/>
      <c r="N352" s="294"/>
      <c r="O352" s="354"/>
      <c r="P352" s="294"/>
      <c r="Q352" s="558">
        <f>SUM(Q353:Q354)</f>
        <v>5240</v>
      </c>
      <c r="R352" s="299"/>
      <c r="S352" s="1565">
        <f t="shared" ref="S352:AF352" si="95">SUM(S353:S354)</f>
        <v>0</v>
      </c>
      <c r="T352" s="1565">
        <f t="shared" si="95"/>
        <v>740</v>
      </c>
      <c r="U352" s="1565">
        <f t="shared" si="95"/>
        <v>4500</v>
      </c>
      <c r="V352" s="1565">
        <f t="shared" si="95"/>
        <v>0</v>
      </c>
      <c r="W352" s="1565">
        <f t="shared" si="95"/>
        <v>0</v>
      </c>
      <c r="X352" s="1565">
        <f t="shared" si="95"/>
        <v>0</v>
      </c>
      <c r="Y352" s="1565">
        <f t="shared" si="95"/>
        <v>0</v>
      </c>
      <c r="Z352" s="1565">
        <f t="shared" si="95"/>
        <v>0</v>
      </c>
      <c r="AA352" s="1565">
        <f t="shared" si="95"/>
        <v>0</v>
      </c>
      <c r="AB352" s="1565">
        <f t="shared" si="95"/>
        <v>0</v>
      </c>
      <c r="AC352" s="1565">
        <f t="shared" si="95"/>
        <v>0</v>
      </c>
      <c r="AD352" s="1565">
        <f t="shared" si="95"/>
        <v>0</v>
      </c>
      <c r="AE352" s="1565">
        <f t="shared" si="95"/>
        <v>0</v>
      </c>
      <c r="AF352" s="1565">
        <f t="shared" si="95"/>
        <v>0</v>
      </c>
      <c r="AG352" s="1566">
        <f>SUM(S352:AF352)</f>
        <v>5240</v>
      </c>
    </row>
    <row r="353" spans="1:33" s="1570" customFormat="1">
      <c r="A353" s="530">
        <v>2231</v>
      </c>
      <c r="B353" s="820" t="s">
        <v>874</v>
      </c>
      <c r="C353" s="291" t="s">
        <v>846</v>
      </c>
      <c r="D353" s="294" t="s">
        <v>849</v>
      </c>
      <c r="E353" s="294">
        <v>20</v>
      </c>
      <c r="F353" s="829">
        <v>43196</v>
      </c>
      <c r="G353" s="829">
        <v>43215</v>
      </c>
      <c r="H353" s="294" t="s">
        <v>368</v>
      </c>
      <c r="I353" s="294" t="s">
        <v>169</v>
      </c>
      <c r="J353" s="307" t="s">
        <v>174</v>
      </c>
      <c r="K353" s="326" t="s">
        <v>847</v>
      </c>
      <c r="L353" s="1237">
        <v>23173</v>
      </c>
      <c r="M353" s="1356"/>
      <c r="N353" s="569"/>
      <c r="O353" s="355">
        <v>80</v>
      </c>
      <c r="P353" s="294">
        <v>3</v>
      </c>
      <c r="Q353" s="355">
        <f>O353*P353</f>
        <v>240</v>
      </c>
      <c r="R353" s="831"/>
      <c r="S353" s="488"/>
      <c r="T353" s="294">
        <v>240</v>
      </c>
      <c r="U353" s="488"/>
      <c r="V353" s="488"/>
      <c r="W353" s="488"/>
      <c r="X353" s="1567"/>
      <c r="Y353" s="1568"/>
      <c r="Z353" s="1569"/>
      <c r="AA353" s="1569"/>
      <c r="AB353" s="1569"/>
      <c r="AC353" s="1569"/>
      <c r="AD353" s="1569"/>
      <c r="AE353" s="1569"/>
      <c r="AF353" s="1569"/>
      <c r="AG353" s="1569"/>
    </row>
    <row r="354" spans="1:33">
      <c r="A354" s="530">
        <v>2231</v>
      </c>
      <c r="B354" s="820" t="s">
        <v>874</v>
      </c>
      <c r="C354" s="291" t="s">
        <v>875</v>
      </c>
      <c r="D354" s="294" t="s">
        <v>849</v>
      </c>
      <c r="E354" s="294">
        <v>30</v>
      </c>
      <c r="F354" s="293">
        <v>43205</v>
      </c>
      <c r="G354" s="293">
        <v>43235</v>
      </c>
      <c r="H354" s="293" t="s">
        <v>368</v>
      </c>
      <c r="I354" s="294" t="s">
        <v>174</v>
      </c>
      <c r="J354" s="307" t="s">
        <v>169</v>
      </c>
      <c r="K354" s="326" t="s">
        <v>365</v>
      </c>
      <c r="L354" s="1237">
        <v>2313</v>
      </c>
      <c r="M354" s="326"/>
      <c r="N354" s="294"/>
      <c r="O354" s="355">
        <v>5000</v>
      </c>
      <c r="P354" s="294">
        <v>1</v>
      </c>
      <c r="Q354" s="355">
        <f>O354*P354</f>
        <v>5000</v>
      </c>
      <c r="R354" s="299"/>
      <c r="S354" s="355"/>
      <c r="T354" s="294">
        <f>Q354*10/100</f>
        <v>500</v>
      </c>
      <c r="U354" s="294">
        <f>Q354*90/100</f>
        <v>4500</v>
      </c>
      <c r="V354" s="355"/>
      <c r="W354" s="355"/>
      <c r="X354" s="1137"/>
      <c r="Y354" s="1126"/>
      <c r="Z354" s="1124"/>
      <c r="AA354" s="1124"/>
      <c r="AB354" s="1124"/>
      <c r="AC354" s="1124"/>
      <c r="AD354" s="1124"/>
      <c r="AE354" s="1124"/>
      <c r="AF354" s="1124"/>
      <c r="AG354" s="1124"/>
    </row>
    <row r="355" spans="1:33" ht="21.75" customHeight="1">
      <c r="A355" s="1361">
        <v>2232</v>
      </c>
      <c r="B355" s="1541" t="s">
        <v>876</v>
      </c>
      <c r="C355" s="1564"/>
      <c r="D355" s="826"/>
      <c r="E355" s="826"/>
      <c r="F355" s="826"/>
      <c r="G355" s="826"/>
      <c r="H355" s="826"/>
      <c r="I355" s="826"/>
      <c r="J355" s="307"/>
      <c r="K355" s="326"/>
      <c r="L355" s="1237"/>
      <c r="M355" s="326"/>
      <c r="N355" s="294"/>
      <c r="O355" s="354"/>
      <c r="P355" s="294"/>
      <c r="Q355" s="558">
        <f>SUM(Q356:Q358)</f>
        <v>27200</v>
      </c>
      <c r="R355" s="299"/>
      <c r="S355" s="1571">
        <f t="shared" ref="S355:AF355" si="96">SUM(S356:S358)</f>
        <v>0</v>
      </c>
      <c r="T355" s="1571">
        <f t="shared" si="96"/>
        <v>0</v>
      </c>
      <c r="U355" s="1571">
        <f t="shared" si="96"/>
        <v>0</v>
      </c>
      <c r="V355" s="1571">
        <f t="shared" si="96"/>
        <v>8000</v>
      </c>
      <c r="W355" s="1571">
        <f t="shared" si="96"/>
        <v>0</v>
      </c>
      <c r="X355" s="1572">
        <f t="shared" si="96"/>
        <v>19200</v>
      </c>
      <c r="Y355" s="1573">
        <f t="shared" si="96"/>
        <v>0</v>
      </c>
      <c r="Z355" s="1574">
        <f t="shared" si="96"/>
        <v>0</v>
      </c>
      <c r="AA355" s="1574">
        <f t="shared" si="96"/>
        <v>0</v>
      </c>
      <c r="AB355" s="1574">
        <f t="shared" si="96"/>
        <v>0</v>
      </c>
      <c r="AC355" s="1574">
        <f t="shared" si="96"/>
        <v>0</v>
      </c>
      <c r="AD355" s="1574">
        <f t="shared" si="96"/>
        <v>0</v>
      </c>
      <c r="AE355" s="1574">
        <f t="shared" si="96"/>
        <v>0</v>
      </c>
      <c r="AF355" s="1574">
        <f t="shared" si="96"/>
        <v>0</v>
      </c>
      <c r="AG355" s="1566">
        <f>SUM(S355:AF355)</f>
        <v>27200</v>
      </c>
    </row>
    <row r="356" spans="1:33">
      <c r="A356" s="530">
        <v>2232</v>
      </c>
      <c r="B356" s="834" t="s">
        <v>877</v>
      </c>
      <c r="C356" s="291" t="s">
        <v>878</v>
      </c>
      <c r="D356" s="821"/>
      <c r="E356" s="1391">
        <v>66</v>
      </c>
      <c r="F356" s="293">
        <v>43195</v>
      </c>
      <c r="G356" s="293">
        <f>F356+E356</f>
        <v>43261</v>
      </c>
      <c r="H356" s="293" t="s">
        <v>368</v>
      </c>
      <c r="I356" s="294" t="s">
        <v>169</v>
      </c>
      <c r="J356" s="307" t="s">
        <v>174</v>
      </c>
      <c r="K356" s="326" t="s">
        <v>879</v>
      </c>
      <c r="L356" s="1237">
        <v>2463</v>
      </c>
      <c r="M356" s="326"/>
      <c r="N356" s="294"/>
      <c r="O356" s="354">
        <v>1500</v>
      </c>
      <c r="P356" s="294">
        <v>4</v>
      </c>
      <c r="Q356" s="355">
        <f>O356*P356</f>
        <v>6000</v>
      </c>
      <c r="R356" s="299"/>
      <c r="S356" s="355"/>
      <c r="T356" s="355"/>
      <c r="U356" s="355"/>
      <c r="V356" s="355">
        <v>6000</v>
      </c>
      <c r="W356" s="355"/>
      <c r="X356" s="1137"/>
      <c r="Y356" s="1126"/>
      <c r="Z356" s="1124"/>
      <c r="AA356" s="1124"/>
      <c r="AB356" s="1124"/>
      <c r="AC356" s="1124"/>
      <c r="AD356" s="1124"/>
      <c r="AE356" s="1124"/>
      <c r="AF356" s="1124"/>
      <c r="AG356" s="1124"/>
    </row>
    <row r="357" spans="1:33">
      <c r="A357" s="530">
        <v>2232</v>
      </c>
      <c r="B357" s="291" t="s">
        <v>880</v>
      </c>
      <c r="C357" s="291" t="s">
        <v>881</v>
      </c>
      <c r="D357" s="821"/>
      <c r="E357" s="1391">
        <v>77</v>
      </c>
      <c r="F357" s="293">
        <v>43196</v>
      </c>
      <c r="G357" s="293">
        <f>F357+E357</f>
        <v>43273</v>
      </c>
      <c r="H357" s="293" t="s">
        <v>368</v>
      </c>
      <c r="I357" s="294" t="s">
        <v>169</v>
      </c>
      <c r="J357" s="307" t="s">
        <v>174</v>
      </c>
      <c r="K357" s="326" t="s">
        <v>320</v>
      </c>
      <c r="L357" s="1237">
        <v>23173</v>
      </c>
      <c r="M357" s="326"/>
      <c r="N357" s="294"/>
      <c r="O357" s="354">
        <v>2000</v>
      </c>
      <c r="P357" s="294">
        <v>1</v>
      </c>
      <c r="Q357" s="355">
        <f>O357*P357</f>
        <v>2000</v>
      </c>
      <c r="R357" s="299"/>
      <c r="S357" s="355"/>
      <c r="T357" s="355"/>
      <c r="U357" s="355"/>
      <c r="V357" s="355">
        <v>2000</v>
      </c>
      <c r="W357" s="355"/>
      <c r="X357" s="1137"/>
      <c r="Y357" s="1126"/>
      <c r="Z357" s="1124"/>
      <c r="AA357" s="1124"/>
      <c r="AB357" s="1124"/>
      <c r="AC357" s="1124"/>
      <c r="AD357" s="1124"/>
      <c r="AE357" s="1124"/>
      <c r="AF357" s="1124"/>
      <c r="AG357" s="1124"/>
    </row>
    <row r="358" spans="1:33">
      <c r="A358" s="530">
        <v>2232</v>
      </c>
      <c r="B358" s="834" t="s">
        <v>882</v>
      </c>
      <c r="C358" s="291" t="s">
        <v>883</v>
      </c>
      <c r="D358" s="821"/>
      <c r="E358" s="1391">
        <v>125</v>
      </c>
      <c r="F358" s="293">
        <v>43196</v>
      </c>
      <c r="G358" s="293">
        <f>F358+E358</f>
        <v>43321</v>
      </c>
      <c r="H358" s="293" t="s">
        <v>368</v>
      </c>
      <c r="I358" s="294" t="s">
        <v>169</v>
      </c>
      <c r="J358" s="307" t="s">
        <v>884</v>
      </c>
      <c r="K358" s="326" t="s">
        <v>879</v>
      </c>
      <c r="L358" s="1237">
        <v>2463</v>
      </c>
      <c r="M358" s="326"/>
      <c r="N358" s="294"/>
      <c r="O358" s="354">
        <v>19200</v>
      </c>
      <c r="P358" s="294">
        <v>1</v>
      </c>
      <c r="Q358" s="355">
        <f>O358*P358</f>
        <v>19200</v>
      </c>
      <c r="R358" s="299"/>
      <c r="S358" s="355"/>
      <c r="T358" s="355"/>
      <c r="U358" s="355"/>
      <c r="V358" s="355"/>
      <c r="W358" s="355"/>
      <c r="X358" s="1137">
        <v>19200</v>
      </c>
      <c r="Y358" s="1126"/>
      <c r="Z358" s="1124"/>
      <c r="AA358" s="1124"/>
      <c r="AB358" s="1124"/>
      <c r="AC358" s="1124"/>
      <c r="AD358" s="1124"/>
      <c r="AE358" s="1124"/>
      <c r="AF358" s="1124"/>
      <c r="AG358" s="1124"/>
    </row>
    <row r="359" spans="1:33" ht="21.75" customHeight="1">
      <c r="A359" s="1361">
        <v>2233</v>
      </c>
      <c r="B359" s="1541" t="s">
        <v>885</v>
      </c>
      <c r="C359" s="1564"/>
      <c r="D359" s="826"/>
      <c r="E359" s="826"/>
      <c r="F359" s="826"/>
      <c r="G359" s="826"/>
      <c r="H359" s="826"/>
      <c r="I359" s="826"/>
      <c r="J359" s="307"/>
      <c r="K359" s="326"/>
      <c r="L359" s="1237"/>
      <c r="M359" s="326"/>
      <c r="N359" s="294"/>
      <c r="O359" s="354"/>
      <c r="P359" s="294"/>
      <c r="Q359" s="558">
        <f>SUM(Q360:Q369)</f>
        <v>177200</v>
      </c>
      <c r="R359" s="299"/>
      <c r="S359" s="1571">
        <f t="shared" ref="S359:AF359" si="97">SUM(S360:S369)</f>
        <v>0</v>
      </c>
      <c r="T359" s="1571">
        <f t="shared" si="97"/>
        <v>0</v>
      </c>
      <c r="U359" s="1571">
        <f t="shared" si="97"/>
        <v>12240</v>
      </c>
      <c r="V359" s="1571">
        <f t="shared" si="97"/>
        <v>54960</v>
      </c>
      <c r="W359" s="1571">
        <f t="shared" si="97"/>
        <v>1000</v>
      </c>
      <c r="X359" s="1572">
        <f t="shared" si="97"/>
        <v>21000</v>
      </c>
      <c r="Y359" s="1573">
        <f t="shared" si="97"/>
        <v>88000</v>
      </c>
      <c r="Z359" s="1574">
        <f t="shared" si="97"/>
        <v>0</v>
      </c>
      <c r="AA359" s="1574">
        <f t="shared" si="97"/>
        <v>0</v>
      </c>
      <c r="AB359" s="1574">
        <f t="shared" si="97"/>
        <v>0</v>
      </c>
      <c r="AC359" s="1574">
        <f t="shared" si="97"/>
        <v>0</v>
      </c>
      <c r="AD359" s="1574">
        <f t="shared" si="97"/>
        <v>0</v>
      </c>
      <c r="AE359" s="1574">
        <f t="shared" si="97"/>
        <v>0</v>
      </c>
      <c r="AF359" s="1574">
        <f t="shared" si="97"/>
        <v>0</v>
      </c>
      <c r="AG359" s="1566">
        <f>SUM(S359:AF359)</f>
        <v>177200</v>
      </c>
    </row>
    <row r="360" spans="1:33">
      <c r="A360" s="530">
        <v>2233</v>
      </c>
      <c r="B360" s="291" t="s">
        <v>886</v>
      </c>
      <c r="C360" s="291" t="s">
        <v>887</v>
      </c>
      <c r="E360" s="294">
        <v>1</v>
      </c>
      <c r="F360" s="293">
        <v>43235</v>
      </c>
      <c r="G360" s="293">
        <v>43235</v>
      </c>
      <c r="H360" s="293" t="s">
        <v>368</v>
      </c>
      <c r="I360" s="294" t="s">
        <v>867</v>
      </c>
      <c r="J360" s="307" t="s">
        <v>169</v>
      </c>
      <c r="K360" s="326" t="s">
        <v>320</v>
      </c>
      <c r="L360" s="1237">
        <v>23173</v>
      </c>
      <c r="O360" s="1018">
        <v>3000</v>
      </c>
      <c r="P360" s="341">
        <v>1</v>
      </c>
      <c r="Q360" s="355">
        <f t="shared" ref="Q360:Q369" si="98">O360*P360</f>
        <v>3000</v>
      </c>
      <c r="U360" s="355">
        <v>3000</v>
      </c>
      <c r="Y360" s="1126"/>
      <c r="Z360" s="1124"/>
      <c r="AA360" s="1124"/>
      <c r="AB360" s="1124"/>
      <c r="AC360" s="1124"/>
      <c r="AD360" s="1124"/>
      <c r="AE360" s="1124"/>
      <c r="AF360" s="1124"/>
      <c r="AG360" s="1124"/>
    </row>
    <row r="361" spans="1:33">
      <c r="A361" s="530">
        <v>2233</v>
      </c>
      <c r="B361" s="291" t="s">
        <v>886</v>
      </c>
      <c r="C361" s="291" t="s">
        <v>887</v>
      </c>
      <c r="D361" s="821"/>
      <c r="E361" s="294">
        <v>1</v>
      </c>
      <c r="F361" s="293">
        <v>43235</v>
      </c>
      <c r="G361" s="293">
        <v>43235</v>
      </c>
      <c r="H361" s="293" t="s">
        <v>368</v>
      </c>
      <c r="I361" s="294" t="s">
        <v>169</v>
      </c>
      <c r="J361" s="307" t="s">
        <v>867</v>
      </c>
      <c r="K361" s="326" t="s">
        <v>888</v>
      </c>
      <c r="L361" s="1237">
        <v>23174</v>
      </c>
      <c r="M361" s="326"/>
      <c r="N361" s="294"/>
      <c r="O361" s="354">
        <v>9000</v>
      </c>
      <c r="P361" s="341">
        <v>1</v>
      </c>
      <c r="Q361" s="355">
        <f t="shared" si="98"/>
        <v>9000</v>
      </c>
      <c r="R361" s="299"/>
      <c r="S361" s="355"/>
      <c r="T361" s="355"/>
      <c r="U361" s="355">
        <v>9000</v>
      </c>
      <c r="V361" s="355"/>
      <c r="W361" s="355"/>
      <c r="X361" s="1137"/>
      <c r="Y361" s="1126"/>
      <c r="Z361" s="1124"/>
      <c r="AA361" s="1124"/>
      <c r="AB361" s="1124"/>
      <c r="AC361" s="1124"/>
      <c r="AD361" s="1124"/>
      <c r="AE361" s="1124"/>
      <c r="AF361" s="1124"/>
      <c r="AG361" s="1124"/>
    </row>
    <row r="362" spans="1:33" ht="31.5">
      <c r="A362" s="530">
        <v>2233</v>
      </c>
      <c r="B362" s="291" t="s">
        <v>889</v>
      </c>
      <c r="C362" s="291" t="s">
        <v>846</v>
      </c>
      <c r="D362" s="294"/>
      <c r="E362" s="294">
        <v>20</v>
      </c>
      <c r="F362" s="293">
        <v>43235</v>
      </c>
      <c r="G362" s="293">
        <v>43256</v>
      </c>
      <c r="H362" s="293" t="s">
        <v>368</v>
      </c>
      <c r="I362" s="294" t="s">
        <v>867</v>
      </c>
      <c r="J362" s="307" t="s">
        <v>169</v>
      </c>
      <c r="K362" s="326" t="s">
        <v>847</v>
      </c>
      <c r="L362" s="1237">
        <v>23173</v>
      </c>
      <c r="M362" s="326"/>
      <c r="N362" s="294"/>
      <c r="O362" s="354">
        <v>80</v>
      </c>
      <c r="P362" s="294">
        <v>3</v>
      </c>
      <c r="Q362" s="355">
        <f t="shared" si="98"/>
        <v>240</v>
      </c>
      <c r="R362" s="299"/>
      <c r="S362" s="355"/>
      <c r="T362" s="355"/>
      <c r="U362" s="355">
        <v>240</v>
      </c>
      <c r="V362" s="355"/>
      <c r="W362" s="355"/>
      <c r="X362" s="1137"/>
      <c r="Y362" s="1126"/>
      <c r="Z362" s="1124"/>
      <c r="AA362" s="1124"/>
      <c r="AB362" s="1124"/>
      <c r="AC362" s="1124"/>
      <c r="AD362" s="1124"/>
      <c r="AE362" s="1124"/>
      <c r="AF362" s="1124"/>
      <c r="AG362" s="1124"/>
    </row>
    <row r="363" spans="1:33" ht="31.5">
      <c r="A363" s="530">
        <v>2233</v>
      </c>
      <c r="B363" s="291" t="s">
        <v>889</v>
      </c>
      <c r="C363" s="291" t="s">
        <v>890</v>
      </c>
      <c r="D363" s="821"/>
      <c r="E363" s="294">
        <v>66</v>
      </c>
      <c r="F363" s="293">
        <v>43257</v>
      </c>
      <c r="G363" s="293">
        <v>43278</v>
      </c>
      <c r="H363" s="293" t="s">
        <v>368</v>
      </c>
      <c r="I363" s="294" t="s">
        <v>867</v>
      </c>
      <c r="J363" s="307" t="s">
        <v>169</v>
      </c>
      <c r="K363" s="326" t="s">
        <v>302</v>
      </c>
      <c r="L363" s="1237">
        <v>23173</v>
      </c>
      <c r="M363" s="326"/>
      <c r="N363" s="294"/>
      <c r="O363" s="354">
        <v>8000</v>
      </c>
      <c r="P363" s="294">
        <v>2</v>
      </c>
      <c r="Q363" s="355">
        <f t="shared" si="98"/>
        <v>16000</v>
      </c>
      <c r="R363" s="299"/>
      <c r="S363" s="355"/>
      <c r="T363" s="355"/>
      <c r="U363" s="355"/>
      <c r="V363" s="355">
        <v>16000</v>
      </c>
      <c r="W363" s="355"/>
      <c r="X363" s="1137"/>
      <c r="Y363" s="1126"/>
      <c r="Z363" s="1124"/>
      <c r="AA363" s="1124"/>
      <c r="AB363" s="1124"/>
      <c r="AC363" s="1124"/>
      <c r="AD363" s="1124"/>
      <c r="AE363" s="1124"/>
      <c r="AF363" s="1124"/>
      <c r="AG363" s="1124"/>
    </row>
    <row r="364" spans="1:33">
      <c r="A364" s="530">
        <v>2233</v>
      </c>
      <c r="B364" s="291" t="s">
        <v>1008</v>
      </c>
      <c r="C364" s="291" t="s">
        <v>892</v>
      </c>
      <c r="D364" s="821"/>
      <c r="E364" s="294">
        <v>6</v>
      </c>
      <c r="F364" s="293">
        <v>43241</v>
      </c>
      <c r="G364" s="293">
        <v>43246</v>
      </c>
      <c r="H364" s="293" t="s">
        <v>368</v>
      </c>
      <c r="I364" s="294" t="s">
        <v>867</v>
      </c>
      <c r="J364" s="307" t="s">
        <v>169</v>
      </c>
      <c r="K364" s="326" t="s">
        <v>486</v>
      </c>
      <c r="L364" s="1237">
        <v>23173</v>
      </c>
      <c r="M364" s="326"/>
      <c r="N364" s="294"/>
      <c r="O364" s="354">
        <v>1081</v>
      </c>
      <c r="P364" s="294">
        <v>4</v>
      </c>
      <c r="Q364" s="355">
        <f t="shared" si="98"/>
        <v>4324</v>
      </c>
      <c r="R364" s="299"/>
      <c r="S364" s="355"/>
      <c r="T364" s="355"/>
      <c r="U364" s="355"/>
      <c r="V364" s="355">
        <v>4324</v>
      </c>
      <c r="W364" s="355"/>
      <c r="X364" s="1137"/>
      <c r="Y364" s="1126"/>
      <c r="Z364" s="1124"/>
      <c r="AA364" s="1124"/>
      <c r="AB364" s="1124"/>
      <c r="AC364" s="1124"/>
      <c r="AD364" s="1124"/>
      <c r="AE364" s="1124"/>
      <c r="AF364" s="1124"/>
      <c r="AG364" s="1124"/>
    </row>
    <row r="365" spans="1:33">
      <c r="A365" s="530">
        <v>2233</v>
      </c>
      <c r="B365" s="291" t="s">
        <v>1008</v>
      </c>
      <c r="C365" s="291" t="s">
        <v>892</v>
      </c>
      <c r="D365" s="821"/>
      <c r="E365" s="294">
        <v>6</v>
      </c>
      <c r="F365" s="293">
        <v>43241</v>
      </c>
      <c r="G365" s="293">
        <v>43246</v>
      </c>
      <c r="H365" s="293" t="s">
        <v>368</v>
      </c>
      <c r="I365" s="294" t="s">
        <v>169</v>
      </c>
      <c r="J365" s="307" t="s">
        <v>867</v>
      </c>
      <c r="K365" s="326" t="s">
        <v>888</v>
      </c>
      <c r="L365" s="1237">
        <v>23174</v>
      </c>
      <c r="M365" s="326"/>
      <c r="N365" s="294"/>
      <c r="O365" s="354">
        <v>8659</v>
      </c>
      <c r="P365" s="294">
        <v>4</v>
      </c>
      <c r="Q365" s="355">
        <f t="shared" si="98"/>
        <v>34636</v>
      </c>
      <c r="R365" s="299"/>
      <c r="S365" s="355"/>
      <c r="T365" s="355"/>
      <c r="U365" s="355"/>
      <c r="V365" s="355">
        <v>34636</v>
      </c>
      <c r="W365" s="355"/>
      <c r="X365" s="1137"/>
      <c r="Y365" s="1126"/>
      <c r="Z365" s="1124"/>
      <c r="AA365" s="1124"/>
      <c r="AB365" s="1124"/>
      <c r="AC365" s="1124"/>
      <c r="AD365" s="1124"/>
      <c r="AE365" s="1124"/>
      <c r="AF365" s="1124"/>
      <c r="AG365" s="1124"/>
    </row>
    <row r="366" spans="1:33">
      <c r="A366" s="530">
        <v>2233</v>
      </c>
      <c r="B366" s="291" t="s">
        <v>893</v>
      </c>
      <c r="C366" s="291" t="s">
        <v>894</v>
      </c>
      <c r="D366" s="821"/>
      <c r="E366" s="294">
        <v>2</v>
      </c>
      <c r="F366" s="293">
        <v>43283</v>
      </c>
      <c r="G366" s="293">
        <v>43284</v>
      </c>
      <c r="H366" s="293" t="s">
        <v>895</v>
      </c>
      <c r="I366" s="294" t="s">
        <v>169</v>
      </c>
      <c r="J366" s="307" t="s">
        <v>867</v>
      </c>
      <c r="K366" s="326" t="s">
        <v>896</v>
      </c>
      <c r="L366" s="1237">
        <v>23173</v>
      </c>
      <c r="M366" s="326"/>
      <c r="N366" s="294"/>
      <c r="O366" s="354">
        <v>1000</v>
      </c>
      <c r="P366" s="294">
        <v>1</v>
      </c>
      <c r="Q366" s="355">
        <f t="shared" si="98"/>
        <v>1000</v>
      </c>
      <c r="R366" s="299"/>
      <c r="S366" s="355"/>
      <c r="T366" s="355"/>
      <c r="U366" s="355"/>
      <c r="V366" s="355"/>
      <c r="W366" s="355">
        <v>1000</v>
      </c>
      <c r="X366" s="1137"/>
      <c r="Y366" s="1126"/>
      <c r="Z366" s="1124"/>
      <c r="AA366" s="1124"/>
      <c r="AB366" s="1124"/>
      <c r="AC366" s="1124"/>
      <c r="AD366" s="1124"/>
      <c r="AE366" s="1124"/>
      <c r="AF366" s="1124"/>
      <c r="AG366" s="1124"/>
    </row>
    <row r="367" spans="1:33" ht="43.5" customHeight="1">
      <c r="A367" s="530">
        <v>2233</v>
      </c>
      <c r="B367" s="291" t="s">
        <v>100</v>
      </c>
      <c r="C367" s="291" t="s">
        <v>897</v>
      </c>
      <c r="D367" s="821"/>
      <c r="E367" s="294">
        <v>2</v>
      </c>
      <c r="F367" s="293">
        <v>43318</v>
      </c>
      <c r="G367" s="293">
        <v>43321</v>
      </c>
      <c r="H367" s="293" t="s">
        <v>895</v>
      </c>
      <c r="I367" s="294" t="s">
        <v>867</v>
      </c>
      <c r="J367" s="307" t="s">
        <v>169</v>
      </c>
      <c r="K367" s="326" t="s">
        <v>888</v>
      </c>
      <c r="L367" s="1237">
        <v>23174</v>
      </c>
      <c r="M367" s="326"/>
      <c r="N367" s="294"/>
      <c r="O367" s="354">
        <v>1000</v>
      </c>
      <c r="P367" s="294">
        <v>20</v>
      </c>
      <c r="Q367" s="355">
        <f t="shared" si="98"/>
        <v>20000</v>
      </c>
      <c r="R367" s="299"/>
      <c r="S367" s="355"/>
      <c r="T367" s="355"/>
      <c r="U367" s="355"/>
      <c r="V367" s="355"/>
      <c r="W367" s="355"/>
      <c r="X367" s="1137">
        <v>20000</v>
      </c>
      <c r="Y367" s="1126"/>
      <c r="Z367" s="1124"/>
      <c r="AA367" s="1124"/>
      <c r="AB367" s="1124"/>
      <c r="AC367" s="1124"/>
      <c r="AD367" s="1124"/>
      <c r="AE367" s="1124"/>
      <c r="AF367" s="1124"/>
      <c r="AG367" s="1124"/>
    </row>
    <row r="368" spans="1:33" ht="31.5">
      <c r="A368" s="530">
        <v>2233</v>
      </c>
      <c r="B368" s="291" t="s">
        <v>1009</v>
      </c>
      <c r="C368" s="291" t="s">
        <v>894</v>
      </c>
      <c r="D368" s="821"/>
      <c r="E368" s="294">
        <v>2</v>
      </c>
      <c r="F368" s="293" t="s">
        <v>899</v>
      </c>
      <c r="G368" s="293" t="s">
        <v>900</v>
      </c>
      <c r="H368" s="293" t="s">
        <v>895</v>
      </c>
      <c r="I368" s="294" t="s">
        <v>169</v>
      </c>
      <c r="J368" s="307" t="s">
        <v>867</v>
      </c>
      <c r="K368" s="326" t="s">
        <v>896</v>
      </c>
      <c r="L368" s="1237">
        <v>23173</v>
      </c>
      <c r="M368" s="326"/>
      <c r="N368" s="294"/>
      <c r="O368" s="354">
        <v>1000</v>
      </c>
      <c r="P368" s="294">
        <v>1</v>
      </c>
      <c r="Q368" s="355">
        <f t="shared" si="98"/>
        <v>1000</v>
      </c>
      <c r="R368" s="299"/>
      <c r="S368" s="355"/>
      <c r="T368" s="355"/>
      <c r="U368" s="355"/>
      <c r="V368" s="355"/>
      <c r="W368" s="355"/>
      <c r="X368" s="1137">
        <v>1000</v>
      </c>
      <c r="Y368" s="1126"/>
      <c r="Z368" s="1124"/>
      <c r="AA368" s="1124"/>
      <c r="AB368" s="1124"/>
      <c r="AC368" s="1124"/>
      <c r="AD368" s="1124"/>
      <c r="AE368" s="1124"/>
      <c r="AF368" s="1124"/>
      <c r="AG368" s="1124"/>
    </row>
    <row r="369" spans="1:33" ht="42.75" customHeight="1">
      <c r="A369" s="530">
        <v>2233</v>
      </c>
      <c r="B369" s="291" t="s">
        <v>102</v>
      </c>
      <c r="C369" s="291" t="s">
        <v>901</v>
      </c>
      <c r="D369" s="821"/>
      <c r="E369" s="1391">
        <v>30</v>
      </c>
      <c r="F369" s="293" t="s">
        <v>902</v>
      </c>
      <c r="G369" s="293">
        <v>43359</v>
      </c>
      <c r="H369" s="293" t="s">
        <v>895</v>
      </c>
      <c r="I369" s="294" t="s">
        <v>867</v>
      </c>
      <c r="J369" s="307" t="s">
        <v>169</v>
      </c>
      <c r="K369" s="326" t="s">
        <v>888</v>
      </c>
      <c r="L369" s="1237">
        <v>23174</v>
      </c>
      <c r="M369" s="326"/>
      <c r="N369" s="294"/>
      <c r="O369" s="354">
        <v>440</v>
      </c>
      <c r="P369" s="294">
        <v>200</v>
      </c>
      <c r="Q369" s="355">
        <f t="shared" si="98"/>
        <v>88000</v>
      </c>
      <c r="R369" s="299"/>
      <c r="S369" s="355"/>
      <c r="T369" s="355"/>
      <c r="U369" s="355"/>
      <c r="V369" s="355"/>
      <c r="W369" s="355"/>
      <c r="X369" s="1137"/>
      <c r="Y369" s="1126">
        <v>88000</v>
      </c>
      <c r="Z369" s="1124"/>
      <c r="AA369" s="1124"/>
      <c r="AB369" s="1124"/>
      <c r="AC369" s="1124"/>
      <c r="AD369" s="1124"/>
      <c r="AE369" s="1124"/>
      <c r="AF369" s="1124"/>
      <c r="AG369" s="1124"/>
    </row>
    <row r="370" spans="1:33" ht="21.75" customHeight="1">
      <c r="A370" s="1361">
        <v>2234</v>
      </c>
      <c r="B370" s="1541" t="s">
        <v>903</v>
      </c>
      <c r="C370" s="1564"/>
      <c r="D370" s="826"/>
      <c r="E370" s="826"/>
      <c r="F370" s="826"/>
      <c r="G370" s="826"/>
      <c r="H370" s="826"/>
      <c r="I370" s="826"/>
      <c r="J370" s="307"/>
      <c r="K370" s="326"/>
      <c r="L370" s="1237"/>
      <c r="M370" s="326"/>
      <c r="N370" s="294"/>
      <c r="O370" s="354"/>
      <c r="P370" s="294"/>
      <c r="Q370" s="558">
        <f>SUM(Q371)</f>
        <v>240</v>
      </c>
      <c r="R370" s="299"/>
      <c r="S370" s="1571">
        <f t="shared" ref="S370:AF370" si="99">SUM(S371)</f>
        <v>0</v>
      </c>
      <c r="T370" s="1571">
        <f t="shared" si="99"/>
        <v>0</v>
      </c>
      <c r="U370" s="1571">
        <f t="shared" si="99"/>
        <v>0</v>
      </c>
      <c r="V370" s="1571">
        <f t="shared" si="99"/>
        <v>240</v>
      </c>
      <c r="W370" s="1571">
        <f t="shared" si="99"/>
        <v>0</v>
      </c>
      <c r="X370" s="1572">
        <f t="shared" si="99"/>
        <v>0</v>
      </c>
      <c r="Y370" s="1573">
        <f t="shared" si="99"/>
        <v>0</v>
      </c>
      <c r="Z370" s="1574">
        <f t="shared" si="99"/>
        <v>0</v>
      </c>
      <c r="AA370" s="1574">
        <f t="shared" si="99"/>
        <v>0</v>
      </c>
      <c r="AB370" s="1574">
        <f t="shared" si="99"/>
        <v>0</v>
      </c>
      <c r="AC370" s="1574">
        <f t="shared" si="99"/>
        <v>0</v>
      </c>
      <c r="AD370" s="1574">
        <f t="shared" si="99"/>
        <v>0</v>
      </c>
      <c r="AE370" s="1574">
        <f t="shared" si="99"/>
        <v>0</v>
      </c>
      <c r="AF370" s="1574">
        <f t="shared" si="99"/>
        <v>0</v>
      </c>
      <c r="AG370" s="1566">
        <f>SUM(S370:AF370)</f>
        <v>240</v>
      </c>
    </row>
    <row r="371" spans="1:33">
      <c r="A371" s="530">
        <v>2234</v>
      </c>
      <c r="B371" s="820" t="s">
        <v>904</v>
      </c>
      <c r="C371" s="291" t="s">
        <v>846</v>
      </c>
      <c r="D371" s="821"/>
      <c r="E371" s="294">
        <v>45</v>
      </c>
      <c r="F371" s="293">
        <v>43200</v>
      </c>
      <c r="G371" s="293">
        <v>43245</v>
      </c>
      <c r="H371" s="293" t="s">
        <v>368</v>
      </c>
      <c r="I371" s="294" t="s">
        <v>174</v>
      </c>
      <c r="J371" s="307" t="s">
        <v>169</v>
      </c>
      <c r="K371" s="326" t="s">
        <v>847</v>
      </c>
      <c r="L371" s="1237">
        <v>23173</v>
      </c>
      <c r="M371" s="326"/>
      <c r="N371" s="294"/>
      <c r="O371" s="355">
        <v>80</v>
      </c>
      <c r="P371" s="294">
        <v>3</v>
      </c>
      <c r="Q371" s="355">
        <f>O371*P371</f>
        <v>240</v>
      </c>
      <c r="R371" s="299"/>
      <c r="S371" s="355"/>
      <c r="T371" s="355"/>
      <c r="U371" s="355"/>
      <c r="V371" s="294">
        <v>240</v>
      </c>
      <c r="W371" s="355"/>
      <c r="X371" s="1137"/>
      <c r="Y371" s="1126"/>
      <c r="Z371" s="1124"/>
      <c r="AA371" s="1124"/>
      <c r="AB371" s="1124"/>
      <c r="AC371" s="1124"/>
      <c r="AD371" s="1124"/>
      <c r="AE371" s="1124"/>
      <c r="AF371" s="1124"/>
      <c r="AG371" s="1124"/>
    </row>
    <row r="372" spans="1:33">
      <c r="A372" s="1275">
        <v>224</v>
      </c>
      <c r="B372" s="1575" t="s">
        <v>905</v>
      </c>
      <c r="C372" s="1576"/>
      <c r="D372" s="1577"/>
      <c r="E372" s="1577"/>
      <c r="F372" s="1577"/>
      <c r="G372" s="1577"/>
      <c r="H372" s="1577"/>
      <c r="I372" s="1578"/>
      <c r="J372" s="1490"/>
      <c r="K372" s="1001"/>
      <c r="L372" s="1243"/>
      <c r="M372" s="1001"/>
      <c r="N372" s="512"/>
      <c r="O372" s="1002"/>
      <c r="P372" s="512"/>
      <c r="Q372" s="549">
        <f>SUM(Q373:Q374)</f>
        <v>22240</v>
      </c>
      <c r="R372" s="1097"/>
      <c r="S372" s="549">
        <f t="shared" ref="S372:AF372" si="100">SUM(S373:S374)</f>
        <v>0</v>
      </c>
      <c r="T372" s="549">
        <f t="shared" si="100"/>
        <v>0</v>
      </c>
      <c r="U372" s="549">
        <f t="shared" si="100"/>
        <v>240</v>
      </c>
      <c r="V372" s="549">
        <f t="shared" si="100"/>
        <v>0</v>
      </c>
      <c r="W372" s="549">
        <f t="shared" si="100"/>
        <v>0</v>
      </c>
      <c r="X372" s="549">
        <f t="shared" si="100"/>
        <v>11000</v>
      </c>
      <c r="Y372" s="549">
        <f t="shared" si="100"/>
        <v>11000</v>
      </c>
      <c r="Z372" s="549">
        <f t="shared" si="100"/>
        <v>0</v>
      </c>
      <c r="AA372" s="549">
        <f t="shared" si="100"/>
        <v>0</v>
      </c>
      <c r="AB372" s="549">
        <f t="shared" si="100"/>
        <v>0</v>
      </c>
      <c r="AC372" s="549">
        <f t="shared" si="100"/>
        <v>0</v>
      </c>
      <c r="AD372" s="549">
        <f t="shared" si="100"/>
        <v>0</v>
      </c>
      <c r="AE372" s="549">
        <f t="shared" si="100"/>
        <v>0</v>
      </c>
      <c r="AF372" s="549">
        <f t="shared" si="100"/>
        <v>0</v>
      </c>
      <c r="AG372" s="1051">
        <f>SUM(S372:AF372)</f>
        <v>22240</v>
      </c>
    </row>
    <row r="373" spans="1:33">
      <c r="A373" s="294">
        <v>2241</v>
      </c>
      <c r="B373" s="291" t="s">
        <v>906</v>
      </c>
      <c r="C373" s="291" t="s">
        <v>907</v>
      </c>
      <c r="D373" s="821"/>
      <c r="E373" s="1391">
        <v>20</v>
      </c>
      <c r="F373" s="293">
        <v>43212</v>
      </c>
      <c r="G373" s="293">
        <v>43231</v>
      </c>
      <c r="H373" s="293" t="s">
        <v>368</v>
      </c>
      <c r="I373" s="294" t="s">
        <v>169</v>
      </c>
      <c r="J373" s="307" t="s">
        <v>174</v>
      </c>
      <c r="K373" s="326" t="s">
        <v>847</v>
      </c>
      <c r="L373" s="1237">
        <v>23173</v>
      </c>
      <c r="M373" s="326"/>
      <c r="N373" s="294"/>
      <c r="O373" s="354">
        <v>80</v>
      </c>
      <c r="P373" s="294">
        <v>3</v>
      </c>
      <c r="Q373" s="355">
        <f>O373*P373</f>
        <v>240</v>
      </c>
      <c r="R373" s="299"/>
      <c r="S373" s="355"/>
      <c r="T373" s="355"/>
      <c r="U373" s="355">
        <v>240</v>
      </c>
      <c r="W373" s="355"/>
      <c r="X373" s="1137"/>
      <c r="Y373" s="1126"/>
      <c r="Z373" s="1124"/>
      <c r="AA373" s="1124"/>
      <c r="AB373" s="1124"/>
      <c r="AC373" s="1124"/>
      <c r="AD373" s="1124"/>
      <c r="AE373" s="1124"/>
      <c r="AF373" s="1124"/>
      <c r="AG373" s="1124"/>
    </row>
    <row r="374" spans="1:33" ht="31.5">
      <c r="A374" s="294">
        <v>2241</v>
      </c>
      <c r="B374" s="291" t="s">
        <v>906</v>
      </c>
      <c r="C374" s="291" t="s">
        <v>908</v>
      </c>
      <c r="D374" s="821"/>
      <c r="E374" s="1391">
        <v>115</v>
      </c>
      <c r="F374" s="293">
        <v>43232</v>
      </c>
      <c r="G374" s="293">
        <v>43346</v>
      </c>
      <c r="H374" s="293" t="s">
        <v>368</v>
      </c>
      <c r="I374" s="294" t="s">
        <v>174</v>
      </c>
      <c r="J374" s="307" t="s">
        <v>169</v>
      </c>
      <c r="K374" s="326" t="s">
        <v>365</v>
      </c>
      <c r="L374" s="1237">
        <v>2313</v>
      </c>
      <c r="M374" s="326"/>
      <c r="N374" s="294"/>
      <c r="O374" s="354">
        <v>22000</v>
      </c>
      <c r="P374" s="294">
        <v>1</v>
      </c>
      <c r="Q374" s="355">
        <f>O374*P374</f>
        <v>22000</v>
      </c>
      <c r="R374" s="299"/>
      <c r="S374" s="355"/>
      <c r="T374" s="355"/>
      <c r="U374" s="355"/>
      <c r="V374" s="355"/>
      <c r="W374" s="355"/>
      <c r="X374" s="1137">
        <f>Q374*50/100</f>
        <v>11000</v>
      </c>
      <c r="Y374" s="1126">
        <f>X374</f>
        <v>11000</v>
      </c>
      <c r="Z374" s="1124"/>
      <c r="AA374" s="1124"/>
      <c r="AB374" s="1124"/>
      <c r="AC374" s="1124"/>
      <c r="AD374" s="1124"/>
      <c r="AE374" s="1124"/>
      <c r="AF374" s="1124"/>
      <c r="AG374" s="1124"/>
    </row>
    <row r="375" spans="1:33" ht="37.5" customHeight="1">
      <c r="A375" s="1248" t="s">
        <v>240</v>
      </c>
      <c r="B375" s="274"/>
      <c r="C375" s="278"/>
      <c r="D375" s="1270"/>
      <c r="E375" s="1270"/>
      <c r="F375" s="1270"/>
      <c r="G375" s="1270"/>
      <c r="H375" s="1270"/>
      <c r="I375" s="1270"/>
      <c r="J375" s="273"/>
      <c r="K375" s="1248"/>
      <c r="L375" s="1269"/>
      <c r="M375" s="1270"/>
      <c r="N375" s="1268"/>
      <c r="O375" s="1271"/>
      <c r="P375" s="1268"/>
      <c r="Q375" s="1272">
        <f>Q376+Q379+Q383+Q386+Q388</f>
        <v>88428.093760000003</v>
      </c>
      <c r="R375" s="1273">
        <f>+SUM(R376,R379,R383,R386,R388)</f>
        <v>88428.093760000003</v>
      </c>
      <c r="S375" s="1272">
        <f t="shared" ref="S375:AF375" si="101">S376+S379+S383+S386+S388</f>
        <v>0</v>
      </c>
      <c r="T375" s="1272">
        <f t="shared" si="101"/>
        <v>0</v>
      </c>
      <c r="U375" s="1272">
        <f t="shared" si="101"/>
        <v>55613.093760000011</v>
      </c>
      <c r="V375" s="1272">
        <f t="shared" si="101"/>
        <v>32815</v>
      </c>
      <c r="W375" s="1272">
        <f t="shared" si="101"/>
        <v>0</v>
      </c>
      <c r="X375" s="1272">
        <f t="shared" si="101"/>
        <v>0</v>
      </c>
      <c r="Y375" s="1272">
        <f t="shared" si="101"/>
        <v>0</v>
      </c>
      <c r="Z375" s="276">
        <f t="shared" si="101"/>
        <v>0</v>
      </c>
      <c r="AA375" s="276">
        <f t="shared" si="101"/>
        <v>0</v>
      </c>
      <c r="AB375" s="276">
        <f t="shared" si="101"/>
        <v>0</v>
      </c>
      <c r="AC375" s="276">
        <f t="shared" si="101"/>
        <v>0</v>
      </c>
      <c r="AD375" s="276">
        <f t="shared" si="101"/>
        <v>0</v>
      </c>
      <c r="AE375" s="276">
        <f t="shared" si="101"/>
        <v>0</v>
      </c>
      <c r="AF375" s="276">
        <f t="shared" si="101"/>
        <v>0</v>
      </c>
      <c r="AG375" s="276">
        <f>AG376+AG379+AG383+AG386+AG388</f>
        <v>88428.093760000003</v>
      </c>
    </row>
    <row r="376" spans="1:33" ht="16.5" customHeight="1">
      <c r="A376" s="1275">
        <v>231</v>
      </c>
      <c r="B376" s="359" t="s">
        <v>511</v>
      </c>
      <c r="C376" s="1021"/>
      <c r="D376" s="1280"/>
      <c r="E376" s="1280"/>
      <c r="F376" s="1280"/>
      <c r="G376" s="1280"/>
      <c r="H376" s="1280"/>
      <c r="I376" s="1280"/>
      <c r="J376" s="283"/>
      <c r="K376" s="1278"/>
      <c r="L376" s="1279"/>
      <c r="M376" s="1280"/>
      <c r="N376" s="1277"/>
      <c r="O376" s="1281"/>
      <c r="P376" s="1277"/>
      <c r="Q376" s="1282">
        <f>SUM(Q377:Q378)</f>
        <v>45378.293760000008</v>
      </c>
      <c r="R376" s="287">
        <f>Q378+Q377</f>
        <v>45378.293760000008</v>
      </c>
      <c r="S376" s="1282">
        <f t="shared" ref="S376:AF376" si="102">SUM(S377:S378)</f>
        <v>0</v>
      </c>
      <c r="T376" s="1282">
        <f t="shared" si="102"/>
        <v>0</v>
      </c>
      <c r="U376" s="1282">
        <f t="shared" si="102"/>
        <v>45378.293760000008</v>
      </c>
      <c r="V376" s="1282">
        <f t="shared" si="102"/>
        <v>0</v>
      </c>
      <c r="W376" s="1282">
        <f t="shared" si="102"/>
        <v>0</v>
      </c>
      <c r="X376" s="1282">
        <f t="shared" si="102"/>
        <v>0</v>
      </c>
      <c r="Y376" s="1282">
        <f t="shared" si="102"/>
        <v>0</v>
      </c>
      <c r="Z376" s="546">
        <f t="shared" si="102"/>
        <v>0</v>
      </c>
      <c r="AA376" s="546">
        <f t="shared" si="102"/>
        <v>0</v>
      </c>
      <c r="AB376" s="546">
        <f t="shared" si="102"/>
        <v>0</v>
      </c>
      <c r="AC376" s="546">
        <f t="shared" si="102"/>
        <v>0</v>
      </c>
      <c r="AD376" s="546">
        <f t="shared" si="102"/>
        <v>0</v>
      </c>
      <c r="AE376" s="546">
        <f t="shared" si="102"/>
        <v>0</v>
      </c>
      <c r="AF376" s="546">
        <f t="shared" si="102"/>
        <v>0</v>
      </c>
      <c r="AG376" s="1051">
        <f>SUM(S376:AF376)</f>
        <v>45378.293760000008</v>
      </c>
    </row>
    <row r="377" spans="1:33">
      <c r="A377" s="1442">
        <v>2311</v>
      </c>
      <c r="B377" s="980" t="s">
        <v>512</v>
      </c>
      <c r="C377" s="1084" t="s">
        <v>513</v>
      </c>
      <c r="D377" s="506" t="s">
        <v>514</v>
      </c>
      <c r="E377" s="506">
        <v>150</v>
      </c>
      <c r="F377" s="1368">
        <v>43193</v>
      </c>
      <c r="G377" s="1368">
        <f>E377+F377</f>
        <v>43343</v>
      </c>
      <c r="H377" s="506" t="s">
        <v>515</v>
      </c>
      <c r="I377" s="506" t="s">
        <v>516</v>
      </c>
      <c r="J377" s="482" t="s">
        <v>517</v>
      </c>
      <c r="K377" s="1369" t="s">
        <v>518</v>
      </c>
      <c r="L377" s="1244">
        <v>23173</v>
      </c>
      <c r="M377" s="506"/>
      <c r="N377" s="506" t="s">
        <v>366</v>
      </c>
      <c r="O377" s="517">
        <v>0.12</v>
      </c>
      <c r="P377" s="486">
        <v>52301.824000000001</v>
      </c>
      <c r="Q377" s="517">
        <f>O377*P377</f>
        <v>6276.2188799999994</v>
      </c>
      <c r="R377" s="486"/>
      <c r="S377" s="487"/>
      <c r="T377" s="488"/>
      <c r="U377" s="487">
        <f>Q377</f>
        <v>6276.2188799999994</v>
      </c>
      <c r="V377" s="487"/>
      <c r="W377" s="487"/>
      <c r="X377" s="1138"/>
      <c r="Y377" s="1156"/>
      <c r="Z377" s="1124"/>
      <c r="AA377" s="1124"/>
      <c r="AB377" s="1124"/>
      <c r="AC377" s="1124"/>
      <c r="AD377" s="1124"/>
      <c r="AE377" s="1124"/>
      <c r="AF377" s="1124"/>
      <c r="AG377" s="1156"/>
    </row>
    <row r="378" spans="1:33">
      <c r="A378" s="1442">
        <v>2312</v>
      </c>
      <c r="B378" s="980" t="s">
        <v>519</v>
      </c>
      <c r="C378" s="1084" t="s">
        <v>520</v>
      </c>
      <c r="D378" s="506" t="s">
        <v>514</v>
      </c>
      <c r="E378" s="506">
        <v>150</v>
      </c>
      <c r="F378" s="1368">
        <v>43193</v>
      </c>
      <c r="G378" s="1368">
        <f>E378+F378</f>
        <v>43343</v>
      </c>
      <c r="H378" s="506" t="s">
        <v>515</v>
      </c>
      <c r="I378" s="506" t="s">
        <v>516</v>
      </c>
      <c r="J378" s="482" t="s">
        <v>517</v>
      </c>
      <c r="K378" s="1369" t="s">
        <v>521</v>
      </c>
      <c r="L378" s="1244">
        <v>23173</v>
      </c>
      <c r="M378" s="1370"/>
      <c r="N378" s="506" t="s">
        <v>366</v>
      </c>
      <c r="O378" s="1371">
        <v>0.11</v>
      </c>
      <c r="P378" s="1372">
        <v>355473.40800000005</v>
      </c>
      <c r="Q378" s="517">
        <f>O378*P378</f>
        <v>39102.074880000007</v>
      </c>
      <c r="R378" s="486"/>
      <c r="S378" s="487"/>
      <c r="T378" s="488"/>
      <c r="U378" s="487">
        <f>Q378</f>
        <v>39102.074880000007</v>
      </c>
      <c r="V378" s="487"/>
      <c r="W378" s="487"/>
      <c r="X378" s="1138"/>
      <c r="Y378" s="1156"/>
      <c r="Z378" s="1124"/>
      <c r="AA378" s="1124"/>
      <c r="AB378" s="1124"/>
      <c r="AC378" s="1124"/>
      <c r="AD378" s="1124"/>
      <c r="AE378" s="1124"/>
      <c r="AF378" s="1124"/>
      <c r="AG378" s="1156"/>
    </row>
    <row r="379" spans="1:33" ht="31.5">
      <c r="A379" s="1275">
        <v>232</v>
      </c>
      <c r="B379" s="981" t="s">
        <v>522</v>
      </c>
      <c r="C379" s="1507"/>
      <c r="D379" s="1280"/>
      <c r="E379" s="1277"/>
      <c r="F379" s="1277"/>
      <c r="G379" s="1277"/>
      <c r="H379" s="1280"/>
      <c r="I379" s="1277"/>
      <c r="J379" s="283"/>
      <c r="K379" s="1278"/>
      <c r="L379" s="1279"/>
      <c r="M379" s="1280"/>
      <c r="N379" s="1277"/>
      <c r="O379" s="1281"/>
      <c r="P379" s="1277"/>
      <c r="Q379" s="1282">
        <f>SUM(Q380:Q382)</f>
        <v>32475</v>
      </c>
      <c r="R379" s="287">
        <f>SUM(Q380:Q382)</f>
        <v>32475</v>
      </c>
      <c r="S379" s="1282">
        <f t="shared" ref="S379:AF379" si="103">SUM(S380:S382)</f>
        <v>0</v>
      </c>
      <c r="T379" s="1282">
        <f t="shared" si="103"/>
        <v>0</v>
      </c>
      <c r="U379" s="1282">
        <f t="shared" si="103"/>
        <v>0</v>
      </c>
      <c r="V379" s="1282">
        <f t="shared" si="103"/>
        <v>32475</v>
      </c>
      <c r="W379" s="1282">
        <f t="shared" si="103"/>
        <v>0</v>
      </c>
      <c r="X379" s="1282">
        <f t="shared" si="103"/>
        <v>0</v>
      </c>
      <c r="Y379" s="1282">
        <f t="shared" si="103"/>
        <v>0</v>
      </c>
      <c r="Z379" s="546">
        <f t="shared" si="103"/>
        <v>0</v>
      </c>
      <c r="AA379" s="546">
        <f t="shared" si="103"/>
        <v>0</v>
      </c>
      <c r="AB379" s="546">
        <f t="shared" si="103"/>
        <v>0</v>
      </c>
      <c r="AC379" s="546">
        <f t="shared" si="103"/>
        <v>0</v>
      </c>
      <c r="AD379" s="546">
        <f t="shared" si="103"/>
        <v>0</v>
      </c>
      <c r="AE379" s="546">
        <f t="shared" si="103"/>
        <v>0</v>
      </c>
      <c r="AF379" s="546">
        <f t="shared" si="103"/>
        <v>0</v>
      </c>
      <c r="AG379" s="1051">
        <f>SUM(S379:AF379)</f>
        <v>32475</v>
      </c>
    </row>
    <row r="380" spans="1:33" ht="69" customHeight="1">
      <c r="A380" s="1442">
        <v>2321</v>
      </c>
      <c r="B380" s="980" t="s">
        <v>523</v>
      </c>
      <c r="C380" s="1084" t="s">
        <v>524</v>
      </c>
      <c r="D380" s="506" t="s">
        <v>514</v>
      </c>
      <c r="E380" s="506">
        <v>56</v>
      </c>
      <c r="F380" s="1368">
        <v>43210</v>
      </c>
      <c r="G380" s="1368">
        <f>E380+F380</f>
        <v>43266</v>
      </c>
      <c r="H380" s="506" t="s">
        <v>525</v>
      </c>
      <c r="I380" s="506" t="s">
        <v>526</v>
      </c>
      <c r="J380" s="482" t="s">
        <v>526</v>
      </c>
      <c r="K380" s="1373" t="s">
        <v>527</v>
      </c>
      <c r="L380" s="1244">
        <v>23174</v>
      </c>
      <c r="M380" s="1370"/>
      <c r="N380" s="506" t="s">
        <v>366</v>
      </c>
      <c r="O380" s="1371">
        <v>2104</v>
      </c>
      <c r="P380" s="506">
        <v>12</v>
      </c>
      <c r="Q380" s="517">
        <f>O380*P380</f>
        <v>25248</v>
      </c>
      <c r="R380" s="486"/>
      <c r="S380" s="487"/>
      <c r="T380" s="487"/>
      <c r="U380" s="487"/>
      <c r="V380" s="488">
        <f>Q380</f>
        <v>25248</v>
      </c>
      <c r="W380" s="487"/>
      <c r="X380" s="1138"/>
      <c r="Y380" s="1156"/>
      <c r="Z380" s="1124"/>
      <c r="AA380" s="1124"/>
      <c r="AB380" s="1124"/>
      <c r="AC380" s="1124"/>
      <c r="AD380" s="1124"/>
      <c r="AE380" s="1124"/>
      <c r="AF380" s="1124"/>
      <c r="AG380" s="1156"/>
    </row>
    <row r="381" spans="1:33" ht="47.25">
      <c r="A381" s="1442">
        <v>2322</v>
      </c>
      <c r="B381" s="980" t="s">
        <v>523</v>
      </c>
      <c r="C381" s="1084" t="s">
        <v>528</v>
      </c>
      <c r="D381" s="506" t="s">
        <v>514</v>
      </c>
      <c r="E381" s="506">
        <v>56</v>
      </c>
      <c r="F381" s="1368">
        <v>43210</v>
      </c>
      <c r="G381" s="1368">
        <f>E381+F381</f>
        <v>43266</v>
      </c>
      <c r="H381" s="506" t="s">
        <v>529</v>
      </c>
      <c r="I381" s="506" t="s">
        <v>526</v>
      </c>
      <c r="J381" s="482" t="s">
        <v>295</v>
      </c>
      <c r="K381" s="1373" t="s">
        <v>530</v>
      </c>
      <c r="L381" s="1244">
        <v>23174</v>
      </c>
      <c r="M381" s="1370"/>
      <c r="N381" s="506" t="s">
        <v>366</v>
      </c>
      <c r="O381" s="1371">
        <v>6440</v>
      </c>
      <c r="P381" s="506">
        <v>1</v>
      </c>
      <c r="Q381" s="517">
        <f>O381*P381</f>
        <v>6440</v>
      </c>
      <c r="R381" s="486"/>
      <c r="S381" s="487"/>
      <c r="T381" s="487"/>
      <c r="U381" s="487"/>
      <c r="V381" s="488">
        <f>Q381</f>
        <v>6440</v>
      </c>
      <c r="W381" s="487"/>
      <c r="X381" s="1138"/>
      <c r="Y381" s="1156"/>
      <c r="Z381" s="1124"/>
      <c r="AA381" s="1124"/>
      <c r="AB381" s="1124"/>
      <c r="AC381" s="1124"/>
      <c r="AD381" s="1124"/>
      <c r="AE381" s="1124"/>
      <c r="AF381" s="1124"/>
      <c r="AG381" s="1156"/>
    </row>
    <row r="382" spans="1:33" ht="47.25">
      <c r="A382" s="1442">
        <v>2322</v>
      </c>
      <c r="B382" s="980" t="s">
        <v>523</v>
      </c>
      <c r="C382" s="1084" t="s">
        <v>531</v>
      </c>
      <c r="D382" s="506" t="s">
        <v>514</v>
      </c>
      <c r="E382" s="506">
        <v>56</v>
      </c>
      <c r="F382" s="1368">
        <v>43210</v>
      </c>
      <c r="G382" s="1368">
        <f>E382+F382</f>
        <v>43266</v>
      </c>
      <c r="H382" s="506" t="s">
        <v>529</v>
      </c>
      <c r="I382" s="506" t="s">
        <v>526</v>
      </c>
      <c r="J382" s="482" t="s">
        <v>532</v>
      </c>
      <c r="K382" s="1373" t="s">
        <v>533</v>
      </c>
      <c r="L382" s="1244">
        <v>23173</v>
      </c>
      <c r="M382" s="1370"/>
      <c r="N382" s="506" t="s">
        <v>366</v>
      </c>
      <c r="O382" s="1371">
        <v>787</v>
      </c>
      <c r="P382" s="506">
        <v>1</v>
      </c>
      <c r="Q382" s="517">
        <f>O382*P382</f>
        <v>787</v>
      </c>
      <c r="R382" s="486"/>
      <c r="S382" s="487"/>
      <c r="T382" s="487"/>
      <c r="U382" s="487"/>
      <c r="V382" s="488">
        <f>Q382</f>
        <v>787</v>
      </c>
      <c r="W382" s="487"/>
      <c r="X382" s="1138"/>
      <c r="Y382" s="1156"/>
      <c r="Z382" s="1124"/>
      <c r="AA382" s="1124"/>
      <c r="AB382" s="1124"/>
      <c r="AC382" s="1124"/>
      <c r="AD382" s="1124"/>
      <c r="AE382" s="1124"/>
      <c r="AF382" s="1124"/>
      <c r="AG382" s="1156"/>
    </row>
    <row r="383" spans="1:33" ht="16.5" customHeight="1">
      <c r="A383" s="1275">
        <v>233</v>
      </c>
      <c r="B383" s="981" t="s">
        <v>534</v>
      </c>
      <c r="C383" s="1507"/>
      <c r="D383" s="1277"/>
      <c r="E383" s="1277"/>
      <c r="F383" s="1277"/>
      <c r="G383" s="1277"/>
      <c r="H383" s="1280"/>
      <c r="I383" s="1277"/>
      <c r="J383" s="283"/>
      <c r="K383" s="1278"/>
      <c r="L383" s="1279"/>
      <c r="M383" s="1280"/>
      <c r="N383" s="1277"/>
      <c r="O383" s="1281"/>
      <c r="P383" s="1277"/>
      <c r="Q383" s="1282">
        <f>SUM(Q384:Q385)</f>
        <v>3957.8</v>
      </c>
      <c r="R383" s="287">
        <f>Q385+Q384</f>
        <v>3957.8</v>
      </c>
      <c r="S383" s="1282">
        <f t="shared" ref="S383:AF383" si="104">SUM(S384:S385)</f>
        <v>0</v>
      </c>
      <c r="T383" s="1282">
        <f t="shared" si="104"/>
        <v>0</v>
      </c>
      <c r="U383" s="1282">
        <f t="shared" si="104"/>
        <v>3957.8</v>
      </c>
      <c r="V383" s="1282">
        <f t="shared" si="104"/>
        <v>0</v>
      </c>
      <c r="W383" s="1282">
        <f t="shared" si="104"/>
        <v>0</v>
      </c>
      <c r="X383" s="1282">
        <f t="shared" si="104"/>
        <v>0</v>
      </c>
      <c r="Y383" s="1282">
        <f t="shared" si="104"/>
        <v>0</v>
      </c>
      <c r="Z383" s="546">
        <f t="shared" si="104"/>
        <v>0</v>
      </c>
      <c r="AA383" s="546">
        <f t="shared" si="104"/>
        <v>0</v>
      </c>
      <c r="AB383" s="546">
        <f t="shared" si="104"/>
        <v>0</v>
      </c>
      <c r="AC383" s="546">
        <f t="shared" si="104"/>
        <v>0</v>
      </c>
      <c r="AD383" s="546">
        <f t="shared" si="104"/>
        <v>0</v>
      </c>
      <c r="AE383" s="546">
        <f t="shared" si="104"/>
        <v>0</v>
      </c>
      <c r="AF383" s="546">
        <f t="shared" si="104"/>
        <v>0</v>
      </c>
      <c r="AG383" s="1051">
        <f>SUM(S383:AF383)</f>
        <v>3957.8</v>
      </c>
    </row>
    <row r="384" spans="1:33">
      <c r="A384" s="1442">
        <v>2331</v>
      </c>
      <c r="B384" s="980" t="s">
        <v>535</v>
      </c>
      <c r="C384" s="1084" t="s">
        <v>536</v>
      </c>
      <c r="D384" s="506" t="s">
        <v>514</v>
      </c>
      <c r="E384" s="506">
        <v>6</v>
      </c>
      <c r="F384" s="1374">
        <v>43233</v>
      </c>
      <c r="G384" s="1368">
        <f>E384+F384</f>
        <v>43239</v>
      </c>
      <c r="H384" s="506" t="s">
        <v>525</v>
      </c>
      <c r="I384" s="1375" t="s">
        <v>526</v>
      </c>
      <c r="J384" s="502" t="s">
        <v>537</v>
      </c>
      <c r="K384" s="1373" t="s">
        <v>527</v>
      </c>
      <c r="L384" s="1244">
        <v>23174</v>
      </c>
      <c r="M384" s="1376"/>
      <c r="N384" s="506" t="s">
        <v>366</v>
      </c>
      <c r="O384" s="1371">
        <v>3477.8</v>
      </c>
      <c r="P384" s="506">
        <v>1</v>
      </c>
      <c r="Q384" s="517">
        <f>O384*P384</f>
        <v>3477.8</v>
      </c>
      <c r="R384" s="486"/>
      <c r="S384" s="487"/>
      <c r="T384" s="487"/>
      <c r="U384" s="488">
        <f>Q384</f>
        <v>3477.8</v>
      </c>
      <c r="V384" s="487"/>
      <c r="W384" s="487"/>
      <c r="X384" s="1138"/>
      <c r="Y384" s="1156"/>
      <c r="Z384" s="1156"/>
      <c r="AA384" s="1156"/>
      <c r="AB384" s="1156"/>
      <c r="AC384" s="1156"/>
      <c r="AD384" s="1156"/>
      <c r="AE384" s="1156"/>
      <c r="AF384" s="1156"/>
      <c r="AG384" s="1156"/>
    </row>
    <row r="385" spans="1:33">
      <c r="A385" s="1442">
        <v>2332</v>
      </c>
      <c r="B385" s="980" t="s">
        <v>535</v>
      </c>
      <c r="C385" s="1084" t="s">
        <v>536</v>
      </c>
      <c r="D385" s="506" t="s">
        <v>514</v>
      </c>
      <c r="E385" s="506">
        <v>4</v>
      </c>
      <c r="F385" s="1374">
        <v>43234</v>
      </c>
      <c r="G385" s="1368">
        <f>E385+F385</f>
        <v>43238</v>
      </c>
      <c r="H385" s="506" t="s">
        <v>525</v>
      </c>
      <c r="I385" s="1375" t="s">
        <v>526</v>
      </c>
      <c r="J385" s="502" t="s">
        <v>537</v>
      </c>
      <c r="K385" s="1373" t="s">
        <v>538</v>
      </c>
      <c r="L385" s="1244">
        <v>23173</v>
      </c>
      <c r="M385" s="1370"/>
      <c r="N385" s="506" t="s">
        <v>366</v>
      </c>
      <c r="O385" s="1371">
        <v>480</v>
      </c>
      <c r="P385" s="506">
        <v>1</v>
      </c>
      <c r="Q385" s="517">
        <f>O385*P385</f>
        <v>480</v>
      </c>
      <c r="R385" s="486"/>
      <c r="S385" s="487"/>
      <c r="T385" s="487"/>
      <c r="U385" s="488">
        <f>Q385</f>
        <v>480</v>
      </c>
      <c r="V385" s="487"/>
      <c r="W385" s="487"/>
      <c r="X385" s="1138"/>
      <c r="Y385" s="1156"/>
      <c r="Z385" s="1156"/>
      <c r="AA385" s="1156"/>
      <c r="AB385" s="1156"/>
      <c r="AC385" s="1156"/>
      <c r="AD385" s="1156"/>
      <c r="AE385" s="1156"/>
      <c r="AF385" s="1156"/>
      <c r="AG385" s="1156"/>
    </row>
    <row r="386" spans="1:33" ht="35.25" customHeight="1">
      <c r="A386" s="1275">
        <v>234</v>
      </c>
      <c r="B386" s="981" t="s">
        <v>539</v>
      </c>
      <c r="C386" s="1507"/>
      <c r="D386" s="1280"/>
      <c r="E386" s="1277"/>
      <c r="F386" s="1277"/>
      <c r="G386" s="1277"/>
      <c r="H386" s="1280"/>
      <c r="I386" s="1277"/>
      <c r="J386" s="283"/>
      <c r="K386" s="1278"/>
      <c r="L386" s="1279"/>
      <c r="M386" s="1280"/>
      <c r="N386" s="1277"/>
      <c r="O386" s="1281"/>
      <c r="P386" s="1277"/>
      <c r="Q386" s="1282">
        <f>SUM(Q387)</f>
        <v>6277</v>
      </c>
      <c r="R386" s="287">
        <f>SUM(Q387:Q387)</f>
        <v>6277</v>
      </c>
      <c r="S386" s="1282">
        <f t="shared" ref="S386:AF386" si="105">SUM(S387)</f>
        <v>0</v>
      </c>
      <c r="T386" s="1282">
        <f t="shared" si="105"/>
        <v>0</v>
      </c>
      <c r="U386" s="1282">
        <f t="shared" si="105"/>
        <v>6277</v>
      </c>
      <c r="V386" s="1282">
        <f t="shared" si="105"/>
        <v>0</v>
      </c>
      <c r="W386" s="1282">
        <f t="shared" si="105"/>
        <v>0</v>
      </c>
      <c r="X386" s="1282">
        <f t="shared" si="105"/>
        <v>0</v>
      </c>
      <c r="Y386" s="1282">
        <f t="shared" si="105"/>
        <v>0</v>
      </c>
      <c r="Z386" s="546">
        <f t="shared" si="105"/>
        <v>0</v>
      </c>
      <c r="AA386" s="546">
        <f t="shared" si="105"/>
        <v>0</v>
      </c>
      <c r="AB386" s="546">
        <f t="shared" si="105"/>
        <v>0</v>
      </c>
      <c r="AC386" s="546">
        <f t="shared" si="105"/>
        <v>0</v>
      </c>
      <c r="AD386" s="546">
        <f t="shared" si="105"/>
        <v>0</v>
      </c>
      <c r="AE386" s="546">
        <f t="shared" si="105"/>
        <v>0</v>
      </c>
      <c r="AF386" s="546">
        <f t="shared" si="105"/>
        <v>0</v>
      </c>
      <c r="AG386" s="1051">
        <f>SUM(S386:AF386)</f>
        <v>6277</v>
      </c>
    </row>
    <row r="387" spans="1:33" ht="31.5">
      <c r="A387" s="1530">
        <v>2341</v>
      </c>
      <c r="B387" s="982" t="s">
        <v>540</v>
      </c>
      <c r="C387" s="1085" t="s">
        <v>541</v>
      </c>
      <c r="D387" s="1377" t="s">
        <v>542</v>
      </c>
      <c r="E387" s="1375">
        <v>135</v>
      </c>
      <c r="F387" s="1374">
        <v>43193</v>
      </c>
      <c r="G387" s="1374">
        <f>E387+F387</f>
        <v>43328</v>
      </c>
      <c r="H387" s="1375" t="s">
        <v>525</v>
      </c>
      <c r="I387" s="1375" t="s">
        <v>169</v>
      </c>
      <c r="J387" s="482" t="s">
        <v>526</v>
      </c>
      <c r="K387" s="1373" t="s">
        <v>543</v>
      </c>
      <c r="L387" s="1244">
        <v>2463</v>
      </c>
      <c r="M387" s="1370"/>
      <c r="N387" s="506" t="s">
        <v>366</v>
      </c>
      <c r="O387" s="1371">
        <v>6277</v>
      </c>
      <c r="P387" s="507">
        <v>1</v>
      </c>
      <c r="Q387" s="517">
        <f>O387*P387</f>
        <v>6277</v>
      </c>
      <c r="R387" s="486"/>
      <c r="S387" s="487"/>
      <c r="T387" s="488"/>
      <c r="U387" s="487">
        <f>Q387</f>
        <v>6277</v>
      </c>
      <c r="V387" s="487"/>
      <c r="W387" s="487"/>
      <c r="X387" s="1138"/>
      <c r="Y387" s="1156"/>
      <c r="Z387" s="1156"/>
      <c r="AA387" s="1156"/>
      <c r="AB387" s="1156"/>
      <c r="AC387" s="1156"/>
      <c r="AD387" s="1156"/>
      <c r="AE387" s="1156"/>
      <c r="AF387" s="1156"/>
      <c r="AG387" s="1156"/>
    </row>
    <row r="388" spans="1:33">
      <c r="A388" s="1275">
        <v>235</v>
      </c>
      <c r="B388" s="981" t="s">
        <v>544</v>
      </c>
      <c r="C388" s="1508"/>
      <c r="D388" s="822"/>
      <c r="E388" s="1275"/>
      <c r="F388" s="511"/>
      <c r="G388" s="511"/>
      <c r="H388" s="511"/>
      <c r="I388" s="512"/>
      <c r="J388" s="1490"/>
      <c r="K388" s="1001"/>
      <c r="L388" s="1243"/>
      <c r="M388" s="1001"/>
      <c r="N388" s="512"/>
      <c r="O388" s="1002"/>
      <c r="P388" s="512"/>
      <c r="Q388" s="1109">
        <f>SUM(Q389)</f>
        <v>340</v>
      </c>
      <c r="R388" s="287">
        <f>SUM(Q389:Q389)</f>
        <v>340</v>
      </c>
      <c r="S388" s="1109">
        <f t="shared" ref="S388:AF388" si="106">SUM(S389)</f>
        <v>0</v>
      </c>
      <c r="T388" s="1109">
        <f t="shared" si="106"/>
        <v>0</v>
      </c>
      <c r="U388" s="1109">
        <f t="shared" si="106"/>
        <v>0</v>
      </c>
      <c r="V388" s="1109">
        <f t="shared" si="106"/>
        <v>340</v>
      </c>
      <c r="W388" s="1109">
        <f t="shared" si="106"/>
        <v>0</v>
      </c>
      <c r="X388" s="1109">
        <f t="shared" si="106"/>
        <v>0</v>
      </c>
      <c r="Y388" s="1109">
        <f t="shared" si="106"/>
        <v>0</v>
      </c>
      <c r="Z388" s="1109">
        <f t="shared" si="106"/>
        <v>0</v>
      </c>
      <c r="AA388" s="1109">
        <f t="shared" si="106"/>
        <v>0</v>
      </c>
      <c r="AB388" s="1109">
        <f t="shared" si="106"/>
        <v>0</v>
      </c>
      <c r="AC388" s="1109">
        <f t="shared" si="106"/>
        <v>0</v>
      </c>
      <c r="AD388" s="1109">
        <f t="shared" si="106"/>
        <v>0</v>
      </c>
      <c r="AE388" s="1109">
        <f t="shared" si="106"/>
        <v>0</v>
      </c>
      <c r="AF388" s="1109">
        <f t="shared" si="106"/>
        <v>0</v>
      </c>
      <c r="AG388" s="1051">
        <f>SUM(S388:AF388)</f>
        <v>340</v>
      </c>
    </row>
    <row r="389" spans="1:33" ht="31.5">
      <c r="A389" s="1442">
        <v>2351</v>
      </c>
      <c r="B389" s="982" t="s">
        <v>545</v>
      </c>
      <c r="C389" s="1085" t="s">
        <v>546</v>
      </c>
      <c r="D389" s="506" t="s">
        <v>514</v>
      </c>
      <c r="E389" s="506">
        <v>70</v>
      </c>
      <c r="F389" s="1374">
        <v>43248</v>
      </c>
      <c r="G389" s="1374">
        <f>E389+F389</f>
        <v>43318</v>
      </c>
      <c r="H389" s="506" t="s">
        <v>529</v>
      </c>
      <c r="I389" s="1375" t="s">
        <v>169</v>
      </c>
      <c r="J389" s="482" t="s">
        <v>526</v>
      </c>
      <c r="K389" s="1369" t="s">
        <v>547</v>
      </c>
      <c r="L389" s="1244">
        <v>23173</v>
      </c>
      <c r="M389" s="326"/>
      <c r="N389" s="506" t="s">
        <v>366</v>
      </c>
      <c r="O389" s="517">
        <v>340</v>
      </c>
      <c r="P389" s="506">
        <v>1</v>
      </c>
      <c r="Q389" s="517">
        <f>O389*P389</f>
        <v>340</v>
      </c>
      <c r="R389" s="518"/>
      <c r="S389" s="487"/>
      <c r="T389" s="487"/>
      <c r="U389" s="488"/>
      <c r="V389" s="487">
        <f>Q389</f>
        <v>340</v>
      </c>
      <c r="W389" s="487"/>
      <c r="X389" s="1138"/>
      <c r="Y389" s="1156"/>
      <c r="Z389" s="1156"/>
      <c r="AA389" s="1156"/>
      <c r="AB389" s="1156"/>
      <c r="AC389" s="1156"/>
      <c r="AD389" s="1156"/>
      <c r="AE389" s="1156"/>
      <c r="AF389" s="1156"/>
      <c r="AG389" s="1156"/>
    </row>
    <row r="390" spans="1:33" s="992" customFormat="1" ht="33.75" customHeight="1">
      <c r="A390" s="1247" t="s">
        <v>241</v>
      </c>
      <c r="B390" s="266"/>
      <c r="C390" s="1022"/>
      <c r="D390" s="1263"/>
      <c r="E390" s="1263"/>
      <c r="F390" s="1263"/>
      <c r="G390" s="1263"/>
      <c r="H390" s="1263"/>
      <c r="I390" s="1263"/>
      <c r="J390" s="265"/>
      <c r="K390" s="1247"/>
      <c r="L390" s="1262"/>
      <c r="M390" s="1263"/>
      <c r="N390" s="1261"/>
      <c r="O390" s="1264"/>
      <c r="P390" s="1261"/>
      <c r="Q390" s="1265">
        <f>Q391+Q427</f>
        <v>129720.71</v>
      </c>
      <c r="R390" s="1266">
        <f>+R391+R400</f>
        <v>29240.073333333334</v>
      </c>
      <c r="S390" s="1265">
        <f t="shared" ref="S390:AF390" si="107">S391+S427</f>
        <v>0</v>
      </c>
      <c r="T390" s="1265">
        <f t="shared" si="107"/>
        <v>0</v>
      </c>
      <c r="U390" s="1265">
        <f t="shared" si="107"/>
        <v>6219</v>
      </c>
      <c r="V390" s="1265">
        <f t="shared" si="107"/>
        <v>14362.666666666668</v>
      </c>
      <c r="W390" s="1265">
        <f t="shared" si="107"/>
        <v>55069.296666666662</v>
      </c>
      <c r="X390" s="1265">
        <f t="shared" si="107"/>
        <v>29425.336666666662</v>
      </c>
      <c r="Y390" s="1265">
        <f t="shared" si="107"/>
        <v>8644.4133333333339</v>
      </c>
      <c r="Z390" s="268">
        <f t="shared" si="107"/>
        <v>16000</v>
      </c>
      <c r="AA390" s="268">
        <f t="shared" si="107"/>
        <v>0</v>
      </c>
      <c r="AB390" s="268">
        <f t="shared" si="107"/>
        <v>0</v>
      </c>
      <c r="AC390" s="268">
        <f t="shared" si="107"/>
        <v>0</v>
      </c>
      <c r="AD390" s="268">
        <f t="shared" si="107"/>
        <v>0</v>
      </c>
      <c r="AE390" s="268">
        <f t="shared" si="107"/>
        <v>0</v>
      </c>
      <c r="AF390" s="268">
        <f t="shared" si="107"/>
        <v>0</v>
      </c>
      <c r="AG390" s="268">
        <f>AG391+AG427</f>
        <v>129720.71333333332</v>
      </c>
    </row>
    <row r="391" spans="1:33" ht="15.75" customHeight="1">
      <c r="A391" s="1248" t="s">
        <v>242</v>
      </c>
      <c r="B391" s="274"/>
      <c r="C391" s="278"/>
      <c r="D391" s="1270"/>
      <c r="E391" s="1270"/>
      <c r="F391" s="1270"/>
      <c r="G391" s="1270"/>
      <c r="H391" s="1270"/>
      <c r="I391" s="1270"/>
      <c r="J391" s="273"/>
      <c r="K391" s="1248"/>
      <c r="L391" s="1269"/>
      <c r="M391" s="1270"/>
      <c r="N391" s="1268"/>
      <c r="O391" s="1271"/>
      <c r="P391" s="1268"/>
      <c r="Q391" s="1272">
        <f>+Q392</f>
        <v>29720.666666666668</v>
      </c>
      <c r="R391" s="1273">
        <f>+'[3]Compil Costing PPA 3 millions'!F11</f>
        <v>29240.073333333334</v>
      </c>
      <c r="S391" s="1272">
        <f t="shared" ref="S391:AF391" si="108">+S392</f>
        <v>0</v>
      </c>
      <c r="T391" s="1272">
        <f t="shared" si="108"/>
        <v>0</v>
      </c>
      <c r="U391" s="1272">
        <f t="shared" si="108"/>
        <v>6219</v>
      </c>
      <c r="V391" s="1272">
        <f t="shared" si="108"/>
        <v>7696.0000000000009</v>
      </c>
      <c r="W391" s="1272">
        <f t="shared" si="108"/>
        <v>5028.0000000000009</v>
      </c>
      <c r="X391" s="1272">
        <f t="shared" si="108"/>
        <v>10777.666666666666</v>
      </c>
      <c r="Y391" s="1272">
        <f t="shared" si="108"/>
        <v>0</v>
      </c>
      <c r="Z391" s="276">
        <f t="shared" si="108"/>
        <v>0</v>
      </c>
      <c r="AA391" s="276">
        <f t="shared" si="108"/>
        <v>0</v>
      </c>
      <c r="AB391" s="276">
        <f t="shared" si="108"/>
        <v>0</v>
      </c>
      <c r="AC391" s="276">
        <f t="shared" si="108"/>
        <v>0</v>
      </c>
      <c r="AD391" s="276">
        <f t="shared" si="108"/>
        <v>0</v>
      </c>
      <c r="AE391" s="276">
        <f t="shared" si="108"/>
        <v>0</v>
      </c>
      <c r="AF391" s="276">
        <f t="shared" si="108"/>
        <v>0</v>
      </c>
      <c r="AG391" s="276">
        <f>+AG392</f>
        <v>29720.666666666664</v>
      </c>
    </row>
    <row r="392" spans="1:33" s="1005" customFormat="1" ht="31.5">
      <c r="A392" s="1378">
        <v>311</v>
      </c>
      <c r="B392" s="1003" t="s">
        <v>243</v>
      </c>
      <c r="C392" s="1509"/>
      <c r="D392" s="1379"/>
      <c r="E392" s="1380"/>
      <c r="F392" s="1380"/>
      <c r="G392" s="1380"/>
      <c r="H392" s="1379"/>
      <c r="I392" s="1380"/>
      <c r="J392" s="165"/>
      <c r="K392" s="1381"/>
      <c r="L392" s="1382"/>
      <c r="M392" s="1379"/>
      <c r="N392" s="1380"/>
      <c r="O392" s="1383"/>
      <c r="P392" s="1380"/>
      <c r="Q392" s="1384">
        <f>SUM(Q393:Q426)</f>
        <v>29720.666666666668</v>
      </c>
      <c r="R392" s="169"/>
      <c r="S392" s="1384">
        <f t="shared" ref="S392:AF392" si="109">SUM(S393:S426)</f>
        <v>0</v>
      </c>
      <c r="T392" s="1384">
        <f t="shared" si="109"/>
        <v>0</v>
      </c>
      <c r="U392" s="1384">
        <f t="shared" si="109"/>
        <v>6219</v>
      </c>
      <c r="V392" s="1384">
        <f t="shared" si="109"/>
        <v>7696.0000000000009</v>
      </c>
      <c r="W392" s="1384">
        <f t="shared" si="109"/>
        <v>5028.0000000000009</v>
      </c>
      <c r="X392" s="1384">
        <f t="shared" si="109"/>
        <v>10777.666666666666</v>
      </c>
      <c r="Y392" s="1384">
        <f t="shared" si="109"/>
        <v>0</v>
      </c>
      <c r="Z392" s="1004">
        <f t="shared" si="109"/>
        <v>0</v>
      </c>
      <c r="AA392" s="1004">
        <f t="shared" si="109"/>
        <v>0</v>
      </c>
      <c r="AB392" s="1004">
        <f t="shared" si="109"/>
        <v>0</v>
      </c>
      <c r="AC392" s="1004">
        <f t="shared" si="109"/>
        <v>0</v>
      </c>
      <c r="AD392" s="1004">
        <f t="shared" si="109"/>
        <v>0</v>
      </c>
      <c r="AE392" s="1004">
        <f t="shared" si="109"/>
        <v>0</v>
      </c>
      <c r="AF392" s="1004">
        <f t="shared" si="109"/>
        <v>0</v>
      </c>
      <c r="AG392" s="1051">
        <f>SUM(S392:AF392)</f>
        <v>29720.666666666664</v>
      </c>
    </row>
    <row r="393" spans="1:33" s="1005" customFormat="1" ht="57" customHeight="1">
      <c r="A393" s="1518">
        <v>3111</v>
      </c>
      <c r="B393" s="983" t="s">
        <v>244</v>
      </c>
      <c r="C393" s="1086" t="s">
        <v>245</v>
      </c>
      <c r="D393" s="1385" t="s">
        <v>246</v>
      </c>
      <c r="E393" s="1386">
        <f>70+55</f>
        <v>125</v>
      </c>
      <c r="F393" s="174">
        <v>43193</v>
      </c>
      <c r="G393" s="174">
        <f>+F393+E393</f>
        <v>43318</v>
      </c>
      <c r="H393" s="175" t="s">
        <v>247</v>
      </c>
      <c r="I393" s="175" t="s">
        <v>176</v>
      </c>
      <c r="J393" s="186" t="s">
        <v>169</v>
      </c>
      <c r="K393" s="187" t="s">
        <v>248</v>
      </c>
      <c r="L393" s="1245">
        <v>2313</v>
      </c>
      <c r="M393" s="187"/>
      <c r="N393" s="175">
        <v>2313</v>
      </c>
      <c r="O393" s="1116">
        <v>10643</v>
      </c>
      <c r="P393" s="189">
        <v>1</v>
      </c>
      <c r="Q393" s="1006">
        <f>O393*P393</f>
        <v>10643</v>
      </c>
      <c r="R393" s="180"/>
      <c r="S393" s="1007"/>
      <c r="T393" s="1007"/>
      <c r="U393" s="1007"/>
      <c r="V393" s="1007"/>
      <c r="W393" s="1007"/>
      <c r="X393" s="1182">
        <f>Q393</f>
        <v>10643</v>
      </c>
      <c r="Y393" s="1157"/>
      <c r="Z393" s="1197"/>
      <c r="AA393" s="1197"/>
      <c r="AB393" s="1197"/>
      <c r="AC393" s="1197"/>
      <c r="AD393" s="1197"/>
      <c r="AE393" s="1197"/>
      <c r="AF393" s="1197"/>
      <c r="AG393" s="1157"/>
    </row>
    <row r="394" spans="1:33" s="1005" customFormat="1" ht="45" customHeight="1">
      <c r="A394" s="1518">
        <v>3112</v>
      </c>
      <c r="B394" s="983" t="s">
        <v>249</v>
      </c>
      <c r="C394" s="1086" t="s">
        <v>250</v>
      </c>
      <c r="E394" s="1386">
        <v>10</v>
      </c>
      <c r="F394" s="174">
        <f>G399</f>
        <v>43238</v>
      </c>
      <c r="G394" s="174">
        <f t="shared" ref="G394:G426" si="110">F394+E394</f>
        <v>43248</v>
      </c>
      <c r="H394" s="175" t="s">
        <v>247</v>
      </c>
      <c r="I394" s="175" t="s">
        <v>176</v>
      </c>
      <c r="J394" s="186" t="s">
        <v>169</v>
      </c>
      <c r="K394" s="187" t="s">
        <v>251</v>
      </c>
      <c r="L394" s="1245">
        <v>2315</v>
      </c>
      <c r="M394" s="187"/>
      <c r="N394" s="175">
        <v>23174</v>
      </c>
      <c r="O394" s="1008"/>
      <c r="P394" s="1009"/>
      <c r="Q394" s="1010"/>
      <c r="R394" s="201"/>
      <c r="S394" s="1007"/>
      <c r="T394" s="1007"/>
      <c r="U394" s="1007">
        <f t="shared" ref="U394:U402" si="111">Q394</f>
        <v>0</v>
      </c>
      <c r="V394" s="1007"/>
      <c r="W394" s="1007"/>
      <c r="X394" s="1182"/>
      <c r="Y394" s="1157"/>
      <c r="Z394" s="1197"/>
      <c r="AA394" s="1197"/>
      <c r="AB394" s="1197"/>
      <c r="AC394" s="1197"/>
      <c r="AD394" s="1197"/>
      <c r="AE394" s="1197"/>
      <c r="AF394" s="1197"/>
      <c r="AG394" s="1157"/>
    </row>
    <row r="395" spans="1:33" s="1005" customFormat="1" ht="57" customHeight="1">
      <c r="A395" s="1531">
        <v>3112</v>
      </c>
      <c r="B395" s="984" t="s">
        <v>249</v>
      </c>
      <c r="C395" s="1087" t="s">
        <v>250</v>
      </c>
      <c r="D395" s="1385"/>
      <c r="E395" s="1386">
        <v>10</v>
      </c>
      <c r="F395" s="174">
        <v>43238</v>
      </c>
      <c r="G395" s="174">
        <f t="shared" si="110"/>
        <v>43248</v>
      </c>
      <c r="H395" s="175" t="s">
        <v>247</v>
      </c>
      <c r="I395" s="175" t="s">
        <v>169</v>
      </c>
      <c r="J395" s="186" t="s">
        <v>176</v>
      </c>
      <c r="K395" s="187" t="s">
        <v>252</v>
      </c>
      <c r="L395" s="1245">
        <v>23174</v>
      </c>
      <c r="M395" s="187"/>
      <c r="N395" s="175">
        <v>23174</v>
      </c>
      <c r="O395" s="206">
        <f>36000/3000</f>
        <v>12</v>
      </c>
      <c r="P395" s="207">
        <f>15*7</f>
        <v>105</v>
      </c>
      <c r="Q395" s="206">
        <f t="shared" ref="Q395:Q402" si="112">O395*P395</f>
        <v>1260</v>
      </c>
      <c r="R395" s="180"/>
      <c r="S395" s="1007"/>
      <c r="T395" s="1007"/>
      <c r="U395" s="1007">
        <f t="shared" si="111"/>
        <v>1260</v>
      </c>
      <c r="V395" s="1007"/>
      <c r="W395" s="1007"/>
      <c r="X395" s="1182"/>
      <c r="Y395" s="1157"/>
      <c r="Z395" s="1197"/>
      <c r="AA395" s="1197"/>
      <c r="AB395" s="1197"/>
      <c r="AC395" s="1197"/>
      <c r="AD395" s="1197"/>
      <c r="AE395" s="1197"/>
      <c r="AF395" s="1197"/>
      <c r="AG395" s="1157"/>
    </row>
    <row r="396" spans="1:33" s="1005" customFormat="1" ht="57" customHeight="1">
      <c r="A396" s="1531">
        <v>3112</v>
      </c>
      <c r="B396" s="984" t="s">
        <v>249</v>
      </c>
      <c r="C396" s="1087" t="s">
        <v>250</v>
      </c>
      <c r="D396" s="1385"/>
      <c r="E396" s="1386">
        <v>10</v>
      </c>
      <c r="F396" s="174">
        <v>43238</v>
      </c>
      <c r="G396" s="174">
        <f t="shared" si="110"/>
        <v>43248</v>
      </c>
      <c r="H396" s="175" t="s">
        <v>247</v>
      </c>
      <c r="I396" s="175" t="s">
        <v>169</v>
      </c>
      <c r="J396" s="186" t="s">
        <v>176</v>
      </c>
      <c r="K396" s="187" t="s">
        <v>253</v>
      </c>
      <c r="L396" s="1245">
        <v>23174</v>
      </c>
      <c r="M396" s="187"/>
      <c r="N396" s="175">
        <v>23174</v>
      </c>
      <c r="O396" s="217">
        <f>40000/3000</f>
        <v>13.333333333333334</v>
      </c>
      <c r="P396" s="175">
        <f>15*7</f>
        <v>105</v>
      </c>
      <c r="Q396" s="217">
        <f t="shared" si="112"/>
        <v>1400</v>
      </c>
      <c r="R396" s="180"/>
      <c r="S396" s="1007"/>
      <c r="T396" s="1007"/>
      <c r="U396" s="1007">
        <f t="shared" si="111"/>
        <v>1400</v>
      </c>
      <c r="V396" s="1007"/>
      <c r="W396" s="1007"/>
      <c r="X396" s="1182"/>
      <c r="Y396" s="1157"/>
      <c r="Z396" s="1197"/>
      <c r="AA396" s="1197"/>
      <c r="AB396" s="1197"/>
      <c r="AC396" s="1197"/>
      <c r="AD396" s="1197"/>
      <c r="AE396" s="1197"/>
      <c r="AF396" s="1197"/>
      <c r="AG396" s="1157"/>
    </row>
    <row r="397" spans="1:33" s="1005" customFormat="1" ht="57" customHeight="1">
      <c r="A397" s="1531">
        <v>3112</v>
      </c>
      <c r="B397" s="984" t="s">
        <v>249</v>
      </c>
      <c r="C397" s="1087" t="s">
        <v>250</v>
      </c>
      <c r="D397" s="1385"/>
      <c r="E397" s="1386">
        <v>10</v>
      </c>
      <c r="F397" s="174">
        <v>43238</v>
      </c>
      <c r="G397" s="174">
        <f t="shared" si="110"/>
        <v>43248</v>
      </c>
      <c r="H397" s="175" t="s">
        <v>247</v>
      </c>
      <c r="I397" s="175" t="s">
        <v>169</v>
      </c>
      <c r="J397" s="186" t="s">
        <v>176</v>
      </c>
      <c r="K397" s="187" t="s">
        <v>254</v>
      </c>
      <c r="L397" s="1245">
        <v>23174</v>
      </c>
      <c r="M397" s="187"/>
      <c r="N397" s="175">
        <v>23174</v>
      </c>
      <c r="O397" s="1117">
        <f>30000/3000</f>
        <v>10</v>
      </c>
      <c r="P397" s="210">
        <v>15</v>
      </c>
      <c r="Q397" s="217">
        <f t="shared" si="112"/>
        <v>150</v>
      </c>
      <c r="R397" s="180"/>
      <c r="S397" s="1007"/>
      <c r="T397" s="1007"/>
      <c r="U397" s="1007">
        <f t="shared" si="111"/>
        <v>150</v>
      </c>
      <c r="V397" s="1007"/>
      <c r="W397" s="1007"/>
      <c r="X397" s="1182"/>
      <c r="Y397" s="1157"/>
      <c r="Z397" s="1197"/>
      <c r="AA397" s="1197"/>
      <c r="AB397" s="1197"/>
      <c r="AC397" s="1197"/>
      <c r="AD397" s="1197"/>
      <c r="AE397" s="1197"/>
      <c r="AF397" s="1197"/>
      <c r="AG397" s="1157"/>
    </row>
    <row r="398" spans="1:33" s="1005" customFormat="1" ht="57" customHeight="1">
      <c r="A398" s="1531">
        <v>3112</v>
      </c>
      <c r="B398" s="984" t="s">
        <v>249</v>
      </c>
      <c r="C398" s="1087" t="s">
        <v>250</v>
      </c>
      <c r="D398" s="1385"/>
      <c r="E398" s="1386">
        <v>10</v>
      </c>
      <c r="F398" s="174">
        <v>43238</v>
      </c>
      <c r="G398" s="174">
        <f t="shared" si="110"/>
        <v>43248</v>
      </c>
      <c r="H398" s="175" t="s">
        <v>247</v>
      </c>
      <c r="I398" s="175" t="s">
        <v>169</v>
      </c>
      <c r="J398" s="186" t="s">
        <v>176</v>
      </c>
      <c r="K398" s="1005" t="s">
        <v>255</v>
      </c>
      <c r="L398" s="1245">
        <v>23174</v>
      </c>
      <c r="M398" s="187"/>
      <c r="N398" s="175">
        <v>23174</v>
      </c>
      <c r="O398" s="1117">
        <f>(0.15*4000*2)/3000</f>
        <v>0.4</v>
      </c>
      <c r="P398" s="210">
        <v>170</v>
      </c>
      <c r="Q398" s="217">
        <f t="shared" si="112"/>
        <v>68</v>
      </c>
      <c r="R398" s="180"/>
      <c r="S398" s="1007"/>
      <c r="T398" s="1007"/>
      <c r="U398" s="1007">
        <f t="shared" si="111"/>
        <v>68</v>
      </c>
      <c r="V398" s="1007"/>
      <c r="W398" s="1007"/>
      <c r="X398" s="1182"/>
      <c r="Y398" s="1157"/>
      <c r="Z398" s="1197"/>
      <c r="AA398" s="1197"/>
      <c r="AB398" s="1197"/>
      <c r="AC398" s="1197"/>
      <c r="AD398" s="1197"/>
      <c r="AE398" s="1197"/>
      <c r="AF398" s="1197"/>
      <c r="AG398" s="1157"/>
    </row>
    <row r="399" spans="1:33" s="1005" customFormat="1" ht="57" customHeight="1">
      <c r="A399" s="1531">
        <v>3112</v>
      </c>
      <c r="B399" s="984" t="s">
        <v>249</v>
      </c>
      <c r="C399" s="1087" t="s">
        <v>250</v>
      </c>
      <c r="D399" s="1385"/>
      <c r="E399" s="1386">
        <v>45</v>
      </c>
      <c r="F399" s="174">
        <v>43193</v>
      </c>
      <c r="G399" s="174">
        <f t="shared" si="110"/>
        <v>43238</v>
      </c>
      <c r="H399" s="175" t="s">
        <v>247</v>
      </c>
      <c r="I399" s="175" t="s">
        <v>169</v>
      </c>
      <c r="J399" s="186" t="s">
        <v>176</v>
      </c>
      <c r="K399" s="1011" t="s">
        <v>256</v>
      </c>
      <c r="L399" s="1245">
        <v>23173</v>
      </c>
      <c r="M399" s="187"/>
      <c r="N399" s="175">
        <v>23173</v>
      </c>
      <c r="O399" s="1117">
        <f>765000/3000</f>
        <v>255</v>
      </c>
      <c r="P399" s="210">
        <v>1</v>
      </c>
      <c r="Q399" s="217">
        <f t="shared" si="112"/>
        <v>255</v>
      </c>
      <c r="R399" s="180"/>
      <c r="S399" s="1007"/>
      <c r="T399" s="1007"/>
      <c r="U399" s="1007">
        <f t="shared" si="111"/>
        <v>255</v>
      </c>
      <c r="V399" s="1007"/>
      <c r="W399" s="1007"/>
      <c r="X399" s="1182"/>
      <c r="Y399" s="1157"/>
      <c r="Z399" s="1197"/>
      <c r="AA399" s="1197"/>
      <c r="AB399" s="1197"/>
      <c r="AC399" s="1197"/>
      <c r="AD399" s="1197"/>
      <c r="AE399" s="1197"/>
      <c r="AF399" s="1197"/>
      <c r="AG399" s="1157"/>
    </row>
    <row r="400" spans="1:33" s="1005" customFormat="1" ht="57" customHeight="1">
      <c r="A400" s="1531">
        <v>3112</v>
      </c>
      <c r="B400" s="984" t="s">
        <v>249</v>
      </c>
      <c r="C400" s="1087" t="s">
        <v>250</v>
      </c>
      <c r="D400" s="1385"/>
      <c r="E400" s="1386">
        <v>10</v>
      </c>
      <c r="F400" s="174">
        <v>43238</v>
      </c>
      <c r="G400" s="174">
        <f t="shared" si="110"/>
        <v>43248</v>
      </c>
      <c r="H400" s="175" t="s">
        <v>247</v>
      </c>
      <c r="I400" s="175" t="s">
        <v>169</v>
      </c>
      <c r="J400" s="186" t="s">
        <v>176</v>
      </c>
      <c r="K400" s="1387" t="s">
        <v>257</v>
      </c>
      <c r="L400" s="1245">
        <v>23173</v>
      </c>
      <c r="M400" s="187"/>
      <c r="N400" s="175">
        <v>23172</v>
      </c>
      <c r="O400" s="1117">
        <f>200000/3000</f>
        <v>66.666666666666671</v>
      </c>
      <c r="P400" s="210">
        <v>5</v>
      </c>
      <c r="Q400" s="217">
        <f t="shared" si="112"/>
        <v>333.33333333333337</v>
      </c>
      <c r="R400" s="180"/>
      <c r="S400" s="1007"/>
      <c r="T400" s="1007"/>
      <c r="U400" s="1007">
        <f t="shared" si="111"/>
        <v>333.33333333333337</v>
      </c>
      <c r="V400" s="1007"/>
      <c r="W400" s="1007"/>
      <c r="X400" s="1182"/>
      <c r="Y400" s="1157"/>
      <c r="Z400" s="1197"/>
      <c r="AA400" s="1197"/>
      <c r="AB400" s="1197"/>
      <c r="AC400" s="1197"/>
      <c r="AD400" s="1197"/>
      <c r="AE400" s="1197"/>
      <c r="AF400" s="1197"/>
      <c r="AG400" s="1157"/>
    </row>
    <row r="401" spans="1:33" s="1005" customFormat="1" ht="57" customHeight="1">
      <c r="A401" s="1531">
        <v>3112</v>
      </c>
      <c r="B401" s="984" t="s">
        <v>249</v>
      </c>
      <c r="C401" s="1087" t="s">
        <v>250</v>
      </c>
      <c r="D401" s="1385"/>
      <c r="E401" s="1386">
        <v>45</v>
      </c>
      <c r="F401" s="174">
        <v>43193</v>
      </c>
      <c r="G401" s="174">
        <f t="shared" si="110"/>
        <v>43238</v>
      </c>
      <c r="H401" s="175" t="s">
        <v>247</v>
      </c>
      <c r="I401" s="175" t="s">
        <v>169</v>
      </c>
      <c r="J401" s="186" t="s">
        <v>176</v>
      </c>
      <c r="K401" s="1011" t="s">
        <v>258</v>
      </c>
      <c r="L401" s="1245">
        <v>2463</v>
      </c>
      <c r="M401" s="187"/>
      <c r="N401" s="175">
        <v>23173</v>
      </c>
      <c r="O401" s="1118">
        <f>1850000/3000</f>
        <v>616.66666666666663</v>
      </c>
      <c r="P401" s="210">
        <v>1</v>
      </c>
      <c r="Q401" s="217">
        <f t="shared" si="112"/>
        <v>616.66666666666663</v>
      </c>
      <c r="R401" s="180"/>
      <c r="S401" s="1007"/>
      <c r="T401" s="1007"/>
      <c r="U401" s="1007">
        <f t="shared" si="111"/>
        <v>616.66666666666663</v>
      </c>
      <c r="V401" s="1007"/>
      <c r="W401" s="1007"/>
      <c r="X401" s="1182"/>
      <c r="Y401" s="1157"/>
      <c r="Z401" s="1197"/>
      <c r="AA401" s="1197"/>
      <c r="AB401" s="1197"/>
      <c r="AC401" s="1197"/>
      <c r="AD401" s="1197"/>
      <c r="AE401" s="1197"/>
      <c r="AF401" s="1197"/>
      <c r="AG401" s="1157"/>
    </row>
    <row r="402" spans="1:33" s="1005" customFormat="1" ht="57" customHeight="1">
      <c r="A402" s="1531">
        <v>3112</v>
      </c>
      <c r="B402" s="984" t="s">
        <v>249</v>
      </c>
      <c r="C402" s="1087" t="s">
        <v>250</v>
      </c>
      <c r="D402" s="1385"/>
      <c r="E402" s="1386">
        <v>45</v>
      </c>
      <c r="F402" s="174">
        <v>43193</v>
      </c>
      <c r="G402" s="174">
        <f t="shared" si="110"/>
        <v>43238</v>
      </c>
      <c r="H402" s="175" t="s">
        <v>247</v>
      </c>
      <c r="I402" s="175" t="s">
        <v>169</v>
      </c>
      <c r="J402" s="186" t="s">
        <v>176</v>
      </c>
      <c r="K402" s="1011" t="s">
        <v>259</v>
      </c>
      <c r="L402" s="1245">
        <v>2463</v>
      </c>
      <c r="M402" s="187"/>
      <c r="N402" s="175">
        <v>23173</v>
      </c>
      <c r="O402" s="1118">
        <f>6000000/3000</f>
        <v>2000</v>
      </c>
      <c r="P402" s="210">
        <v>1</v>
      </c>
      <c r="Q402" s="217">
        <f t="shared" si="112"/>
        <v>2000</v>
      </c>
      <c r="R402" s="180"/>
      <c r="S402" s="1007"/>
      <c r="T402" s="1007"/>
      <c r="U402" s="1007">
        <f t="shared" si="111"/>
        <v>2000</v>
      </c>
      <c r="V402" s="1007"/>
      <c r="W402" s="1007"/>
      <c r="X402" s="1182"/>
      <c r="Y402" s="1157"/>
      <c r="Z402" s="1197"/>
      <c r="AA402" s="1197"/>
      <c r="AB402" s="1197"/>
      <c r="AC402" s="1197"/>
      <c r="AD402" s="1197"/>
      <c r="AE402" s="1197"/>
      <c r="AF402" s="1197"/>
      <c r="AG402" s="1157"/>
    </row>
    <row r="403" spans="1:33" s="1005" customFormat="1" ht="57" customHeight="1">
      <c r="A403" s="1518">
        <v>3113</v>
      </c>
      <c r="B403" s="983" t="s">
        <v>260</v>
      </c>
      <c r="C403" s="1086" t="s">
        <v>261</v>
      </c>
      <c r="D403" s="1385"/>
      <c r="E403" s="1386">
        <v>15</v>
      </c>
      <c r="F403" s="174">
        <v>43248</v>
      </c>
      <c r="G403" s="174">
        <f t="shared" si="110"/>
        <v>43263</v>
      </c>
      <c r="H403" s="175" t="s">
        <v>247</v>
      </c>
      <c r="I403" s="175" t="s">
        <v>176</v>
      </c>
      <c r="J403" s="186" t="s">
        <v>169</v>
      </c>
      <c r="K403" s="187" t="s">
        <v>262</v>
      </c>
      <c r="L403" s="1245">
        <v>23174</v>
      </c>
      <c r="M403" s="187"/>
      <c r="N403" s="175">
        <v>23174</v>
      </c>
      <c r="O403" s="217"/>
      <c r="P403" s="175"/>
      <c r="Q403" s="217"/>
      <c r="R403" s="180"/>
      <c r="S403" s="1007"/>
      <c r="T403" s="1007"/>
      <c r="U403" s="1007"/>
      <c r="V403" s="1007">
        <f>Q403</f>
        <v>0</v>
      </c>
      <c r="W403" s="1007"/>
      <c r="X403" s="1182"/>
      <c r="Y403" s="1157"/>
      <c r="Z403" s="1197"/>
      <c r="AA403" s="1197"/>
      <c r="AB403" s="1197"/>
      <c r="AC403" s="1197"/>
      <c r="AD403" s="1197"/>
      <c r="AE403" s="1197"/>
      <c r="AF403" s="1197"/>
      <c r="AG403" s="1157"/>
    </row>
    <row r="404" spans="1:33" s="1005" customFormat="1" ht="57" customHeight="1">
      <c r="A404" s="1531">
        <v>3113</v>
      </c>
      <c r="B404" s="984" t="s">
        <v>260</v>
      </c>
      <c r="C404" s="1087" t="s">
        <v>261</v>
      </c>
      <c r="D404" s="1385"/>
      <c r="E404" s="1386">
        <v>15</v>
      </c>
      <c r="F404" s="174">
        <v>43248</v>
      </c>
      <c r="G404" s="174">
        <f t="shared" si="110"/>
        <v>43263</v>
      </c>
      <c r="H404" s="175" t="s">
        <v>247</v>
      </c>
      <c r="I404" s="175" t="s">
        <v>169</v>
      </c>
      <c r="J404" s="186" t="s">
        <v>176</v>
      </c>
      <c r="K404" s="187" t="s">
        <v>252</v>
      </c>
      <c r="L404" s="1245">
        <v>23174</v>
      </c>
      <c r="M404" s="187"/>
      <c r="N404" s="175">
        <v>23174</v>
      </c>
      <c r="O404" s="217">
        <f>36000/3000</f>
        <v>12</v>
      </c>
      <c r="P404" s="175">
        <f>12*9</f>
        <v>108</v>
      </c>
      <c r="Q404" s="217">
        <f>O404*P404</f>
        <v>1296</v>
      </c>
      <c r="R404" s="180"/>
      <c r="S404" s="1007"/>
      <c r="T404" s="1007"/>
      <c r="U404" s="1007"/>
      <c r="V404" s="1007">
        <f t="shared" ref="V404:V413" si="113">Q404</f>
        <v>1296</v>
      </c>
      <c r="W404" s="1007"/>
      <c r="X404" s="1182"/>
      <c r="Y404" s="1157"/>
      <c r="Z404" s="1197"/>
      <c r="AA404" s="1197"/>
      <c r="AB404" s="1197"/>
      <c r="AC404" s="1197"/>
      <c r="AD404" s="1197"/>
      <c r="AE404" s="1197"/>
      <c r="AF404" s="1197"/>
      <c r="AG404" s="1157"/>
    </row>
    <row r="405" spans="1:33" s="1005" customFormat="1" ht="57" customHeight="1">
      <c r="A405" s="1531">
        <v>3113</v>
      </c>
      <c r="B405" s="984" t="s">
        <v>260</v>
      </c>
      <c r="C405" s="1087" t="s">
        <v>261</v>
      </c>
      <c r="D405" s="1385"/>
      <c r="E405" s="1386">
        <v>15</v>
      </c>
      <c r="F405" s="174">
        <v>43248</v>
      </c>
      <c r="G405" s="174">
        <f t="shared" si="110"/>
        <v>43263</v>
      </c>
      <c r="H405" s="175" t="s">
        <v>247</v>
      </c>
      <c r="I405" s="175" t="s">
        <v>169</v>
      </c>
      <c r="J405" s="186" t="s">
        <v>176</v>
      </c>
      <c r="K405" s="187" t="s">
        <v>253</v>
      </c>
      <c r="L405" s="1245">
        <v>23174</v>
      </c>
      <c r="M405" s="187"/>
      <c r="N405" s="175">
        <v>23174</v>
      </c>
      <c r="O405" s="217">
        <f>40000/3000</f>
        <v>13.333333333333334</v>
      </c>
      <c r="P405" s="175">
        <f>12*8</f>
        <v>96</v>
      </c>
      <c r="Q405" s="217">
        <f>O405*P405</f>
        <v>1280</v>
      </c>
      <c r="R405" s="180"/>
      <c r="S405" s="1007"/>
      <c r="T405" s="1007"/>
      <c r="U405" s="1007"/>
      <c r="V405" s="1007">
        <f t="shared" si="113"/>
        <v>1280</v>
      </c>
      <c r="W405" s="1007"/>
      <c r="X405" s="1182"/>
      <c r="Y405" s="1157"/>
      <c r="Z405" s="1197"/>
      <c r="AA405" s="1197"/>
      <c r="AB405" s="1197"/>
      <c r="AC405" s="1197"/>
      <c r="AD405" s="1197"/>
      <c r="AE405" s="1197"/>
      <c r="AF405" s="1197"/>
      <c r="AG405" s="1157"/>
    </row>
    <row r="406" spans="1:33" s="1005" customFormat="1" ht="57" customHeight="1">
      <c r="A406" s="1531">
        <v>3113</v>
      </c>
      <c r="B406" s="984" t="s">
        <v>260</v>
      </c>
      <c r="C406" s="1087" t="s">
        <v>261</v>
      </c>
      <c r="D406" s="1385"/>
      <c r="E406" s="1386">
        <v>15</v>
      </c>
      <c r="F406" s="174">
        <v>43248</v>
      </c>
      <c r="G406" s="174">
        <f t="shared" si="110"/>
        <v>43263</v>
      </c>
      <c r="H406" s="175" t="s">
        <v>247</v>
      </c>
      <c r="I406" s="175" t="s">
        <v>169</v>
      </c>
      <c r="J406" s="186" t="s">
        <v>176</v>
      </c>
      <c r="K406" s="187" t="s">
        <v>263</v>
      </c>
      <c r="L406" s="1245">
        <v>23174</v>
      </c>
      <c r="M406" s="187"/>
      <c r="N406" s="175">
        <v>23174</v>
      </c>
      <c r="O406" s="1117">
        <f>175000/3000</f>
        <v>58.333333333333336</v>
      </c>
      <c r="P406" s="210">
        <v>4</v>
      </c>
      <c r="Q406" s="217">
        <f>O406*P406</f>
        <v>233.33333333333334</v>
      </c>
      <c r="R406" s="180"/>
      <c r="S406" s="1007"/>
      <c r="T406" s="1007"/>
      <c r="U406" s="1007"/>
      <c r="V406" s="1007">
        <f t="shared" si="113"/>
        <v>233.33333333333334</v>
      </c>
      <c r="W406" s="1007"/>
      <c r="X406" s="1182"/>
      <c r="Y406" s="1157"/>
      <c r="Z406" s="1197"/>
      <c r="AA406" s="1197"/>
      <c r="AB406" s="1197"/>
      <c r="AC406" s="1197"/>
      <c r="AD406" s="1197"/>
      <c r="AE406" s="1197"/>
      <c r="AF406" s="1197"/>
      <c r="AG406" s="1157"/>
    </row>
    <row r="407" spans="1:33" s="1005" customFormat="1" ht="57" customHeight="1">
      <c r="A407" s="1531">
        <v>3113</v>
      </c>
      <c r="B407" s="984" t="s">
        <v>260</v>
      </c>
      <c r="C407" s="1087" t="s">
        <v>261</v>
      </c>
      <c r="D407" s="1385"/>
      <c r="E407" s="1386">
        <v>15</v>
      </c>
      <c r="F407" s="174">
        <v>43248</v>
      </c>
      <c r="G407" s="174">
        <f t="shared" si="110"/>
        <v>43263</v>
      </c>
      <c r="H407" s="175" t="s">
        <v>247</v>
      </c>
      <c r="I407" s="175" t="s">
        <v>169</v>
      </c>
      <c r="J407" s="186" t="s">
        <v>176</v>
      </c>
      <c r="K407" s="187" t="s">
        <v>264</v>
      </c>
      <c r="L407" s="1245">
        <v>23174</v>
      </c>
      <c r="M407" s="187"/>
      <c r="N407" s="175">
        <v>23174</v>
      </c>
      <c r="O407" s="1119">
        <f>109000/3000</f>
        <v>36.333333333333336</v>
      </c>
      <c r="P407" s="210">
        <v>4</v>
      </c>
      <c r="Q407" s="217">
        <f>O407*P407</f>
        <v>145.33333333333334</v>
      </c>
      <c r="R407" s="180"/>
      <c r="S407" s="1007"/>
      <c r="T407" s="1007"/>
      <c r="U407" s="1007"/>
      <c r="V407" s="1007">
        <f t="shared" si="113"/>
        <v>145.33333333333334</v>
      </c>
      <c r="W407" s="1007"/>
      <c r="X407" s="1182"/>
      <c r="Y407" s="1157"/>
      <c r="Z407" s="1197"/>
      <c r="AA407" s="1197"/>
      <c r="AB407" s="1197"/>
      <c r="AC407" s="1197"/>
      <c r="AD407" s="1197"/>
      <c r="AE407" s="1197"/>
      <c r="AF407" s="1197"/>
      <c r="AG407" s="1157"/>
    </row>
    <row r="408" spans="1:33" s="1005" customFormat="1" ht="57" customHeight="1">
      <c r="A408" s="1531">
        <v>3113</v>
      </c>
      <c r="B408" s="984" t="s">
        <v>260</v>
      </c>
      <c r="C408" s="1087" t="s">
        <v>261</v>
      </c>
      <c r="D408" s="1385"/>
      <c r="E408" s="1386">
        <v>15</v>
      </c>
      <c r="F408" s="174">
        <v>43248</v>
      </c>
      <c r="G408" s="174">
        <f t="shared" si="110"/>
        <v>43263</v>
      </c>
      <c r="H408" s="175" t="s">
        <v>247</v>
      </c>
      <c r="I408" s="175" t="s">
        <v>169</v>
      </c>
      <c r="J408" s="186" t="s">
        <v>176</v>
      </c>
      <c r="K408" s="187" t="s">
        <v>265</v>
      </c>
      <c r="L408" s="1245">
        <v>23174</v>
      </c>
      <c r="M408" s="187"/>
      <c r="N408" s="175">
        <v>23174</v>
      </c>
      <c r="O408" s="1119">
        <f>215000/3000</f>
        <v>71.666666666666671</v>
      </c>
      <c r="P408" s="210">
        <v>4</v>
      </c>
      <c r="Q408" s="217">
        <f>O408*P408</f>
        <v>286.66666666666669</v>
      </c>
      <c r="R408" s="180"/>
      <c r="S408" s="1007"/>
      <c r="T408" s="1007"/>
      <c r="U408" s="1007"/>
      <c r="V408" s="1007">
        <f t="shared" si="113"/>
        <v>286.66666666666669</v>
      </c>
      <c r="W408" s="1007"/>
      <c r="X408" s="1182"/>
      <c r="Y408" s="1157"/>
      <c r="Z408" s="1197"/>
      <c r="AA408" s="1197"/>
      <c r="AB408" s="1197"/>
      <c r="AC408" s="1197"/>
      <c r="AD408" s="1197"/>
      <c r="AE408" s="1197"/>
      <c r="AF408" s="1197"/>
      <c r="AG408" s="1157"/>
    </row>
    <row r="409" spans="1:33" s="1005" customFormat="1" ht="57" customHeight="1">
      <c r="A409" s="1518">
        <v>3114</v>
      </c>
      <c r="B409" s="983" t="s">
        <v>266</v>
      </c>
      <c r="C409" s="1086" t="s">
        <v>267</v>
      </c>
      <c r="D409" s="1385"/>
      <c r="E409" s="1386">
        <v>15</v>
      </c>
      <c r="F409" s="174">
        <v>43269</v>
      </c>
      <c r="G409" s="174">
        <f t="shared" si="110"/>
        <v>43284</v>
      </c>
      <c r="H409" s="175" t="s">
        <v>247</v>
      </c>
      <c r="I409" s="175" t="s">
        <v>176</v>
      </c>
      <c r="J409" s="186" t="s">
        <v>169</v>
      </c>
      <c r="K409" s="187" t="s">
        <v>268</v>
      </c>
      <c r="L409" s="1245">
        <v>2315</v>
      </c>
      <c r="M409" s="187"/>
      <c r="N409" s="175">
        <v>23174</v>
      </c>
      <c r="O409" s="217"/>
      <c r="P409" s="175"/>
      <c r="Q409" s="217"/>
      <c r="R409" s="180"/>
      <c r="S409" s="1007"/>
      <c r="T409" s="1007"/>
      <c r="U409" s="1007"/>
      <c r="V409" s="1007">
        <f>Q409</f>
        <v>0</v>
      </c>
      <c r="W409" s="1007"/>
      <c r="X409" s="1182"/>
      <c r="Y409" s="1157"/>
      <c r="Z409" s="1197"/>
      <c r="AA409" s="1197"/>
      <c r="AB409" s="1197"/>
      <c r="AC409" s="1197"/>
      <c r="AD409" s="1197"/>
      <c r="AE409" s="1197"/>
      <c r="AF409" s="1197"/>
      <c r="AG409" s="1157"/>
    </row>
    <row r="410" spans="1:33" s="1005" customFormat="1" ht="57" customHeight="1">
      <c r="A410" s="1531">
        <v>3114</v>
      </c>
      <c r="B410" s="984" t="s">
        <v>266</v>
      </c>
      <c r="C410" s="1087" t="s">
        <v>267</v>
      </c>
      <c r="D410" s="1385"/>
      <c r="E410" s="1386">
        <v>15</v>
      </c>
      <c r="F410" s="174">
        <v>43269</v>
      </c>
      <c r="G410" s="174">
        <f t="shared" si="110"/>
        <v>43284</v>
      </c>
      <c r="H410" s="175" t="s">
        <v>247</v>
      </c>
      <c r="I410" s="175" t="s">
        <v>169</v>
      </c>
      <c r="J410" s="186" t="s">
        <v>176</v>
      </c>
      <c r="K410" s="187" t="s">
        <v>252</v>
      </c>
      <c r="L410" s="1245">
        <v>23174</v>
      </c>
      <c r="M410" s="187"/>
      <c r="N410" s="175">
        <v>23174</v>
      </c>
      <c r="O410" s="217">
        <f>36000/3000</f>
        <v>12</v>
      </c>
      <c r="P410" s="175">
        <f>20*8</f>
        <v>160</v>
      </c>
      <c r="Q410" s="217">
        <f t="shared" ref="Q410:Q415" si="114">O410*P410</f>
        <v>1920</v>
      </c>
      <c r="R410" s="180"/>
      <c r="S410" s="1007"/>
      <c r="T410" s="1007"/>
      <c r="U410" s="1007"/>
      <c r="V410" s="1007">
        <f t="shared" si="113"/>
        <v>1920</v>
      </c>
      <c r="W410" s="1007"/>
      <c r="X410" s="1182"/>
      <c r="Y410" s="1157"/>
      <c r="Z410" s="1197"/>
      <c r="AA410" s="1197"/>
      <c r="AB410" s="1197"/>
      <c r="AC410" s="1197"/>
      <c r="AD410" s="1197"/>
      <c r="AE410" s="1197"/>
      <c r="AF410" s="1197"/>
      <c r="AG410" s="1157"/>
    </row>
    <row r="411" spans="1:33" s="1005" customFormat="1" ht="57" customHeight="1">
      <c r="A411" s="1531">
        <v>3114</v>
      </c>
      <c r="B411" s="984" t="s">
        <v>266</v>
      </c>
      <c r="C411" s="1087" t="s">
        <v>267</v>
      </c>
      <c r="D411" s="1385"/>
      <c r="E411" s="1386">
        <v>15</v>
      </c>
      <c r="F411" s="174">
        <v>43269</v>
      </c>
      <c r="G411" s="174">
        <f t="shared" si="110"/>
        <v>43284</v>
      </c>
      <c r="H411" s="175" t="s">
        <v>247</v>
      </c>
      <c r="I411" s="175" t="s">
        <v>169</v>
      </c>
      <c r="J411" s="186" t="s">
        <v>176</v>
      </c>
      <c r="K411" s="187" t="s">
        <v>253</v>
      </c>
      <c r="L411" s="1245">
        <v>23174</v>
      </c>
      <c r="M411" s="187"/>
      <c r="N411" s="175">
        <v>23174</v>
      </c>
      <c r="O411" s="217">
        <f>40000/3000</f>
        <v>13.333333333333334</v>
      </c>
      <c r="P411" s="175">
        <f>20*7</f>
        <v>140</v>
      </c>
      <c r="Q411" s="217">
        <f t="shared" si="114"/>
        <v>1866.6666666666667</v>
      </c>
      <c r="R411" s="180"/>
      <c r="S411" s="1007"/>
      <c r="T411" s="1007"/>
      <c r="U411" s="1007"/>
      <c r="V411" s="1007">
        <f t="shared" si="113"/>
        <v>1866.6666666666667</v>
      </c>
      <c r="W411" s="1007"/>
      <c r="X411" s="1182"/>
      <c r="Y411" s="1157"/>
      <c r="Z411" s="1197"/>
      <c r="AA411" s="1197"/>
      <c r="AB411" s="1197"/>
      <c r="AC411" s="1197"/>
      <c r="AD411" s="1197"/>
      <c r="AE411" s="1197"/>
      <c r="AF411" s="1197"/>
      <c r="AG411" s="1157"/>
    </row>
    <row r="412" spans="1:33" s="1005" customFormat="1" ht="57" customHeight="1">
      <c r="A412" s="1531">
        <v>3114</v>
      </c>
      <c r="B412" s="984" t="s">
        <v>266</v>
      </c>
      <c r="C412" s="1087" t="s">
        <v>267</v>
      </c>
      <c r="D412" s="1385"/>
      <c r="E412" s="1386">
        <v>15</v>
      </c>
      <c r="F412" s="174">
        <v>43269</v>
      </c>
      <c r="G412" s="174">
        <f t="shared" si="110"/>
        <v>43284</v>
      </c>
      <c r="H412" s="175" t="s">
        <v>247</v>
      </c>
      <c r="I412" s="175" t="s">
        <v>169</v>
      </c>
      <c r="J412" s="186" t="s">
        <v>176</v>
      </c>
      <c r="K412" s="187" t="s">
        <v>254</v>
      </c>
      <c r="L412" s="1245">
        <v>23174</v>
      </c>
      <c r="M412" s="187"/>
      <c r="N412" s="175">
        <v>23174</v>
      </c>
      <c r="O412" s="1117">
        <f>30000/3000</f>
        <v>10</v>
      </c>
      <c r="P412" s="210">
        <v>20</v>
      </c>
      <c r="Q412" s="217">
        <f t="shared" si="114"/>
        <v>200</v>
      </c>
      <c r="R412" s="180"/>
      <c r="S412" s="1007"/>
      <c r="T412" s="1007"/>
      <c r="U412" s="1007"/>
      <c r="V412" s="1007">
        <f>Q412</f>
        <v>200</v>
      </c>
      <c r="W412" s="1007"/>
      <c r="X412" s="1182"/>
      <c r="Y412" s="1157"/>
      <c r="Z412" s="1197"/>
      <c r="AA412" s="1197"/>
      <c r="AB412" s="1197"/>
      <c r="AC412" s="1197"/>
      <c r="AD412" s="1197"/>
      <c r="AE412" s="1197"/>
      <c r="AF412" s="1197"/>
      <c r="AG412" s="1157"/>
    </row>
    <row r="413" spans="1:33" s="1005" customFormat="1" ht="57" customHeight="1">
      <c r="A413" s="1531">
        <v>3114</v>
      </c>
      <c r="B413" s="984" t="s">
        <v>266</v>
      </c>
      <c r="C413" s="1087" t="s">
        <v>267</v>
      </c>
      <c r="D413" s="1385"/>
      <c r="E413" s="1386">
        <v>15</v>
      </c>
      <c r="F413" s="174">
        <v>43269</v>
      </c>
      <c r="G413" s="174">
        <f t="shared" si="110"/>
        <v>43284</v>
      </c>
      <c r="H413" s="175" t="s">
        <v>247</v>
      </c>
      <c r="I413" s="175" t="s">
        <v>169</v>
      </c>
      <c r="J413" s="186" t="s">
        <v>176</v>
      </c>
      <c r="K413" s="1005" t="s">
        <v>255</v>
      </c>
      <c r="L413" s="1245">
        <v>23174</v>
      </c>
      <c r="M413" s="187"/>
      <c r="N413" s="175">
        <v>23174</v>
      </c>
      <c r="O413" s="1117">
        <f>(0.15*4000*2)/3000</f>
        <v>0.4</v>
      </c>
      <c r="P413" s="210">
        <v>170</v>
      </c>
      <c r="Q413" s="217">
        <f t="shared" si="114"/>
        <v>68</v>
      </c>
      <c r="R413" s="180"/>
      <c r="S413" s="1007"/>
      <c r="T413" s="1007"/>
      <c r="U413" s="1007"/>
      <c r="V413" s="1007">
        <f t="shared" si="113"/>
        <v>68</v>
      </c>
      <c r="W413" s="1007"/>
      <c r="X413" s="1182"/>
      <c r="Y413" s="1157"/>
      <c r="Z413" s="1197"/>
      <c r="AA413" s="1197"/>
      <c r="AB413" s="1197"/>
      <c r="AC413" s="1197"/>
      <c r="AD413" s="1197"/>
      <c r="AE413" s="1197"/>
      <c r="AF413" s="1197"/>
      <c r="AG413" s="1157"/>
    </row>
    <row r="414" spans="1:33" s="1005" customFormat="1" ht="57" customHeight="1">
      <c r="A414" s="1531">
        <v>3114</v>
      </c>
      <c r="B414" s="984" t="s">
        <v>266</v>
      </c>
      <c r="C414" s="1087" t="s">
        <v>267</v>
      </c>
      <c r="D414" s="1385"/>
      <c r="E414" s="1386">
        <v>45</v>
      </c>
      <c r="F414" s="174">
        <v>43193</v>
      </c>
      <c r="G414" s="174">
        <f t="shared" si="110"/>
        <v>43238</v>
      </c>
      <c r="H414" s="175" t="s">
        <v>247</v>
      </c>
      <c r="I414" s="175" t="s">
        <v>169</v>
      </c>
      <c r="J414" s="186" t="s">
        <v>176</v>
      </c>
      <c r="K414" s="1011" t="s">
        <v>256</v>
      </c>
      <c r="L414" s="1245">
        <v>23173</v>
      </c>
      <c r="M414" s="187"/>
      <c r="N414" s="175">
        <v>23173</v>
      </c>
      <c r="O414" s="1117">
        <f>45000/3000</f>
        <v>15</v>
      </c>
      <c r="P414" s="210">
        <v>1</v>
      </c>
      <c r="Q414" s="217">
        <f t="shared" si="114"/>
        <v>15</v>
      </c>
      <c r="R414" s="180"/>
      <c r="S414" s="1007"/>
      <c r="T414" s="1007"/>
      <c r="U414" s="1007">
        <f>Q414</f>
        <v>15</v>
      </c>
      <c r="W414" s="1007"/>
      <c r="X414" s="1182"/>
      <c r="Y414" s="1157"/>
      <c r="Z414" s="1197"/>
      <c r="AA414" s="1197"/>
      <c r="AB414" s="1197"/>
      <c r="AC414" s="1197"/>
      <c r="AD414" s="1197"/>
      <c r="AE414" s="1197"/>
      <c r="AF414" s="1197"/>
      <c r="AG414" s="1157"/>
    </row>
    <row r="415" spans="1:33" s="1005" customFormat="1" ht="57" customHeight="1">
      <c r="A415" s="1531">
        <v>3114</v>
      </c>
      <c r="B415" s="984" t="s">
        <v>266</v>
      </c>
      <c r="C415" s="1087" t="s">
        <v>267</v>
      </c>
      <c r="D415" s="1385"/>
      <c r="E415" s="1386">
        <v>15</v>
      </c>
      <c r="F415" s="174">
        <v>43269</v>
      </c>
      <c r="G415" s="174">
        <f t="shared" si="110"/>
        <v>43284</v>
      </c>
      <c r="H415" s="175" t="s">
        <v>247</v>
      </c>
      <c r="I415" s="175" t="s">
        <v>169</v>
      </c>
      <c r="J415" s="186" t="s">
        <v>176</v>
      </c>
      <c r="K415" s="1387" t="s">
        <v>257</v>
      </c>
      <c r="L415" s="1245">
        <v>23173</v>
      </c>
      <c r="M415" s="187"/>
      <c r="N415" s="175">
        <v>23172</v>
      </c>
      <c r="O415" s="1117">
        <f>200000/3000</f>
        <v>66.666666666666671</v>
      </c>
      <c r="P415" s="210">
        <v>6</v>
      </c>
      <c r="Q415" s="217">
        <f t="shared" si="114"/>
        <v>400</v>
      </c>
      <c r="R415" s="180"/>
      <c r="S415" s="1007"/>
      <c r="T415" s="1007"/>
      <c r="U415" s="1007"/>
      <c r="V415" s="1007">
        <f>Q415</f>
        <v>400</v>
      </c>
      <c r="W415" s="1007"/>
      <c r="X415" s="1182"/>
      <c r="Y415" s="1157"/>
      <c r="Z415" s="1197"/>
      <c r="AA415" s="1197"/>
      <c r="AB415" s="1197"/>
      <c r="AC415" s="1197"/>
      <c r="AD415" s="1197"/>
      <c r="AE415" s="1197"/>
      <c r="AF415" s="1197"/>
      <c r="AG415" s="1157"/>
    </row>
    <row r="416" spans="1:33" s="1005" customFormat="1" ht="57" customHeight="1">
      <c r="A416" s="1518">
        <v>3115</v>
      </c>
      <c r="B416" s="983" t="s">
        <v>269</v>
      </c>
      <c r="C416" s="1086" t="s">
        <v>270</v>
      </c>
      <c r="D416" s="1385"/>
      <c r="E416" s="1386">
        <v>15</v>
      </c>
      <c r="F416" s="174">
        <v>43290</v>
      </c>
      <c r="G416" s="174">
        <f t="shared" si="110"/>
        <v>43305</v>
      </c>
      <c r="H416" s="175" t="s">
        <v>247</v>
      </c>
      <c r="I416" s="175" t="s">
        <v>176</v>
      </c>
      <c r="J416" s="186" t="s">
        <v>169</v>
      </c>
      <c r="K416" s="187" t="s">
        <v>268</v>
      </c>
      <c r="L416" s="1245">
        <v>2315</v>
      </c>
      <c r="M416" s="187"/>
      <c r="N416" s="175"/>
      <c r="O416" s="217"/>
      <c r="P416" s="175"/>
      <c r="Q416" s="217"/>
      <c r="R416" s="180"/>
      <c r="S416" s="1007"/>
      <c r="T416" s="1007"/>
      <c r="U416" s="1007"/>
      <c r="V416" s="1007"/>
      <c r="W416" s="1007">
        <f>Q416</f>
        <v>0</v>
      </c>
      <c r="X416" s="1182"/>
      <c r="Y416" s="1157"/>
      <c r="Z416" s="1197"/>
      <c r="AA416" s="1197"/>
      <c r="AB416" s="1197"/>
      <c r="AC416" s="1197"/>
      <c r="AD416" s="1197"/>
      <c r="AE416" s="1197"/>
      <c r="AF416" s="1197"/>
      <c r="AG416" s="1157"/>
    </row>
    <row r="417" spans="1:33" s="1005" customFormat="1" ht="57" customHeight="1">
      <c r="A417" s="1531">
        <v>3115</v>
      </c>
      <c r="B417" s="984" t="s">
        <v>269</v>
      </c>
      <c r="C417" s="1087" t="s">
        <v>270</v>
      </c>
      <c r="D417" s="1385"/>
      <c r="E417" s="1386">
        <v>15</v>
      </c>
      <c r="F417" s="174">
        <v>43290</v>
      </c>
      <c r="G417" s="174">
        <f t="shared" si="110"/>
        <v>43305</v>
      </c>
      <c r="H417" s="175" t="s">
        <v>247</v>
      </c>
      <c r="I417" s="175" t="s">
        <v>169</v>
      </c>
      <c r="J417" s="186" t="s">
        <v>176</v>
      </c>
      <c r="K417" s="187" t="s">
        <v>252</v>
      </c>
      <c r="L417" s="1245">
        <v>23174</v>
      </c>
      <c r="M417" s="187"/>
      <c r="N417" s="175">
        <v>23174</v>
      </c>
      <c r="O417" s="217">
        <f>36000/3000</f>
        <v>12</v>
      </c>
      <c r="P417" s="175">
        <f>20*9</f>
        <v>180</v>
      </c>
      <c r="Q417" s="217">
        <f t="shared" ref="Q417:Q422" si="115">O417*P417</f>
        <v>2160</v>
      </c>
      <c r="R417" s="180"/>
      <c r="S417" s="1007"/>
      <c r="T417" s="1007"/>
      <c r="U417" s="1007"/>
      <c r="V417" s="1007"/>
      <c r="W417" s="1007">
        <f t="shared" ref="W417:W422" si="116">Q417</f>
        <v>2160</v>
      </c>
      <c r="X417" s="1182"/>
      <c r="Y417" s="1157"/>
      <c r="Z417" s="1197"/>
      <c r="AA417" s="1197"/>
      <c r="AB417" s="1197"/>
      <c r="AC417" s="1197"/>
      <c r="AD417" s="1197"/>
      <c r="AE417" s="1197"/>
      <c r="AF417" s="1197"/>
      <c r="AG417" s="1157"/>
    </row>
    <row r="418" spans="1:33" s="1005" customFormat="1" ht="57" customHeight="1">
      <c r="A418" s="1531">
        <v>3115</v>
      </c>
      <c r="B418" s="984" t="s">
        <v>269</v>
      </c>
      <c r="C418" s="1087" t="s">
        <v>270</v>
      </c>
      <c r="D418" s="1385"/>
      <c r="E418" s="1386">
        <v>15</v>
      </c>
      <c r="F418" s="174">
        <v>43290</v>
      </c>
      <c r="G418" s="174">
        <f t="shared" si="110"/>
        <v>43305</v>
      </c>
      <c r="H418" s="175" t="s">
        <v>247</v>
      </c>
      <c r="I418" s="175" t="s">
        <v>169</v>
      </c>
      <c r="J418" s="186" t="s">
        <v>176</v>
      </c>
      <c r="K418" s="187" t="s">
        <v>253</v>
      </c>
      <c r="L418" s="1245">
        <v>23174</v>
      </c>
      <c r="M418" s="187"/>
      <c r="N418" s="175">
        <v>23174</v>
      </c>
      <c r="O418" s="217">
        <f>40000/3000</f>
        <v>13.333333333333334</v>
      </c>
      <c r="P418" s="175">
        <f>20*8</f>
        <v>160</v>
      </c>
      <c r="Q418" s="217">
        <f t="shared" si="115"/>
        <v>2133.3333333333335</v>
      </c>
      <c r="R418" s="180"/>
      <c r="S418" s="1007"/>
      <c r="T418" s="1007"/>
      <c r="U418" s="1007"/>
      <c r="V418" s="1007"/>
      <c r="W418" s="1007">
        <f t="shared" si="116"/>
        <v>2133.3333333333335</v>
      </c>
      <c r="X418" s="1182"/>
      <c r="Y418" s="1157"/>
      <c r="Z418" s="1197"/>
      <c r="AA418" s="1197"/>
      <c r="AB418" s="1197"/>
      <c r="AC418" s="1197"/>
      <c r="AD418" s="1197"/>
      <c r="AE418" s="1197"/>
      <c r="AF418" s="1197"/>
      <c r="AG418" s="1157"/>
    </row>
    <row r="419" spans="1:33" s="1005" customFormat="1" ht="57" customHeight="1">
      <c r="A419" s="1531">
        <v>3115</v>
      </c>
      <c r="B419" s="984" t="s">
        <v>269</v>
      </c>
      <c r="C419" s="1087" t="s">
        <v>270</v>
      </c>
      <c r="D419" s="1385"/>
      <c r="E419" s="1386">
        <v>15</v>
      </c>
      <c r="F419" s="174">
        <v>43290</v>
      </c>
      <c r="G419" s="174">
        <f t="shared" si="110"/>
        <v>43305</v>
      </c>
      <c r="H419" s="175" t="s">
        <v>247</v>
      </c>
      <c r="I419" s="175" t="s">
        <v>169</v>
      </c>
      <c r="J419" s="186" t="s">
        <v>176</v>
      </c>
      <c r="K419" s="187" t="s">
        <v>254</v>
      </c>
      <c r="L419" s="1245">
        <v>23174</v>
      </c>
      <c r="M419" s="187"/>
      <c r="N419" s="175">
        <v>23174</v>
      </c>
      <c r="O419" s="1117">
        <f>30000/3000</f>
        <v>10</v>
      </c>
      <c r="P419" s="210">
        <v>20</v>
      </c>
      <c r="Q419" s="217">
        <f t="shared" si="115"/>
        <v>200</v>
      </c>
      <c r="R419" s="180"/>
      <c r="S419" s="1007"/>
      <c r="T419" s="1007"/>
      <c r="U419" s="1007"/>
      <c r="V419" s="1007"/>
      <c r="W419" s="1007">
        <f t="shared" si="116"/>
        <v>200</v>
      </c>
      <c r="X419" s="1182"/>
      <c r="Y419" s="1157"/>
      <c r="Z419" s="1197"/>
      <c r="AA419" s="1197"/>
      <c r="AB419" s="1197"/>
      <c r="AC419" s="1197"/>
      <c r="AD419" s="1197"/>
      <c r="AE419" s="1197"/>
      <c r="AF419" s="1197"/>
      <c r="AG419" s="1157"/>
    </row>
    <row r="420" spans="1:33" s="1005" customFormat="1" ht="57" customHeight="1">
      <c r="A420" s="1531">
        <v>3115</v>
      </c>
      <c r="B420" s="984" t="s">
        <v>269</v>
      </c>
      <c r="C420" s="1087" t="s">
        <v>270</v>
      </c>
      <c r="D420" s="1385"/>
      <c r="E420" s="1386">
        <v>15</v>
      </c>
      <c r="F420" s="174">
        <v>43290</v>
      </c>
      <c r="G420" s="174">
        <f t="shared" si="110"/>
        <v>43305</v>
      </c>
      <c r="H420" s="175" t="s">
        <v>247</v>
      </c>
      <c r="I420" s="175" t="s">
        <v>169</v>
      </c>
      <c r="J420" s="186" t="s">
        <v>176</v>
      </c>
      <c r="K420" s="1005" t="s">
        <v>255</v>
      </c>
      <c r="L420" s="1245">
        <v>23174</v>
      </c>
      <c r="M420" s="187"/>
      <c r="N420" s="175">
        <v>23174</v>
      </c>
      <c r="O420" s="1117">
        <f>(0.15*4000*2)/3000</f>
        <v>0.4</v>
      </c>
      <c r="P420" s="210">
        <v>170</v>
      </c>
      <c r="Q420" s="217">
        <f t="shared" si="115"/>
        <v>68</v>
      </c>
      <c r="R420" s="180"/>
      <c r="S420" s="1007"/>
      <c r="T420" s="1007"/>
      <c r="U420" s="1007"/>
      <c r="V420" s="1007"/>
      <c r="W420" s="1007">
        <f t="shared" si="116"/>
        <v>68</v>
      </c>
      <c r="X420" s="1182"/>
      <c r="Y420" s="1157"/>
      <c r="Z420" s="1197"/>
      <c r="AA420" s="1197"/>
      <c r="AB420" s="1197"/>
      <c r="AC420" s="1197"/>
      <c r="AD420" s="1197"/>
      <c r="AE420" s="1197"/>
      <c r="AF420" s="1197"/>
      <c r="AG420" s="1157"/>
    </row>
    <row r="421" spans="1:33" s="1005" customFormat="1" ht="57" customHeight="1">
      <c r="A421" s="1531">
        <v>3115</v>
      </c>
      <c r="B421" s="984" t="s">
        <v>269</v>
      </c>
      <c r="C421" s="1087" t="s">
        <v>270</v>
      </c>
      <c r="D421" s="1385"/>
      <c r="E421" s="1386">
        <v>45</v>
      </c>
      <c r="F421" s="174">
        <v>43193</v>
      </c>
      <c r="G421" s="174">
        <f t="shared" si="110"/>
        <v>43238</v>
      </c>
      <c r="H421" s="175" t="s">
        <v>247</v>
      </c>
      <c r="I421" s="175" t="s">
        <v>169</v>
      </c>
      <c r="J421" s="186" t="s">
        <v>176</v>
      </c>
      <c r="K421" s="1011" t="s">
        <v>256</v>
      </c>
      <c r="L421" s="1245">
        <v>23173</v>
      </c>
      <c r="M421" s="187"/>
      <c r="N421" s="175">
        <v>23173</v>
      </c>
      <c r="O421" s="1117">
        <f>217000/3000</f>
        <v>72.333333333333329</v>
      </c>
      <c r="P421" s="210">
        <v>1</v>
      </c>
      <c r="Q421" s="217">
        <f t="shared" si="115"/>
        <v>72.333333333333329</v>
      </c>
      <c r="R421" s="180"/>
      <c r="S421" s="1007"/>
      <c r="T421" s="1007"/>
      <c r="U421" s="1007">
        <f>Q421</f>
        <v>72.333333333333329</v>
      </c>
      <c r="V421" s="1007"/>
      <c r="X421" s="1182"/>
      <c r="Y421" s="1157"/>
      <c r="Z421" s="1197"/>
      <c r="AA421" s="1197"/>
      <c r="AB421" s="1197"/>
      <c r="AC421" s="1197"/>
      <c r="AD421" s="1197"/>
      <c r="AE421" s="1197"/>
      <c r="AF421" s="1197"/>
      <c r="AG421" s="1157"/>
    </row>
    <row r="422" spans="1:33" s="1005" customFormat="1" ht="57" customHeight="1">
      <c r="A422" s="1531">
        <v>3115</v>
      </c>
      <c r="B422" s="984" t="s">
        <v>269</v>
      </c>
      <c r="C422" s="1087" t="s">
        <v>270</v>
      </c>
      <c r="D422" s="1385"/>
      <c r="E422" s="1386">
        <v>15</v>
      </c>
      <c r="F422" s="174">
        <v>43290</v>
      </c>
      <c r="G422" s="174">
        <f t="shared" si="110"/>
        <v>43305</v>
      </c>
      <c r="H422" s="175" t="s">
        <v>247</v>
      </c>
      <c r="I422" s="175" t="s">
        <v>169</v>
      </c>
      <c r="J422" s="186" t="s">
        <v>176</v>
      </c>
      <c r="K422" s="1387" t="s">
        <v>257</v>
      </c>
      <c r="L422" s="1245">
        <v>23173</v>
      </c>
      <c r="M422" s="187"/>
      <c r="N422" s="175">
        <v>23172</v>
      </c>
      <c r="O422" s="1117">
        <f>200000/3000</f>
        <v>66.666666666666671</v>
      </c>
      <c r="P422" s="210">
        <v>7</v>
      </c>
      <c r="Q422" s="217">
        <f t="shared" si="115"/>
        <v>466.66666666666669</v>
      </c>
      <c r="R422" s="180"/>
      <c r="S422" s="1007"/>
      <c r="T422" s="1007"/>
      <c r="U422" s="1007"/>
      <c r="V422" s="1007"/>
      <c r="W422" s="1007">
        <f t="shared" si="116"/>
        <v>466.66666666666669</v>
      </c>
      <c r="X422" s="1182"/>
      <c r="Y422" s="1157"/>
      <c r="Z422" s="1197"/>
      <c r="AA422" s="1197"/>
      <c r="AB422" s="1197"/>
      <c r="AC422" s="1197"/>
      <c r="AD422" s="1197"/>
      <c r="AE422" s="1197"/>
      <c r="AF422" s="1197"/>
      <c r="AG422" s="1157"/>
    </row>
    <row r="423" spans="1:33" s="1005" customFormat="1" ht="57" customHeight="1">
      <c r="A423" s="1518">
        <v>3116</v>
      </c>
      <c r="B423" s="983" t="s">
        <v>271</v>
      </c>
      <c r="C423" s="1086" t="s">
        <v>272</v>
      </c>
      <c r="D423" s="1385"/>
      <c r="E423" s="1386">
        <v>15</v>
      </c>
      <c r="F423" s="174">
        <v>43311</v>
      </c>
      <c r="G423" s="174">
        <f t="shared" si="110"/>
        <v>43326</v>
      </c>
      <c r="H423" s="175" t="s">
        <v>247</v>
      </c>
      <c r="I423" s="175" t="s">
        <v>176</v>
      </c>
      <c r="J423" s="186" t="s">
        <v>169</v>
      </c>
      <c r="K423" s="187" t="s">
        <v>268</v>
      </c>
      <c r="L423" s="1245">
        <v>2315</v>
      </c>
      <c r="M423" s="187"/>
      <c r="N423" s="175">
        <v>23173</v>
      </c>
      <c r="O423" s="217"/>
      <c r="P423" s="175"/>
      <c r="Q423" s="217"/>
      <c r="R423" s="180"/>
      <c r="S423" s="1007"/>
      <c r="T423" s="1007"/>
      <c r="U423" s="1007"/>
      <c r="V423" s="1007"/>
      <c r="W423" s="1007"/>
      <c r="X423" s="1182">
        <f>Q423</f>
        <v>0</v>
      </c>
      <c r="Y423" s="1157"/>
      <c r="Z423" s="1197"/>
      <c r="AA423" s="1197"/>
      <c r="AB423" s="1197"/>
      <c r="AC423" s="1197"/>
      <c r="AD423" s="1197"/>
      <c r="AE423" s="1197"/>
      <c r="AF423" s="1197"/>
      <c r="AG423" s="1157"/>
    </row>
    <row r="424" spans="1:33" s="1005" customFormat="1" ht="57" customHeight="1">
      <c r="A424" s="1531">
        <v>3116</v>
      </c>
      <c r="B424" s="984" t="s">
        <v>271</v>
      </c>
      <c r="C424" s="1087" t="s">
        <v>272</v>
      </c>
      <c r="D424" s="1385"/>
      <c r="E424" s="1386">
        <v>15</v>
      </c>
      <c r="F424" s="174">
        <v>43311</v>
      </c>
      <c r="G424" s="174">
        <f t="shared" si="110"/>
        <v>43326</v>
      </c>
      <c r="H424" s="175" t="s">
        <v>247</v>
      </c>
      <c r="I424" s="175" t="s">
        <v>169</v>
      </c>
      <c r="J424" s="186" t="s">
        <v>176</v>
      </c>
      <c r="K424" s="1005" t="s">
        <v>273</v>
      </c>
      <c r="L424" s="1245">
        <v>23173</v>
      </c>
      <c r="M424" s="187"/>
      <c r="N424" s="175">
        <v>23173</v>
      </c>
      <c r="O424" s="1117">
        <f>(0.15*4000*2)/3000</f>
        <v>0.4</v>
      </c>
      <c r="P424" s="210">
        <v>170</v>
      </c>
      <c r="Q424" s="217">
        <f>O424*P424</f>
        <v>68</v>
      </c>
      <c r="R424" s="180"/>
      <c r="S424" s="1007"/>
      <c r="T424" s="1007"/>
      <c r="U424" s="1007"/>
      <c r="V424" s="1007"/>
      <c r="W424" s="1007"/>
      <c r="X424" s="1182">
        <f>Q424</f>
        <v>68</v>
      </c>
      <c r="Y424" s="1157"/>
      <c r="Z424" s="1197"/>
      <c r="AA424" s="1197"/>
      <c r="AB424" s="1197"/>
      <c r="AC424" s="1197"/>
      <c r="AD424" s="1197"/>
      <c r="AE424" s="1197"/>
      <c r="AF424" s="1197"/>
      <c r="AG424" s="1157"/>
    </row>
    <row r="425" spans="1:33" s="1005" customFormat="1" ht="57" customHeight="1">
      <c r="A425" s="1531">
        <v>3116</v>
      </c>
      <c r="B425" s="984" t="s">
        <v>271</v>
      </c>
      <c r="C425" s="1087" t="s">
        <v>272</v>
      </c>
      <c r="D425" s="1385"/>
      <c r="E425" s="1386">
        <v>45</v>
      </c>
      <c r="F425" s="174">
        <v>43193</v>
      </c>
      <c r="G425" s="174">
        <f t="shared" si="110"/>
        <v>43238</v>
      </c>
      <c r="H425" s="175" t="s">
        <v>247</v>
      </c>
      <c r="I425" s="175" t="s">
        <v>169</v>
      </c>
      <c r="J425" s="186" t="s">
        <v>176</v>
      </c>
      <c r="K425" s="1011" t="s">
        <v>256</v>
      </c>
      <c r="L425" s="1245">
        <v>23173</v>
      </c>
      <c r="M425" s="187"/>
      <c r="N425" s="175">
        <v>23173</v>
      </c>
      <c r="O425" s="1117">
        <f>146000/3000</f>
        <v>48.666666666666664</v>
      </c>
      <c r="P425" s="210">
        <v>1</v>
      </c>
      <c r="Q425" s="217">
        <f>O425*P425</f>
        <v>48.666666666666664</v>
      </c>
      <c r="R425" s="180"/>
      <c r="S425" s="1007"/>
      <c r="T425" s="1007"/>
      <c r="U425" s="1007">
        <f>Q425</f>
        <v>48.666666666666664</v>
      </c>
      <c r="V425" s="1007"/>
      <c r="W425" s="1007"/>
      <c r="Y425" s="1157"/>
      <c r="Z425" s="1197"/>
      <c r="AA425" s="1197"/>
      <c r="AB425" s="1197"/>
      <c r="AC425" s="1197"/>
      <c r="AD425" s="1197"/>
      <c r="AE425" s="1197"/>
      <c r="AF425" s="1197"/>
      <c r="AG425" s="1157"/>
    </row>
    <row r="426" spans="1:33" s="1005" customFormat="1" ht="57" customHeight="1">
      <c r="A426" s="1531">
        <v>3116</v>
      </c>
      <c r="B426" s="984" t="s">
        <v>271</v>
      </c>
      <c r="C426" s="1087" t="s">
        <v>272</v>
      </c>
      <c r="D426" s="1385"/>
      <c r="E426" s="1386">
        <v>15</v>
      </c>
      <c r="F426" s="174">
        <v>43311</v>
      </c>
      <c r="G426" s="174">
        <f t="shared" si="110"/>
        <v>43326</v>
      </c>
      <c r="H426" s="175" t="s">
        <v>247</v>
      </c>
      <c r="I426" s="175" t="s">
        <v>169</v>
      </c>
      <c r="J426" s="186" t="s">
        <v>176</v>
      </c>
      <c r="K426" s="1387" t="s">
        <v>257</v>
      </c>
      <c r="L426" s="1245">
        <v>23173</v>
      </c>
      <c r="M426" s="187"/>
      <c r="N426" s="175">
        <v>23172</v>
      </c>
      <c r="O426" s="1117">
        <f>200000/3000</f>
        <v>66.666666666666671</v>
      </c>
      <c r="P426" s="210">
        <v>1</v>
      </c>
      <c r="Q426" s="217">
        <f>O426*P426</f>
        <v>66.666666666666671</v>
      </c>
      <c r="R426" s="180"/>
      <c r="S426" s="1007"/>
      <c r="T426" s="1007"/>
      <c r="U426" s="1007"/>
      <c r="V426" s="1007"/>
      <c r="W426" s="1007"/>
      <c r="X426" s="1182">
        <f>Q426</f>
        <v>66.666666666666671</v>
      </c>
      <c r="Y426" s="1157"/>
      <c r="Z426" s="1197"/>
      <c r="AA426" s="1197"/>
      <c r="AB426" s="1197"/>
      <c r="AC426" s="1197"/>
      <c r="AD426" s="1197"/>
      <c r="AE426" s="1197"/>
      <c r="AF426" s="1197"/>
      <c r="AG426" s="1157"/>
    </row>
    <row r="427" spans="1:33" ht="15.75" customHeight="1">
      <c r="A427" s="1248" t="s">
        <v>274</v>
      </c>
      <c r="B427" s="274"/>
      <c r="C427" s="278"/>
      <c r="D427" s="1270"/>
      <c r="E427" s="1270"/>
      <c r="F427" s="1270"/>
      <c r="G427" s="1270"/>
      <c r="H427" s="1270"/>
      <c r="I427" s="1270"/>
      <c r="J427" s="273"/>
      <c r="K427" s="1248"/>
      <c r="L427" s="1269"/>
      <c r="M427" s="1270"/>
      <c r="N427" s="1268"/>
      <c r="O427" s="1272"/>
      <c r="P427" s="1268"/>
      <c r="Q427" s="1272">
        <f>+Q428+Q438+Q448+Q467+Q475+Q482</f>
        <v>100000.04333333333</v>
      </c>
      <c r="R427" s="1273"/>
      <c r="S427" s="1272">
        <f t="shared" ref="S427:AG427" si="117">+S428+S438+S448+S467+S475+S482</f>
        <v>0</v>
      </c>
      <c r="T427" s="1272">
        <f t="shared" si="117"/>
        <v>0</v>
      </c>
      <c r="U427" s="1272">
        <f t="shared" si="117"/>
        <v>0</v>
      </c>
      <c r="V427" s="1272">
        <f t="shared" si="117"/>
        <v>6666.666666666667</v>
      </c>
      <c r="W427" s="1272">
        <f t="shared" si="117"/>
        <v>50041.296666666662</v>
      </c>
      <c r="X427" s="1272">
        <f t="shared" si="117"/>
        <v>18647.669999999998</v>
      </c>
      <c r="Y427" s="1272">
        <f t="shared" si="117"/>
        <v>8644.4133333333339</v>
      </c>
      <c r="Z427" s="276">
        <f t="shared" si="117"/>
        <v>16000</v>
      </c>
      <c r="AA427" s="276">
        <f t="shared" si="117"/>
        <v>0</v>
      </c>
      <c r="AB427" s="276">
        <f t="shared" si="117"/>
        <v>0</v>
      </c>
      <c r="AC427" s="276">
        <f t="shared" si="117"/>
        <v>0</v>
      </c>
      <c r="AD427" s="276">
        <f t="shared" si="117"/>
        <v>0</v>
      </c>
      <c r="AE427" s="276">
        <f t="shared" si="117"/>
        <v>0</v>
      </c>
      <c r="AF427" s="276">
        <f t="shared" si="117"/>
        <v>0</v>
      </c>
      <c r="AG427" s="276">
        <f t="shared" si="117"/>
        <v>100000.04666666666</v>
      </c>
    </row>
    <row r="428" spans="1:33" s="1028" customFormat="1" ht="31.5">
      <c r="A428" s="1275">
        <v>321</v>
      </c>
      <c r="B428" s="508" t="s">
        <v>552</v>
      </c>
      <c r="C428" s="1559"/>
      <c r="D428" s="822"/>
      <c r="E428" s="822"/>
      <c r="F428" s="822"/>
      <c r="G428" s="822"/>
      <c r="H428" s="822"/>
      <c r="I428" s="822"/>
      <c r="J428" s="543"/>
      <c r="K428" s="1545"/>
      <c r="L428" s="1579"/>
      <c r="M428" s="1000"/>
      <c r="N428" s="1388"/>
      <c r="O428" s="1282"/>
      <c r="P428" s="1388"/>
      <c r="Q428" s="1282">
        <f>+Q429+Q430+Q436+Q437</f>
        <v>22794.666666666668</v>
      </c>
      <c r="R428" s="547"/>
      <c r="S428" s="1282">
        <f t="shared" ref="S428:AF428" si="118">+S429+S430+S436+S437</f>
        <v>0</v>
      </c>
      <c r="T428" s="1282">
        <f t="shared" si="118"/>
        <v>0</v>
      </c>
      <c r="U428" s="1282">
        <f t="shared" si="118"/>
        <v>0</v>
      </c>
      <c r="V428" s="1282">
        <f t="shared" si="118"/>
        <v>6666.666666666667</v>
      </c>
      <c r="W428" s="1282">
        <f t="shared" si="118"/>
        <v>16128</v>
      </c>
      <c r="X428" s="1282">
        <f t="shared" si="118"/>
        <v>0</v>
      </c>
      <c r="Y428" s="1282">
        <f t="shared" si="118"/>
        <v>0</v>
      </c>
      <c r="Z428" s="546">
        <f t="shared" si="118"/>
        <v>0</v>
      </c>
      <c r="AA428" s="546">
        <f t="shared" si="118"/>
        <v>0</v>
      </c>
      <c r="AB428" s="546">
        <f t="shared" si="118"/>
        <v>0</v>
      </c>
      <c r="AC428" s="546">
        <f t="shared" si="118"/>
        <v>0</v>
      </c>
      <c r="AD428" s="546">
        <f t="shared" si="118"/>
        <v>0</v>
      </c>
      <c r="AE428" s="546">
        <f t="shared" si="118"/>
        <v>0</v>
      </c>
      <c r="AF428" s="546">
        <f t="shared" si="118"/>
        <v>0</v>
      </c>
      <c r="AG428" s="1051">
        <f>SUM(S428:AF428)</f>
        <v>22794.666666666668</v>
      </c>
    </row>
    <row r="429" spans="1:33" ht="31.5">
      <c r="A429" s="1442">
        <v>3211</v>
      </c>
      <c r="B429" s="291" t="s">
        <v>553</v>
      </c>
      <c r="C429" s="824" t="s">
        <v>554</v>
      </c>
      <c r="D429" s="1391"/>
      <c r="E429" s="1391">
        <v>30</v>
      </c>
      <c r="F429" s="829">
        <v>43159</v>
      </c>
      <c r="G429" s="829">
        <f>+F429+E429</f>
        <v>43189</v>
      </c>
      <c r="H429" s="1391" t="s">
        <v>555</v>
      </c>
      <c r="I429" s="294" t="s">
        <v>177</v>
      </c>
      <c r="J429" s="307"/>
      <c r="K429" s="326"/>
      <c r="L429" s="1237"/>
      <c r="M429" s="326"/>
      <c r="N429" s="294"/>
      <c r="O429" s="355"/>
      <c r="P429" s="294"/>
      <c r="Q429" s="355"/>
      <c r="R429" s="299"/>
      <c r="S429" s="355"/>
      <c r="T429" s="355"/>
      <c r="U429" s="355"/>
      <c r="V429" s="355"/>
      <c r="W429" s="355"/>
      <c r="X429" s="1137"/>
      <c r="Y429" s="1126"/>
      <c r="Z429" s="1126"/>
      <c r="AA429" s="1126"/>
      <c r="AB429" s="1126"/>
      <c r="AC429" s="1126"/>
      <c r="AD429" s="1126"/>
      <c r="AE429" s="1126"/>
      <c r="AF429" s="1126"/>
      <c r="AG429" s="1126"/>
    </row>
    <row r="430" spans="1:33" ht="94.5">
      <c r="A430" s="1442">
        <v>3212</v>
      </c>
      <c r="B430" s="291" t="s">
        <v>556</v>
      </c>
      <c r="C430" s="824" t="s">
        <v>557</v>
      </c>
      <c r="D430" s="1391"/>
      <c r="E430" s="1391">
        <v>60</v>
      </c>
      <c r="F430" s="829">
        <v>43194</v>
      </c>
      <c r="G430" s="829">
        <v>43262</v>
      </c>
      <c r="H430" s="1391" t="s">
        <v>555</v>
      </c>
      <c r="I430" s="294" t="s">
        <v>177</v>
      </c>
      <c r="J430" s="307" t="s">
        <v>558</v>
      </c>
      <c r="K430" s="1546" t="s">
        <v>268</v>
      </c>
      <c r="L430" s="1237"/>
      <c r="M430" s="326"/>
      <c r="N430" s="294"/>
      <c r="O430" s="487">
        <f>+SUM(O431:O435)</f>
        <v>6666.666666666667</v>
      </c>
      <c r="P430" s="294">
        <v>1</v>
      </c>
      <c r="Q430" s="555">
        <f>+SUM(Q431:Q435)</f>
        <v>6666.666666666667</v>
      </c>
      <c r="R430" s="518"/>
      <c r="S430" s="487"/>
      <c r="T430" s="487"/>
      <c r="U430" s="487"/>
      <c r="V430" s="555">
        <f>Q430</f>
        <v>6666.666666666667</v>
      </c>
      <c r="W430" s="487"/>
      <c r="X430" s="1138"/>
      <c r="Y430" s="1156"/>
      <c r="Z430" s="1156"/>
      <c r="AA430" s="1156"/>
      <c r="AB430" s="1156"/>
      <c r="AC430" s="1156"/>
      <c r="AD430" s="1156"/>
      <c r="AE430" s="1156"/>
      <c r="AF430" s="1156"/>
      <c r="AG430" s="1156"/>
    </row>
    <row r="431" spans="1:33">
      <c r="A431" s="1442">
        <v>3212</v>
      </c>
      <c r="B431" s="291" t="s">
        <v>556</v>
      </c>
      <c r="C431" s="824" t="s">
        <v>559</v>
      </c>
      <c r="D431" s="294" t="s">
        <v>514</v>
      </c>
      <c r="E431" s="294">
        <v>45</v>
      </c>
      <c r="F431" s="829">
        <v>43194</v>
      </c>
      <c r="G431" s="829">
        <f>+E431+F431</f>
        <v>43239</v>
      </c>
      <c r="H431" s="1391" t="s">
        <v>555</v>
      </c>
      <c r="I431" s="294" t="s">
        <v>169</v>
      </c>
      <c r="J431" s="307" t="s">
        <v>177</v>
      </c>
      <c r="K431" s="326" t="s">
        <v>302</v>
      </c>
      <c r="L431" s="1237">
        <v>23173</v>
      </c>
      <c r="M431" s="326"/>
      <c r="N431" s="294"/>
      <c r="O431" s="355">
        <v>202.6</v>
      </c>
      <c r="P431" s="294">
        <v>1</v>
      </c>
      <c r="Q431" s="355">
        <f t="shared" ref="Q431:Q436" si="119">O431*P431</f>
        <v>202.6</v>
      </c>
      <c r="R431" s="299"/>
      <c r="S431" s="355"/>
      <c r="T431" s="355"/>
      <c r="U431" s="355"/>
      <c r="V431" s="355"/>
      <c r="W431" s="355"/>
      <c r="X431" s="1137"/>
      <c r="Y431" s="1126"/>
      <c r="Z431" s="1126"/>
      <c r="AA431" s="1126"/>
      <c r="AB431" s="1126"/>
      <c r="AC431" s="1126"/>
      <c r="AD431" s="1126"/>
      <c r="AE431" s="1126"/>
      <c r="AF431" s="1126"/>
      <c r="AG431" s="1126"/>
    </row>
    <row r="432" spans="1:33">
      <c r="A432" s="1442">
        <v>3212</v>
      </c>
      <c r="B432" s="291" t="s">
        <v>556</v>
      </c>
      <c r="C432" s="824" t="s">
        <v>560</v>
      </c>
      <c r="D432" s="1391"/>
      <c r="E432" s="294">
        <f>10</f>
        <v>10</v>
      </c>
      <c r="F432" s="829">
        <v>43252</v>
      </c>
      <c r="G432" s="829">
        <f>+F432+E432</f>
        <v>43262</v>
      </c>
      <c r="H432" s="1391" t="s">
        <v>555</v>
      </c>
      <c r="I432" s="294" t="s">
        <v>177</v>
      </c>
      <c r="J432" s="307"/>
      <c r="K432" s="326" t="s">
        <v>561</v>
      </c>
      <c r="L432" s="1237">
        <v>23174</v>
      </c>
      <c r="M432" s="326"/>
      <c r="N432" s="294"/>
      <c r="O432" s="1580">
        <v>4064</v>
      </c>
      <c r="P432" s="294">
        <v>1</v>
      </c>
      <c r="Q432" s="355">
        <f t="shared" si="119"/>
        <v>4064</v>
      </c>
      <c r="R432" s="299"/>
      <c r="S432" s="355"/>
      <c r="T432" s="355"/>
      <c r="U432" s="355"/>
      <c r="V432" s="355"/>
      <c r="W432" s="355"/>
      <c r="X432" s="1137"/>
      <c r="Y432" s="1126"/>
      <c r="Z432" s="1126"/>
      <c r="AA432" s="1126"/>
      <c r="AB432" s="1126"/>
      <c r="AC432" s="1126"/>
      <c r="AD432" s="1126"/>
      <c r="AE432" s="1126"/>
      <c r="AF432" s="1126"/>
      <c r="AG432" s="1126"/>
    </row>
    <row r="433" spans="1:33">
      <c r="A433" s="1442">
        <v>3212</v>
      </c>
      <c r="B433" s="291" t="s">
        <v>556</v>
      </c>
      <c r="C433" s="824" t="s">
        <v>562</v>
      </c>
      <c r="D433" s="1391"/>
      <c r="E433" s="294">
        <f>10</f>
        <v>10</v>
      </c>
      <c r="F433" s="829">
        <v>43252</v>
      </c>
      <c r="G433" s="829">
        <f>+F433+E433</f>
        <v>43262</v>
      </c>
      <c r="H433" s="1391" t="s">
        <v>555</v>
      </c>
      <c r="I433" s="294" t="s">
        <v>177</v>
      </c>
      <c r="J433" s="307"/>
      <c r="K433" s="326" t="s">
        <v>563</v>
      </c>
      <c r="L433" s="1237">
        <v>23174</v>
      </c>
      <c r="M433" s="326"/>
      <c r="N433" s="294"/>
      <c r="O433" s="355">
        <v>1640</v>
      </c>
      <c r="P433" s="294">
        <v>1</v>
      </c>
      <c r="Q433" s="355">
        <f t="shared" si="119"/>
        <v>1640</v>
      </c>
      <c r="R433" s="299"/>
      <c r="S433" s="355"/>
      <c r="T433" s="355"/>
      <c r="U433" s="355"/>
      <c r="V433" s="355"/>
      <c r="W433" s="355"/>
      <c r="X433" s="1137"/>
      <c r="Y433" s="1126"/>
      <c r="Z433" s="1126"/>
      <c r="AA433" s="1126"/>
      <c r="AB433" s="1126"/>
      <c r="AC433" s="1126"/>
      <c r="AD433" s="1126"/>
      <c r="AE433" s="1126"/>
      <c r="AF433" s="1126"/>
      <c r="AG433" s="1126"/>
    </row>
    <row r="434" spans="1:33">
      <c r="A434" s="1442">
        <v>3212</v>
      </c>
      <c r="B434" s="291" t="s">
        <v>556</v>
      </c>
      <c r="C434" s="824" t="s">
        <v>564</v>
      </c>
      <c r="D434" s="1391"/>
      <c r="E434" s="294">
        <f>10</f>
        <v>10</v>
      </c>
      <c r="F434" s="829">
        <v>43252</v>
      </c>
      <c r="G434" s="829">
        <f>+F434+E434</f>
        <v>43262</v>
      </c>
      <c r="H434" s="1391" t="s">
        <v>555</v>
      </c>
      <c r="I434" s="294" t="s">
        <v>177</v>
      </c>
      <c r="J434" s="307"/>
      <c r="K434" s="326" t="s">
        <v>565</v>
      </c>
      <c r="L434" s="1237">
        <v>23174</v>
      </c>
      <c r="M434" s="326"/>
      <c r="N434" s="294"/>
      <c r="O434" s="355">
        <v>426.73333333333335</v>
      </c>
      <c r="P434" s="294">
        <v>1</v>
      </c>
      <c r="Q434" s="355">
        <f t="shared" si="119"/>
        <v>426.73333333333335</v>
      </c>
      <c r="R434" s="299"/>
      <c r="S434" s="355"/>
      <c r="T434" s="355"/>
      <c r="U434" s="355"/>
      <c r="V434" s="355"/>
      <c r="W434" s="355"/>
      <c r="X434" s="1137"/>
      <c r="Y434" s="1126"/>
      <c r="Z434" s="1126"/>
      <c r="AA434" s="1126"/>
      <c r="AB434" s="1126"/>
      <c r="AC434" s="1126"/>
      <c r="AD434" s="1126"/>
      <c r="AE434" s="1126"/>
      <c r="AF434" s="1126"/>
      <c r="AG434" s="1126"/>
    </row>
    <row r="435" spans="1:33">
      <c r="A435" s="1442">
        <v>3212</v>
      </c>
      <c r="B435" s="291" t="s">
        <v>556</v>
      </c>
      <c r="C435" s="824" t="s">
        <v>566</v>
      </c>
      <c r="D435" s="1391"/>
      <c r="E435" s="294">
        <f>10</f>
        <v>10</v>
      </c>
      <c r="F435" s="829">
        <v>43252</v>
      </c>
      <c r="G435" s="829">
        <f>+F435+E435</f>
        <v>43262</v>
      </c>
      <c r="H435" s="1391" t="s">
        <v>555</v>
      </c>
      <c r="I435" s="294" t="s">
        <v>169</v>
      </c>
      <c r="J435" s="307" t="s">
        <v>177</v>
      </c>
      <c r="K435" s="326" t="s">
        <v>486</v>
      </c>
      <c r="L435" s="1237">
        <v>23173</v>
      </c>
      <c r="M435" s="326"/>
      <c r="N435" s="294"/>
      <c r="O435" s="355">
        <v>333.33333333333331</v>
      </c>
      <c r="P435" s="294">
        <v>1</v>
      </c>
      <c r="Q435" s="355">
        <f t="shared" si="119"/>
        <v>333.33333333333331</v>
      </c>
      <c r="R435" s="299"/>
      <c r="S435" s="355"/>
      <c r="T435" s="355"/>
      <c r="U435" s="355"/>
      <c r="V435" s="355"/>
      <c r="W435" s="355"/>
      <c r="X435" s="1137"/>
      <c r="Y435" s="1126"/>
      <c r="Z435" s="1126"/>
      <c r="AA435" s="1126"/>
      <c r="AB435" s="1126"/>
      <c r="AC435" s="1126"/>
      <c r="AD435" s="1126"/>
      <c r="AE435" s="1126"/>
      <c r="AF435" s="1126"/>
      <c r="AG435" s="1126"/>
    </row>
    <row r="436" spans="1:33">
      <c r="A436" s="1442">
        <v>3213</v>
      </c>
      <c r="B436" s="291" t="s">
        <v>567</v>
      </c>
      <c r="C436" s="824" t="s">
        <v>568</v>
      </c>
      <c r="D436" s="1391"/>
      <c r="E436" s="294">
        <v>10</v>
      </c>
      <c r="F436" s="829">
        <v>43269</v>
      </c>
      <c r="G436" s="829">
        <f>+E436+F436</f>
        <v>43279</v>
      </c>
      <c r="H436" s="1391" t="s">
        <v>555</v>
      </c>
      <c r="I436" s="1393" t="s">
        <v>569</v>
      </c>
      <c r="J436" s="307" t="s">
        <v>177</v>
      </c>
      <c r="K436" s="326"/>
      <c r="L436" s="1237"/>
      <c r="M436" s="326"/>
      <c r="N436" s="294"/>
      <c r="O436" s="355"/>
      <c r="P436" s="294"/>
      <c r="Q436" s="558">
        <f t="shared" si="119"/>
        <v>0</v>
      </c>
      <c r="R436" s="299"/>
      <c r="S436" s="355"/>
      <c r="T436" s="355"/>
      <c r="U436" s="355"/>
      <c r="V436" s="355"/>
      <c r="W436" s="355"/>
      <c r="X436" s="1137"/>
      <c r="Y436" s="1126"/>
      <c r="Z436" s="1126"/>
      <c r="AA436" s="1126"/>
      <c r="AB436" s="1126"/>
      <c r="AC436" s="1126"/>
      <c r="AD436" s="1126"/>
      <c r="AE436" s="1126"/>
      <c r="AF436" s="1126"/>
      <c r="AG436" s="1126"/>
    </row>
    <row r="437" spans="1:33">
      <c r="A437" s="1532">
        <v>3214</v>
      </c>
      <c r="B437" s="291" t="s">
        <v>570</v>
      </c>
      <c r="C437" s="824" t="s">
        <v>571</v>
      </c>
      <c r="D437" s="1391"/>
      <c r="E437" s="294"/>
      <c r="F437" s="829">
        <v>43282</v>
      </c>
      <c r="G437" s="829"/>
      <c r="H437" s="1391" t="s">
        <v>555</v>
      </c>
      <c r="I437" s="1393" t="s">
        <v>169</v>
      </c>
      <c r="J437" s="307" t="s">
        <v>177</v>
      </c>
      <c r="K437" s="326" t="s">
        <v>302</v>
      </c>
      <c r="L437" s="1237">
        <v>23173</v>
      </c>
      <c r="M437" s="326"/>
      <c r="N437" s="294"/>
      <c r="O437" s="487">
        <v>0.63</v>
      </c>
      <c r="P437" s="294">
        <v>25600</v>
      </c>
      <c r="Q437" s="555">
        <f>+O437*P437</f>
        <v>16128</v>
      </c>
      <c r="R437" s="518"/>
      <c r="S437" s="487"/>
      <c r="T437" s="487"/>
      <c r="U437" s="487"/>
      <c r="V437" s="487"/>
      <c r="W437" s="555">
        <f>+Q437</f>
        <v>16128</v>
      </c>
      <c r="X437" s="1138"/>
      <c r="Y437" s="1156"/>
      <c r="Z437" s="1156"/>
      <c r="AA437" s="1156"/>
      <c r="AB437" s="1156"/>
      <c r="AC437" s="1156"/>
      <c r="AD437" s="1156"/>
      <c r="AE437" s="1156"/>
      <c r="AF437" s="1156"/>
      <c r="AG437" s="1156"/>
    </row>
    <row r="438" spans="1:33">
      <c r="A438" s="1275">
        <v>322</v>
      </c>
      <c r="B438" s="508" t="s">
        <v>572</v>
      </c>
      <c r="C438" s="1559"/>
      <c r="D438" s="822"/>
      <c r="E438" s="822"/>
      <c r="F438" s="822"/>
      <c r="G438" s="822"/>
      <c r="H438" s="822"/>
      <c r="I438" s="822"/>
      <c r="J438" s="283"/>
      <c r="K438" s="1278"/>
      <c r="L438" s="1279"/>
      <c r="M438" s="1280"/>
      <c r="N438" s="1277"/>
      <c r="O438" s="1395"/>
      <c r="P438" s="1277"/>
      <c r="Q438" s="1282">
        <f>+Q439+Q440+Q446+Q447</f>
        <v>7667</v>
      </c>
      <c r="R438" s="287"/>
      <c r="S438" s="1282">
        <f t="shared" ref="S438:AF438" si="120">+S439+S440+S446+S447</f>
        <v>0</v>
      </c>
      <c r="T438" s="1282">
        <f t="shared" si="120"/>
        <v>0</v>
      </c>
      <c r="U438" s="1282">
        <f t="shared" si="120"/>
        <v>0</v>
      </c>
      <c r="V438" s="1282">
        <f t="shared" si="120"/>
        <v>0</v>
      </c>
      <c r="W438" s="1282">
        <f t="shared" si="120"/>
        <v>0</v>
      </c>
      <c r="X438" s="1282">
        <f t="shared" si="120"/>
        <v>6667</v>
      </c>
      <c r="Y438" s="1282">
        <f t="shared" si="120"/>
        <v>0</v>
      </c>
      <c r="Z438" s="546">
        <f t="shared" si="120"/>
        <v>1000</v>
      </c>
      <c r="AA438" s="546">
        <f t="shared" si="120"/>
        <v>0</v>
      </c>
      <c r="AB438" s="546">
        <f t="shared" si="120"/>
        <v>0</v>
      </c>
      <c r="AC438" s="546">
        <f t="shared" si="120"/>
        <v>0</v>
      </c>
      <c r="AD438" s="546">
        <f t="shared" si="120"/>
        <v>0</v>
      </c>
      <c r="AE438" s="546">
        <f t="shared" si="120"/>
        <v>0</v>
      </c>
      <c r="AF438" s="546">
        <f t="shared" si="120"/>
        <v>0</v>
      </c>
      <c r="AG438" s="1051">
        <f>SUM(S438:AF438)</f>
        <v>7667</v>
      </c>
    </row>
    <row r="439" spans="1:33">
      <c r="A439" s="1533">
        <v>3221</v>
      </c>
      <c r="B439" s="337" t="s">
        <v>573</v>
      </c>
      <c r="C439" s="824" t="s">
        <v>574</v>
      </c>
      <c r="D439" s="1391"/>
      <c r="E439" s="1391">
        <v>30</v>
      </c>
      <c r="F439" s="829">
        <v>43159</v>
      </c>
      <c r="G439" s="829">
        <f>+F439+E439</f>
        <v>43189</v>
      </c>
      <c r="H439" s="1391" t="s">
        <v>555</v>
      </c>
      <c r="I439" s="294" t="s">
        <v>177</v>
      </c>
      <c r="J439" s="307"/>
      <c r="K439" s="326"/>
      <c r="L439" s="1237"/>
      <c r="M439" s="326"/>
      <c r="N439" s="294"/>
      <c r="O439" s="355"/>
      <c r="P439" s="294"/>
      <c r="Q439" s="355"/>
      <c r="R439" s="299"/>
      <c r="S439" s="355"/>
      <c r="T439" s="355"/>
      <c r="U439" s="355"/>
      <c r="V439" s="355"/>
      <c r="W439" s="355"/>
      <c r="X439" s="1137"/>
      <c r="Y439" s="1126"/>
      <c r="Z439" s="1126"/>
      <c r="AA439" s="1126"/>
      <c r="AB439" s="1126"/>
      <c r="AC439" s="1126"/>
      <c r="AD439" s="1126"/>
      <c r="AE439" s="1126"/>
      <c r="AF439" s="1126"/>
      <c r="AG439" s="1126"/>
    </row>
    <row r="440" spans="1:33" ht="57" customHeight="1">
      <c r="A440" s="1442">
        <v>3222</v>
      </c>
      <c r="B440" s="561" t="s">
        <v>575</v>
      </c>
      <c r="C440" s="824" t="s">
        <v>576</v>
      </c>
      <c r="D440" s="1391"/>
      <c r="E440" s="294">
        <f>10+5</f>
        <v>15</v>
      </c>
      <c r="F440" s="829">
        <v>43313</v>
      </c>
      <c r="G440" s="829">
        <f>+E440+F440</f>
        <v>43328</v>
      </c>
      <c r="H440" s="1391" t="s">
        <v>555</v>
      </c>
      <c r="I440" s="294" t="s">
        <v>577</v>
      </c>
      <c r="J440" s="307" t="s">
        <v>578</v>
      </c>
      <c r="K440" s="1546" t="s">
        <v>268</v>
      </c>
      <c r="L440" s="1237"/>
      <c r="M440" s="326"/>
      <c r="N440" s="294"/>
      <c r="O440" s="487">
        <v>6667</v>
      </c>
      <c r="P440" s="294">
        <v>1</v>
      </c>
      <c r="Q440" s="555">
        <f>O440*P440</f>
        <v>6667</v>
      </c>
      <c r="R440" s="518"/>
      <c r="S440" s="487"/>
      <c r="T440" s="487"/>
      <c r="U440" s="487"/>
      <c r="V440" s="487"/>
      <c r="W440" s="357"/>
      <c r="X440" s="1140">
        <v>6667</v>
      </c>
      <c r="Y440" s="1156"/>
      <c r="Z440" s="1156"/>
      <c r="AA440" s="1156"/>
      <c r="AB440" s="1156"/>
      <c r="AC440" s="1156"/>
      <c r="AD440" s="1156"/>
      <c r="AE440" s="1156"/>
      <c r="AF440" s="1156"/>
      <c r="AG440" s="1156"/>
    </row>
    <row r="441" spans="1:33">
      <c r="A441" s="1442">
        <v>3222</v>
      </c>
      <c r="B441" s="561" t="s">
        <v>575</v>
      </c>
      <c r="C441" s="824" t="s">
        <v>579</v>
      </c>
      <c r="D441" s="294" t="s">
        <v>514</v>
      </c>
      <c r="E441" s="294">
        <v>45</v>
      </c>
      <c r="F441" s="829">
        <v>43194</v>
      </c>
      <c r="G441" s="829">
        <f>+F441+E441</f>
        <v>43239</v>
      </c>
      <c r="H441" s="1391" t="s">
        <v>555</v>
      </c>
      <c r="I441" s="294" t="s">
        <v>169</v>
      </c>
      <c r="J441" s="307"/>
      <c r="K441" s="326" t="s">
        <v>302</v>
      </c>
      <c r="L441" s="1237">
        <v>23173</v>
      </c>
      <c r="M441" s="326"/>
      <c r="N441" s="294"/>
      <c r="O441" s="355">
        <f>O431</f>
        <v>202.6</v>
      </c>
      <c r="P441" s="294">
        <f>1</f>
        <v>1</v>
      </c>
      <c r="Q441" s="355">
        <f>+O441*P441</f>
        <v>202.6</v>
      </c>
      <c r="R441" s="299"/>
      <c r="S441" s="355"/>
      <c r="T441" s="355"/>
      <c r="U441" s="355"/>
      <c r="V441" s="355"/>
      <c r="W441" s="355"/>
      <c r="X441" s="1137"/>
      <c r="Y441" s="1126"/>
      <c r="Z441" s="1126"/>
      <c r="AA441" s="1126"/>
      <c r="AB441" s="1126"/>
      <c r="AC441" s="1126"/>
      <c r="AD441" s="1126"/>
      <c r="AE441" s="1126"/>
      <c r="AF441" s="1126"/>
      <c r="AG441" s="1126"/>
    </row>
    <row r="442" spans="1:33">
      <c r="A442" s="1442">
        <v>3222</v>
      </c>
      <c r="B442" s="561" t="s">
        <v>575</v>
      </c>
      <c r="C442" s="824" t="s">
        <v>560</v>
      </c>
      <c r="D442" s="1391"/>
      <c r="E442" s="294">
        <v>10</v>
      </c>
      <c r="F442" s="829">
        <v>43313</v>
      </c>
      <c r="G442" s="829">
        <f>+F442+E442</f>
        <v>43323</v>
      </c>
      <c r="H442" s="1391" t="s">
        <v>555</v>
      </c>
      <c r="I442" s="294" t="s">
        <v>177</v>
      </c>
      <c r="J442" s="307"/>
      <c r="K442" s="326" t="s">
        <v>561</v>
      </c>
      <c r="L442" s="1237"/>
      <c r="M442" s="326"/>
      <c r="N442" s="294"/>
      <c r="O442" s="355">
        <f>O432</f>
        <v>4064</v>
      </c>
      <c r="P442" s="294">
        <f>1</f>
        <v>1</v>
      </c>
      <c r="Q442" s="355">
        <f>+O442*P442</f>
        <v>4064</v>
      </c>
      <c r="R442" s="299"/>
      <c r="S442" s="355"/>
      <c r="T442" s="355"/>
      <c r="U442" s="355"/>
      <c r="V442" s="355"/>
      <c r="W442" s="355"/>
      <c r="X442" s="1137"/>
      <c r="Y442" s="1126"/>
      <c r="Z442" s="1126"/>
      <c r="AA442" s="1126"/>
      <c r="AB442" s="1126"/>
      <c r="AC442" s="1126"/>
      <c r="AD442" s="1126"/>
      <c r="AE442" s="1126"/>
      <c r="AF442" s="1126"/>
      <c r="AG442" s="1126"/>
    </row>
    <row r="443" spans="1:33">
      <c r="A443" s="1442">
        <v>3222</v>
      </c>
      <c r="B443" s="561" t="s">
        <v>575</v>
      </c>
      <c r="C443" s="824" t="s">
        <v>562</v>
      </c>
      <c r="D443" s="1391"/>
      <c r="E443" s="294">
        <f>10</f>
        <v>10</v>
      </c>
      <c r="F443" s="829">
        <v>43313</v>
      </c>
      <c r="G443" s="829">
        <f>+F443+E443</f>
        <v>43323</v>
      </c>
      <c r="H443" s="1391" t="s">
        <v>555</v>
      </c>
      <c r="I443" s="294" t="s">
        <v>177</v>
      </c>
      <c r="J443" s="307"/>
      <c r="K443" s="326" t="s">
        <v>563</v>
      </c>
      <c r="L443" s="1237"/>
      <c r="M443" s="326"/>
      <c r="N443" s="294"/>
      <c r="O443" s="355">
        <f>O433</f>
        <v>1640</v>
      </c>
      <c r="P443" s="294">
        <f>1</f>
        <v>1</v>
      </c>
      <c r="Q443" s="355">
        <f>+O443*P443</f>
        <v>1640</v>
      </c>
      <c r="R443" s="299"/>
      <c r="S443" s="355"/>
      <c r="T443" s="355"/>
      <c r="U443" s="355"/>
      <c r="V443" s="355"/>
      <c r="W443" s="355"/>
      <c r="X443" s="1137"/>
      <c r="Y443" s="1126"/>
      <c r="Z443" s="1126"/>
      <c r="AA443" s="1126"/>
      <c r="AB443" s="1126"/>
      <c r="AC443" s="1126"/>
      <c r="AD443" s="1126"/>
      <c r="AE443" s="1126"/>
      <c r="AF443" s="1126"/>
      <c r="AG443" s="1126"/>
    </row>
    <row r="444" spans="1:33">
      <c r="A444" s="1442">
        <v>3222</v>
      </c>
      <c r="B444" s="561" t="s">
        <v>575</v>
      </c>
      <c r="C444" s="824" t="s">
        <v>564</v>
      </c>
      <c r="D444" s="1391"/>
      <c r="E444" s="294">
        <f>10</f>
        <v>10</v>
      </c>
      <c r="F444" s="829">
        <v>43313</v>
      </c>
      <c r="G444" s="829">
        <f>+F444+E444</f>
        <v>43323</v>
      </c>
      <c r="H444" s="1391" t="s">
        <v>555</v>
      </c>
      <c r="I444" s="294" t="s">
        <v>177</v>
      </c>
      <c r="J444" s="307"/>
      <c r="K444" s="326" t="s">
        <v>565</v>
      </c>
      <c r="L444" s="1237"/>
      <c r="M444" s="326"/>
      <c r="N444" s="294"/>
      <c r="O444" s="355">
        <f>O434</f>
        <v>426.73333333333335</v>
      </c>
      <c r="P444" s="294">
        <f>1</f>
        <v>1</v>
      </c>
      <c r="Q444" s="355">
        <f>+O444*P444</f>
        <v>426.73333333333335</v>
      </c>
      <c r="R444" s="299"/>
      <c r="S444" s="355"/>
      <c r="T444" s="355"/>
      <c r="U444" s="355"/>
      <c r="V444" s="355"/>
      <c r="W444" s="355"/>
      <c r="X444" s="1137"/>
      <c r="Y444" s="1126"/>
      <c r="Z444" s="1126"/>
      <c r="AA444" s="1126"/>
      <c r="AB444" s="1126"/>
      <c r="AC444" s="1126"/>
      <c r="AD444" s="1126"/>
      <c r="AE444" s="1126"/>
      <c r="AF444" s="1126"/>
      <c r="AG444" s="1126"/>
    </row>
    <row r="445" spans="1:33">
      <c r="A445" s="1442">
        <v>3222</v>
      </c>
      <c r="B445" s="561" t="s">
        <v>575</v>
      </c>
      <c r="C445" s="824" t="s">
        <v>566</v>
      </c>
      <c r="D445" s="1391"/>
      <c r="E445" s="294">
        <f>10</f>
        <v>10</v>
      </c>
      <c r="F445" s="829">
        <v>43313</v>
      </c>
      <c r="G445" s="829">
        <f>+F445+E445</f>
        <v>43323</v>
      </c>
      <c r="H445" s="1391" t="s">
        <v>555</v>
      </c>
      <c r="I445" s="294" t="s">
        <v>169</v>
      </c>
      <c r="J445" s="307" t="s">
        <v>177</v>
      </c>
      <c r="K445" s="326" t="s">
        <v>486</v>
      </c>
      <c r="L445" s="1237"/>
      <c r="M445" s="326"/>
      <c r="N445" s="294"/>
      <c r="O445" s="355">
        <f>O435</f>
        <v>333.33333333333331</v>
      </c>
      <c r="P445" s="294">
        <f>1</f>
        <v>1</v>
      </c>
      <c r="Q445" s="355">
        <f>+O445*P445</f>
        <v>333.33333333333331</v>
      </c>
      <c r="R445" s="299"/>
      <c r="S445" s="355"/>
      <c r="T445" s="355"/>
      <c r="U445" s="355"/>
      <c r="V445" s="355"/>
      <c r="W445" s="355"/>
      <c r="X445" s="1137"/>
      <c r="Y445" s="1126"/>
      <c r="Z445" s="1126"/>
      <c r="AA445" s="1126"/>
      <c r="AB445" s="1126"/>
      <c r="AC445" s="1126"/>
      <c r="AD445" s="1126"/>
      <c r="AE445" s="1126"/>
      <c r="AF445" s="1126"/>
      <c r="AG445" s="1126"/>
    </row>
    <row r="446" spans="1:33" ht="31.5">
      <c r="A446" s="1442">
        <v>3223</v>
      </c>
      <c r="B446" s="291" t="s">
        <v>580</v>
      </c>
      <c r="C446" s="824" t="s">
        <v>581</v>
      </c>
      <c r="D446" s="1391"/>
      <c r="E446" s="294">
        <v>45</v>
      </c>
      <c r="F446" s="829">
        <v>43332</v>
      </c>
      <c r="G446" s="829">
        <f>+E446+F446</f>
        <v>43377</v>
      </c>
      <c r="H446" s="1391" t="s">
        <v>555</v>
      </c>
      <c r="I446" s="294" t="s">
        <v>582</v>
      </c>
      <c r="J446" s="552" t="s">
        <v>177</v>
      </c>
      <c r="K446" s="1547"/>
      <c r="L446" s="1237"/>
      <c r="M446" s="326"/>
      <c r="N446" s="294"/>
      <c r="O446" s="487"/>
      <c r="P446" s="294"/>
      <c r="Q446" s="487"/>
      <c r="R446" s="518"/>
      <c r="S446" s="487"/>
      <c r="T446" s="487"/>
      <c r="U446" s="487"/>
      <c r="V446" s="487"/>
      <c r="W446" s="487"/>
      <c r="X446" s="1138"/>
      <c r="Y446" s="1156"/>
      <c r="Z446" s="1156"/>
      <c r="AA446" s="1156"/>
      <c r="AB446" s="1156"/>
      <c r="AC446" s="1156"/>
      <c r="AD446" s="1156"/>
      <c r="AE446" s="1156"/>
      <c r="AF446" s="1156"/>
      <c r="AG446" s="1156"/>
    </row>
    <row r="447" spans="1:33">
      <c r="A447" s="1533">
        <v>3224</v>
      </c>
      <c r="B447" s="291" t="s">
        <v>583</v>
      </c>
      <c r="C447" s="824" t="s">
        <v>584</v>
      </c>
      <c r="D447" s="1396"/>
      <c r="E447" s="1391">
        <v>5</v>
      </c>
      <c r="F447" s="829">
        <v>43381</v>
      </c>
      <c r="G447" s="829">
        <f>+F447+E447</f>
        <v>43386</v>
      </c>
      <c r="H447" s="1391" t="s">
        <v>555</v>
      </c>
      <c r="I447" s="294" t="s">
        <v>169</v>
      </c>
      <c r="J447" s="307" t="s">
        <v>177</v>
      </c>
      <c r="K447" s="326"/>
      <c r="L447" s="1237"/>
      <c r="M447" s="326"/>
      <c r="N447" s="294"/>
      <c r="O447" s="487">
        <v>1000</v>
      </c>
      <c r="P447" s="294">
        <v>1</v>
      </c>
      <c r="Q447" s="555">
        <f>+O447*P447</f>
        <v>1000</v>
      </c>
      <c r="R447" s="518"/>
      <c r="S447" s="487"/>
      <c r="T447" s="487"/>
      <c r="U447" s="487"/>
      <c r="V447" s="487"/>
      <c r="W447" s="487"/>
      <c r="X447" s="563"/>
      <c r="Y447" s="1156"/>
      <c r="Z447" s="1156">
        <v>1000</v>
      </c>
      <c r="AA447" s="1156"/>
      <c r="AB447" s="1156"/>
      <c r="AC447" s="1156"/>
      <c r="AD447" s="1156"/>
      <c r="AE447" s="1156"/>
      <c r="AF447" s="1156"/>
      <c r="AG447" s="1158">
        <v>1000</v>
      </c>
    </row>
    <row r="448" spans="1:33" ht="16.5" customHeight="1">
      <c r="A448" s="1275">
        <v>323</v>
      </c>
      <c r="B448" s="508" t="s">
        <v>585</v>
      </c>
      <c r="C448" s="1559"/>
      <c r="D448" s="822"/>
      <c r="E448" s="822"/>
      <c r="F448" s="822"/>
      <c r="G448" s="822"/>
      <c r="H448" s="822"/>
      <c r="I448" s="822"/>
      <c r="J448" s="283"/>
      <c r="K448" s="1278"/>
      <c r="L448" s="1279"/>
      <c r="M448" s="1280"/>
      <c r="N448" s="1277"/>
      <c r="O448" s="1395"/>
      <c r="P448" s="1277"/>
      <c r="Q448" s="1282">
        <f>+Q450+Q457+Q461</f>
        <v>14314.71</v>
      </c>
      <c r="R448" s="287"/>
      <c r="S448" s="1282">
        <f t="shared" ref="S448:AF448" si="121">+S450+S457+S461</f>
        <v>0</v>
      </c>
      <c r="T448" s="1282">
        <f t="shared" si="121"/>
        <v>0</v>
      </c>
      <c r="U448" s="1282">
        <f t="shared" si="121"/>
        <v>0</v>
      </c>
      <c r="V448" s="1282">
        <f t="shared" si="121"/>
        <v>0</v>
      </c>
      <c r="W448" s="1282">
        <f t="shared" si="121"/>
        <v>5670.2966666666662</v>
      </c>
      <c r="X448" s="1282">
        <f t="shared" si="121"/>
        <v>0</v>
      </c>
      <c r="Y448" s="1282">
        <f t="shared" si="121"/>
        <v>8644.4133333333339</v>
      </c>
      <c r="Z448" s="546">
        <f t="shared" si="121"/>
        <v>0</v>
      </c>
      <c r="AA448" s="546">
        <f t="shared" si="121"/>
        <v>0</v>
      </c>
      <c r="AB448" s="546">
        <f t="shared" si="121"/>
        <v>0</v>
      </c>
      <c r="AC448" s="546">
        <f t="shared" si="121"/>
        <v>0</v>
      </c>
      <c r="AD448" s="546">
        <f t="shared" si="121"/>
        <v>0</v>
      </c>
      <c r="AE448" s="546">
        <f t="shared" si="121"/>
        <v>0</v>
      </c>
      <c r="AF448" s="546">
        <f t="shared" si="121"/>
        <v>0</v>
      </c>
      <c r="AG448" s="1051">
        <f>SUM(S448:AF448)</f>
        <v>14314.71</v>
      </c>
    </row>
    <row r="449" spans="1:33">
      <c r="A449" s="1398">
        <v>3231</v>
      </c>
      <c r="B449" s="291" t="s">
        <v>586</v>
      </c>
      <c r="C449" s="824" t="s">
        <v>587</v>
      </c>
      <c r="D449" s="1391"/>
      <c r="E449" s="294">
        <v>30</v>
      </c>
      <c r="F449" s="829">
        <v>43159</v>
      </c>
      <c r="G449" s="829">
        <f>+F449+E449</f>
        <v>43189</v>
      </c>
      <c r="H449" s="1391"/>
      <c r="I449" s="294" t="s">
        <v>177</v>
      </c>
      <c r="J449" s="307"/>
      <c r="K449" s="326"/>
      <c r="L449" s="1237"/>
      <c r="M449" s="326"/>
      <c r="N449" s="294"/>
      <c r="O449" s="355"/>
      <c r="P449" s="294"/>
      <c r="Q449" s="355"/>
      <c r="R449" s="299"/>
      <c r="S449" s="355"/>
      <c r="T449" s="355"/>
      <c r="U449" s="355"/>
      <c r="V449" s="355"/>
      <c r="W449" s="355"/>
      <c r="X449" s="1137"/>
      <c r="Y449" s="1126"/>
      <c r="Z449" s="1124"/>
      <c r="AA449" s="1124"/>
      <c r="AB449" s="1124"/>
      <c r="AC449" s="1124"/>
      <c r="AD449" s="1124"/>
      <c r="AE449" s="1124"/>
      <c r="AF449" s="1124"/>
      <c r="AG449" s="1126"/>
    </row>
    <row r="450" spans="1:33" ht="66" customHeight="1">
      <c r="A450" s="1398">
        <v>3232</v>
      </c>
      <c r="B450" s="291" t="s">
        <v>588</v>
      </c>
      <c r="C450" s="824" t="s">
        <v>589</v>
      </c>
      <c r="D450" s="1391"/>
      <c r="E450" s="294">
        <v>11</v>
      </c>
      <c r="F450" s="829">
        <v>43287</v>
      </c>
      <c r="G450" s="829">
        <f t="shared" ref="G450:G455" si="122">+F450+E450</f>
        <v>43298</v>
      </c>
      <c r="H450" s="1391"/>
      <c r="I450" s="294" t="s">
        <v>177</v>
      </c>
      <c r="J450" s="307" t="s">
        <v>590</v>
      </c>
      <c r="K450" s="326"/>
      <c r="L450" s="1237"/>
      <c r="M450" s="326"/>
      <c r="N450" s="294"/>
      <c r="O450" s="487">
        <v>5293</v>
      </c>
      <c r="P450" s="294">
        <v>1</v>
      </c>
      <c r="Q450" s="555">
        <f>SUM(Q451:Q456)</f>
        <v>5670.2966666666662</v>
      </c>
      <c r="R450" s="518"/>
      <c r="S450" s="487"/>
      <c r="T450" s="487"/>
      <c r="U450" s="487"/>
      <c r="V450" s="487"/>
      <c r="W450" s="565">
        <f>+Q450</f>
        <v>5670.2966666666662</v>
      </c>
      <c r="X450" s="1581"/>
      <c r="Y450" s="1156"/>
      <c r="Z450" s="1124"/>
      <c r="AA450" s="1124"/>
      <c r="AB450" s="1124"/>
      <c r="AC450" s="1124"/>
      <c r="AD450" s="1124"/>
      <c r="AE450" s="1124"/>
      <c r="AF450" s="1124"/>
      <c r="AG450" s="1156"/>
    </row>
    <row r="451" spans="1:33">
      <c r="A451" s="1398">
        <v>3232</v>
      </c>
      <c r="B451" s="291" t="s">
        <v>588</v>
      </c>
      <c r="C451" s="824" t="s">
        <v>579</v>
      </c>
      <c r="D451" s="341"/>
      <c r="E451" s="294">
        <v>45</v>
      </c>
      <c r="F451" s="829">
        <v>43194</v>
      </c>
      <c r="G451" s="829">
        <f>+F451+E451</f>
        <v>43239</v>
      </c>
      <c r="H451" s="1391"/>
      <c r="I451" s="294" t="s">
        <v>169</v>
      </c>
      <c r="J451" s="307" t="s">
        <v>177</v>
      </c>
      <c r="K451" s="326" t="s">
        <v>302</v>
      </c>
      <c r="L451" s="1237"/>
      <c r="M451" s="326"/>
      <c r="N451" s="294"/>
      <c r="O451" s="355">
        <f>'[4]BUDGET CAPITALISATION'!$D$29</f>
        <v>79.5</v>
      </c>
      <c r="P451" s="294">
        <v>1</v>
      </c>
      <c r="Q451" s="355">
        <f t="shared" ref="Q451:Q466" si="123">+O451*P451</f>
        <v>79.5</v>
      </c>
      <c r="R451" s="299"/>
      <c r="S451" s="355"/>
      <c r="T451" s="355"/>
      <c r="U451" s="355"/>
      <c r="V451" s="355"/>
      <c r="W451" s="355"/>
      <c r="X451" s="1137"/>
      <c r="Y451" s="1126"/>
      <c r="Z451" s="1124"/>
      <c r="AA451" s="1124"/>
      <c r="AB451" s="1124"/>
      <c r="AC451" s="1124"/>
      <c r="AD451" s="1124"/>
      <c r="AE451" s="1124"/>
      <c r="AF451" s="1124"/>
      <c r="AG451" s="1126"/>
    </row>
    <row r="452" spans="1:33">
      <c r="A452" s="1398">
        <v>3232</v>
      </c>
      <c r="B452" s="291" t="s">
        <v>588</v>
      </c>
      <c r="C452" s="824" t="s">
        <v>560</v>
      </c>
      <c r="D452" s="1391"/>
      <c r="E452" s="294">
        <v>6</v>
      </c>
      <c r="F452" s="829">
        <v>43287</v>
      </c>
      <c r="G452" s="829">
        <f t="shared" si="122"/>
        <v>43293</v>
      </c>
      <c r="H452" s="1391"/>
      <c r="I452" s="294" t="s">
        <v>177</v>
      </c>
      <c r="J452" s="307"/>
      <c r="K452" s="326" t="s">
        <v>561</v>
      </c>
      <c r="L452" s="1237"/>
      <c r="M452" s="326"/>
      <c r="N452" s="294"/>
      <c r="O452" s="355">
        <f>'[4]BUDGET CAPITALISATION'!$D$26</f>
        <v>2400</v>
      </c>
      <c r="P452" s="294">
        <v>1</v>
      </c>
      <c r="Q452" s="355">
        <f t="shared" si="123"/>
        <v>2400</v>
      </c>
      <c r="R452" s="299"/>
      <c r="S452" s="355"/>
      <c r="T452" s="355"/>
      <c r="U452" s="355"/>
      <c r="V452" s="355"/>
      <c r="W452" s="355"/>
      <c r="X452" s="1137"/>
      <c r="Y452" s="1126"/>
      <c r="Z452" s="1124"/>
      <c r="AA452" s="1124"/>
      <c r="AB452" s="1124"/>
      <c r="AC452" s="1124"/>
      <c r="AD452" s="1124"/>
      <c r="AE452" s="1124"/>
      <c r="AF452" s="1124"/>
      <c r="AG452" s="1126"/>
    </row>
    <row r="453" spans="1:33" ht="36" customHeight="1">
      <c r="A453" s="1398">
        <v>3232</v>
      </c>
      <c r="B453" s="291" t="s">
        <v>588</v>
      </c>
      <c r="C453" s="824" t="s">
        <v>562</v>
      </c>
      <c r="D453" s="1391"/>
      <c r="E453" s="294">
        <v>6</v>
      </c>
      <c r="F453" s="829">
        <v>43287</v>
      </c>
      <c r="G453" s="829">
        <f t="shared" si="122"/>
        <v>43293</v>
      </c>
      <c r="H453" s="1391"/>
      <c r="I453" s="294" t="s">
        <v>177</v>
      </c>
      <c r="J453" s="307"/>
      <c r="K453" s="326" t="s">
        <v>563</v>
      </c>
      <c r="L453" s="1237"/>
      <c r="M453" s="326"/>
      <c r="N453" s="294"/>
      <c r="O453" s="355">
        <f>'[4]BUDGET CAPITALISATION'!$D$27</f>
        <v>1973.3333333333333</v>
      </c>
      <c r="P453" s="294">
        <v>1</v>
      </c>
      <c r="Q453" s="355">
        <f t="shared" si="123"/>
        <v>1973.3333333333333</v>
      </c>
      <c r="R453" s="299"/>
      <c r="S453" s="355"/>
      <c r="T453" s="355"/>
      <c r="U453" s="355"/>
      <c r="V453" s="355"/>
      <c r="W453" s="355"/>
      <c r="X453" s="1137"/>
      <c r="Y453" s="1126"/>
      <c r="Z453" s="1124"/>
      <c r="AA453" s="1124"/>
      <c r="AB453" s="1124"/>
      <c r="AC453" s="1124"/>
      <c r="AD453" s="1124"/>
      <c r="AE453" s="1124"/>
      <c r="AF453" s="1124"/>
      <c r="AG453" s="1126"/>
    </row>
    <row r="454" spans="1:33" ht="36" customHeight="1">
      <c r="A454" s="1398">
        <v>3232</v>
      </c>
      <c r="B454" s="291" t="s">
        <v>588</v>
      </c>
      <c r="C454" s="824" t="s">
        <v>564</v>
      </c>
      <c r="D454" s="1391"/>
      <c r="E454" s="294">
        <v>6</v>
      </c>
      <c r="F454" s="829">
        <v>43287</v>
      </c>
      <c r="G454" s="829">
        <f t="shared" si="122"/>
        <v>43293</v>
      </c>
      <c r="H454" s="1391"/>
      <c r="I454" s="294" t="s">
        <v>177</v>
      </c>
      <c r="J454" s="307"/>
      <c r="K454" s="326" t="s">
        <v>565</v>
      </c>
      <c r="L454" s="1237"/>
      <c r="M454" s="326"/>
      <c r="N454" s="294"/>
      <c r="O454" s="355">
        <f>'[4]BUDGET CAPITALISATION'!$D$28</f>
        <v>340.13333333333333</v>
      </c>
      <c r="P454" s="294">
        <v>1</v>
      </c>
      <c r="Q454" s="355">
        <f t="shared" si="123"/>
        <v>340.13333333333333</v>
      </c>
      <c r="R454" s="299"/>
      <c r="S454" s="355"/>
      <c r="T454" s="355"/>
      <c r="U454" s="355"/>
      <c r="V454" s="355"/>
      <c r="W454" s="355"/>
      <c r="X454" s="1137"/>
      <c r="Y454" s="1126"/>
      <c r="Z454" s="1124"/>
      <c r="AA454" s="1124"/>
      <c r="AB454" s="1124"/>
      <c r="AC454" s="1124"/>
      <c r="AD454" s="1124"/>
      <c r="AE454" s="1124"/>
      <c r="AF454" s="1124"/>
      <c r="AG454" s="1126"/>
    </row>
    <row r="455" spans="1:33" ht="36" customHeight="1">
      <c r="A455" s="1398">
        <v>3232</v>
      </c>
      <c r="B455" s="291" t="s">
        <v>588</v>
      </c>
      <c r="C455" s="824" t="s">
        <v>566</v>
      </c>
      <c r="D455" s="1391"/>
      <c r="E455" s="294">
        <v>6</v>
      </c>
      <c r="F455" s="829">
        <v>43287</v>
      </c>
      <c r="G455" s="829">
        <f t="shared" si="122"/>
        <v>43293</v>
      </c>
      <c r="H455" s="1391"/>
      <c r="I455" s="294" t="s">
        <v>169</v>
      </c>
      <c r="J455" s="307" t="s">
        <v>177</v>
      </c>
      <c r="K455" s="326" t="s">
        <v>486</v>
      </c>
      <c r="L455" s="1237"/>
      <c r="M455" s="326"/>
      <c r="N455" s="294"/>
      <c r="O455" s="355">
        <f>'[4]BUDGET CAPITALISATION'!$D$30</f>
        <v>500</v>
      </c>
      <c r="P455" s="294">
        <v>1</v>
      </c>
      <c r="Q455" s="355">
        <f t="shared" si="123"/>
        <v>500</v>
      </c>
      <c r="R455" s="299"/>
      <c r="S455" s="355"/>
      <c r="T455" s="355"/>
      <c r="U455" s="355"/>
      <c r="V455" s="355"/>
      <c r="W455" s="355"/>
      <c r="X455" s="1137"/>
      <c r="Y455" s="1126"/>
      <c r="Z455" s="1124"/>
      <c r="AA455" s="1124"/>
      <c r="AB455" s="1124"/>
      <c r="AC455" s="1124"/>
      <c r="AD455" s="1124"/>
      <c r="AE455" s="1124"/>
      <c r="AF455" s="1124"/>
      <c r="AG455" s="1126"/>
    </row>
    <row r="456" spans="1:33">
      <c r="A456" s="1398">
        <v>3232</v>
      </c>
      <c r="B456" s="291" t="s">
        <v>588</v>
      </c>
      <c r="C456" s="824" t="s">
        <v>591</v>
      </c>
      <c r="D456" s="341" t="s">
        <v>514</v>
      </c>
      <c r="E456" s="294">
        <v>45</v>
      </c>
      <c r="F456" s="829">
        <v>43298</v>
      </c>
      <c r="G456" s="829">
        <f t="shared" ref="G456:G466" si="124">+F456+E456</f>
        <v>43343</v>
      </c>
      <c r="H456" s="1391"/>
      <c r="I456" s="294" t="s">
        <v>169</v>
      </c>
      <c r="J456" s="307" t="s">
        <v>177</v>
      </c>
      <c r="K456" s="326"/>
      <c r="L456" s="1237"/>
      <c r="M456" s="326"/>
      <c r="N456" s="294"/>
      <c r="O456" s="355">
        <v>377.33</v>
      </c>
      <c r="P456" s="294">
        <v>1</v>
      </c>
      <c r="Q456" s="355">
        <f t="shared" si="123"/>
        <v>377.33</v>
      </c>
      <c r="R456" s="299"/>
      <c r="S456" s="355"/>
      <c r="T456" s="355"/>
      <c r="U456" s="355"/>
      <c r="V456" s="355"/>
      <c r="W456" s="355"/>
      <c r="X456" s="1183">
        <f>+Q456</f>
        <v>377.33</v>
      </c>
      <c r="Y456" s="1126"/>
      <c r="Z456" s="1124"/>
      <c r="AA456" s="1124"/>
      <c r="AB456" s="1124"/>
      <c r="AC456" s="1124"/>
      <c r="AD456" s="1124"/>
      <c r="AE456" s="1124"/>
      <c r="AF456" s="1124"/>
      <c r="AG456" s="1126"/>
    </row>
    <row r="457" spans="1:33" ht="15.75" customHeight="1">
      <c r="A457" s="1398">
        <v>3233</v>
      </c>
      <c r="B457" s="567" t="s">
        <v>458</v>
      </c>
      <c r="C457" s="824" t="s">
        <v>592</v>
      </c>
      <c r="D457" s="1391"/>
      <c r="E457" s="1391">
        <v>14</v>
      </c>
      <c r="F457" s="829">
        <v>43346</v>
      </c>
      <c r="G457" s="829">
        <f t="shared" si="124"/>
        <v>43360</v>
      </c>
      <c r="H457" s="1391"/>
      <c r="I457" s="294" t="s">
        <v>177</v>
      </c>
      <c r="J457" s="307"/>
      <c r="K457" s="326"/>
      <c r="L457" s="1237"/>
      <c r="M457" s="326"/>
      <c r="N457" s="294"/>
      <c r="O457" s="487">
        <f>+SUM(O458:O460)</f>
        <v>4410.4133333333339</v>
      </c>
      <c r="P457" s="294">
        <v>1</v>
      </c>
      <c r="Q457" s="555">
        <f t="shared" si="123"/>
        <v>4410.4133333333339</v>
      </c>
      <c r="R457" s="518"/>
      <c r="S457" s="487"/>
      <c r="T457" s="487"/>
      <c r="U457" s="487"/>
      <c r="V457" s="487"/>
      <c r="W457" s="487"/>
      <c r="X457" s="1138"/>
      <c r="Y457" s="1156">
        <f>O457</f>
        <v>4410.4133333333339</v>
      </c>
      <c r="Z457" s="1124"/>
      <c r="AA457" s="1124"/>
      <c r="AB457" s="1124"/>
      <c r="AC457" s="1124"/>
      <c r="AD457" s="1124"/>
      <c r="AE457" s="1124"/>
      <c r="AF457" s="1124"/>
      <c r="AG457" s="1158"/>
    </row>
    <row r="458" spans="1:33" ht="15.75" customHeight="1">
      <c r="A458" s="1398">
        <v>3233</v>
      </c>
      <c r="B458" s="567" t="s">
        <v>458</v>
      </c>
      <c r="C458" s="824" t="s">
        <v>560</v>
      </c>
      <c r="D458" s="1391"/>
      <c r="E458" s="1391">
        <v>9</v>
      </c>
      <c r="F458" s="829">
        <v>43346</v>
      </c>
      <c r="G458" s="829">
        <f t="shared" si="124"/>
        <v>43355</v>
      </c>
      <c r="H458" s="1391"/>
      <c r="I458" s="294"/>
      <c r="J458" s="307"/>
      <c r="K458" s="326" t="s">
        <v>561</v>
      </c>
      <c r="L458" s="1237"/>
      <c r="M458" s="326"/>
      <c r="N458" s="294"/>
      <c r="O458" s="487">
        <f>'[4]BUDGET TESTING'!$D$35</f>
        <v>2546</v>
      </c>
      <c r="P458" s="294">
        <v>1</v>
      </c>
      <c r="Q458" s="355">
        <f t="shared" si="123"/>
        <v>2546</v>
      </c>
      <c r="R458" s="299"/>
      <c r="S458" s="355"/>
      <c r="T458" s="355"/>
      <c r="U458" s="355"/>
      <c r="V458" s="355"/>
      <c r="W458" s="355"/>
      <c r="X458" s="1137"/>
      <c r="Y458" s="1126"/>
      <c r="Z458" s="1124"/>
      <c r="AA458" s="1124"/>
      <c r="AB458" s="1124"/>
      <c r="AC458" s="1124"/>
      <c r="AD458" s="1124"/>
      <c r="AE458" s="1124"/>
      <c r="AF458" s="1124"/>
      <c r="AG458" s="1126"/>
    </row>
    <row r="459" spans="1:33" ht="15.75" customHeight="1">
      <c r="A459" s="1398">
        <v>3233</v>
      </c>
      <c r="B459" s="567" t="s">
        <v>458</v>
      </c>
      <c r="C459" s="824" t="s">
        <v>562</v>
      </c>
      <c r="D459" s="1391"/>
      <c r="E459" s="1391">
        <v>9</v>
      </c>
      <c r="F459" s="829">
        <v>43346</v>
      </c>
      <c r="G459" s="829">
        <f t="shared" si="124"/>
        <v>43355</v>
      </c>
      <c r="H459" s="1391"/>
      <c r="I459" s="294"/>
      <c r="J459" s="307"/>
      <c r="K459" s="326" t="s">
        <v>563</v>
      </c>
      <c r="L459" s="1237"/>
      <c r="M459" s="326"/>
      <c r="N459" s="294"/>
      <c r="O459" s="487">
        <f>'[4]BUDGET TESTING'!$D$36</f>
        <v>1306.6666666666667</v>
      </c>
      <c r="P459" s="294">
        <v>1</v>
      </c>
      <c r="Q459" s="355">
        <f t="shared" si="123"/>
        <v>1306.6666666666667</v>
      </c>
      <c r="R459" s="299"/>
      <c r="S459" s="355"/>
      <c r="T459" s="355"/>
      <c r="U459" s="355"/>
      <c r="V459" s="355"/>
      <c r="W459" s="355"/>
      <c r="X459" s="1137"/>
      <c r="Y459" s="1126"/>
      <c r="Z459" s="1124"/>
      <c r="AA459" s="1124"/>
      <c r="AB459" s="1124"/>
      <c r="AC459" s="1124"/>
      <c r="AD459" s="1124"/>
      <c r="AE459" s="1124"/>
      <c r="AF459" s="1124"/>
      <c r="AG459" s="1126"/>
    </row>
    <row r="460" spans="1:33" ht="15.75" customHeight="1">
      <c r="A460" s="1398">
        <v>3233</v>
      </c>
      <c r="B460" s="567" t="s">
        <v>458</v>
      </c>
      <c r="C460" s="824" t="s">
        <v>564</v>
      </c>
      <c r="D460" s="1391"/>
      <c r="E460" s="1391">
        <v>9</v>
      </c>
      <c r="F460" s="829">
        <v>43346</v>
      </c>
      <c r="G460" s="829">
        <f t="shared" si="124"/>
        <v>43355</v>
      </c>
      <c r="H460" s="1391"/>
      <c r="I460" s="294"/>
      <c r="J460" s="307"/>
      <c r="K460" s="326" t="s">
        <v>565</v>
      </c>
      <c r="L460" s="1237"/>
      <c r="M460" s="326"/>
      <c r="N460" s="294"/>
      <c r="O460" s="487">
        <f>'[4]BUDGET TESTING'!$D$37</f>
        <v>557.74666666666667</v>
      </c>
      <c r="P460" s="294">
        <v>1</v>
      </c>
      <c r="Q460" s="355">
        <f t="shared" si="123"/>
        <v>557.74666666666667</v>
      </c>
      <c r="R460" s="299"/>
      <c r="S460" s="355"/>
      <c r="T460" s="355"/>
      <c r="U460" s="355"/>
      <c r="V460" s="355"/>
      <c r="W460" s="355"/>
      <c r="X460" s="1137"/>
      <c r="Y460" s="1126"/>
      <c r="Z460" s="1124"/>
      <c r="AA460" s="1124"/>
      <c r="AB460" s="1124"/>
      <c r="AC460" s="1124"/>
      <c r="AD460" s="1124"/>
      <c r="AE460" s="1124"/>
      <c r="AF460" s="1124"/>
      <c r="AG460" s="1126"/>
    </row>
    <row r="461" spans="1:33" ht="47.25">
      <c r="A461" s="1398">
        <v>3234</v>
      </c>
      <c r="B461" s="291" t="s">
        <v>593</v>
      </c>
      <c r="C461" s="824" t="s">
        <v>594</v>
      </c>
      <c r="D461" s="294"/>
      <c r="E461" s="294">
        <f>4+5</f>
        <v>9</v>
      </c>
      <c r="F461" s="829">
        <v>43367</v>
      </c>
      <c r="G461" s="829">
        <f t="shared" si="124"/>
        <v>43376</v>
      </c>
      <c r="H461" s="1391"/>
      <c r="I461" s="294" t="s">
        <v>177</v>
      </c>
      <c r="J461" s="307" t="s">
        <v>595</v>
      </c>
      <c r="K461" s="326"/>
      <c r="L461" s="1237"/>
      <c r="M461" s="326"/>
      <c r="N461" s="294"/>
      <c r="O461" s="487">
        <v>4234</v>
      </c>
      <c r="P461" s="294">
        <v>1</v>
      </c>
      <c r="Q461" s="555">
        <f t="shared" si="123"/>
        <v>4234</v>
      </c>
      <c r="R461" s="518"/>
      <c r="S461" s="487"/>
      <c r="T461" s="487"/>
      <c r="U461" s="487"/>
      <c r="V461" s="487"/>
      <c r="W461" s="487"/>
      <c r="X461" s="1138"/>
      <c r="Y461" s="1158">
        <v>4234</v>
      </c>
      <c r="Z461" s="1124"/>
      <c r="AA461" s="1124"/>
      <c r="AB461" s="1124"/>
      <c r="AC461" s="1124"/>
      <c r="AD461" s="1124"/>
      <c r="AE461" s="1124"/>
      <c r="AF461" s="1124"/>
      <c r="AG461" s="1158"/>
    </row>
    <row r="462" spans="1:33">
      <c r="A462" s="1398">
        <v>3234</v>
      </c>
      <c r="B462" s="291" t="s">
        <v>593</v>
      </c>
      <c r="C462" s="824" t="s">
        <v>579</v>
      </c>
      <c r="D462" s="294" t="s">
        <v>514</v>
      </c>
      <c r="E462" s="294">
        <v>45</v>
      </c>
      <c r="F462" s="829">
        <v>43194</v>
      </c>
      <c r="G462" s="829">
        <f t="shared" si="124"/>
        <v>43239</v>
      </c>
      <c r="H462" s="1391"/>
      <c r="I462" s="294" t="s">
        <v>169</v>
      </c>
      <c r="J462" s="307"/>
      <c r="K462" s="326" t="s">
        <v>302</v>
      </c>
      <c r="L462" s="1237"/>
      <c r="M462" s="326"/>
      <c r="N462" s="294"/>
      <c r="O462" s="355">
        <f>[4]FINALISATION!$D$27</f>
        <v>57.333333333333336</v>
      </c>
      <c r="P462" s="294">
        <v>1</v>
      </c>
      <c r="Q462" s="355">
        <f t="shared" si="123"/>
        <v>57.333333333333336</v>
      </c>
      <c r="R462" s="299"/>
      <c r="S462" s="355"/>
      <c r="T462" s="355"/>
      <c r="U462" s="355"/>
      <c r="V462" s="355"/>
      <c r="W462" s="355"/>
      <c r="X462" s="1137"/>
      <c r="Y462" s="1126"/>
      <c r="Z462" s="1124"/>
      <c r="AA462" s="1124"/>
      <c r="AB462" s="1124"/>
      <c r="AC462" s="1124"/>
      <c r="AD462" s="1124"/>
      <c r="AE462" s="1124"/>
      <c r="AF462" s="1124"/>
      <c r="AG462" s="1126"/>
    </row>
    <row r="463" spans="1:33">
      <c r="A463" s="1398">
        <v>3234</v>
      </c>
      <c r="B463" s="291" t="s">
        <v>593</v>
      </c>
      <c r="C463" s="824" t="s">
        <v>560</v>
      </c>
      <c r="D463" s="1391"/>
      <c r="E463" s="294">
        <v>4</v>
      </c>
      <c r="F463" s="829">
        <v>43367</v>
      </c>
      <c r="G463" s="829">
        <f t="shared" si="124"/>
        <v>43371</v>
      </c>
      <c r="H463" s="1391"/>
      <c r="I463" s="294" t="s">
        <v>177</v>
      </c>
      <c r="J463" s="307"/>
      <c r="K463" s="326" t="s">
        <v>596</v>
      </c>
      <c r="L463" s="1237"/>
      <c r="M463" s="326"/>
      <c r="N463" s="294"/>
      <c r="O463" s="355">
        <f>[4]FINALISATION!$D$24</f>
        <v>2150</v>
      </c>
      <c r="P463" s="294">
        <v>1</v>
      </c>
      <c r="Q463" s="355">
        <f t="shared" si="123"/>
        <v>2150</v>
      </c>
      <c r="R463" s="299"/>
      <c r="S463" s="355"/>
      <c r="T463" s="355"/>
      <c r="U463" s="355"/>
      <c r="V463" s="355"/>
      <c r="W463" s="355"/>
      <c r="X463" s="1137"/>
      <c r="Y463" s="1126"/>
      <c r="Z463" s="1124"/>
      <c r="AA463" s="1124"/>
      <c r="AB463" s="1124"/>
      <c r="AC463" s="1124"/>
      <c r="AD463" s="1124"/>
      <c r="AE463" s="1124"/>
      <c r="AF463" s="1124"/>
      <c r="AG463" s="1126"/>
    </row>
    <row r="464" spans="1:33">
      <c r="A464" s="1398">
        <v>3234</v>
      </c>
      <c r="B464" s="291" t="s">
        <v>593</v>
      </c>
      <c r="C464" s="824" t="s">
        <v>562</v>
      </c>
      <c r="D464" s="1391"/>
      <c r="E464" s="294">
        <v>4</v>
      </c>
      <c r="F464" s="829">
        <v>43367</v>
      </c>
      <c r="G464" s="829">
        <f t="shared" si="124"/>
        <v>43371</v>
      </c>
      <c r="H464" s="1391"/>
      <c r="I464" s="294" t="s">
        <v>177</v>
      </c>
      <c r="J464" s="307"/>
      <c r="K464" s="326" t="s">
        <v>565</v>
      </c>
      <c r="L464" s="1237"/>
      <c r="M464" s="326"/>
      <c r="N464" s="294"/>
      <c r="O464" s="355">
        <f>[4]FINALISATION!$D$26</f>
        <v>0</v>
      </c>
      <c r="P464" s="294">
        <v>1</v>
      </c>
      <c r="Q464" s="355">
        <f t="shared" si="123"/>
        <v>0</v>
      </c>
      <c r="R464" s="299"/>
      <c r="S464" s="355"/>
      <c r="T464" s="355"/>
      <c r="U464" s="355"/>
      <c r="V464" s="355"/>
      <c r="W464" s="355"/>
      <c r="X464" s="1137"/>
      <c r="Y464" s="1126"/>
      <c r="Z464" s="1124"/>
      <c r="AA464" s="1124"/>
      <c r="AB464" s="1124"/>
      <c r="AC464" s="1124"/>
      <c r="AD464" s="1124"/>
      <c r="AE464" s="1124"/>
      <c r="AF464" s="1124"/>
      <c r="AG464" s="1126"/>
    </row>
    <row r="465" spans="1:33">
      <c r="A465" s="1398">
        <v>3234</v>
      </c>
      <c r="B465" s="291" t="s">
        <v>593</v>
      </c>
      <c r="C465" s="824" t="s">
        <v>564</v>
      </c>
      <c r="D465" s="1391"/>
      <c r="E465" s="294">
        <v>4</v>
      </c>
      <c r="F465" s="829">
        <v>43367</v>
      </c>
      <c r="G465" s="829">
        <f t="shared" si="124"/>
        <v>43371</v>
      </c>
      <c r="H465" s="1391"/>
      <c r="I465" s="294" t="s">
        <v>177</v>
      </c>
      <c r="J465" s="307"/>
      <c r="K465" s="326" t="s">
        <v>597</v>
      </c>
      <c r="L465" s="1237"/>
      <c r="M465" s="326"/>
      <c r="N465" s="294"/>
      <c r="O465" s="355">
        <f>[4]FINALISATION!$D$25</f>
        <v>1893.3333333333333</v>
      </c>
      <c r="P465" s="294">
        <v>1</v>
      </c>
      <c r="Q465" s="355">
        <f t="shared" si="123"/>
        <v>1893.3333333333333</v>
      </c>
      <c r="R465" s="299"/>
      <c r="S465" s="355"/>
      <c r="T465" s="355"/>
      <c r="U465" s="355"/>
      <c r="V465" s="355"/>
      <c r="W465" s="355"/>
      <c r="X465" s="1137"/>
      <c r="Y465" s="1126"/>
      <c r="Z465" s="1124"/>
      <c r="AA465" s="1124"/>
      <c r="AB465" s="1124"/>
      <c r="AC465" s="1124"/>
      <c r="AD465" s="1124"/>
      <c r="AE465" s="1124"/>
      <c r="AF465" s="1124"/>
      <c r="AG465" s="1126"/>
    </row>
    <row r="466" spans="1:33">
      <c r="A466" s="1398">
        <v>3234</v>
      </c>
      <c r="B466" s="291" t="s">
        <v>593</v>
      </c>
      <c r="C466" s="824" t="s">
        <v>566</v>
      </c>
      <c r="D466" s="1391"/>
      <c r="E466" s="294">
        <v>4</v>
      </c>
      <c r="F466" s="829">
        <v>43367</v>
      </c>
      <c r="G466" s="829">
        <f t="shared" si="124"/>
        <v>43371</v>
      </c>
      <c r="H466" s="1391"/>
      <c r="I466" s="294" t="s">
        <v>169</v>
      </c>
      <c r="J466" s="307"/>
      <c r="K466" s="326" t="s">
        <v>486</v>
      </c>
      <c r="L466" s="1237"/>
      <c r="M466" s="326"/>
      <c r="N466" s="294"/>
      <c r="O466" s="355">
        <f>[4]FINALISATION!$D$28</f>
        <v>133.33333333333334</v>
      </c>
      <c r="P466" s="294">
        <v>1</v>
      </c>
      <c r="Q466" s="355">
        <f t="shared" si="123"/>
        <v>133.33333333333334</v>
      </c>
      <c r="R466" s="299"/>
      <c r="S466" s="355"/>
      <c r="T466" s="355"/>
      <c r="U466" s="355"/>
      <c r="V466" s="355"/>
      <c r="W466" s="355"/>
      <c r="X466" s="1137"/>
      <c r="Y466" s="1126"/>
      <c r="Z466" s="1124"/>
      <c r="AA466" s="1124"/>
      <c r="AB466" s="1124"/>
      <c r="AC466" s="1124"/>
      <c r="AD466" s="1124"/>
      <c r="AE466" s="1124"/>
      <c r="AF466" s="1124"/>
      <c r="AG466" s="1126"/>
    </row>
    <row r="467" spans="1:33" ht="16.5" customHeight="1">
      <c r="A467" s="1275">
        <v>324</v>
      </c>
      <c r="B467" s="508" t="s">
        <v>598</v>
      </c>
      <c r="C467" s="1559"/>
      <c r="D467" s="822"/>
      <c r="E467" s="822"/>
      <c r="F467" s="822"/>
      <c r="G467" s="822"/>
      <c r="H467" s="822"/>
      <c r="I467" s="822"/>
      <c r="J467" s="283"/>
      <c r="K467" s="1278"/>
      <c r="L467" s="1279"/>
      <c r="M467" s="1280"/>
      <c r="N467" s="1277"/>
      <c r="O467" s="1395"/>
      <c r="P467" s="1277"/>
      <c r="Q467" s="1282">
        <f>+Q468+Q474</f>
        <v>11980.666666666668</v>
      </c>
      <c r="R467" s="287"/>
      <c r="S467" s="1282">
        <f t="shared" ref="S467:AF467" si="125">+S468+S474</f>
        <v>0</v>
      </c>
      <c r="T467" s="1282">
        <f t="shared" si="125"/>
        <v>0</v>
      </c>
      <c r="U467" s="1282">
        <f t="shared" si="125"/>
        <v>0</v>
      </c>
      <c r="V467" s="1282">
        <f t="shared" si="125"/>
        <v>0</v>
      </c>
      <c r="W467" s="1282">
        <f t="shared" si="125"/>
        <v>0</v>
      </c>
      <c r="X467" s="1282">
        <f t="shared" si="125"/>
        <v>11980.67</v>
      </c>
      <c r="Y467" s="1282">
        <f t="shared" si="125"/>
        <v>0</v>
      </c>
      <c r="Z467" s="546">
        <f t="shared" si="125"/>
        <v>0</v>
      </c>
      <c r="AA467" s="546">
        <f t="shared" si="125"/>
        <v>0</v>
      </c>
      <c r="AB467" s="546">
        <f t="shared" si="125"/>
        <v>0</v>
      </c>
      <c r="AC467" s="546">
        <f t="shared" si="125"/>
        <v>0</v>
      </c>
      <c r="AD467" s="546">
        <f t="shared" si="125"/>
        <v>0</v>
      </c>
      <c r="AE467" s="546">
        <f t="shared" si="125"/>
        <v>0</v>
      </c>
      <c r="AF467" s="546">
        <f t="shared" si="125"/>
        <v>0</v>
      </c>
      <c r="AG467" s="1051">
        <f>SUM(S467:AF467)</f>
        <v>11980.67</v>
      </c>
    </row>
    <row r="468" spans="1:33" ht="31.5">
      <c r="A468" s="1534">
        <v>3241</v>
      </c>
      <c r="B468" s="291" t="s">
        <v>599</v>
      </c>
      <c r="C468" s="824" t="s">
        <v>600</v>
      </c>
      <c r="D468" s="1391"/>
      <c r="E468" s="294">
        <v>10</v>
      </c>
      <c r="F468" s="829">
        <v>43332</v>
      </c>
      <c r="G468" s="829">
        <f>+F468+E468</f>
        <v>43342</v>
      </c>
      <c r="H468" s="1391"/>
      <c r="I468" s="294" t="s">
        <v>177</v>
      </c>
      <c r="J468" s="307" t="s">
        <v>601</v>
      </c>
      <c r="K468" s="326"/>
      <c r="L468" s="1237"/>
      <c r="M468" s="326"/>
      <c r="N468" s="294"/>
      <c r="O468" s="487">
        <f>[5]Feuil1!$E$35</f>
        <v>9680.6666666666661</v>
      </c>
      <c r="P468" s="294">
        <v>1</v>
      </c>
      <c r="Q468" s="555">
        <f>SUM(Q469:Q473)</f>
        <v>9680.6666666666679</v>
      </c>
      <c r="R468" s="518"/>
      <c r="S468" s="487"/>
      <c r="T468" s="487"/>
      <c r="U468" s="487"/>
      <c r="V468" s="357"/>
      <c r="W468" s="487"/>
      <c r="X468" s="1138">
        <v>9680.67</v>
      </c>
      <c r="Y468" s="1156"/>
      <c r="Z468" s="1156"/>
      <c r="AA468" s="1156"/>
      <c r="AB468" s="1156"/>
      <c r="AC468" s="1156"/>
      <c r="AD468" s="1156"/>
      <c r="AE468" s="1156"/>
      <c r="AF468" s="1156"/>
      <c r="AG468" s="1156"/>
    </row>
    <row r="469" spans="1:33">
      <c r="A469" s="1534">
        <v>3241</v>
      </c>
      <c r="B469" s="291" t="s">
        <v>599</v>
      </c>
      <c r="C469" s="824" t="s">
        <v>579</v>
      </c>
      <c r="D469" s="341" t="s">
        <v>514</v>
      </c>
      <c r="E469" s="294">
        <v>45</v>
      </c>
      <c r="F469" s="829">
        <v>43194</v>
      </c>
      <c r="G469" s="829">
        <f t="shared" ref="G469:G474" si="126">+E469+F469</f>
        <v>43239</v>
      </c>
      <c r="H469" s="1391"/>
      <c r="I469" s="294"/>
      <c r="J469" s="307"/>
      <c r="K469" s="326" t="s">
        <v>302</v>
      </c>
      <c r="L469" s="1237"/>
      <c r="M469" s="326"/>
      <c r="N469" s="294"/>
      <c r="O469" s="355">
        <f>[5]Feuil1!$E$34</f>
        <v>157.33333333333334</v>
      </c>
      <c r="P469" s="569">
        <v>1</v>
      </c>
      <c r="Q469" s="488">
        <f>+O469*P469</f>
        <v>157.33333333333334</v>
      </c>
      <c r="R469" s="299"/>
      <c r="S469" s="355"/>
      <c r="T469" s="355"/>
      <c r="U469" s="355"/>
      <c r="V469" s="355"/>
      <c r="W469" s="355"/>
      <c r="X469" s="1137"/>
      <c r="Y469" s="1126"/>
      <c r="Z469" s="1126"/>
      <c r="AA469" s="1126"/>
      <c r="AB469" s="1126"/>
      <c r="AC469" s="1126"/>
      <c r="AD469" s="1126"/>
      <c r="AE469" s="1126"/>
      <c r="AF469" s="1126"/>
      <c r="AG469" s="1126"/>
    </row>
    <row r="470" spans="1:33">
      <c r="A470" s="1534">
        <v>3241</v>
      </c>
      <c r="B470" s="291" t="s">
        <v>599</v>
      </c>
      <c r="C470" s="824" t="s">
        <v>560</v>
      </c>
      <c r="D470" s="1391"/>
      <c r="E470" s="294">
        <v>5</v>
      </c>
      <c r="F470" s="829">
        <v>43332</v>
      </c>
      <c r="G470" s="829">
        <f t="shared" si="126"/>
        <v>43337</v>
      </c>
      <c r="H470" s="1391"/>
      <c r="I470" s="294"/>
      <c r="J470" s="307"/>
      <c r="K470" s="326" t="s">
        <v>596</v>
      </c>
      <c r="L470" s="1237"/>
      <c r="M470" s="326"/>
      <c r="N470" s="294"/>
      <c r="O470" s="355">
        <f>[5]Feuil1!$E$30</f>
        <v>3870</v>
      </c>
      <c r="P470" s="569">
        <v>1</v>
      </c>
      <c r="Q470" s="488">
        <f>+O470*P470</f>
        <v>3870</v>
      </c>
      <c r="R470" s="299"/>
      <c r="S470" s="355"/>
      <c r="T470" s="355"/>
      <c r="U470" s="355"/>
      <c r="V470" s="355"/>
      <c r="W470" s="355"/>
      <c r="X470" s="1137"/>
      <c r="Y470" s="1126"/>
      <c r="Z470" s="1126"/>
      <c r="AA470" s="1126"/>
      <c r="AB470" s="1126"/>
      <c r="AC470" s="1126"/>
      <c r="AD470" s="1126"/>
      <c r="AE470" s="1126"/>
      <c r="AF470" s="1126"/>
      <c r="AG470" s="1126"/>
    </row>
    <row r="471" spans="1:33">
      <c r="A471" s="1534">
        <v>3241</v>
      </c>
      <c r="B471" s="291" t="s">
        <v>599</v>
      </c>
      <c r="C471" s="824" t="s">
        <v>562</v>
      </c>
      <c r="D471" s="1391"/>
      <c r="E471" s="294">
        <v>5</v>
      </c>
      <c r="F471" s="829">
        <v>43332</v>
      </c>
      <c r="G471" s="829">
        <f t="shared" si="126"/>
        <v>43337</v>
      </c>
      <c r="H471" s="1391"/>
      <c r="I471" s="294"/>
      <c r="J471" s="307"/>
      <c r="K471" s="326" t="s">
        <v>565</v>
      </c>
      <c r="L471" s="1237"/>
      <c r="M471" s="326"/>
      <c r="N471" s="294"/>
      <c r="O471" s="355">
        <f>[5]Feuil1!$E$32</f>
        <v>1580</v>
      </c>
      <c r="P471" s="569">
        <v>1</v>
      </c>
      <c r="Q471" s="488">
        <f>+O471*P471</f>
        <v>1580</v>
      </c>
      <c r="R471" s="299"/>
      <c r="S471" s="355"/>
      <c r="T471" s="355"/>
      <c r="U471" s="355"/>
      <c r="V471" s="355"/>
      <c r="W471" s="355"/>
      <c r="X471" s="1137"/>
      <c r="Y471" s="1126"/>
      <c r="Z471" s="1126"/>
      <c r="AA471" s="1126"/>
      <c r="AB471" s="1126"/>
      <c r="AC471" s="1126"/>
      <c r="AD471" s="1126"/>
      <c r="AE471" s="1126"/>
      <c r="AF471" s="1126"/>
      <c r="AG471" s="1126"/>
    </row>
    <row r="472" spans="1:33">
      <c r="A472" s="1534">
        <v>3241</v>
      </c>
      <c r="B472" s="291" t="s">
        <v>599</v>
      </c>
      <c r="C472" s="824" t="s">
        <v>564</v>
      </c>
      <c r="D472" s="1391"/>
      <c r="E472" s="294">
        <v>5</v>
      </c>
      <c r="F472" s="829">
        <v>43332</v>
      </c>
      <c r="G472" s="829">
        <f t="shared" si="126"/>
        <v>43337</v>
      </c>
      <c r="H472" s="1391"/>
      <c r="I472" s="294"/>
      <c r="J472" s="307"/>
      <c r="K472" s="326" t="s">
        <v>597</v>
      </c>
      <c r="L472" s="1237"/>
      <c r="M472" s="326"/>
      <c r="N472" s="294"/>
      <c r="O472" s="355">
        <f>[5]Feuil1!$E$31</f>
        <v>3840</v>
      </c>
      <c r="P472" s="569">
        <v>1</v>
      </c>
      <c r="Q472" s="488">
        <f>+O472*P472</f>
        <v>3840</v>
      </c>
      <c r="R472" s="299"/>
      <c r="S472" s="355"/>
      <c r="T472" s="355"/>
      <c r="U472" s="355"/>
      <c r="V472" s="355"/>
      <c r="W472" s="355"/>
      <c r="X472" s="1137"/>
      <c r="Y472" s="1126"/>
      <c r="Z472" s="1126"/>
      <c r="AA472" s="1126"/>
      <c r="AB472" s="1126"/>
      <c r="AC472" s="1126"/>
      <c r="AD472" s="1126"/>
      <c r="AE472" s="1126"/>
      <c r="AF472" s="1126"/>
      <c r="AG472" s="1126"/>
    </row>
    <row r="473" spans="1:33">
      <c r="A473" s="1534">
        <v>3241</v>
      </c>
      <c r="B473" s="291" t="s">
        <v>599</v>
      </c>
      <c r="C473" s="824" t="s">
        <v>566</v>
      </c>
      <c r="D473" s="1391"/>
      <c r="E473" s="294">
        <v>5</v>
      </c>
      <c r="F473" s="829">
        <v>43332</v>
      </c>
      <c r="G473" s="829">
        <f t="shared" si="126"/>
        <v>43337</v>
      </c>
      <c r="H473" s="1391"/>
      <c r="I473" s="294"/>
      <c r="J473" s="307"/>
      <c r="K473" s="326" t="s">
        <v>486</v>
      </c>
      <c r="L473" s="1237"/>
      <c r="M473" s="326"/>
      <c r="N473" s="294"/>
      <c r="O473" s="355">
        <f>[5]Feuil1!$E$33</f>
        <v>233.33333333333334</v>
      </c>
      <c r="P473" s="569">
        <v>1</v>
      </c>
      <c r="Q473" s="488">
        <f>+O473*P473</f>
        <v>233.33333333333334</v>
      </c>
      <c r="R473" s="299"/>
      <c r="S473" s="355"/>
      <c r="T473" s="355"/>
      <c r="U473" s="355"/>
      <c r="V473" s="355"/>
      <c r="W473" s="355"/>
      <c r="X473" s="1137"/>
      <c r="Y473" s="1126"/>
      <c r="Z473" s="1126"/>
      <c r="AA473" s="1126"/>
      <c r="AB473" s="1126"/>
      <c r="AC473" s="1126"/>
      <c r="AD473" s="1126"/>
      <c r="AE473" s="1126"/>
      <c r="AF473" s="1126"/>
      <c r="AG473" s="1126"/>
    </row>
    <row r="474" spans="1:33">
      <c r="A474" s="1398">
        <v>3242</v>
      </c>
      <c r="B474" s="291" t="s">
        <v>602</v>
      </c>
      <c r="C474" s="824" t="s">
        <v>603</v>
      </c>
      <c r="D474" s="1391"/>
      <c r="E474" s="294">
        <v>3</v>
      </c>
      <c r="F474" s="829">
        <v>43339</v>
      </c>
      <c r="G474" s="829">
        <f t="shared" si="126"/>
        <v>43342</v>
      </c>
      <c r="H474" s="1391"/>
      <c r="I474" s="294" t="s">
        <v>177</v>
      </c>
      <c r="J474" s="307" t="s">
        <v>604</v>
      </c>
      <c r="K474" s="1548"/>
      <c r="L474" s="1237"/>
      <c r="M474" s="326"/>
      <c r="N474" s="294"/>
      <c r="O474" s="487">
        <v>2300</v>
      </c>
      <c r="P474" s="294">
        <v>1</v>
      </c>
      <c r="Q474" s="555">
        <f>O474*P474</f>
        <v>2300</v>
      </c>
      <c r="R474" s="518"/>
      <c r="S474" s="487"/>
      <c r="T474" s="487"/>
      <c r="U474" s="487"/>
      <c r="V474" s="487"/>
      <c r="W474" s="555"/>
      <c r="X474" s="1140">
        <v>2300</v>
      </c>
      <c r="Y474" s="1124"/>
      <c r="Z474" s="1124"/>
      <c r="AA474" s="1124"/>
      <c r="AB474" s="1124"/>
      <c r="AC474" s="1124"/>
      <c r="AD474" s="1124"/>
      <c r="AE474" s="1124"/>
      <c r="AF474" s="1124"/>
      <c r="AG474" s="1156"/>
    </row>
    <row r="475" spans="1:33" s="1028" customFormat="1" ht="16.5" customHeight="1">
      <c r="A475" s="1275">
        <v>325</v>
      </c>
      <c r="B475" s="508" t="s">
        <v>605</v>
      </c>
      <c r="C475" s="1559"/>
      <c r="D475" s="822"/>
      <c r="E475" s="822"/>
      <c r="F475" s="822"/>
      <c r="G475" s="822"/>
      <c r="H475" s="822"/>
      <c r="I475" s="822"/>
      <c r="J475" s="543"/>
      <c r="K475" s="1545"/>
      <c r="L475" s="1579"/>
      <c r="M475" s="1000"/>
      <c r="N475" s="1388"/>
      <c r="O475" s="1282"/>
      <c r="P475" s="1388"/>
      <c r="Q475" s="1282">
        <f>+Q476</f>
        <v>13243.000000000002</v>
      </c>
      <c r="R475" s="547"/>
      <c r="S475" s="1282">
        <f t="shared" ref="S475:AF475" si="127">+S476</f>
        <v>0</v>
      </c>
      <c r="T475" s="1282">
        <f t="shared" si="127"/>
        <v>0</v>
      </c>
      <c r="U475" s="1282">
        <f t="shared" si="127"/>
        <v>0</v>
      </c>
      <c r="V475" s="1282">
        <f t="shared" si="127"/>
        <v>0</v>
      </c>
      <c r="W475" s="1282">
        <f t="shared" si="127"/>
        <v>13243</v>
      </c>
      <c r="X475" s="1282">
        <f t="shared" si="127"/>
        <v>0</v>
      </c>
      <c r="Y475" s="1282">
        <f t="shared" si="127"/>
        <v>0</v>
      </c>
      <c r="Z475" s="546">
        <f t="shared" si="127"/>
        <v>0</v>
      </c>
      <c r="AA475" s="546">
        <f t="shared" si="127"/>
        <v>0</v>
      </c>
      <c r="AB475" s="546">
        <f t="shared" si="127"/>
        <v>0</v>
      </c>
      <c r="AC475" s="546">
        <f t="shared" si="127"/>
        <v>0</v>
      </c>
      <c r="AD475" s="546">
        <f t="shared" si="127"/>
        <v>0</v>
      </c>
      <c r="AE475" s="546">
        <f t="shared" si="127"/>
        <v>0</v>
      </c>
      <c r="AF475" s="546">
        <f t="shared" si="127"/>
        <v>0</v>
      </c>
      <c r="AG475" s="1051">
        <f>SUM(S475:AF475)</f>
        <v>13243</v>
      </c>
    </row>
    <row r="476" spans="1:33" ht="47.25">
      <c r="A476" s="1398">
        <v>3251</v>
      </c>
      <c r="B476" s="291" t="s">
        <v>606</v>
      </c>
      <c r="C476" s="824" t="s">
        <v>607</v>
      </c>
      <c r="D476" s="1391"/>
      <c r="E476" s="1391"/>
      <c r="F476" s="1391"/>
      <c r="G476" s="1391"/>
      <c r="H476" s="1391"/>
      <c r="I476" s="294" t="s">
        <v>177</v>
      </c>
      <c r="J476" s="307" t="s">
        <v>170</v>
      </c>
      <c r="K476" s="326"/>
      <c r="L476" s="1237"/>
      <c r="M476" s="326"/>
      <c r="N476" s="294"/>
      <c r="O476" s="487">
        <v>13243</v>
      </c>
      <c r="P476" s="294">
        <v>1</v>
      </c>
      <c r="Q476" s="555">
        <f>SUM(Q477:Q481)</f>
        <v>13243.000000000002</v>
      </c>
      <c r="R476" s="518"/>
      <c r="S476" s="487"/>
      <c r="T476" s="487"/>
      <c r="U476" s="487"/>
      <c r="V476" s="487"/>
      <c r="W476" s="555">
        <v>13243</v>
      </c>
      <c r="X476" s="1138"/>
      <c r="Y476" s="1124"/>
      <c r="Z476" s="1124"/>
      <c r="AA476" s="1124"/>
      <c r="AB476" s="1124"/>
      <c r="AC476" s="1124"/>
      <c r="AD476" s="1124"/>
      <c r="AE476" s="1124"/>
      <c r="AF476" s="1124"/>
      <c r="AG476" s="1158"/>
    </row>
    <row r="477" spans="1:33">
      <c r="A477" s="1398">
        <v>3251</v>
      </c>
      <c r="B477" s="291" t="s">
        <v>606</v>
      </c>
      <c r="C477" s="824" t="s">
        <v>579</v>
      </c>
      <c r="D477" s="294" t="s">
        <v>514</v>
      </c>
      <c r="E477" s="294">
        <v>45</v>
      </c>
      <c r="F477" s="1399">
        <v>43194</v>
      </c>
      <c r="G477" s="1399">
        <f>+F477+E477</f>
        <v>43239</v>
      </c>
      <c r="H477" s="1391"/>
      <c r="I477" s="294"/>
      <c r="J477" s="307"/>
      <c r="K477" s="326" t="s">
        <v>302</v>
      </c>
      <c r="L477" s="1237"/>
      <c r="M477" s="326"/>
      <c r="N477" s="294"/>
      <c r="O477" s="1120">
        <f>[6]Feuil3!$H$11</f>
        <v>155.66666666666666</v>
      </c>
      <c r="P477" s="294">
        <v>1</v>
      </c>
      <c r="Q477" s="355">
        <f>+O477*P477</f>
        <v>155.66666666666666</v>
      </c>
      <c r="R477" s="299"/>
      <c r="S477" s="355"/>
      <c r="T477" s="355"/>
      <c r="U477" s="355"/>
      <c r="V477" s="355"/>
      <c r="W477" s="355"/>
      <c r="X477" s="1137"/>
      <c r="Y477" s="1126"/>
      <c r="Z477" s="1126"/>
      <c r="AA477" s="1126"/>
      <c r="AB477" s="1126"/>
      <c r="AC477" s="1126"/>
      <c r="AD477" s="1126"/>
      <c r="AE477" s="1126"/>
      <c r="AF477" s="1126"/>
      <c r="AG477" s="1126"/>
    </row>
    <row r="478" spans="1:33">
      <c r="A478" s="1398">
        <v>3251</v>
      </c>
      <c r="B478" s="291" t="s">
        <v>606</v>
      </c>
      <c r="C478" s="824" t="s">
        <v>560</v>
      </c>
      <c r="D478" s="1391"/>
      <c r="E478" s="294">
        <v>10</v>
      </c>
      <c r="F478" s="1399">
        <v>43299</v>
      </c>
      <c r="G478" s="1399">
        <f>+E478+F478</f>
        <v>43309</v>
      </c>
      <c r="H478" s="1391"/>
      <c r="I478" s="294"/>
      <c r="J478" s="307"/>
      <c r="K478" s="326" t="s">
        <v>596</v>
      </c>
      <c r="L478" s="1237"/>
      <c r="M478" s="326"/>
      <c r="N478" s="294"/>
      <c r="O478" s="355">
        <f>[6]Feuil3!$H$8</f>
        <v>6048</v>
      </c>
      <c r="P478" s="294">
        <v>1</v>
      </c>
      <c r="Q478" s="355">
        <f>+O478*P478</f>
        <v>6048</v>
      </c>
      <c r="R478" s="299"/>
      <c r="S478" s="355"/>
      <c r="T478" s="355"/>
      <c r="U478" s="355"/>
      <c r="V478" s="355"/>
      <c r="W478" s="355"/>
      <c r="X478" s="1137"/>
      <c r="Y478" s="1126"/>
      <c r="Z478" s="1126"/>
      <c r="AA478" s="1126"/>
      <c r="AB478" s="1126"/>
      <c r="AC478" s="1126"/>
      <c r="AD478" s="1126"/>
      <c r="AE478" s="1126"/>
      <c r="AF478" s="1126"/>
      <c r="AG478" s="1126"/>
    </row>
    <row r="479" spans="1:33">
      <c r="A479" s="1398">
        <v>3251</v>
      </c>
      <c r="B479" s="291" t="s">
        <v>606</v>
      </c>
      <c r="C479" s="824" t="s">
        <v>562</v>
      </c>
      <c r="D479" s="1391"/>
      <c r="E479" s="294">
        <v>10</v>
      </c>
      <c r="F479" s="1399">
        <v>43299</v>
      </c>
      <c r="G479" s="1399">
        <f>+E479+F479</f>
        <v>43309</v>
      </c>
      <c r="H479" s="1391"/>
      <c r="I479" s="294"/>
      <c r="J479" s="307"/>
      <c r="K479" s="326" t="s">
        <v>565</v>
      </c>
      <c r="L479" s="1237"/>
      <c r="M479" s="326"/>
      <c r="N479" s="294"/>
      <c r="O479" s="355">
        <f>[6]Feuil3!$H$10</f>
        <v>546</v>
      </c>
      <c r="P479" s="294">
        <v>1</v>
      </c>
      <c r="Q479" s="355">
        <f>+O479*P479</f>
        <v>546</v>
      </c>
      <c r="R479" s="299"/>
      <c r="S479" s="355"/>
      <c r="T479" s="355"/>
      <c r="U479" s="355"/>
      <c r="V479" s="355"/>
      <c r="W479" s="355"/>
      <c r="X479" s="1137"/>
      <c r="Y479" s="1126"/>
      <c r="Z479" s="1126"/>
      <c r="AA479" s="1126"/>
      <c r="AB479" s="1126"/>
      <c r="AC479" s="1126"/>
      <c r="AD479" s="1126"/>
      <c r="AE479" s="1126"/>
      <c r="AF479" s="1126"/>
      <c r="AG479" s="1126"/>
    </row>
    <row r="480" spans="1:33">
      <c r="A480" s="1398">
        <v>3251</v>
      </c>
      <c r="B480" s="291" t="s">
        <v>606</v>
      </c>
      <c r="C480" s="824" t="s">
        <v>564</v>
      </c>
      <c r="D480" s="1391"/>
      <c r="E480" s="294">
        <v>10</v>
      </c>
      <c r="F480" s="1399">
        <v>43299</v>
      </c>
      <c r="G480" s="1399">
        <f>+E480+F480</f>
        <v>43309</v>
      </c>
      <c r="H480" s="1391"/>
      <c r="I480" s="294"/>
      <c r="J480" s="307"/>
      <c r="K480" s="326" t="s">
        <v>597</v>
      </c>
      <c r="L480" s="1237"/>
      <c r="M480" s="326"/>
      <c r="N480" s="294"/>
      <c r="O480" s="355">
        <f>[6]Feuil3!$H$9</f>
        <v>6160</v>
      </c>
      <c r="P480" s="294">
        <v>1</v>
      </c>
      <c r="Q480" s="355">
        <f>+O480*P480</f>
        <v>6160</v>
      </c>
      <c r="R480" s="299"/>
      <c r="S480" s="355"/>
      <c r="T480" s="355"/>
      <c r="U480" s="355"/>
      <c r="V480" s="355"/>
      <c r="W480" s="355"/>
      <c r="X480" s="1137"/>
      <c r="Y480" s="1126"/>
      <c r="Z480" s="1126"/>
      <c r="AA480" s="1126"/>
      <c r="AB480" s="1126"/>
      <c r="AC480" s="1126"/>
      <c r="AD480" s="1126"/>
      <c r="AE480" s="1126"/>
      <c r="AF480" s="1126"/>
      <c r="AG480" s="1126"/>
    </row>
    <row r="481" spans="1:33">
      <c r="A481" s="1398">
        <v>3251</v>
      </c>
      <c r="B481" s="291" t="s">
        <v>606</v>
      </c>
      <c r="C481" s="824" t="s">
        <v>566</v>
      </c>
      <c r="D481" s="1391"/>
      <c r="E481" s="294">
        <v>10</v>
      </c>
      <c r="F481" s="1399">
        <v>43299</v>
      </c>
      <c r="G481" s="1399">
        <f>+E481+F481</f>
        <v>43309</v>
      </c>
      <c r="H481" s="1391"/>
      <c r="I481" s="294"/>
      <c r="J481" s="307"/>
      <c r="K481" s="326" t="s">
        <v>486</v>
      </c>
      <c r="L481" s="1237"/>
      <c r="M481" s="326"/>
      <c r="N481" s="294"/>
      <c r="O481" s="355">
        <f>[6]Feuil3!$H$12</f>
        <v>333.33333333333331</v>
      </c>
      <c r="P481" s="294">
        <v>1</v>
      </c>
      <c r="Q481" s="355">
        <f>+O481*P481</f>
        <v>333.33333333333331</v>
      </c>
      <c r="R481" s="299"/>
      <c r="S481" s="355"/>
      <c r="T481" s="355"/>
      <c r="U481" s="355"/>
      <c r="V481" s="355"/>
      <c r="W481" s="355"/>
      <c r="X481" s="1137"/>
      <c r="Y481" s="1126"/>
      <c r="Z481" s="1126"/>
      <c r="AA481" s="1126"/>
      <c r="AB481" s="1126"/>
      <c r="AC481" s="1126"/>
      <c r="AD481" s="1126"/>
      <c r="AE481" s="1126"/>
      <c r="AF481" s="1126"/>
      <c r="AG481" s="1126"/>
    </row>
    <row r="482" spans="1:33" ht="16.5" customHeight="1">
      <c r="A482" s="1275">
        <v>326</v>
      </c>
      <c r="B482" s="508" t="s">
        <v>608</v>
      </c>
      <c r="C482" s="1559"/>
      <c r="D482" s="822"/>
      <c r="E482" s="822"/>
      <c r="F482" s="822"/>
      <c r="G482" s="822"/>
      <c r="H482" s="822"/>
      <c r="I482" s="822"/>
      <c r="J482" s="283"/>
      <c r="K482" s="1278"/>
      <c r="L482" s="1279"/>
      <c r="M482" s="1280"/>
      <c r="N482" s="1277"/>
      <c r="O482" s="1395"/>
      <c r="P482" s="1277"/>
      <c r="Q482" s="1282">
        <f>+Q483+Q484</f>
        <v>30000</v>
      </c>
      <c r="R482" s="287"/>
      <c r="S482" s="1282">
        <f t="shared" ref="S482:AF482" si="128">+S483+S484</f>
        <v>0</v>
      </c>
      <c r="T482" s="1282">
        <f t="shared" si="128"/>
        <v>0</v>
      </c>
      <c r="U482" s="1282">
        <f t="shared" si="128"/>
        <v>0</v>
      </c>
      <c r="V482" s="1282">
        <f t="shared" si="128"/>
        <v>0</v>
      </c>
      <c r="W482" s="1282">
        <f t="shared" si="128"/>
        <v>15000</v>
      </c>
      <c r="X482" s="1282">
        <f t="shared" si="128"/>
        <v>0</v>
      </c>
      <c r="Y482" s="1282">
        <f t="shared" si="128"/>
        <v>0</v>
      </c>
      <c r="Z482" s="546">
        <f t="shared" si="128"/>
        <v>15000</v>
      </c>
      <c r="AA482" s="546">
        <f t="shared" si="128"/>
        <v>0</v>
      </c>
      <c r="AB482" s="546">
        <f t="shared" si="128"/>
        <v>0</v>
      </c>
      <c r="AC482" s="546">
        <f t="shared" si="128"/>
        <v>0</v>
      </c>
      <c r="AD482" s="546">
        <f t="shared" si="128"/>
        <v>0</v>
      </c>
      <c r="AE482" s="546">
        <f t="shared" si="128"/>
        <v>0</v>
      </c>
      <c r="AF482" s="546">
        <f t="shared" si="128"/>
        <v>0</v>
      </c>
      <c r="AG482" s="1051">
        <f>SUM(S482:AF482)</f>
        <v>30000</v>
      </c>
    </row>
    <row r="483" spans="1:33" ht="31.5">
      <c r="A483" s="294">
        <v>3261</v>
      </c>
      <c r="B483" s="291" t="s">
        <v>609</v>
      </c>
      <c r="C483" s="824" t="s">
        <v>610</v>
      </c>
      <c r="D483" s="294" t="s">
        <v>246</v>
      </c>
      <c r="E483" s="1393">
        <f>70+30</f>
        <v>100</v>
      </c>
      <c r="F483" s="1399">
        <v>43192</v>
      </c>
      <c r="G483" s="1399">
        <f>+E483+F483</f>
        <v>43292</v>
      </c>
      <c r="H483" s="1391"/>
      <c r="I483" s="294" t="s">
        <v>611</v>
      </c>
      <c r="J483" s="307"/>
      <c r="K483" s="326"/>
      <c r="L483" s="1237"/>
      <c r="M483" s="326"/>
      <c r="N483" s="294"/>
      <c r="O483" s="487">
        <v>10000</v>
      </c>
      <c r="P483" s="294">
        <v>1</v>
      </c>
      <c r="Q483" s="555">
        <v>10000</v>
      </c>
      <c r="R483" s="518"/>
      <c r="S483" s="487"/>
      <c r="T483" s="555"/>
      <c r="U483" s="487"/>
      <c r="V483" s="487"/>
      <c r="W483" s="487">
        <f>Q483/2</f>
        <v>5000</v>
      </c>
      <c r="X483" s="574"/>
      <c r="Y483" s="1156"/>
      <c r="Z483" s="487">
        <v>5000</v>
      </c>
      <c r="AA483" s="1156"/>
      <c r="AB483" s="1156"/>
      <c r="AC483" s="1156"/>
      <c r="AD483" s="1156"/>
      <c r="AE483" s="1156"/>
      <c r="AF483" s="1156"/>
      <c r="AG483" s="1156"/>
    </row>
    <row r="484" spans="1:33" ht="31.5">
      <c r="A484" s="1398">
        <v>3262</v>
      </c>
      <c r="B484" s="291" t="s">
        <v>612</v>
      </c>
      <c r="C484" s="824" t="s">
        <v>610</v>
      </c>
      <c r="D484" s="294" t="s">
        <v>246</v>
      </c>
      <c r="E484" s="294">
        <f>70+30</f>
        <v>100</v>
      </c>
      <c r="F484" s="1399">
        <v>43192</v>
      </c>
      <c r="G484" s="1399">
        <f>+E484+F484</f>
        <v>43292</v>
      </c>
      <c r="H484" s="1391"/>
      <c r="I484" s="294" t="s">
        <v>611</v>
      </c>
      <c r="J484" s="307"/>
      <c r="K484" s="326"/>
      <c r="L484" s="1237"/>
      <c r="M484" s="326"/>
      <c r="N484" s="294"/>
      <c r="O484" s="487">
        <v>20000</v>
      </c>
      <c r="P484" s="294">
        <v>1</v>
      </c>
      <c r="Q484" s="555">
        <f>+O484*P484</f>
        <v>20000</v>
      </c>
      <c r="R484" s="518"/>
      <c r="S484" s="487"/>
      <c r="T484" s="555"/>
      <c r="U484" s="487"/>
      <c r="V484" s="487"/>
      <c r="W484" s="487">
        <v>10000</v>
      </c>
      <c r="X484" s="1138"/>
      <c r="Y484" s="1156"/>
      <c r="Z484" s="487">
        <v>10000</v>
      </c>
      <c r="AA484" s="1156"/>
      <c r="AB484" s="1156"/>
      <c r="AC484" s="1156"/>
      <c r="AD484" s="1156"/>
      <c r="AE484" s="1156"/>
      <c r="AF484" s="1156"/>
      <c r="AG484" s="1156"/>
    </row>
    <row r="485" spans="1:33" s="992" customFormat="1" ht="33.75" customHeight="1">
      <c r="A485" s="1247" t="s">
        <v>275</v>
      </c>
      <c r="B485" s="266"/>
      <c r="C485" s="1022"/>
      <c r="D485" s="1263"/>
      <c r="E485" s="1263"/>
      <c r="F485" s="1263"/>
      <c r="G485" s="1263"/>
      <c r="H485" s="1263"/>
      <c r="I485" s="1263"/>
      <c r="J485" s="265"/>
      <c r="K485" s="1247"/>
      <c r="L485" s="1262"/>
      <c r="M485" s="1263"/>
      <c r="N485" s="1261"/>
      <c r="O485" s="1264"/>
      <c r="P485" s="1261"/>
      <c r="Q485" s="1265">
        <f>+Q486+Q532+Q575+Q592+Q597</f>
        <v>1602691.6764583332</v>
      </c>
      <c r="R485" s="1266">
        <f>+R486+R532+R541</f>
        <v>1499105.0395833335</v>
      </c>
      <c r="S485" s="1265">
        <f t="shared" ref="S485:AG485" si="129">+S486+S532+S575+S592+S597</f>
        <v>0</v>
      </c>
      <c r="T485" s="1265">
        <f t="shared" si="129"/>
        <v>102890.66666666667</v>
      </c>
      <c r="U485" s="1265">
        <f t="shared" si="129"/>
        <v>340696.3510416667</v>
      </c>
      <c r="V485" s="1265">
        <f t="shared" si="129"/>
        <v>222982.9375</v>
      </c>
      <c r="W485" s="1265">
        <f t="shared" si="129"/>
        <v>107842.219125</v>
      </c>
      <c r="X485" s="1265">
        <f t="shared" si="129"/>
        <v>8859.7348750000001</v>
      </c>
      <c r="Y485" s="1265">
        <f t="shared" si="129"/>
        <v>30029.927250000001</v>
      </c>
      <c r="Z485" s="268">
        <f t="shared" si="129"/>
        <v>0</v>
      </c>
      <c r="AA485" s="268">
        <f t="shared" si="129"/>
        <v>0</v>
      </c>
      <c r="AB485" s="268">
        <f t="shared" si="129"/>
        <v>0</v>
      </c>
      <c r="AC485" s="268">
        <f t="shared" si="129"/>
        <v>0</v>
      </c>
      <c r="AD485" s="268">
        <f t="shared" si="129"/>
        <v>0</v>
      </c>
      <c r="AE485" s="268">
        <f t="shared" si="129"/>
        <v>0</v>
      </c>
      <c r="AF485" s="268">
        <f t="shared" si="129"/>
        <v>0</v>
      </c>
      <c r="AG485" s="268">
        <f t="shared" si="129"/>
        <v>1602691.6764583332</v>
      </c>
    </row>
    <row r="486" spans="1:33" ht="15.75" customHeight="1">
      <c r="A486" s="1248" t="s">
        <v>276</v>
      </c>
      <c r="B486" s="274"/>
      <c r="C486" s="278"/>
      <c r="D486" s="1270"/>
      <c r="E486" s="1270"/>
      <c r="F486" s="1270"/>
      <c r="G486" s="1270"/>
      <c r="H486" s="1270"/>
      <c r="I486" s="1270"/>
      <c r="J486" s="273"/>
      <c r="K486" s="1248"/>
      <c r="L486" s="1269"/>
      <c r="M486" s="1270"/>
      <c r="N486" s="1268"/>
      <c r="O486" s="1271"/>
      <c r="P486" s="1268"/>
      <c r="Q486" s="1272">
        <f>+Q487+Q502+Q508</f>
        <v>356290.50312499999</v>
      </c>
      <c r="R486" s="1273">
        <f>+'[2]Compil Costing PPA 3 millions'!F15</f>
        <v>356290.70624999999</v>
      </c>
      <c r="S486" s="1272">
        <f t="shared" ref="S486:AG486" si="130">+S487+S502+S508</f>
        <v>0</v>
      </c>
      <c r="T486" s="1272">
        <f t="shared" si="130"/>
        <v>0</v>
      </c>
      <c r="U486" s="1272">
        <f t="shared" si="130"/>
        <v>223990.18437500001</v>
      </c>
      <c r="V486" s="1272">
        <f t="shared" si="130"/>
        <v>13573.4375</v>
      </c>
      <c r="W486" s="1272">
        <f t="shared" si="130"/>
        <v>80924.719125000003</v>
      </c>
      <c r="X486" s="1272">
        <f t="shared" si="130"/>
        <v>7772.2348750000001</v>
      </c>
      <c r="Y486" s="1272">
        <f t="shared" si="130"/>
        <v>30029.927250000001</v>
      </c>
      <c r="Z486" s="276">
        <f t="shared" si="130"/>
        <v>0</v>
      </c>
      <c r="AA486" s="276">
        <f t="shared" si="130"/>
        <v>0</v>
      </c>
      <c r="AB486" s="276">
        <f t="shared" si="130"/>
        <v>0</v>
      </c>
      <c r="AC486" s="276">
        <f t="shared" si="130"/>
        <v>0</v>
      </c>
      <c r="AD486" s="276">
        <f t="shared" si="130"/>
        <v>0</v>
      </c>
      <c r="AE486" s="276">
        <f t="shared" si="130"/>
        <v>0</v>
      </c>
      <c r="AF486" s="276">
        <f t="shared" si="130"/>
        <v>0</v>
      </c>
      <c r="AG486" s="276">
        <f t="shared" si="130"/>
        <v>356290.50312499999</v>
      </c>
    </row>
    <row r="487" spans="1:33" ht="16.5" customHeight="1">
      <c r="A487" s="1275">
        <v>411</v>
      </c>
      <c r="B487" s="981" t="s">
        <v>911</v>
      </c>
      <c r="C487" s="1582"/>
      <c r="D487" s="1000"/>
      <c r="E487" s="1000"/>
      <c r="F487" s="1000"/>
      <c r="G487" s="1000"/>
      <c r="H487" s="1000"/>
      <c r="I487" s="1000"/>
      <c r="J487" s="283"/>
      <c r="K487" s="1278"/>
      <c r="L487" s="1279"/>
      <c r="M487" s="1280"/>
      <c r="N487" s="1277"/>
      <c r="O487" s="1281"/>
      <c r="P487" s="1277"/>
      <c r="Q487" s="1395">
        <f>SUM(Q488:Q501)</f>
        <v>63605.746874999997</v>
      </c>
      <c r="R487" s="287"/>
      <c r="S487" s="1395">
        <f t="shared" ref="S487:AF487" si="131">SUM(S488:S501)</f>
        <v>0</v>
      </c>
      <c r="T487" s="1395">
        <f t="shared" si="131"/>
        <v>0</v>
      </c>
      <c r="U487" s="1395">
        <f t="shared" si="131"/>
        <v>43754.809374999997</v>
      </c>
      <c r="V487" s="1395">
        <f t="shared" si="131"/>
        <v>13573.4375</v>
      </c>
      <c r="W487" s="1395">
        <f t="shared" si="131"/>
        <v>6277.5</v>
      </c>
      <c r="X487" s="1395">
        <f t="shared" si="131"/>
        <v>0</v>
      </c>
      <c r="Y487" s="1395">
        <f t="shared" si="131"/>
        <v>0</v>
      </c>
      <c r="Z487" s="361">
        <f t="shared" si="131"/>
        <v>0</v>
      </c>
      <c r="AA487" s="361">
        <f t="shared" si="131"/>
        <v>0</v>
      </c>
      <c r="AB487" s="361">
        <f t="shared" si="131"/>
        <v>0</v>
      </c>
      <c r="AC487" s="361">
        <f t="shared" si="131"/>
        <v>0</v>
      </c>
      <c r="AD487" s="361">
        <f t="shared" si="131"/>
        <v>0</v>
      </c>
      <c r="AE487" s="361">
        <f t="shared" si="131"/>
        <v>0</v>
      </c>
      <c r="AF487" s="361">
        <f t="shared" si="131"/>
        <v>0</v>
      </c>
      <c r="AG487" s="361">
        <f>SUM(S487:AF487)</f>
        <v>63605.746874999997</v>
      </c>
    </row>
    <row r="488" spans="1:33" ht="47.25" customHeight="1">
      <c r="A488" s="1442">
        <v>4111</v>
      </c>
      <c r="B488" s="824" t="s">
        <v>912</v>
      </c>
      <c r="C488" s="824" t="s">
        <v>913</v>
      </c>
      <c r="D488" s="1396"/>
      <c r="E488" s="1391">
        <f>45+21+5</f>
        <v>71</v>
      </c>
      <c r="F488" s="1400">
        <v>43192</v>
      </c>
      <c r="G488" s="1400">
        <f>F488+E488</f>
        <v>43263</v>
      </c>
      <c r="H488" s="293" t="s">
        <v>914</v>
      </c>
      <c r="I488" s="845" t="s">
        <v>178</v>
      </c>
      <c r="J488" s="866" t="s">
        <v>169</v>
      </c>
      <c r="K488" s="1094" t="s">
        <v>915</v>
      </c>
      <c r="L488" s="1238">
        <v>23174</v>
      </c>
      <c r="M488" s="1543"/>
      <c r="N488" s="845"/>
      <c r="O488" s="1583">
        <v>1582.090625</v>
      </c>
      <c r="P488" s="845">
        <v>1</v>
      </c>
      <c r="Q488" s="1110">
        <f t="shared" ref="Q488:Q501" si="132">O488*P488</f>
        <v>1582.090625</v>
      </c>
      <c r="R488" s="299"/>
      <c r="S488" s="299"/>
      <c r="T488" s="299"/>
      <c r="U488" s="299">
        <f>Q488</f>
        <v>1582.090625</v>
      </c>
      <c r="V488" s="299"/>
      <c r="W488" s="299"/>
      <c r="X488" s="1142"/>
      <c r="Y488" s="1124"/>
      <c r="Z488" s="1124"/>
      <c r="AA488" s="1124"/>
      <c r="AB488" s="1124"/>
      <c r="AC488" s="1124"/>
      <c r="AD488" s="1124"/>
      <c r="AE488" s="1124"/>
      <c r="AF488" s="1124"/>
      <c r="AG488" s="1124"/>
    </row>
    <row r="489" spans="1:33" ht="31.5">
      <c r="A489" s="1442">
        <v>4111</v>
      </c>
      <c r="B489" s="824" t="s">
        <v>912</v>
      </c>
      <c r="C489" s="824" t="s">
        <v>913</v>
      </c>
      <c r="D489" s="1401"/>
      <c r="E489" s="1391">
        <f>45+21+5</f>
        <v>71</v>
      </c>
      <c r="F489" s="1400">
        <v>43192</v>
      </c>
      <c r="G489" s="1400">
        <f>F489+E489</f>
        <v>43263</v>
      </c>
      <c r="H489" s="293" t="s">
        <v>914</v>
      </c>
      <c r="I489" s="845" t="s">
        <v>169</v>
      </c>
      <c r="J489" s="866" t="s">
        <v>178</v>
      </c>
      <c r="K489" s="1094" t="s">
        <v>320</v>
      </c>
      <c r="L489" s="1238">
        <v>23173</v>
      </c>
      <c r="M489" s="1543"/>
      <c r="N489" s="845"/>
      <c r="O489" s="1583">
        <v>164.0625</v>
      </c>
      <c r="P489" s="845">
        <v>1</v>
      </c>
      <c r="Q489" s="1110">
        <f t="shared" si="132"/>
        <v>164.0625</v>
      </c>
      <c r="R489" s="299"/>
      <c r="S489" s="299"/>
      <c r="T489" s="299"/>
      <c r="U489" s="299">
        <f t="shared" ref="U489:U495" si="133">Q489</f>
        <v>164.0625</v>
      </c>
      <c r="V489" s="299"/>
      <c r="W489" s="299"/>
      <c r="X489" s="1142"/>
      <c r="Y489" s="1124"/>
      <c r="Z489" s="1124"/>
      <c r="AA489" s="1124"/>
      <c r="AB489" s="1124"/>
      <c r="AC489" s="1124"/>
      <c r="AD489" s="1124"/>
      <c r="AE489" s="1124"/>
      <c r="AF489" s="1124"/>
      <c r="AG489" s="1124"/>
    </row>
    <row r="490" spans="1:33" ht="31.5">
      <c r="A490" s="1442">
        <v>4111</v>
      </c>
      <c r="B490" s="824" t="s">
        <v>912</v>
      </c>
      <c r="C490" s="824" t="s">
        <v>913</v>
      </c>
      <c r="D490" s="1401"/>
      <c r="E490" s="1391">
        <f>45+21+5</f>
        <v>71</v>
      </c>
      <c r="F490" s="1400">
        <v>43192</v>
      </c>
      <c r="G490" s="1400">
        <f>F490+E490</f>
        <v>43263</v>
      </c>
      <c r="H490" s="293" t="s">
        <v>914</v>
      </c>
      <c r="I490" s="845" t="s">
        <v>169</v>
      </c>
      <c r="J490" s="866" t="s">
        <v>178</v>
      </c>
      <c r="K490" s="1094" t="s">
        <v>916</v>
      </c>
      <c r="L490" s="1238">
        <v>23173</v>
      </c>
      <c r="M490" s="1543"/>
      <c r="N490" s="845"/>
      <c r="O490" s="1583">
        <v>31.25</v>
      </c>
      <c r="P490" s="845">
        <v>5</v>
      </c>
      <c r="Q490" s="1110">
        <f t="shared" si="132"/>
        <v>156.25</v>
      </c>
      <c r="R490" s="299"/>
      <c r="S490" s="299"/>
      <c r="T490" s="299"/>
      <c r="U490" s="299">
        <f t="shared" si="133"/>
        <v>156.25</v>
      </c>
      <c r="V490" s="299"/>
      <c r="W490" s="299"/>
      <c r="X490" s="1142"/>
      <c r="Y490" s="1124"/>
      <c r="Z490" s="1124"/>
      <c r="AA490" s="1124"/>
      <c r="AB490" s="1124"/>
      <c r="AC490" s="1124"/>
      <c r="AD490" s="1124"/>
      <c r="AE490" s="1124"/>
      <c r="AF490" s="1124"/>
      <c r="AG490" s="1124"/>
    </row>
    <row r="491" spans="1:33">
      <c r="A491" s="1535">
        <v>4112</v>
      </c>
      <c r="B491" s="857" t="s">
        <v>917</v>
      </c>
      <c r="C491" s="857" t="s">
        <v>918</v>
      </c>
      <c r="D491" s="1402"/>
      <c r="E491" s="1403">
        <f>3</f>
        <v>3</v>
      </c>
      <c r="F491" s="1404">
        <v>43265</v>
      </c>
      <c r="G491" s="1400">
        <f t="shared" ref="G491:G501" si="134">F491+E491-1</f>
        <v>43267</v>
      </c>
      <c r="H491" s="293" t="s">
        <v>914</v>
      </c>
      <c r="I491" s="294" t="s">
        <v>169</v>
      </c>
      <c r="J491" s="307" t="s">
        <v>178</v>
      </c>
      <c r="K491" s="1094" t="s">
        <v>320</v>
      </c>
      <c r="L491" s="1238">
        <v>23173</v>
      </c>
      <c r="M491" s="1543"/>
      <c r="N491" s="845"/>
      <c r="O491" s="1583">
        <v>523.125</v>
      </c>
      <c r="P491" s="845">
        <v>1</v>
      </c>
      <c r="Q491" s="1110">
        <f t="shared" si="132"/>
        <v>523.125</v>
      </c>
      <c r="R491" s="299"/>
      <c r="S491" s="299"/>
      <c r="T491" s="299"/>
      <c r="U491" s="299">
        <f t="shared" si="133"/>
        <v>523.125</v>
      </c>
      <c r="V491" s="299"/>
      <c r="W491" s="299"/>
      <c r="X491" s="1142"/>
      <c r="Y491" s="1124"/>
      <c r="Z491" s="1124"/>
      <c r="AA491" s="1124"/>
      <c r="AB491" s="1124"/>
      <c r="AC491" s="1124"/>
      <c r="AD491" s="1124"/>
      <c r="AE491" s="1124"/>
      <c r="AF491" s="1124"/>
      <c r="AG491" s="1124"/>
    </row>
    <row r="492" spans="1:33" s="326" customFormat="1" ht="47.25" customHeight="1">
      <c r="A492" s="1442">
        <v>4113</v>
      </c>
      <c r="B492" s="857" t="s">
        <v>919</v>
      </c>
      <c r="C492" s="857" t="s">
        <v>920</v>
      </c>
      <c r="D492" s="1396"/>
      <c r="E492" s="1391">
        <f>2</f>
        <v>2</v>
      </c>
      <c r="F492" s="1400">
        <v>43271</v>
      </c>
      <c r="G492" s="1400">
        <f t="shared" si="134"/>
        <v>43272</v>
      </c>
      <c r="H492" s="293" t="s">
        <v>914</v>
      </c>
      <c r="I492" s="294" t="s">
        <v>178</v>
      </c>
      <c r="J492" s="307" t="s">
        <v>169</v>
      </c>
      <c r="K492" s="1094" t="s">
        <v>888</v>
      </c>
      <c r="L492" s="1238">
        <v>23174</v>
      </c>
      <c r="N492" s="294"/>
      <c r="O492" s="1583">
        <v>34491.78125</v>
      </c>
      <c r="P492" s="294">
        <v>1</v>
      </c>
      <c r="Q492" s="1110">
        <f t="shared" si="132"/>
        <v>34491.78125</v>
      </c>
      <c r="R492" s="299"/>
      <c r="S492" s="299"/>
      <c r="T492" s="299"/>
      <c r="U492" s="299">
        <f t="shared" si="133"/>
        <v>34491.78125</v>
      </c>
      <c r="V492" s="299"/>
      <c r="W492" s="299"/>
      <c r="X492" s="1142"/>
      <c r="Y492" s="1124"/>
      <c r="Z492" s="1124"/>
      <c r="AA492" s="1124"/>
      <c r="AB492" s="1124"/>
      <c r="AC492" s="1124"/>
      <c r="AD492" s="1124"/>
      <c r="AE492" s="1124"/>
      <c r="AF492" s="1124"/>
      <c r="AG492" s="1124"/>
    </row>
    <row r="493" spans="1:33" s="326" customFormat="1" ht="31.5">
      <c r="A493" s="1442">
        <v>4113</v>
      </c>
      <c r="B493" s="857" t="s">
        <v>919</v>
      </c>
      <c r="C493" s="857" t="s">
        <v>920</v>
      </c>
      <c r="D493" s="1396"/>
      <c r="E493" s="1391">
        <f>2</f>
        <v>2</v>
      </c>
      <c r="F493" s="1400">
        <v>43271</v>
      </c>
      <c r="G493" s="1400">
        <f t="shared" si="134"/>
        <v>43272</v>
      </c>
      <c r="H493" s="293" t="s">
        <v>914</v>
      </c>
      <c r="I493" s="294" t="s">
        <v>169</v>
      </c>
      <c r="J493" s="307" t="s">
        <v>178</v>
      </c>
      <c r="K493" s="1094" t="s">
        <v>320</v>
      </c>
      <c r="L493" s="1238">
        <v>23173</v>
      </c>
      <c r="N493" s="294"/>
      <c r="O493" s="1583">
        <v>5156.25</v>
      </c>
      <c r="P493" s="294">
        <v>1</v>
      </c>
      <c r="Q493" s="1110">
        <f t="shared" si="132"/>
        <v>5156.25</v>
      </c>
      <c r="R493" s="299"/>
      <c r="S493" s="299"/>
      <c r="T493" s="299"/>
      <c r="U493" s="299">
        <f t="shared" si="133"/>
        <v>5156.25</v>
      </c>
      <c r="V493" s="299"/>
      <c r="W493" s="299"/>
      <c r="X493" s="1142"/>
      <c r="Y493" s="1124"/>
      <c r="Z493" s="1124"/>
      <c r="AA493" s="1124"/>
      <c r="AB493" s="1124"/>
      <c r="AC493" s="1124"/>
      <c r="AD493" s="1124"/>
      <c r="AE493" s="1124"/>
      <c r="AF493" s="1124"/>
      <c r="AG493" s="1124"/>
    </row>
    <row r="494" spans="1:33" s="326" customFormat="1" ht="31.5">
      <c r="A494" s="1442">
        <v>4113</v>
      </c>
      <c r="B494" s="857" t="s">
        <v>919</v>
      </c>
      <c r="C494" s="857" t="s">
        <v>920</v>
      </c>
      <c r="D494" s="1396"/>
      <c r="E494" s="1391">
        <f>2</f>
        <v>2</v>
      </c>
      <c r="F494" s="1400">
        <v>43271</v>
      </c>
      <c r="G494" s="1400">
        <f t="shared" si="134"/>
        <v>43272</v>
      </c>
      <c r="H494" s="293" t="s">
        <v>914</v>
      </c>
      <c r="I494" s="294" t="s">
        <v>169</v>
      </c>
      <c r="J494" s="307" t="s">
        <v>178</v>
      </c>
      <c r="K494" s="1094" t="s">
        <v>916</v>
      </c>
      <c r="L494" s="1238">
        <v>23173</v>
      </c>
      <c r="N494" s="294"/>
      <c r="O494" s="1583">
        <v>31.25</v>
      </c>
      <c r="P494" s="294">
        <f>2*22</f>
        <v>44</v>
      </c>
      <c r="Q494" s="1110">
        <f t="shared" si="132"/>
        <v>1375</v>
      </c>
      <c r="R494" s="299"/>
      <c r="S494" s="299"/>
      <c r="T494" s="299"/>
      <c r="U494" s="299">
        <f t="shared" si="133"/>
        <v>1375</v>
      </c>
      <c r="V494" s="299"/>
      <c r="W494" s="299"/>
      <c r="X494" s="1142"/>
      <c r="Y494" s="1124"/>
      <c r="Z494" s="1124"/>
      <c r="AA494" s="1124"/>
      <c r="AB494" s="1124"/>
      <c r="AC494" s="1124"/>
      <c r="AD494" s="1124"/>
      <c r="AE494" s="1124"/>
      <c r="AF494" s="1124"/>
      <c r="AG494" s="1124"/>
    </row>
    <row r="495" spans="1:33" s="326" customFormat="1" ht="31.5">
      <c r="A495" s="1535">
        <v>4114</v>
      </c>
      <c r="B495" s="857" t="s">
        <v>921</v>
      </c>
      <c r="C495" s="857" t="s">
        <v>922</v>
      </c>
      <c r="D495" s="1396"/>
      <c r="E495" s="1391">
        <f>3</f>
        <v>3</v>
      </c>
      <c r="F495" s="1405">
        <v>43279</v>
      </c>
      <c r="G495" s="1400">
        <f t="shared" si="134"/>
        <v>43281</v>
      </c>
      <c r="H495" s="293" t="s">
        <v>914</v>
      </c>
      <c r="I495" s="294" t="s">
        <v>169</v>
      </c>
      <c r="J495" s="307" t="s">
        <v>178</v>
      </c>
      <c r="K495" s="1094" t="s">
        <v>670</v>
      </c>
      <c r="L495" s="1238">
        <v>23173</v>
      </c>
      <c r="N495" s="294"/>
      <c r="O495" s="1583">
        <v>153.125</v>
      </c>
      <c r="P495" s="294">
        <v>2</v>
      </c>
      <c r="Q495" s="1110">
        <f t="shared" si="132"/>
        <v>306.25</v>
      </c>
      <c r="R495" s="299"/>
      <c r="S495" s="299"/>
      <c r="T495" s="299"/>
      <c r="U495" s="299">
        <f t="shared" si="133"/>
        <v>306.25</v>
      </c>
      <c r="V495" s="299"/>
      <c r="W495" s="299"/>
      <c r="X495" s="1142"/>
      <c r="Y495" s="1124"/>
      <c r="Z495" s="1124"/>
      <c r="AA495" s="1124"/>
      <c r="AB495" s="1124"/>
      <c r="AC495" s="1124"/>
      <c r="AD495" s="1124"/>
      <c r="AE495" s="1124"/>
      <c r="AF495" s="1124"/>
      <c r="AG495" s="1124"/>
    </row>
    <row r="496" spans="1:33" s="1543" customFormat="1" ht="48.75" customHeight="1">
      <c r="A496" s="1442">
        <v>4115</v>
      </c>
      <c r="B496" s="1584" t="s">
        <v>923</v>
      </c>
      <c r="C496" s="824" t="s">
        <v>924</v>
      </c>
      <c r="D496" s="326"/>
      <c r="E496" s="1391">
        <f>5</f>
        <v>5</v>
      </c>
      <c r="F496" s="1404">
        <v>43283</v>
      </c>
      <c r="G496" s="1400">
        <f t="shared" si="134"/>
        <v>43287</v>
      </c>
      <c r="H496" s="293" t="s">
        <v>914</v>
      </c>
      <c r="I496" s="845" t="s">
        <v>178</v>
      </c>
      <c r="J496" s="866" t="s">
        <v>925</v>
      </c>
      <c r="K496" s="326"/>
      <c r="L496" s="1237"/>
      <c r="M496" s="326"/>
      <c r="N496" s="294"/>
      <c r="O496" s="1583">
        <v>0</v>
      </c>
      <c r="P496" s="294">
        <v>0</v>
      </c>
      <c r="Q496" s="1110">
        <f t="shared" si="132"/>
        <v>0</v>
      </c>
      <c r="R496" s="299"/>
      <c r="S496" s="299"/>
      <c r="T496" s="299"/>
      <c r="U496" s="299"/>
      <c r="V496" s="299">
        <f>Q496</f>
        <v>0</v>
      </c>
      <c r="W496" s="299"/>
      <c r="X496" s="1142"/>
      <c r="Y496" s="1124"/>
      <c r="Z496" s="1124"/>
      <c r="AA496" s="1124"/>
      <c r="AB496" s="1124"/>
      <c r="AC496" s="1124"/>
      <c r="AD496" s="1124"/>
      <c r="AE496" s="1124"/>
      <c r="AF496" s="1124"/>
      <c r="AG496" s="1124"/>
    </row>
    <row r="497" spans="1:33" s="1585" customFormat="1" ht="36.75" customHeight="1">
      <c r="A497" s="1535">
        <v>4116</v>
      </c>
      <c r="B497" s="868" t="s">
        <v>926</v>
      </c>
      <c r="C497" s="857" t="s">
        <v>927</v>
      </c>
      <c r="D497" s="326"/>
      <c r="E497" s="1406">
        <f>30</f>
        <v>30</v>
      </c>
      <c r="F497" s="1400">
        <v>43290</v>
      </c>
      <c r="G497" s="1400">
        <f t="shared" si="134"/>
        <v>43319</v>
      </c>
      <c r="H497" s="293" t="s">
        <v>914</v>
      </c>
      <c r="I497" s="294" t="s">
        <v>169</v>
      </c>
      <c r="J497" s="307" t="s">
        <v>178</v>
      </c>
      <c r="K497" s="1094" t="s">
        <v>320</v>
      </c>
      <c r="L497" s="1238">
        <v>23173</v>
      </c>
      <c r="N497" s="1393"/>
      <c r="O497" s="1583">
        <v>12270.9375</v>
      </c>
      <c r="P497" s="1393">
        <v>1</v>
      </c>
      <c r="Q497" s="1110">
        <f t="shared" si="132"/>
        <v>12270.9375</v>
      </c>
      <c r="R497" s="299"/>
      <c r="S497" s="299"/>
      <c r="T497" s="299"/>
      <c r="U497" s="299"/>
      <c r="V497" s="299">
        <f>Q497</f>
        <v>12270.9375</v>
      </c>
      <c r="W497" s="299"/>
      <c r="X497" s="1142"/>
      <c r="Y497" s="1124"/>
      <c r="Z497" s="1124"/>
      <c r="AA497" s="1124"/>
      <c r="AB497" s="1124"/>
      <c r="AC497" s="1124"/>
      <c r="AD497" s="1124"/>
      <c r="AE497" s="1124"/>
      <c r="AF497" s="1124"/>
      <c r="AG497" s="1124"/>
    </row>
    <row r="498" spans="1:33" s="326" customFormat="1">
      <c r="A498" s="1535">
        <v>4117</v>
      </c>
      <c r="B498" s="868" t="s">
        <v>928</v>
      </c>
      <c r="C498" s="1088" t="s">
        <v>929</v>
      </c>
      <c r="E498" s="1406">
        <f>6</f>
        <v>6</v>
      </c>
      <c r="F498" s="1400">
        <v>43290</v>
      </c>
      <c r="G498" s="1400">
        <f t="shared" si="134"/>
        <v>43295</v>
      </c>
      <c r="H498" s="293" t="s">
        <v>914</v>
      </c>
      <c r="I498" s="294" t="s">
        <v>169</v>
      </c>
      <c r="J498" s="307" t="s">
        <v>178</v>
      </c>
      <c r="K498" s="1094" t="s">
        <v>320</v>
      </c>
      <c r="L498" s="1238">
        <v>23173</v>
      </c>
      <c r="N498" s="294"/>
      <c r="O498" s="1583">
        <v>599.375</v>
      </c>
      <c r="P498" s="294">
        <v>1</v>
      </c>
      <c r="Q498" s="1110">
        <f t="shared" si="132"/>
        <v>599.375</v>
      </c>
      <c r="R498" s="299"/>
      <c r="S498" s="299"/>
      <c r="T498" s="299"/>
      <c r="U498" s="299"/>
      <c r="V498" s="299">
        <f>Q498</f>
        <v>599.375</v>
      </c>
      <c r="W498" s="299"/>
      <c r="X498" s="1142"/>
      <c r="Y498" s="1124"/>
      <c r="Z498" s="1124"/>
      <c r="AA498" s="1124"/>
      <c r="AB498" s="1124"/>
      <c r="AC498" s="1124"/>
      <c r="AD498" s="1124"/>
      <c r="AE498" s="1124"/>
      <c r="AF498" s="1124"/>
      <c r="AG498" s="1124"/>
    </row>
    <row r="499" spans="1:33" ht="38.25">
      <c r="A499" s="1535">
        <v>4118</v>
      </c>
      <c r="B499" s="868" t="s">
        <v>930</v>
      </c>
      <c r="C499" s="1088" t="s">
        <v>931</v>
      </c>
      <c r="D499" s="326"/>
      <c r="E499" s="1391">
        <f>3</f>
        <v>3</v>
      </c>
      <c r="F499" s="1400">
        <v>43304</v>
      </c>
      <c r="G499" s="1400">
        <f t="shared" si="134"/>
        <v>43306</v>
      </c>
      <c r="H499" s="293" t="s">
        <v>914</v>
      </c>
      <c r="I499" s="294" t="s">
        <v>178</v>
      </c>
      <c r="J499" s="307" t="s">
        <v>932</v>
      </c>
      <c r="K499" s="311" t="s">
        <v>933</v>
      </c>
      <c r="L499" s="1238">
        <v>23172</v>
      </c>
      <c r="M499" s="326"/>
      <c r="N499" s="294"/>
      <c r="O499" s="1583">
        <v>15.625</v>
      </c>
      <c r="P499" s="294">
        <f>45</f>
        <v>45</v>
      </c>
      <c r="Q499" s="1110">
        <f t="shared" si="132"/>
        <v>703.125</v>
      </c>
      <c r="R499" s="299"/>
      <c r="S499" s="299"/>
      <c r="T499" s="299"/>
      <c r="U499" s="299"/>
      <c r="V499" s="299">
        <f>Q499</f>
        <v>703.125</v>
      </c>
      <c r="W499" s="299"/>
      <c r="X499" s="1142"/>
      <c r="Y499" s="1124"/>
      <c r="Z499" s="1124"/>
      <c r="AA499" s="1124"/>
      <c r="AB499" s="1124"/>
      <c r="AC499" s="1124"/>
      <c r="AD499" s="1124"/>
      <c r="AE499" s="1124"/>
      <c r="AF499" s="1124"/>
      <c r="AG499" s="1124"/>
    </row>
    <row r="500" spans="1:33" ht="25.5">
      <c r="A500" s="1535">
        <v>4119</v>
      </c>
      <c r="B500" s="868" t="s">
        <v>934</v>
      </c>
      <c r="C500" s="1088" t="s">
        <v>935</v>
      </c>
      <c r="D500" s="1543"/>
      <c r="E500" s="1403">
        <f>5</f>
        <v>5</v>
      </c>
      <c r="F500" s="1404">
        <v>43325</v>
      </c>
      <c r="G500" s="1400">
        <f t="shared" si="134"/>
        <v>43329</v>
      </c>
      <c r="H500" s="293" t="s">
        <v>914</v>
      </c>
      <c r="I500" s="845" t="s">
        <v>178</v>
      </c>
      <c r="J500" s="866" t="s">
        <v>169</v>
      </c>
      <c r="K500" s="1094" t="s">
        <v>888</v>
      </c>
      <c r="L500" s="1238">
        <v>23174</v>
      </c>
      <c r="M500" s="1543"/>
      <c r="N500" s="845"/>
      <c r="O500" s="1583">
        <v>5277.5</v>
      </c>
      <c r="P500" s="845">
        <v>1</v>
      </c>
      <c r="Q500" s="1110">
        <f t="shared" si="132"/>
        <v>5277.5</v>
      </c>
      <c r="R500" s="299"/>
      <c r="S500" s="299"/>
      <c r="T500" s="299"/>
      <c r="U500" s="299"/>
      <c r="V500" s="299"/>
      <c r="W500" s="299">
        <f>Q500</f>
        <v>5277.5</v>
      </c>
      <c r="X500" s="1142"/>
      <c r="Y500" s="1124"/>
      <c r="Z500" s="1124"/>
      <c r="AA500" s="1124"/>
      <c r="AB500" s="1124"/>
      <c r="AC500" s="1124"/>
      <c r="AD500" s="1124"/>
      <c r="AE500" s="1124"/>
      <c r="AF500" s="1124"/>
      <c r="AG500" s="1124"/>
    </row>
    <row r="501" spans="1:33" ht="25.5">
      <c r="A501" s="1535">
        <v>4119</v>
      </c>
      <c r="B501" s="868" t="s">
        <v>934</v>
      </c>
      <c r="C501" s="1088" t="s">
        <v>935</v>
      </c>
      <c r="D501" s="1543"/>
      <c r="E501" s="1403">
        <f>5</f>
        <v>5</v>
      </c>
      <c r="F501" s="1404">
        <v>43325</v>
      </c>
      <c r="G501" s="1400">
        <f t="shared" si="134"/>
        <v>43329</v>
      </c>
      <c r="H501" s="293" t="s">
        <v>914</v>
      </c>
      <c r="I501" s="294" t="s">
        <v>169</v>
      </c>
      <c r="J501" s="307" t="s">
        <v>178</v>
      </c>
      <c r="K501" s="1094" t="s">
        <v>320</v>
      </c>
      <c r="L501" s="1238">
        <v>23173</v>
      </c>
      <c r="M501" s="1543"/>
      <c r="N501" s="845"/>
      <c r="O501" s="1583">
        <v>1000</v>
      </c>
      <c r="P501" s="845">
        <v>1</v>
      </c>
      <c r="Q501" s="1110">
        <f t="shared" si="132"/>
        <v>1000</v>
      </c>
      <c r="R501" s="299"/>
      <c r="S501" s="299"/>
      <c r="T501" s="299"/>
      <c r="U501" s="299"/>
      <c r="V501" s="299"/>
      <c r="W501" s="299">
        <f>Q501</f>
        <v>1000</v>
      </c>
      <c r="X501" s="1142"/>
      <c r="Y501" s="1124"/>
      <c r="Z501" s="1124"/>
      <c r="AA501" s="1124"/>
      <c r="AB501" s="1124"/>
      <c r="AC501" s="1124"/>
      <c r="AD501" s="1124"/>
      <c r="AE501" s="1124"/>
      <c r="AF501" s="1124"/>
      <c r="AG501" s="1124"/>
    </row>
    <row r="502" spans="1:33" ht="16.5" customHeight="1">
      <c r="A502" s="1275">
        <v>412</v>
      </c>
      <c r="B502" s="981" t="s">
        <v>936</v>
      </c>
      <c r="C502" s="1582"/>
      <c r="D502" s="1000"/>
      <c r="E502" s="1000"/>
      <c r="F502" s="1000"/>
      <c r="G502" s="1000"/>
      <c r="H502" s="1000"/>
      <c r="I502" s="1000"/>
      <c r="J502" s="283"/>
      <c r="K502" s="1278"/>
      <c r="L502" s="1279"/>
      <c r="M502" s="1280"/>
      <c r="N502" s="1277"/>
      <c r="O502" s="1281"/>
      <c r="P502" s="1277"/>
      <c r="Q502" s="1395">
        <f>SUM(Q503:Q507)</f>
        <v>9103.5</v>
      </c>
      <c r="R502" s="287"/>
      <c r="S502" s="1395">
        <f t="shared" ref="S502:AF502" si="135">SUM(S503:S507)</f>
        <v>0</v>
      </c>
      <c r="T502" s="1395">
        <f t="shared" si="135"/>
        <v>0</v>
      </c>
      <c r="U502" s="1395">
        <f t="shared" si="135"/>
        <v>0</v>
      </c>
      <c r="V502" s="1395">
        <f t="shared" si="135"/>
        <v>0</v>
      </c>
      <c r="W502" s="1395">
        <f t="shared" si="135"/>
        <v>9103.5</v>
      </c>
      <c r="X502" s="1395">
        <f t="shared" si="135"/>
        <v>0</v>
      </c>
      <c r="Y502" s="1395">
        <f t="shared" si="135"/>
        <v>0</v>
      </c>
      <c r="Z502" s="361">
        <f t="shared" si="135"/>
        <v>0</v>
      </c>
      <c r="AA502" s="361">
        <f t="shared" si="135"/>
        <v>0</v>
      </c>
      <c r="AB502" s="361">
        <f t="shared" si="135"/>
        <v>0</v>
      </c>
      <c r="AC502" s="361">
        <f t="shared" si="135"/>
        <v>0</v>
      </c>
      <c r="AD502" s="361">
        <f t="shared" si="135"/>
        <v>0</v>
      </c>
      <c r="AE502" s="361">
        <f t="shared" si="135"/>
        <v>0</v>
      </c>
      <c r="AF502" s="361">
        <f t="shared" si="135"/>
        <v>0</v>
      </c>
      <c r="AG502" s="361">
        <f>SUM(S502:AF502)</f>
        <v>9103.5</v>
      </c>
    </row>
    <row r="503" spans="1:33" s="1356" customFormat="1" ht="57" customHeight="1">
      <c r="A503" s="569">
        <v>4121</v>
      </c>
      <c r="B503" s="876" t="s">
        <v>937</v>
      </c>
      <c r="C503" s="876" t="s">
        <v>938</v>
      </c>
      <c r="D503" s="1407"/>
      <c r="E503" s="1408">
        <f>2</f>
        <v>2</v>
      </c>
      <c r="F503" s="1400">
        <v>43297</v>
      </c>
      <c r="G503" s="1400">
        <f>F503+E503-1</f>
        <v>43298</v>
      </c>
      <c r="H503" s="887" t="s">
        <v>178</v>
      </c>
      <c r="I503" s="1409" t="s">
        <v>178</v>
      </c>
      <c r="J503" s="880" t="s">
        <v>169</v>
      </c>
      <c r="K503" s="1094" t="s">
        <v>888</v>
      </c>
      <c r="L503" s="1238">
        <v>23174</v>
      </c>
      <c r="M503" s="1586"/>
      <c r="N503" s="1410"/>
      <c r="O503" s="488">
        <v>3106.9156250000001</v>
      </c>
      <c r="P503" s="1410">
        <v>1</v>
      </c>
      <c r="Q503" s="1411">
        <f>O503*P503</f>
        <v>3106.9156250000001</v>
      </c>
      <c r="R503" s="1412"/>
      <c r="S503" s="831"/>
      <c r="T503" s="831"/>
      <c r="U503" s="831"/>
      <c r="V503" s="831"/>
      <c r="W503" s="831">
        <f>Q503</f>
        <v>3106.9156250000001</v>
      </c>
      <c r="X503" s="1587"/>
      <c r="Y503" s="1588"/>
      <c r="Z503" s="1569"/>
      <c r="AA503" s="1569"/>
      <c r="AB503" s="1569"/>
      <c r="AC503" s="1569"/>
      <c r="AD503" s="1569"/>
      <c r="AE503" s="1569"/>
      <c r="AF503" s="1569"/>
      <c r="AG503" s="1569"/>
    </row>
    <row r="504" spans="1:33" s="1356" customFormat="1" ht="33" customHeight="1">
      <c r="A504" s="569">
        <v>4121</v>
      </c>
      <c r="B504" s="876" t="s">
        <v>937</v>
      </c>
      <c r="C504" s="876" t="s">
        <v>939</v>
      </c>
      <c r="D504" s="1407"/>
      <c r="E504" s="1408">
        <f>2</f>
        <v>2</v>
      </c>
      <c r="F504" s="1400">
        <v>43297</v>
      </c>
      <c r="G504" s="1400">
        <f>F504+E504-1</f>
        <v>43298</v>
      </c>
      <c r="H504" s="887" t="s">
        <v>178</v>
      </c>
      <c r="I504" s="887" t="s">
        <v>169</v>
      </c>
      <c r="J504" s="307" t="s">
        <v>178</v>
      </c>
      <c r="K504" s="1094" t="s">
        <v>486</v>
      </c>
      <c r="L504" s="1238">
        <v>23173</v>
      </c>
      <c r="M504" s="1586"/>
      <c r="N504" s="1410"/>
      <c r="O504" s="488">
        <v>46.875</v>
      </c>
      <c r="P504" s="1410">
        <v>2</v>
      </c>
      <c r="Q504" s="1411">
        <f>O504*P504</f>
        <v>93.75</v>
      </c>
      <c r="R504" s="1412"/>
      <c r="S504" s="831"/>
      <c r="T504" s="831"/>
      <c r="U504" s="831"/>
      <c r="V504" s="831"/>
      <c r="W504" s="831">
        <f>Q504</f>
        <v>93.75</v>
      </c>
      <c r="X504" s="1587"/>
      <c r="Y504" s="1588"/>
      <c r="Z504" s="1569"/>
      <c r="AA504" s="1569"/>
      <c r="AB504" s="1569"/>
      <c r="AC504" s="1569"/>
      <c r="AD504" s="1569"/>
      <c r="AE504" s="1569"/>
      <c r="AF504" s="1569"/>
      <c r="AG504" s="1569"/>
    </row>
    <row r="505" spans="1:33" s="1356" customFormat="1" ht="44.25" customHeight="1">
      <c r="A505" s="569">
        <v>4122</v>
      </c>
      <c r="B505" s="888" t="s">
        <v>23</v>
      </c>
      <c r="C505" s="876" t="s">
        <v>939</v>
      </c>
      <c r="D505" s="1407"/>
      <c r="E505" s="1408">
        <f>3</f>
        <v>3</v>
      </c>
      <c r="F505" s="1400">
        <v>43300</v>
      </c>
      <c r="G505" s="1400">
        <f>F505+E505-1</f>
        <v>43302</v>
      </c>
      <c r="H505" s="887" t="s">
        <v>178</v>
      </c>
      <c r="I505" s="1409" t="s">
        <v>178</v>
      </c>
      <c r="J505" s="880" t="s">
        <v>169</v>
      </c>
      <c r="K505" s="1094" t="s">
        <v>888</v>
      </c>
      <c r="L505" s="1238">
        <v>23174</v>
      </c>
      <c r="M505" s="1586"/>
      <c r="N505" s="1410"/>
      <c r="O505" s="488">
        <v>5645.0218750000004</v>
      </c>
      <c r="P505" s="1410">
        <v>1</v>
      </c>
      <c r="Q505" s="1411">
        <f>O505*P505</f>
        <v>5645.0218750000004</v>
      </c>
      <c r="R505" s="1412"/>
      <c r="S505" s="831"/>
      <c r="T505" s="831"/>
      <c r="U505" s="831"/>
      <c r="V505" s="831"/>
      <c r="W505" s="831">
        <f>Q505</f>
        <v>5645.0218750000004</v>
      </c>
      <c r="X505" s="1587"/>
      <c r="Y505" s="1588"/>
      <c r="Z505" s="1569"/>
      <c r="AA505" s="1569"/>
      <c r="AB505" s="1569"/>
      <c r="AC505" s="1569"/>
      <c r="AD505" s="1569"/>
      <c r="AE505" s="1569"/>
      <c r="AF505" s="1569"/>
      <c r="AG505" s="1569"/>
    </row>
    <row r="506" spans="1:33" s="1356" customFormat="1" ht="37.5" customHeight="1">
      <c r="A506" s="569">
        <v>4122</v>
      </c>
      <c r="B506" s="888" t="s">
        <v>23</v>
      </c>
      <c r="C506" s="888" t="s">
        <v>940</v>
      </c>
      <c r="D506" s="1407"/>
      <c r="E506" s="1408">
        <f>3</f>
        <v>3</v>
      </c>
      <c r="F506" s="1400">
        <v>43300</v>
      </c>
      <c r="G506" s="1400">
        <f>F506+E506-1</f>
        <v>43302</v>
      </c>
      <c r="H506" s="887" t="s">
        <v>178</v>
      </c>
      <c r="I506" s="887" t="s">
        <v>169</v>
      </c>
      <c r="J506" s="307" t="s">
        <v>178</v>
      </c>
      <c r="K506" s="1094" t="s">
        <v>486</v>
      </c>
      <c r="L506" s="1238">
        <v>23173</v>
      </c>
      <c r="M506" s="1586"/>
      <c r="N506" s="1410"/>
      <c r="O506" s="488">
        <v>31.25</v>
      </c>
      <c r="P506" s="1410">
        <v>3</v>
      </c>
      <c r="Q506" s="1411">
        <f>O506*P506</f>
        <v>93.75</v>
      </c>
      <c r="R506" s="1412"/>
      <c r="S506" s="831"/>
      <c r="T506" s="831"/>
      <c r="U506" s="831"/>
      <c r="V506" s="831"/>
      <c r="W506" s="831">
        <f>Q506</f>
        <v>93.75</v>
      </c>
      <c r="X506" s="1587"/>
      <c r="Y506" s="1588"/>
      <c r="Z506" s="1569"/>
      <c r="AA506" s="1569"/>
      <c r="AB506" s="1569"/>
      <c r="AC506" s="1569"/>
      <c r="AD506" s="1569"/>
      <c r="AE506" s="1569"/>
      <c r="AF506" s="1569"/>
      <c r="AG506" s="1569"/>
    </row>
    <row r="507" spans="1:33" s="1356" customFormat="1" ht="37.5" customHeight="1">
      <c r="A507" s="569">
        <v>4122</v>
      </c>
      <c r="B507" s="888" t="s">
        <v>23</v>
      </c>
      <c r="C507" s="888" t="s">
        <v>940</v>
      </c>
      <c r="D507" s="1407"/>
      <c r="E507" s="1408">
        <f>3</f>
        <v>3</v>
      </c>
      <c r="F507" s="1400">
        <v>43300</v>
      </c>
      <c r="G507" s="1400">
        <f>F507+E507-1</f>
        <v>43302</v>
      </c>
      <c r="H507" s="887" t="s">
        <v>178</v>
      </c>
      <c r="I507" s="887" t="s">
        <v>169</v>
      </c>
      <c r="J507" s="307" t="s">
        <v>178</v>
      </c>
      <c r="K507" s="1094" t="s">
        <v>320</v>
      </c>
      <c r="L507" s="1238">
        <v>23173</v>
      </c>
      <c r="M507" s="1586"/>
      <c r="N507" s="1410"/>
      <c r="O507" s="488">
        <v>164.0625</v>
      </c>
      <c r="P507" s="1410">
        <v>1</v>
      </c>
      <c r="Q507" s="1411">
        <f>O507*P507</f>
        <v>164.0625</v>
      </c>
      <c r="R507" s="1412"/>
      <c r="S507" s="831"/>
      <c r="T507" s="831"/>
      <c r="U507" s="831"/>
      <c r="V507" s="831"/>
      <c r="W507" s="831">
        <f>Q507</f>
        <v>164.0625</v>
      </c>
      <c r="X507" s="1587"/>
      <c r="Y507" s="1588"/>
      <c r="Z507" s="1569"/>
      <c r="AA507" s="1569"/>
      <c r="AB507" s="1569"/>
      <c r="AC507" s="1569"/>
      <c r="AD507" s="1569"/>
      <c r="AE507" s="1569"/>
      <c r="AF507" s="1569"/>
      <c r="AG507" s="1569"/>
    </row>
    <row r="508" spans="1:33" s="1001" customFormat="1" ht="16.5" customHeight="1">
      <c r="A508" s="1275">
        <v>413</v>
      </c>
      <c r="B508" s="981" t="s">
        <v>941</v>
      </c>
      <c r="C508" s="1582"/>
      <c r="D508" s="1000"/>
      <c r="E508" s="1000"/>
      <c r="F508" s="1000"/>
      <c r="G508" s="1000"/>
      <c r="H508" s="1000"/>
      <c r="I508" s="1000"/>
      <c r="J508" s="283"/>
      <c r="K508" s="1278"/>
      <c r="L508" s="1279"/>
      <c r="M508" s="1280"/>
      <c r="N508" s="1277"/>
      <c r="O508" s="1281"/>
      <c r="P508" s="1277"/>
      <c r="Q508" s="1395">
        <f>Q509+Q523</f>
        <v>283581.25624999998</v>
      </c>
      <c r="R508" s="287"/>
      <c r="S508" s="1395">
        <f t="shared" ref="S508:AF508" si="136">S509+S523</f>
        <v>0</v>
      </c>
      <c r="T508" s="1395">
        <f t="shared" si="136"/>
        <v>0</v>
      </c>
      <c r="U508" s="1395">
        <f t="shared" si="136"/>
        <v>180235.375</v>
      </c>
      <c r="V508" s="1395">
        <f t="shared" si="136"/>
        <v>0</v>
      </c>
      <c r="W508" s="1395">
        <f t="shared" si="136"/>
        <v>65543.719125000003</v>
      </c>
      <c r="X508" s="1395">
        <f t="shared" si="136"/>
        <v>7772.2348750000001</v>
      </c>
      <c r="Y508" s="1395">
        <f t="shared" si="136"/>
        <v>30029.927250000001</v>
      </c>
      <c r="Z508" s="361">
        <f t="shared" si="136"/>
        <v>0</v>
      </c>
      <c r="AA508" s="361">
        <f t="shared" si="136"/>
        <v>0</v>
      </c>
      <c r="AB508" s="361">
        <f t="shared" si="136"/>
        <v>0</v>
      </c>
      <c r="AC508" s="361">
        <f t="shared" si="136"/>
        <v>0</v>
      </c>
      <c r="AD508" s="361">
        <f t="shared" si="136"/>
        <v>0</v>
      </c>
      <c r="AE508" s="361">
        <f t="shared" si="136"/>
        <v>0</v>
      </c>
      <c r="AF508" s="361">
        <f t="shared" si="136"/>
        <v>0</v>
      </c>
      <c r="AG508" s="361">
        <f>SUM(S508:AF508)</f>
        <v>283581.25624999998</v>
      </c>
    </row>
    <row r="509" spans="1:33" s="1597" customFormat="1" ht="31.5">
      <c r="A509" s="1536">
        <v>4131</v>
      </c>
      <c r="B509" s="1589" t="s">
        <v>942</v>
      </c>
      <c r="C509" s="1590"/>
      <c r="D509" s="1549"/>
      <c r="E509" s="1591"/>
      <c r="F509" s="1413"/>
      <c r="G509" s="1413"/>
      <c r="H509" s="894"/>
      <c r="I509" s="895"/>
      <c r="J509" s="1592"/>
      <c r="K509" s="1549"/>
      <c r="L509" s="1593"/>
      <c r="M509" s="1549"/>
      <c r="N509" s="895"/>
      <c r="O509" s="1594"/>
      <c r="P509" s="895"/>
      <c r="Q509" s="1595">
        <f>SUM(Q510:Q522)</f>
        <v>243638.828125</v>
      </c>
      <c r="R509" s="1414"/>
      <c r="S509" s="1595">
        <f t="shared" ref="S509:AF509" si="137">SUM(S510:S522)</f>
        <v>0</v>
      </c>
      <c r="T509" s="1595">
        <f t="shared" si="137"/>
        <v>0</v>
      </c>
      <c r="U509" s="1595">
        <f t="shared" si="137"/>
        <v>180235.375</v>
      </c>
      <c r="V509" s="1595">
        <f t="shared" si="137"/>
        <v>0</v>
      </c>
      <c r="W509" s="1595">
        <f t="shared" si="137"/>
        <v>63403.453125</v>
      </c>
      <c r="X509" s="1595">
        <f t="shared" si="137"/>
        <v>0</v>
      </c>
      <c r="Y509" s="1595">
        <f t="shared" si="137"/>
        <v>0</v>
      </c>
      <c r="Z509" s="1595">
        <f t="shared" si="137"/>
        <v>0</v>
      </c>
      <c r="AA509" s="1595">
        <f t="shared" si="137"/>
        <v>0</v>
      </c>
      <c r="AB509" s="1595">
        <f t="shared" si="137"/>
        <v>0</v>
      </c>
      <c r="AC509" s="1595">
        <f t="shared" si="137"/>
        <v>0</v>
      </c>
      <c r="AD509" s="1595">
        <f t="shared" si="137"/>
        <v>0</v>
      </c>
      <c r="AE509" s="1595">
        <f t="shared" si="137"/>
        <v>0</v>
      </c>
      <c r="AF509" s="1595">
        <f t="shared" si="137"/>
        <v>0</v>
      </c>
      <c r="AG509" s="1596"/>
    </row>
    <row r="510" spans="1:33" ht="51.75" customHeight="1">
      <c r="A510" s="1519">
        <v>4131</v>
      </c>
      <c r="B510" s="857" t="s">
        <v>943</v>
      </c>
      <c r="C510" s="1598" t="s">
        <v>944</v>
      </c>
      <c r="D510" s="1599"/>
      <c r="E510" s="1391">
        <f>45+21</f>
        <v>66</v>
      </c>
      <c r="F510" s="1400">
        <v>43192</v>
      </c>
      <c r="G510" s="1400">
        <f>E510+F510-1</f>
        <v>43257</v>
      </c>
      <c r="H510" s="845" t="s">
        <v>178</v>
      </c>
      <c r="I510" s="845" t="s">
        <v>169</v>
      </c>
      <c r="J510" s="866" t="s">
        <v>178</v>
      </c>
      <c r="K510" s="311" t="s">
        <v>945</v>
      </c>
      <c r="L510" s="1238">
        <v>2461</v>
      </c>
      <c r="M510" s="326"/>
      <c r="N510" s="294"/>
      <c r="O510" s="354">
        <v>3356.25</v>
      </c>
      <c r="P510" s="294">
        <v>1</v>
      </c>
      <c r="Q510" s="1111">
        <f t="shared" ref="Q510:Q522" si="138">O510*P510</f>
        <v>3356.25</v>
      </c>
      <c r="R510" s="1412"/>
      <c r="S510" s="913"/>
      <c r="T510" s="913"/>
      <c r="U510" s="913">
        <f>Q510</f>
        <v>3356.25</v>
      </c>
      <c r="V510" s="913"/>
      <c r="W510" s="913"/>
      <c r="X510" s="1600"/>
      <c r="Y510" s="1127"/>
      <c r="Z510" s="1124"/>
      <c r="AA510" s="1124"/>
      <c r="AB510" s="1124"/>
      <c r="AC510" s="1124"/>
      <c r="AD510" s="1124"/>
      <c r="AE510" s="1124"/>
      <c r="AF510" s="1124"/>
      <c r="AG510" s="1124"/>
    </row>
    <row r="511" spans="1:33" ht="31.5">
      <c r="A511" s="1519">
        <v>4131</v>
      </c>
      <c r="B511" s="857" t="s">
        <v>943</v>
      </c>
      <c r="C511" s="1598" t="s">
        <v>944</v>
      </c>
      <c r="D511" s="1599"/>
      <c r="E511" s="1391">
        <f>45+21</f>
        <v>66</v>
      </c>
      <c r="F511" s="1400">
        <v>43192</v>
      </c>
      <c r="G511" s="1400">
        <f t="shared" ref="G511:G522" si="139">E511+F511-1</f>
        <v>43257</v>
      </c>
      <c r="H511" s="845" t="s">
        <v>178</v>
      </c>
      <c r="I511" s="845" t="s">
        <v>169</v>
      </c>
      <c r="J511" s="866" t="s">
        <v>178</v>
      </c>
      <c r="K511" s="311" t="s">
        <v>946</v>
      </c>
      <c r="L511" s="1238">
        <v>2314</v>
      </c>
      <c r="M511" s="326"/>
      <c r="N511" s="294"/>
      <c r="O511" s="354">
        <v>125</v>
      </c>
      <c r="P511" s="294">
        <v>1</v>
      </c>
      <c r="Q511" s="1111">
        <f t="shared" si="138"/>
        <v>125</v>
      </c>
      <c r="R511" s="1412"/>
      <c r="S511" s="913"/>
      <c r="T511" s="913"/>
      <c r="U511" s="913">
        <f>Q511</f>
        <v>125</v>
      </c>
      <c r="V511" s="913"/>
      <c r="W511" s="913"/>
      <c r="X511" s="1600"/>
      <c r="Y511" s="1127"/>
      <c r="Z511" s="1124"/>
      <c r="AA511" s="1124"/>
      <c r="AB511" s="1124"/>
      <c r="AC511" s="1124"/>
      <c r="AD511" s="1124"/>
      <c r="AE511" s="1124"/>
      <c r="AF511" s="1124"/>
      <c r="AG511" s="1124"/>
    </row>
    <row r="512" spans="1:33" ht="31.5">
      <c r="A512" s="1519">
        <v>4131</v>
      </c>
      <c r="B512" s="857" t="s">
        <v>943</v>
      </c>
      <c r="C512" s="1598" t="s">
        <v>944</v>
      </c>
      <c r="D512" s="1599"/>
      <c r="E512" s="1391">
        <f>45+21</f>
        <v>66</v>
      </c>
      <c r="F512" s="1400">
        <v>43192</v>
      </c>
      <c r="G512" s="1400">
        <f t="shared" si="139"/>
        <v>43257</v>
      </c>
      <c r="H512" s="845" t="s">
        <v>178</v>
      </c>
      <c r="I512" s="845" t="s">
        <v>169</v>
      </c>
      <c r="J512" s="866" t="s">
        <v>178</v>
      </c>
      <c r="K512" s="311" t="s">
        <v>320</v>
      </c>
      <c r="L512" s="1238">
        <v>23173</v>
      </c>
      <c r="M512" s="326"/>
      <c r="N512" s="294"/>
      <c r="O512" s="354">
        <v>4340.625</v>
      </c>
      <c r="P512" s="294">
        <v>1</v>
      </c>
      <c r="Q512" s="1111">
        <f t="shared" si="138"/>
        <v>4340.625</v>
      </c>
      <c r="R512" s="1412"/>
      <c r="S512" s="913"/>
      <c r="T512" s="913"/>
      <c r="U512" s="913">
        <f>Q512</f>
        <v>4340.625</v>
      </c>
      <c r="V512" s="913"/>
      <c r="W512" s="913"/>
      <c r="X512" s="1600"/>
      <c r="Y512" s="1127"/>
      <c r="Z512" s="1124"/>
      <c r="AA512" s="1124"/>
      <c r="AB512" s="1124"/>
      <c r="AC512" s="1124"/>
      <c r="AD512" s="1124"/>
      <c r="AE512" s="1124"/>
      <c r="AF512" s="1124"/>
      <c r="AG512" s="1124"/>
    </row>
    <row r="513" spans="1:33" ht="49.5" customHeight="1">
      <c r="A513" s="1519">
        <v>4131</v>
      </c>
      <c r="B513" s="857" t="s">
        <v>943</v>
      </c>
      <c r="C513" s="1598" t="s">
        <v>944</v>
      </c>
      <c r="D513" s="1599"/>
      <c r="E513" s="1391">
        <f>45+21</f>
        <v>66</v>
      </c>
      <c r="F513" s="1400">
        <v>43192</v>
      </c>
      <c r="G513" s="1400">
        <f t="shared" si="139"/>
        <v>43257</v>
      </c>
      <c r="H513" s="845" t="s">
        <v>178</v>
      </c>
      <c r="I513" s="845" t="s">
        <v>169</v>
      </c>
      <c r="J513" s="866" t="s">
        <v>178</v>
      </c>
      <c r="K513" s="311" t="s">
        <v>947</v>
      </c>
      <c r="L513" s="1238">
        <v>2463</v>
      </c>
      <c r="M513" s="326"/>
      <c r="N513" s="294"/>
      <c r="O513" s="354">
        <v>23062.5</v>
      </c>
      <c r="P513" s="294">
        <v>1</v>
      </c>
      <c r="Q513" s="1111">
        <f t="shared" si="138"/>
        <v>23062.5</v>
      </c>
      <c r="R513" s="1412"/>
      <c r="S513" s="913"/>
      <c r="T513" s="913"/>
      <c r="U513" s="913">
        <f>Q513</f>
        <v>23062.5</v>
      </c>
      <c r="V513" s="913"/>
      <c r="W513" s="913"/>
      <c r="X513" s="1600"/>
      <c r="Y513" s="1127"/>
      <c r="Z513" s="1124"/>
      <c r="AA513" s="1124"/>
      <c r="AB513" s="1124"/>
      <c r="AC513" s="1124"/>
      <c r="AD513" s="1124"/>
      <c r="AE513" s="1124"/>
      <c r="AF513" s="1124"/>
      <c r="AG513" s="1124"/>
    </row>
    <row r="514" spans="1:33" ht="31.5">
      <c r="A514" s="1519">
        <v>4131</v>
      </c>
      <c r="B514" s="857" t="s">
        <v>943</v>
      </c>
      <c r="C514" s="1598" t="s">
        <v>944</v>
      </c>
      <c r="D514" s="1599"/>
      <c r="E514" s="1391">
        <f>45+21</f>
        <v>66</v>
      </c>
      <c r="F514" s="1400">
        <v>43192</v>
      </c>
      <c r="G514" s="1400">
        <f t="shared" si="139"/>
        <v>43257</v>
      </c>
      <c r="H514" s="845" t="s">
        <v>178</v>
      </c>
      <c r="I514" s="845" t="s">
        <v>169</v>
      </c>
      <c r="J514" s="866" t="s">
        <v>178</v>
      </c>
      <c r="K514" s="311" t="s">
        <v>948</v>
      </c>
      <c r="L514" s="1238">
        <v>2431</v>
      </c>
      <c r="M514" s="326"/>
      <c r="N514" s="294"/>
      <c r="O514" s="354">
        <v>7375</v>
      </c>
      <c r="P514" s="294">
        <v>1</v>
      </c>
      <c r="Q514" s="1111">
        <f t="shared" si="138"/>
        <v>7375</v>
      </c>
      <c r="R514" s="1412"/>
      <c r="S514" s="913"/>
      <c r="T514" s="913"/>
      <c r="U514" s="913">
        <f>Q514</f>
        <v>7375</v>
      </c>
      <c r="V514" s="913"/>
      <c r="W514" s="913"/>
      <c r="X514" s="1600"/>
      <c r="Y514" s="1127"/>
      <c r="Z514" s="1124"/>
      <c r="AA514" s="1124"/>
      <c r="AB514" s="1124"/>
      <c r="AC514" s="1124"/>
      <c r="AD514" s="1124"/>
      <c r="AE514" s="1124"/>
      <c r="AF514" s="1124"/>
      <c r="AG514" s="1124"/>
    </row>
    <row r="515" spans="1:33" ht="60.75" customHeight="1">
      <c r="A515" s="1519">
        <v>4131</v>
      </c>
      <c r="B515" s="908" t="s">
        <v>949</v>
      </c>
      <c r="C515" s="1089" t="s">
        <v>950</v>
      </c>
      <c r="D515" s="1543"/>
      <c r="E515" s="1403">
        <f>9</f>
        <v>9</v>
      </c>
      <c r="F515" s="1404">
        <v>43283</v>
      </c>
      <c r="G515" s="1400">
        <f t="shared" si="139"/>
        <v>43291</v>
      </c>
      <c r="H515" s="293" t="s">
        <v>914</v>
      </c>
      <c r="I515" s="845" t="s">
        <v>178</v>
      </c>
      <c r="J515" s="866" t="s">
        <v>169</v>
      </c>
      <c r="K515" s="1094" t="s">
        <v>888</v>
      </c>
      <c r="L515" s="1238">
        <v>23174</v>
      </c>
      <c r="M515" s="1543"/>
      <c r="N515" s="845"/>
      <c r="O515" s="354">
        <v>7333.0281249999998</v>
      </c>
      <c r="P515" s="845">
        <v>1</v>
      </c>
      <c r="Q515" s="1111">
        <f t="shared" si="138"/>
        <v>7333.0281249999998</v>
      </c>
      <c r="R515" s="1412"/>
      <c r="S515" s="913"/>
      <c r="T515" s="913"/>
      <c r="U515" s="913"/>
      <c r="V515" s="913"/>
      <c r="W515" s="913">
        <f t="shared" ref="W515:W521" si="140">Q515</f>
        <v>7333.0281249999998</v>
      </c>
      <c r="X515" s="1600"/>
      <c r="Y515" s="1127"/>
      <c r="Z515" s="1124"/>
      <c r="AA515" s="1124"/>
      <c r="AB515" s="1124"/>
      <c r="AC515" s="1124"/>
      <c r="AD515" s="1124"/>
      <c r="AE515" s="1124"/>
      <c r="AF515" s="1124"/>
      <c r="AG515" s="1124"/>
    </row>
    <row r="516" spans="1:33" ht="60.75" customHeight="1">
      <c r="A516" s="1519">
        <v>4131</v>
      </c>
      <c r="B516" s="908" t="s">
        <v>949</v>
      </c>
      <c r="C516" s="1089" t="s">
        <v>950</v>
      </c>
      <c r="D516" s="1543"/>
      <c r="E516" s="1403">
        <f>9</f>
        <v>9</v>
      </c>
      <c r="F516" s="1404">
        <v>43283</v>
      </c>
      <c r="G516" s="1400">
        <f t="shared" si="139"/>
        <v>43291</v>
      </c>
      <c r="H516" s="293" t="s">
        <v>914</v>
      </c>
      <c r="I516" s="845" t="s">
        <v>169</v>
      </c>
      <c r="J516" s="866" t="s">
        <v>178</v>
      </c>
      <c r="K516" s="1094" t="s">
        <v>320</v>
      </c>
      <c r="L516" s="1238">
        <v>23173</v>
      </c>
      <c r="M516" s="1543"/>
      <c r="N516" s="845"/>
      <c r="O516" s="354">
        <v>941.5625</v>
      </c>
      <c r="P516" s="845">
        <v>1</v>
      </c>
      <c r="Q516" s="1111">
        <f t="shared" si="138"/>
        <v>941.5625</v>
      </c>
      <c r="R516" s="1412"/>
      <c r="S516" s="913"/>
      <c r="T516" s="913"/>
      <c r="U516" s="913"/>
      <c r="V516" s="913"/>
      <c r="W516" s="913">
        <f t="shared" si="140"/>
        <v>941.5625</v>
      </c>
      <c r="X516" s="1600"/>
      <c r="Y516" s="1127"/>
      <c r="Z516" s="1124"/>
      <c r="AA516" s="1124"/>
      <c r="AB516" s="1124"/>
      <c r="AC516" s="1124"/>
      <c r="AD516" s="1124"/>
      <c r="AE516" s="1124"/>
      <c r="AF516" s="1124"/>
      <c r="AG516" s="1124"/>
    </row>
    <row r="517" spans="1:33" ht="60.75" customHeight="1">
      <c r="A517" s="1519">
        <v>4131</v>
      </c>
      <c r="B517" s="908" t="s">
        <v>949</v>
      </c>
      <c r="C517" s="1089" t="s">
        <v>950</v>
      </c>
      <c r="D517" s="1543"/>
      <c r="E517" s="1403">
        <f>9</f>
        <v>9</v>
      </c>
      <c r="F517" s="1404">
        <v>43283</v>
      </c>
      <c r="G517" s="1400">
        <f t="shared" si="139"/>
        <v>43291</v>
      </c>
      <c r="H517" s="293" t="s">
        <v>914</v>
      </c>
      <c r="I517" s="845" t="s">
        <v>169</v>
      </c>
      <c r="J517" s="866" t="s">
        <v>178</v>
      </c>
      <c r="K517" s="1094" t="s">
        <v>916</v>
      </c>
      <c r="L517" s="1238">
        <v>23173</v>
      </c>
      <c r="M517" s="1543"/>
      <c r="N517" s="845"/>
      <c r="O517" s="354">
        <v>31.25</v>
      </c>
      <c r="P517" s="845">
        <v>8</v>
      </c>
      <c r="Q517" s="1111">
        <f t="shared" si="138"/>
        <v>250</v>
      </c>
      <c r="R517" s="1412"/>
      <c r="S517" s="913"/>
      <c r="T517" s="913"/>
      <c r="U517" s="913"/>
      <c r="V517" s="913"/>
      <c r="W517" s="913">
        <f t="shared" si="140"/>
        <v>250</v>
      </c>
      <c r="X517" s="1600"/>
      <c r="Y517" s="1127"/>
      <c r="Z517" s="1124"/>
      <c r="AA517" s="1124"/>
      <c r="AB517" s="1124"/>
      <c r="AC517" s="1124"/>
      <c r="AD517" s="1124"/>
      <c r="AE517" s="1124"/>
      <c r="AF517" s="1124"/>
      <c r="AG517" s="1124"/>
    </row>
    <row r="518" spans="1:33" ht="60.75" customHeight="1">
      <c r="A518" s="1519">
        <v>4131</v>
      </c>
      <c r="B518" s="908" t="s">
        <v>949</v>
      </c>
      <c r="C518" s="1089" t="s">
        <v>950</v>
      </c>
      <c r="D518" s="1543"/>
      <c r="E518" s="1403">
        <f>9</f>
        <v>9</v>
      </c>
      <c r="F518" s="1404">
        <v>43283</v>
      </c>
      <c r="G518" s="1400">
        <f t="shared" si="139"/>
        <v>43291</v>
      </c>
      <c r="H518" s="293" t="s">
        <v>914</v>
      </c>
      <c r="I518" s="845" t="s">
        <v>169</v>
      </c>
      <c r="J518" s="866" t="s">
        <v>178</v>
      </c>
      <c r="K518" s="311" t="s">
        <v>951</v>
      </c>
      <c r="L518" s="1238">
        <v>23172</v>
      </c>
      <c r="M518" s="1543"/>
      <c r="N518" s="845"/>
      <c r="O518" s="354">
        <v>312.5</v>
      </c>
      <c r="P518" s="845">
        <v>1</v>
      </c>
      <c r="Q518" s="1111">
        <f t="shared" si="138"/>
        <v>312.5</v>
      </c>
      <c r="R518" s="1412"/>
      <c r="S518" s="913"/>
      <c r="T518" s="913"/>
      <c r="U518" s="913"/>
      <c r="V518" s="913"/>
      <c r="W518" s="913">
        <f t="shared" si="140"/>
        <v>312.5</v>
      </c>
      <c r="X518" s="1600"/>
      <c r="Y518" s="1127"/>
      <c r="Z518" s="1124"/>
      <c r="AA518" s="1124"/>
      <c r="AB518" s="1124"/>
      <c r="AC518" s="1124"/>
      <c r="AD518" s="1124"/>
      <c r="AE518" s="1124"/>
      <c r="AF518" s="1124"/>
      <c r="AG518" s="1124"/>
    </row>
    <row r="519" spans="1:33" ht="31.5">
      <c r="A519" s="1519">
        <v>4131</v>
      </c>
      <c r="B519" s="868" t="s">
        <v>952</v>
      </c>
      <c r="C519" s="857" t="s">
        <v>953</v>
      </c>
      <c r="D519" s="1543"/>
      <c r="E519" s="1403">
        <f>2</f>
        <v>2</v>
      </c>
      <c r="F519" s="1400">
        <v>43306</v>
      </c>
      <c r="G519" s="1400">
        <f t="shared" si="139"/>
        <v>43307</v>
      </c>
      <c r="H519" s="293" t="s">
        <v>914</v>
      </c>
      <c r="I519" s="845" t="s">
        <v>178</v>
      </c>
      <c r="J519" s="866" t="s">
        <v>169</v>
      </c>
      <c r="K519" s="1094" t="s">
        <v>888</v>
      </c>
      <c r="L519" s="1238">
        <v>23174</v>
      </c>
      <c r="M519" s="1543"/>
      <c r="N519" s="845"/>
      <c r="O519" s="354">
        <v>41183.768750000003</v>
      </c>
      <c r="P519" s="845">
        <v>1</v>
      </c>
      <c r="Q519" s="1111">
        <f t="shared" si="138"/>
        <v>41183.768750000003</v>
      </c>
      <c r="R519" s="1412"/>
      <c r="S519" s="1601"/>
      <c r="T519" s="1601"/>
      <c r="U519" s="1601"/>
      <c r="V519" s="1601"/>
      <c r="W519" s="913">
        <f t="shared" si="140"/>
        <v>41183.768750000003</v>
      </c>
      <c r="X519" s="1602"/>
      <c r="Y519" s="1164"/>
      <c r="Z519" s="1124"/>
      <c r="AA519" s="1124"/>
      <c r="AB519" s="1124"/>
      <c r="AC519" s="1124"/>
      <c r="AD519" s="1124"/>
      <c r="AE519" s="1124"/>
      <c r="AF519" s="1124"/>
      <c r="AG519" s="1124"/>
    </row>
    <row r="520" spans="1:33" ht="31.5">
      <c r="A520" s="1519">
        <v>4131</v>
      </c>
      <c r="B520" s="868" t="s">
        <v>952</v>
      </c>
      <c r="C520" s="857" t="s">
        <v>953</v>
      </c>
      <c r="D520" s="1543"/>
      <c r="E520" s="1403">
        <f>2</f>
        <v>2</v>
      </c>
      <c r="F520" s="1400">
        <v>43306</v>
      </c>
      <c r="G520" s="1400">
        <f t="shared" si="139"/>
        <v>43307</v>
      </c>
      <c r="H520" s="293" t="s">
        <v>914</v>
      </c>
      <c r="I520" s="845" t="s">
        <v>169</v>
      </c>
      <c r="J520" s="866" t="s">
        <v>178</v>
      </c>
      <c r="K520" s="1094" t="s">
        <v>320</v>
      </c>
      <c r="L520" s="1238">
        <v>23173</v>
      </c>
      <c r="M520" s="1543"/>
      <c r="N520" s="845"/>
      <c r="O520" s="354">
        <v>11320.09375</v>
      </c>
      <c r="P520" s="845">
        <v>1</v>
      </c>
      <c r="Q520" s="1111">
        <f t="shared" si="138"/>
        <v>11320.09375</v>
      </c>
      <c r="R520" s="1415"/>
      <c r="S520" s="913"/>
      <c r="T520" s="913"/>
      <c r="U520" s="913"/>
      <c r="V520" s="913"/>
      <c r="W520" s="913">
        <f t="shared" si="140"/>
        <v>11320.09375</v>
      </c>
      <c r="X520" s="1600"/>
      <c r="Y520" s="1127"/>
      <c r="Z520" s="1124"/>
      <c r="AA520" s="1124"/>
      <c r="AB520" s="1124"/>
      <c r="AC520" s="1124"/>
      <c r="AD520" s="1124"/>
      <c r="AE520" s="1124"/>
      <c r="AF520" s="1124"/>
      <c r="AG520" s="1124"/>
    </row>
    <row r="521" spans="1:33" ht="47.25">
      <c r="A521" s="1519">
        <v>4131</v>
      </c>
      <c r="B521" s="858" t="s">
        <v>952</v>
      </c>
      <c r="C521" s="857" t="s">
        <v>953</v>
      </c>
      <c r="D521" s="1543"/>
      <c r="E521" s="1403">
        <f>2</f>
        <v>2</v>
      </c>
      <c r="F521" s="1400">
        <v>43306</v>
      </c>
      <c r="G521" s="1400">
        <f t="shared" si="139"/>
        <v>43307</v>
      </c>
      <c r="H521" s="293" t="s">
        <v>914</v>
      </c>
      <c r="I521" s="845" t="s">
        <v>169</v>
      </c>
      <c r="J521" s="866" t="s">
        <v>178</v>
      </c>
      <c r="K521" s="1094" t="s">
        <v>916</v>
      </c>
      <c r="L521" s="1238">
        <v>23173</v>
      </c>
      <c r="M521" s="1543"/>
      <c r="N521" s="845"/>
      <c r="O521" s="354">
        <v>46.875</v>
      </c>
      <c r="P521" s="845">
        <f>2*22</f>
        <v>44</v>
      </c>
      <c r="Q521" s="1111">
        <f t="shared" si="138"/>
        <v>2062.5</v>
      </c>
      <c r="R521" s="1415"/>
      <c r="S521" s="913"/>
      <c r="T521" s="913"/>
      <c r="U521" s="913"/>
      <c r="V521" s="913"/>
      <c r="W521" s="913">
        <f t="shared" si="140"/>
        <v>2062.5</v>
      </c>
      <c r="X521" s="1600"/>
      <c r="Y521" s="1127"/>
      <c r="Z521" s="1124"/>
      <c r="AA521" s="1124"/>
      <c r="AB521" s="1124"/>
      <c r="AC521" s="1124"/>
      <c r="AD521" s="1124"/>
      <c r="AE521" s="1124"/>
      <c r="AF521" s="1124"/>
      <c r="AG521" s="1124"/>
    </row>
    <row r="522" spans="1:33" ht="39.75" customHeight="1">
      <c r="A522" s="1519">
        <v>4131</v>
      </c>
      <c r="B522" s="858" t="s">
        <v>954</v>
      </c>
      <c r="C522" s="857" t="s">
        <v>955</v>
      </c>
      <c r="D522" s="1543"/>
      <c r="E522" s="1403">
        <f>15</f>
        <v>15</v>
      </c>
      <c r="F522" s="1400">
        <v>43241</v>
      </c>
      <c r="G522" s="1400">
        <f t="shared" si="139"/>
        <v>43255</v>
      </c>
      <c r="H522" s="293" t="s">
        <v>914</v>
      </c>
      <c r="I522" s="845" t="s">
        <v>178</v>
      </c>
      <c r="J522" s="866" t="s">
        <v>169</v>
      </c>
      <c r="K522" s="1094" t="s">
        <v>888</v>
      </c>
      <c r="L522" s="1238">
        <v>23174</v>
      </c>
      <c r="M522" s="1543"/>
      <c r="N522" s="845"/>
      <c r="O522" s="354">
        <v>141976</v>
      </c>
      <c r="P522" s="845">
        <v>1</v>
      </c>
      <c r="Q522" s="1111">
        <f t="shared" si="138"/>
        <v>141976</v>
      </c>
      <c r="R522" s="853"/>
      <c r="S522" s="913"/>
      <c r="T522" s="913"/>
      <c r="U522" s="913">
        <f>Q522</f>
        <v>141976</v>
      </c>
      <c r="V522" s="913"/>
      <c r="W522" s="913"/>
      <c r="X522" s="1600"/>
      <c r="Y522" s="1127"/>
      <c r="Z522" s="1124"/>
      <c r="AA522" s="1124"/>
      <c r="AB522" s="1124"/>
      <c r="AC522" s="1124"/>
      <c r="AD522" s="1124"/>
      <c r="AE522" s="1124"/>
      <c r="AF522" s="1124"/>
      <c r="AG522" s="1124"/>
    </row>
    <row r="523" spans="1:33" s="1597" customFormat="1">
      <c r="A523" s="1537">
        <v>4132</v>
      </c>
      <c r="B523" s="1603" t="s">
        <v>956</v>
      </c>
      <c r="C523" s="1604"/>
      <c r="D523" s="1550"/>
      <c r="E523" s="1605"/>
      <c r="F523" s="1416"/>
      <c r="G523" s="1416"/>
      <c r="H523" s="920"/>
      <c r="I523" s="921"/>
      <c r="J523" s="1606"/>
      <c r="K523" s="1550"/>
      <c r="L523" s="1607"/>
      <c r="M523" s="1550"/>
      <c r="N523" s="921"/>
      <c r="O523" s="1608"/>
      <c r="P523" s="921"/>
      <c r="Q523" s="1609">
        <f>SUM(Q524:Q531)</f>
        <v>39942.428125000006</v>
      </c>
      <c r="R523" s="1417"/>
      <c r="S523" s="1609">
        <f t="shared" ref="S523:AF523" si="141">SUM(S524:S531)</f>
        <v>0</v>
      </c>
      <c r="T523" s="1609">
        <f t="shared" si="141"/>
        <v>0</v>
      </c>
      <c r="U523" s="1609">
        <f t="shared" si="141"/>
        <v>0</v>
      </c>
      <c r="V523" s="1609">
        <f t="shared" si="141"/>
        <v>0</v>
      </c>
      <c r="W523" s="1609">
        <f t="shared" si="141"/>
        <v>2140.2660000000001</v>
      </c>
      <c r="X523" s="1609">
        <f t="shared" si="141"/>
        <v>7772.2348750000001</v>
      </c>
      <c r="Y523" s="1609">
        <f t="shared" si="141"/>
        <v>30029.927250000001</v>
      </c>
      <c r="Z523" s="1609">
        <f t="shared" si="141"/>
        <v>0</v>
      </c>
      <c r="AA523" s="1609">
        <f t="shared" si="141"/>
        <v>0</v>
      </c>
      <c r="AB523" s="1609">
        <f t="shared" si="141"/>
        <v>0</v>
      </c>
      <c r="AC523" s="1609">
        <f t="shared" si="141"/>
        <v>0</v>
      </c>
      <c r="AD523" s="1609">
        <f t="shared" si="141"/>
        <v>0</v>
      </c>
      <c r="AE523" s="1609">
        <f t="shared" si="141"/>
        <v>0</v>
      </c>
      <c r="AF523" s="1609">
        <f t="shared" si="141"/>
        <v>0</v>
      </c>
      <c r="AG523" s="1596"/>
    </row>
    <row r="524" spans="1:33" ht="54" customHeight="1">
      <c r="A524" s="1538">
        <v>4132</v>
      </c>
      <c r="B524" s="927" t="s">
        <v>957</v>
      </c>
      <c r="C524" s="1090" t="s">
        <v>958</v>
      </c>
      <c r="D524" s="1543"/>
      <c r="E524" s="1403">
        <f>4+30+4+4+4+2+5+4+6+4</f>
        <v>67</v>
      </c>
      <c r="F524" s="1404">
        <v>43311</v>
      </c>
      <c r="G524" s="1400">
        <f>E524+F524-1</f>
        <v>43377</v>
      </c>
      <c r="H524" s="293" t="s">
        <v>914</v>
      </c>
      <c r="I524" s="845" t="s">
        <v>178</v>
      </c>
      <c r="J524" s="866" t="s">
        <v>169</v>
      </c>
      <c r="K524" s="1094" t="s">
        <v>888</v>
      </c>
      <c r="L524" s="1238">
        <v>23174</v>
      </c>
      <c r="M524" s="1543"/>
      <c r="N524" s="845"/>
      <c r="O524" s="1111">
        <v>20498.981250000001</v>
      </c>
      <c r="P524" s="845">
        <v>1</v>
      </c>
      <c r="Q524" s="1111">
        <f t="shared" ref="Q524:Q531" si="142">O524*P524</f>
        <v>20498.981250000001</v>
      </c>
      <c r="R524" s="936"/>
      <c r="S524" s="913"/>
      <c r="T524" s="913"/>
      <c r="U524" s="913"/>
      <c r="V524" s="913"/>
      <c r="W524" s="913">
        <f>0.08*Q524</f>
        <v>1639.9185</v>
      </c>
      <c r="X524" s="1600">
        <f>0.19*Q524</f>
        <v>3894.8064375000004</v>
      </c>
      <c r="Y524" s="1127">
        <f>(0.16+0.49+0.08)*Q524</f>
        <v>14964.2563125</v>
      </c>
      <c r="Z524" s="1124"/>
      <c r="AA524" s="1124"/>
      <c r="AB524" s="1124"/>
      <c r="AC524" s="1124"/>
      <c r="AD524" s="1124"/>
      <c r="AE524" s="1124"/>
      <c r="AF524" s="1124"/>
      <c r="AG524" s="1124"/>
    </row>
    <row r="525" spans="1:33" ht="45" customHeight="1">
      <c r="A525" s="1538">
        <v>4132</v>
      </c>
      <c r="B525" s="927" t="s">
        <v>957</v>
      </c>
      <c r="C525" s="1090" t="s">
        <v>958</v>
      </c>
      <c r="D525" s="1543"/>
      <c r="E525" s="1403">
        <f>4+30+4+4+4+2+5+4+6+4</f>
        <v>67</v>
      </c>
      <c r="F525" s="1404">
        <v>43311</v>
      </c>
      <c r="G525" s="1400">
        <f t="shared" ref="G525:G531" si="143">E525+F525-1</f>
        <v>43377</v>
      </c>
      <c r="H525" s="293" t="s">
        <v>914</v>
      </c>
      <c r="I525" s="1418" t="s">
        <v>169</v>
      </c>
      <c r="J525" s="1491" t="s">
        <v>178</v>
      </c>
      <c r="K525" s="1094" t="s">
        <v>320</v>
      </c>
      <c r="L525" s="1238">
        <v>23173</v>
      </c>
      <c r="M525" s="1543"/>
      <c r="N525" s="845"/>
      <c r="O525" s="1111">
        <v>5254.34375</v>
      </c>
      <c r="P525" s="845">
        <v>1</v>
      </c>
      <c r="Q525" s="1111">
        <f t="shared" si="142"/>
        <v>5254.34375</v>
      </c>
      <c r="R525" s="936"/>
      <c r="S525" s="913"/>
      <c r="T525" s="913"/>
      <c r="U525" s="913"/>
      <c r="V525" s="913"/>
      <c r="W525" s="913">
        <f>0.08*Q525</f>
        <v>420.34750000000003</v>
      </c>
      <c r="X525" s="1600">
        <f>0.19*Q525</f>
        <v>998.3253125</v>
      </c>
      <c r="Y525" s="1127">
        <f>(0.16+0.49+0.08)*Q525</f>
        <v>3835.6709375</v>
      </c>
      <c r="Z525" s="1124"/>
      <c r="AA525" s="1124"/>
      <c r="AB525" s="1124"/>
      <c r="AC525" s="1124"/>
      <c r="AD525" s="1124"/>
      <c r="AE525" s="1124"/>
      <c r="AF525" s="1124"/>
      <c r="AG525" s="1124"/>
    </row>
    <row r="526" spans="1:33" ht="45" customHeight="1">
      <c r="A526" s="1538">
        <v>4132</v>
      </c>
      <c r="B526" s="927" t="s">
        <v>957</v>
      </c>
      <c r="C526" s="1090" t="s">
        <v>958</v>
      </c>
      <c r="D526" s="1543"/>
      <c r="E526" s="1403">
        <f>4+30+4+4+4+2+5+4+6+4</f>
        <v>67</v>
      </c>
      <c r="F526" s="1404">
        <v>43311</v>
      </c>
      <c r="G526" s="1400">
        <f t="shared" si="143"/>
        <v>43377</v>
      </c>
      <c r="H526" s="293" t="s">
        <v>914</v>
      </c>
      <c r="I526" s="1418" t="s">
        <v>169</v>
      </c>
      <c r="J526" s="1491" t="s">
        <v>178</v>
      </c>
      <c r="K526" s="1094" t="s">
        <v>486</v>
      </c>
      <c r="L526" s="1238">
        <v>23173</v>
      </c>
      <c r="M526" s="1543"/>
      <c r="N526" s="845"/>
      <c r="O526" s="1111">
        <v>31.25</v>
      </c>
      <c r="P526" s="845">
        <f>(4+4+5+4+5)</f>
        <v>22</v>
      </c>
      <c r="Q526" s="1111">
        <f t="shared" si="142"/>
        <v>687.5</v>
      </c>
      <c r="R526" s="936"/>
      <c r="S526" s="913"/>
      <c r="T526" s="913"/>
      <c r="U526" s="913"/>
      <c r="V526" s="913"/>
      <c r="W526" s="913">
        <f>0.08*Q526</f>
        <v>55</v>
      </c>
      <c r="X526" s="1600">
        <f>0.19*Q526</f>
        <v>130.625</v>
      </c>
      <c r="Y526" s="1127">
        <f>(0.16+0.49+0.08)*Q526</f>
        <v>501.875</v>
      </c>
      <c r="Z526" s="1124"/>
      <c r="AA526" s="1124"/>
      <c r="AB526" s="1124"/>
      <c r="AC526" s="1124"/>
      <c r="AD526" s="1124"/>
      <c r="AE526" s="1124"/>
      <c r="AF526" s="1124"/>
      <c r="AG526" s="1124"/>
    </row>
    <row r="527" spans="1:33" ht="45" customHeight="1">
      <c r="A527" s="1538">
        <v>4132</v>
      </c>
      <c r="B527" s="927" t="s">
        <v>957</v>
      </c>
      <c r="C527" s="1090" t="s">
        <v>958</v>
      </c>
      <c r="D527" s="1543"/>
      <c r="E527" s="1403">
        <f>4+30+4+4+4+2+5+4+6+4</f>
        <v>67</v>
      </c>
      <c r="F527" s="1404">
        <v>43311</v>
      </c>
      <c r="G527" s="1400">
        <f t="shared" si="143"/>
        <v>43377</v>
      </c>
      <c r="H527" s="293" t="s">
        <v>914</v>
      </c>
      <c r="I527" s="1418" t="s">
        <v>169</v>
      </c>
      <c r="J527" s="1491" t="s">
        <v>178</v>
      </c>
      <c r="K527" s="311" t="s">
        <v>951</v>
      </c>
      <c r="L527" s="1238">
        <v>23172</v>
      </c>
      <c r="M527" s="1543"/>
      <c r="N527" s="845"/>
      <c r="O527" s="1111">
        <v>312.5</v>
      </c>
      <c r="P527" s="845">
        <v>1</v>
      </c>
      <c r="Q527" s="1111">
        <f t="shared" si="142"/>
        <v>312.5</v>
      </c>
      <c r="R527" s="936"/>
      <c r="S527" s="913"/>
      <c r="T527" s="913"/>
      <c r="U527" s="913"/>
      <c r="V527" s="913"/>
      <c r="W527" s="913">
        <f>0.08*Q527</f>
        <v>25</v>
      </c>
      <c r="X527" s="1600">
        <f>0.19*Q527</f>
        <v>59.375</v>
      </c>
      <c r="Y527" s="1127">
        <f>(0.16+0.49+0.08)*Q527</f>
        <v>228.125</v>
      </c>
      <c r="Z527" s="1124"/>
      <c r="AA527" s="1124"/>
      <c r="AB527" s="1124"/>
      <c r="AC527" s="1124"/>
      <c r="AD527" s="1124"/>
      <c r="AE527" s="1124"/>
      <c r="AF527" s="1124"/>
      <c r="AG527" s="1124"/>
    </row>
    <row r="528" spans="1:33" ht="45" customHeight="1">
      <c r="A528" s="1538">
        <v>4132</v>
      </c>
      <c r="B528" s="927" t="s">
        <v>959</v>
      </c>
      <c r="C528" s="1090" t="s">
        <v>960</v>
      </c>
      <c r="D528" s="1543"/>
      <c r="E528" s="1403">
        <f>5</f>
        <v>5</v>
      </c>
      <c r="F528" s="1404">
        <v>43318</v>
      </c>
      <c r="G528" s="1400">
        <f t="shared" si="143"/>
        <v>43322</v>
      </c>
      <c r="H528" s="293" t="s">
        <v>914</v>
      </c>
      <c r="I528" s="887" t="s">
        <v>178</v>
      </c>
      <c r="J528" s="914" t="s">
        <v>169</v>
      </c>
      <c r="K528" s="1094" t="s">
        <v>888</v>
      </c>
      <c r="L528" s="1238">
        <v>23174</v>
      </c>
      <c r="M528" s="1543"/>
      <c r="N528" s="845"/>
      <c r="O528" s="1111">
        <v>2368.7906250000001</v>
      </c>
      <c r="P528" s="845">
        <v>1</v>
      </c>
      <c r="Q528" s="1111">
        <f t="shared" si="142"/>
        <v>2368.7906250000001</v>
      </c>
      <c r="R528" s="936"/>
      <c r="S528" s="913"/>
      <c r="T528" s="913"/>
      <c r="U528" s="913"/>
      <c r="V528" s="913"/>
      <c r="W528" s="913"/>
      <c r="X528" s="1600">
        <f>Q528</f>
        <v>2368.7906250000001</v>
      </c>
      <c r="Y528" s="1127"/>
      <c r="Z528" s="1124"/>
      <c r="AA528" s="1124"/>
      <c r="AB528" s="1124"/>
      <c r="AC528" s="1124"/>
      <c r="AD528" s="1124"/>
      <c r="AE528" s="1124"/>
      <c r="AF528" s="1124"/>
      <c r="AG528" s="1124"/>
    </row>
    <row r="529" spans="1:33" ht="45" customHeight="1">
      <c r="A529" s="1538">
        <v>4132</v>
      </c>
      <c r="B529" s="927" t="s">
        <v>959</v>
      </c>
      <c r="C529" s="1090" t="s">
        <v>960</v>
      </c>
      <c r="D529" s="1543"/>
      <c r="E529" s="1403">
        <f>5</f>
        <v>5</v>
      </c>
      <c r="F529" s="1404">
        <v>43318</v>
      </c>
      <c r="G529" s="1400">
        <f t="shared" si="143"/>
        <v>43322</v>
      </c>
      <c r="H529" s="293" t="s">
        <v>914</v>
      </c>
      <c r="I529" s="1418" t="s">
        <v>169</v>
      </c>
      <c r="J529" s="1491" t="s">
        <v>178</v>
      </c>
      <c r="K529" s="1094" t="s">
        <v>320</v>
      </c>
      <c r="L529" s="1238">
        <v>23173</v>
      </c>
      <c r="M529" s="1543"/>
      <c r="N529" s="845"/>
      <c r="O529" s="1111">
        <v>164.0625</v>
      </c>
      <c r="P529" s="845">
        <v>1</v>
      </c>
      <c r="Q529" s="1111">
        <f t="shared" si="142"/>
        <v>164.0625</v>
      </c>
      <c r="R529" s="936"/>
      <c r="S529" s="913"/>
      <c r="T529" s="913"/>
      <c r="U529" s="913"/>
      <c r="V529" s="913"/>
      <c r="W529" s="913"/>
      <c r="X529" s="1600">
        <f>Q529</f>
        <v>164.0625</v>
      </c>
      <c r="Y529" s="1127"/>
      <c r="Z529" s="1124"/>
      <c r="AA529" s="1124"/>
      <c r="AB529" s="1124"/>
      <c r="AC529" s="1124"/>
      <c r="AD529" s="1124"/>
      <c r="AE529" s="1124"/>
      <c r="AF529" s="1124"/>
      <c r="AG529" s="1124"/>
    </row>
    <row r="530" spans="1:33" ht="45" customHeight="1">
      <c r="A530" s="1538">
        <v>4132</v>
      </c>
      <c r="B530" s="927" t="s">
        <v>959</v>
      </c>
      <c r="C530" s="1090" t="s">
        <v>960</v>
      </c>
      <c r="D530" s="1543"/>
      <c r="E530" s="1403">
        <f>5</f>
        <v>5</v>
      </c>
      <c r="F530" s="1404">
        <v>43318</v>
      </c>
      <c r="G530" s="1400">
        <f t="shared" si="143"/>
        <v>43322</v>
      </c>
      <c r="H530" s="293" t="s">
        <v>914</v>
      </c>
      <c r="I530" s="1418" t="s">
        <v>169</v>
      </c>
      <c r="J530" s="1491" t="s">
        <v>178</v>
      </c>
      <c r="K530" s="1094" t="s">
        <v>486</v>
      </c>
      <c r="L530" s="1238">
        <v>23173</v>
      </c>
      <c r="M530" s="1543"/>
      <c r="N530" s="845"/>
      <c r="O530" s="1111">
        <v>31.25</v>
      </c>
      <c r="P530" s="845">
        <v>5</v>
      </c>
      <c r="Q530" s="1111">
        <f t="shared" si="142"/>
        <v>156.25</v>
      </c>
      <c r="R530" s="936"/>
      <c r="S530" s="913"/>
      <c r="T530" s="913"/>
      <c r="U530" s="913"/>
      <c r="V530" s="913"/>
      <c r="W530" s="913"/>
      <c r="X530" s="1600">
        <f>Q530</f>
        <v>156.25</v>
      </c>
      <c r="Y530" s="1127"/>
      <c r="Z530" s="1124"/>
      <c r="AA530" s="1124"/>
      <c r="AB530" s="1124"/>
      <c r="AC530" s="1124"/>
      <c r="AD530" s="1124"/>
      <c r="AE530" s="1124"/>
      <c r="AF530" s="1124"/>
      <c r="AG530" s="1124"/>
    </row>
    <row r="531" spans="1:33" ht="55.5" customHeight="1">
      <c r="A531" s="1538">
        <v>4132</v>
      </c>
      <c r="B531" s="908" t="s">
        <v>961</v>
      </c>
      <c r="C531" s="1091" t="s">
        <v>962</v>
      </c>
      <c r="D531" s="1543"/>
      <c r="E531" s="1403">
        <f>10</f>
        <v>10</v>
      </c>
      <c r="F531" s="1400">
        <v>43360</v>
      </c>
      <c r="G531" s="1400">
        <f t="shared" si="143"/>
        <v>43369</v>
      </c>
      <c r="H531" s="293" t="s">
        <v>914</v>
      </c>
      <c r="I531" s="1418" t="s">
        <v>169</v>
      </c>
      <c r="J531" s="1491" t="s">
        <v>178</v>
      </c>
      <c r="K531" s="311" t="s">
        <v>963</v>
      </c>
      <c r="L531" s="1238">
        <v>2313</v>
      </c>
      <c r="M531" s="1543"/>
      <c r="N531" s="845"/>
      <c r="O531" s="1111">
        <v>750</v>
      </c>
      <c r="P531" s="845">
        <v>14</v>
      </c>
      <c r="Q531" s="1111">
        <f t="shared" si="142"/>
        <v>10500</v>
      </c>
      <c r="R531" s="853"/>
      <c r="S531" s="913"/>
      <c r="T531" s="913"/>
      <c r="U531" s="913"/>
      <c r="V531" s="913"/>
      <c r="W531" s="913"/>
      <c r="X531" s="1600"/>
      <c r="Y531" s="1127">
        <f>Q531</f>
        <v>10500</v>
      </c>
      <c r="Z531" s="1124"/>
      <c r="AA531" s="1124"/>
      <c r="AB531" s="1124"/>
      <c r="AC531" s="1124"/>
      <c r="AD531" s="1124"/>
      <c r="AE531" s="1124"/>
      <c r="AF531" s="1124"/>
      <c r="AG531" s="1124"/>
    </row>
    <row r="532" spans="1:33" ht="15.75" customHeight="1">
      <c r="A532" s="1248" t="s">
        <v>277</v>
      </c>
      <c r="B532" s="274"/>
      <c r="C532" s="278"/>
      <c r="D532" s="1270"/>
      <c r="E532" s="1270"/>
      <c r="F532" s="1270"/>
      <c r="G532" s="1270"/>
      <c r="H532" s="1270"/>
      <c r="I532" s="1270"/>
      <c r="J532" s="273"/>
      <c r="K532" s="1248"/>
      <c r="L532" s="1269"/>
      <c r="M532" s="1270"/>
      <c r="N532" s="1268"/>
      <c r="O532" s="1271"/>
      <c r="P532" s="1268"/>
      <c r="Q532" s="1272">
        <f>+Q533+Q540+Q545+Q547+Q549+Q554+Q564+Q567</f>
        <v>348173.33333333337</v>
      </c>
      <c r="R532" s="1273">
        <f>+'[7]Compil Costing PPA 3 millions'!F16+'[7]Compil Costing PPA 3 millions'!F18+'[7]Compil Costing PPA 3 millions'!F19</f>
        <v>1137594.3333333335</v>
      </c>
      <c r="S532" s="1272">
        <f t="shared" ref="S532:AF532" si="144">+S533+S540+S545+S547+S549+S554+S564+S567</f>
        <v>0</v>
      </c>
      <c r="T532" s="1272">
        <f t="shared" si="144"/>
        <v>93216.666666666672</v>
      </c>
      <c r="U532" s="1272">
        <f t="shared" si="144"/>
        <v>114456.16666666666</v>
      </c>
      <c r="V532" s="1272">
        <f t="shared" si="144"/>
        <v>138325.5</v>
      </c>
      <c r="W532" s="1272">
        <f t="shared" si="144"/>
        <v>1087.5</v>
      </c>
      <c r="X532" s="1272">
        <f t="shared" si="144"/>
        <v>1087.5</v>
      </c>
      <c r="Y532" s="1272">
        <f t="shared" si="144"/>
        <v>0</v>
      </c>
      <c r="Z532" s="276">
        <f t="shared" si="144"/>
        <v>0</v>
      </c>
      <c r="AA532" s="276">
        <f t="shared" si="144"/>
        <v>0</v>
      </c>
      <c r="AB532" s="276">
        <f t="shared" si="144"/>
        <v>0</v>
      </c>
      <c r="AC532" s="276">
        <f t="shared" si="144"/>
        <v>0</v>
      </c>
      <c r="AD532" s="276">
        <f t="shared" si="144"/>
        <v>0</v>
      </c>
      <c r="AE532" s="276">
        <f t="shared" si="144"/>
        <v>0</v>
      </c>
      <c r="AF532" s="276">
        <f t="shared" si="144"/>
        <v>0</v>
      </c>
      <c r="AG532" s="276">
        <f>+AG533+AG540+AG545+AG547+AG549+AG554+AG564+AG567</f>
        <v>348173.33333333331</v>
      </c>
    </row>
    <row r="533" spans="1:33" ht="32.25" thickBot="1">
      <c r="A533" s="1275">
        <v>421</v>
      </c>
      <c r="B533" s="359" t="s">
        <v>439</v>
      </c>
      <c r="C533" s="1021"/>
      <c r="D533" s="1280"/>
      <c r="E533" s="1280"/>
      <c r="F533" s="1280"/>
      <c r="G533" s="1280"/>
      <c r="H533" s="1280"/>
      <c r="I533" s="1280"/>
      <c r="J533" s="283"/>
      <c r="K533" s="1278"/>
      <c r="L533" s="1279"/>
      <c r="M533" s="1280"/>
      <c r="N533" s="1277"/>
      <c r="O533" s="1281"/>
      <c r="P533" s="1277"/>
      <c r="Q533" s="1395">
        <f>SUM(Q534:Q539)</f>
        <v>5437.5</v>
      </c>
      <c r="R533" s="287"/>
      <c r="S533" s="1395">
        <f t="shared" ref="S533:AF533" si="145">SUM(S534:S539)</f>
        <v>0</v>
      </c>
      <c r="T533" s="1395">
        <f t="shared" si="145"/>
        <v>0</v>
      </c>
      <c r="U533" s="1395">
        <f t="shared" si="145"/>
        <v>0</v>
      </c>
      <c r="V533" s="1395">
        <f t="shared" si="145"/>
        <v>3262.5</v>
      </c>
      <c r="W533" s="1395">
        <f t="shared" si="145"/>
        <v>1087.5</v>
      </c>
      <c r="X533" s="1395">
        <f t="shared" si="145"/>
        <v>1087.5</v>
      </c>
      <c r="Y533" s="1395">
        <f t="shared" si="145"/>
        <v>0</v>
      </c>
      <c r="Z533" s="361">
        <f t="shared" si="145"/>
        <v>0</v>
      </c>
      <c r="AA533" s="361">
        <f t="shared" si="145"/>
        <v>0</v>
      </c>
      <c r="AB533" s="361">
        <f t="shared" si="145"/>
        <v>0</v>
      </c>
      <c r="AC533" s="361">
        <f t="shared" si="145"/>
        <v>0</v>
      </c>
      <c r="AD533" s="361">
        <f t="shared" si="145"/>
        <v>0</v>
      </c>
      <c r="AE533" s="361">
        <f t="shared" si="145"/>
        <v>0</v>
      </c>
      <c r="AF533" s="361">
        <f t="shared" si="145"/>
        <v>0</v>
      </c>
      <c r="AG533" s="361">
        <f>SUM(S533:AF533)</f>
        <v>5437.5</v>
      </c>
    </row>
    <row r="534" spans="1:33" ht="66" customHeight="1" thickTop="1" thickBot="1">
      <c r="A534" s="1442">
        <v>4211</v>
      </c>
      <c r="B534" s="973" t="s">
        <v>440</v>
      </c>
      <c r="C534" s="824" t="s">
        <v>441</v>
      </c>
      <c r="D534" s="326"/>
      <c r="E534" s="294">
        <f>50</f>
        <v>50</v>
      </c>
      <c r="F534" s="460">
        <v>43186</v>
      </c>
      <c r="G534" s="461">
        <f t="shared" ref="G534:G539" si="146">+F534+E534</f>
        <v>43236</v>
      </c>
      <c r="H534" s="293" t="s">
        <v>368</v>
      </c>
      <c r="I534" s="294" t="s">
        <v>169</v>
      </c>
      <c r="J534" s="307" t="s">
        <v>442</v>
      </c>
      <c r="K534" s="326" t="s">
        <v>443</v>
      </c>
      <c r="L534" s="1238">
        <v>2313</v>
      </c>
      <c r="M534" s="326"/>
      <c r="N534" s="294"/>
      <c r="O534" s="1419">
        <v>217.5</v>
      </c>
      <c r="P534" s="463">
        <v>15</v>
      </c>
      <c r="Q534" s="1419">
        <v>3262.5</v>
      </c>
      <c r="R534" s="1420">
        <f>+Q534</f>
        <v>3262.5</v>
      </c>
      <c r="S534" s="463"/>
      <c r="T534" s="463"/>
      <c r="U534" s="463"/>
      <c r="V534" s="463">
        <v>3262.5</v>
      </c>
      <c r="W534" s="463"/>
      <c r="X534" s="1141"/>
      <c r="Y534" s="1162"/>
      <c r="Z534" s="1124"/>
      <c r="AA534" s="1199"/>
      <c r="AB534" s="1124"/>
      <c r="AC534" s="1124"/>
      <c r="AD534" s="1124"/>
      <c r="AE534" s="1425"/>
      <c r="AF534" s="1124"/>
      <c r="AG534" s="1162"/>
    </row>
    <row r="535" spans="1:33" ht="17.25" thickTop="1" thickBot="1">
      <c r="A535" s="1442"/>
      <c r="B535" s="973"/>
      <c r="C535" s="824" t="s">
        <v>444</v>
      </c>
      <c r="D535" s="326"/>
      <c r="E535" s="294">
        <v>15</v>
      </c>
      <c r="F535" s="460">
        <v>43241</v>
      </c>
      <c r="G535" s="461">
        <f t="shared" si="146"/>
        <v>43256</v>
      </c>
      <c r="H535" s="293" t="s">
        <v>368</v>
      </c>
      <c r="I535" s="294" t="s">
        <v>442</v>
      </c>
      <c r="J535" s="307"/>
      <c r="K535" s="326" t="s">
        <v>445</v>
      </c>
      <c r="L535" s="1238"/>
      <c r="M535" s="326"/>
      <c r="N535" s="294"/>
      <c r="O535" s="1112"/>
      <c r="P535" s="464"/>
      <c r="Q535" s="1112"/>
      <c r="R535" s="1420">
        <f t="shared" ref="R535:R572" si="147">+Q535</f>
        <v>0</v>
      </c>
      <c r="S535" s="463"/>
      <c r="T535" s="463"/>
      <c r="U535" s="463"/>
      <c r="V535" s="463"/>
      <c r="W535" s="463"/>
      <c r="X535" s="1141"/>
      <c r="Y535" s="1162"/>
      <c r="Z535" s="1124"/>
      <c r="AA535" s="1124"/>
      <c r="AB535" s="1124"/>
      <c r="AC535" s="1124"/>
      <c r="AD535" s="1124"/>
      <c r="AE535" s="1425"/>
      <c r="AF535" s="1124"/>
      <c r="AG535" s="1162"/>
    </row>
    <row r="536" spans="1:33" ht="33" thickTop="1" thickBot="1">
      <c r="A536" s="1442">
        <v>4212</v>
      </c>
      <c r="B536" s="973" t="s">
        <v>446</v>
      </c>
      <c r="C536" s="824" t="s">
        <v>441</v>
      </c>
      <c r="D536" s="326"/>
      <c r="E536" s="294">
        <v>70</v>
      </c>
      <c r="F536" s="460">
        <v>43186</v>
      </c>
      <c r="G536" s="461">
        <f t="shared" si="146"/>
        <v>43256</v>
      </c>
      <c r="H536" s="293" t="s">
        <v>368</v>
      </c>
      <c r="I536" s="294" t="s">
        <v>169</v>
      </c>
      <c r="J536" s="307" t="s">
        <v>442</v>
      </c>
      <c r="K536" s="326" t="s">
        <v>443</v>
      </c>
      <c r="L536" s="1238">
        <v>2313</v>
      </c>
      <c r="M536" s="326"/>
      <c r="N536" s="294"/>
      <c r="O536" s="1419">
        <v>217.5</v>
      </c>
      <c r="P536" s="463">
        <v>5</v>
      </c>
      <c r="Q536" s="1113">
        <f>O536*P536</f>
        <v>1087.5</v>
      </c>
      <c r="R536" s="1420">
        <f t="shared" si="147"/>
        <v>1087.5</v>
      </c>
      <c r="S536" s="463"/>
      <c r="T536" s="463"/>
      <c r="U536" s="463"/>
      <c r="V536" s="463"/>
      <c r="W536" s="463">
        <v>1087.5</v>
      </c>
      <c r="X536" s="1141"/>
      <c r="Y536" s="1162"/>
      <c r="Z536" s="1124"/>
      <c r="AA536" s="1124"/>
      <c r="AB536" s="1124"/>
      <c r="AC536" s="1124"/>
      <c r="AD536" s="1124"/>
      <c r="AE536" s="1425"/>
      <c r="AF536" s="1124"/>
      <c r="AG536" s="1162"/>
    </row>
    <row r="537" spans="1:33" ht="41.25" customHeight="1" thickTop="1" thickBot="1">
      <c r="A537" s="1442"/>
      <c r="B537" s="973"/>
      <c r="C537" s="824" t="s">
        <v>447</v>
      </c>
      <c r="D537" s="326"/>
      <c r="E537" s="294">
        <v>5</v>
      </c>
      <c r="F537" s="460">
        <v>43283</v>
      </c>
      <c r="G537" s="461">
        <f t="shared" si="146"/>
        <v>43288</v>
      </c>
      <c r="H537" s="293" t="s">
        <v>368</v>
      </c>
      <c r="I537" s="294" t="s">
        <v>442</v>
      </c>
      <c r="J537" s="307"/>
      <c r="K537" s="326" t="s">
        <v>445</v>
      </c>
      <c r="L537" s="1238"/>
      <c r="M537" s="326"/>
      <c r="N537" s="294"/>
      <c r="O537" s="1112"/>
      <c r="P537" s="464"/>
      <c r="Q537" s="1112"/>
      <c r="R537" s="1420">
        <f t="shared" si="147"/>
        <v>0</v>
      </c>
      <c r="S537" s="463"/>
      <c r="T537" s="463"/>
      <c r="U537" s="463"/>
      <c r="V537" s="463"/>
      <c r="W537" s="463"/>
      <c r="X537" s="1141"/>
      <c r="Y537" s="1162"/>
      <c r="Z537" s="1124"/>
      <c r="AA537" s="1124"/>
      <c r="AB537" s="1124"/>
      <c r="AC537" s="1124"/>
      <c r="AD537" s="1124"/>
      <c r="AE537" s="1425"/>
      <c r="AF537" s="1124"/>
      <c r="AG537" s="1162"/>
    </row>
    <row r="538" spans="1:33" ht="33" thickTop="1" thickBot="1">
      <c r="A538" s="1442">
        <v>4213</v>
      </c>
      <c r="B538" s="973" t="s">
        <v>448</v>
      </c>
      <c r="C538" s="824" t="s">
        <v>441</v>
      </c>
      <c r="D538" s="326"/>
      <c r="E538" s="294">
        <v>70</v>
      </c>
      <c r="F538" s="460">
        <v>43186</v>
      </c>
      <c r="G538" s="461">
        <f t="shared" si="146"/>
        <v>43256</v>
      </c>
      <c r="H538" s="293" t="s">
        <v>368</v>
      </c>
      <c r="I538" s="294" t="s">
        <v>169</v>
      </c>
      <c r="J538" s="307" t="s">
        <v>442</v>
      </c>
      <c r="K538" s="326" t="s">
        <v>443</v>
      </c>
      <c r="L538" s="1238">
        <v>2313</v>
      </c>
      <c r="M538" s="326"/>
      <c r="N538" s="294"/>
      <c r="O538" s="1419">
        <v>217.5</v>
      </c>
      <c r="P538" s="463">
        <v>5</v>
      </c>
      <c r="Q538" s="1113">
        <f>O538*P538</f>
        <v>1087.5</v>
      </c>
      <c r="R538" s="1420">
        <f t="shared" si="147"/>
        <v>1087.5</v>
      </c>
      <c r="S538" s="463"/>
      <c r="T538" s="463"/>
      <c r="U538" s="463"/>
      <c r="V538" s="463"/>
      <c r="W538" s="463"/>
      <c r="X538" s="1141">
        <v>1087.5</v>
      </c>
      <c r="Y538" s="1162"/>
      <c r="Z538" s="1124"/>
      <c r="AA538" s="1124"/>
      <c r="AB538" s="1124"/>
      <c r="AC538" s="1124"/>
      <c r="AD538" s="1124"/>
      <c r="AE538" s="1425"/>
      <c r="AF538" s="1124"/>
      <c r="AG538" s="1162"/>
    </row>
    <row r="539" spans="1:33" ht="16.5" thickTop="1">
      <c r="A539" s="1442"/>
      <c r="B539" s="973"/>
      <c r="C539" s="824" t="s">
        <v>449</v>
      </c>
      <c r="D539" s="326"/>
      <c r="E539" s="294">
        <v>5</v>
      </c>
      <c r="F539" s="460">
        <v>43318</v>
      </c>
      <c r="G539" s="461">
        <f t="shared" si="146"/>
        <v>43323</v>
      </c>
      <c r="H539" s="293" t="s">
        <v>368</v>
      </c>
      <c r="I539" s="294" t="s">
        <v>442</v>
      </c>
      <c r="J539" s="307"/>
      <c r="K539" s="326" t="s">
        <v>445</v>
      </c>
      <c r="L539" s="1238"/>
      <c r="M539" s="326"/>
      <c r="N539" s="294"/>
      <c r="O539" s="1112"/>
      <c r="P539" s="464"/>
      <c r="Q539" s="1112"/>
      <c r="R539" s="1420">
        <f t="shared" si="147"/>
        <v>0</v>
      </c>
      <c r="S539" s="463"/>
      <c r="T539" s="463"/>
      <c r="U539" s="463"/>
      <c r="V539" s="463"/>
      <c r="W539" s="463"/>
      <c r="X539" s="1141"/>
      <c r="Y539" s="1162"/>
      <c r="Z539" s="1124"/>
      <c r="AA539" s="1124"/>
      <c r="AB539" s="1124"/>
      <c r="AC539" s="1124"/>
      <c r="AD539" s="1124"/>
      <c r="AE539" s="1425"/>
      <c r="AF539" s="1124"/>
      <c r="AG539" s="1162"/>
    </row>
    <row r="540" spans="1:33" ht="16.5" customHeight="1" thickBot="1">
      <c r="A540" s="1275">
        <v>422</v>
      </c>
      <c r="B540" s="359" t="s">
        <v>450</v>
      </c>
      <c r="C540" s="1021"/>
      <c r="D540" s="1280"/>
      <c r="E540" s="1280"/>
      <c r="F540" s="1280"/>
      <c r="G540" s="1280"/>
      <c r="H540" s="1280"/>
      <c r="I540" s="1280"/>
      <c r="J540" s="283"/>
      <c r="K540" s="1278"/>
      <c r="L540" s="1279"/>
      <c r="M540" s="1280"/>
      <c r="N540" s="1277"/>
      <c r="O540" s="1281"/>
      <c r="P540" s="1277"/>
      <c r="Q540" s="1395">
        <f>SUM(Q541:Q544)</f>
        <v>15217.333333333334</v>
      </c>
      <c r="R540" s="1420">
        <f t="shared" si="147"/>
        <v>15217.333333333334</v>
      </c>
      <c r="S540" s="1395">
        <f t="shared" ref="S540:AF540" si="148">SUM(S541:S544)</f>
        <v>0</v>
      </c>
      <c r="T540" s="1395">
        <f t="shared" si="148"/>
        <v>0</v>
      </c>
      <c r="U540" s="1395">
        <f t="shared" si="148"/>
        <v>9997.3333333333321</v>
      </c>
      <c r="V540" s="1395">
        <f t="shared" si="148"/>
        <v>5220</v>
      </c>
      <c r="W540" s="1395">
        <f t="shared" si="148"/>
        <v>0</v>
      </c>
      <c r="X540" s="1395">
        <f t="shared" si="148"/>
        <v>0</v>
      </c>
      <c r="Y540" s="1395">
        <f t="shared" si="148"/>
        <v>0</v>
      </c>
      <c r="Z540" s="361">
        <f t="shared" si="148"/>
        <v>0</v>
      </c>
      <c r="AA540" s="361">
        <f t="shared" si="148"/>
        <v>0</v>
      </c>
      <c r="AB540" s="361">
        <f t="shared" si="148"/>
        <v>0</v>
      </c>
      <c r="AC540" s="361">
        <f t="shared" si="148"/>
        <v>0</v>
      </c>
      <c r="AD540" s="361">
        <f t="shared" si="148"/>
        <v>0</v>
      </c>
      <c r="AE540" s="361">
        <f t="shared" si="148"/>
        <v>0</v>
      </c>
      <c r="AF540" s="361">
        <f t="shared" si="148"/>
        <v>0</v>
      </c>
      <c r="AG540" s="361">
        <f>SUM(S540:AF540)</f>
        <v>15217.333333333332</v>
      </c>
    </row>
    <row r="541" spans="1:33" ht="31.5" thickTop="1" thickBot="1">
      <c r="A541" s="1442">
        <v>4221</v>
      </c>
      <c r="B541" s="985" t="s">
        <v>451</v>
      </c>
      <c r="C541" s="824" t="s">
        <v>452</v>
      </c>
      <c r="D541" s="326"/>
      <c r="E541" s="294">
        <f>50</f>
        <v>50</v>
      </c>
      <c r="F541" s="460">
        <v>43186</v>
      </c>
      <c r="G541" s="461">
        <f>+F541+E541</f>
        <v>43236</v>
      </c>
      <c r="H541" s="293" t="s">
        <v>368</v>
      </c>
      <c r="I541" s="294" t="s">
        <v>169</v>
      </c>
      <c r="J541" s="307" t="s">
        <v>179</v>
      </c>
      <c r="K541" s="326" t="s">
        <v>365</v>
      </c>
      <c r="L541" s="1238">
        <v>2313</v>
      </c>
      <c r="M541" s="326"/>
      <c r="N541" s="294"/>
      <c r="O541" s="1419">
        <v>174</v>
      </c>
      <c r="P541" s="466">
        <v>30</v>
      </c>
      <c r="Q541" s="1113">
        <f>O541*P541</f>
        <v>5220</v>
      </c>
      <c r="R541" s="1420">
        <f t="shared" si="147"/>
        <v>5220</v>
      </c>
      <c r="S541" s="463"/>
      <c r="T541" s="463"/>
      <c r="U541" s="463"/>
      <c r="V541" s="463">
        <v>5220</v>
      </c>
      <c r="W541" s="355"/>
      <c r="X541" s="1137"/>
      <c r="Y541" s="1126"/>
      <c r="Z541" s="1124"/>
      <c r="AA541" s="1124"/>
      <c r="AB541" s="1124"/>
      <c r="AC541" s="1124"/>
      <c r="AD541" s="1124"/>
      <c r="AE541" s="1425"/>
      <c r="AF541" s="1124"/>
      <c r="AG541" s="1156"/>
    </row>
    <row r="542" spans="1:33" ht="33" thickTop="1" thickBot="1">
      <c r="A542" s="1442">
        <v>4222</v>
      </c>
      <c r="B542" s="985" t="s">
        <v>453</v>
      </c>
      <c r="C542" s="824" t="s">
        <v>454</v>
      </c>
      <c r="D542" s="326"/>
      <c r="E542" s="1421">
        <v>5</v>
      </c>
      <c r="F542" s="460">
        <v>43241</v>
      </c>
      <c r="G542" s="461">
        <f>+F542+E542-1</f>
        <v>43245</v>
      </c>
      <c r="H542" s="293" t="s">
        <v>455</v>
      </c>
      <c r="I542" s="294" t="s">
        <v>179</v>
      </c>
      <c r="J542" s="307" t="s">
        <v>456</v>
      </c>
      <c r="K542" s="326" t="s">
        <v>457</v>
      </c>
      <c r="L542" s="1238">
        <v>23174</v>
      </c>
      <c r="M542" s="326"/>
      <c r="N542" s="294"/>
      <c r="O542" s="1419">
        <v>160</v>
      </c>
      <c r="P542" s="463">
        <v>40</v>
      </c>
      <c r="Q542" s="1113">
        <f>O542*P542</f>
        <v>6400</v>
      </c>
      <c r="R542" s="1420">
        <f t="shared" si="147"/>
        <v>6400</v>
      </c>
      <c r="S542" s="463"/>
      <c r="T542" s="463"/>
      <c r="U542" s="463">
        <v>6400</v>
      </c>
      <c r="V542" s="463"/>
      <c r="W542" s="355"/>
      <c r="X542" s="1137"/>
      <c r="Y542" s="1126"/>
      <c r="Z542" s="1124"/>
      <c r="AA542" s="1124"/>
      <c r="AB542" s="1124"/>
      <c r="AC542" s="1124"/>
      <c r="AD542" s="1124"/>
      <c r="AE542" s="1425"/>
      <c r="AF542" s="1124"/>
      <c r="AG542" s="1156"/>
    </row>
    <row r="543" spans="1:33" ht="33" thickTop="1" thickBot="1">
      <c r="A543" s="1442">
        <v>4223</v>
      </c>
      <c r="B543" s="985" t="s">
        <v>458</v>
      </c>
      <c r="C543" s="1092" t="s">
        <v>459</v>
      </c>
      <c r="D543" s="326"/>
      <c r="E543" s="1421">
        <v>3</v>
      </c>
      <c r="F543" s="460">
        <v>43248</v>
      </c>
      <c r="G543" s="461">
        <f>+F543+E543-1</f>
        <v>43250</v>
      </c>
      <c r="H543" s="293" t="s">
        <v>460</v>
      </c>
      <c r="I543" s="294" t="s">
        <v>179</v>
      </c>
      <c r="J543" s="306" t="s">
        <v>461</v>
      </c>
      <c r="K543" s="326" t="s">
        <v>457</v>
      </c>
      <c r="L543" s="1238">
        <v>23174</v>
      </c>
      <c r="M543" s="326"/>
      <c r="N543" s="294"/>
      <c r="O543" s="1419">
        <v>134.66666666666666</v>
      </c>
      <c r="P543" s="463">
        <v>8</v>
      </c>
      <c r="Q543" s="1113">
        <f>O543*P543</f>
        <v>1077.3333333333333</v>
      </c>
      <c r="R543" s="1420">
        <f t="shared" si="147"/>
        <v>1077.3333333333333</v>
      </c>
      <c r="S543" s="355"/>
      <c r="T543" s="355"/>
      <c r="U543" s="463">
        <v>1077.3333333333333</v>
      </c>
      <c r="V543" s="355"/>
      <c r="W543" s="355"/>
      <c r="X543" s="1137"/>
      <c r="Y543" s="1126"/>
      <c r="Z543" s="1124"/>
      <c r="AA543" s="1124"/>
      <c r="AB543" s="1124"/>
      <c r="AC543" s="1124"/>
      <c r="AD543" s="1124"/>
      <c r="AE543" s="1425"/>
      <c r="AF543" s="1124"/>
      <c r="AG543" s="1156"/>
    </row>
    <row r="544" spans="1:33" ht="32.25" thickTop="1">
      <c r="A544" s="1442">
        <v>4224</v>
      </c>
      <c r="B544" s="985" t="s">
        <v>462</v>
      </c>
      <c r="C544" s="1092" t="s">
        <v>463</v>
      </c>
      <c r="D544" s="326"/>
      <c r="E544" s="1421">
        <v>5</v>
      </c>
      <c r="F544" s="460">
        <v>43255</v>
      </c>
      <c r="G544" s="461">
        <f>+F544+E544-1</f>
        <v>43259</v>
      </c>
      <c r="H544" s="293" t="s">
        <v>455</v>
      </c>
      <c r="I544" s="294" t="s">
        <v>179</v>
      </c>
      <c r="J544" s="306" t="s">
        <v>461</v>
      </c>
      <c r="K544" s="326" t="s">
        <v>457</v>
      </c>
      <c r="L544" s="1238">
        <v>23174</v>
      </c>
      <c r="M544" s="326"/>
      <c r="N544" s="294"/>
      <c r="O544" s="1419">
        <v>84</v>
      </c>
      <c r="P544" s="463">
        <v>30</v>
      </c>
      <c r="Q544" s="1113">
        <f>O544*P544</f>
        <v>2520</v>
      </c>
      <c r="R544" s="1420">
        <f t="shared" si="147"/>
        <v>2520</v>
      </c>
      <c r="S544" s="463"/>
      <c r="T544" s="463"/>
      <c r="U544" s="463">
        <v>2520</v>
      </c>
      <c r="V544" s="463"/>
      <c r="W544" s="463"/>
      <c r="X544" s="1137"/>
      <c r="Y544" s="1126"/>
      <c r="Z544" s="1124"/>
      <c r="AA544" s="1124"/>
      <c r="AB544" s="1124"/>
      <c r="AC544" s="1124"/>
      <c r="AD544" s="1124"/>
      <c r="AE544" s="1425"/>
      <c r="AF544" s="1124"/>
      <c r="AG544" s="1156"/>
    </row>
    <row r="545" spans="1:33" ht="16.5" customHeight="1" thickBot="1">
      <c r="A545" s="1275">
        <v>423</v>
      </c>
      <c r="B545" s="1466" t="s">
        <v>464</v>
      </c>
      <c r="C545" s="1511"/>
      <c r="D545" s="1422"/>
      <c r="E545" s="1422"/>
      <c r="F545" s="1422"/>
      <c r="G545" s="1422"/>
      <c r="H545" s="1422"/>
      <c r="I545" s="1423"/>
      <c r="J545" s="283"/>
      <c r="K545" s="1278"/>
      <c r="L545" s="1279"/>
      <c r="M545" s="1280"/>
      <c r="N545" s="1277"/>
      <c r="O545" s="1281"/>
      <c r="P545" s="1277"/>
      <c r="Q545" s="1395">
        <f>SUM(Q546)</f>
        <v>6400</v>
      </c>
      <c r="R545" s="1420">
        <f t="shared" si="147"/>
        <v>6400</v>
      </c>
      <c r="S545" s="1395">
        <f t="shared" ref="S545:AF545" si="149">SUM(S546)</f>
        <v>0</v>
      </c>
      <c r="T545" s="1395">
        <f t="shared" si="149"/>
        <v>0</v>
      </c>
      <c r="U545" s="1395">
        <f t="shared" si="149"/>
        <v>0</v>
      </c>
      <c r="V545" s="1395">
        <f t="shared" si="149"/>
        <v>6400</v>
      </c>
      <c r="W545" s="1395">
        <f t="shared" si="149"/>
        <v>0</v>
      </c>
      <c r="X545" s="1395">
        <f t="shared" si="149"/>
        <v>0</v>
      </c>
      <c r="Y545" s="1395">
        <f t="shared" si="149"/>
        <v>0</v>
      </c>
      <c r="Z545" s="361">
        <f t="shared" si="149"/>
        <v>0</v>
      </c>
      <c r="AA545" s="361">
        <f t="shared" si="149"/>
        <v>0</v>
      </c>
      <c r="AB545" s="361">
        <f t="shared" si="149"/>
        <v>0</v>
      </c>
      <c r="AC545" s="361">
        <f t="shared" si="149"/>
        <v>0</v>
      </c>
      <c r="AD545" s="361">
        <f t="shared" si="149"/>
        <v>0</v>
      </c>
      <c r="AE545" s="361">
        <f t="shared" si="149"/>
        <v>0</v>
      </c>
      <c r="AF545" s="361">
        <f t="shared" si="149"/>
        <v>0</v>
      </c>
      <c r="AG545" s="361">
        <f>SUM(S545:AF545)</f>
        <v>6400</v>
      </c>
    </row>
    <row r="546" spans="1:33" ht="51" customHeight="1" thickTop="1">
      <c r="A546" s="1442">
        <v>4231</v>
      </c>
      <c r="B546" s="985" t="s">
        <v>465</v>
      </c>
      <c r="C546" s="1092" t="s">
        <v>466</v>
      </c>
      <c r="D546" s="466"/>
      <c r="E546" s="1421">
        <v>5</v>
      </c>
      <c r="F546" s="460">
        <v>43269</v>
      </c>
      <c r="G546" s="461">
        <f>+F546+E546-1</f>
        <v>43273</v>
      </c>
      <c r="H546" s="466" t="s">
        <v>368</v>
      </c>
      <c r="I546" s="1421" t="s">
        <v>179</v>
      </c>
      <c r="J546" s="306" t="s">
        <v>461</v>
      </c>
      <c r="K546" s="326" t="s">
        <v>457</v>
      </c>
      <c r="L546" s="1237">
        <v>23174</v>
      </c>
      <c r="M546" s="466"/>
      <c r="N546" s="466"/>
      <c r="O546" s="1419">
        <v>160</v>
      </c>
      <c r="P546" s="1420">
        <v>40</v>
      </c>
      <c r="Q546" s="1419">
        <f>O546*P546</f>
        <v>6400</v>
      </c>
      <c r="R546" s="1420">
        <f t="shared" si="147"/>
        <v>6400</v>
      </c>
      <c r="S546" s="463"/>
      <c r="T546" s="463"/>
      <c r="U546" s="463"/>
      <c r="V546" s="463">
        <v>6400</v>
      </c>
      <c r="W546" s="463"/>
      <c r="X546" s="1424"/>
      <c r="Y546" s="1425"/>
      <c r="Z546" s="1163"/>
      <c r="AA546" s="1163"/>
      <c r="AB546" s="1163"/>
      <c r="AC546" s="1163"/>
      <c r="AD546" s="1163"/>
      <c r="AE546" s="1163"/>
      <c r="AF546" s="1163"/>
      <c r="AG546" s="1163"/>
    </row>
    <row r="547" spans="1:33" ht="18.75" customHeight="1" thickBot="1">
      <c r="A547" s="1275">
        <v>424</v>
      </c>
      <c r="B547" s="1466" t="s">
        <v>467</v>
      </c>
      <c r="C547" s="1511"/>
      <c r="D547" s="1422"/>
      <c r="E547" s="1422"/>
      <c r="F547" s="1422"/>
      <c r="G547" s="1422"/>
      <c r="H547" s="1422"/>
      <c r="I547" s="1423"/>
      <c r="J547" s="283"/>
      <c r="K547" s="1278"/>
      <c r="L547" s="1279"/>
      <c r="M547" s="1280"/>
      <c r="N547" s="1277"/>
      <c r="O547" s="1281"/>
      <c r="P547" s="1277"/>
      <c r="Q547" s="1395">
        <f>SUM(Q548)</f>
        <v>66990</v>
      </c>
      <c r="R547" s="1420">
        <f t="shared" si="147"/>
        <v>66990</v>
      </c>
      <c r="S547" s="1395">
        <f t="shared" ref="S547:AF547" si="150">SUM(S548)</f>
        <v>0</v>
      </c>
      <c r="T547" s="1395">
        <f t="shared" si="150"/>
        <v>0</v>
      </c>
      <c r="U547" s="1395">
        <f t="shared" si="150"/>
        <v>0</v>
      </c>
      <c r="V547" s="1395">
        <f t="shared" si="150"/>
        <v>66990</v>
      </c>
      <c r="W547" s="1395">
        <f t="shared" si="150"/>
        <v>0</v>
      </c>
      <c r="X547" s="1395">
        <f t="shared" si="150"/>
        <v>0</v>
      </c>
      <c r="Y547" s="1395">
        <f t="shared" si="150"/>
        <v>0</v>
      </c>
      <c r="Z547" s="361">
        <f t="shared" si="150"/>
        <v>0</v>
      </c>
      <c r="AA547" s="361">
        <f t="shared" si="150"/>
        <v>0</v>
      </c>
      <c r="AB547" s="361">
        <f t="shared" si="150"/>
        <v>0</v>
      </c>
      <c r="AC547" s="361">
        <f t="shared" si="150"/>
        <v>0</v>
      </c>
      <c r="AD547" s="361">
        <f t="shared" si="150"/>
        <v>0</v>
      </c>
      <c r="AE547" s="361">
        <f t="shared" si="150"/>
        <v>0</v>
      </c>
      <c r="AF547" s="361">
        <f t="shared" si="150"/>
        <v>0</v>
      </c>
      <c r="AG547" s="361">
        <f>SUM(S547:AF547)</f>
        <v>66990</v>
      </c>
    </row>
    <row r="548" spans="1:33" ht="60.75" thickTop="1">
      <c r="A548" s="1442">
        <v>4241</v>
      </c>
      <c r="B548" s="985" t="s">
        <v>468</v>
      </c>
      <c r="C548" s="1092" t="s">
        <v>469</v>
      </c>
      <c r="D548" s="326"/>
      <c r="E548" s="1421">
        <v>2</v>
      </c>
      <c r="F548" s="460">
        <v>43283</v>
      </c>
      <c r="G548" s="461">
        <f>+F548+E548-1</f>
        <v>43284</v>
      </c>
      <c r="H548" s="293" t="s">
        <v>470</v>
      </c>
      <c r="I548" s="294" t="s">
        <v>179</v>
      </c>
      <c r="J548" s="306" t="s">
        <v>461</v>
      </c>
      <c r="K548" s="326" t="s">
        <v>457</v>
      </c>
      <c r="L548" s="1237">
        <v>23174</v>
      </c>
      <c r="M548" s="326"/>
      <c r="N548" s="294"/>
      <c r="O548" s="1419">
        <v>3045</v>
      </c>
      <c r="P548" s="1420">
        <v>22</v>
      </c>
      <c r="Q548" s="1419">
        <f>O548*P548</f>
        <v>66990</v>
      </c>
      <c r="R548" s="1420">
        <f t="shared" si="147"/>
        <v>66990</v>
      </c>
      <c r="S548" s="463"/>
      <c r="T548" s="463"/>
      <c r="U548" s="463"/>
      <c r="V548" s="463">
        <v>66990</v>
      </c>
      <c r="W548" s="463"/>
      <c r="X548" s="1137"/>
      <c r="Y548" s="1126"/>
      <c r="Z548" s="1126"/>
      <c r="AA548" s="1126"/>
      <c r="AB548" s="1126"/>
      <c r="AC548" s="1126"/>
      <c r="AD548" s="1126"/>
      <c r="AE548" s="1126"/>
      <c r="AF548" s="1126"/>
      <c r="AG548" s="1126"/>
    </row>
    <row r="549" spans="1:33" ht="16.5" customHeight="1" thickBot="1">
      <c r="A549" s="1275">
        <v>425</v>
      </c>
      <c r="B549" s="1466" t="s">
        <v>471</v>
      </c>
      <c r="C549" s="1511"/>
      <c r="D549" s="1422"/>
      <c r="E549" s="1422"/>
      <c r="F549" s="1422"/>
      <c r="G549" s="1422"/>
      <c r="H549" s="1422"/>
      <c r="I549" s="1423"/>
      <c r="J549" s="283"/>
      <c r="K549" s="1278"/>
      <c r="L549" s="1279"/>
      <c r="M549" s="1280"/>
      <c r="N549" s="1277"/>
      <c r="O549" s="1281"/>
      <c r="P549" s="1277"/>
      <c r="Q549" s="1395">
        <f>SUM(Q550:Q553)</f>
        <v>104413.66666666667</v>
      </c>
      <c r="R549" s="1420">
        <f t="shared" si="147"/>
        <v>104413.66666666667</v>
      </c>
      <c r="S549" s="1395">
        <f t="shared" ref="S549:AF549" si="151">SUM(S550:S553)</f>
        <v>0</v>
      </c>
      <c r="T549" s="1395">
        <f t="shared" si="151"/>
        <v>93216.666666666672</v>
      </c>
      <c r="U549" s="1395">
        <f t="shared" si="151"/>
        <v>6760</v>
      </c>
      <c r="V549" s="1395">
        <f t="shared" si="151"/>
        <v>4437</v>
      </c>
      <c r="W549" s="1395">
        <f t="shared" si="151"/>
        <v>0</v>
      </c>
      <c r="X549" s="1395">
        <f t="shared" si="151"/>
        <v>0</v>
      </c>
      <c r="Y549" s="1395">
        <f t="shared" si="151"/>
        <v>0</v>
      </c>
      <c r="Z549" s="361">
        <f t="shared" si="151"/>
        <v>0</v>
      </c>
      <c r="AA549" s="361">
        <f t="shared" si="151"/>
        <v>0</v>
      </c>
      <c r="AB549" s="361">
        <f t="shared" si="151"/>
        <v>0</v>
      </c>
      <c r="AC549" s="361">
        <f t="shared" si="151"/>
        <v>0</v>
      </c>
      <c r="AD549" s="361">
        <f t="shared" si="151"/>
        <v>0</v>
      </c>
      <c r="AE549" s="361">
        <f t="shared" si="151"/>
        <v>0</v>
      </c>
      <c r="AF549" s="361">
        <f t="shared" si="151"/>
        <v>0</v>
      </c>
      <c r="AG549" s="361">
        <f>SUM(S549:AF549)</f>
        <v>104413.66666666667</v>
      </c>
    </row>
    <row r="550" spans="1:33" ht="17.25" thickTop="1" thickBot="1">
      <c r="A550" s="1442">
        <v>4251</v>
      </c>
      <c r="B550" s="986" t="s">
        <v>472</v>
      </c>
      <c r="C550" s="1092" t="s">
        <v>473</v>
      </c>
      <c r="D550" s="326"/>
      <c r="E550" s="294">
        <v>15</v>
      </c>
      <c r="F550" s="460">
        <v>43201</v>
      </c>
      <c r="G550" s="461">
        <f>+F550+E550-1</f>
        <v>43215</v>
      </c>
      <c r="H550" s="293" t="s">
        <v>474</v>
      </c>
      <c r="I550" s="294" t="s">
        <v>179</v>
      </c>
      <c r="J550" s="307" t="s">
        <v>169</v>
      </c>
      <c r="K550" s="326" t="s">
        <v>252</v>
      </c>
      <c r="L550" s="1237">
        <v>23174</v>
      </c>
      <c r="M550" s="326"/>
      <c r="N550" s="294"/>
      <c r="O550" s="1419">
        <v>0.23333333333333334</v>
      </c>
      <c r="P550" s="1420">
        <v>57500</v>
      </c>
      <c r="Q550" s="1419">
        <f>O550*P550</f>
        <v>13416.666666666666</v>
      </c>
      <c r="R550" s="1420">
        <f t="shared" si="147"/>
        <v>13416.666666666666</v>
      </c>
      <c r="S550" s="355"/>
      <c r="T550" s="463">
        <v>13416.666666666666</v>
      </c>
      <c r="U550" s="463"/>
      <c r="V550" s="463"/>
      <c r="W550" s="355"/>
      <c r="X550" s="1137"/>
      <c r="Y550" s="1126"/>
      <c r="Z550" s="1126"/>
      <c r="AA550" s="1126"/>
      <c r="AB550" s="1126"/>
      <c r="AC550" s="1126"/>
      <c r="AD550" s="1126"/>
      <c r="AE550" s="1126"/>
      <c r="AF550" s="1126"/>
      <c r="AG550" s="1126"/>
    </row>
    <row r="551" spans="1:33" ht="31.5" thickTop="1" thickBot="1">
      <c r="A551" s="1442">
        <v>4252</v>
      </c>
      <c r="B551" s="986" t="s">
        <v>475</v>
      </c>
      <c r="C551" s="1092" t="s">
        <v>476</v>
      </c>
      <c r="D551" s="326"/>
      <c r="E551" s="294">
        <v>10</v>
      </c>
      <c r="F551" s="460">
        <v>43213</v>
      </c>
      <c r="G551" s="461">
        <f>+F551+E551-1</f>
        <v>43222</v>
      </c>
      <c r="H551" s="293" t="s">
        <v>474</v>
      </c>
      <c r="I551" s="294" t="s">
        <v>179</v>
      </c>
      <c r="J551" s="307" t="s">
        <v>180</v>
      </c>
      <c r="K551" s="326" t="s">
        <v>457</v>
      </c>
      <c r="L551" s="1237">
        <v>23174</v>
      </c>
      <c r="M551" s="326"/>
      <c r="N551" s="294"/>
      <c r="O551" s="1419">
        <v>350</v>
      </c>
      <c r="P551" s="1420">
        <v>228</v>
      </c>
      <c r="Q551" s="1419">
        <f>O551*P551</f>
        <v>79800</v>
      </c>
      <c r="R551" s="1420">
        <f t="shared" si="147"/>
        <v>79800</v>
      </c>
      <c r="S551" s="355"/>
      <c r="T551" s="463">
        <v>79800</v>
      </c>
      <c r="U551" s="463"/>
      <c r="V551" s="463"/>
      <c r="W551" s="355"/>
      <c r="X551" s="1137"/>
      <c r="Y551" s="1126"/>
      <c r="Z551" s="1126"/>
      <c r="AA551" s="1126"/>
      <c r="AB551" s="1126"/>
      <c r="AC551" s="1126"/>
      <c r="AD551" s="1126"/>
      <c r="AE551" s="1126"/>
      <c r="AF551" s="1126"/>
      <c r="AG551" s="1126"/>
    </row>
    <row r="552" spans="1:33" ht="17.25" thickTop="1" thickBot="1">
      <c r="A552" s="1442">
        <v>4253</v>
      </c>
      <c r="B552" s="986" t="s">
        <v>477</v>
      </c>
      <c r="C552" s="1092" t="s">
        <v>478</v>
      </c>
      <c r="D552" s="326"/>
      <c r="E552" s="294">
        <v>10</v>
      </c>
      <c r="F552" s="460">
        <v>43227</v>
      </c>
      <c r="G552" s="461">
        <f t="shared" ref="G552:G563" si="152">+F552+E552-1</f>
        <v>43236</v>
      </c>
      <c r="H552" s="293" t="s">
        <v>368</v>
      </c>
      <c r="I552" s="294" t="s">
        <v>179</v>
      </c>
      <c r="J552" s="307" t="s">
        <v>180</v>
      </c>
      <c r="K552" s="326" t="s">
        <v>457</v>
      </c>
      <c r="L552" s="1237">
        <v>23174</v>
      </c>
      <c r="M552" s="326"/>
      <c r="N552" s="294"/>
      <c r="O552" s="1419">
        <v>260</v>
      </c>
      <c r="P552" s="1420">
        <v>26</v>
      </c>
      <c r="Q552" s="1419">
        <f>O552*P552</f>
        <v>6760</v>
      </c>
      <c r="R552" s="1420">
        <f t="shared" si="147"/>
        <v>6760</v>
      </c>
      <c r="S552" s="463"/>
      <c r="T552" s="463"/>
      <c r="U552" s="463">
        <v>6760</v>
      </c>
      <c r="V552" s="463"/>
      <c r="W552" s="355"/>
      <c r="X552" s="1137"/>
      <c r="Y552" s="1126"/>
      <c r="Z552" s="1126"/>
      <c r="AA552" s="1126"/>
      <c r="AB552" s="1126"/>
      <c r="AC552" s="1126"/>
      <c r="AD552" s="1126"/>
      <c r="AE552" s="1126"/>
      <c r="AF552" s="1126"/>
      <c r="AG552" s="1126"/>
    </row>
    <row r="553" spans="1:33" ht="30.75" thickTop="1">
      <c r="A553" s="1442">
        <v>4254</v>
      </c>
      <c r="B553" s="987" t="s">
        <v>479</v>
      </c>
      <c r="C553" s="1092" t="s">
        <v>480</v>
      </c>
      <c r="D553" s="326"/>
      <c r="E553" s="294">
        <v>6</v>
      </c>
      <c r="F553" s="460">
        <v>43269</v>
      </c>
      <c r="G553" s="461">
        <f t="shared" si="152"/>
        <v>43274</v>
      </c>
      <c r="H553" s="293" t="s">
        <v>368</v>
      </c>
      <c r="I553" s="294" t="s">
        <v>179</v>
      </c>
      <c r="J553" s="307" t="s">
        <v>180</v>
      </c>
      <c r="K553" s="326" t="s">
        <v>457</v>
      </c>
      <c r="L553" s="1237">
        <v>23174</v>
      </c>
      <c r="M553" s="326"/>
      <c r="N553" s="294"/>
      <c r="O553" s="1419">
        <v>177.48</v>
      </c>
      <c r="P553" s="1420">
        <v>25</v>
      </c>
      <c r="Q553" s="1419">
        <f>O553*P553</f>
        <v>4437</v>
      </c>
      <c r="R553" s="1420">
        <f t="shared" si="147"/>
        <v>4437</v>
      </c>
      <c r="S553" s="463"/>
      <c r="T553" s="463"/>
      <c r="U553" s="463"/>
      <c r="V553" s="463">
        <v>4437</v>
      </c>
      <c r="W553" s="355"/>
      <c r="X553" s="1137"/>
      <c r="Y553" s="1126"/>
      <c r="Z553" s="1126"/>
      <c r="AA553" s="1126"/>
      <c r="AB553" s="1126"/>
      <c r="AC553" s="1126"/>
      <c r="AD553" s="1126"/>
      <c r="AE553" s="1126"/>
      <c r="AF553" s="1126"/>
      <c r="AG553" s="1126"/>
    </row>
    <row r="554" spans="1:33" ht="16.5" thickBot="1">
      <c r="A554" s="1275">
        <v>426</v>
      </c>
      <c r="B554" s="1466" t="s">
        <v>481</v>
      </c>
      <c r="C554" s="1511"/>
      <c r="D554" s="1422"/>
      <c r="E554" s="1422"/>
      <c r="F554" s="1422"/>
      <c r="G554" s="1422"/>
      <c r="H554" s="1422"/>
      <c r="I554" s="1423"/>
      <c r="J554" s="283"/>
      <c r="K554" s="1278"/>
      <c r="L554" s="1279"/>
      <c r="M554" s="1277"/>
      <c r="N554" s="1277"/>
      <c r="O554" s="1395"/>
      <c r="P554" s="1277"/>
      <c r="Q554" s="1395">
        <f>SUM(Q555:Q563)</f>
        <v>41478.833333333336</v>
      </c>
      <c r="R554" s="1277">
        <f t="shared" si="147"/>
        <v>41478.833333333336</v>
      </c>
      <c r="S554" s="1395">
        <f t="shared" ref="S554:AF554" si="153">SUM(S555:S563)</f>
        <v>0</v>
      </c>
      <c r="T554" s="1395">
        <f t="shared" si="153"/>
        <v>0</v>
      </c>
      <c r="U554" s="1395">
        <f t="shared" si="153"/>
        <v>33648.833333333328</v>
      </c>
      <c r="V554" s="1395">
        <f t="shared" si="153"/>
        <v>7830</v>
      </c>
      <c r="W554" s="1395">
        <f t="shared" si="153"/>
        <v>0</v>
      </c>
      <c r="X554" s="1395">
        <f t="shared" si="153"/>
        <v>0</v>
      </c>
      <c r="Y554" s="1395">
        <f t="shared" si="153"/>
        <v>0</v>
      </c>
      <c r="Z554" s="361">
        <f t="shared" si="153"/>
        <v>0</v>
      </c>
      <c r="AA554" s="361">
        <f t="shared" si="153"/>
        <v>0</v>
      </c>
      <c r="AB554" s="361">
        <f t="shared" si="153"/>
        <v>0</v>
      </c>
      <c r="AC554" s="361">
        <f t="shared" si="153"/>
        <v>0</v>
      </c>
      <c r="AD554" s="361">
        <f t="shared" si="153"/>
        <v>0</v>
      </c>
      <c r="AE554" s="361">
        <f t="shared" si="153"/>
        <v>0</v>
      </c>
      <c r="AF554" s="361">
        <f t="shared" si="153"/>
        <v>0</v>
      </c>
      <c r="AG554" s="361">
        <f>SUM(S554:AF554)</f>
        <v>41478.833333333328</v>
      </c>
    </row>
    <row r="555" spans="1:33" ht="31.5" thickTop="1" thickBot="1">
      <c r="A555" s="1442">
        <v>4261</v>
      </c>
      <c r="B555" s="986" t="s">
        <v>482</v>
      </c>
      <c r="C555" s="1092" t="s">
        <v>483</v>
      </c>
      <c r="D555" s="326"/>
      <c r="E555" s="294">
        <v>50</v>
      </c>
      <c r="F555" s="460">
        <v>43186</v>
      </c>
      <c r="G555" s="461">
        <f>+F555+E555-3</f>
        <v>43233</v>
      </c>
      <c r="H555" s="293" t="s">
        <v>368</v>
      </c>
      <c r="I555" s="294" t="s">
        <v>169</v>
      </c>
      <c r="J555" s="307" t="s">
        <v>179</v>
      </c>
      <c r="K555" s="311" t="s">
        <v>365</v>
      </c>
      <c r="L555" s="1238">
        <v>2313</v>
      </c>
      <c r="M555" s="326"/>
      <c r="N555" s="294"/>
      <c r="O555" s="1419">
        <v>174</v>
      </c>
      <c r="P555" s="1420">
        <v>45</v>
      </c>
      <c r="Q555" s="1419">
        <f t="shared" ref="Q555:Q561" si="154">O555*P555</f>
        <v>7830</v>
      </c>
      <c r="R555" s="1420">
        <f t="shared" si="147"/>
        <v>7830</v>
      </c>
      <c r="S555" s="1420"/>
      <c r="T555" s="1420"/>
      <c r="U555" s="1420"/>
      <c r="V555" s="1420">
        <v>7830</v>
      </c>
      <c r="W555" s="1420"/>
      <c r="X555" s="1137"/>
      <c r="Y555" s="1126"/>
      <c r="Z555" s="1126"/>
      <c r="AA555" s="1126"/>
      <c r="AB555" s="1126"/>
      <c r="AC555" s="1126"/>
      <c r="AD555" s="1126"/>
      <c r="AE555" s="1126"/>
      <c r="AF555" s="1126"/>
      <c r="AG555" s="1126"/>
    </row>
    <row r="556" spans="1:33" ht="31.5" thickTop="1" thickBot="1">
      <c r="A556" s="1442">
        <v>4262</v>
      </c>
      <c r="B556" s="986" t="s">
        <v>484</v>
      </c>
      <c r="C556" s="1092" t="s">
        <v>485</v>
      </c>
      <c r="D556" s="326"/>
      <c r="E556" s="294">
        <v>6</v>
      </c>
      <c r="F556" s="460">
        <v>43234</v>
      </c>
      <c r="G556" s="461">
        <f t="shared" si="152"/>
        <v>43239</v>
      </c>
      <c r="H556" s="293" t="s">
        <v>368</v>
      </c>
      <c r="I556" s="294" t="s">
        <v>179</v>
      </c>
      <c r="J556" s="307"/>
      <c r="K556" s="326" t="s">
        <v>457</v>
      </c>
      <c r="L556" s="1238">
        <v>23174</v>
      </c>
      <c r="M556" s="326"/>
      <c r="N556" s="294"/>
      <c r="O556" s="1419">
        <v>5076.666666666667</v>
      </c>
      <c r="P556" s="1420">
        <v>1</v>
      </c>
      <c r="Q556" s="1419">
        <f t="shared" si="154"/>
        <v>5076.666666666667</v>
      </c>
      <c r="R556" s="1420">
        <f t="shared" si="147"/>
        <v>5076.666666666667</v>
      </c>
      <c r="S556" s="1420"/>
      <c r="T556" s="1420"/>
      <c r="U556" s="1420">
        <v>5076.666666666667</v>
      </c>
      <c r="V556" s="1420"/>
      <c r="W556" s="1420"/>
      <c r="X556" s="1137"/>
      <c r="Y556" s="1126"/>
      <c r="Z556" s="1126"/>
      <c r="AA556" s="1126"/>
      <c r="AB556" s="1126"/>
      <c r="AC556" s="1126"/>
      <c r="AD556" s="1126"/>
      <c r="AE556" s="1126"/>
      <c r="AF556" s="1126"/>
      <c r="AG556" s="1126"/>
    </row>
    <row r="557" spans="1:33" ht="17.25" thickTop="1" thickBot="1">
      <c r="A557" s="1442"/>
      <c r="B557" s="986"/>
      <c r="C557" s="1092"/>
      <c r="D557" s="326"/>
      <c r="E557" s="294">
        <v>6</v>
      </c>
      <c r="F557" s="460">
        <v>43234</v>
      </c>
      <c r="G557" s="461">
        <f t="shared" si="152"/>
        <v>43239</v>
      </c>
      <c r="H557" s="293" t="s">
        <v>368</v>
      </c>
      <c r="I557" s="294" t="s">
        <v>179</v>
      </c>
      <c r="J557" s="307"/>
      <c r="K557" s="326" t="s">
        <v>320</v>
      </c>
      <c r="L557" s="1238">
        <v>23173</v>
      </c>
      <c r="M557" s="326"/>
      <c r="N557" s="294"/>
      <c r="O557" s="1419">
        <v>165.83333333333334</v>
      </c>
      <c r="P557" s="1420">
        <v>1</v>
      </c>
      <c r="Q557" s="1419">
        <f t="shared" si="154"/>
        <v>165.83333333333334</v>
      </c>
      <c r="R557" s="1420">
        <f t="shared" si="147"/>
        <v>165.83333333333334</v>
      </c>
      <c r="S557" s="1420"/>
      <c r="T557" s="1420"/>
      <c r="U557" s="1420">
        <v>165.83333333333334</v>
      </c>
      <c r="V557" s="1420"/>
      <c r="W557" s="1420"/>
      <c r="X557" s="1137"/>
      <c r="Y557" s="1126"/>
      <c r="Z557" s="1126"/>
      <c r="AA557" s="1126"/>
      <c r="AB557" s="1126"/>
      <c r="AC557" s="1126"/>
      <c r="AD557" s="1126"/>
      <c r="AE557" s="1126"/>
      <c r="AF557" s="1126"/>
      <c r="AG557" s="1126"/>
    </row>
    <row r="558" spans="1:33" ht="17.25" thickTop="1" thickBot="1">
      <c r="A558" s="1442"/>
      <c r="B558" s="986"/>
      <c r="C558" s="1092"/>
      <c r="D558" s="326"/>
      <c r="E558" s="294">
        <v>6</v>
      </c>
      <c r="F558" s="460">
        <v>43234</v>
      </c>
      <c r="G558" s="461">
        <f t="shared" si="152"/>
        <v>43239</v>
      </c>
      <c r="H558" s="293" t="s">
        <v>368</v>
      </c>
      <c r="I558" s="294" t="s">
        <v>179</v>
      </c>
      <c r="J558" s="307"/>
      <c r="K558" s="326" t="s">
        <v>486</v>
      </c>
      <c r="L558" s="1238">
        <v>23172</v>
      </c>
      <c r="M558" s="326"/>
      <c r="N558" s="294"/>
      <c r="O558" s="1419">
        <v>10</v>
      </c>
      <c r="P558" s="1420">
        <v>5</v>
      </c>
      <c r="Q558" s="1419">
        <f t="shared" si="154"/>
        <v>50</v>
      </c>
      <c r="R558" s="1420">
        <f t="shared" si="147"/>
        <v>50</v>
      </c>
      <c r="S558" s="1420"/>
      <c r="T558" s="1420"/>
      <c r="U558" s="1420">
        <v>50</v>
      </c>
      <c r="V558" s="1420"/>
      <c r="W558" s="1420"/>
      <c r="X558" s="1137"/>
      <c r="Y558" s="1126"/>
      <c r="Z558" s="1126"/>
      <c r="AA558" s="1126"/>
      <c r="AB558" s="1126"/>
      <c r="AC558" s="1126"/>
      <c r="AD558" s="1126"/>
      <c r="AE558" s="1126"/>
      <c r="AF558" s="1126"/>
      <c r="AG558" s="1126"/>
    </row>
    <row r="559" spans="1:33" ht="17.25" thickTop="1" thickBot="1">
      <c r="A559" s="1442">
        <v>4263</v>
      </c>
      <c r="B559" s="986" t="s">
        <v>487</v>
      </c>
      <c r="C559" s="1092" t="s">
        <v>488</v>
      </c>
      <c r="D559" s="326"/>
      <c r="E559" s="294">
        <v>10</v>
      </c>
      <c r="F559" s="460">
        <v>43241</v>
      </c>
      <c r="G559" s="461">
        <f t="shared" si="152"/>
        <v>43250</v>
      </c>
      <c r="H559" s="294" t="s">
        <v>372</v>
      </c>
      <c r="I559" s="294" t="s">
        <v>179</v>
      </c>
      <c r="J559" s="307"/>
      <c r="K559" s="326" t="s">
        <v>457</v>
      </c>
      <c r="L559" s="1238">
        <v>23174</v>
      </c>
      <c r="M559" s="326"/>
      <c r="N559" s="294"/>
      <c r="O559" s="1419">
        <v>20400</v>
      </c>
      <c r="P559" s="1420">
        <v>1</v>
      </c>
      <c r="Q559" s="1419">
        <f t="shared" si="154"/>
        <v>20400</v>
      </c>
      <c r="R559" s="1420">
        <f t="shared" si="147"/>
        <v>20400</v>
      </c>
      <c r="S559" s="1420"/>
      <c r="T559" s="1420"/>
      <c r="U559" s="1420">
        <v>20400</v>
      </c>
      <c r="V559" s="1420"/>
      <c r="W559" s="1420"/>
      <c r="X559" s="1137"/>
      <c r="Y559" s="1126"/>
      <c r="Z559" s="1126"/>
      <c r="AA559" s="1126"/>
      <c r="AB559" s="1126"/>
      <c r="AC559" s="1126"/>
      <c r="AD559" s="1126"/>
      <c r="AE559" s="1126"/>
      <c r="AF559" s="1126"/>
      <c r="AG559" s="1126"/>
    </row>
    <row r="560" spans="1:33" ht="17.25" thickTop="1" thickBot="1">
      <c r="A560" s="1442"/>
      <c r="B560" s="986"/>
      <c r="C560" s="1092"/>
      <c r="D560" s="326"/>
      <c r="E560" s="294">
        <v>10</v>
      </c>
      <c r="F560" s="460">
        <v>43241</v>
      </c>
      <c r="G560" s="461">
        <f t="shared" si="152"/>
        <v>43250</v>
      </c>
      <c r="H560" s="294" t="s">
        <v>372</v>
      </c>
      <c r="I560" s="294" t="s">
        <v>179</v>
      </c>
      <c r="J560" s="307"/>
      <c r="K560" s="326" t="s">
        <v>320</v>
      </c>
      <c r="L560" s="1238">
        <v>23173</v>
      </c>
      <c r="M560" s="326"/>
      <c r="N560" s="294"/>
      <c r="O560" s="1419">
        <v>356.33333333333331</v>
      </c>
      <c r="P560" s="1426">
        <v>1</v>
      </c>
      <c r="Q560" s="1427">
        <f t="shared" si="154"/>
        <v>356.33333333333331</v>
      </c>
      <c r="R560" s="1420">
        <f t="shared" si="147"/>
        <v>356.33333333333331</v>
      </c>
      <c r="S560" s="355"/>
      <c r="T560" s="355"/>
      <c r="U560" s="1420">
        <v>356.33333333333331</v>
      </c>
      <c r="V560" s="355"/>
      <c r="W560" s="355"/>
      <c r="X560" s="1137"/>
      <c r="Y560" s="1126"/>
      <c r="Z560" s="1126"/>
      <c r="AA560" s="1126"/>
      <c r="AB560" s="1126"/>
      <c r="AC560" s="1126"/>
      <c r="AD560" s="1126"/>
      <c r="AE560" s="1126"/>
      <c r="AF560" s="1126"/>
      <c r="AG560" s="1126"/>
    </row>
    <row r="561" spans="1:33" ht="17.25" thickTop="1" thickBot="1">
      <c r="A561" s="1442"/>
      <c r="B561" s="986"/>
      <c r="C561" s="1092"/>
      <c r="D561" s="326"/>
      <c r="E561" s="294">
        <v>10</v>
      </c>
      <c r="F561" s="460">
        <v>43241</v>
      </c>
      <c r="G561" s="461">
        <f t="shared" si="152"/>
        <v>43250</v>
      </c>
      <c r="H561" s="294" t="s">
        <v>372</v>
      </c>
      <c r="I561" s="294" t="s">
        <v>179</v>
      </c>
      <c r="J561" s="307"/>
      <c r="K561" s="326" t="s">
        <v>486</v>
      </c>
      <c r="L561" s="1238">
        <v>23172</v>
      </c>
      <c r="M561" s="326"/>
      <c r="N561" s="294"/>
      <c r="O561" s="1419">
        <v>10</v>
      </c>
      <c r="P561" s="1426">
        <v>10</v>
      </c>
      <c r="Q561" s="1427">
        <f t="shared" si="154"/>
        <v>100</v>
      </c>
      <c r="R561" s="1420">
        <f t="shared" si="147"/>
        <v>100</v>
      </c>
      <c r="S561" s="355"/>
      <c r="T561" s="355"/>
      <c r="U561" s="1420">
        <v>100</v>
      </c>
      <c r="V561" s="355"/>
      <c r="W561" s="355"/>
      <c r="X561" s="1137"/>
      <c r="Y561" s="1126"/>
      <c r="Z561" s="1126"/>
      <c r="AA561" s="1126"/>
      <c r="AB561" s="1126"/>
      <c r="AC561" s="1126"/>
      <c r="AD561" s="1126"/>
      <c r="AE561" s="1126"/>
      <c r="AF561" s="1126"/>
      <c r="AG561" s="1126"/>
    </row>
    <row r="562" spans="1:33" ht="17.25" thickTop="1" thickBot="1">
      <c r="A562" s="1442">
        <v>4264</v>
      </c>
      <c r="B562" s="986" t="s">
        <v>458</v>
      </c>
      <c r="C562" s="1092" t="s">
        <v>489</v>
      </c>
      <c r="D562" s="326"/>
      <c r="E562" s="294">
        <v>2</v>
      </c>
      <c r="F562" s="460">
        <v>43255</v>
      </c>
      <c r="G562" s="461">
        <f t="shared" si="152"/>
        <v>43256</v>
      </c>
      <c r="H562" s="294" t="s">
        <v>490</v>
      </c>
      <c r="I562" s="294" t="s">
        <v>179</v>
      </c>
      <c r="J562" s="307"/>
      <c r="K562" s="326" t="s">
        <v>457</v>
      </c>
      <c r="L562" s="1238">
        <v>23174</v>
      </c>
      <c r="M562" s="326"/>
      <c r="N562" s="294"/>
      <c r="O562" s="1419">
        <v>0</v>
      </c>
      <c r="P562" s="1426"/>
      <c r="Q562" s="1427"/>
      <c r="R562" s="1420">
        <f t="shared" si="147"/>
        <v>0</v>
      </c>
      <c r="S562" s="355"/>
      <c r="T562" s="355"/>
      <c r="U562" s="1420"/>
      <c r="V562" s="355"/>
      <c r="W562" s="355"/>
      <c r="X562" s="1137"/>
      <c r="Y562" s="1126"/>
      <c r="Z562" s="1126"/>
      <c r="AA562" s="1126"/>
      <c r="AB562" s="1126"/>
      <c r="AC562" s="1126"/>
      <c r="AD562" s="1126"/>
      <c r="AE562" s="1126"/>
      <c r="AF562" s="1126"/>
      <c r="AG562" s="1126"/>
    </row>
    <row r="563" spans="1:33" ht="66" customHeight="1" thickTop="1">
      <c r="A563" s="1442">
        <v>4265</v>
      </c>
      <c r="B563" s="986" t="s">
        <v>491</v>
      </c>
      <c r="C563" s="1092" t="s">
        <v>492</v>
      </c>
      <c r="D563" s="326"/>
      <c r="E563" s="294">
        <v>5</v>
      </c>
      <c r="F563" s="460">
        <v>43261</v>
      </c>
      <c r="G563" s="461">
        <f t="shared" si="152"/>
        <v>43265</v>
      </c>
      <c r="H563" s="294" t="s">
        <v>493</v>
      </c>
      <c r="I563" s="294" t="s">
        <v>179</v>
      </c>
      <c r="J563" s="307"/>
      <c r="K563" s="326" t="s">
        <v>457</v>
      </c>
      <c r="L563" s="1238">
        <v>23174</v>
      </c>
      <c r="M563" s="326"/>
      <c r="N563" s="294"/>
      <c r="O563" s="1419">
        <v>750</v>
      </c>
      <c r="P563" s="1426">
        <v>10</v>
      </c>
      <c r="Q563" s="1427">
        <f>O563*P563</f>
        <v>7500</v>
      </c>
      <c r="R563" s="1420">
        <f t="shared" si="147"/>
        <v>7500</v>
      </c>
      <c r="S563" s="355"/>
      <c r="T563" s="355"/>
      <c r="U563" s="1420">
        <v>7500</v>
      </c>
      <c r="V563" s="355"/>
      <c r="W563" s="355"/>
      <c r="X563" s="1137"/>
      <c r="Y563" s="1126"/>
      <c r="Z563" s="1126"/>
      <c r="AA563" s="1126"/>
      <c r="AB563" s="1126"/>
      <c r="AC563" s="1126"/>
      <c r="AD563" s="1126"/>
      <c r="AE563" s="1126"/>
      <c r="AF563" s="1126"/>
      <c r="AG563" s="1126"/>
    </row>
    <row r="564" spans="1:33" ht="18.75" customHeight="1" thickBot="1">
      <c r="A564" s="1275">
        <v>427</v>
      </c>
      <c r="B564" s="1466" t="s">
        <v>494</v>
      </c>
      <c r="C564" s="1511"/>
      <c r="D564" s="1422"/>
      <c r="E564" s="1422"/>
      <c r="F564" s="1422"/>
      <c r="G564" s="1422"/>
      <c r="H564" s="1422"/>
      <c r="I564" s="1423"/>
      <c r="J564" s="283"/>
      <c r="K564" s="1278"/>
      <c r="L564" s="1279"/>
      <c r="M564" s="1280"/>
      <c r="N564" s="1277"/>
      <c r="O564" s="1281"/>
      <c r="P564" s="1277"/>
      <c r="Q564" s="1395">
        <f>SUM(Q565:Q566)</f>
        <v>10762.5</v>
      </c>
      <c r="R564" s="1420">
        <f t="shared" si="147"/>
        <v>10762.5</v>
      </c>
      <c r="S564" s="1395">
        <f t="shared" ref="S564:AF564" si="155">SUM(S565:S566)</f>
        <v>0</v>
      </c>
      <c r="T564" s="1395">
        <f t="shared" si="155"/>
        <v>0</v>
      </c>
      <c r="U564" s="1395">
        <f t="shared" si="155"/>
        <v>7500</v>
      </c>
      <c r="V564" s="1395">
        <f t="shared" si="155"/>
        <v>3262.5</v>
      </c>
      <c r="W564" s="1395">
        <f t="shared" si="155"/>
        <v>0</v>
      </c>
      <c r="X564" s="1395">
        <f t="shared" si="155"/>
        <v>0</v>
      </c>
      <c r="Y564" s="1395">
        <f t="shared" si="155"/>
        <v>0</v>
      </c>
      <c r="Z564" s="361">
        <f t="shared" si="155"/>
        <v>0</v>
      </c>
      <c r="AA564" s="361">
        <f t="shared" si="155"/>
        <v>0</v>
      </c>
      <c r="AB564" s="361">
        <f t="shared" si="155"/>
        <v>0</v>
      </c>
      <c r="AC564" s="361">
        <f t="shared" si="155"/>
        <v>0</v>
      </c>
      <c r="AD564" s="361">
        <f t="shared" si="155"/>
        <v>0</v>
      </c>
      <c r="AE564" s="361">
        <f t="shared" si="155"/>
        <v>0</v>
      </c>
      <c r="AF564" s="361">
        <f t="shared" si="155"/>
        <v>0</v>
      </c>
      <c r="AG564" s="361">
        <f>SUM(S564:AF564)</f>
        <v>10762.5</v>
      </c>
    </row>
    <row r="565" spans="1:33" ht="46.5" thickTop="1" thickBot="1">
      <c r="A565" s="1442">
        <v>4271</v>
      </c>
      <c r="B565" s="988" t="s">
        <v>495</v>
      </c>
      <c r="C565" s="1512" t="s">
        <v>496</v>
      </c>
      <c r="D565" s="326"/>
      <c r="E565" s="294">
        <v>50</v>
      </c>
      <c r="F565" s="460">
        <v>43186</v>
      </c>
      <c r="G565" s="461">
        <f>+F565+E565-1</f>
        <v>43235</v>
      </c>
      <c r="H565" s="293"/>
      <c r="I565" s="294" t="s">
        <v>169</v>
      </c>
      <c r="J565" s="307" t="s">
        <v>179</v>
      </c>
      <c r="K565" s="326" t="s">
        <v>365</v>
      </c>
      <c r="L565" s="1238">
        <v>2313</v>
      </c>
      <c r="M565" s="326"/>
      <c r="N565" s="294"/>
      <c r="O565" s="1419">
        <v>217.5</v>
      </c>
      <c r="P565" s="1420">
        <v>15</v>
      </c>
      <c r="Q565" s="1419">
        <f>O565*P565</f>
        <v>3262.5</v>
      </c>
      <c r="R565" s="1420">
        <f t="shared" si="147"/>
        <v>3262.5</v>
      </c>
      <c r="S565" s="355"/>
      <c r="T565" s="355"/>
      <c r="U565" s="355"/>
      <c r="V565" s="299">
        <v>3262.5</v>
      </c>
      <c r="W565" s="355"/>
      <c r="X565" s="1137"/>
      <c r="Y565" s="1126"/>
      <c r="Z565" s="1126"/>
      <c r="AA565" s="1126"/>
      <c r="AB565" s="1126"/>
      <c r="AC565" s="1126"/>
      <c r="AD565" s="1126"/>
      <c r="AE565" s="1126"/>
      <c r="AF565" s="1126"/>
      <c r="AG565" s="1126"/>
    </row>
    <row r="566" spans="1:33" ht="30.75" thickTop="1">
      <c r="A566" s="1442">
        <v>4272</v>
      </c>
      <c r="B566" s="988" t="s">
        <v>497</v>
      </c>
      <c r="C566" s="1512"/>
      <c r="D566" s="326"/>
      <c r="E566" s="294">
        <v>3</v>
      </c>
      <c r="F566" s="460">
        <v>43240</v>
      </c>
      <c r="G566" s="461">
        <f>+F566+E566-1</f>
        <v>43242</v>
      </c>
      <c r="H566" s="294" t="s">
        <v>493</v>
      </c>
      <c r="I566" s="294" t="s">
        <v>179</v>
      </c>
      <c r="K566" s="326" t="s">
        <v>457</v>
      </c>
      <c r="L566" s="1238">
        <v>23174</v>
      </c>
      <c r="M566" s="326"/>
      <c r="N566" s="294"/>
      <c r="O566" s="1419">
        <v>750</v>
      </c>
      <c r="P566" s="1420">
        <v>10</v>
      </c>
      <c r="Q566" s="1419">
        <f>O566*P566</f>
        <v>7500</v>
      </c>
      <c r="R566" s="1420">
        <f t="shared" si="147"/>
        <v>7500</v>
      </c>
      <c r="S566" s="355"/>
      <c r="T566" s="355"/>
      <c r="U566" s="299">
        <v>7500</v>
      </c>
      <c r="V566" s="355"/>
      <c r="W566" s="355"/>
      <c r="X566" s="1137"/>
      <c r="Y566" s="1126"/>
      <c r="Z566" s="1126"/>
      <c r="AA566" s="1126"/>
      <c r="AB566" s="1126"/>
      <c r="AC566" s="1126"/>
      <c r="AD566" s="1126"/>
      <c r="AE566" s="1126"/>
      <c r="AF566" s="1126"/>
      <c r="AG566" s="1126"/>
    </row>
    <row r="567" spans="1:33" ht="18.75" customHeight="1" thickBot="1">
      <c r="A567" s="1275">
        <v>428</v>
      </c>
      <c r="B567" s="1466" t="s">
        <v>498</v>
      </c>
      <c r="C567" s="1511"/>
      <c r="D567" s="1422"/>
      <c r="E567" s="1422"/>
      <c r="F567" s="1422"/>
      <c r="G567" s="1422"/>
      <c r="H567" s="1422"/>
      <c r="I567" s="1423"/>
      <c r="J567" s="283"/>
      <c r="K567" s="1278"/>
      <c r="L567" s="1279"/>
      <c r="M567" s="1280"/>
      <c r="N567" s="1277"/>
      <c r="O567" s="1281"/>
      <c r="P567" s="1277"/>
      <c r="Q567" s="1395">
        <f>SUM(Q568:Q574)</f>
        <v>97473.5</v>
      </c>
      <c r="R567" s="1420">
        <f t="shared" si="147"/>
        <v>97473.5</v>
      </c>
      <c r="S567" s="1395">
        <f t="shared" ref="S567:AF567" si="156">SUM(S568:S574)</f>
        <v>0</v>
      </c>
      <c r="T567" s="1395">
        <f t="shared" si="156"/>
        <v>0</v>
      </c>
      <c r="U567" s="1395">
        <f t="shared" si="156"/>
        <v>56550</v>
      </c>
      <c r="V567" s="1395">
        <f t="shared" si="156"/>
        <v>40923.5</v>
      </c>
      <c r="W567" s="1395">
        <f t="shared" si="156"/>
        <v>0</v>
      </c>
      <c r="X567" s="1395">
        <f t="shared" si="156"/>
        <v>0</v>
      </c>
      <c r="Y567" s="1395">
        <f t="shared" si="156"/>
        <v>0</v>
      </c>
      <c r="Z567" s="361">
        <f t="shared" si="156"/>
        <v>0</v>
      </c>
      <c r="AA567" s="361">
        <f t="shared" si="156"/>
        <v>0</v>
      </c>
      <c r="AB567" s="361">
        <f t="shared" si="156"/>
        <v>0</v>
      </c>
      <c r="AC567" s="361">
        <f t="shared" si="156"/>
        <v>0</v>
      </c>
      <c r="AD567" s="361">
        <f t="shared" si="156"/>
        <v>0</v>
      </c>
      <c r="AE567" s="361">
        <f t="shared" si="156"/>
        <v>0</v>
      </c>
      <c r="AF567" s="361">
        <f t="shared" si="156"/>
        <v>0</v>
      </c>
      <c r="AG567" s="361">
        <f>SUM(S567:AF567)</f>
        <v>97473.5</v>
      </c>
    </row>
    <row r="568" spans="1:33" ht="17.25" thickTop="1" thickBot="1">
      <c r="A568" s="1442">
        <v>4281</v>
      </c>
      <c r="B568" s="989" t="s">
        <v>499</v>
      </c>
      <c r="C568" s="1513" t="s">
        <v>500</v>
      </c>
      <c r="D568" s="326"/>
      <c r="E568" s="294">
        <v>50</v>
      </c>
      <c r="F568" s="460">
        <v>43186</v>
      </c>
      <c r="G568" s="461">
        <f>+F568+E568-1</f>
        <v>43235</v>
      </c>
      <c r="H568" s="293" t="s">
        <v>501</v>
      </c>
      <c r="I568" s="294" t="s">
        <v>169</v>
      </c>
      <c r="J568" s="307" t="s">
        <v>179</v>
      </c>
      <c r="K568" s="326" t="s">
        <v>502</v>
      </c>
      <c r="L568" s="1238">
        <v>2313</v>
      </c>
      <c r="M568" s="326"/>
      <c r="N568" s="1420"/>
      <c r="O568" s="1419">
        <v>907.67376190476193</v>
      </c>
      <c r="P568" s="1420">
        <v>14</v>
      </c>
      <c r="Q568" s="1419">
        <f>+O568*P568</f>
        <v>12707.432666666668</v>
      </c>
      <c r="R568" s="1420">
        <f t="shared" si="147"/>
        <v>12707.432666666668</v>
      </c>
      <c r="S568" s="1420"/>
      <c r="T568" s="355"/>
      <c r="U568" s="1420"/>
      <c r="V568" s="1420">
        <v>12707.432666666668</v>
      </c>
      <c r="W568" s="355"/>
      <c r="X568" s="1137"/>
      <c r="Y568" s="1126"/>
      <c r="Z568" s="1124"/>
      <c r="AA568" s="1124"/>
      <c r="AB568" s="1124"/>
      <c r="AC568" s="1124"/>
      <c r="AD568" s="1124"/>
      <c r="AE568" s="1425"/>
      <c r="AF568" s="1124"/>
      <c r="AG568" s="1156"/>
    </row>
    <row r="569" spans="1:33" ht="17.25" thickTop="1" thickBot="1">
      <c r="A569" s="1442">
        <v>4282</v>
      </c>
      <c r="B569" s="989" t="s">
        <v>503</v>
      </c>
      <c r="C569" s="1513" t="s">
        <v>504</v>
      </c>
      <c r="D569" s="326"/>
      <c r="E569" s="294">
        <v>50</v>
      </c>
      <c r="F569" s="460">
        <v>43186</v>
      </c>
      <c r="G569" s="461">
        <f>+F569+E569-1</f>
        <v>43235</v>
      </c>
      <c r="H569" s="293" t="s">
        <v>501</v>
      </c>
      <c r="I569" s="294" t="s">
        <v>169</v>
      </c>
      <c r="J569" s="307" t="s">
        <v>179</v>
      </c>
      <c r="K569" s="326" t="s">
        <v>502</v>
      </c>
      <c r="L569" s="1238">
        <v>2313</v>
      </c>
      <c r="M569" s="326"/>
      <c r="N569" s="294"/>
      <c r="O569" s="1419">
        <v>208.73557142857143</v>
      </c>
      <c r="P569" s="1420">
        <f>14*3</f>
        <v>42</v>
      </c>
      <c r="Q569" s="1419">
        <f>+O569*P569</f>
        <v>8766.8940000000002</v>
      </c>
      <c r="R569" s="1420">
        <f t="shared" si="147"/>
        <v>8766.8940000000002</v>
      </c>
      <c r="S569" s="1420"/>
      <c r="T569" s="355"/>
      <c r="U569" s="1420"/>
      <c r="V569" s="1420">
        <v>8766.8940000000002</v>
      </c>
      <c r="W569" s="355"/>
      <c r="X569" s="1137"/>
      <c r="Y569" s="1126"/>
      <c r="Z569" s="1124"/>
      <c r="AA569" s="1124"/>
      <c r="AB569" s="1124"/>
      <c r="AC569" s="1124"/>
      <c r="AD569" s="1124"/>
      <c r="AE569" s="1425"/>
      <c r="AF569" s="1124"/>
      <c r="AG569" s="1156"/>
    </row>
    <row r="570" spans="1:33" ht="31.5" thickTop="1" thickBot="1">
      <c r="A570" s="1442">
        <v>4283</v>
      </c>
      <c r="B570" s="989" t="s">
        <v>505</v>
      </c>
      <c r="C570" s="1513" t="s">
        <v>506</v>
      </c>
      <c r="D570" s="326"/>
      <c r="E570" s="887">
        <v>15</v>
      </c>
      <c r="F570" s="460">
        <v>43255</v>
      </c>
      <c r="G570" s="461">
        <f>+F570+E570-1</f>
        <v>43269</v>
      </c>
      <c r="H570" s="293" t="s">
        <v>501</v>
      </c>
      <c r="I570" s="294" t="s">
        <v>179</v>
      </c>
      <c r="J570" s="307" t="s">
        <v>507</v>
      </c>
      <c r="K570" s="326" t="s">
        <v>457</v>
      </c>
      <c r="L570" s="1238">
        <v>23174</v>
      </c>
      <c r="M570" s="326"/>
      <c r="N570" s="294"/>
      <c r="O570" s="1419">
        <v>17989.099333333332</v>
      </c>
      <c r="P570" s="1420">
        <v>1</v>
      </c>
      <c r="Q570" s="1419">
        <f>O570*P570</f>
        <v>17989.099333333332</v>
      </c>
      <c r="R570" s="1420">
        <f t="shared" si="147"/>
        <v>17989.099333333332</v>
      </c>
      <c r="S570" s="1426"/>
      <c r="T570" s="355"/>
      <c r="U570" s="1420"/>
      <c r="V570" s="1420">
        <v>17989.099333333332</v>
      </c>
      <c r="W570" s="355"/>
      <c r="X570" s="1137"/>
      <c r="Y570" s="1126"/>
      <c r="Z570" s="1124"/>
      <c r="AA570" s="1124"/>
      <c r="AB570" s="1124"/>
      <c r="AC570" s="1124"/>
      <c r="AD570" s="1124"/>
      <c r="AE570" s="1425"/>
      <c r="AF570" s="1124"/>
      <c r="AG570" s="1156"/>
    </row>
    <row r="571" spans="1:33" ht="17.25" thickTop="1" thickBot="1">
      <c r="A571" s="1442"/>
      <c r="B571" s="989"/>
      <c r="C571" s="1513"/>
      <c r="D571" s="326"/>
      <c r="E571" s="887"/>
      <c r="F571" s="460"/>
      <c r="G571" s="461"/>
      <c r="H571" s="293"/>
      <c r="I571" s="294"/>
      <c r="J571" s="307"/>
      <c r="K571" s="326" t="s">
        <v>320</v>
      </c>
      <c r="L571" s="1238">
        <v>23173</v>
      </c>
      <c r="M571" s="326"/>
      <c r="N571" s="294"/>
      <c r="O571" s="1419">
        <v>1060.0740000000001</v>
      </c>
      <c r="P571" s="1420">
        <v>1</v>
      </c>
      <c r="Q571" s="1419">
        <f>O571*P571</f>
        <v>1060.0740000000001</v>
      </c>
      <c r="R571" s="1420">
        <f t="shared" si="147"/>
        <v>1060.0740000000001</v>
      </c>
      <c r="S571" s="1428"/>
      <c r="T571" s="355"/>
      <c r="U571" s="1420"/>
      <c r="V571" s="1420">
        <f>R571</f>
        <v>1060.0740000000001</v>
      </c>
      <c r="W571" s="355"/>
      <c r="X571" s="1137"/>
      <c r="Y571" s="1126"/>
      <c r="Z571" s="1124"/>
      <c r="AA571" s="1124"/>
      <c r="AB571" s="1124"/>
      <c r="AC571" s="1124"/>
      <c r="AD571" s="1124"/>
      <c r="AE571" s="1425"/>
      <c r="AF571" s="1124"/>
      <c r="AG571" s="1156"/>
    </row>
    <row r="572" spans="1:33" ht="17.25" thickTop="1" thickBot="1">
      <c r="A572" s="1442"/>
      <c r="B572" s="989"/>
      <c r="C572" s="1513"/>
      <c r="D572" s="326"/>
      <c r="E572" s="887"/>
      <c r="F572" s="460"/>
      <c r="G572" s="461"/>
      <c r="H572" s="293"/>
      <c r="I572" s="294"/>
      <c r="J572" s="307"/>
      <c r="K572" s="326" t="s">
        <v>486</v>
      </c>
      <c r="L572" s="1238">
        <v>23172</v>
      </c>
      <c r="M572" s="326"/>
      <c r="N572" s="294"/>
      <c r="O572" s="1419">
        <v>33.333333333333336</v>
      </c>
      <c r="P572" s="1420">
        <v>12</v>
      </c>
      <c r="Q572" s="1419">
        <f>O572*P572</f>
        <v>400</v>
      </c>
      <c r="R572" s="1420">
        <f t="shared" si="147"/>
        <v>400</v>
      </c>
      <c r="S572" s="1429"/>
      <c r="T572" s="355"/>
      <c r="U572" s="1420"/>
      <c r="V572" s="1420">
        <f>R572</f>
        <v>400</v>
      </c>
      <c r="W572" s="355"/>
      <c r="X572" s="1137"/>
      <c r="Y572" s="1126"/>
      <c r="Z572" s="1124"/>
      <c r="AA572" s="1124"/>
      <c r="AB572" s="1124"/>
      <c r="AC572" s="1124"/>
      <c r="AD572" s="1124"/>
      <c r="AE572" s="1425"/>
      <c r="AF572" s="1124"/>
      <c r="AG572" s="1156"/>
    </row>
    <row r="573" spans="1:33" ht="16.5" thickTop="1">
      <c r="A573" s="1442">
        <v>4284</v>
      </c>
      <c r="B573" s="986" t="s">
        <v>508</v>
      </c>
      <c r="C573" s="1092" t="s">
        <v>509</v>
      </c>
      <c r="D573" s="326"/>
      <c r="E573" s="294">
        <v>50</v>
      </c>
      <c r="F573" s="460">
        <v>43186</v>
      </c>
      <c r="G573" s="461">
        <f>+F573+E573-1</f>
        <v>43235</v>
      </c>
      <c r="H573" s="293" t="s">
        <v>179</v>
      </c>
      <c r="I573" s="294" t="s">
        <v>169</v>
      </c>
      <c r="J573" s="307"/>
      <c r="K573" s="326" t="s">
        <v>510</v>
      </c>
      <c r="L573" s="1238">
        <v>2472</v>
      </c>
      <c r="M573" s="326"/>
      <c r="N573" s="294"/>
      <c r="O573" s="1419">
        <v>28275</v>
      </c>
      <c r="P573" s="1420">
        <v>2</v>
      </c>
      <c r="Q573" s="1419">
        <f>O573*P573</f>
        <v>56550</v>
      </c>
      <c r="R573" s="1420">
        <f>+Q573</f>
        <v>56550</v>
      </c>
      <c r="S573" s="355"/>
      <c r="T573" s="355"/>
      <c r="U573" s="1420">
        <v>56550</v>
      </c>
      <c r="V573" s="1420"/>
      <c r="W573" s="355"/>
      <c r="X573" s="1137"/>
      <c r="Y573" s="1126"/>
      <c r="Z573" s="1124"/>
      <c r="AA573" s="1124"/>
      <c r="AB573" s="1124"/>
      <c r="AC573" s="1124"/>
      <c r="AD573" s="1124"/>
      <c r="AE573" s="1425"/>
      <c r="AF573" s="1124"/>
      <c r="AG573" s="1156"/>
    </row>
    <row r="574" spans="1:33">
      <c r="A574" s="1398" t="s">
        <v>233</v>
      </c>
      <c r="B574" s="973"/>
      <c r="C574" s="824"/>
      <c r="D574" s="326"/>
      <c r="E574" s="294"/>
      <c r="F574" s="293"/>
      <c r="G574" s="293"/>
      <c r="H574" s="293"/>
      <c r="I574" s="294"/>
      <c r="J574" s="307"/>
      <c r="K574" s="326"/>
      <c r="L574" s="1237"/>
      <c r="M574" s="326"/>
      <c r="N574" s="294"/>
      <c r="O574" s="354"/>
      <c r="P574" s="294"/>
      <c r="Q574" s="355"/>
      <c r="R574" s="299"/>
      <c r="S574" s="355"/>
      <c r="T574" s="355"/>
      <c r="U574" s="355"/>
      <c r="V574" s="355"/>
      <c r="W574" s="355"/>
      <c r="X574" s="1137"/>
      <c r="Y574" s="1126"/>
      <c r="Z574" s="1124"/>
      <c r="AA574" s="1124"/>
      <c r="AB574" s="1124"/>
      <c r="AC574" s="1124"/>
      <c r="AD574" s="1124"/>
      <c r="AE574" s="1425"/>
      <c r="AF574" s="1124"/>
      <c r="AG574" s="1156"/>
    </row>
    <row r="575" spans="1:33" ht="18.75" customHeight="1">
      <c r="A575" s="1248" t="s">
        <v>278</v>
      </c>
      <c r="B575" s="274"/>
      <c r="C575" s="278"/>
      <c r="D575" s="1270"/>
      <c r="E575" s="1270"/>
      <c r="F575" s="1270"/>
      <c r="G575" s="1270"/>
      <c r="H575" s="1270"/>
      <c r="I575" s="1270"/>
      <c r="J575" s="273"/>
      <c r="K575" s="1248"/>
      <c r="L575" s="1269"/>
      <c r="M575" s="1270"/>
      <c r="N575" s="1268"/>
      <c r="O575" s="1271"/>
      <c r="P575" s="1268"/>
      <c r="Q575" s="1272">
        <f>Q576+Q580</f>
        <v>108838</v>
      </c>
      <c r="R575" s="1273">
        <f>+'[7]Compil Costing PPA 3 millions'!F17</f>
        <v>108845.33</v>
      </c>
      <c r="S575" s="1272">
        <f t="shared" ref="S575:AF575" si="157">S576+S580</f>
        <v>0</v>
      </c>
      <c r="T575" s="1272">
        <f t="shared" si="157"/>
        <v>9674</v>
      </c>
      <c r="U575" s="1272">
        <f t="shared" si="157"/>
        <v>2250</v>
      </c>
      <c r="V575" s="1272">
        <f t="shared" si="157"/>
        <v>71084</v>
      </c>
      <c r="W575" s="1272">
        <f t="shared" si="157"/>
        <v>25830</v>
      </c>
      <c r="X575" s="1272">
        <f t="shared" si="157"/>
        <v>0</v>
      </c>
      <c r="Y575" s="1272">
        <f t="shared" si="157"/>
        <v>0</v>
      </c>
      <c r="Z575" s="276">
        <f t="shared" si="157"/>
        <v>0</v>
      </c>
      <c r="AA575" s="276">
        <f t="shared" si="157"/>
        <v>0</v>
      </c>
      <c r="AB575" s="276">
        <f t="shared" si="157"/>
        <v>0</v>
      </c>
      <c r="AC575" s="276">
        <f t="shared" si="157"/>
        <v>0</v>
      </c>
      <c r="AD575" s="276">
        <f t="shared" si="157"/>
        <v>0</v>
      </c>
      <c r="AE575" s="276">
        <f t="shared" si="157"/>
        <v>0</v>
      </c>
      <c r="AF575" s="276">
        <f t="shared" si="157"/>
        <v>0</v>
      </c>
      <c r="AG575" s="276">
        <f>AG576+AG580</f>
        <v>108838</v>
      </c>
    </row>
    <row r="576" spans="1:33">
      <c r="A576" s="1275">
        <v>431</v>
      </c>
      <c r="B576" s="359" t="s">
        <v>369</v>
      </c>
      <c r="C576" s="1021"/>
      <c r="D576" s="1280"/>
      <c r="E576" s="1280"/>
      <c r="F576" s="1280"/>
      <c r="G576" s="1280"/>
      <c r="H576" s="1280"/>
      <c r="I576" s="1280"/>
      <c r="J576" s="283"/>
      <c r="K576" s="1278"/>
      <c r="L576" s="1279"/>
      <c r="M576" s="1280"/>
      <c r="N576" s="1277"/>
      <c r="O576" s="1281"/>
      <c r="P576" s="1277"/>
      <c r="Q576" s="1395">
        <f>SUM(Q577:Q579)</f>
        <v>9674</v>
      </c>
      <c r="R576" s="287"/>
      <c r="S576" s="1395">
        <f t="shared" ref="S576:AF576" si="158">SUM(S577:S579)</f>
        <v>0</v>
      </c>
      <c r="T576" s="1395">
        <f t="shared" si="158"/>
        <v>9674</v>
      </c>
      <c r="U576" s="1395">
        <f t="shared" si="158"/>
        <v>0</v>
      </c>
      <c r="V576" s="1395">
        <f t="shared" si="158"/>
        <v>0</v>
      </c>
      <c r="W576" s="1395">
        <f t="shared" si="158"/>
        <v>0</v>
      </c>
      <c r="X576" s="1395">
        <f t="shared" si="158"/>
        <v>0</v>
      </c>
      <c r="Y576" s="1395">
        <f t="shared" si="158"/>
        <v>0</v>
      </c>
      <c r="Z576" s="361">
        <f t="shared" si="158"/>
        <v>0</v>
      </c>
      <c r="AA576" s="361">
        <f t="shared" si="158"/>
        <v>0</v>
      </c>
      <c r="AB576" s="361">
        <f t="shared" si="158"/>
        <v>0</v>
      </c>
      <c r="AC576" s="361">
        <f t="shared" si="158"/>
        <v>0</v>
      </c>
      <c r="AD576" s="361">
        <f t="shared" si="158"/>
        <v>0</v>
      </c>
      <c r="AE576" s="361">
        <f t="shared" si="158"/>
        <v>0</v>
      </c>
      <c r="AF576" s="361">
        <f t="shared" si="158"/>
        <v>0</v>
      </c>
      <c r="AG576" s="361">
        <f>SUM(S576:AF576)</f>
        <v>9674</v>
      </c>
    </row>
    <row r="577" spans="1:33" ht="47.25">
      <c r="A577" s="1442">
        <v>4311</v>
      </c>
      <c r="B577" s="990" t="s">
        <v>370</v>
      </c>
      <c r="C577" s="824" t="s">
        <v>371</v>
      </c>
      <c r="D577" s="326"/>
      <c r="E577" s="294">
        <f>3+30</f>
        <v>33</v>
      </c>
      <c r="F577" s="293">
        <f>G577-E577</f>
        <v>43184</v>
      </c>
      <c r="G577" s="293">
        <v>43217</v>
      </c>
      <c r="H577" s="293" t="s">
        <v>372</v>
      </c>
      <c r="I577" s="294" t="s">
        <v>169</v>
      </c>
      <c r="J577" s="307" t="s">
        <v>373</v>
      </c>
      <c r="K577" s="326" t="s">
        <v>374</v>
      </c>
      <c r="L577" s="1237">
        <v>23173</v>
      </c>
      <c r="M577" s="326"/>
      <c r="N577" s="294"/>
      <c r="O577" s="354">
        <v>214</v>
      </c>
      <c r="P577" s="294">
        <v>1</v>
      </c>
      <c r="Q577" s="355">
        <f>O577*P577</f>
        <v>214</v>
      </c>
      <c r="R577" s="299"/>
      <c r="S577" s="355"/>
      <c r="T577" s="299">
        <f>100%*Q577</f>
        <v>214</v>
      </c>
      <c r="U577" s="355"/>
      <c r="V577" s="355"/>
      <c r="W577" s="355"/>
      <c r="X577" s="1137"/>
      <c r="Y577" s="1126"/>
      <c r="Z577" s="1199"/>
      <c r="AA577" s="1124"/>
      <c r="AB577" s="1124"/>
      <c r="AC577" s="1124"/>
      <c r="AD577" s="1124"/>
      <c r="AE577" s="1425"/>
      <c r="AF577" s="1124"/>
      <c r="AG577" s="1156"/>
    </row>
    <row r="578" spans="1:33" ht="47.25">
      <c r="A578" s="1442">
        <v>4311</v>
      </c>
      <c r="B578" s="990" t="s">
        <v>370</v>
      </c>
      <c r="C578" s="824" t="s">
        <v>371</v>
      </c>
      <c r="D578" s="326"/>
      <c r="E578" s="294">
        <v>3</v>
      </c>
      <c r="F578" s="293">
        <f>G578-E578</f>
        <v>43214</v>
      </c>
      <c r="G578" s="293">
        <v>43217</v>
      </c>
      <c r="H578" s="293" t="s">
        <v>372</v>
      </c>
      <c r="I578" s="294" t="s">
        <v>180</v>
      </c>
      <c r="J578" s="307" t="s">
        <v>373</v>
      </c>
      <c r="K578" s="326" t="s">
        <v>375</v>
      </c>
      <c r="L578" s="1237">
        <v>23174</v>
      </c>
      <c r="M578" s="326"/>
      <c r="N578" s="294"/>
      <c r="O578" s="354">
        <v>215</v>
      </c>
      <c r="P578" s="294">
        <v>44</v>
      </c>
      <c r="Q578" s="355">
        <f>O578*P578</f>
        <v>9460</v>
      </c>
      <c r="R578" s="299"/>
      <c r="S578" s="355"/>
      <c r="T578" s="299">
        <f>100%*Q578</f>
        <v>9460</v>
      </c>
      <c r="U578" s="355"/>
      <c r="V578" s="355"/>
      <c r="W578" s="355"/>
      <c r="X578" s="1137"/>
      <c r="Y578" s="1126"/>
      <c r="Z578" s="1199"/>
      <c r="AA578" s="1124"/>
      <c r="AB578" s="1124"/>
      <c r="AC578" s="1124"/>
      <c r="AD578" s="1124"/>
      <c r="AE578" s="1425"/>
      <c r="AF578" s="1124"/>
      <c r="AG578" s="1156"/>
    </row>
    <row r="579" spans="1:33">
      <c r="A579" s="1442">
        <v>4312</v>
      </c>
      <c r="B579" s="973"/>
      <c r="C579" s="824"/>
      <c r="D579" s="326"/>
      <c r="E579" s="294"/>
      <c r="F579" s="293"/>
      <c r="G579" s="293"/>
      <c r="H579" s="293"/>
      <c r="I579" s="294"/>
      <c r="J579" s="307"/>
      <c r="K579" s="326"/>
      <c r="L579" s="1237"/>
      <c r="M579" s="326"/>
      <c r="N579" s="294"/>
      <c r="O579" s="354"/>
      <c r="P579" s="294"/>
      <c r="Q579" s="355"/>
      <c r="R579" s="299"/>
      <c r="S579" s="355"/>
      <c r="T579" s="355"/>
      <c r="U579" s="355"/>
      <c r="V579" s="355"/>
      <c r="W579" s="355"/>
      <c r="X579" s="1137"/>
      <c r="Y579" s="1126"/>
      <c r="Z579" s="1199">
        <f>SUM(S579:Y579)</f>
        <v>0</v>
      </c>
      <c r="AA579" s="1124"/>
      <c r="AB579" s="1124"/>
      <c r="AC579" s="1124"/>
      <c r="AD579" s="1124"/>
      <c r="AE579" s="1425"/>
      <c r="AF579" s="1124"/>
      <c r="AG579" s="1156"/>
    </row>
    <row r="580" spans="1:33">
      <c r="A580" s="1275">
        <v>432</v>
      </c>
      <c r="B580" s="359" t="s">
        <v>376</v>
      </c>
      <c r="C580" s="1021"/>
      <c r="D580" s="1280"/>
      <c r="E580" s="1280"/>
      <c r="F580" s="1280"/>
      <c r="G580" s="1280"/>
      <c r="H580" s="1280"/>
      <c r="I580" s="1280"/>
      <c r="J580" s="283"/>
      <c r="K580" s="1278"/>
      <c r="L580" s="1279"/>
      <c r="M580" s="1280"/>
      <c r="N580" s="1277"/>
      <c r="O580" s="1281"/>
      <c r="P580" s="1277"/>
      <c r="Q580" s="1395">
        <f>SUM(Q581:Q591)</f>
        <v>99164</v>
      </c>
      <c r="R580" s="287"/>
      <c r="S580" s="1395">
        <f t="shared" ref="S580:AF580" si="159">SUM(S581:S591)</f>
        <v>0</v>
      </c>
      <c r="T580" s="1395">
        <f t="shared" si="159"/>
        <v>0</v>
      </c>
      <c r="U580" s="1395">
        <f t="shared" si="159"/>
        <v>2250</v>
      </c>
      <c r="V580" s="1395">
        <f t="shared" si="159"/>
        <v>71084</v>
      </c>
      <c r="W580" s="1395">
        <f t="shared" si="159"/>
        <v>25830</v>
      </c>
      <c r="X580" s="1395">
        <f t="shared" si="159"/>
        <v>0</v>
      </c>
      <c r="Y580" s="1395">
        <f t="shared" si="159"/>
        <v>0</v>
      </c>
      <c r="Z580" s="361">
        <f t="shared" si="159"/>
        <v>0</v>
      </c>
      <c r="AA580" s="361">
        <f t="shared" si="159"/>
        <v>0</v>
      </c>
      <c r="AB580" s="361">
        <f t="shared" si="159"/>
        <v>0</v>
      </c>
      <c r="AC580" s="361">
        <f t="shared" si="159"/>
        <v>0</v>
      </c>
      <c r="AD580" s="361">
        <f t="shared" si="159"/>
        <v>0</v>
      </c>
      <c r="AE580" s="361">
        <f t="shared" si="159"/>
        <v>0</v>
      </c>
      <c r="AF580" s="361">
        <f t="shared" si="159"/>
        <v>0</v>
      </c>
      <c r="AG580" s="361">
        <f>SUM(S580:AF580)</f>
        <v>99164</v>
      </c>
    </row>
    <row r="581" spans="1:33" ht="31.5">
      <c r="A581" s="1442">
        <v>4321</v>
      </c>
      <c r="B581" s="990" t="s">
        <v>377</v>
      </c>
      <c r="C581" s="1514" t="s">
        <v>965</v>
      </c>
      <c r="D581" s="326"/>
      <c r="E581" s="294">
        <f>60+15</f>
        <v>75</v>
      </c>
      <c r="F581" s="293">
        <f t="shared" ref="F581:F591" si="160">G581-E581</f>
        <v>43188</v>
      </c>
      <c r="G581" s="293">
        <v>43263</v>
      </c>
      <c r="H581" s="293"/>
      <c r="I581" s="294" t="s">
        <v>169</v>
      </c>
      <c r="J581" s="307" t="s">
        <v>180</v>
      </c>
      <c r="K581" s="326" t="s">
        <v>365</v>
      </c>
      <c r="L581" s="1237">
        <v>2313</v>
      </c>
      <c r="M581" s="326"/>
      <c r="N581" s="294"/>
      <c r="O581" s="354">
        <v>11250</v>
      </c>
      <c r="P581" s="294">
        <v>1</v>
      </c>
      <c r="Q581" s="355">
        <f t="shared" ref="Q581:Q591" si="161">O581*P581</f>
        <v>11250</v>
      </c>
      <c r="R581" s="299"/>
      <c r="S581" s="299"/>
      <c r="T581" s="299"/>
      <c r="U581" s="299">
        <f>20%*Q581</f>
        <v>2250</v>
      </c>
      <c r="V581" s="299">
        <f>40%*Q581</f>
        <v>4500</v>
      </c>
      <c r="W581" s="299">
        <f>40%*Q581</f>
        <v>4500</v>
      </c>
      <c r="X581" s="1142"/>
      <c r="Y581" s="1127"/>
      <c r="Z581" s="1199"/>
      <c r="AA581" s="1124"/>
      <c r="AB581" s="1124"/>
      <c r="AC581" s="1124"/>
      <c r="AD581" s="1124"/>
      <c r="AE581" s="1425"/>
      <c r="AF581" s="1124"/>
      <c r="AG581" s="1164"/>
    </row>
    <row r="582" spans="1:33">
      <c r="A582" s="1442">
        <v>4322</v>
      </c>
      <c r="B582" s="990" t="s">
        <v>379</v>
      </c>
      <c r="C582" s="1514" t="s">
        <v>966</v>
      </c>
      <c r="D582" s="326"/>
      <c r="E582" s="294">
        <v>20</v>
      </c>
      <c r="F582" s="293">
        <f t="shared" si="160"/>
        <v>43266</v>
      </c>
      <c r="G582" s="293">
        <v>43286</v>
      </c>
      <c r="H582" s="293" t="s">
        <v>372</v>
      </c>
      <c r="I582" s="294" t="s">
        <v>169</v>
      </c>
      <c r="J582" s="307" t="s">
        <v>180</v>
      </c>
      <c r="K582" s="326" t="s">
        <v>365</v>
      </c>
      <c r="L582" s="1237">
        <v>2313</v>
      </c>
      <c r="M582" s="326"/>
      <c r="N582" s="294"/>
      <c r="O582" s="354">
        <v>94</v>
      </c>
      <c r="P582" s="294">
        <v>60</v>
      </c>
      <c r="Q582" s="355">
        <f t="shared" si="161"/>
        <v>5640</v>
      </c>
      <c r="R582" s="299"/>
      <c r="S582" s="299"/>
      <c r="T582" s="299"/>
      <c r="U582" s="299"/>
      <c r="V582" s="299">
        <f>100%*Q582</f>
        <v>5640</v>
      </c>
      <c r="W582" s="299"/>
      <c r="X582" s="1142"/>
      <c r="Y582" s="1127"/>
      <c r="Z582" s="1199"/>
      <c r="AA582" s="1124"/>
      <c r="AB582" s="1124"/>
      <c r="AC582" s="1124"/>
      <c r="AD582" s="1124"/>
      <c r="AE582" s="1425"/>
      <c r="AF582" s="1124"/>
      <c r="AG582" s="1164"/>
    </row>
    <row r="583" spans="1:33">
      <c r="A583" s="1442">
        <v>4323</v>
      </c>
      <c r="B583" s="990" t="s">
        <v>1007</v>
      </c>
      <c r="C583" s="1514" t="s">
        <v>382</v>
      </c>
      <c r="D583" s="326"/>
      <c r="E583" s="294">
        <v>3</v>
      </c>
      <c r="F583" s="293">
        <f t="shared" si="160"/>
        <v>43293</v>
      </c>
      <c r="G583" s="293">
        <v>43296</v>
      </c>
      <c r="H583" s="293" t="s">
        <v>372</v>
      </c>
      <c r="I583" s="294" t="s">
        <v>180</v>
      </c>
      <c r="J583" s="307"/>
      <c r="K583" s="326" t="s">
        <v>383</v>
      </c>
      <c r="L583" s="1237">
        <v>23174</v>
      </c>
      <c r="M583" s="326"/>
      <c r="N583" s="294"/>
      <c r="O583" s="354">
        <v>142</v>
      </c>
      <c r="P583" s="294">
        <v>144</v>
      </c>
      <c r="Q583" s="355">
        <f t="shared" si="161"/>
        <v>20448</v>
      </c>
      <c r="R583" s="299"/>
      <c r="S583" s="299"/>
      <c r="T583" s="299"/>
      <c r="U583" s="299"/>
      <c r="V583" s="299"/>
      <c r="W583" s="299">
        <f>100%*Q583</f>
        <v>20448</v>
      </c>
      <c r="X583" s="1142"/>
      <c r="Y583" s="1127"/>
      <c r="Z583" s="1199"/>
      <c r="AA583" s="1124"/>
      <c r="AB583" s="1124"/>
      <c r="AC583" s="1124"/>
      <c r="AD583" s="1124"/>
      <c r="AE583" s="1425"/>
      <c r="AF583" s="1124"/>
      <c r="AG583" s="1164"/>
    </row>
    <row r="584" spans="1:33">
      <c r="A584" s="1442">
        <v>4323</v>
      </c>
      <c r="B584" s="990" t="s">
        <v>1007</v>
      </c>
      <c r="C584" s="1514" t="s">
        <v>382</v>
      </c>
      <c r="D584" s="326"/>
      <c r="E584" s="294">
        <f>3+30</f>
        <v>33</v>
      </c>
      <c r="F584" s="293">
        <f t="shared" si="160"/>
        <v>43263</v>
      </c>
      <c r="G584" s="293">
        <v>43296</v>
      </c>
      <c r="H584" s="293" t="s">
        <v>372</v>
      </c>
      <c r="I584" s="294" t="s">
        <v>169</v>
      </c>
      <c r="J584" s="307"/>
      <c r="K584" s="326" t="s">
        <v>384</v>
      </c>
      <c r="L584" s="1237">
        <v>23173</v>
      </c>
      <c r="M584" s="326"/>
      <c r="N584" s="294"/>
      <c r="O584" s="354">
        <v>147</v>
      </c>
      <c r="P584" s="294">
        <v>6</v>
      </c>
      <c r="Q584" s="355">
        <f t="shared" si="161"/>
        <v>882</v>
      </c>
      <c r="R584" s="299"/>
      <c r="S584" s="299"/>
      <c r="T584" s="299"/>
      <c r="U584" s="299"/>
      <c r="V584" s="299"/>
      <c r="W584" s="299">
        <f>100%*Q584</f>
        <v>882</v>
      </c>
      <c r="X584" s="1142"/>
      <c r="Y584" s="1127"/>
      <c r="Z584" s="1199"/>
      <c r="AA584" s="1124"/>
      <c r="AB584" s="1124"/>
      <c r="AC584" s="1124"/>
      <c r="AD584" s="1124"/>
      <c r="AE584" s="1425"/>
      <c r="AF584" s="1124"/>
      <c r="AG584" s="1164"/>
    </row>
    <row r="585" spans="1:33" ht="47.25">
      <c r="A585" s="1442">
        <v>4324</v>
      </c>
      <c r="B585" s="990" t="s">
        <v>385</v>
      </c>
      <c r="C585" s="1093" t="s">
        <v>386</v>
      </c>
      <c r="D585" s="326"/>
      <c r="E585" s="294">
        <v>10</v>
      </c>
      <c r="F585" s="293">
        <f t="shared" si="160"/>
        <v>43256</v>
      </c>
      <c r="G585" s="293">
        <v>43266</v>
      </c>
      <c r="H585" s="293" t="s">
        <v>372</v>
      </c>
      <c r="I585" s="294" t="s">
        <v>180</v>
      </c>
      <c r="J585" s="307" t="s">
        <v>387</v>
      </c>
      <c r="K585" s="326"/>
      <c r="L585" s="1237"/>
      <c r="M585" s="326"/>
      <c r="N585" s="294"/>
      <c r="O585" s="354"/>
      <c r="P585" s="294"/>
      <c r="Q585" s="355">
        <f t="shared" si="161"/>
        <v>0</v>
      </c>
      <c r="R585" s="299"/>
      <c r="S585" s="299"/>
      <c r="T585" s="299"/>
      <c r="U585" s="299"/>
      <c r="V585" s="299"/>
      <c r="W585" s="299"/>
      <c r="X585" s="1142"/>
      <c r="Y585" s="1127"/>
      <c r="Z585" s="1199"/>
      <c r="AA585" s="1124"/>
      <c r="AB585" s="1124"/>
      <c r="AC585" s="1124"/>
      <c r="AD585" s="1124"/>
      <c r="AE585" s="1425"/>
      <c r="AF585" s="1124"/>
      <c r="AG585" s="1164"/>
    </row>
    <row r="586" spans="1:33">
      <c r="A586" s="1538">
        <v>4324</v>
      </c>
      <c r="B586" s="990" t="s">
        <v>388</v>
      </c>
      <c r="C586" s="824" t="s">
        <v>389</v>
      </c>
      <c r="D586" s="326"/>
      <c r="E586" s="294">
        <f>10+45</f>
        <v>55</v>
      </c>
      <c r="F586" s="293">
        <f t="shared" si="160"/>
        <v>43211</v>
      </c>
      <c r="G586" s="293">
        <v>43266</v>
      </c>
      <c r="H586" s="293" t="s">
        <v>390</v>
      </c>
      <c r="I586" s="294" t="s">
        <v>169</v>
      </c>
      <c r="J586" s="307"/>
      <c r="K586" s="326" t="s">
        <v>391</v>
      </c>
      <c r="L586" s="1237">
        <v>23174</v>
      </c>
      <c r="M586" s="326"/>
      <c r="N586" s="294"/>
      <c r="O586" s="354">
        <v>469</v>
      </c>
      <c r="P586" s="294">
        <v>22</v>
      </c>
      <c r="Q586" s="355">
        <f t="shared" si="161"/>
        <v>10318</v>
      </c>
      <c r="R586" s="299"/>
      <c r="S586" s="299"/>
      <c r="T586" s="299"/>
      <c r="U586" s="299"/>
      <c r="V586" s="299">
        <f t="shared" ref="V586:V591" si="162">100%*Q586</f>
        <v>10318</v>
      </c>
      <c r="W586" s="299"/>
      <c r="X586" s="1142"/>
      <c r="Y586" s="1127"/>
      <c r="Z586" s="1199"/>
      <c r="AA586" s="1124"/>
      <c r="AB586" s="1124"/>
      <c r="AC586" s="1124"/>
      <c r="AD586" s="1124"/>
      <c r="AE586" s="1425"/>
      <c r="AF586" s="1124"/>
      <c r="AG586" s="1164"/>
    </row>
    <row r="587" spans="1:33">
      <c r="A587" s="1538">
        <v>4324</v>
      </c>
      <c r="B587" s="990" t="s">
        <v>392</v>
      </c>
      <c r="C587" s="1093" t="s">
        <v>393</v>
      </c>
      <c r="D587" s="326"/>
      <c r="E587" s="294">
        <f>10+45</f>
        <v>55</v>
      </c>
      <c r="F587" s="293">
        <f t="shared" si="160"/>
        <v>43211</v>
      </c>
      <c r="G587" s="293">
        <v>43266</v>
      </c>
      <c r="H587" s="293" t="s">
        <v>390</v>
      </c>
      <c r="I587" s="294" t="s">
        <v>169</v>
      </c>
      <c r="J587" s="307"/>
      <c r="K587" s="326" t="s">
        <v>391</v>
      </c>
      <c r="L587" s="1237">
        <v>23174</v>
      </c>
      <c r="M587" s="326"/>
      <c r="N587" s="294"/>
      <c r="O587" s="354">
        <v>313</v>
      </c>
      <c r="P587" s="294">
        <v>22</v>
      </c>
      <c r="Q587" s="355">
        <f t="shared" si="161"/>
        <v>6886</v>
      </c>
      <c r="R587" s="299"/>
      <c r="S587" s="299"/>
      <c r="T587" s="299"/>
      <c r="U587" s="299"/>
      <c r="V587" s="299">
        <f t="shared" si="162"/>
        <v>6886</v>
      </c>
      <c r="W587" s="299"/>
      <c r="X587" s="1142"/>
      <c r="Y587" s="1127"/>
      <c r="Z587" s="1199"/>
      <c r="AA587" s="1124"/>
      <c r="AB587" s="1124"/>
      <c r="AC587" s="1124"/>
      <c r="AD587" s="1124"/>
      <c r="AE587" s="1425"/>
      <c r="AF587" s="1124"/>
      <c r="AG587" s="1164"/>
    </row>
    <row r="588" spans="1:33">
      <c r="A588" s="1538">
        <v>4324</v>
      </c>
      <c r="B588" s="990" t="s">
        <v>394</v>
      </c>
      <c r="C588" s="824" t="s">
        <v>395</v>
      </c>
      <c r="D588" s="326"/>
      <c r="E588" s="294">
        <v>10</v>
      </c>
      <c r="F588" s="293">
        <f t="shared" si="160"/>
        <v>43256</v>
      </c>
      <c r="G588" s="293">
        <v>43266</v>
      </c>
      <c r="H588" s="293" t="s">
        <v>396</v>
      </c>
      <c r="I588" s="294" t="s">
        <v>180</v>
      </c>
      <c r="J588" s="307"/>
      <c r="K588" s="326" t="s">
        <v>397</v>
      </c>
      <c r="L588" s="1237">
        <v>23174</v>
      </c>
      <c r="M588" s="326"/>
      <c r="N588" s="294"/>
      <c r="O588" s="354">
        <v>240</v>
      </c>
      <c r="P588" s="294">
        <v>88</v>
      </c>
      <c r="Q588" s="355">
        <f t="shared" si="161"/>
        <v>21120</v>
      </c>
      <c r="R588" s="299"/>
      <c r="S588" s="299"/>
      <c r="T588" s="299"/>
      <c r="U588" s="299"/>
      <c r="V588" s="299">
        <f t="shared" si="162"/>
        <v>21120</v>
      </c>
      <c r="W588" s="299"/>
      <c r="X588" s="1142"/>
      <c r="Y588" s="1127"/>
      <c r="Z588" s="1199"/>
      <c r="AA588" s="1124"/>
      <c r="AB588" s="1124"/>
      <c r="AC588" s="1124"/>
      <c r="AD588" s="1124"/>
      <c r="AE588" s="1425"/>
      <c r="AF588" s="1124"/>
      <c r="AG588" s="1164"/>
    </row>
    <row r="589" spans="1:33">
      <c r="A589" s="1538">
        <v>4324</v>
      </c>
      <c r="B589" s="990" t="s">
        <v>398</v>
      </c>
      <c r="C589" s="824" t="s">
        <v>399</v>
      </c>
      <c r="D589" s="326"/>
      <c r="E589" s="294">
        <f>10+45</f>
        <v>55</v>
      </c>
      <c r="F589" s="293">
        <f t="shared" si="160"/>
        <v>43211</v>
      </c>
      <c r="G589" s="293">
        <v>43266</v>
      </c>
      <c r="H589" s="293" t="s">
        <v>390</v>
      </c>
      <c r="I589" s="294" t="s">
        <v>169</v>
      </c>
      <c r="J589" s="307"/>
      <c r="K589" s="326" t="s">
        <v>384</v>
      </c>
      <c r="L589" s="1237">
        <v>23173</v>
      </c>
      <c r="M589" s="326"/>
      <c r="N589" s="294"/>
      <c r="O589" s="354">
        <v>313</v>
      </c>
      <c r="P589" s="294">
        <v>22</v>
      </c>
      <c r="Q589" s="355">
        <f t="shared" si="161"/>
        <v>6886</v>
      </c>
      <c r="R589" s="299"/>
      <c r="S589" s="299"/>
      <c r="T589" s="299"/>
      <c r="U589" s="299"/>
      <c r="V589" s="299">
        <f t="shared" si="162"/>
        <v>6886</v>
      </c>
      <c r="W589" s="299"/>
      <c r="X589" s="1142"/>
      <c r="Y589" s="1127"/>
      <c r="Z589" s="1199"/>
      <c r="AA589" s="1124"/>
      <c r="AB589" s="1124"/>
      <c r="AC589" s="1124"/>
      <c r="AD589" s="1124"/>
      <c r="AE589" s="1425"/>
      <c r="AF589" s="1124"/>
      <c r="AG589" s="1164"/>
    </row>
    <row r="590" spans="1:33" ht="47.25">
      <c r="A590" s="1538">
        <v>4324</v>
      </c>
      <c r="B590" s="990" t="s">
        <v>400</v>
      </c>
      <c r="C590" s="824" t="s">
        <v>401</v>
      </c>
      <c r="D590" s="326"/>
      <c r="E590" s="294">
        <f>45+10</f>
        <v>55</v>
      </c>
      <c r="F590" s="293">
        <f t="shared" si="160"/>
        <v>43211</v>
      </c>
      <c r="G590" s="293">
        <v>43266</v>
      </c>
      <c r="H590" s="293" t="s">
        <v>390</v>
      </c>
      <c r="I590" s="294" t="s">
        <v>169</v>
      </c>
      <c r="J590" s="307"/>
      <c r="K590" s="326" t="s">
        <v>384</v>
      </c>
      <c r="L590" s="1237">
        <v>23173</v>
      </c>
      <c r="M590" s="326"/>
      <c r="N590" s="294"/>
      <c r="O590" s="354">
        <v>577</v>
      </c>
      <c r="P590" s="294">
        <v>22</v>
      </c>
      <c r="Q590" s="355">
        <f t="shared" si="161"/>
        <v>12694</v>
      </c>
      <c r="R590" s="299"/>
      <c r="S590" s="299"/>
      <c r="T590" s="299"/>
      <c r="U590" s="299"/>
      <c r="V590" s="299">
        <f t="shared" si="162"/>
        <v>12694</v>
      </c>
      <c r="W590" s="299"/>
      <c r="X590" s="1142"/>
      <c r="Y590" s="1127"/>
      <c r="Z590" s="1199"/>
      <c r="AA590" s="1124"/>
      <c r="AB590" s="1124"/>
      <c r="AC590" s="1124"/>
      <c r="AD590" s="1124"/>
      <c r="AE590" s="1425"/>
      <c r="AF590" s="1124"/>
      <c r="AG590" s="1164"/>
    </row>
    <row r="591" spans="1:33">
      <c r="A591" s="1538">
        <v>4324</v>
      </c>
      <c r="B591" s="973" t="s">
        <v>402</v>
      </c>
      <c r="C591" s="1093" t="s">
        <v>403</v>
      </c>
      <c r="D591" s="326"/>
      <c r="E591" s="294">
        <f>3+30</f>
        <v>33</v>
      </c>
      <c r="F591" s="293">
        <f t="shared" si="160"/>
        <v>43233</v>
      </c>
      <c r="G591" s="293">
        <v>43266</v>
      </c>
      <c r="H591" s="293" t="s">
        <v>372</v>
      </c>
      <c r="I591" s="294" t="s">
        <v>180</v>
      </c>
      <c r="J591" s="307"/>
      <c r="K591" s="326" t="s">
        <v>384</v>
      </c>
      <c r="L591" s="1237">
        <v>23173</v>
      </c>
      <c r="M591" s="326"/>
      <c r="N591" s="294"/>
      <c r="O591" s="354">
        <v>47.5</v>
      </c>
      <c r="P591" s="294">
        <v>64</v>
      </c>
      <c r="Q591" s="355">
        <f t="shared" si="161"/>
        <v>3040</v>
      </c>
      <c r="R591" s="299"/>
      <c r="S591" s="299"/>
      <c r="T591" s="299"/>
      <c r="U591" s="299"/>
      <c r="V591" s="299">
        <f t="shared" si="162"/>
        <v>3040</v>
      </c>
      <c r="W591" s="299"/>
      <c r="X591" s="1142"/>
      <c r="Y591" s="1127"/>
      <c r="Z591" s="1199"/>
      <c r="AA591" s="1124"/>
      <c r="AB591" s="1124"/>
      <c r="AC591" s="1124"/>
      <c r="AD591" s="1124"/>
      <c r="AE591" s="1425"/>
      <c r="AF591" s="1124"/>
      <c r="AG591" s="1164"/>
    </row>
    <row r="592" spans="1:33" ht="15.75" customHeight="1">
      <c r="A592" s="1248" t="s">
        <v>968</v>
      </c>
      <c r="B592" s="274"/>
      <c r="C592" s="278"/>
      <c r="D592" s="1270"/>
      <c r="E592" s="1270"/>
      <c r="F592" s="1270"/>
      <c r="G592" s="1270"/>
      <c r="H592" s="1270"/>
      <c r="I592" s="1270"/>
      <c r="J592" s="273"/>
      <c r="K592" s="1248"/>
      <c r="L592" s="1269"/>
      <c r="M592" s="1270"/>
      <c r="N592" s="1268"/>
      <c r="O592" s="1271"/>
      <c r="P592" s="1268"/>
      <c r="Q592" s="1272">
        <f>SUM(Q593:Q596)</f>
        <v>466695.83999999997</v>
      </c>
      <c r="R592" s="1273"/>
      <c r="S592" s="1272">
        <f t="shared" ref="S592:AF592" si="163">SUM(S593:S596)</f>
        <v>0</v>
      </c>
      <c r="T592" s="1272">
        <f t="shared" si="163"/>
        <v>0</v>
      </c>
      <c r="U592" s="1272">
        <f t="shared" si="163"/>
        <v>0</v>
      </c>
      <c r="V592" s="1272">
        <f t="shared" si="163"/>
        <v>0</v>
      </c>
      <c r="W592" s="1272">
        <f t="shared" si="163"/>
        <v>0</v>
      </c>
      <c r="X592" s="1272">
        <f t="shared" si="163"/>
        <v>0</v>
      </c>
      <c r="Y592" s="1272">
        <f t="shared" si="163"/>
        <v>0</v>
      </c>
      <c r="Z592" s="276">
        <f t="shared" si="163"/>
        <v>0</v>
      </c>
      <c r="AA592" s="276">
        <f t="shared" si="163"/>
        <v>0</v>
      </c>
      <c r="AB592" s="276">
        <f t="shared" si="163"/>
        <v>0</v>
      </c>
      <c r="AC592" s="276">
        <f t="shared" si="163"/>
        <v>0</v>
      </c>
      <c r="AD592" s="276">
        <f t="shared" si="163"/>
        <v>0</v>
      </c>
      <c r="AE592" s="276">
        <f t="shared" si="163"/>
        <v>0</v>
      </c>
      <c r="AF592" s="276">
        <f t="shared" si="163"/>
        <v>0</v>
      </c>
      <c r="AG592" s="276">
        <f>SUM(AG593:AG596)</f>
        <v>466695.83999999997</v>
      </c>
    </row>
    <row r="593" spans="1:33">
      <c r="A593" s="1275">
        <v>441</v>
      </c>
      <c r="B593" s="1021" t="s">
        <v>186</v>
      </c>
      <c r="C593" s="1021" t="s">
        <v>971</v>
      </c>
      <c r="D593" s="1278"/>
      <c r="E593" s="1278"/>
      <c r="F593" s="1278"/>
      <c r="G593" s="1278"/>
      <c r="H593" s="1278"/>
      <c r="I593" s="1277" t="s">
        <v>169</v>
      </c>
      <c r="J593" s="283"/>
      <c r="K593" s="1278"/>
      <c r="L593" s="1279"/>
      <c r="M593" s="1280"/>
      <c r="N593" s="1277"/>
      <c r="O593" s="1281"/>
      <c r="P593" s="1277"/>
      <c r="Q593" s="1395">
        <v>16000</v>
      </c>
      <c r="R593" s="287"/>
      <c r="S593" s="362"/>
      <c r="T593" s="362"/>
      <c r="U593" s="362"/>
      <c r="V593" s="362"/>
      <c r="W593" s="362"/>
      <c r="X593" s="1139"/>
      <c r="Y593" s="1134"/>
      <c r="Z593" s="1134"/>
      <c r="AA593" s="1134"/>
      <c r="AB593" s="1134"/>
      <c r="AC593" s="1134"/>
      <c r="AD593" s="1134"/>
      <c r="AE593" s="1134"/>
      <c r="AF593" s="1134"/>
      <c r="AG593" s="361">
        <v>16000</v>
      </c>
    </row>
    <row r="594" spans="1:33" ht="31.5">
      <c r="A594" s="1275">
        <v>442</v>
      </c>
      <c r="B594" s="1128" t="s">
        <v>44</v>
      </c>
      <c r="C594" s="1130" t="s">
        <v>972</v>
      </c>
      <c r="D594" s="1430"/>
      <c r="E594" s="1430"/>
      <c r="F594" s="1430"/>
      <c r="G594" s="1430"/>
      <c r="H594" s="1430"/>
      <c r="I594" s="1277" t="s">
        <v>169</v>
      </c>
      <c r="J594" s="1129"/>
      <c r="K594" s="1432"/>
      <c r="L594" s="1433"/>
      <c r="M594" s="1430"/>
      <c r="N594" s="1431"/>
      <c r="O594" s="1434"/>
      <c r="P594" s="1431"/>
      <c r="Q594" s="1435">
        <v>92060</v>
      </c>
      <c r="R594" s="1133"/>
      <c r="S594" s="1134"/>
      <c r="T594" s="1134"/>
      <c r="U594" s="1134"/>
      <c r="V594" s="1134"/>
      <c r="W594" s="1134"/>
      <c r="X594" s="1139"/>
      <c r="Y594" s="1134"/>
      <c r="Z594" s="1134"/>
      <c r="AA594" s="1134"/>
      <c r="AB594" s="1134"/>
      <c r="AC594" s="1134"/>
      <c r="AD594" s="1134"/>
      <c r="AE594" s="1134"/>
      <c r="AF594" s="1134"/>
      <c r="AG594" s="1132">
        <v>92060</v>
      </c>
    </row>
    <row r="595" spans="1:33" ht="31.5">
      <c r="A595" s="1275">
        <v>443</v>
      </c>
      <c r="B595" s="1128" t="s">
        <v>43</v>
      </c>
      <c r="C595" s="1130" t="s">
        <v>973</v>
      </c>
      <c r="D595" s="1430"/>
      <c r="E595" s="1430"/>
      <c r="F595" s="1430"/>
      <c r="G595" s="1430"/>
      <c r="H595" s="1430"/>
      <c r="I595" s="1277" t="s">
        <v>169</v>
      </c>
      <c r="J595" s="1129"/>
      <c r="K595" s="1432"/>
      <c r="L595" s="1433"/>
      <c r="M595" s="1430"/>
      <c r="N595" s="1431"/>
      <c r="O595" s="1434"/>
      <c r="P595" s="1431"/>
      <c r="Q595" s="1435">
        <f>10667-31.16</f>
        <v>10635.84</v>
      </c>
      <c r="R595" s="1133"/>
      <c r="S595" s="1134"/>
      <c r="T595" s="1134"/>
      <c r="U595" s="1134"/>
      <c r="V595" s="1134"/>
      <c r="W595" s="1134"/>
      <c r="X595" s="1139"/>
      <c r="Y595" s="1134"/>
      <c r="Z595" s="1134"/>
      <c r="AA595" s="1134"/>
      <c r="AB595" s="1134"/>
      <c r="AC595" s="1134"/>
      <c r="AD595" s="1134"/>
      <c r="AE595" s="1134"/>
      <c r="AF595" s="1134"/>
      <c r="AG595" s="1132">
        <f>10667-31.16</f>
        <v>10635.84</v>
      </c>
    </row>
    <row r="596" spans="1:33" ht="31.5">
      <c r="A596" s="1275">
        <v>444</v>
      </c>
      <c r="B596" s="1128" t="s">
        <v>46</v>
      </c>
      <c r="C596" s="1130" t="s">
        <v>974</v>
      </c>
      <c r="D596" s="1430"/>
      <c r="E596" s="1430"/>
      <c r="F596" s="1430"/>
      <c r="G596" s="1430"/>
      <c r="H596" s="1430"/>
      <c r="I596" s="1277" t="s">
        <v>169</v>
      </c>
      <c r="J596" s="1129"/>
      <c r="K596" s="1432"/>
      <c r="L596" s="1433"/>
      <c r="M596" s="1430"/>
      <c r="N596" s="1431"/>
      <c r="O596" s="1434"/>
      <c r="P596" s="1431"/>
      <c r="Q596" s="1435">
        <v>348000</v>
      </c>
      <c r="R596" s="1133"/>
      <c r="S596" s="1134"/>
      <c r="T596" s="1134"/>
      <c r="U596" s="1134"/>
      <c r="V596" s="1134"/>
      <c r="W596" s="1134"/>
      <c r="X596" s="1139"/>
      <c r="Y596" s="1134"/>
      <c r="Z596" s="1134"/>
      <c r="AA596" s="1134"/>
      <c r="AB596" s="1134"/>
      <c r="AC596" s="1134"/>
      <c r="AD596" s="1134"/>
      <c r="AE596" s="1134"/>
      <c r="AF596" s="1134"/>
      <c r="AG596" s="1132">
        <v>348000</v>
      </c>
    </row>
    <row r="597" spans="1:33" ht="15.75" customHeight="1">
      <c r="A597" s="1248" t="s">
        <v>969</v>
      </c>
      <c r="B597" s="274"/>
      <c r="C597" s="278"/>
      <c r="D597" s="1270"/>
      <c r="E597" s="1270"/>
      <c r="F597" s="1270"/>
      <c r="G597" s="1270"/>
      <c r="H597" s="1270"/>
      <c r="I597" s="1270"/>
      <c r="J597" s="273"/>
      <c r="K597" s="1248"/>
      <c r="L597" s="1269"/>
      <c r="M597" s="1270"/>
      <c r="N597" s="1268"/>
      <c r="O597" s="1271"/>
      <c r="P597" s="1268"/>
      <c r="Q597" s="1272">
        <f>Q598+Q606</f>
        <v>322694</v>
      </c>
      <c r="R597" s="1273"/>
      <c r="S597" s="1436"/>
      <c r="T597" s="1248"/>
      <c r="U597" s="1248"/>
      <c r="V597" s="1270"/>
      <c r="W597" s="1270"/>
      <c r="X597" s="1437"/>
      <c r="Y597" s="1438"/>
      <c r="Z597" s="1070"/>
      <c r="AA597" s="1070"/>
      <c r="AB597" s="1070"/>
      <c r="AC597" s="1070"/>
      <c r="AD597" s="1070"/>
      <c r="AE597" s="1070"/>
      <c r="AF597" s="1070"/>
      <c r="AG597" s="276">
        <f>AG598+AG606</f>
        <v>322694</v>
      </c>
    </row>
    <row r="598" spans="1:33">
      <c r="A598" s="1275">
        <v>451</v>
      </c>
      <c r="B598" s="1128" t="s">
        <v>970</v>
      </c>
      <c r="C598" s="1130"/>
      <c r="D598" s="1430"/>
      <c r="E598" s="1430"/>
      <c r="F598" s="1430"/>
      <c r="G598" s="1430"/>
      <c r="H598" s="1430"/>
      <c r="I598" s="1277" t="s">
        <v>169</v>
      </c>
      <c r="J598" s="1129"/>
      <c r="K598" s="1432"/>
      <c r="L598" s="1433"/>
      <c r="M598" s="1430"/>
      <c r="N598" s="1431"/>
      <c r="O598" s="1434"/>
      <c r="P598" s="1431"/>
      <c r="Q598" s="1435">
        <v>322694</v>
      </c>
      <c r="R598" s="1133"/>
      <c r="S598" s="1134"/>
      <c r="T598" s="1134"/>
      <c r="U598" s="1134"/>
      <c r="V598" s="1134"/>
      <c r="W598" s="1134"/>
      <c r="X598" s="1139"/>
      <c r="Y598" s="1134"/>
      <c r="Z598" s="1134"/>
      <c r="AA598" s="1134"/>
      <c r="AB598" s="1134"/>
      <c r="AC598" s="1134"/>
      <c r="AD598" s="1134"/>
      <c r="AE598" s="1134"/>
      <c r="AF598" s="1134"/>
      <c r="AG598" s="1132">
        <v>322694</v>
      </c>
    </row>
    <row r="599" spans="1:33" s="992" customFormat="1" ht="33.75" customHeight="1">
      <c r="A599" s="1247" t="s">
        <v>279</v>
      </c>
      <c r="B599" s="266"/>
      <c r="C599" s="1022"/>
      <c r="D599" s="1263"/>
      <c r="E599" s="1263"/>
      <c r="F599" s="1263"/>
      <c r="G599" s="1263"/>
      <c r="H599" s="1263"/>
      <c r="I599" s="1263"/>
      <c r="J599" s="265"/>
      <c r="K599" s="1247"/>
      <c r="L599" s="1262"/>
      <c r="M599" s="1263"/>
      <c r="N599" s="1261"/>
      <c r="O599" s="1264"/>
      <c r="P599" s="1261"/>
      <c r="Q599" s="1265"/>
      <c r="R599" s="1266"/>
      <c r="S599" s="1439"/>
      <c r="T599" s="1439"/>
      <c r="U599" s="1439"/>
      <c r="V599" s="1439"/>
      <c r="W599" s="1439"/>
      <c r="X599" s="1440"/>
      <c r="Y599" s="1441"/>
      <c r="Z599" s="1150"/>
      <c r="AA599" s="1150"/>
      <c r="AB599" s="1150"/>
      <c r="AC599" s="1150"/>
      <c r="AD599" s="1150"/>
      <c r="AE599" s="1150"/>
      <c r="AF599" s="1150"/>
      <c r="AG599" s="1150"/>
    </row>
    <row r="600" spans="1:33" ht="30" customHeight="1">
      <c r="A600" s="1248" t="s">
        <v>280</v>
      </c>
      <c r="B600" s="274"/>
      <c r="C600" s="278"/>
      <c r="D600" s="1270"/>
      <c r="E600" s="1270"/>
      <c r="F600" s="1270"/>
      <c r="G600" s="1270"/>
      <c r="H600" s="1270"/>
      <c r="I600" s="1270"/>
      <c r="J600" s="273"/>
      <c r="K600" s="1248"/>
      <c r="L600" s="1269"/>
      <c r="M600" s="1270"/>
      <c r="N600" s="1268"/>
      <c r="O600" s="1271"/>
      <c r="P600" s="1268"/>
      <c r="Q600" s="1272"/>
      <c r="R600" s="1273"/>
      <c r="S600" s="1248"/>
      <c r="T600" s="1248"/>
      <c r="U600" s="1248"/>
      <c r="V600" s="1270"/>
      <c r="W600" s="1270"/>
      <c r="X600" s="1437"/>
      <c r="Y600" s="1438"/>
      <c r="Z600" s="1070"/>
      <c r="AA600" s="1070"/>
      <c r="AB600" s="1070"/>
      <c r="AC600" s="1070"/>
      <c r="AD600" s="1070"/>
      <c r="AE600" s="1070"/>
      <c r="AF600" s="1070"/>
      <c r="AG600" s="1070"/>
    </row>
    <row r="601" spans="1:33" ht="16.5" customHeight="1">
      <c r="A601" s="1275">
        <v>511</v>
      </c>
      <c r="B601" s="359"/>
      <c r="C601" s="1021"/>
      <c r="D601" s="1280"/>
      <c r="E601" s="1280"/>
      <c r="F601" s="1280"/>
      <c r="G601" s="1280"/>
      <c r="H601" s="1280"/>
      <c r="I601" s="1280"/>
      <c r="J601" s="283"/>
      <c r="K601" s="1278"/>
      <c r="L601" s="1279"/>
      <c r="M601" s="1280"/>
      <c r="N601" s="1277"/>
      <c r="O601" s="1281"/>
      <c r="P601" s="1277"/>
      <c r="Q601" s="1395"/>
      <c r="R601" s="287"/>
      <c r="S601" s="362"/>
      <c r="T601" s="362"/>
      <c r="U601" s="362"/>
      <c r="V601" s="362"/>
      <c r="W601" s="362"/>
      <c r="X601" s="1139"/>
      <c r="Y601" s="1134"/>
      <c r="Z601" s="1134"/>
      <c r="AA601" s="1134"/>
      <c r="AB601" s="1134"/>
      <c r="AC601" s="1134"/>
      <c r="AD601" s="1134"/>
      <c r="AE601" s="1134"/>
      <c r="AF601" s="1134"/>
      <c r="AG601" s="1134"/>
    </row>
    <row r="602" spans="1:33">
      <c r="A602" s="1442" t="s">
        <v>233</v>
      </c>
      <c r="B602" s="973"/>
      <c r="C602" s="824"/>
      <c r="D602" s="326"/>
      <c r="E602" s="294"/>
      <c r="F602" s="293"/>
      <c r="G602" s="293"/>
      <c r="H602" s="293"/>
      <c r="I602" s="294"/>
      <c r="J602" s="307"/>
      <c r="K602" s="326"/>
      <c r="L602" s="1237"/>
      <c r="M602" s="326"/>
      <c r="N602" s="294"/>
      <c r="O602" s="354"/>
      <c r="P602" s="294"/>
      <c r="Q602" s="355"/>
      <c r="R602" s="299"/>
      <c r="S602" s="355"/>
      <c r="T602" s="355"/>
      <c r="U602" s="355"/>
      <c r="V602" s="355"/>
      <c r="W602" s="355"/>
      <c r="X602" s="1137"/>
      <c r="Y602" s="1126"/>
      <c r="Z602" s="1126"/>
      <c r="AA602" s="1126"/>
      <c r="AB602" s="1126"/>
      <c r="AC602" s="1126"/>
      <c r="AD602" s="1126"/>
      <c r="AE602" s="1126"/>
      <c r="AF602" s="1126"/>
      <c r="AG602" s="1126"/>
    </row>
    <row r="603" spans="1:33" s="992" customFormat="1" ht="33.75" customHeight="1">
      <c r="A603" s="1552" t="s">
        <v>964</v>
      </c>
      <c r="B603" s="1459"/>
      <c r="C603" s="1515"/>
      <c r="D603" s="1443"/>
      <c r="E603" s="1443"/>
      <c r="F603" s="1443"/>
      <c r="G603" s="1443"/>
      <c r="H603" s="1443"/>
      <c r="I603" s="1444"/>
      <c r="J603" s="333"/>
      <c r="K603" s="1446"/>
      <c r="L603" s="1447"/>
      <c r="M603" s="1445"/>
      <c r="N603" s="1445"/>
      <c r="O603" s="1448"/>
      <c r="P603" s="1445"/>
      <c r="Q603" s="1448">
        <f>Q604+Q613+Q622</f>
        <v>129744.98</v>
      </c>
      <c r="R603" s="1449">
        <f>+R604+R613+R622</f>
        <v>129747.66</v>
      </c>
      <c r="S603" s="1448">
        <f t="shared" ref="S603:AF603" si="164">S604+S613+S622</f>
        <v>0</v>
      </c>
      <c r="T603" s="1448">
        <f t="shared" si="164"/>
        <v>10350</v>
      </c>
      <c r="U603" s="1448">
        <f t="shared" si="164"/>
        <v>27783</v>
      </c>
      <c r="V603" s="1448">
        <f t="shared" si="164"/>
        <v>30319.986666666664</v>
      </c>
      <c r="W603" s="1448">
        <f t="shared" si="164"/>
        <v>35925.993333333332</v>
      </c>
      <c r="X603" s="1448">
        <f t="shared" si="164"/>
        <v>25366</v>
      </c>
      <c r="Y603" s="1448">
        <f t="shared" si="164"/>
        <v>0</v>
      </c>
      <c r="Z603" s="334">
        <f t="shared" si="164"/>
        <v>0</v>
      </c>
      <c r="AA603" s="334">
        <f t="shared" si="164"/>
        <v>0</v>
      </c>
      <c r="AB603" s="334">
        <f t="shared" si="164"/>
        <v>0</v>
      </c>
      <c r="AC603" s="334">
        <f t="shared" si="164"/>
        <v>0</v>
      </c>
      <c r="AD603" s="334">
        <f t="shared" si="164"/>
        <v>0</v>
      </c>
      <c r="AE603" s="334">
        <f t="shared" si="164"/>
        <v>0</v>
      </c>
      <c r="AF603" s="334">
        <f t="shared" si="164"/>
        <v>0</v>
      </c>
      <c r="AG603" s="334">
        <f>AG604+AG613+AG622</f>
        <v>129744.98</v>
      </c>
    </row>
    <row r="604" spans="1:33" ht="33" customHeight="1">
      <c r="A604" s="1248" t="s">
        <v>282</v>
      </c>
      <c r="B604" s="274"/>
      <c r="C604" s="278"/>
      <c r="D604" s="1270"/>
      <c r="E604" s="1270"/>
      <c r="F604" s="1270"/>
      <c r="G604" s="1270"/>
      <c r="H604" s="1270"/>
      <c r="I604" s="1270"/>
      <c r="J604" s="273"/>
      <c r="K604" s="1248"/>
      <c r="L604" s="1269"/>
      <c r="M604" s="1270"/>
      <c r="N604" s="1268"/>
      <c r="O604" s="1271"/>
      <c r="P604" s="1268"/>
      <c r="Q604" s="1272">
        <f>+Q605+Q609</f>
        <v>0</v>
      </c>
      <c r="R604" s="1273"/>
      <c r="S604" s="1272">
        <f t="shared" ref="S604:AF604" si="165">+S605+S609</f>
        <v>0</v>
      </c>
      <c r="T604" s="1272">
        <f t="shared" si="165"/>
        <v>0</v>
      </c>
      <c r="U604" s="1272">
        <f t="shared" si="165"/>
        <v>0</v>
      </c>
      <c r="V604" s="1272">
        <f t="shared" si="165"/>
        <v>0</v>
      </c>
      <c r="W604" s="1272">
        <f t="shared" si="165"/>
        <v>0</v>
      </c>
      <c r="X604" s="1272">
        <f t="shared" si="165"/>
        <v>0</v>
      </c>
      <c r="Y604" s="1272">
        <f t="shared" si="165"/>
        <v>0</v>
      </c>
      <c r="Z604" s="276">
        <f t="shared" si="165"/>
        <v>0</v>
      </c>
      <c r="AA604" s="276">
        <f t="shared" si="165"/>
        <v>0</v>
      </c>
      <c r="AB604" s="276">
        <f t="shared" si="165"/>
        <v>0</v>
      </c>
      <c r="AC604" s="276">
        <f t="shared" si="165"/>
        <v>0</v>
      </c>
      <c r="AD604" s="276">
        <f t="shared" si="165"/>
        <v>0</v>
      </c>
      <c r="AE604" s="276">
        <f t="shared" si="165"/>
        <v>0</v>
      </c>
      <c r="AF604" s="276">
        <f t="shared" si="165"/>
        <v>0</v>
      </c>
      <c r="AG604" s="276">
        <f>+AG605+AG609</f>
        <v>0</v>
      </c>
    </row>
    <row r="605" spans="1:33" ht="16.5" customHeight="1">
      <c r="A605" s="1275">
        <v>611</v>
      </c>
      <c r="B605" s="359"/>
      <c r="C605" s="1021"/>
      <c r="D605" s="1280"/>
      <c r="E605" s="1280"/>
      <c r="F605" s="1280"/>
      <c r="G605" s="1280"/>
      <c r="H605" s="1280"/>
      <c r="I605" s="1280"/>
      <c r="J605" s="283"/>
      <c r="K605" s="1278"/>
      <c r="L605" s="1279"/>
      <c r="M605" s="1280"/>
      <c r="N605" s="1277"/>
      <c r="O605" s="1281"/>
      <c r="P605" s="1277"/>
      <c r="Q605" s="1395">
        <f>SUM(Q606:Q608)</f>
        <v>0</v>
      </c>
      <c r="R605" s="287"/>
      <c r="S605" s="1395">
        <f t="shared" ref="S605:AF605" si="166">SUM(S606:S608)</f>
        <v>0</v>
      </c>
      <c r="T605" s="1395">
        <f t="shared" si="166"/>
        <v>0</v>
      </c>
      <c r="U605" s="1395">
        <f t="shared" si="166"/>
        <v>0</v>
      </c>
      <c r="V605" s="1395">
        <f t="shared" si="166"/>
        <v>0</v>
      </c>
      <c r="W605" s="1395">
        <f t="shared" si="166"/>
        <v>0</v>
      </c>
      <c r="X605" s="1395">
        <f t="shared" si="166"/>
        <v>0</v>
      </c>
      <c r="Y605" s="1395">
        <f t="shared" si="166"/>
        <v>0</v>
      </c>
      <c r="Z605" s="361">
        <f t="shared" si="166"/>
        <v>0</v>
      </c>
      <c r="AA605" s="361">
        <f t="shared" si="166"/>
        <v>0</v>
      </c>
      <c r="AB605" s="361">
        <f t="shared" si="166"/>
        <v>0</v>
      </c>
      <c r="AC605" s="361">
        <f t="shared" si="166"/>
        <v>0</v>
      </c>
      <c r="AD605" s="361">
        <f t="shared" si="166"/>
        <v>0</v>
      </c>
      <c r="AE605" s="361">
        <f t="shared" si="166"/>
        <v>0</v>
      </c>
      <c r="AF605" s="361">
        <f t="shared" si="166"/>
        <v>0</v>
      </c>
      <c r="AG605" s="1134">
        <f>SUM(S605:AF605)</f>
        <v>0</v>
      </c>
    </row>
    <row r="606" spans="1:33">
      <c r="A606" s="1442">
        <v>6111</v>
      </c>
      <c r="B606" s="973"/>
      <c r="C606" s="824"/>
      <c r="D606" s="326"/>
      <c r="E606" s="294"/>
      <c r="F606" s="293"/>
      <c r="G606" s="293"/>
      <c r="H606" s="293"/>
      <c r="I606" s="294"/>
      <c r="J606" s="307"/>
      <c r="K606" s="326"/>
      <c r="L606" s="1237"/>
      <c r="M606" s="326"/>
      <c r="N606" s="294"/>
      <c r="O606" s="354"/>
      <c r="P606" s="294"/>
      <c r="Q606" s="355"/>
      <c r="R606" s="299"/>
      <c r="S606" s="355"/>
      <c r="T606" s="355"/>
      <c r="U606" s="355"/>
      <c r="V606" s="355"/>
      <c r="W606" s="355"/>
      <c r="X606" s="1137"/>
      <c r="Y606" s="1126"/>
      <c r="Z606" s="1126"/>
      <c r="AA606" s="1126"/>
      <c r="AB606" s="1126"/>
      <c r="AC606" s="1126"/>
      <c r="AD606" s="1126"/>
      <c r="AE606" s="1126"/>
      <c r="AF606" s="1126"/>
      <c r="AG606" s="1126"/>
    </row>
    <row r="607" spans="1:33">
      <c r="A607" s="1442">
        <v>6112</v>
      </c>
      <c r="B607" s="973"/>
      <c r="C607" s="824"/>
      <c r="D607" s="326"/>
      <c r="E607" s="294"/>
      <c r="F607" s="293"/>
      <c r="G607" s="293"/>
      <c r="H607" s="293"/>
      <c r="I607" s="294"/>
      <c r="J607" s="307"/>
      <c r="K607" s="326"/>
      <c r="L607" s="1237"/>
      <c r="M607" s="326"/>
      <c r="N607" s="294"/>
      <c r="O607" s="354"/>
      <c r="P607" s="294"/>
      <c r="Q607" s="355"/>
      <c r="R607" s="299"/>
      <c r="S607" s="355"/>
      <c r="T607" s="355"/>
      <c r="U607" s="355"/>
      <c r="V607" s="355"/>
      <c r="W607" s="355"/>
      <c r="X607" s="1137"/>
      <c r="Y607" s="1126"/>
      <c r="Z607" s="1126"/>
      <c r="AA607" s="1126"/>
      <c r="AB607" s="1126"/>
      <c r="AC607" s="1126"/>
      <c r="AD607" s="1126"/>
      <c r="AE607" s="1126"/>
      <c r="AF607" s="1126"/>
      <c r="AG607" s="1126"/>
    </row>
    <row r="608" spans="1:33">
      <c r="A608" s="1442">
        <v>6113</v>
      </c>
      <c r="B608" s="973"/>
      <c r="C608" s="824"/>
      <c r="D608" s="326"/>
      <c r="E608" s="294"/>
      <c r="F608" s="293"/>
      <c r="G608" s="293"/>
      <c r="H608" s="293"/>
      <c r="I608" s="294"/>
      <c r="J608" s="307"/>
      <c r="K608" s="326"/>
      <c r="L608" s="1237"/>
      <c r="M608" s="326"/>
      <c r="N608" s="294"/>
      <c r="O608" s="354"/>
      <c r="P608" s="294"/>
      <c r="Q608" s="355"/>
      <c r="R608" s="299"/>
      <c r="S608" s="355"/>
      <c r="T608" s="355"/>
      <c r="U608" s="355"/>
      <c r="V608" s="355"/>
      <c r="W608" s="355"/>
      <c r="X608" s="1137"/>
      <c r="Y608" s="1126"/>
      <c r="Z608" s="1126"/>
      <c r="AA608" s="1126"/>
      <c r="AB608" s="1126"/>
      <c r="AC608" s="1126"/>
      <c r="AD608" s="1126"/>
      <c r="AE608" s="1126"/>
      <c r="AF608" s="1126"/>
      <c r="AG608" s="1126"/>
    </row>
    <row r="609" spans="1:33" ht="16.5" customHeight="1">
      <c r="A609" s="1275">
        <v>612</v>
      </c>
      <c r="B609" s="359"/>
      <c r="C609" s="1021"/>
      <c r="D609" s="1280"/>
      <c r="E609" s="1280"/>
      <c r="F609" s="1280"/>
      <c r="G609" s="1280"/>
      <c r="H609" s="1280"/>
      <c r="I609" s="1280"/>
      <c r="J609" s="283"/>
      <c r="K609" s="1278"/>
      <c r="L609" s="1279"/>
      <c r="M609" s="1280"/>
      <c r="N609" s="1277"/>
      <c r="O609" s="1281"/>
      <c r="P609" s="1277"/>
      <c r="Q609" s="1395">
        <f>SUM(Q610:Q612)</f>
        <v>0</v>
      </c>
      <c r="R609" s="287"/>
      <c r="S609" s="1395">
        <f t="shared" ref="S609:AF609" si="167">SUM(S610:S612)</f>
        <v>0</v>
      </c>
      <c r="T609" s="1395">
        <f t="shared" si="167"/>
        <v>0</v>
      </c>
      <c r="U609" s="1395">
        <f t="shared" si="167"/>
        <v>0</v>
      </c>
      <c r="V609" s="1395">
        <f t="shared" si="167"/>
        <v>0</v>
      </c>
      <c r="W609" s="1395">
        <f t="shared" si="167"/>
        <v>0</v>
      </c>
      <c r="X609" s="1395">
        <f t="shared" si="167"/>
        <v>0</v>
      </c>
      <c r="Y609" s="1395">
        <f t="shared" si="167"/>
        <v>0</v>
      </c>
      <c r="Z609" s="361">
        <f t="shared" si="167"/>
        <v>0</v>
      </c>
      <c r="AA609" s="361">
        <f t="shared" si="167"/>
        <v>0</v>
      </c>
      <c r="AB609" s="361">
        <f t="shared" si="167"/>
        <v>0</v>
      </c>
      <c r="AC609" s="361">
        <f t="shared" si="167"/>
        <v>0</v>
      </c>
      <c r="AD609" s="361">
        <f t="shared" si="167"/>
        <v>0</v>
      </c>
      <c r="AE609" s="361">
        <f t="shared" si="167"/>
        <v>0</v>
      </c>
      <c r="AF609" s="361">
        <f t="shared" si="167"/>
        <v>0</v>
      </c>
      <c r="AG609" s="1134">
        <f>SUM(S609:AF609)</f>
        <v>0</v>
      </c>
    </row>
    <row r="610" spans="1:33">
      <c r="A610" s="1442">
        <v>6121</v>
      </c>
      <c r="B610" s="973"/>
      <c r="C610" s="824"/>
      <c r="D610" s="326"/>
      <c r="E610" s="294"/>
      <c r="F610" s="293"/>
      <c r="G610" s="293"/>
      <c r="H610" s="293"/>
      <c r="I610" s="294"/>
      <c r="J610" s="307"/>
      <c r="K610" s="326"/>
      <c r="L610" s="1237"/>
      <c r="M610" s="326"/>
      <c r="N610" s="294"/>
      <c r="O610" s="354"/>
      <c r="P610" s="294"/>
      <c r="Q610" s="355"/>
      <c r="R610" s="299"/>
      <c r="S610" s="355"/>
      <c r="T610" s="355"/>
      <c r="U610" s="355"/>
      <c r="V610" s="355"/>
      <c r="W610" s="355"/>
      <c r="X610" s="1137"/>
      <c r="Y610" s="1126"/>
      <c r="Z610" s="1126"/>
      <c r="AA610" s="1126"/>
      <c r="AB610" s="1126"/>
      <c r="AC610" s="1126"/>
      <c r="AD610" s="1126"/>
      <c r="AE610" s="1126"/>
      <c r="AF610" s="1126"/>
      <c r="AG610" s="1126"/>
    </row>
    <row r="611" spans="1:33">
      <c r="A611" s="1442">
        <v>6122</v>
      </c>
      <c r="B611" s="973"/>
      <c r="C611" s="824"/>
      <c r="D611" s="326"/>
      <c r="E611" s="294"/>
      <c r="F611" s="293"/>
      <c r="G611" s="293"/>
      <c r="H611" s="293"/>
      <c r="I611" s="294"/>
      <c r="J611" s="307"/>
      <c r="K611" s="326"/>
      <c r="L611" s="1237"/>
      <c r="M611" s="326"/>
      <c r="N611" s="294"/>
      <c r="O611" s="354"/>
      <c r="P611" s="294"/>
      <c r="Q611" s="355"/>
      <c r="R611" s="299"/>
      <c r="S611" s="355"/>
      <c r="T611" s="355"/>
      <c r="U611" s="355"/>
      <c r="V611" s="355"/>
      <c r="W611" s="355"/>
      <c r="X611" s="1137"/>
      <c r="Y611" s="1126"/>
      <c r="Z611" s="1126"/>
      <c r="AA611" s="1126"/>
      <c r="AB611" s="1126"/>
      <c r="AC611" s="1126"/>
      <c r="AD611" s="1126"/>
      <c r="AE611" s="1126"/>
      <c r="AF611" s="1126"/>
      <c r="AG611" s="1126"/>
    </row>
    <row r="612" spans="1:33">
      <c r="A612" s="1398" t="s">
        <v>233</v>
      </c>
      <c r="B612" s="973"/>
      <c r="C612" s="824"/>
      <c r="D612" s="326"/>
      <c r="E612" s="294"/>
      <c r="F612" s="293"/>
      <c r="G612" s="293"/>
      <c r="H612" s="293"/>
      <c r="I612" s="294"/>
      <c r="J612" s="307"/>
      <c r="K612" s="326"/>
      <c r="L612" s="1237"/>
      <c r="M612" s="326"/>
      <c r="N612" s="294"/>
      <c r="O612" s="354"/>
      <c r="P612" s="294"/>
      <c r="Q612" s="355"/>
      <c r="R612" s="299"/>
      <c r="S612" s="355"/>
      <c r="T612" s="355"/>
      <c r="U612" s="355"/>
      <c r="V612" s="355"/>
      <c r="W612" s="355"/>
      <c r="X612" s="1137"/>
      <c r="Y612" s="1126"/>
      <c r="Z612" s="1126"/>
      <c r="AA612" s="1126"/>
      <c r="AB612" s="1126"/>
      <c r="AC612" s="1126"/>
      <c r="AD612" s="1126"/>
      <c r="AE612" s="1126"/>
      <c r="AF612" s="1126"/>
      <c r="AG612" s="1126"/>
    </row>
    <row r="613" spans="1:33" ht="38.25" customHeight="1">
      <c r="A613" s="1553" t="s">
        <v>283</v>
      </c>
      <c r="B613" s="1542"/>
      <c r="C613" s="1500"/>
      <c r="D613" s="1450"/>
      <c r="E613" s="1450"/>
      <c r="F613" s="1450"/>
      <c r="G613" s="1450"/>
      <c r="H613" s="1450"/>
      <c r="I613" s="1451"/>
      <c r="J613" s="273"/>
      <c r="K613" s="1248"/>
      <c r="L613" s="1269"/>
      <c r="M613" s="1270"/>
      <c r="N613" s="1268"/>
      <c r="O613" s="1271"/>
      <c r="P613" s="1268"/>
      <c r="Q613" s="1272">
        <f>+Q614+Q618</f>
        <v>0</v>
      </c>
      <c r="R613" s="1273"/>
      <c r="S613" s="1272">
        <f t="shared" ref="S613:AF613" si="168">+S614+S618</f>
        <v>0</v>
      </c>
      <c r="T613" s="1272">
        <f t="shared" si="168"/>
        <v>0</v>
      </c>
      <c r="U613" s="1272">
        <f t="shared" si="168"/>
        <v>0</v>
      </c>
      <c r="V613" s="1272">
        <f t="shared" si="168"/>
        <v>0</v>
      </c>
      <c r="W613" s="1272">
        <f t="shared" si="168"/>
        <v>0</v>
      </c>
      <c r="X613" s="1272">
        <f t="shared" si="168"/>
        <v>0</v>
      </c>
      <c r="Y613" s="1272">
        <f t="shared" si="168"/>
        <v>0</v>
      </c>
      <c r="Z613" s="276">
        <f t="shared" si="168"/>
        <v>0</v>
      </c>
      <c r="AA613" s="276">
        <f t="shared" si="168"/>
        <v>0</v>
      </c>
      <c r="AB613" s="276">
        <f t="shared" si="168"/>
        <v>0</v>
      </c>
      <c r="AC613" s="276">
        <f t="shared" si="168"/>
        <v>0</v>
      </c>
      <c r="AD613" s="276">
        <f t="shared" si="168"/>
        <v>0</v>
      </c>
      <c r="AE613" s="276">
        <f t="shared" si="168"/>
        <v>0</v>
      </c>
      <c r="AF613" s="276">
        <f t="shared" si="168"/>
        <v>0</v>
      </c>
      <c r="AG613" s="276">
        <f>+AG614+AG618</f>
        <v>0</v>
      </c>
    </row>
    <row r="614" spans="1:33" ht="16.5" customHeight="1">
      <c r="A614" s="1275">
        <v>621</v>
      </c>
      <c r="B614" s="359"/>
      <c r="C614" s="1021"/>
      <c r="D614" s="1280"/>
      <c r="E614" s="1280"/>
      <c r="F614" s="1280"/>
      <c r="G614" s="1280"/>
      <c r="H614" s="1280"/>
      <c r="I614" s="1280"/>
      <c r="J614" s="283"/>
      <c r="K614" s="1278"/>
      <c r="L614" s="1279"/>
      <c r="M614" s="1280"/>
      <c r="N614" s="1277"/>
      <c r="O614" s="1281"/>
      <c r="P614" s="1277"/>
      <c r="Q614" s="1395">
        <f>SUM(Q615:Q617)</f>
        <v>0</v>
      </c>
      <c r="R614" s="287"/>
      <c r="S614" s="1395">
        <f t="shared" ref="S614:AF614" si="169">SUM(S615:S617)</f>
        <v>0</v>
      </c>
      <c r="T614" s="1395">
        <f t="shared" si="169"/>
        <v>0</v>
      </c>
      <c r="U614" s="1395">
        <f t="shared" si="169"/>
        <v>0</v>
      </c>
      <c r="V614" s="1395">
        <f t="shared" si="169"/>
        <v>0</v>
      </c>
      <c r="W614" s="1395">
        <f t="shared" si="169"/>
        <v>0</v>
      </c>
      <c r="X614" s="1395">
        <f t="shared" si="169"/>
        <v>0</v>
      </c>
      <c r="Y614" s="1395">
        <f t="shared" si="169"/>
        <v>0</v>
      </c>
      <c r="Z614" s="361">
        <f t="shared" si="169"/>
        <v>0</v>
      </c>
      <c r="AA614" s="361">
        <f t="shared" si="169"/>
        <v>0</v>
      </c>
      <c r="AB614" s="361">
        <f t="shared" si="169"/>
        <v>0</v>
      </c>
      <c r="AC614" s="361">
        <f t="shared" si="169"/>
        <v>0</v>
      </c>
      <c r="AD614" s="361">
        <f t="shared" si="169"/>
        <v>0</v>
      </c>
      <c r="AE614" s="361">
        <f t="shared" si="169"/>
        <v>0</v>
      </c>
      <c r="AF614" s="361">
        <f t="shared" si="169"/>
        <v>0</v>
      </c>
      <c r="AG614" s="1134">
        <f>SUM(S614:AF614)</f>
        <v>0</v>
      </c>
    </row>
    <row r="615" spans="1:33">
      <c r="A615" s="1442">
        <v>6211</v>
      </c>
      <c r="B615" s="973"/>
      <c r="C615" s="824"/>
      <c r="D615" s="326"/>
      <c r="E615" s="294"/>
      <c r="F615" s="293"/>
      <c r="G615" s="293"/>
      <c r="H615" s="293"/>
      <c r="I615" s="294"/>
      <c r="J615" s="307"/>
      <c r="K615" s="326"/>
      <c r="L615" s="1237"/>
      <c r="M615" s="326"/>
      <c r="N615" s="294"/>
      <c r="O615" s="354"/>
      <c r="P615" s="294"/>
      <c r="Q615" s="355"/>
      <c r="R615" s="299"/>
      <c r="S615" s="355"/>
      <c r="T615" s="355"/>
      <c r="U615" s="355"/>
      <c r="V615" s="355"/>
      <c r="W615" s="355"/>
      <c r="X615" s="1137"/>
      <c r="Y615" s="1126"/>
      <c r="Z615" s="1126"/>
      <c r="AA615" s="1126"/>
      <c r="AB615" s="1126"/>
      <c r="AC615" s="1126"/>
      <c r="AD615" s="1126"/>
      <c r="AE615" s="1126"/>
      <c r="AF615" s="1126"/>
      <c r="AG615" s="1126"/>
    </row>
    <row r="616" spans="1:33">
      <c r="A616" s="1442">
        <v>6212</v>
      </c>
      <c r="B616" s="973"/>
      <c r="C616" s="824"/>
      <c r="D616" s="326"/>
      <c r="E616" s="294"/>
      <c r="F616" s="293"/>
      <c r="G616" s="293"/>
      <c r="H616" s="293"/>
      <c r="I616" s="294"/>
      <c r="J616" s="307"/>
      <c r="K616" s="326"/>
      <c r="L616" s="1237"/>
      <c r="M616" s="326"/>
      <c r="N616" s="294"/>
      <c r="O616" s="354"/>
      <c r="P616" s="294"/>
      <c r="Q616" s="355"/>
      <c r="R616" s="299"/>
      <c r="S616" s="355"/>
      <c r="T616" s="355"/>
      <c r="U616" s="355"/>
      <c r="V616" s="355"/>
      <c r="W616" s="355"/>
      <c r="X616" s="1137"/>
      <c r="Y616" s="1126"/>
      <c r="Z616" s="1126"/>
      <c r="AA616" s="1126"/>
      <c r="AB616" s="1126"/>
      <c r="AC616" s="1126"/>
      <c r="AD616" s="1126"/>
      <c r="AE616" s="1126"/>
      <c r="AF616" s="1126"/>
      <c r="AG616" s="1126"/>
    </row>
    <row r="617" spans="1:33">
      <c r="A617" s="1442">
        <v>6213</v>
      </c>
      <c r="B617" s="973"/>
      <c r="C617" s="824"/>
      <c r="D617" s="326"/>
      <c r="E617" s="294"/>
      <c r="F617" s="293"/>
      <c r="G617" s="293"/>
      <c r="H617" s="293"/>
      <c r="I617" s="294"/>
      <c r="J617" s="307"/>
      <c r="K617" s="326"/>
      <c r="L617" s="1237"/>
      <c r="M617" s="326"/>
      <c r="N617" s="294"/>
      <c r="O617" s="354"/>
      <c r="P617" s="294"/>
      <c r="Q617" s="355"/>
      <c r="R617" s="299"/>
      <c r="S617" s="355"/>
      <c r="T617" s="355"/>
      <c r="U617" s="355"/>
      <c r="V617" s="355"/>
      <c r="W617" s="355"/>
      <c r="X617" s="1137"/>
      <c r="Y617" s="1126"/>
      <c r="Z617" s="1126"/>
      <c r="AA617" s="1126"/>
      <c r="AB617" s="1126"/>
      <c r="AC617" s="1126"/>
      <c r="AD617" s="1126"/>
      <c r="AE617" s="1126"/>
      <c r="AF617" s="1126"/>
      <c r="AG617" s="1126"/>
    </row>
    <row r="618" spans="1:33" ht="16.5" customHeight="1">
      <c r="A618" s="1275">
        <v>622</v>
      </c>
      <c r="B618" s="359"/>
      <c r="C618" s="1021"/>
      <c r="D618" s="1280"/>
      <c r="E618" s="1280"/>
      <c r="F618" s="1280"/>
      <c r="G618" s="1280"/>
      <c r="H618" s="1280"/>
      <c r="I618" s="1280"/>
      <c r="J618" s="283"/>
      <c r="K618" s="1278"/>
      <c r="L618" s="1279"/>
      <c r="M618" s="1280"/>
      <c r="N618" s="1277"/>
      <c r="O618" s="1281"/>
      <c r="P618" s="1277"/>
      <c r="Q618" s="1395">
        <f>SUM(Q619:Q621)</f>
        <v>0</v>
      </c>
      <c r="R618" s="287"/>
      <c r="S618" s="1395">
        <f t="shared" ref="S618:AF618" si="170">SUM(S619:S621)</f>
        <v>0</v>
      </c>
      <c r="T618" s="1395">
        <f t="shared" si="170"/>
        <v>0</v>
      </c>
      <c r="U618" s="1395">
        <f t="shared" si="170"/>
        <v>0</v>
      </c>
      <c r="V618" s="1395">
        <f t="shared" si="170"/>
        <v>0</v>
      </c>
      <c r="W618" s="1395">
        <f t="shared" si="170"/>
        <v>0</v>
      </c>
      <c r="X618" s="1395">
        <f t="shared" si="170"/>
        <v>0</v>
      </c>
      <c r="Y618" s="1395">
        <f t="shared" si="170"/>
        <v>0</v>
      </c>
      <c r="Z618" s="361">
        <f t="shared" si="170"/>
        <v>0</v>
      </c>
      <c r="AA618" s="361">
        <f t="shared" si="170"/>
        <v>0</v>
      </c>
      <c r="AB618" s="361">
        <f t="shared" si="170"/>
        <v>0</v>
      </c>
      <c r="AC618" s="361">
        <f t="shared" si="170"/>
        <v>0</v>
      </c>
      <c r="AD618" s="361">
        <f t="shared" si="170"/>
        <v>0</v>
      </c>
      <c r="AE618" s="361">
        <f t="shared" si="170"/>
        <v>0</v>
      </c>
      <c r="AF618" s="361">
        <f t="shared" si="170"/>
        <v>0</v>
      </c>
      <c r="AG618" s="1134">
        <f>SUM(S618:AF618)</f>
        <v>0</v>
      </c>
    </row>
    <row r="619" spans="1:33">
      <c r="A619" s="1442">
        <v>6221</v>
      </c>
      <c r="B619" s="973"/>
      <c r="C619" s="824"/>
      <c r="D619" s="326"/>
      <c r="E619" s="294"/>
      <c r="F619" s="293"/>
      <c r="G619" s="293"/>
      <c r="H619" s="293"/>
      <c r="I619" s="294"/>
      <c r="J619" s="307"/>
      <c r="K619" s="326"/>
      <c r="L619" s="1237"/>
      <c r="M619" s="326"/>
      <c r="N619" s="294"/>
      <c r="O619" s="354"/>
      <c r="P619" s="294"/>
      <c r="Q619" s="355"/>
      <c r="R619" s="299"/>
      <c r="S619" s="355"/>
      <c r="T619" s="355"/>
      <c r="U619" s="355"/>
      <c r="V619" s="355"/>
      <c r="W619" s="355"/>
      <c r="X619" s="1137"/>
      <c r="Y619" s="1126"/>
      <c r="Z619" s="1126"/>
      <c r="AA619" s="1126"/>
      <c r="AB619" s="1126"/>
      <c r="AC619" s="1126"/>
      <c r="AD619" s="1126"/>
      <c r="AE619" s="1126"/>
      <c r="AF619" s="1126"/>
      <c r="AG619" s="1126"/>
    </row>
    <row r="620" spans="1:33">
      <c r="A620" s="1442">
        <v>6222</v>
      </c>
      <c r="B620" s="973"/>
      <c r="C620" s="824"/>
      <c r="D620" s="326"/>
      <c r="E620" s="294"/>
      <c r="F620" s="293"/>
      <c r="G620" s="293"/>
      <c r="H620" s="293"/>
      <c r="I620" s="294"/>
      <c r="J620" s="307"/>
      <c r="K620" s="326"/>
      <c r="L620" s="1237"/>
      <c r="M620" s="326"/>
      <c r="N620" s="294"/>
      <c r="O620" s="354"/>
      <c r="P620" s="294"/>
      <c r="Q620" s="355"/>
      <c r="R620" s="299"/>
      <c r="S620" s="355"/>
      <c r="T620" s="355"/>
      <c r="U620" s="355"/>
      <c r="V620" s="355"/>
      <c r="W620" s="355"/>
      <c r="X620" s="1137"/>
      <c r="Y620" s="1126"/>
      <c r="Z620" s="1126"/>
      <c r="AA620" s="1126"/>
      <c r="AB620" s="1126"/>
      <c r="AC620" s="1126"/>
      <c r="AD620" s="1126"/>
      <c r="AE620" s="1126"/>
      <c r="AF620" s="1126"/>
      <c r="AG620" s="1126"/>
    </row>
    <row r="621" spans="1:33">
      <c r="A621" s="1398" t="s">
        <v>233</v>
      </c>
      <c r="B621" s="973"/>
      <c r="C621" s="824"/>
      <c r="D621" s="326"/>
      <c r="E621" s="294"/>
      <c r="F621" s="293"/>
      <c r="G621" s="293"/>
      <c r="H621" s="293"/>
      <c r="I621" s="294"/>
      <c r="J621" s="307"/>
      <c r="K621" s="326"/>
      <c r="L621" s="1237"/>
      <c r="M621" s="326"/>
      <c r="N621" s="294"/>
      <c r="O621" s="354"/>
      <c r="P621" s="294"/>
      <c r="Q621" s="355"/>
      <c r="R621" s="299"/>
      <c r="S621" s="355"/>
      <c r="T621" s="355"/>
      <c r="U621" s="355"/>
      <c r="V621" s="355"/>
      <c r="W621" s="355"/>
      <c r="X621" s="1137"/>
      <c r="Y621" s="1126"/>
      <c r="Z621" s="1126"/>
      <c r="AA621" s="1126"/>
      <c r="AB621" s="1126"/>
      <c r="AC621" s="1126"/>
      <c r="AD621" s="1126"/>
      <c r="AE621" s="1126"/>
      <c r="AF621" s="1126"/>
      <c r="AG621" s="1126"/>
    </row>
    <row r="622" spans="1:33" ht="38.25" customHeight="1">
      <c r="A622" s="1248" t="s">
        <v>284</v>
      </c>
      <c r="B622" s="274"/>
      <c r="C622" s="278"/>
      <c r="D622" s="1270"/>
      <c r="E622" s="1270"/>
      <c r="F622" s="1270"/>
      <c r="G622" s="1270"/>
      <c r="H622" s="1270"/>
      <c r="I622" s="1270"/>
      <c r="J622" s="273"/>
      <c r="K622" s="1248"/>
      <c r="L622" s="1269"/>
      <c r="M622" s="1270"/>
      <c r="N622" s="1268"/>
      <c r="O622" s="1271"/>
      <c r="P622" s="1268"/>
      <c r="Q622" s="1272">
        <f>Q623+Q633</f>
        <v>129744.98</v>
      </c>
      <c r="R622" s="1273">
        <f>+'[7]Compil Costing PPA 3 millions'!F20</f>
        <v>129747.66</v>
      </c>
      <c r="S622" s="1272">
        <f t="shared" ref="S622:AF622" si="171">S623+S633</f>
        <v>0</v>
      </c>
      <c r="T622" s="1272">
        <f t="shared" si="171"/>
        <v>10350</v>
      </c>
      <c r="U622" s="1272">
        <f t="shared" si="171"/>
        <v>27783</v>
      </c>
      <c r="V622" s="1272">
        <f t="shared" si="171"/>
        <v>30319.986666666664</v>
      </c>
      <c r="W622" s="1272">
        <f t="shared" si="171"/>
        <v>35925.993333333332</v>
      </c>
      <c r="X622" s="1272">
        <f t="shared" si="171"/>
        <v>25366</v>
      </c>
      <c r="Y622" s="1272">
        <f t="shared" si="171"/>
        <v>0</v>
      </c>
      <c r="Z622" s="276">
        <f t="shared" si="171"/>
        <v>0</v>
      </c>
      <c r="AA622" s="276">
        <f t="shared" si="171"/>
        <v>0</v>
      </c>
      <c r="AB622" s="276">
        <f t="shared" si="171"/>
        <v>0</v>
      </c>
      <c r="AC622" s="276">
        <f t="shared" si="171"/>
        <v>0</v>
      </c>
      <c r="AD622" s="276">
        <f t="shared" si="171"/>
        <v>0</v>
      </c>
      <c r="AE622" s="276">
        <f t="shared" si="171"/>
        <v>0</v>
      </c>
      <c r="AF622" s="276">
        <f t="shared" si="171"/>
        <v>0</v>
      </c>
      <c r="AG622" s="276">
        <f>AG623+AG633</f>
        <v>129744.98</v>
      </c>
    </row>
    <row r="623" spans="1:33" ht="47.25">
      <c r="A623" s="1275">
        <v>631</v>
      </c>
      <c r="B623" s="359" t="s">
        <v>140</v>
      </c>
      <c r="C623" s="1021"/>
      <c r="D623" s="1280"/>
      <c r="E623" s="1280"/>
      <c r="F623" s="1280"/>
      <c r="G623" s="1280"/>
      <c r="H623" s="1280"/>
      <c r="I623" s="1280"/>
      <c r="J623" s="283"/>
      <c r="K623" s="1278"/>
      <c r="L623" s="1279"/>
      <c r="M623" s="1280"/>
      <c r="N623" s="1277"/>
      <c r="O623" s="1281"/>
      <c r="P623" s="1277"/>
      <c r="Q623" s="1395">
        <f>+Q624+Q625+Q630</f>
        <v>39400</v>
      </c>
      <c r="R623" s="287"/>
      <c r="S623" s="1395">
        <f t="shared" ref="S623:AF623" si="172">+S624+S625+S630</f>
        <v>0</v>
      </c>
      <c r="T623" s="1395">
        <f t="shared" si="172"/>
        <v>3600</v>
      </c>
      <c r="U623" s="1395">
        <f t="shared" si="172"/>
        <v>10200</v>
      </c>
      <c r="V623" s="1395">
        <f t="shared" si="172"/>
        <v>10200</v>
      </c>
      <c r="W623" s="1395">
        <f t="shared" si="172"/>
        <v>8200.0000000000018</v>
      </c>
      <c r="X623" s="1395">
        <f t="shared" si="172"/>
        <v>7200</v>
      </c>
      <c r="Y623" s="1395">
        <f t="shared" si="172"/>
        <v>0</v>
      </c>
      <c r="Z623" s="361">
        <f t="shared" si="172"/>
        <v>0</v>
      </c>
      <c r="AA623" s="361">
        <f t="shared" si="172"/>
        <v>0</v>
      </c>
      <c r="AB623" s="361">
        <f t="shared" si="172"/>
        <v>0</v>
      </c>
      <c r="AC623" s="361">
        <f t="shared" si="172"/>
        <v>0</v>
      </c>
      <c r="AD623" s="361">
        <f t="shared" si="172"/>
        <v>0</v>
      </c>
      <c r="AE623" s="361">
        <f t="shared" si="172"/>
        <v>0</v>
      </c>
      <c r="AF623" s="361">
        <f t="shared" si="172"/>
        <v>0</v>
      </c>
      <c r="AG623" s="1134">
        <f>SUM(S623:AF623)</f>
        <v>39400</v>
      </c>
    </row>
    <row r="624" spans="1:33">
      <c r="A624" s="1442">
        <v>6311</v>
      </c>
      <c r="B624" s="973" t="s">
        <v>404</v>
      </c>
      <c r="C624" s="824" t="s">
        <v>405</v>
      </c>
      <c r="D624" s="326"/>
      <c r="E624" s="294"/>
      <c r="F624" s="1012">
        <v>43205</v>
      </c>
      <c r="G624" s="1012">
        <v>43342</v>
      </c>
      <c r="H624" s="1013" t="s">
        <v>406</v>
      </c>
      <c r="I624" s="294" t="s">
        <v>181</v>
      </c>
      <c r="J624" s="307" t="s">
        <v>407</v>
      </c>
      <c r="K624" s="326" t="s">
        <v>408</v>
      </c>
      <c r="L624" s="1237">
        <v>2313</v>
      </c>
      <c r="M624" s="326"/>
      <c r="N624" s="294"/>
      <c r="O624" s="354">
        <v>18000</v>
      </c>
      <c r="P624" s="1014">
        <v>1</v>
      </c>
      <c r="Q624" s="355">
        <f>O624*P624</f>
        <v>18000</v>
      </c>
      <c r="R624" s="299"/>
      <c r="S624" s="299"/>
      <c r="T624" s="299">
        <v>3600</v>
      </c>
      <c r="U624" s="299"/>
      <c r="V624" s="299"/>
      <c r="W624" s="299">
        <v>7200</v>
      </c>
      <c r="X624" s="1142">
        <v>7200</v>
      </c>
      <c r="Y624" s="1127"/>
      <c r="Z624" s="1127"/>
      <c r="AA624" s="1127"/>
      <c r="AB624" s="1127"/>
      <c r="AC624" s="1127"/>
      <c r="AD624" s="1127"/>
      <c r="AE624" s="1127"/>
      <c r="AF624" s="1127"/>
      <c r="AG624" s="1127"/>
    </row>
    <row r="625" spans="1:33" ht="60.6" customHeight="1">
      <c r="A625" s="1442">
        <v>6312</v>
      </c>
      <c r="B625" s="973" t="s">
        <v>409</v>
      </c>
      <c r="C625" s="824" t="s">
        <v>410</v>
      </c>
      <c r="D625" s="326"/>
      <c r="E625" s="294"/>
      <c r="F625" s="293">
        <v>43241</v>
      </c>
      <c r="G625" s="293">
        <v>43273</v>
      </c>
      <c r="H625" s="1015" t="s">
        <v>406</v>
      </c>
      <c r="I625" s="294" t="s">
        <v>181</v>
      </c>
      <c r="J625" s="307" t="s">
        <v>411</v>
      </c>
      <c r="K625" s="326"/>
      <c r="L625" s="1237"/>
      <c r="M625" s="326"/>
      <c r="N625" s="294"/>
      <c r="O625" s="354"/>
      <c r="P625" s="1014"/>
      <c r="Q625" s="996">
        <f>SUM(Q626:Q629)</f>
        <v>20400</v>
      </c>
      <c r="R625" s="299"/>
      <c r="S625" s="299"/>
      <c r="T625" s="299"/>
      <c r="U625" s="299">
        <v>10200</v>
      </c>
      <c r="V625" s="299">
        <v>10200</v>
      </c>
      <c r="W625" s="299"/>
      <c r="X625" s="1142"/>
      <c r="Y625" s="1127"/>
      <c r="Z625" s="1127"/>
      <c r="AA625" s="1127"/>
      <c r="AB625" s="1127"/>
      <c r="AC625" s="1127"/>
      <c r="AD625" s="1127"/>
      <c r="AE625" s="1127"/>
      <c r="AF625" s="1127"/>
      <c r="AG625" s="1127"/>
    </row>
    <row r="626" spans="1:33" ht="17.45" customHeight="1">
      <c r="A626" s="1442"/>
      <c r="B626" s="330"/>
      <c r="C626" s="824"/>
      <c r="D626" s="326"/>
      <c r="E626" s="294"/>
      <c r="F626" s="293"/>
      <c r="G626" s="293"/>
      <c r="H626" s="293"/>
      <c r="I626" s="294"/>
      <c r="J626" s="307"/>
      <c r="K626" s="326" t="s">
        <v>412</v>
      </c>
      <c r="L626" s="1237">
        <v>23174</v>
      </c>
      <c r="M626" s="326"/>
      <c r="N626" s="294"/>
      <c r="O626" s="354">
        <v>2100</v>
      </c>
      <c r="P626" s="1014">
        <v>4</v>
      </c>
      <c r="Q626" s="355">
        <f>O626*P626</f>
        <v>8400</v>
      </c>
      <c r="R626" s="299"/>
      <c r="S626" s="299"/>
      <c r="T626" s="299"/>
      <c r="U626" s="299"/>
      <c r="V626" s="299"/>
      <c r="W626" s="299"/>
      <c r="X626" s="1142"/>
      <c r="Y626" s="1127"/>
      <c r="Z626" s="1127"/>
      <c r="AA626" s="1127"/>
      <c r="AB626" s="1127"/>
      <c r="AC626" s="1127"/>
      <c r="AD626" s="1127"/>
      <c r="AE626" s="1127"/>
      <c r="AF626" s="1127"/>
      <c r="AG626" s="1127"/>
    </row>
    <row r="627" spans="1:33">
      <c r="A627" s="1442"/>
      <c r="B627" s="330"/>
      <c r="C627" s="824"/>
      <c r="D627" s="326"/>
      <c r="E627" s="294"/>
      <c r="F627" s="293"/>
      <c r="G627" s="293"/>
      <c r="H627" s="293"/>
      <c r="I627" s="294"/>
      <c r="J627" s="307"/>
      <c r="K627" s="326" t="s">
        <v>413</v>
      </c>
      <c r="L627" s="1237">
        <v>23174</v>
      </c>
      <c r="M627" s="326"/>
      <c r="N627" s="294"/>
      <c r="O627" s="354">
        <v>2000</v>
      </c>
      <c r="P627" s="1014">
        <v>4</v>
      </c>
      <c r="Q627" s="355">
        <f>O627*P627</f>
        <v>8000</v>
      </c>
      <c r="R627" s="299"/>
      <c r="S627" s="299"/>
      <c r="T627" s="299"/>
      <c r="U627" s="299"/>
      <c r="V627" s="299"/>
      <c r="W627" s="299"/>
      <c r="X627" s="1142"/>
      <c r="Y627" s="1127"/>
      <c r="Z627" s="1127"/>
      <c r="AA627" s="1127"/>
      <c r="AB627" s="1127"/>
      <c r="AC627" s="1127"/>
      <c r="AD627" s="1127"/>
      <c r="AE627" s="1127"/>
      <c r="AF627" s="1127"/>
      <c r="AG627" s="1127"/>
    </row>
    <row r="628" spans="1:33">
      <c r="A628" s="1442"/>
      <c r="B628" s="330"/>
      <c r="C628" s="824"/>
      <c r="D628" s="326"/>
      <c r="E628" s="294"/>
      <c r="F628" s="293"/>
      <c r="G628" s="293"/>
      <c r="H628" s="293"/>
      <c r="I628" s="294"/>
      <c r="J628" s="307"/>
      <c r="K628" s="326" t="s">
        <v>414</v>
      </c>
      <c r="L628" s="1237">
        <v>23174</v>
      </c>
      <c r="M628" s="326"/>
      <c r="N628" s="294"/>
      <c r="O628" s="354">
        <v>833.25</v>
      </c>
      <c r="P628" s="1014">
        <v>4</v>
      </c>
      <c r="Q628" s="355">
        <f>O628*P628</f>
        <v>3333</v>
      </c>
      <c r="R628" s="299"/>
      <c r="S628" s="299"/>
      <c r="T628" s="299"/>
      <c r="U628" s="299"/>
      <c r="V628" s="299"/>
      <c r="W628" s="299"/>
      <c r="X628" s="1142"/>
      <c r="Y628" s="1127"/>
      <c r="Z628" s="1127"/>
      <c r="AA628" s="1127"/>
      <c r="AB628" s="1127"/>
      <c r="AC628" s="1127"/>
      <c r="AD628" s="1127"/>
      <c r="AE628" s="1127"/>
      <c r="AF628" s="1127"/>
      <c r="AG628" s="1127"/>
    </row>
    <row r="629" spans="1:33">
      <c r="A629" s="1442"/>
      <c r="B629" s="330"/>
      <c r="C629" s="824"/>
      <c r="D629" s="326"/>
      <c r="E629" s="294"/>
      <c r="F629" s="293"/>
      <c r="G629" s="293"/>
      <c r="H629" s="293"/>
      <c r="I629" s="294"/>
      <c r="J629" s="307"/>
      <c r="K629" s="326" t="s">
        <v>415</v>
      </c>
      <c r="L629" s="1237">
        <v>23173</v>
      </c>
      <c r="M629" s="326"/>
      <c r="N629" s="294"/>
      <c r="O629" s="354">
        <v>166.75</v>
      </c>
      <c r="P629" s="1014">
        <v>4</v>
      </c>
      <c r="Q629" s="355">
        <f>O629*P629</f>
        <v>667</v>
      </c>
      <c r="R629" s="299"/>
      <c r="S629" s="299"/>
      <c r="T629" s="299"/>
      <c r="U629" s="299"/>
      <c r="V629" s="299"/>
      <c r="W629" s="299"/>
      <c r="X629" s="1142"/>
      <c r="Y629" s="1127"/>
      <c r="Z629" s="1127"/>
      <c r="AA629" s="1127"/>
      <c r="AB629" s="1127"/>
      <c r="AC629" s="1127"/>
      <c r="AD629" s="1127"/>
      <c r="AE629" s="1127"/>
      <c r="AF629" s="1127"/>
      <c r="AG629" s="1127"/>
    </row>
    <row r="630" spans="1:33" ht="46.15" customHeight="1">
      <c r="A630" s="1442">
        <v>6313</v>
      </c>
      <c r="B630" s="973" t="s">
        <v>416</v>
      </c>
      <c r="C630" s="824" t="s">
        <v>417</v>
      </c>
      <c r="D630" s="326"/>
      <c r="E630" s="294"/>
      <c r="F630" s="293">
        <v>43294</v>
      </c>
      <c r="G630" s="293">
        <v>43294</v>
      </c>
      <c r="H630" s="1015" t="s">
        <v>406</v>
      </c>
      <c r="I630" s="294" t="s">
        <v>181</v>
      </c>
      <c r="J630" s="307" t="s">
        <v>411</v>
      </c>
      <c r="K630" s="326"/>
      <c r="L630" s="1237"/>
      <c r="M630" s="326"/>
      <c r="N630" s="294"/>
      <c r="O630" s="354"/>
      <c r="P630" s="1014"/>
      <c r="Q630" s="996">
        <f>Q631+Q632</f>
        <v>1000.0000000000014</v>
      </c>
      <c r="R630" s="299"/>
      <c r="S630" s="299"/>
      <c r="T630" s="299"/>
      <c r="U630" s="299"/>
      <c r="V630" s="299"/>
      <c r="W630" s="299">
        <v>1000.0000000000014</v>
      </c>
      <c r="X630" s="1142"/>
      <c r="Y630" s="1127"/>
      <c r="Z630" s="1127"/>
      <c r="AA630" s="1127"/>
      <c r="AB630" s="1127"/>
      <c r="AC630" s="1127"/>
      <c r="AD630" s="1127"/>
      <c r="AE630" s="1127"/>
      <c r="AF630" s="1127"/>
      <c r="AG630" s="1127"/>
    </row>
    <row r="631" spans="1:33">
      <c r="A631" s="1442"/>
      <c r="B631" s="330"/>
      <c r="C631" s="824"/>
      <c r="D631" s="326"/>
      <c r="E631" s="294"/>
      <c r="F631" s="293"/>
      <c r="G631" s="293"/>
      <c r="H631" s="293"/>
      <c r="I631" s="294"/>
      <c r="J631" s="307"/>
      <c r="K631" s="326" t="s">
        <v>418</v>
      </c>
      <c r="L631" s="1237">
        <v>23173</v>
      </c>
      <c r="M631" s="326"/>
      <c r="N631" s="294"/>
      <c r="O631" s="354">
        <v>666.66666666666799</v>
      </c>
      <c r="P631" s="1014">
        <v>1</v>
      </c>
      <c r="Q631" s="355">
        <f>O631*P631</f>
        <v>666.66666666666799</v>
      </c>
      <c r="R631" s="299"/>
      <c r="S631" s="299"/>
      <c r="T631" s="299"/>
      <c r="U631" s="299"/>
      <c r="V631" s="299"/>
      <c r="W631" s="299"/>
      <c r="X631" s="1142"/>
      <c r="Y631" s="1127"/>
      <c r="Z631" s="1127"/>
      <c r="AA631" s="1127"/>
      <c r="AB631" s="1127"/>
      <c r="AC631" s="1127"/>
      <c r="AD631" s="1127"/>
      <c r="AE631" s="1127"/>
      <c r="AF631" s="1127"/>
      <c r="AG631" s="1127"/>
    </row>
    <row r="632" spans="1:33">
      <c r="A632" s="1442"/>
      <c r="B632" s="330"/>
      <c r="C632" s="824"/>
      <c r="D632" s="326"/>
      <c r="E632" s="294"/>
      <c r="F632" s="293"/>
      <c r="G632" s="293"/>
      <c r="H632" s="293"/>
      <c r="I632" s="294"/>
      <c r="J632" s="307"/>
      <c r="K632" s="326" t="s">
        <v>415</v>
      </c>
      <c r="L632" s="1237">
        <v>23173</v>
      </c>
      <c r="M632" s="326"/>
      <c r="N632" s="294"/>
      <c r="O632" s="354">
        <v>333.33333333333331</v>
      </c>
      <c r="P632" s="1014">
        <v>1</v>
      </c>
      <c r="Q632" s="355">
        <f>O632*P632</f>
        <v>333.33333333333331</v>
      </c>
      <c r="R632" s="299"/>
      <c r="S632" s="299"/>
      <c r="T632" s="299"/>
      <c r="U632" s="299"/>
      <c r="V632" s="299"/>
      <c r="W632" s="299"/>
      <c r="X632" s="1142"/>
      <c r="Y632" s="1127"/>
      <c r="Z632" s="1127"/>
      <c r="AA632" s="1127"/>
      <c r="AB632" s="1127"/>
      <c r="AC632" s="1127"/>
      <c r="AD632" s="1127"/>
      <c r="AE632" s="1127"/>
      <c r="AF632" s="1127"/>
      <c r="AG632" s="1127"/>
    </row>
    <row r="633" spans="1:33" ht="16.5" customHeight="1">
      <c r="A633" s="1275">
        <v>632</v>
      </c>
      <c r="B633" s="359" t="s">
        <v>141</v>
      </c>
      <c r="C633" s="1021"/>
      <c r="D633" s="1280"/>
      <c r="E633" s="1280"/>
      <c r="F633" s="1280"/>
      <c r="G633" s="1280"/>
      <c r="H633" s="1280"/>
      <c r="I633" s="1280"/>
      <c r="J633" s="283"/>
      <c r="K633" s="1278"/>
      <c r="L633" s="1279"/>
      <c r="M633" s="1280"/>
      <c r="N633" s="1277"/>
      <c r="O633" s="1281"/>
      <c r="P633" s="1452"/>
      <c r="Q633" s="1395">
        <f>+Q634+Q635+Q641+Q645</f>
        <v>90344.98</v>
      </c>
      <c r="R633" s="287"/>
      <c r="S633" s="1395">
        <f t="shared" ref="S633:AF633" si="173">+S634+S635+S641+S645</f>
        <v>0</v>
      </c>
      <c r="T633" s="1395">
        <f t="shared" si="173"/>
        <v>6750</v>
      </c>
      <c r="U633" s="1395">
        <f t="shared" si="173"/>
        <v>17583</v>
      </c>
      <c r="V633" s="1395">
        <f t="shared" si="173"/>
        <v>20119.986666666664</v>
      </c>
      <c r="W633" s="1395">
        <f t="shared" si="173"/>
        <v>27725.993333333332</v>
      </c>
      <c r="X633" s="1395">
        <f t="shared" si="173"/>
        <v>18166</v>
      </c>
      <c r="Y633" s="1395">
        <f t="shared" si="173"/>
        <v>0</v>
      </c>
      <c r="Z633" s="361">
        <f t="shared" si="173"/>
        <v>0</v>
      </c>
      <c r="AA633" s="361">
        <f t="shared" si="173"/>
        <v>0</v>
      </c>
      <c r="AB633" s="361">
        <f t="shared" si="173"/>
        <v>0</v>
      </c>
      <c r="AC633" s="361">
        <f t="shared" si="173"/>
        <v>0</v>
      </c>
      <c r="AD633" s="361">
        <f t="shared" si="173"/>
        <v>0</v>
      </c>
      <c r="AE633" s="361">
        <f t="shared" si="173"/>
        <v>0</v>
      </c>
      <c r="AF633" s="361">
        <f t="shared" si="173"/>
        <v>0</v>
      </c>
      <c r="AG633" s="1134">
        <f>SUM(S633:AF633)</f>
        <v>90344.98</v>
      </c>
    </row>
    <row r="634" spans="1:33" ht="62.45" customHeight="1">
      <c r="A634" s="1442">
        <v>6321</v>
      </c>
      <c r="B634" s="973" t="s">
        <v>419</v>
      </c>
      <c r="C634" s="824" t="s">
        <v>420</v>
      </c>
      <c r="D634" s="326"/>
      <c r="E634" s="294"/>
      <c r="F634" s="1016">
        <v>43205</v>
      </c>
      <c r="G634" s="1016">
        <v>43311</v>
      </c>
      <c r="H634" s="1015" t="s">
        <v>421</v>
      </c>
      <c r="I634" s="294" t="s">
        <v>181</v>
      </c>
      <c r="J634" s="307" t="s">
        <v>407</v>
      </c>
      <c r="K634" s="326" t="s">
        <v>408</v>
      </c>
      <c r="L634" s="1237">
        <v>2313</v>
      </c>
      <c r="M634" s="326"/>
      <c r="N634" s="294"/>
      <c r="O634" s="354">
        <v>33750</v>
      </c>
      <c r="P634" s="1014">
        <v>1</v>
      </c>
      <c r="Q634" s="355">
        <f>O634*P634</f>
        <v>33750</v>
      </c>
      <c r="R634" s="299"/>
      <c r="S634" s="299"/>
      <c r="T634" s="299">
        <v>6750</v>
      </c>
      <c r="U634" s="299"/>
      <c r="V634" s="299"/>
      <c r="W634" s="299">
        <v>13500</v>
      </c>
      <c r="X634" s="1142">
        <v>13500</v>
      </c>
      <c r="Y634" s="1127"/>
      <c r="Z634" s="1127"/>
      <c r="AA634" s="1127"/>
      <c r="AB634" s="1127"/>
      <c r="AC634" s="1127"/>
      <c r="AD634" s="1127"/>
      <c r="AE634" s="1127"/>
      <c r="AF634" s="1127"/>
      <c r="AG634" s="1127"/>
    </row>
    <row r="635" spans="1:33" ht="62.45" customHeight="1">
      <c r="A635" s="1442">
        <v>6322</v>
      </c>
      <c r="B635" s="973" t="s">
        <v>422</v>
      </c>
      <c r="C635" s="824"/>
      <c r="D635" s="326"/>
      <c r="E635" s="294"/>
      <c r="F635" s="1017">
        <v>43227</v>
      </c>
      <c r="G635" s="1017">
        <v>43238</v>
      </c>
      <c r="H635" s="1015" t="s">
        <v>421</v>
      </c>
      <c r="I635" s="294" t="s">
        <v>181</v>
      </c>
      <c r="J635" s="307" t="s">
        <v>423</v>
      </c>
      <c r="K635" s="326"/>
      <c r="L635" s="1237"/>
      <c r="M635" s="326"/>
      <c r="N635" s="294"/>
      <c r="O635" s="354"/>
      <c r="P635" s="1014"/>
      <c r="Q635" s="996">
        <f>Q636+Q637+Q638+Q639+Q640</f>
        <v>17583</v>
      </c>
      <c r="R635" s="299"/>
      <c r="S635" s="355"/>
      <c r="T635" s="355"/>
      <c r="U635" s="299">
        <v>17583</v>
      </c>
      <c r="V635" s="355"/>
      <c r="W635" s="355"/>
      <c r="X635" s="1137"/>
      <c r="Y635" s="1126"/>
      <c r="Z635" s="1126"/>
      <c r="AA635" s="1126"/>
      <c r="AB635" s="1126"/>
      <c r="AC635" s="1126"/>
      <c r="AD635" s="1126"/>
      <c r="AE635" s="1126"/>
      <c r="AF635" s="1126"/>
      <c r="AG635" s="1126"/>
    </row>
    <row r="636" spans="1:33">
      <c r="A636" s="1442"/>
      <c r="B636" s="330"/>
      <c r="C636" s="824"/>
      <c r="D636" s="326"/>
      <c r="E636" s="294"/>
      <c r="F636" s="293"/>
      <c r="G636" s="293"/>
      <c r="H636" s="293"/>
      <c r="I636" s="294"/>
      <c r="J636" s="307"/>
      <c r="K636" s="326" t="s">
        <v>424</v>
      </c>
      <c r="L636" s="1237">
        <v>23174</v>
      </c>
      <c r="M636" s="326"/>
      <c r="N636" s="294"/>
      <c r="O636" s="354">
        <v>3360</v>
      </c>
      <c r="P636" s="1014">
        <v>2</v>
      </c>
      <c r="Q636" s="355">
        <f>O636*P636</f>
        <v>6720</v>
      </c>
      <c r="R636" s="299"/>
      <c r="S636" s="355"/>
      <c r="T636" s="355"/>
      <c r="U636" s="355"/>
      <c r="V636" s="355"/>
      <c r="W636" s="355"/>
      <c r="X636" s="1137"/>
      <c r="Y636" s="1126"/>
      <c r="Z636" s="1126"/>
      <c r="AA636" s="1126"/>
      <c r="AB636" s="1126"/>
      <c r="AC636" s="1126"/>
      <c r="AD636" s="1126"/>
      <c r="AE636" s="1126"/>
      <c r="AF636" s="1126"/>
      <c r="AG636" s="1126"/>
    </row>
    <row r="637" spans="1:33">
      <c r="A637" s="1442"/>
      <c r="B637" s="330"/>
      <c r="C637" s="824"/>
      <c r="D637" s="326"/>
      <c r="E637" s="294"/>
      <c r="F637" s="293"/>
      <c r="G637" s="293"/>
      <c r="H637" s="293"/>
      <c r="I637" s="294"/>
      <c r="J637" s="307"/>
      <c r="K637" s="326" t="s">
        <v>425</v>
      </c>
      <c r="L637" s="1237">
        <v>23174</v>
      </c>
      <c r="M637" s="326"/>
      <c r="N637" s="294"/>
      <c r="O637" s="354">
        <v>3200</v>
      </c>
      <c r="P637" s="1014">
        <v>2</v>
      </c>
      <c r="Q637" s="355">
        <f>O637*P637</f>
        <v>6400</v>
      </c>
      <c r="R637" s="299"/>
      <c r="S637" s="355"/>
      <c r="T637" s="355"/>
      <c r="U637" s="355"/>
      <c r="V637" s="355"/>
      <c r="W637" s="355"/>
      <c r="X637" s="1137"/>
      <c r="Y637" s="1126"/>
      <c r="Z637" s="1126"/>
      <c r="AA637" s="1126"/>
      <c r="AB637" s="1126"/>
      <c r="AC637" s="1126"/>
      <c r="AD637" s="1126"/>
      <c r="AE637" s="1126"/>
      <c r="AF637" s="1126"/>
      <c r="AG637" s="1126"/>
    </row>
    <row r="638" spans="1:33">
      <c r="A638" s="1442"/>
      <c r="B638" s="330"/>
      <c r="C638" s="824"/>
      <c r="D638" s="326"/>
      <c r="E638" s="294"/>
      <c r="F638" s="293"/>
      <c r="G638" s="293"/>
      <c r="H638" s="293"/>
      <c r="I638" s="294"/>
      <c r="J638" s="307"/>
      <c r="K638" s="326" t="s">
        <v>426</v>
      </c>
      <c r="L638" s="1237">
        <v>23174</v>
      </c>
      <c r="M638" s="326"/>
      <c r="N638" s="294"/>
      <c r="O638" s="354">
        <v>1333.3333333333333</v>
      </c>
      <c r="P638" s="1014">
        <v>2</v>
      </c>
      <c r="Q638" s="355">
        <f>O638*P638</f>
        <v>2666.6666666666665</v>
      </c>
      <c r="R638" s="299"/>
      <c r="S638" s="355"/>
      <c r="T638" s="355"/>
      <c r="U638" s="355"/>
      <c r="V638" s="355"/>
      <c r="W638" s="355"/>
      <c r="X638" s="1137"/>
      <c r="Y638" s="1126"/>
      <c r="Z638" s="1126"/>
      <c r="AA638" s="1126"/>
      <c r="AB638" s="1126"/>
      <c r="AC638" s="1126"/>
      <c r="AD638" s="1126"/>
      <c r="AE638" s="1126"/>
      <c r="AF638" s="1126"/>
      <c r="AG638" s="1126"/>
    </row>
    <row r="639" spans="1:33">
      <c r="A639" s="1442"/>
      <c r="B639" s="330"/>
      <c r="C639" s="824"/>
      <c r="D639" s="326"/>
      <c r="E639" s="294"/>
      <c r="F639" s="293"/>
      <c r="G639" s="293"/>
      <c r="H639" s="293"/>
      <c r="I639" s="294"/>
      <c r="J639" s="307"/>
      <c r="K639" s="326" t="s">
        <v>415</v>
      </c>
      <c r="L639" s="1237">
        <v>23173</v>
      </c>
      <c r="M639" s="326"/>
      <c r="N639" s="294"/>
      <c r="O639" s="354">
        <v>166.66666666666666</v>
      </c>
      <c r="P639" s="1014">
        <v>2</v>
      </c>
      <c r="Q639" s="355">
        <f>O639*P639</f>
        <v>333.33333333333331</v>
      </c>
      <c r="R639" s="299"/>
      <c r="S639" s="355"/>
      <c r="T639" s="355"/>
      <c r="U639" s="355"/>
      <c r="V639" s="355"/>
      <c r="W639" s="355"/>
      <c r="X639" s="1137"/>
      <c r="Y639" s="1126"/>
      <c r="Z639" s="1126"/>
      <c r="AA639" s="1126"/>
      <c r="AB639" s="1126"/>
      <c r="AC639" s="1126"/>
      <c r="AD639" s="1126"/>
      <c r="AE639" s="1126"/>
      <c r="AF639" s="1126"/>
      <c r="AG639" s="1126"/>
    </row>
    <row r="640" spans="1:33" ht="28.15" customHeight="1">
      <c r="A640" s="1442"/>
      <c r="B640" s="330"/>
      <c r="C640" s="824"/>
      <c r="D640" s="326"/>
      <c r="E640" s="294"/>
      <c r="F640" s="293"/>
      <c r="G640" s="293"/>
      <c r="H640" s="293"/>
      <c r="I640" s="294"/>
      <c r="J640" s="307"/>
      <c r="K640" s="326" t="s">
        <v>427</v>
      </c>
      <c r="L640" s="1237">
        <v>23173</v>
      </c>
      <c r="M640" s="326"/>
      <c r="N640" s="294"/>
      <c r="O640" s="354">
        <v>1463</v>
      </c>
      <c r="P640" s="1014">
        <v>1</v>
      </c>
      <c r="Q640" s="355">
        <f>O640*P640</f>
        <v>1463</v>
      </c>
      <c r="R640" s="299"/>
      <c r="S640" s="355"/>
      <c r="T640" s="355"/>
      <c r="U640" s="355"/>
      <c r="V640" s="355"/>
      <c r="W640" s="355"/>
      <c r="X640" s="1137"/>
      <c r="Y640" s="1126"/>
      <c r="Z640" s="1126"/>
      <c r="AA640" s="1126"/>
      <c r="AB640" s="1126"/>
      <c r="AC640" s="1126"/>
      <c r="AD640" s="1126"/>
      <c r="AE640" s="1126"/>
      <c r="AF640" s="1126"/>
      <c r="AG640" s="1126"/>
    </row>
    <row r="641" spans="1:33" ht="141.75">
      <c r="A641" s="1398">
        <v>6323</v>
      </c>
      <c r="B641" s="973" t="s">
        <v>428</v>
      </c>
      <c r="C641" s="824" t="s">
        <v>429</v>
      </c>
      <c r="D641" s="326"/>
      <c r="E641" s="294"/>
      <c r="F641" s="1017">
        <v>43264</v>
      </c>
      <c r="G641" s="1017">
        <v>43264</v>
      </c>
      <c r="H641" s="1015" t="s">
        <v>421</v>
      </c>
      <c r="I641" s="294" t="s">
        <v>181</v>
      </c>
      <c r="J641" s="307" t="s">
        <v>423</v>
      </c>
      <c r="K641" s="326"/>
      <c r="L641" s="1237"/>
      <c r="M641" s="326"/>
      <c r="N641" s="294"/>
      <c r="O641" s="354"/>
      <c r="P641" s="1014"/>
      <c r="Q641" s="996">
        <f>Q642+Q643+Q644</f>
        <v>5666</v>
      </c>
      <c r="R641" s="299"/>
      <c r="S641" s="355"/>
      <c r="T641" s="355"/>
      <c r="U641" s="355"/>
      <c r="V641" s="299">
        <v>1000</v>
      </c>
      <c r="W641" s="299">
        <v>4666</v>
      </c>
      <c r="X641" s="1137"/>
      <c r="Y641" s="1126"/>
      <c r="Z641" s="1126"/>
      <c r="AA641" s="1126"/>
      <c r="AB641" s="1126"/>
      <c r="AC641" s="1126"/>
      <c r="AD641" s="1126"/>
      <c r="AE641" s="1126"/>
      <c r="AF641" s="1126"/>
      <c r="AG641" s="1126"/>
    </row>
    <row r="642" spans="1:33">
      <c r="A642" s="1398"/>
      <c r="B642" s="330"/>
      <c r="C642" s="824"/>
      <c r="D642" s="326"/>
      <c r="E642" s="294"/>
      <c r="F642" s="293"/>
      <c r="G642" s="293"/>
      <c r="H642" s="293"/>
      <c r="I642" s="294"/>
      <c r="J642" s="307"/>
      <c r="K642" s="326" t="s">
        <v>418</v>
      </c>
      <c r="L642" s="1237">
        <v>23173</v>
      </c>
      <c r="M642" s="326"/>
      <c r="N642" s="294"/>
      <c r="O642" s="354">
        <v>666.66666666666663</v>
      </c>
      <c r="P642" s="1014">
        <v>1</v>
      </c>
      <c r="Q642" s="355">
        <f>O642*P642</f>
        <v>666.66666666666663</v>
      </c>
      <c r="R642" s="299"/>
      <c r="S642" s="355"/>
      <c r="T642" s="355"/>
      <c r="U642" s="355"/>
      <c r="V642" s="355"/>
      <c r="W642" s="355"/>
      <c r="X642" s="1137"/>
      <c r="Y642" s="1126"/>
      <c r="Z642" s="1126"/>
      <c r="AA642" s="1126"/>
      <c r="AB642" s="1126"/>
      <c r="AC642" s="1126"/>
      <c r="AD642" s="1126"/>
      <c r="AE642" s="1126"/>
      <c r="AF642" s="1126"/>
      <c r="AG642" s="1126"/>
    </row>
    <row r="643" spans="1:33">
      <c r="A643" s="1398"/>
      <c r="B643" s="330"/>
      <c r="C643" s="824"/>
      <c r="D643" s="326"/>
      <c r="E643" s="294"/>
      <c r="F643" s="293"/>
      <c r="G643" s="293"/>
      <c r="H643" s="293"/>
      <c r="I643" s="294"/>
      <c r="J643" s="307"/>
      <c r="K643" s="326" t="s">
        <v>415</v>
      </c>
      <c r="L643" s="1237">
        <v>23173</v>
      </c>
      <c r="M643" s="326"/>
      <c r="N643" s="294"/>
      <c r="O643" s="354">
        <v>333.33333333333331</v>
      </c>
      <c r="P643" s="1014">
        <v>1</v>
      </c>
      <c r="Q643" s="355">
        <f>O643*P643</f>
        <v>333.33333333333331</v>
      </c>
      <c r="R643" s="299"/>
      <c r="S643" s="355"/>
      <c r="T643" s="355"/>
      <c r="U643" s="355"/>
      <c r="V643" s="355"/>
      <c r="W643" s="355"/>
      <c r="X643" s="1137"/>
      <c r="Y643" s="1126"/>
      <c r="Z643" s="1126"/>
      <c r="AA643" s="1126"/>
      <c r="AB643" s="1126"/>
      <c r="AC643" s="1126"/>
      <c r="AD643" s="1126"/>
      <c r="AE643" s="1126"/>
      <c r="AF643" s="1126"/>
      <c r="AG643" s="1126"/>
    </row>
    <row r="644" spans="1:33" ht="16.149999999999999" customHeight="1">
      <c r="A644" s="1398"/>
      <c r="B644" s="330"/>
      <c r="C644" s="824"/>
      <c r="D644" s="326"/>
      <c r="E644" s="294"/>
      <c r="F644" s="293"/>
      <c r="G644" s="293"/>
      <c r="H644" s="293"/>
      <c r="I644" s="294"/>
      <c r="J644" s="307"/>
      <c r="K644" s="326" t="s">
        <v>430</v>
      </c>
      <c r="L644" s="1237">
        <v>23173</v>
      </c>
      <c r="M644" s="326"/>
      <c r="N644" s="294"/>
      <c r="O644" s="354">
        <v>23.33</v>
      </c>
      <c r="P644" s="1014">
        <v>200</v>
      </c>
      <c r="Q644" s="355">
        <f>O644*P644</f>
        <v>4666</v>
      </c>
      <c r="R644" s="299"/>
      <c r="S644" s="355"/>
      <c r="T644" s="355"/>
      <c r="U644" s="355"/>
      <c r="V644" s="355"/>
      <c r="W644" s="355"/>
      <c r="X644" s="1137"/>
      <c r="Y644" s="1126"/>
      <c r="Z644" s="1126"/>
      <c r="AA644" s="1126"/>
      <c r="AB644" s="1126"/>
      <c r="AC644" s="1126"/>
      <c r="AD644" s="1126"/>
      <c r="AE644" s="1126"/>
      <c r="AF644" s="1126"/>
      <c r="AG644" s="1126"/>
    </row>
    <row r="645" spans="1:33" ht="141.75">
      <c r="A645" s="294">
        <v>6324</v>
      </c>
      <c r="B645" s="973" t="s">
        <v>431</v>
      </c>
      <c r="C645" s="824" t="s">
        <v>432</v>
      </c>
      <c r="D645" s="326"/>
      <c r="E645" s="294"/>
      <c r="F645" s="1017">
        <v>43255</v>
      </c>
      <c r="G645" s="1017">
        <v>43287</v>
      </c>
      <c r="H645" s="1015" t="s">
        <v>421</v>
      </c>
      <c r="I645" s="294" t="s">
        <v>181</v>
      </c>
      <c r="J645" s="307" t="s">
        <v>423</v>
      </c>
      <c r="K645" s="326"/>
      <c r="L645" s="1237"/>
      <c r="M645" s="326"/>
      <c r="N645" s="294"/>
      <c r="O645" s="354"/>
      <c r="P645" s="1014"/>
      <c r="Q645" s="996">
        <f>Q646+Q647+Q648+Q649+Q650</f>
        <v>33345.979999999996</v>
      </c>
      <c r="R645" s="299"/>
      <c r="S645" s="355"/>
      <c r="T645" s="355"/>
      <c r="U645" s="299"/>
      <c r="V645" s="299">
        <v>19119.986666666664</v>
      </c>
      <c r="W645" s="299">
        <v>9559.993333333332</v>
      </c>
      <c r="X645" s="1142">
        <v>4666</v>
      </c>
      <c r="Y645" s="1126"/>
      <c r="Z645" s="1126"/>
      <c r="AA645" s="1126"/>
      <c r="AB645" s="1126"/>
      <c r="AC645" s="1126"/>
      <c r="AD645" s="1126"/>
      <c r="AE645" s="1126"/>
      <c r="AF645" s="1126"/>
      <c r="AG645" s="1126"/>
    </row>
    <row r="646" spans="1:33">
      <c r="A646" s="1398"/>
      <c r="B646" s="330"/>
      <c r="C646" s="824"/>
      <c r="D646" s="326"/>
      <c r="E646" s="294"/>
      <c r="F646" s="293"/>
      <c r="G646" s="293"/>
      <c r="H646" s="293"/>
      <c r="I646" s="294"/>
      <c r="J646" s="307"/>
      <c r="K646" s="326" t="s">
        <v>433</v>
      </c>
      <c r="L646" s="1237">
        <v>23174</v>
      </c>
      <c r="M646" s="326"/>
      <c r="N646" s="294"/>
      <c r="O646" s="354">
        <v>3360</v>
      </c>
      <c r="P646" s="1014">
        <v>3</v>
      </c>
      <c r="Q646" s="355">
        <f>O646*P646</f>
        <v>10080</v>
      </c>
      <c r="R646" s="299"/>
      <c r="S646" s="355"/>
      <c r="T646" s="355"/>
      <c r="U646" s="355"/>
      <c r="V646" s="355"/>
      <c r="W646" s="355"/>
      <c r="X646" s="1137"/>
      <c r="Y646" s="1126"/>
      <c r="Z646" s="1126"/>
      <c r="AA646" s="1126"/>
      <c r="AB646" s="1126"/>
      <c r="AC646" s="1126"/>
      <c r="AD646" s="1126"/>
      <c r="AE646" s="1126"/>
      <c r="AF646" s="1126"/>
      <c r="AG646" s="1126"/>
    </row>
    <row r="647" spans="1:33">
      <c r="A647" s="1398"/>
      <c r="B647" s="330"/>
      <c r="C647" s="824"/>
      <c r="D647" s="326"/>
      <c r="E647" s="294"/>
      <c r="F647" s="293"/>
      <c r="G647" s="293"/>
      <c r="H647" s="293"/>
      <c r="I647" s="294"/>
      <c r="J647" s="307"/>
      <c r="K647" s="326" t="s">
        <v>434</v>
      </c>
      <c r="L647" s="1237">
        <v>23174</v>
      </c>
      <c r="M647" s="326"/>
      <c r="N647" s="294"/>
      <c r="O647" s="354">
        <v>3200</v>
      </c>
      <c r="P647" s="1014">
        <v>3</v>
      </c>
      <c r="Q647" s="355">
        <f>O647*P647</f>
        <v>9600</v>
      </c>
      <c r="R647" s="299"/>
      <c r="S647" s="355"/>
      <c r="T647" s="355"/>
      <c r="U647" s="355"/>
      <c r="V647" s="355"/>
      <c r="W647" s="355"/>
      <c r="X647" s="1137"/>
      <c r="Y647" s="1126"/>
      <c r="Z647" s="1126"/>
      <c r="AA647" s="1126"/>
      <c r="AB647" s="1126"/>
      <c r="AC647" s="1126"/>
      <c r="AD647" s="1126"/>
      <c r="AE647" s="1126"/>
      <c r="AF647" s="1126"/>
      <c r="AG647" s="1126"/>
    </row>
    <row r="648" spans="1:33">
      <c r="A648" s="1398"/>
      <c r="B648" s="330"/>
      <c r="C648" s="824"/>
      <c r="D648" s="326"/>
      <c r="E648" s="294"/>
      <c r="F648" s="293"/>
      <c r="G648" s="293"/>
      <c r="H648" s="293"/>
      <c r="I648" s="294"/>
      <c r="J648" s="307"/>
      <c r="K648" s="326" t="s">
        <v>435</v>
      </c>
      <c r="L648" s="1237">
        <v>23174</v>
      </c>
      <c r="M648" s="326"/>
      <c r="N648" s="294"/>
      <c r="O648" s="354">
        <v>1333.3333333333333</v>
      </c>
      <c r="P648" s="1014">
        <v>3</v>
      </c>
      <c r="Q648" s="355">
        <f>O648*P648</f>
        <v>4000</v>
      </c>
      <c r="R648" s="299"/>
      <c r="S648" s="355"/>
      <c r="T648" s="355"/>
      <c r="U648" s="355"/>
      <c r="V648" s="355"/>
      <c r="W648" s="355"/>
      <c r="X648" s="1137"/>
      <c r="Y648" s="1126"/>
      <c r="Z648" s="1126"/>
      <c r="AA648" s="1126"/>
      <c r="AB648" s="1126"/>
      <c r="AC648" s="1126"/>
      <c r="AD648" s="1126"/>
      <c r="AE648" s="1126"/>
      <c r="AF648" s="1126"/>
      <c r="AG648" s="1126"/>
    </row>
    <row r="649" spans="1:33">
      <c r="A649" s="1398"/>
      <c r="B649" s="330"/>
      <c r="C649" s="824"/>
      <c r="D649" s="326"/>
      <c r="E649" s="294"/>
      <c r="F649" s="293"/>
      <c r="G649" s="293"/>
      <c r="H649" s="293"/>
      <c r="I649" s="294"/>
      <c r="J649" s="307"/>
      <c r="K649" s="326" t="s">
        <v>415</v>
      </c>
      <c r="L649" s="1237">
        <v>23173</v>
      </c>
      <c r="M649" s="326"/>
      <c r="N649" s="294"/>
      <c r="O649" s="354">
        <v>1666.66</v>
      </c>
      <c r="P649" s="1014">
        <v>3</v>
      </c>
      <c r="Q649" s="355">
        <f>O649*P649</f>
        <v>4999.9800000000005</v>
      </c>
      <c r="R649" s="299"/>
      <c r="S649" s="355"/>
      <c r="T649" s="355"/>
      <c r="U649" s="355"/>
      <c r="V649" s="355"/>
      <c r="W649" s="355"/>
      <c r="X649" s="1137"/>
      <c r="Y649" s="1126"/>
      <c r="Z649" s="1126"/>
      <c r="AA649" s="1126"/>
      <c r="AB649" s="1126"/>
      <c r="AC649" s="1126"/>
      <c r="AD649" s="1126"/>
      <c r="AE649" s="1126"/>
      <c r="AF649" s="1126"/>
      <c r="AG649" s="1126"/>
    </row>
    <row r="650" spans="1:33" ht="17.45" customHeight="1">
      <c r="A650" s="1398"/>
      <c r="B650" s="330"/>
      <c r="C650" s="824"/>
      <c r="D650" s="326"/>
      <c r="E650" s="294"/>
      <c r="F650" s="293"/>
      <c r="G650" s="293"/>
      <c r="H650" s="293"/>
      <c r="I650" s="294"/>
      <c r="J650" s="307"/>
      <c r="K650" s="326" t="s">
        <v>436</v>
      </c>
      <c r="L650" s="1237">
        <v>23173</v>
      </c>
      <c r="M650" s="326"/>
      <c r="N650" s="294"/>
      <c r="O650" s="354">
        <v>23.33</v>
      </c>
      <c r="P650" s="1014">
        <v>200</v>
      </c>
      <c r="Q650" s="355">
        <f>O650*P650</f>
        <v>4666</v>
      </c>
      <c r="R650" s="913"/>
      <c r="S650" s="1111"/>
      <c r="T650" s="1111"/>
      <c r="U650" s="1111"/>
      <c r="V650" s="1111"/>
      <c r="W650" s="1111"/>
      <c r="X650" s="1143"/>
      <c r="Y650" s="1126"/>
      <c r="Z650" s="1126"/>
      <c r="AA650" s="1126"/>
      <c r="AB650" s="1126"/>
      <c r="AC650" s="1126"/>
      <c r="AD650" s="1126"/>
      <c r="AE650" s="1126"/>
      <c r="AF650" s="1126"/>
      <c r="AG650" s="1126"/>
    </row>
    <row r="651" spans="1:33" ht="20.25">
      <c r="A651" s="1554" t="s">
        <v>967</v>
      </c>
      <c r="B651" s="1492"/>
      <c r="C651" s="1516"/>
      <c r="D651" s="1467"/>
      <c r="E651" s="1467"/>
      <c r="F651" s="1467"/>
      <c r="G651" s="1467"/>
      <c r="H651" s="1467"/>
      <c r="I651" s="1467"/>
      <c r="J651" s="1492"/>
      <c r="K651" s="1551"/>
      <c r="L651" s="1467"/>
      <c r="M651" s="1467"/>
      <c r="N651" s="1467"/>
      <c r="O651" s="1467"/>
      <c r="P651" s="1468"/>
      <c r="Q651" s="1135">
        <f>Q7+Q247+Q390+Q485+Q599+Q603</f>
        <v>3000000.2198849996</v>
      </c>
      <c r="R651" s="1136"/>
      <c r="S651" s="1135">
        <f t="shared" ref="S651:AG651" si="174">S7+S247+S390+S485+S599+S603</f>
        <v>0</v>
      </c>
      <c r="T651" s="1135">
        <f t="shared" si="174"/>
        <v>205393.73300000001</v>
      </c>
      <c r="U651" s="1135">
        <f t="shared" si="174"/>
        <v>604711.52746833337</v>
      </c>
      <c r="V651" s="1135">
        <f t="shared" si="174"/>
        <v>567999.98250000004</v>
      </c>
      <c r="W651" s="1135">
        <f t="shared" si="174"/>
        <v>346343.06145833334</v>
      </c>
      <c r="X651" s="1135">
        <f t="shared" si="174"/>
        <v>184616.73820833332</v>
      </c>
      <c r="Y651" s="1135">
        <f t="shared" si="174"/>
        <v>250105.34058333334</v>
      </c>
      <c r="Z651" s="1135">
        <f t="shared" si="174"/>
        <v>27600</v>
      </c>
      <c r="AA651" s="1135">
        <f t="shared" si="174"/>
        <v>11640</v>
      </c>
      <c r="AB651" s="1135">
        <f t="shared" si="174"/>
        <v>500</v>
      </c>
      <c r="AC651" s="1135">
        <f t="shared" si="174"/>
        <v>500</v>
      </c>
      <c r="AD651" s="1135">
        <f t="shared" si="174"/>
        <v>10200</v>
      </c>
      <c r="AE651" s="1135">
        <f t="shared" si="174"/>
        <v>500</v>
      </c>
      <c r="AF651" s="1207">
        <f t="shared" si="174"/>
        <v>500</v>
      </c>
      <c r="AG651" s="1135">
        <f t="shared" si="174"/>
        <v>3000000.2232183334</v>
      </c>
    </row>
    <row r="652" spans="1:33">
      <c r="AE652" s="357"/>
      <c r="AG652" s="357"/>
    </row>
    <row r="653" spans="1:33">
      <c r="AE653" s="357"/>
      <c r="AG653" s="357"/>
    </row>
    <row r="654" spans="1:33">
      <c r="AE654" s="357"/>
      <c r="AG654" s="357"/>
    </row>
    <row r="655" spans="1:33">
      <c r="AG655" s="574"/>
    </row>
    <row r="656" spans="1:33">
      <c r="AG656" s="574"/>
    </row>
    <row r="657" spans="33:33">
      <c r="AG657" s="574"/>
    </row>
    <row r="658" spans="33:33">
      <c r="AG658" s="574"/>
    </row>
    <row r="659" spans="33:33">
      <c r="AG659" s="574"/>
    </row>
    <row r="660" spans="33:33">
      <c r="AG660" s="574"/>
    </row>
    <row r="661" spans="33:33">
      <c r="AG661" s="574"/>
    </row>
    <row r="662" spans="33:33">
      <c r="AG662" s="574"/>
    </row>
    <row r="663" spans="33:33">
      <c r="AG663" s="574"/>
    </row>
    <row r="664" spans="33:33">
      <c r="AG664" s="574"/>
    </row>
    <row r="665" spans="33:33">
      <c r="AG665" s="574"/>
    </row>
    <row r="666" spans="33:33">
      <c r="AG666" s="574"/>
    </row>
    <row r="667" spans="33:33">
      <c r="AG667" s="574"/>
    </row>
    <row r="668" spans="33:33">
      <c r="AG668" s="574"/>
    </row>
    <row r="669" spans="33:33">
      <c r="AG669" s="574"/>
    </row>
    <row r="670" spans="33:33">
      <c r="AG670" s="574"/>
    </row>
    <row r="671" spans="33:33">
      <c r="AG671" s="574"/>
    </row>
    <row r="672" spans="33:33">
      <c r="AG672" s="574"/>
    </row>
    <row r="673" spans="33:33">
      <c r="AG673" s="574"/>
    </row>
    <row r="674" spans="33:33">
      <c r="AG674" s="574"/>
    </row>
    <row r="675" spans="33:33">
      <c r="AG675" s="574"/>
    </row>
    <row r="676" spans="33:33">
      <c r="AG676" s="574"/>
    </row>
    <row r="677" spans="33:33">
      <c r="AG677" s="574"/>
    </row>
    <row r="678" spans="33:33">
      <c r="AG678" s="574"/>
    </row>
    <row r="679" spans="33:33">
      <c r="AG679" s="574"/>
    </row>
    <row r="680" spans="33:33">
      <c r="AG680" s="574"/>
    </row>
    <row r="681" spans="33:33">
      <c r="AG681" s="574"/>
    </row>
    <row r="682" spans="33:33">
      <c r="AG682" s="574"/>
    </row>
    <row r="683" spans="33:33">
      <c r="AG683" s="574"/>
    </row>
    <row r="684" spans="33:33">
      <c r="AG684" s="574"/>
    </row>
    <row r="685" spans="33:33">
      <c r="AG685" s="574"/>
    </row>
    <row r="686" spans="33:33">
      <c r="AG686" s="574"/>
    </row>
    <row r="687" spans="33:33">
      <c r="AG687" s="574"/>
    </row>
    <row r="688" spans="33:33">
      <c r="AG688" s="574"/>
    </row>
    <row r="689" spans="33:33">
      <c r="AG689" s="574"/>
    </row>
    <row r="690" spans="33:33">
      <c r="AG690" s="574"/>
    </row>
    <row r="691" spans="33:33">
      <c r="AG691" s="574"/>
    </row>
    <row r="692" spans="33:33">
      <c r="AG692" s="574"/>
    </row>
    <row r="693" spans="33:33">
      <c r="AG693" s="574"/>
    </row>
    <row r="694" spans="33:33">
      <c r="AG694" s="574"/>
    </row>
    <row r="695" spans="33:33">
      <c r="AG695" s="574"/>
    </row>
    <row r="696" spans="33:33">
      <c r="AG696" s="574"/>
    </row>
    <row r="697" spans="33:33">
      <c r="AG697" s="574"/>
    </row>
    <row r="698" spans="33:33">
      <c r="AG698" s="574"/>
    </row>
    <row r="699" spans="33:33">
      <c r="AG699" s="574"/>
    </row>
    <row r="700" spans="33:33">
      <c r="AG700" s="574"/>
    </row>
    <row r="701" spans="33:33">
      <c r="AG701" s="574"/>
    </row>
    <row r="702" spans="33:33">
      <c r="AG702" s="574"/>
    </row>
    <row r="703" spans="33:33">
      <c r="AG703" s="574"/>
    </row>
    <row r="704" spans="33:33">
      <c r="AG704" s="574"/>
    </row>
    <row r="705" spans="33:33">
      <c r="AG705" s="574"/>
    </row>
    <row r="706" spans="33:33">
      <c r="AG706" s="574"/>
    </row>
    <row r="707" spans="33:33">
      <c r="AG707" s="574"/>
    </row>
    <row r="708" spans="33:33">
      <c r="AG708" s="574"/>
    </row>
    <row r="709" spans="33:33">
      <c r="AG709" s="574"/>
    </row>
    <row r="710" spans="33:33">
      <c r="AG710" s="574"/>
    </row>
    <row r="711" spans="33:33">
      <c r="AG711" s="574"/>
    </row>
    <row r="712" spans="33:33">
      <c r="AG712" s="574"/>
    </row>
    <row r="713" spans="33:33">
      <c r="AG713" s="574"/>
    </row>
    <row r="714" spans="33:33">
      <c r="AG714" s="574"/>
    </row>
    <row r="715" spans="33:33">
      <c r="AG715" s="574"/>
    </row>
    <row r="716" spans="33:33">
      <c r="AG716" s="574"/>
    </row>
    <row r="717" spans="33:33">
      <c r="AG717" s="574"/>
    </row>
    <row r="718" spans="33:33">
      <c r="AG718" s="574"/>
    </row>
    <row r="719" spans="33:33">
      <c r="AG719" s="574"/>
    </row>
  </sheetData>
  <mergeCells count="4">
    <mergeCell ref="S5:Y5"/>
    <mergeCell ref="A2:AG2"/>
    <mergeCell ref="F5:G5"/>
    <mergeCell ref="I5:J5"/>
  </mergeCells>
  <conditionalFormatting sqref="F534 G550:G553">
    <cfRule type="cellIs" dxfId="506" priority="68" operator="lessThanOrEqual">
      <formula>0</formula>
    </cfRule>
  </conditionalFormatting>
  <conditionalFormatting sqref="G534">
    <cfRule type="cellIs" dxfId="505" priority="67" operator="lessThanOrEqual">
      <formula>0</formula>
    </cfRule>
  </conditionalFormatting>
  <conditionalFormatting sqref="G534">
    <cfRule type="cellIs" dxfId="504" priority="66" operator="lessThanOrEqual">
      <formula>0</formula>
    </cfRule>
  </conditionalFormatting>
  <conditionalFormatting sqref="F550">
    <cfRule type="cellIs" dxfId="503" priority="59" operator="lessThanOrEqual">
      <formula>0</formula>
    </cfRule>
  </conditionalFormatting>
  <conditionalFormatting sqref="F552">
    <cfRule type="cellIs" dxfId="502" priority="58" operator="lessThanOrEqual">
      <formula>0</formula>
    </cfRule>
  </conditionalFormatting>
  <conditionalFormatting sqref="F542">
    <cfRule type="cellIs" dxfId="501" priority="65" operator="lessThanOrEqual">
      <formula>0</formula>
    </cfRule>
  </conditionalFormatting>
  <conditionalFormatting sqref="F544">
    <cfRule type="cellIs" dxfId="500" priority="64" operator="lessThanOrEqual">
      <formula>0</formula>
    </cfRule>
  </conditionalFormatting>
  <conditionalFormatting sqref="F546">
    <cfRule type="cellIs" dxfId="499" priority="63" operator="lessThanOrEqual">
      <formula>0</formula>
    </cfRule>
  </conditionalFormatting>
  <conditionalFormatting sqref="F548">
    <cfRule type="cellIs" dxfId="498" priority="62" operator="lessThanOrEqual">
      <formula>0</formula>
    </cfRule>
  </conditionalFormatting>
  <conditionalFormatting sqref="F553">
    <cfRule type="cellIs" dxfId="497" priority="61" operator="lessThanOrEqual">
      <formula>0</formula>
    </cfRule>
  </conditionalFormatting>
  <conditionalFormatting sqref="F551">
    <cfRule type="cellIs" dxfId="496" priority="60" operator="lessThanOrEqual">
      <formula>0</formula>
    </cfRule>
  </conditionalFormatting>
  <conditionalFormatting sqref="F556">
    <cfRule type="cellIs" dxfId="495" priority="57" operator="lessThanOrEqual">
      <formula>0</formula>
    </cfRule>
  </conditionalFormatting>
  <conditionalFormatting sqref="F565">
    <cfRule type="cellIs" dxfId="494" priority="55" operator="lessThanOrEqual">
      <formula>0</formula>
    </cfRule>
  </conditionalFormatting>
  <conditionalFormatting sqref="F559">
    <cfRule type="cellIs" dxfId="493" priority="56" operator="lessThanOrEqual">
      <formula>0</formula>
    </cfRule>
  </conditionalFormatting>
  <conditionalFormatting sqref="F566">
    <cfRule type="cellIs" dxfId="492" priority="54" operator="lessThanOrEqual">
      <formula>0</formula>
    </cfRule>
  </conditionalFormatting>
  <conditionalFormatting sqref="F568">
    <cfRule type="cellIs" dxfId="491" priority="53" operator="lessThanOrEqual">
      <formula>0</formula>
    </cfRule>
  </conditionalFormatting>
  <conditionalFormatting sqref="G535">
    <cfRule type="cellIs" dxfId="490" priority="50" operator="lessThanOrEqual">
      <formula>0</formula>
    </cfRule>
  </conditionalFormatting>
  <conditionalFormatting sqref="G535">
    <cfRule type="cellIs" dxfId="489" priority="49" operator="lessThanOrEqual">
      <formula>0</formula>
    </cfRule>
  </conditionalFormatting>
  <conditionalFormatting sqref="F541">
    <cfRule type="cellIs" dxfId="488" priority="48" operator="lessThanOrEqual">
      <formula>0</formula>
    </cfRule>
  </conditionalFormatting>
  <conditionalFormatting sqref="F563">
    <cfRule type="cellIs" dxfId="487" priority="52" operator="lessThanOrEqual">
      <formula>0</formula>
    </cfRule>
  </conditionalFormatting>
  <conditionalFormatting sqref="G542">
    <cfRule type="cellIs" dxfId="486" priority="45" operator="lessThanOrEqual">
      <formula>0</formula>
    </cfRule>
  </conditionalFormatting>
  <conditionalFormatting sqref="G541">
    <cfRule type="cellIs" dxfId="485" priority="47" operator="lessThanOrEqual">
      <formula>0</formula>
    </cfRule>
  </conditionalFormatting>
  <conditionalFormatting sqref="G541">
    <cfRule type="cellIs" dxfId="484" priority="46" operator="lessThanOrEqual">
      <formula>0</formula>
    </cfRule>
  </conditionalFormatting>
  <conditionalFormatting sqref="F535">
    <cfRule type="cellIs" dxfId="483" priority="51" operator="lessThanOrEqual">
      <formula>0</formula>
    </cfRule>
  </conditionalFormatting>
  <conditionalFormatting sqref="G542">
    <cfRule type="cellIs" dxfId="482" priority="44" operator="lessThanOrEqual">
      <formula>0</formula>
    </cfRule>
  </conditionalFormatting>
  <conditionalFormatting sqref="F543">
    <cfRule type="cellIs" dxfId="481" priority="43" operator="lessThanOrEqual">
      <formula>0</formula>
    </cfRule>
  </conditionalFormatting>
  <conditionalFormatting sqref="G543">
    <cfRule type="cellIs" dxfId="480" priority="42" operator="lessThanOrEqual">
      <formula>0</formula>
    </cfRule>
  </conditionalFormatting>
  <conditionalFormatting sqref="G543">
    <cfRule type="cellIs" dxfId="479" priority="41" operator="lessThanOrEqual">
      <formula>0</formula>
    </cfRule>
  </conditionalFormatting>
  <conditionalFormatting sqref="G544">
    <cfRule type="cellIs" dxfId="478" priority="40" operator="lessThanOrEqual">
      <formula>0</formula>
    </cfRule>
  </conditionalFormatting>
  <conditionalFormatting sqref="G544">
    <cfRule type="cellIs" dxfId="477" priority="39" operator="lessThanOrEqual">
      <formula>0</formula>
    </cfRule>
  </conditionalFormatting>
  <conditionalFormatting sqref="G546">
    <cfRule type="cellIs" dxfId="476" priority="38" operator="lessThanOrEqual">
      <formula>0</formula>
    </cfRule>
  </conditionalFormatting>
  <conditionalFormatting sqref="G546">
    <cfRule type="cellIs" dxfId="475" priority="37" operator="lessThanOrEqual">
      <formula>0</formula>
    </cfRule>
  </conditionalFormatting>
  <conditionalFormatting sqref="G548">
    <cfRule type="cellIs" dxfId="474" priority="36" operator="lessThanOrEqual">
      <formula>0</formula>
    </cfRule>
  </conditionalFormatting>
  <conditionalFormatting sqref="G548">
    <cfRule type="cellIs" dxfId="473" priority="35" operator="lessThanOrEqual">
      <formula>0</formula>
    </cfRule>
  </conditionalFormatting>
  <conditionalFormatting sqref="F555">
    <cfRule type="cellIs" dxfId="472" priority="34" operator="lessThanOrEqual">
      <formula>0</formula>
    </cfRule>
  </conditionalFormatting>
  <conditionalFormatting sqref="G563">
    <cfRule type="cellIs" dxfId="471" priority="26" operator="lessThanOrEqual">
      <formula>0</formula>
    </cfRule>
  </conditionalFormatting>
  <conditionalFormatting sqref="G555">
    <cfRule type="cellIs" dxfId="470" priority="33" operator="lessThanOrEqual">
      <formula>0</formula>
    </cfRule>
  </conditionalFormatting>
  <conditionalFormatting sqref="G556">
    <cfRule type="cellIs" dxfId="469" priority="32" operator="lessThanOrEqual">
      <formula>0</formula>
    </cfRule>
  </conditionalFormatting>
  <conditionalFormatting sqref="F557:F558">
    <cfRule type="cellIs" dxfId="468" priority="31" operator="lessThanOrEqual">
      <formula>0</formula>
    </cfRule>
  </conditionalFormatting>
  <conditionalFormatting sqref="G557:G558">
    <cfRule type="cellIs" dxfId="467" priority="30" operator="lessThanOrEqual">
      <formula>0</formula>
    </cfRule>
  </conditionalFormatting>
  <conditionalFormatting sqref="G559">
    <cfRule type="cellIs" dxfId="466" priority="29" operator="lessThanOrEqual">
      <formula>0</formula>
    </cfRule>
  </conditionalFormatting>
  <conditionalFormatting sqref="F560:F561">
    <cfRule type="cellIs" dxfId="465" priority="28" operator="lessThanOrEqual">
      <formula>0</formula>
    </cfRule>
  </conditionalFormatting>
  <conditionalFormatting sqref="G560:G561">
    <cfRule type="cellIs" dxfId="464" priority="27" operator="lessThanOrEqual">
      <formula>0</formula>
    </cfRule>
  </conditionalFormatting>
  <conditionalFormatting sqref="G565:G566">
    <cfRule type="cellIs" dxfId="463" priority="25" operator="lessThanOrEqual">
      <formula>0</formula>
    </cfRule>
  </conditionalFormatting>
  <conditionalFormatting sqref="F569">
    <cfRule type="cellIs" dxfId="462" priority="23" operator="lessThanOrEqual">
      <formula>0</formula>
    </cfRule>
  </conditionalFormatting>
  <conditionalFormatting sqref="G568:G569">
    <cfRule type="cellIs" dxfId="461" priority="24" operator="lessThanOrEqual">
      <formula>0</formula>
    </cfRule>
  </conditionalFormatting>
  <conditionalFormatting sqref="F573">
    <cfRule type="cellIs" dxfId="460" priority="19" operator="lessThanOrEqual">
      <formula>0</formula>
    </cfRule>
  </conditionalFormatting>
  <conditionalFormatting sqref="F570:F572">
    <cfRule type="cellIs" dxfId="459" priority="22" operator="lessThanOrEqual">
      <formula>0</formula>
    </cfRule>
  </conditionalFormatting>
  <conditionalFormatting sqref="G573">
    <cfRule type="cellIs" dxfId="458" priority="20" operator="lessThanOrEqual">
      <formula>0</formula>
    </cfRule>
  </conditionalFormatting>
  <conditionalFormatting sqref="F536">
    <cfRule type="cellIs" dxfId="457" priority="16" operator="lessThanOrEqual">
      <formula>0</formula>
    </cfRule>
  </conditionalFormatting>
  <conditionalFormatting sqref="G570:G572">
    <cfRule type="cellIs" dxfId="456" priority="21" operator="lessThanOrEqual">
      <formula>0</formula>
    </cfRule>
  </conditionalFormatting>
  <conditionalFormatting sqref="F562">
    <cfRule type="cellIs" dxfId="455" priority="18" operator="lessThanOrEqual">
      <formula>0</formula>
    </cfRule>
  </conditionalFormatting>
  <conditionalFormatting sqref="G562">
    <cfRule type="cellIs" dxfId="454" priority="17" operator="lessThanOrEqual">
      <formula>0</formula>
    </cfRule>
  </conditionalFormatting>
  <conditionalFormatting sqref="G536">
    <cfRule type="cellIs" dxfId="453" priority="15" operator="lessThanOrEqual">
      <formula>0</formula>
    </cfRule>
  </conditionalFormatting>
  <conditionalFormatting sqref="G536">
    <cfRule type="cellIs" dxfId="452" priority="14" operator="lessThanOrEqual">
      <formula>0</formula>
    </cfRule>
  </conditionalFormatting>
  <conditionalFormatting sqref="F538">
    <cfRule type="cellIs" dxfId="451" priority="13" operator="lessThanOrEqual">
      <formula>0</formula>
    </cfRule>
  </conditionalFormatting>
  <conditionalFormatting sqref="G538">
    <cfRule type="cellIs" dxfId="450" priority="12" operator="lessThanOrEqual">
      <formula>0</formula>
    </cfRule>
  </conditionalFormatting>
  <conditionalFormatting sqref="G538">
    <cfRule type="cellIs" dxfId="449" priority="11" operator="lessThanOrEqual">
      <formula>0</formula>
    </cfRule>
  </conditionalFormatting>
  <conditionalFormatting sqref="G537">
    <cfRule type="cellIs" dxfId="448" priority="9" operator="lessThanOrEqual">
      <formula>0</formula>
    </cfRule>
  </conditionalFormatting>
  <conditionalFormatting sqref="G537">
    <cfRule type="cellIs" dxfId="447" priority="8" operator="lessThanOrEqual">
      <formula>0</formula>
    </cfRule>
  </conditionalFormatting>
  <conditionalFormatting sqref="G539">
    <cfRule type="cellIs" dxfId="446" priority="6" operator="lessThanOrEqual">
      <formula>0</formula>
    </cfRule>
  </conditionalFormatting>
  <conditionalFormatting sqref="G539">
    <cfRule type="cellIs" dxfId="445" priority="5" operator="lessThanOrEqual">
      <formula>0</formula>
    </cfRule>
  </conditionalFormatting>
  <conditionalFormatting sqref="F537">
    <cfRule type="cellIs" dxfId="444" priority="10" operator="lessThanOrEqual">
      <formula>0</formula>
    </cfRule>
  </conditionalFormatting>
  <conditionalFormatting sqref="F539">
    <cfRule type="cellIs" dxfId="443" priority="7" operator="lessThanOrEqual">
      <formula>0</formula>
    </cfRule>
  </conditionalFormatting>
  <conditionalFormatting sqref="F169:G169">
    <cfRule type="timePeriod" dxfId="442" priority="3" timePeriod="lastWeek">
      <formula>AND(TODAY()-ROUNDDOWN(F169,0)&gt;=(WEEKDAY(TODAY())),TODAY()-ROUNDDOWN(F169,0)&lt;(WEEKDAY(TODAY())+7))</formula>
    </cfRule>
    <cfRule type="timePeriod" dxfId="441" priority="4" timePeriod="lastWeek">
      <formula>AND(TODAY()-ROUNDDOWN(F169,0)&gt;=(WEEKDAY(TODAY())),TODAY()-ROUNDDOWN(F169,0)&lt;(WEEKDAY(TODAY())+7))</formula>
    </cfRule>
  </conditionalFormatting>
  <conditionalFormatting sqref="F168:G168">
    <cfRule type="timePeriod" dxfId="440" priority="1" timePeriod="lastWeek">
      <formula>AND(TODAY()-ROUNDDOWN(F168,0)&gt;=(WEEKDAY(TODAY())),TODAY()-ROUNDDOWN(F168,0)&lt;(WEEKDAY(TODAY())+7))</formula>
    </cfRule>
    <cfRule type="timePeriod" dxfId="439" priority="2" timePeriod="lastWeek">
      <formula>AND(TODAY()-ROUNDDOWN(F168,0)&gt;=(WEEKDAY(TODAY())),TODAY()-ROUNDDOWN(F168,0)&lt;(WEEKDAY(TODAY())+7))</formula>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H726"/>
  <sheetViews>
    <sheetView topLeftCell="A595" zoomScale="85" zoomScaleNormal="85" workbookViewId="0">
      <selection activeCell="Q599" sqref="Q599"/>
    </sheetView>
  </sheetViews>
  <sheetFormatPr baseColWidth="10" defaultColWidth="11.42578125" defaultRowHeight="15.75"/>
  <cols>
    <col min="1" max="1" width="9" style="341" bestFit="1" customWidth="1"/>
    <col min="2" max="2" width="57.28515625" style="991" customWidth="1"/>
    <col min="3" max="3" width="64.7109375" style="1095" customWidth="1"/>
    <col min="4" max="4" width="13.28515625" style="357" hidden="1" customWidth="1"/>
    <col min="5" max="5" width="18.7109375" style="341" hidden="1" customWidth="1"/>
    <col min="6" max="6" width="14.7109375" style="340" hidden="1" customWidth="1"/>
    <col min="7" max="7" width="14.140625" style="340" hidden="1" customWidth="1"/>
    <col min="8" max="8" width="39" style="340" hidden="1" customWidth="1"/>
    <col min="9" max="9" width="22.28515625" style="341" bestFit="1" customWidth="1"/>
    <col min="10" max="10" width="28.28515625" style="336" customWidth="1"/>
    <col min="11" max="11" width="40.7109375" style="357" customWidth="1"/>
    <col min="12" max="12" width="9.85546875" style="1246" bestFit="1" customWidth="1"/>
    <col min="13" max="13" width="19" style="357" hidden="1" customWidth="1"/>
    <col min="14" max="14" width="33" style="341" hidden="1" customWidth="1"/>
    <col min="15" max="15" width="19.42578125" style="1018" bestFit="1" customWidth="1"/>
    <col min="16" max="16" width="14.140625" style="341" bestFit="1" customWidth="1"/>
    <col min="17" max="17" width="23.28515625" style="577" customWidth="1"/>
    <col min="18" max="18" width="21.140625" style="344" bestFit="1" customWidth="1"/>
    <col min="19" max="19" width="15" style="577" customWidth="1"/>
    <col min="20" max="20" width="19.85546875" style="577" bestFit="1" customWidth="1"/>
    <col min="21" max="25" width="20.5703125" style="577" bestFit="1" customWidth="1"/>
    <col min="26" max="26" width="18" style="1019" customWidth="1"/>
    <col min="27" max="27" width="19" style="1019" bestFit="1" customWidth="1"/>
    <col min="28" max="28" width="16.5703125" style="1019" bestFit="1" customWidth="1"/>
    <col min="29" max="29" width="14.28515625" style="357" bestFit="1" customWidth="1"/>
    <col min="30" max="30" width="18.28515625" style="357" customWidth="1"/>
    <col min="31" max="31" width="14.28515625" bestFit="1" customWidth="1"/>
    <col min="32" max="32" width="14.28515625" style="357" bestFit="1" customWidth="1"/>
    <col min="33" max="33" width="22.28515625" style="1063" bestFit="1" customWidth="1"/>
    <col min="34" max="34" width="15.85546875" style="357" customWidth="1"/>
    <col min="35" max="16384" width="11.42578125" style="357"/>
  </cols>
  <sheetData>
    <row r="1" spans="1:34" s="238" customFormat="1">
      <c r="A1" s="1249"/>
      <c r="B1" s="235"/>
      <c r="C1" s="235"/>
      <c r="D1" s="1250"/>
      <c r="E1" s="1249"/>
      <c r="F1" s="237"/>
      <c r="G1" s="237"/>
      <c r="H1" s="237"/>
      <c r="I1" s="237"/>
      <c r="J1" s="1486"/>
      <c r="L1" s="1228"/>
      <c r="N1" s="237"/>
      <c r="O1" s="239"/>
      <c r="P1" s="237"/>
      <c r="Q1" s="240"/>
      <c r="R1" s="241"/>
      <c r="S1" s="239"/>
      <c r="T1" s="239"/>
      <c r="U1" s="239"/>
      <c r="V1" s="239"/>
      <c r="W1" s="239"/>
      <c r="X1" s="239"/>
      <c r="Y1" s="239"/>
      <c r="Z1" s="242"/>
      <c r="AA1" s="242"/>
      <c r="AB1" s="242"/>
      <c r="AG1" s="1055"/>
    </row>
    <row r="2" spans="1:34" s="238" customFormat="1" ht="31.5" customHeight="1">
      <c r="A2" s="3395" t="s">
        <v>202</v>
      </c>
      <c r="B2" s="3395"/>
      <c r="C2" s="3395"/>
      <c r="D2" s="3395"/>
      <c r="E2" s="3395"/>
      <c r="F2" s="3395"/>
      <c r="G2" s="3395"/>
      <c r="H2" s="3395"/>
      <c r="I2" s="3395"/>
      <c r="J2" s="3395"/>
      <c r="K2" s="3395"/>
      <c r="L2" s="3395"/>
      <c r="M2" s="3395"/>
      <c r="N2" s="3395"/>
      <c r="O2" s="3395"/>
      <c r="P2" s="3395"/>
      <c r="Q2" s="3395"/>
      <c r="R2" s="3395"/>
      <c r="S2" s="3395"/>
      <c r="T2" s="3395"/>
      <c r="U2" s="3395"/>
      <c r="V2" s="3395"/>
      <c r="W2" s="3395"/>
      <c r="X2" s="3395"/>
      <c r="Y2" s="3395"/>
      <c r="Z2" s="3395"/>
      <c r="AA2" s="3395"/>
      <c r="AB2" s="3395"/>
      <c r="AC2" s="3395"/>
      <c r="AD2" s="3395"/>
      <c r="AE2" s="3395"/>
      <c r="AF2" s="3395"/>
      <c r="AG2" s="3395"/>
    </row>
    <row r="3" spans="1:34" s="249" customFormat="1" ht="15.75" customHeight="1">
      <c r="A3" s="1252"/>
      <c r="B3" s="244"/>
      <c r="C3" s="1020"/>
      <c r="D3" s="1251"/>
      <c r="E3" s="1252"/>
      <c r="F3" s="1252"/>
      <c r="G3" s="1252"/>
      <c r="H3" s="1251"/>
      <c r="I3" s="1252"/>
      <c r="J3" s="245"/>
      <c r="K3" s="1253"/>
      <c r="L3" s="1254"/>
      <c r="M3" s="1251"/>
      <c r="N3" s="1252"/>
      <c r="O3" s="1255"/>
      <c r="P3" s="1252"/>
      <c r="Q3" s="1256"/>
      <c r="R3" s="1257"/>
      <c r="S3" s="1251"/>
      <c r="T3" s="1251"/>
      <c r="U3" s="1251"/>
      <c r="V3" s="1251"/>
      <c r="Z3" s="250"/>
      <c r="AA3" s="250"/>
      <c r="AB3" s="250"/>
    </row>
    <row r="4" spans="1:34" s="255" customFormat="1" ht="15">
      <c r="A4" s="1258"/>
      <c r="B4" s="252"/>
      <c r="C4" s="252"/>
      <c r="D4" s="1259"/>
      <c r="E4" s="1258"/>
      <c r="F4" s="254"/>
      <c r="G4" s="254"/>
      <c r="H4" s="254"/>
      <c r="I4" s="254"/>
      <c r="J4" s="1487"/>
      <c r="L4" s="1229"/>
      <c r="N4" s="254"/>
      <c r="O4" s="256"/>
      <c r="P4" s="254"/>
      <c r="Q4" s="257"/>
      <c r="R4" s="258"/>
      <c r="S4" s="256"/>
      <c r="T4" s="256"/>
      <c r="U4" s="256"/>
      <c r="V4" s="256"/>
      <c r="W4" s="256"/>
      <c r="X4" s="256"/>
      <c r="Y4" s="256"/>
      <c r="Z4" s="259"/>
      <c r="AA4" s="259"/>
      <c r="AB4" s="259"/>
    </row>
    <row r="5" spans="1:34" s="238" customFormat="1" ht="34.5" customHeight="1">
      <c r="A5" s="1523"/>
      <c r="B5" s="1494"/>
      <c r="C5" s="1494"/>
      <c r="D5" s="1259"/>
      <c r="E5" s="1258"/>
      <c r="F5" s="3396" t="s">
        <v>208</v>
      </c>
      <c r="G5" s="3396"/>
      <c r="H5" s="1483"/>
      <c r="I5" s="3397" t="s">
        <v>210</v>
      </c>
      <c r="J5" s="3398"/>
      <c r="S5" s="3392" t="s">
        <v>219</v>
      </c>
      <c r="T5" s="3393"/>
      <c r="U5" s="3393"/>
      <c r="V5" s="3393"/>
      <c r="W5" s="3393"/>
      <c r="X5" s="3393"/>
      <c r="Y5" s="3394"/>
      <c r="Z5" s="243"/>
      <c r="AA5" s="243"/>
      <c r="AB5" s="243"/>
    </row>
    <row r="6" spans="1:34" s="237" customFormat="1" ht="60" customHeight="1">
      <c r="A6" s="1453" t="s">
        <v>203</v>
      </c>
      <c r="B6" s="1458" t="s">
        <v>204</v>
      </c>
      <c r="C6" s="1495" t="s">
        <v>205</v>
      </c>
      <c r="D6" s="1480" t="s">
        <v>206</v>
      </c>
      <c r="E6" s="1481" t="s">
        <v>207</v>
      </c>
      <c r="F6" s="1260" t="s">
        <v>220</v>
      </c>
      <c r="G6" s="261" t="s">
        <v>221</v>
      </c>
      <c r="H6" s="1482" t="s">
        <v>209</v>
      </c>
      <c r="I6" s="262" t="s">
        <v>222</v>
      </c>
      <c r="J6" s="262" t="s">
        <v>288</v>
      </c>
      <c r="K6" s="1454" t="s">
        <v>211</v>
      </c>
      <c r="L6" s="1453" t="s">
        <v>212</v>
      </c>
      <c r="M6" s="1457" t="s">
        <v>213</v>
      </c>
      <c r="N6" s="1457" t="s">
        <v>214</v>
      </c>
      <c r="O6" s="1484" t="s">
        <v>215</v>
      </c>
      <c r="P6" s="1479" t="s">
        <v>216</v>
      </c>
      <c r="Q6" s="1484" t="s">
        <v>286</v>
      </c>
      <c r="R6" s="1485" t="s">
        <v>287</v>
      </c>
      <c r="S6" s="263" t="s">
        <v>224</v>
      </c>
      <c r="T6" s="263" t="s">
        <v>225</v>
      </c>
      <c r="U6" s="263" t="s">
        <v>226</v>
      </c>
      <c r="V6" s="263" t="s">
        <v>227</v>
      </c>
      <c r="W6" s="263" t="s">
        <v>228</v>
      </c>
      <c r="X6" s="263" t="s">
        <v>229</v>
      </c>
      <c r="Y6" s="263" t="s">
        <v>230</v>
      </c>
      <c r="Z6" s="264" t="s">
        <v>289</v>
      </c>
      <c r="AA6" s="264" t="s">
        <v>290</v>
      </c>
      <c r="AB6" s="264" t="s">
        <v>291</v>
      </c>
      <c r="AC6" s="264" t="s">
        <v>975</v>
      </c>
      <c r="AD6" s="264" t="s">
        <v>976</v>
      </c>
      <c r="AE6" s="264" t="s">
        <v>224</v>
      </c>
      <c r="AF6" s="264" t="s">
        <v>225</v>
      </c>
      <c r="AG6" s="1052" t="s">
        <v>41</v>
      </c>
    </row>
    <row r="7" spans="1:34" s="992" customFormat="1" ht="33.75" customHeight="1">
      <c r="A7" s="1247" t="s">
        <v>231</v>
      </c>
      <c r="B7" s="1022"/>
      <c r="C7" s="1022"/>
      <c r="D7" s="1247"/>
      <c r="E7" s="1247"/>
      <c r="F7" s="1247"/>
      <c r="G7" s="1247"/>
      <c r="H7" s="1247"/>
      <c r="I7" s="1247"/>
      <c r="J7" s="265"/>
      <c r="K7" s="1247"/>
      <c r="L7" s="1262"/>
      <c r="M7" s="1263"/>
      <c r="N7" s="1261"/>
      <c r="O7" s="1264"/>
      <c r="P7" s="1261"/>
      <c r="Q7" s="1265">
        <f>+Q8+Q99</f>
        <v>449060.34299999999</v>
      </c>
      <c r="R7" s="1266">
        <f>+'[2]Compil Costing PPA 3 millions'!F5</f>
        <v>449500</v>
      </c>
      <c r="S7" s="1265">
        <f>+S8+S99</f>
        <v>0</v>
      </c>
      <c r="T7" s="1265">
        <f>+T8+T99</f>
        <v>90453.066333333336</v>
      </c>
      <c r="U7" s="1265">
        <f t="shared" ref="U7:AF7" si="0">+U8+U99</f>
        <v>77449.332666666669</v>
      </c>
      <c r="V7" s="1265">
        <f t="shared" si="0"/>
        <v>162495.72500000001</v>
      </c>
      <c r="W7" s="1265">
        <f t="shared" si="0"/>
        <v>83069.552333333326</v>
      </c>
      <c r="X7" s="1265">
        <f t="shared" si="0"/>
        <v>11161.666666666668</v>
      </c>
      <c r="Y7" s="1267">
        <f t="shared" si="0"/>
        <v>24431</v>
      </c>
      <c r="Z7" s="1067">
        <f t="shared" si="0"/>
        <v>0</v>
      </c>
      <c r="AA7" s="1067">
        <f t="shared" si="0"/>
        <v>0</v>
      </c>
      <c r="AB7" s="1067">
        <f t="shared" si="0"/>
        <v>0</v>
      </c>
      <c r="AC7" s="1067">
        <f t="shared" si="0"/>
        <v>0</v>
      </c>
      <c r="AD7" s="1067">
        <f t="shared" si="0"/>
        <v>0</v>
      </c>
      <c r="AE7" s="1067">
        <f t="shared" si="0"/>
        <v>0</v>
      </c>
      <c r="AF7" s="1067">
        <f t="shared" si="0"/>
        <v>0</v>
      </c>
      <c r="AG7" s="1067">
        <f>+AG8+AG99</f>
        <v>449060.34299999999</v>
      </c>
      <c r="AH7" s="357"/>
    </row>
    <row r="8" spans="1:34" ht="37.5" customHeight="1">
      <c r="A8" s="1248" t="s">
        <v>232</v>
      </c>
      <c r="B8" s="278"/>
      <c r="C8" s="278"/>
      <c r="D8" s="1248"/>
      <c r="E8" s="1248"/>
      <c r="F8" s="1248"/>
      <c r="G8" s="1248"/>
      <c r="H8" s="1248"/>
      <c r="I8" s="1248"/>
      <c r="J8" s="273"/>
      <c r="K8" s="1248"/>
      <c r="L8" s="1269"/>
      <c r="M8" s="1270"/>
      <c r="N8" s="1268"/>
      <c r="O8" s="1271"/>
      <c r="P8" s="1268"/>
      <c r="Q8" s="1272">
        <f>Q9+Q95</f>
        <v>134501.66666666666</v>
      </c>
      <c r="R8" s="1273"/>
      <c r="S8" s="1272">
        <f>S9+S95</f>
        <v>0</v>
      </c>
      <c r="T8" s="1272">
        <f>T9+T95</f>
        <v>12036.666666666666</v>
      </c>
      <c r="U8" s="1272">
        <f t="shared" ref="U8:AF8" si="1">U9+U95</f>
        <v>30715.333333333332</v>
      </c>
      <c r="V8" s="1272">
        <f t="shared" si="1"/>
        <v>50562</v>
      </c>
      <c r="W8" s="1272">
        <f t="shared" si="1"/>
        <v>37168</v>
      </c>
      <c r="X8" s="1272">
        <f t="shared" si="1"/>
        <v>4019.666666666667</v>
      </c>
      <c r="Y8" s="1274">
        <f t="shared" si="1"/>
        <v>0</v>
      </c>
      <c r="Z8" s="1068">
        <f t="shared" si="1"/>
        <v>0</v>
      </c>
      <c r="AA8" s="1068">
        <f t="shared" si="1"/>
        <v>0</v>
      </c>
      <c r="AB8" s="1068">
        <f t="shared" si="1"/>
        <v>0</v>
      </c>
      <c r="AC8" s="1068">
        <f t="shared" si="1"/>
        <v>0</v>
      </c>
      <c r="AD8" s="1068">
        <f t="shared" si="1"/>
        <v>0</v>
      </c>
      <c r="AE8" s="1068">
        <f t="shared" si="1"/>
        <v>0</v>
      </c>
      <c r="AF8" s="1068">
        <f t="shared" si="1"/>
        <v>0</v>
      </c>
      <c r="AG8" s="1068">
        <f>AG9+AG95</f>
        <v>134501.66666666666</v>
      </c>
    </row>
    <row r="9" spans="1:34" ht="31.5">
      <c r="A9" s="1275">
        <v>111</v>
      </c>
      <c r="B9" s="1465" t="s">
        <v>619</v>
      </c>
      <c r="C9" s="1496"/>
      <c r="D9" s="1276"/>
      <c r="E9" s="1276"/>
      <c r="F9" s="1276"/>
      <c r="G9" s="1276"/>
      <c r="H9" s="1276"/>
      <c r="I9" s="1276"/>
      <c r="J9" s="283"/>
      <c r="K9" s="1278"/>
      <c r="L9" s="1279"/>
      <c r="M9" s="1280"/>
      <c r="N9" s="1277"/>
      <c r="O9" s="1281"/>
      <c r="P9" s="1277"/>
      <c r="Q9" s="1282">
        <f>Q10+Q23+Q50+Q56+Q68+Q87</f>
        <v>134501.66666666666</v>
      </c>
      <c r="R9" s="287"/>
      <c r="S9" s="1282">
        <f t="shared" ref="S9:AF9" si="2">S10+S23+S50+S56+S68+S87</f>
        <v>0</v>
      </c>
      <c r="T9" s="1282">
        <f t="shared" si="2"/>
        <v>12036.666666666666</v>
      </c>
      <c r="U9" s="1282">
        <f t="shared" si="2"/>
        <v>30715.333333333332</v>
      </c>
      <c r="V9" s="1282">
        <f t="shared" si="2"/>
        <v>50562</v>
      </c>
      <c r="W9" s="1282">
        <f t="shared" si="2"/>
        <v>37168</v>
      </c>
      <c r="X9" s="1282">
        <f t="shared" si="2"/>
        <v>4019.666666666667</v>
      </c>
      <c r="Y9" s="1283">
        <f t="shared" si="2"/>
        <v>0</v>
      </c>
      <c r="Z9" s="1069">
        <f t="shared" si="2"/>
        <v>0</v>
      </c>
      <c r="AA9" s="1069">
        <f t="shared" si="2"/>
        <v>0</v>
      </c>
      <c r="AB9" s="1069">
        <f t="shared" si="2"/>
        <v>0</v>
      </c>
      <c r="AC9" s="1069">
        <f t="shared" si="2"/>
        <v>0</v>
      </c>
      <c r="AD9" s="1069">
        <f t="shared" si="2"/>
        <v>0</v>
      </c>
      <c r="AE9" s="1069">
        <f t="shared" si="2"/>
        <v>0</v>
      </c>
      <c r="AF9" s="1069">
        <f t="shared" si="2"/>
        <v>0</v>
      </c>
      <c r="AG9" s="1069">
        <f>SUM(S9:AF9)</f>
        <v>134501.66666666666</v>
      </c>
    </row>
    <row r="10" spans="1:34" ht="116.25" customHeight="1">
      <c r="A10" s="1524">
        <v>1111</v>
      </c>
      <c r="B10" s="953" t="s">
        <v>620</v>
      </c>
      <c r="C10" s="1072" t="s">
        <v>621</v>
      </c>
      <c r="D10" s="1284"/>
      <c r="E10" s="1285">
        <v>5</v>
      </c>
      <c r="F10" s="1286">
        <v>43206</v>
      </c>
      <c r="G10" s="1286">
        <f>F10+E10-1</f>
        <v>43210</v>
      </c>
      <c r="H10" s="1284" t="s">
        <v>622</v>
      </c>
      <c r="I10" s="1285" t="s">
        <v>170</v>
      </c>
      <c r="J10" s="1026" t="s">
        <v>623</v>
      </c>
      <c r="K10" s="1284"/>
      <c r="L10" s="1230"/>
      <c r="M10" s="1284"/>
      <c r="N10" s="1284"/>
      <c r="O10" s="1287"/>
      <c r="P10" s="1284"/>
      <c r="Q10" s="1288">
        <f>SUM(Q11:Q22)</f>
        <v>3979.3333333333335</v>
      </c>
      <c r="R10" s="1027">
        <f>+SUM(R11:R22)</f>
        <v>3979.3333333333335</v>
      </c>
      <c r="S10" s="1289">
        <f t="shared" ref="S10:AF10" si="3">SUM(S11:S22)</f>
        <v>0</v>
      </c>
      <c r="T10" s="1289">
        <f t="shared" si="3"/>
        <v>3979.3333333333335</v>
      </c>
      <c r="U10" s="1289">
        <f t="shared" si="3"/>
        <v>0</v>
      </c>
      <c r="V10" s="1289">
        <f t="shared" si="3"/>
        <v>0</v>
      </c>
      <c r="W10" s="1289">
        <f t="shared" si="3"/>
        <v>0</v>
      </c>
      <c r="X10" s="1290">
        <f t="shared" si="3"/>
        <v>0</v>
      </c>
      <c r="Y10" s="1291">
        <f t="shared" si="3"/>
        <v>0</v>
      </c>
      <c r="Z10" s="1184">
        <f t="shared" si="3"/>
        <v>0</v>
      </c>
      <c r="AA10" s="1184">
        <f t="shared" si="3"/>
        <v>0</v>
      </c>
      <c r="AB10" s="1184">
        <f t="shared" si="3"/>
        <v>0</v>
      </c>
      <c r="AC10" s="1184">
        <f t="shared" si="3"/>
        <v>0</v>
      </c>
      <c r="AD10" s="1184">
        <f t="shared" si="3"/>
        <v>0</v>
      </c>
      <c r="AE10" s="1184">
        <f t="shared" si="3"/>
        <v>0</v>
      </c>
      <c r="AF10" s="1184">
        <f t="shared" si="3"/>
        <v>0</v>
      </c>
      <c r="AG10" s="1047">
        <f>SUM(S10:AF10)</f>
        <v>3979.3333333333335</v>
      </c>
    </row>
    <row r="11" spans="1:34" ht="116.25" customHeight="1">
      <c r="A11" s="1524">
        <v>1111</v>
      </c>
      <c r="B11" s="955" t="s">
        <v>620</v>
      </c>
      <c r="C11" s="1073" t="s">
        <v>621</v>
      </c>
      <c r="D11" s="1292"/>
      <c r="E11" s="1293">
        <v>5</v>
      </c>
      <c r="F11" s="1294">
        <v>43206</v>
      </c>
      <c r="G11" s="1294">
        <f t="shared" ref="G11:G74" si="4">F11+E11-1</f>
        <v>43210</v>
      </c>
      <c r="H11" s="1292" t="s">
        <v>622</v>
      </c>
      <c r="I11" s="1293" t="s">
        <v>170</v>
      </c>
      <c r="J11" s="643" t="s">
        <v>623</v>
      </c>
      <c r="K11" s="1292" t="s">
        <v>624</v>
      </c>
      <c r="L11" s="1231">
        <v>23174</v>
      </c>
      <c r="M11" s="1292"/>
      <c r="N11" s="1292"/>
      <c r="O11" s="647">
        <v>84</v>
      </c>
      <c r="P11" s="1292">
        <v>1</v>
      </c>
      <c r="Q11" s="1295">
        <f>O11*P11</f>
        <v>84</v>
      </c>
      <c r="R11" s="956">
        <v>84</v>
      </c>
      <c r="S11" s="954"/>
      <c r="T11" s="654">
        <f t="shared" ref="T11:T22" si="5">Q11</f>
        <v>84</v>
      </c>
      <c r="U11" s="954"/>
      <c r="V11" s="954"/>
      <c r="W11" s="954"/>
      <c r="X11" s="1166"/>
      <c r="Y11" s="1144"/>
      <c r="Z11" s="1124"/>
      <c r="AA11" s="1124"/>
      <c r="AB11" s="1124"/>
      <c r="AC11" s="1124"/>
      <c r="AD11" s="1124"/>
      <c r="AE11" s="1124"/>
      <c r="AF11" s="1124"/>
      <c r="AG11" s="1144"/>
    </row>
    <row r="12" spans="1:34" ht="116.25" customHeight="1">
      <c r="A12" s="1524">
        <v>1111</v>
      </c>
      <c r="B12" s="955" t="s">
        <v>620</v>
      </c>
      <c r="C12" s="1073" t="s">
        <v>621</v>
      </c>
      <c r="D12" s="1292"/>
      <c r="E12" s="1293">
        <v>5</v>
      </c>
      <c r="F12" s="1294">
        <v>43206</v>
      </c>
      <c r="G12" s="1294">
        <f t="shared" si="4"/>
        <v>43210</v>
      </c>
      <c r="H12" s="1292" t="s">
        <v>622</v>
      </c>
      <c r="I12" s="1293" t="s">
        <v>170</v>
      </c>
      <c r="J12" s="643" t="s">
        <v>623</v>
      </c>
      <c r="K12" s="1292" t="s">
        <v>626</v>
      </c>
      <c r="L12" s="1231">
        <v>23174</v>
      </c>
      <c r="M12" s="1292"/>
      <c r="N12" s="1292"/>
      <c r="O12" s="647">
        <v>93.333333333333343</v>
      </c>
      <c r="P12" s="1292">
        <v>1</v>
      </c>
      <c r="Q12" s="1295">
        <f t="shared" ref="Q12:Q75" si="6">O12*P12</f>
        <v>93.333333333333343</v>
      </c>
      <c r="R12" s="956">
        <v>93.333333333333343</v>
      </c>
      <c r="S12" s="954"/>
      <c r="T12" s="654">
        <f t="shared" si="5"/>
        <v>93.333333333333343</v>
      </c>
      <c r="U12" s="954"/>
      <c r="V12" s="954"/>
      <c r="W12" s="954"/>
      <c r="X12" s="1166"/>
      <c r="Y12" s="1144"/>
      <c r="Z12" s="1124"/>
      <c r="AA12" s="1124"/>
      <c r="AB12" s="1124"/>
      <c r="AC12" s="1124"/>
      <c r="AD12" s="1124"/>
      <c r="AE12" s="1124"/>
      <c r="AF12" s="1124"/>
      <c r="AG12" s="1144"/>
    </row>
    <row r="13" spans="1:34" ht="116.25" customHeight="1">
      <c r="A13" s="1524">
        <v>1111</v>
      </c>
      <c r="B13" s="955" t="s">
        <v>620</v>
      </c>
      <c r="C13" s="1073" t="s">
        <v>621</v>
      </c>
      <c r="D13" s="1292"/>
      <c r="E13" s="1293">
        <v>5</v>
      </c>
      <c r="F13" s="1294">
        <v>43206</v>
      </c>
      <c r="G13" s="1294">
        <f t="shared" si="4"/>
        <v>43210</v>
      </c>
      <c r="H13" s="1292" t="s">
        <v>622</v>
      </c>
      <c r="I13" s="1293" t="s">
        <v>170</v>
      </c>
      <c r="J13" s="643" t="s">
        <v>623</v>
      </c>
      <c r="K13" s="1292" t="s">
        <v>627</v>
      </c>
      <c r="L13" s="1231">
        <v>23174</v>
      </c>
      <c r="M13" s="1292"/>
      <c r="N13" s="1292"/>
      <c r="O13" s="647">
        <v>70</v>
      </c>
      <c r="P13" s="1292">
        <v>1</v>
      </c>
      <c r="Q13" s="1295">
        <f t="shared" si="6"/>
        <v>70</v>
      </c>
      <c r="R13" s="956">
        <v>70</v>
      </c>
      <c r="S13" s="954"/>
      <c r="T13" s="654">
        <f t="shared" si="5"/>
        <v>70</v>
      </c>
      <c r="U13" s="954"/>
      <c r="V13" s="954"/>
      <c r="W13" s="954"/>
      <c r="X13" s="1166"/>
      <c r="Y13" s="1144"/>
      <c r="Z13" s="1124"/>
      <c r="AA13" s="1124"/>
      <c r="AB13" s="1124"/>
      <c r="AC13" s="1124"/>
      <c r="AD13" s="1124"/>
      <c r="AE13" s="1124"/>
      <c r="AF13" s="1124"/>
      <c r="AG13" s="1144"/>
    </row>
    <row r="14" spans="1:34" ht="116.25" customHeight="1">
      <c r="A14" s="1524">
        <v>1111</v>
      </c>
      <c r="B14" s="955" t="s">
        <v>620</v>
      </c>
      <c r="C14" s="1073" t="s">
        <v>621</v>
      </c>
      <c r="D14" s="1292"/>
      <c r="E14" s="1293">
        <v>5</v>
      </c>
      <c r="F14" s="1294">
        <v>43206</v>
      </c>
      <c r="G14" s="1294">
        <f t="shared" si="4"/>
        <v>43210</v>
      </c>
      <c r="H14" s="1292" t="s">
        <v>622</v>
      </c>
      <c r="I14" s="1293" t="s">
        <v>170</v>
      </c>
      <c r="J14" s="643" t="s">
        <v>623</v>
      </c>
      <c r="K14" s="1292" t="s">
        <v>628</v>
      </c>
      <c r="L14" s="1231">
        <v>23174</v>
      </c>
      <c r="M14" s="1292"/>
      <c r="N14" s="1292"/>
      <c r="O14" s="647">
        <v>46.666666666666671</v>
      </c>
      <c r="P14" s="1292">
        <v>1</v>
      </c>
      <c r="Q14" s="1295">
        <f t="shared" si="6"/>
        <v>46.666666666666671</v>
      </c>
      <c r="R14" s="956">
        <v>46.666666666666671</v>
      </c>
      <c r="S14" s="954"/>
      <c r="T14" s="654">
        <f t="shared" si="5"/>
        <v>46.666666666666671</v>
      </c>
      <c r="U14" s="954"/>
      <c r="V14" s="954"/>
      <c r="W14" s="954"/>
      <c r="X14" s="1166"/>
      <c r="Y14" s="1144"/>
      <c r="Z14" s="1124"/>
      <c r="AA14" s="1124"/>
      <c r="AB14" s="1124"/>
      <c r="AC14" s="1124"/>
      <c r="AD14" s="1124"/>
      <c r="AE14" s="1124"/>
      <c r="AF14" s="1124"/>
      <c r="AG14" s="1144"/>
    </row>
    <row r="15" spans="1:34" ht="116.25" customHeight="1">
      <c r="A15" s="1524">
        <v>1111</v>
      </c>
      <c r="B15" s="955" t="s">
        <v>620</v>
      </c>
      <c r="C15" s="1073" t="s">
        <v>621</v>
      </c>
      <c r="D15" s="1292"/>
      <c r="E15" s="1293">
        <v>5</v>
      </c>
      <c r="F15" s="1294">
        <v>43206</v>
      </c>
      <c r="G15" s="1294">
        <f t="shared" si="4"/>
        <v>43210</v>
      </c>
      <c r="H15" s="1292" t="s">
        <v>622</v>
      </c>
      <c r="I15" s="1293" t="s">
        <v>170</v>
      </c>
      <c r="J15" s="643" t="s">
        <v>623</v>
      </c>
      <c r="K15" s="1292" t="s">
        <v>629</v>
      </c>
      <c r="L15" s="1231">
        <v>23174</v>
      </c>
      <c r="M15" s="1292"/>
      <c r="N15" s="1292"/>
      <c r="O15" s="647">
        <v>336</v>
      </c>
      <c r="P15" s="1292">
        <v>1</v>
      </c>
      <c r="Q15" s="1295">
        <f t="shared" si="6"/>
        <v>336</v>
      </c>
      <c r="R15" s="956">
        <v>336</v>
      </c>
      <c r="S15" s="954"/>
      <c r="T15" s="654">
        <f t="shared" si="5"/>
        <v>336</v>
      </c>
      <c r="U15" s="954"/>
      <c r="V15" s="954"/>
      <c r="W15" s="954"/>
      <c r="X15" s="1166"/>
      <c r="Y15" s="1144"/>
      <c r="Z15" s="1124"/>
      <c r="AA15" s="1124"/>
      <c r="AB15" s="1124"/>
      <c r="AC15" s="1124"/>
      <c r="AD15" s="1124"/>
      <c r="AE15" s="1124"/>
      <c r="AF15" s="1124"/>
      <c r="AG15" s="1144"/>
    </row>
    <row r="16" spans="1:34" ht="116.25" customHeight="1">
      <c r="A16" s="1524">
        <v>1111</v>
      </c>
      <c r="B16" s="955" t="s">
        <v>620</v>
      </c>
      <c r="C16" s="1073" t="s">
        <v>621</v>
      </c>
      <c r="D16" s="1292"/>
      <c r="E16" s="1293">
        <v>5</v>
      </c>
      <c r="F16" s="1294">
        <v>43206</v>
      </c>
      <c r="G16" s="1294">
        <f t="shared" si="4"/>
        <v>43210</v>
      </c>
      <c r="H16" s="1292" t="s">
        <v>622</v>
      </c>
      <c r="I16" s="1293" t="s">
        <v>170</v>
      </c>
      <c r="J16" s="643" t="s">
        <v>623</v>
      </c>
      <c r="K16" s="1292" t="s">
        <v>630</v>
      </c>
      <c r="L16" s="1231">
        <v>23174</v>
      </c>
      <c r="M16" s="1292"/>
      <c r="N16" s="1292"/>
      <c r="O16" s="647">
        <v>373.33333333333337</v>
      </c>
      <c r="P16" s="1292">
        <v>1</v>
      </c>
      <c r="Q16" s="1295">
        <f t="shared" si="6"/>
        <v>373.33333333333337</v>
      </c>
      <c r="R16" s="956">
        <v>373.33333333333337</v>
      </c>
      <c r="S16" s="954"/>
      <c r="T16" s="654">
        <f t="shared" si="5"/>
        <v>373.33333333333337</v>
      </c>
      <c r="U16" s="954"/>
      <c r="V16" s="954"/>
      <c r="W16" s="954"/>
      <c r="X16" s="1166"/>
      <c r="Y16" s="1144"/>
      <c r="Z16" s="1124"/>
      <c r="AA16" s="1124"/>
      <c r="AB16" s="1124"/>
      <c r="AC16" s="1124"/>
      <c r="AD16" s="1124"/>
      <c r="AE16" s="1124"/>
      <c r="AF16" s="1124"/>
      <c r="AG16" s="1144"/>
    </row>
    <row r="17" spans="1:34" ht="116.25" customHeight="1">
      <c r="A17" s="1524">
        <v>1111</v>
      </c>
      <c r="B17" s="955" t="s">
        <v>620</v>
      </c>
      <c r="C17" s="1073" t="s">
        <v>621</v>
      </c>
      <c r="D17" s="1292"/>
      <c r="E17" s="1293">
        <v>5</v>
      </c>
      <c r="F17" s="1294">
        <v>43206</v>
      </c>
      <c r="G17" s="1294">
        <f t="shared" si="4"/>
        <v>43210</v>
      </c>
      <c r="H17" s="1292" t="s">
        <v>622</v>
      </c>
      <c r="I17" s="1293" t="s">
        <v>170</v>
      </c>
      <c r="J17" s="643" t="s">
        <v>623</v>
      </c>
      <c r="K17" s="1292" t="s">
        <v>631</v>
      </c>
      <c r="L17" s="1231">
        <v>23174</v>
      </c>
      <c r="M17" s="1292"/>
      <c r="N17" s="1292"/>
      <c r="O17" s="647">
        <v>107</v>
      </c>
      <c r="P17" s="1292">
        <v>1</v>
      </c>
      <c r="Q17" s="1295">
        <f t="shared" si="6"/>
        <v>107</v>
      </c>
      <c r="R17" s="956">
        <v>107</v>
      </c>
      <c r="S17" s="954"/>
      <c r="T17" s="654">
        <f t="shared" si="5"/>
        <v>107</v>
      </c>
      <c r="U17" s="954"/>
      <c r="V17" s="954"/>
      <c r="W17" s="954"/>
      <c r="X17" s="1166"/>
      <c r="Y17" s="1144"/>
      <c r="Z17" s="1124"/>
      <c r="AA17" s="1124"/>
      <c r="AB17" s="1124"/>
      <c r="AC17" s="1124"/>
      <c r="AD17" s="1124"/>
      <c r="AE17" s="1124"/>
      <c r="AF17" s="1124"/>
      <c r="AG17" s="1144"/>
    </row>
    <row r="18" spans="1:34" ht="116.25" customHeight="1">
      <c r="A18" s="1524">
        <v>1111</v>
      </c>
      <c r="B18" s="955" t="s">
        <v>620</v>
      </c>
      <c r="C18" s="1073" t="s">
        <v>621</v>
      </c>
      <c r="D18" s="1292"/>
      <c r="E18" s="1293">
        <v>5</v>
      </c>
      <c r="F18" s="1294">
        <v>43206</v>
      </c>
      <c r="G18" s="1294">
        <f t="shared" si="4"/>
        <v>43210</v>
      </c>
      <c r="H18" s="1292" t="s">
        <v>622</v>
      </c>
      <c r="I18" s="1293" t="s">
        <v>170</v>
      </c>
      <c r="J18" s="643" t="s">
        <v>623</v>
      </c>
      <c r="K18" s="1292" t="s">
        <v>633</v>
      </c>
      <c r="L18" s="1231">
        <v>23174</v>
      </c>
      <c r="M18" s="1292"/>
      <c r="N18" s="1292"/>
      <c r="O18" s="647">
        <v>91</v>
      </c>
      <c r="P18" s="1292">
        <v>1</v>
      </c>
      <c r="Q18" s="1295">
        <f t="shared" si="6"/>
        <v>91</v>
      </c>
      <c r="R18" s="956">
        <v>91</v>
      </c>
      <c r="S18" s="954"/>
      <c r="T18" s="654">
        <f t="shared" si="5"/>
        <v>91</v>
      </c>
      <c r="U18" s="954"/>
      <c r="V18" s="954"/>
      <c r="W18" s="954"/>
      <c r="X18" s="1166"/>
      <c r="Y18" s="1144"/>
      <c r="Z18" s="1124"/>
      <c r="AA18" s="1124"/>
      <c r="AB18" s="1124"/>
      <c r="AC18" s="1124"/>
      <c r="AD18" s="1124"/>
      <c r="AE18" s="1124"/>
      <c r="AF18" s="1124"/>
      <c r="AG18" s="1144"/>
    </row>
    <row r="19" spans="1:34" ht="116.25" customHeight="1">
      <c r="A19" s="1524">
        <v>1111</v>
      </c>
      <c r="B19" s="955" t="s">
        <v>620</v>
      </c>
      <c r="C19" s="1073" t="s">
        <v>621</v>
      </c>
      <c r="D19" s="1292"/>
      <c r="E19" s="1293">
        <v>5</v>
      </c>
      <c r="F19" s="1294">
        <v>43206</v>
      </c>
      <c r="G19" s="1294">
        <f t="shared" si="4"/>
        <v>43210</v>
      </c>
      <c r="H19" s="1292" t="s">
        <v>622</v>
      </c>
      <c r="I19" s="1293" t="s">
        <v>170</v>
      </c>
      <c r="J19" s="643" t="s">
        <v>623</v>
      </c>
      <c r="K19" s="1292" t="s">
        <v>635</v>
      </c>
      <c r="L19" s="1231">
        <v>23174</v>
      </c>
      <c r="M19" s="1292"/>
      <c r="N19" s="1292"/>
      <c r="O19" s="647">
        <v>1092</v>
      </c>
      <c r="P19" s="1292">
        <v>1</v>
      </c>
      <c r="Q19" s="1295">
        <f t="shared" si="6"/>
        <v>1092</v>
      </c>
      <c r="R19" s="956">
        <v>1092</v>
      </c>
      <c r="S19" s="954"/>
      <c r="T19" s="654">
        <f t="shared" si="5"/>
        <v>1092</v>
      </c>
      <c r="U19" s="954"/>
      <c r="V19" s="954"/>
      <c r="W19" s="954"/>
      <c r="X19" s="1166"/>
      <c r="Y19" s="1144"/>
      <c r="Z19" s="1124"/>
      <c r="AA19" s="1124"/>
      <c r="AB19" s="1124"/>
      <c r="AC19" s="1124"/>
      <c r="AD19" s="1124"/>
      <c r="AE19" s="1124"/>
      <c r="AF19" s="1124"/>
      <c r="AG19" s="1144"/>
    </row>
    <row r="20" spans="1:34" ht="116.25" customHeight="1">
      <c r="A20" s="1524">
        <v>1111</v>
      </c>
      <c r="B20" s="955" t="s">
        <v>620</v>
      </c>
      <c r="C20" s="1073" t="s">
        <v>621</v>
      </c>
      <c r="D20" s="1292"/>
      <c r="E20" s="1293">
        <v>5</v>
      </c>
      <c r="F20" s="1294">
        <v>43206</v>
      </c>
      <c r="G20" s="1294">
        <f t="shared" si="4"/>
        <v>43210</v>
      </c>
      <c r="H20" s="1292" t="s">
        <v>622</v>
      </c>
      <c r="I20" s="1293" t="s">
        <v>170</v>
      </c>
      <c r="J20" s="643" t="s">
        <v>623</v>
      </c>
      <c r="K20" s="1292" t="s">
        <v>636</v>
      </c>
      <c r="L20" s="1231">
        <v>23174</v>
      </c>
      <c r="M20" s="1292"/>
      <c r="N20" s="1292"/>
      <c r="O20" s="647">
        <v>1213</v>
      </c>
      <c r="P20" s="1292">
        <v>1</v>
      </c>
      <c r="Q20" s="1295">
        <f t="shared" si="6"/>
        <v>1213</v>
      </c>
      <c r="R20" s="956">
        <v>1213</v>
      </c>
      <c r="S20" s="954"/>
      <c r="T20" s="654">
        <f t="shared" si="5"/>
        <v>1213</v>
      </c>
      <c r="U20" s="954"/>
      <c r="V20" s="954"/>
      <c r="W20" s="954"/>
      <c r="X20" s="1166"/>
      <c r="Y20" s="1144"/>
      <c r="Z20" s="1124"/>
      <c r="AA20" s="1124"/>
      <c r="AB20" s="1124"/>
      <c r="AC20" s="1124"/>
      <c r="AD20" s="1124"/>
      <c r="AE20" s="1124"/>
      <c r="AF20" s="1124"/>
      <c r="AG20" s="1144"/>
    </row>
    <row r="21" spans="1:34" ht="116.25" customHeight="1">
      <c r="A21" s="1524">
        <v>1111</v>
      </c>
      <c r="B21" s="955" t="s">
        <v>620</v>
      </c>
      <c r="C21" s="1073" t="s">
        <v>621</v>
      </c>
      <c r="D21" s="1292"/>
      <c r="E21" s="1293">
        <v>5</v>
      </c>
      <c r="F21" s="1294">
        <v>43206</v>
      </c>
      <c r="G21" s="1294">
        <f t="shared" si="4"/>
        <v>43210</v>
      </c>
      <c r="H21" s="1292" t="s">
        <v>622</v>
      </c>
      <c r="I21" s="1293" t="s">
        <v>170</v>
      </c>
      <c r="J21" s="643" t="s">
        <v>623</v>
      </c>
      <c r="K21" s="1292" t="s">
        <v>637</v>
      </c>
      <c r="L21" s="1231">
        <v>23174</v>
      </c>
      <c r="M21" s="1292"/>
      <c r="N21" s="1292"/>
      <c r="O21" s="647">
        <v>173</v>
      </c>
      <c r="P21" s="1292">
        <v>1</v>
      </c>
      <c r="Q21" s="1295">
        <f t="shared" si="6"/>
        <v>173</v>
      </c>
      <c r="R21" s="956">
        <v>173</v>
      </c>
      <c r="S21" s="954"/>
      <c r="T21" s="654">
        <f t="shared" si="5"/>
        <v>173</v>
      </c>
      <c r="U21" s="954"/>
      <c r="V21" s="954"/>
      <c r="W21" s="954"/>
      <c r="X21" s="1166"/>
      <c r="Y21" s="1144"/>
      <c r="Z21" s="1124"/>
      <c r="AA21" s="1124"/>
      <c r="AB21" s="1124"/>
      <c r="AC21" s="1124"/>
      <c r="AD21" s="1124"/>
      <c r="AE21" s="1124"/>
      <c r="AF21" s="1124"/>
      <c r="AG21" s="1144"/>
    </row>
    <row r="22" spans="1:34" ht="116.25" customHeight="1">
      <c r="A22" s="1524">
        <v>1111</v>
      </c>
      <c r="B22" s="955" t="s">
        <v>620</v>
      </c>
      <c r="C22" s="1073" t="s">
        <v>621</v>
      </c>
      <c r="D22" s="1292"/>
      <c r="E22" s="1293">
        <v>5</v>
      </c>
      <c r="F22" s="1294">
        <v>43206</v>
      </c>
      <c r="G22" s="1294">
        <f t="shared" si="4"/>
        <v>43210</v>
      </c>
      <c r="H22" s="1292" t="s">
        <v>622</v>
      </c>
      <c r="I22" s="1293" t="s">
        <v>170</v>
      </c>
      <c r="J22" s="643" t="s">
        <v>623</v>
      </c>
      <c r="K22" s="1292" t="s">
        <v>638</v>
      </c>
      <c r="L22" s="1231">
        <v>23173</v>
      </c>
      <c r="M22" s="1292"/>
      <c r="N22" s="1292"/>
      <c r="O22" s="647">
        <v>300</v>
      </c>
      <c r="P22" s="1292">
        <v>1</v>
      </c>
      <c r="Q22" s="1295">
        <f t="shared" si="6"/>
        <v>300</v>
      </c>
      <c r="R22" s="956">
        <v>300</v>
      </c>
      <c r="S22" s="954"/>
      <c r="T22" s="654">
        <f t="shared" si="5"/>
        <v>300</v>
      </c>
      <c r="U22" s="954"/>
      <c r="V22" s="954"/>
      <c r="W22" s="954"/>
      <c r="X22" s="1166"/>
      <c r="Y22" s="1144"/>
      <c r="Z22" s="1124"/>
      <c r="AA22" s="1124"/>
      <c r="AB22" s="1124"/>
      <c r="AC22" s="1124"/>
      <c r="AD22" s="1124"/>
      <c r="AE22" s="1124"/>
      <c r="AF22" s="1124"/>
      <c r="AG22" s="1144"/>
    </row>
    <row r="23" spans="1:34" s="1028" customFormat="1" ht="116.25" customHeight="1">
      <c r="A23" s="1524">
        <v>1112</v>
      </c>
      <c r="B23" s="957" t="s">
        <v>640</v>
      </c>
      <c r="C23" s="1072" t="s">
        <v>641</v>
      </c>
      <c r="D23" s="1284"/>
      <c r="E23" s="1285">
        <v>5</v>
      </c>
      <c r="F23" s="1286">
        <v>43220</v>
      </c>
      <c r="G23" s="1286">
        <f t="shared" si="4"/>
        <v>43224</v>
      </c>
      <c r="H23" s="1284" t="s">
        <v>622</v>
      </c>
      <c r="I23" s="1285" t="s">
        <v>170</v>
      </c>
      <c r="J23" s="1026" t="s">
        <v>642</v>
      </c>
      <c r="K23" s="1284"/>
      <c r="L23" s="1230"/>
      <c r="M23" s="1284"/>
      <c r="N23" s="1284"/>
      <c r="O23" s="647"/>
      <c r="P23" s="1284"/>
      <c r="Q23" s="1288">
        <f>SUM(Q24:Q49)</f>
        <v>22315.666666666664</v>
      </c>
      <c r="R23" s="1027">
        <f>SUM(R24:R49)</f>
        <v>22315.666666666664</v>
      </c>
      <c r="S23" s="1289">
        <f t="shared" ref="S23:AF23" si="7">SUM(S24:S49)</f>
        <v>0</v>
      </c>
      <c r="T23" s="1289">
        <f t="shared" si="7"/>
        <v>8057.333333333333</v>
      </c>
      <c r="U23" s="1289">
        <f t="shared" si="7"/>
        <v>14258.333333333332</v>
      </c>
      <c r="V23" s="1289">
        <f t="shared" si="7"/>
        <v>0</v>
      </c>
      <c r="W23" s="1289">
        <f t="shared" si="7"/>
        <v>0</v>
      </c>
      <c r="X23" s="1290">
        <f t="shared" si="7"/>
        <v>0</v>
      </c>
      <c r="Y23" s="1291">
        <f t="shared" si="7"/>
        <v>0</v>
      </c>
      <c r="Z23" s="1184">
        <f t="shared" si="7"/>
        <v>0</v>
      </c>
      <c r="AA23" s="1184">
        <f t="shared" si="7"/>
        <v>0</v>
      </c>
      <c r="AB23" s="1184">
        <f t="shared" si="7"/>
        <v>0</v>
      </c>
      <c r="AC23" s="1184">
        <f t="shared" si="7"/>
        <v>0</v>
      </c>
      <c r="AD23" s="1184">
        <f t="shared" si="7"/>
        <v>0</v>
      </c>
      <c r="AE23" s="1184">
        <f t="shared" si="7"/>
        <v>0</v>
      </c>
      <c r="AF23" s="1184">
        <f t="shared" si="7"/>
        <v>0</v>
      </c>
      <c r="AG23" s="1047">
        <f>SUM(S23:AF23)</f>
        <v>22315.666666666664</v>
      </c>
      <c r="AH23" s="357"/>
    </row>
    <row r="24" spans="1:34" ht="116.25" customHeight="1">
      <c r="A24" s="1524">
        <v>1112</v>
      </c>
      <c r="B24" s="958" t="s">
        <v>640</v>
      </c>
      <c r="C24" s="1073" t="s">
        <v>641</v>
      </c>
      <c r="D24" s="1292"/>
      <c r="E24" s="1293">
        <v>5</v>
      </c>
      <c r="F24" s="1294">
        <v>43220</v>
      </c>
      <c r="G24" s="1294">
        <f t="shared" si="4"/>
        <v>43224</v>
      </c>
      <c r="H24" s="1292" t="s">
        <v>622</v>
      </c>
      <c r="I24" s="1293" t="s">
        <v>170</v>
      </c>
      <c r="J24" s="643" t="s">
        <v>642</v>
      </c>
      <c r="K24" s="1292" t="s">
        <v>643</v>
      </c>
      <c r="L24" s="1231">
        <v>23174</v>
      </c>
      <c r="M24" s="1292"/>
      <c r="N24" s="1292"/>
      <c r="O24" s="647">
        <v>60</v>
      </c>
      <c r="P24" s="1292">
        <v>1</v>
      </c>
      <c r="Q24" s="1295">
        <f t="shared" si="6"/>
        <v>60</v>
      </c>
      <c r="R24" s="956">
        <v>60</v>
      </c>
      <c r="S24" s="954"/>
      <c r="T24" s="654">
        <f>Q24</f>
        <v>60</v>
      </c>
      <c r="U24" s="651"/>
      <c r="V24" s="954"/>
      <c r="W24" s="954"/>
      <c r="X24" s="1166"/>
      <c r="Y24" s="1144"/>
      <c r="Z24" s="1124"/>
      <c r="AA24" s="1124"/>
      <c r="AB24" s="1124"/>
      <c r="AC24" s="1124"/>
      <c r="AD24" s="1124"/>
      <c r="AE24" s="1124"/>
      <c r="AF24" s="1124"/>
      <c r="AG24" s="1144"/>
    </row>
    <row r="25" spans="1:34" ht="116.25" customHeight="1">
      <c r="A25" s="1524">
        <v>1112</v>
      </c>
      <c r="B25" s="958" t="s">
        <v>640</v>
      </c>
      <c r="C25" s="1073" t="s">
        <v>641</v>
      </c>
      <c r="D25" s="1292"/>
      <c r="E25" s="1293">
        <v>5</v>
      </c>
      <c r="F25" s="1294">
        <v>43220</v>
      </c>
      <c r="G25" s="1294">
        <f t="shared" si="4"/>
        <v>43224</v>
      </c>
      <c r="H25" s="1292" t="s">
        <v>622</v>
      </c>
      <c r="I25" s="1293" t="s">
        <v>170</v>
      </c>
      <c r="J25" s="643" t="s">
        <v>642</v>
      </c>
      <c r="K25" s="1292" t="s">
        <v>644</v>
      </c>
      <c r="L25" s="1231">
        <v>23174</v>
      </c>
      <c r="M25" s="1292"/>
      <c r="N25" s="1292"/>
      <c r="O25" s="647">
        <v>66.666666666666671</v>
      </c>
      <c r="P25" s="1292">
        <v>1</v>
      </c>
      <c r="Q25" s="1295">
        <f t="shared" si="6"/>
        <v>66.666666666666671</v>
      </c>
      <c r="R25" s="956">
        <v>66.666666666666671</v>
      </c>
      <c r="S25" s="954"/>
      <c r="T25" s="654">
        <f>Q25</f>
        <v>66.666666666666671</v>
      </c>
      <c r="U25" s="651"/>
      <c r="V25" s="954"/>
      <c r="W25" s="954"/>
      <c r="X25" s="1166"/>
      <c r="Y25" s="1144"/>
      <c r="Z25" s="1124"/>
      <c r="AA25" s="1124"/>
      <c r="AB25" s="1124"/>
      <c r="AC25" s="1124"/>
      <c r="AD25" s="1124"/>
      <c r="AE25" s="1124"/>
      <c r="AF25" s="1124"/>
      <c r="AG25" s="1144"/>
    </row>
    <row r="26" spans="1:34" ht="116.25" customHeight="1">
      <c r="A26" s="1524">
        <v>1112</v>
      </c>
      <c r="B26" s="958" t="s">
        <v>640</v>
      </c>
      <c r="C26" s="1073" t="s">
        <v>641</v>
      </c>
      <c r="D26" s="1292"/>
      <c r="E26" s="1293">
        <v>5</v>
      </c>
      <c r="F26" s="1294">
        <v>43220</v>
      </c>
      <c r="G26" s="1294">
        <f t="shared" si="4"/>
        <v>43224</v>
      </c>
      <c r="H26" s="1292" t="s">
        <v>622</v>
      </c>
      <c r="I26" s="1293" t="s">
        <v>170</v>
      </c>
      <c r="J26" s="643" t="s">
        <v>642</v>
      </c>
      <c r="K26" s="1292" t="s">
        <v>645</v>
      </c>
      <c r="L26" s="1231">
        <v>23174</v>
      </c>
      <c r="M26" s="1292"/>
      <c r="N26" s="1292"/>
      <c r="O26" s="647">
        <v>50</v>
      </c>
      <c r="P26" s="1292">
        <v>1</v>
      </c>
      <c r="Q26" s="1295">
        <f t="shared" si="6"/>
        <v>50</v>
      </c>
      <c r="R26" s="956">
        <v>50</v>
      </c>
      <c r="S26" s="954"/>
      <c r="T26" s="654">
        <f>Q26</f>
        <v>50</v>
      </c>
      <c r="U26" s="651"/>
      <c r="V26" s="954"/>
      <c r="W26" s="954"/>
      <c r="X26" s="1166"/>
      <c r="Y26" s="1144"/>
      <c r="Z26" s="1124"/>
      <c r="AA26" s="1124"/>
      <c r="AB26" s="1124"/>
      <c r="AC26" s="1124"/>
      <c r="AD26" s="1124"/>
      <c r="AE26" s="1124"/>
      <c r="AF26" s="1124"/>
      <c r="AG26" s="1144"/>
    </row>
    <row r="27" spans="1:34" ht="116.25" customHeight="1">
      <c r="A27" s="1524">
        <v>1112</v>
      </c>
      <c r="B27" s="958" t="s">
        <v>640</v>
      </c>
      <c r="C27" s="1073" t="s">
        <v>641</v>
      </c>
      <c r="D27" s="1292"/>
      <c r="E27" s="1293">
        <v>5</v>
      </c>
      <c r="F27" s="1294">
        <v>43220</v>
      </c>
      <c r="G27" s="1294">
        <f t="shared" si="4"/>
        <v>43224</v>
      </c>
      <c r="H27" s="1292" t="s">
        <v>622</v>
      </c>
      <c r="I27" s="1293" t="s">
        <v>170</v>
      </c>
      <c r="J27" s="643" t="s">
        <v>642</v>
      </c>
      <c r="K27" s="1292" t="s">
        <v>646</v>
      </c>
      <c r="L27" s="1231">
        <v>23174</v>
      </c>
      <c r="M27" s="1292"/>
      <c r="N27" s="1292"/>
      <c r="O27" s="647">
        <v>33.333333333333336</v>
      </c>
      <c r="P27" s="1292">
        <v>1</v>
      </c>
      <c r="Q27" s="1295">
        <f t="shared" si="6"/>
        <v>33.333333333333336</v>
      </c>
      <c r="R27" s="956">
        <v>33.333333333333336</v>
      </c>
      <c r="S27" s="954"/>
      <c r="T27" s="654">
        <f>Q27</f>
        <v>33.333333333333336</v>
      </c>
      <c r="U27" s="651"/>
      <c r="V27" s="954"/>
      <c r="W27" s="954"/>
      <c r="X27" s="1166"/>
      <c r="Y27" s="1144"/>
      <c r="Z27" s="1124"/>
      <c r="AA27" s="1124"/>
      <c r="AB27" s="1124"/>
      <c r="AC27" s="1124"/>
      <c r="AD27" s="1124"/>
      <c r="AE27" s="1124"/>
      <c r="AF27" s="1124"/>
      <c r="AG27" s="1144"/>
    </row>
    <row r="28" spans="1:34" ht="116.25" customHeight="1">
      <c r="A28" s="1524">
        <v>1112</v>
      </c>
      <c r="B28" s="958" t="s">
        <v>640</v>
      </c>
      <c r="C28" s="1073" t="s">
        <v>641</v>
      </c>
      <c r="D28" s="1292"/>
      <c r="E28" s="1293">
        <v>5</v>
      </c>
      <c r="F28" s="1294">
        <v>43220</v>
      </c>
      <c r="G28" s="1294">
        <f t="shared" si="4"/>
        <v>43224</v>
      </c>
      <c r="H28" s="1292" t="s">
        <v>622</v>
      </c>
      <c r="I28" s="1293" t="s">
        <v>170</v>
      </c>
      <c r="J28" s="643" t="s">
        <v>642</v>
      </c>
      <c r="K28" s="1292" t="s">
        <v>647</v>
      </c>
      <c r="L28" s="1231">
        <v>23174</v>
      </c>
      <c r="M28" s="1292"/>
      <c r="N28" s="1292"/>
      <c r="O28" s="647">
        <v>588</v>
      </c>
      <c r="P28" s="1292">
        <v>1</v>
      </c>
      <c r="Q28" s="1295">
        <f t="shared" si="6"/>
        <v>588</v>
      </c>
      <c r="R28" s="956">
        <v>588</v>
      </c>
      <c r="S28" s="954"/>
      <c r="T28" s="651"/>
      <c r="U28" s="654">
        <f>Q28</f>
        <v>588</v>
      </c>
      <c r="V28" s="954"/>
      <c r="W28" s="954"/>
      <c r="X28" s="1166"/>
      <c r="Y28" s="1144"/>
      <c r="Z28" s="1124"/>
      <c r="AA28" s="1124"/>
      <c r="AB28" s="1124"/>
      <c r="AC28" s="1124"/>
      <c r="AD28" s="1124"/>
      <c r="AE28" s="1124"/>
      <c r="AF28" s="1124"/>
      <c r="AG28" s="1144"/>
    </row>
    <row r="29" spans="1:34" ht="116.25" customHeight="1">
      <c r="A29" s="1524">
        <v>1112</v>
      </c>
      <c r="B29" s="958" t="s">
        <v>640</v>
      </c>
      <c r="C29" s="1073" t="s">
        <v>641</v>
      </c>
      <c r="D29" s="1292"/>
      <c r="E29" s="1293">
        <v>5</v>
      </c>
      <c r="F29" s="1294">
        <v>43220</v>
      </c>
      <c r="G29" s="1294">
        <f t="shared" si="4"/>
        <v>43224</v>
      </c>
      <c r="H29" s="1292" t="s">
        <v>622</v>
      </c>
      <c r="I29" s="1293" t="s">
        <v>170</v>
      </c>
      <c r="J29" s="643" t="s">
        <v>642</v>
      </c>
      <c r="K29" s="1292" t="s">
        <v>648</v>
      </c>
      <c r="L29" s="1231">
        <v>23174</v>
      </c>
      <c r="M29" s="1292"/>
      <c r="N29" s="1292"/>
      <c r="O29" s="647">
        <v>653.33333333333337</v>
      </c>
      <c r="P29" s="1292">
        <v>1</v>
      </c>
      <c r="Q29" s="1295">
        <f t="shared" si="6"/>
        <v>653.33333333333337</v>
      </c>
      <c r="R29" s="956">
        <v>653.33333333333337</v>
      </c>
      <c r="S29" s="954"/>
      <c r="T29" s="651"/>
      <c r="U29" s="654">
        <f>Q29</f>
        <v>653.33333333333337</v>
      </c>
      <c r="V29" s="954"/>
      <c r="W29" s="954"/>
      <c r="X29" s="1166"/>
      <c r="Y29" s="1144"/>
      <c r="Z29" s="1124"/>
      <c r="AA29" s="1124"/>
      <c r="AB29" s="1124"/>
      <c r="AC29" s="1124"/>
      <c r="AD29" s="1124"/>
      <c r="AE29" s="1124"/>
      <c r="AF29" s="1124"/>
      <c r="AG29" s="1144"/>
    </row>
    <row r="30" spans="1:34" ht="116.25" customHeight="1">
      <c r="A30" s="1524">
        <v>1112</v>
      </c>
      <c r="B30" s="958" t="s">
        <v>640</v>
      </c>
      <c r="C30" s="1073" t="s">
        <v>641</v>
      </c>
      <c r="D30" s="1292"/>
      <c r="E30" s="1293">
        <v>5</v>
      </c>
      <c r="F30" s="1294">
        <v>43220</v>
      </c>
      <c r="G30" s="1294">
        <f t="shared" si="4"/>
        <v>43224</v>
      </c>
      <c r="H30" s="1292" t="s">
        <v>622</v>
      </c>
      <c r="I30" s="1293" t="s">
        <v>170</v>
      </c>
      <c r="J30" s="643" t="s">
        <v>642</v>
      </c>
      <c r="K30" s="1292" t="s">
        <v>649</v>
      </c>
      <c r="L30" s="1231">
        <v>23174</v>
      </c>
      <c r="M30" s="1292"/>
      <c r="N30" s="1292"/>
      <c r="O30" s="647">
        <v>490</v>
      </c>
      <c r="P30" s="1292">
        <v>1</v>
      </c>
      <c r="Q30" s="1295">
        <f t="shared" si="6"/>
        <v>490</v>
      </c>
      <c r="R30" s="956">
        <v>490</v>
      </c>
      <c r="S30" s="954"/>
      <c r="T30" s="651"/>
      <c r="U30" s="654">
        <f>Q30</f>
        <v>490</v>
      </c>
      <c r="V30" s="954"/>
      <c r="W30" s="954"/>
      <c r="X30" s="1166"/>
      <c r="Y30" s="1144"/>
      <c r="Z30" s="1124"/>
      <c r="AA30" s="1124"/>
      <c r="AB30" s="1124"/>
      <c r="AC30" s="1124"/>
      <c r="AD30" s="1124"/>
      <c r="AE30" s="1124"/>
      <c r="AF30" s="1124"/>
      <c r="AG30" s="1144"/>
    </row>
    <row r="31" spans="1:34" ht="116.25" customHeight="1">
      <c r="A31" s="1524">
        <v>1112</v>
      </c>
      <c r="B31" s="958" t="s">
        <v>640</v>
      </c>
      <c r="C31" s="1073" t="s">
        <v>641</v>
      </c>
      <c r="D31" s="1292"/>
      <c r="E31" s="1293">
        <v>5</v>
      </c>
      <c r="F31" s="1294">
        <v>43220</v>
      </c>
      <c r="G31" s="1294">
        <f t="shared" si="4"/>
        <v>43224</v>
      </c>
      <c r="H31" s="1292" t="s">
        <v>622</v>
      </c>
      <c r="I31" s="1293" t="s">
        <v>170</v>
      </c>
      <c r="J31" s="643" t="s">
        <v>642</v>
      </c>
      <c r="K31" s="1292" t="s">
        <v>650</v>
      </c>
      <c r="L31" s="1231">
        <v>23174</v>
      </c>
      <c r="M31" s="1292"/>
      <c r="N31" s="1292"/>
      <c r="O31" s="647">
        <v>326.66666666666669</v>
      </c>
      <c r="P31" s="1292">
        <v>1</v>
      </c>
      <c r="Q31" s="1295">
        <f t="shared" si="6"/>
        <v>326.66666666666669</v>
      </c>
      <c r="R31" s="956">
        <v>326.66666666666669</v>
      </c>
      <c r="S31" s="954"/>
      <c r="T31" s="651"/>
      <c r="U31" s="654">
        <f>Q31</f>
        <v>326.66666666666669</v>
      </c>
      <c r="V31" s="954"/>
      <c r="W31" s="954"/>
      <c r="X31" s="1166"/>
      <c r="Y31" s="1144"/>
      <c r="Z31" s="1124"/>
      <c r="AA31" s="1124"/>
      <c r="AB31" s="1124"/>
      <c r="AC31" s="1124"/>
      <c r="AD31" s="1124"/>
      <c r="AE31" s="1124"/>
      <c r="AF31" s="1124"/>
      <c r="AG31" s="1144"/>
    </row>
    <row r="32" spans="1:34" ht="116.25" customHeight="1">
      <c r="A32" s="1524">
        <v>1112</v>
      </c>
      <c r="B32" s="958" t="s">
        <v>640</v>
      </c>
      <c r="C32" s="1073" t="s">
        <v>641</v>
      </c>
      <c r="D32" s="1292"/>
      <c r="E32" s="1293">
        <v>5</v>
      </c>
      <c r="F32" s="1294">
        <v>43220</v>
      </c>
      <c r="G32" s="1294">
        <f t="shared" si="4"/>
        <v>43224</v>
      </c>
      <c r="H32" s="1292" t="s">
        <v>622</v>
      </c>
      <c r="I32" s="1293" t="s">
        <v>170</v>
      </c>
      <c r="J32" s="643" t="s">
        <v>642</v>
      </c>
      <c r="K32" s="1292" t="s">
        <v>651</v>
      </c>
      <c r="L32" s="1231">
        <v>23174</v>
      </c>
      <c r="M32" s="1292"/>
      <c r="N32" s="1292"/>
      <c r="O32" s="647">
        <v>6347</v>
      </c>
      <c r="P32" s="1292">
        <v>1</v>
      </c>
      <c r="Q32" s="1295">
        <f t="shared" si="6"/>
        <v>6347</v>
      </c>
      <c r="R32" s="956">
        <v>6347</v>
      </c>
      <c r="S32" s="954"/>
      <c r="T32" s="654">
        <f>Q32</f>
        <v>6347</v>
      </c>
      <c r="U32" s="651"/>
      <c r="V32" s="954"/>
      <c r="W32" s="954"/>
      <c r="X32" s="1166"/>
      <c r="Y32" s="1144"/>
      <c r="Z32" s="1124"/>
      <c r="AA32" s="1124"/>
      <c r="AB32" s="1124"/>
      <c r="AC32" s="1124"/>
      <c r="AD32" s="1124"/>
      <c r="AE32" s="1124"/>
      <c r="AF32" s="1124"/>
      <c r="AG32" s="1144"/>
    </row>
    <row r="33" spans="1:33" ht="116.25" customHeight="1">
      <c r="A33" s="1524">
        <v>1112</v>
      </c>
      <c r="B33" s="958" t="s">
        <v>640</v>
      </c>
      <c r="C33" s="1073" t="s">
        <v>641</v>
      </c>
      <c r="D33" s="1292"/>
      <c r="E33" s="1293">
        <v>5</v>
      </c>
      <c r="F33" s="1294">
        <v>43220</v>
      </c>
      <c r="G33" s="1294">
        <f t="shared" si="4"/>
        <v>43224</v>
      </c>
      <c r="H33" s="1292" t="s">
        <v>622</v>
      </c>
      <c r="I33" s="1293" t="s">
        <v>170</v>
      </c>
      <c r="J33" s="643" t="s">
        <v>642</v>
      </c>
      <c r="K33" s="1292" t="s">
        <v>652</v>
      </c>
      <c r="L33" s="1231">
        <v>23174</v>
      </c>
      <c r="M33" s="1292"/>
      <c r="N33" s="1292"/>
      <c r="O33" s="647">
        <v>924</v>
      </c>
      <c r="P33" s="1292">
        <v>1</v>
      </c>
      <c r="Q33" s="1295">
        <f t="shared" si="6"/>
        <v>924</v>
      </c>
      <c r="R33" s="956">
        <v>924</v>
      </c>
      <c r="S33" s="954"/>
      <c r="T33" s="651"/>
      <c r="U33" s="654">
        <f t="shared" ref="U33:U39" si="8">Q33</f>
        <v>924</v>
      </c>
      <c r="V33" s="954"/>
      <c r="W33" s="954"/>
      <c r="X33" s="1166"/>
      <c r="Y33" s="1144"/>
      <c r="Z33" s="1124"/>
      <c r="AA33" s="1124"/>
      <c r="AB33" s="1124"/>
      <c r="AC33" s="1124"/>
      <c r="AD33" s="1124"/>
      <c r="AE33" s="1124"/>
      <c r="AF33" s="1124"/>
      <c r="AG33" s="1144"/>
    </row>
    <row r="34" spans="1:33" ht="116.25" customHeight="1">
      <c r="A34" s="1524">
        <v>1112</v>
      </c>
      <c r="B34" s="958" t="s">
        <v>640</v>
      </c>
      <c r="C34" s="1073" t="s">
        <v>641</v>
      </c>
      <c r="D34" s="1292"/>
      <c r="E34" s="1293">
        <v>5</v>
      </c>
      <c r="F34" s="1294">
        <v>43220</v>
      </c>
      <c r="G34" s="1294">
        <f t="shared" si="4"/>
        <v>43224</v>
      </c>
      <c r="H34" s="1292" t="s">
        <v>622</v>
      </c>
      <c r="I34" s="1293" t="s">
        <v>170</v>
      </c>
      <c r="J34" s="643" t="s">
        <v>642</v>
      </c>
      <c r="K34" s="1292" t="s">
        <v>653</v>
      </c>
      <c r="L34" s="1231">
        <v>23174</v>
      </c>
      <c r="M34" s="1292"/>
      <c r="N34" s="1292"/>
      <c r="O34" s="647">
        <v>1026.6666666666665</v>
      </c>
      <c r="P34" s="1292">
        <v>1</v>
      </c>
      <c r="Q34" s="1295">
        <f t="shared" si="6"/>
        <v>1026.6666666666665</v>
      </c>
      <c r="R34" s="956">
        <v>1026.6666666666665</v>
      </c>
      <c r="S34" s="954"/>
      <c r="T34" s="651"/>
      <c r="U34" s="654">
        <f t="shared" si="8"/>
        <v>1026.6666666666665</v>
      </c>
      <c r="V34" s="954"/>
      <c r="W34" s="954"/>
      <c r="X34" s="1166"/>
      <c r="Y34" s="1144"/>
      <c r="Z34" s="1124"/>
      <c r="AA34" s="1124"/>
      <c r="AB34" s="1124"/>
      <c r="AC34" s="1124"/>
      <c r="AD34" s="1124"/>
      <c r="AE34" s="1124"/>
      <c r="AF34" s="1124"/>
      <c r="AG34" s="1144"/>
    </row>
    <row r="35" spans="1:33" ht="116.25" customHeight="1">
      <c r="A35" s="1524">
        <v>1112</v>
      </c>
      <c r="B35" s="958" t="s">
        <v>640</v>
      </c>
      <c r="C35" s="1073" t="s">
        <v>641</v>
      </c>
      <c r="D35" s="1292"/>
      <c r="E35" s="1293">
        <v>5</v>
      </c>
      <c r="F35" s="1294">
        <v>43220</v>
      </c>
      <c r="G35" s="1294">
        <f t="shared" si="4"/>
        <v>43224</v>
      </c>
      <c r="H35" s="1292" t="s">
        <v>622</v>
      </c>
      <c r="I35" s="1293"/>
      <c r="J35" s="643"/>
      <c r="K35" s="1292" t="s">
        <v>654</v>
      </c>
      <c r="L35" s="1231">
        <v>23174</v>
      </c>
      <c r="M35" s="1292"/>
      <c r="N35" s="1292"/>
      <c r="O35" s="647">
        <v>770</v>
      </c>
      <c r="P35" s="1292">
        <v>1</v>
      </c>
      <c r="Q35" s="1295">
        <f t="shared" si="6"/>
        <v>770</v>
      </c>
      <c r="R35" s="956">
        <v>770</v>
      </c>
      <c r="S35" s="954"/>
      <c r="T35" s="651"/>
      <c r="U35" s="654">
        <f t="shared" si="8"/>
        <v>770</v>
      </c>
      <c r="V35" s="954"/>
      <c r="W35" s="954"/>
      <c r="X35" s="1166"/>
      <c r="Y35" s="1144"/>
      <c r="Z35" s="1124"/>
      <c r="AA35" s="1124"/>
      <c r="AB35" s="1124"/>
      <c r="AC35" s="1124"/>
      <c r="AD35" s="1124"/>
      <c r="AE35" s="1124"/>
      <c r="AF35" s="1124"/>
      <c r="AG35" s="1144"/>
    </row>
    <row r="36" spans="1:33" ht="116.25" customHeight="1">
      <c r="A36" s="1524">
        <v>1112</v>
      </c>
      <c r="B36" s="958" t="s">
        <v>640</v>
      </c>
      <c r="C36" s="1073" t="s">
        <v>641</v>
      </c>
      <c r="D36" s="1292"/>
      <c r="E36" s="1293">
        <v>5</v>
      </c>
      <c r="F36" s="1294">
        <v>43220</v>
      </c>
      <c r="G36" s="1294">
        <f t="shared" si="4"/>
        <v>43224</v>
      </c>
      <c r="H36" s="1292" t="s">
        <v>622</v>
      </c>
      <c r="I36" s="1293"/>
      <c r="J36" s="643"/>
      <c r="K36" s="1292" t="s">
        <v>655</v>
      </c>
      <c r="L36" s="1231">
        <v>23174</v>
      </c>
      <c r="M36" s="1292"/>
      <c r="N36" s="1292"/>
      <c r="O36" s="647">
        <v>513</v>
      </c>
      <c r="P36" s="1292">
        <v>1</v>
      </c>
      <c r="Q36" s="1295">
        <f t="shared" si="6"/>
        <v>513</v>
      </c>
      <c r="R36" s="956">
        <v>513</v>
      </c>
      <c r="S36" s="954"/>
      <c r="T36" s="651"/>
      <c r="U36" s="654">
        <f t="shared" si="8"/>
        <v>513</v>
      </c>
      <c r="V36" s="954"/>
      <c r="W36" s="954"/>
      <c r="X36" s="1166"/>
      <c r="Y36" s="1144"/>
      <c r="Z36" s="1124"/>
      <c r="AA36" s="1124"/>
      <c r="AB36" s="1124"/>
      <c r="AC36" s="1124"/>
      <c r="AD36" s="1124"/>
      <c r="AE36" s="1124"/>
      <c r="AF36" s="1124"/>
      <c r="AG36" s="1144"/>
    </row>
    <row r="37" spans="1:33" ht="116.25" customHeight="1">
      <c r="A37" s="1524">
        <v>1112</v>
      </c>
      <c r="B37" s="958" t="s">
        <v>640</v>
      </c>
      <c r="C37" s="1073" t="s">
        <v>641</v>
      </c>
      <c r="D37" s="1292"/>
      <c r="E37" s="1293">
        <v>5</v>
      </c>
      <c r="F37" s="1294">
        <v>43220</v>
      </c>
      <c r="G37" s="1294">
        <f t="shared" si="4"/>
        <v>43224</v>
      </c>
      <c r="H37" s="1292" t="s">
        <v>622</v>
      </c>
      <c r="I37" s="1293" t="s">
        <v>170</v>
      </c>
      <c r="J37" s="643" t="s">
        <v>642</v>
      </c>
      <c r="K37" s="1292" t="s">
        <v>656</v>
      </c>
      <c r="L37" s="1231">
        <v>23174</v>
      </c>
      <c r="M37" s="1292"/>
      <c r="N37" s="1292"/>
      <c r="O37" s="647">
        <v>1764</v>
      </c>
      <c r="P37" s="1292">
        <v>1</v>
      </c>
      <c r="Q37" s="1295">
        <f t="shared" si="6"/>
        <v>1764</v>
      </c>
      <c r="R37" s="956">
        <v>1764</v>
      </c>
      <c r="S37" s="954"/>
      <c r="T37" s="651"/>
      <c r="U37" s="654">
        <f t="shared" si="8"/>
        <v>1764</v>
      </c>
      <c r="V37" s="954"/>
      <c r="W37" s="954"/>
      <c r="X37" s="1166"/>
      <c r="Y37" s="1144"/>
      <c r="Z37" s="1124"/>
      <c r="AA37" s="1124"/>
      <c r="AB37" s="1124"/>
      <c r="AC37" s="1124"/>
      <c r="AD37" s="1124"/>
      <c r="AE37" s="1124"/>
      <c r="AF37" s="1124"/>
      <c r="AG37" s="1144"/>
    </row>
    <row r="38" spans="1:33" ht="116.25" customHeight="1">
      <c r="A38" s="1524">
        <v>1112</v>
      </c>
      <c r="B38" s="958" t="s">
        <v>640</v>
      </c>
      <c r="C38" s="1073" t="s">
        <v>641</v>
      </c>
      <c r="D38" s="1292"/>
      <c r="E38" s="1293">
        <v>5</v>
      </c>
      <c r="F38" s="1294">
        <v>43220</v>
      </c>
      <c r="G38" s="1294">
        <f t="shared" si="4"/>
        <v>43224</v>
      </c>
      <c r="H38" s="1292" t="s">
        <v>622</v>
      </c>
      <c r="I38" s="1293" t="s">
        <v>170</v>
      </c>
      <c r="J38" s="643" t="s">
        <v>642</v>
      </c>
      <c r="K38" s="1292" t="s">
        <v>657</v>
      </c>
      <c r="L38" s="1231">
        <v>23174</v>
      </c>
      <c r="M38" s="1292"/>
      <c r="N38" s="1292"/>
      <c r="O38" s="647">
        <v>1960</v>
      </c>
      <c r="P38" s="1292">
        <v>1</v>
      </c>
      <c r="Q38" s="1295">
        <f t="shared" si="6"/>
        <v>1960</v>
      </c>
      <c r="R38" s="956">
        <v>1960</v>
      </c>
      <c r="S38" s="954"/>
      <c r="T38" s="651"/>
      <c r="U38" s="654">
        <f t="shared" si="8"/>
        <v>1960</v>
      </c>
      <c r="V38" s="954"/>
      <c r="W38" s="954"/>
      <c r="X38" s="1166"/>
      <c r="Y38" s="1144"/>
      <c r="Z38" s="1124"/>
      <c r="AA38" s="1124"/>
      <c r="AB38" s="1124"/>
      <c r="AC38" s="1124"/>
      <c r="AD38" s="1124"/>
      <c r="AE38" s="1124"/>
      <c r="AF38" s="1124"/>
      <c r="AG38" s="1144"/>
    </row>
    <row r="39" spans="1:33" ht="116.25" customHeight="1">
      <c r="A39" s="1524">
        <v>1112</v>
      </c>
      <c r="B39" s="958" t="s">
        <v>640</v>
      </c>
      <c r="C39" s="1073" t="s">
        <v>641</v>
      </c>
      <c r="D39" s="1292"/>
      <c r="E39" s="1293">
        <v>5</v>
      </c>
      <c r="F39" s="1294">
        <v>43220</v>
      </c>
      <c r="G39" s="1294">
        <f t="shared" si="4"/>
        <v>43224</v>
      </c>
      <c r="H39" s="1292" t="s">
        <v>622</v>
      </c>
      <c r="I39" s="1293"/>
      <c r="J39" s="643"/>
      <c r="K39" s="1292" t="s">
        <v>658</v>
      </c>
      <c r="L39" s="1231">
        <v>23174</v>
      </c>
      <c r="M39" s="1292"/>
      <c r="N39" s="1292"/>
      <c r="O39" s="647">
        <v>1960</v>
      </c>
      <c r="P39" s="1292">
        <v>1</v>
      </c>
      <c r="Q39" s="1295">
        <f t="shared" si="6"/>
        <v>1960</v>
      </c>
      <c r="R39" s="956">
        <v>1960</v>
      </c>
      <c r="S39" s="954"/>
      <c r="T39" s="651"/>
      <c r="U39" s="654">
        <f t="shared" si="8"/>
        <v>1960</v>
      </c>
      <c r="V39" s="954"/>
      <c r="W39" s="954"/>
      <c r="X39" s="1166"/>
      <c r="Y39" s="1144"/>
      <c r="Z39" s="1124"/>
      <c r="AA39" s="1124"/>
      <c r="AB39" s="1124"/>
      <c r="AC39" s="1124"/>
      <c r="AD39" s="1124"/>
      <c r="AE39" s="1124"/>
      <c r="AF39" s="1124"/>
      <c r="AG39" s="1144"/>
    </row>
    <row r="40" spans="1:33" ht="116.25" customHeight="1">
      <c r="A40" s="1524">
        <v>1112</v>
      </c>
      <c r="B40" s="958" t="s">
        <v>640</v>
      </c>
      <c r="C40" s="1073" t="s">
        <v>641</v>
      </c>
      <c r="D40" s="1292"/>
      <c r="E40" s="1293">
        <v>5</v>
      </c>
      <c r="F40" s="1294">
        <v>43220</v>
      </c>
      <c r="G40" s="1294">
        <f t="shared" si="4"/>
        <v>43224</v>
      </c>
      <c r="H40" s="1292" t="s">
        <v>622</v>
      </c>
      <c r="I40" s="1293" t="s">
        <v>170</v>
      </c>
      <c r="J40" s="643" t="s">
        <v>642</v>
      </c>
      <c r="K40" s="1292" t="s">
        <v>659</v>
      </c>
      <c r="L40" s="1231">
        <v>23174</v>
      </c>
      <c r="M40" s="1292"/>
      <c r="N40" s="1292"/>
      <c r="O40" s="647">
        <v>84</v>
      </c>
      <c r="P40" s="1292">
        <v>1</v>
      </c>
      <c r="Q40" s="1295">
        <f t="shared" si="6"/>
        <v>84</v>
      </c>
      <c r="R40" s="956">
        <v>84</v>
      </c>
      <c r="S40" s="954"/>
      <c r="T40" s="654">
        <f>Q40</f>
        <v>84</v>
      </c>
      <c r="U40" s="651"/>
      <c r="V40" s="954"/>
      <c r="W40" s="954"/>
      <c r="X40" s="1166"/>
      <c r="Y40" s="1144"/>
      <c r="Z40" s="1124"/>
      <c r="AA40" s="1124"/>
      <c r="AB40" s="1124"/>
      <c r="AC40" s="1124"/>
      <c r="AD40" s="1124"/>
      <c r="AE40" s="1124"/>
      <c r="AF40" s="1124"/>
      <c r="AG40" s="1144"/>
    </row>
    <row r="41" spans="1:33" ht="116.25" customHeight="1">
      <c r="A41" s="1524">
        <v>1112</v>
      </c>
      <c r="B41" s="958" t="s">
        <v>640</v>
      </c>
      <c r="C41" s="1073" t="s">
        <v>641</v>
      </c>
      <c r="D41" s="1292"/>
      <c r="E41" s="1293">
        <v>5</v>
      </c>
      <c r="F41" s="1294">
        <v>43220</v>
      </c>
      <c r="G41" s="1294">
        <f t="shared" si="4"/>
        <v>43224</v>
      </c>
      <c r="H41" s="1292" t="s">
        <v>622</v>
      </c>
      <c r="I41" s="1293" t="s">
        <v>170</v>
      </c>
      <c r="J41" s="643" t="s">
        <v>642</v>
      </c>
      <c r="K41" s="1292" t="s">
        <v>660</v>
      </c>
      <c r="L41" s="1231">
        <v>23174</v>
      </c>
      <c r="M41" s="1292"/>
      <c r="N41" s="1292"/>
      <c r="O41" s="647">
        <v>93.333333333333343</v>
      </c>
      <c r="P41" s="1292">
        <v>1</v>
      </c>
      <c r="Q41" s="1295">
        <f t="shared" si="6"/>
        <v>93.333333333333343</v>
      </c>
      <c r="R41" s="956">
        <v>93.333333333333343</v>
      </c>
      <c r="S41" s="954"/>
      <c r="T41" s="654">
        <f>Q41</f>
        <v>93.333333333333343</v>
      </c>
      <c r="U41" s="651"/>
      <c r="V41" s="954"/>
      <c r="W41" s="954"/>
      <c r="X41" s="1166"/>
      <c r="Y41" s="1144"/>
      <c r="Z41" s="1124"/>
      <c r="AA41" s="1124"/>
      <c r="AB41" s="1124"/>
      <c r="AC41" s="1124"/>
      <c r="AD41" s="1124"/>
      <c r="AE41" s="1124"/>
      <c r="AF41" s="1124"/>
      <c r="AG41" s="1144"/>
    </row>
    <row r="42" spans="1:33" ht="116.25" customHeight="1">
      <c r="A42" s="1524">
        <v>1112</v>
      </c>
      <c r="B42" s="958" t="s">
        <v>640</v>
      </c>
      <c r="C42" s="1073" t="s">
        <v>641</v>
      </c>
      <c r="D42" s="1292"/>
      <c r="E42" s="1293">
        <v>5</v>
      </c>
      <c r="F42" s="1294">
        <v>43220</v>
      </c>
      <c r="G42" s="1294">
        <f t="shared" si="4"/>
        <v>43224</v>
      </c>
      <c r="H42" s="1292" t="s">
        <v>622</v>
      </c>
      <c r="I42" s="1293" t="s">
        <v>170</v>
      </c>
      <c r="J42" s="643" t="s">
        <v>642</v>
      </c>
      <c r="K42" s="1292" t="s">
        <v>661</v>
      </c>
      <c r="L42" s="1231">
        <v>23174</v>
      </c>
      <c r="M42" s="1292"/>
      <c r="N42" s="1292"/>
      <c r="O42" s="647">
        <v>70</v>
      </c>
      <c r="P42" s="1292">
        <v>1</v>
      </c>
      <c r="Q42" s="1295">
        <f t="shared" si="6"/>
        <v>70</v>
      </c>
      <c r="R42" s="956">
        <v>70</v>
      </c>
      <c r="S42" s="954"/>
      <c r="T42" s="654">
        <f>Q42</f>
        <v>70</v>
      </c>
      <c r="U42" s="651"/>
      <c r="V42" s="954"/>
      <c r="W42" s="954"/>
      <c r="X42" s="1166"/>
      <c r="Y42" s="1144"/>
      <c r="Z42" s="1124"/>
      <c r="AA42" s="1124"/>
      <c r="AB42" s="1124"/>
      <c r="AC42" s="1124"/>
      <c r="AD42" s="1124"/>
      <c r="AE42" s="1124"/>
      <c r="AF42" s="1124"/>
      <c r="AG42" s="1144"/>
    </row>
    <row r="43" spans="1:33" ht="116.25" customHeight="1">
      <c r="A43" s="1524">
        <v>1112</v>
      </c>
      <c r="B43" s="958" t="s">
        <v>640</v>
      </c>
      <c r="C43" s="1073" t="s">
        <v>641</v>
      </c>
      <c r="D43" s="1292"/>
      <c r="E43" s="1293">
        <v>5</v>
      </c>
      <c r="F43" s="1294">
        <v>43220</v>
      </c>
      <c r="G43" s="1294">
        <f t="shared" si="4"/>
        <v>43224</v>
      </c>
      <c r="H43" s="1292" t="s">
        <v>622</v>
      </c>
      <c r="I43" s="1293" t="s">
        <v>170</v>
      </c>
      <c r="J43" s="643" t="s">
        <v>642</v>
      </c>
      <c r="K43" s="1292" t="s">
        <v>662</v>
      </c>
      <c r="L43" s="1231">
        <v>23174</v>
      </c>
      <c r="M43" s="1292"/>
      <c r="N43" s="1292"/>
      <c r="O43" s="647">
        <v>46.666666666666671</v>
      </c>
      <c r="P43" s="1292">
        <v>1</v>
      </c>
      <c r="Q43" s="1295">
        <f t="shared" si="6"/>
        <v>46.666666666666671</v>
      </c>
      <c r="R43" s="956">
        <v>46.666666666666671</v>
      </c>
      <c r="S43" s="954"/>
      <c r="T43" s="654">
        <f>Q43</f>
        <v>46.666666666666671</v>
      </c>
      <c r="U43" s="651"/>
      <c r="V43" s="954"/>
      <c r="W43" s="954"/>
      <c r="X43" s="1166"/>
      <c r="Y43" s="1144"/>
      <c r="Z43" s="1124"/>
      <c r="AA43" s="1124"/>
      <c r="AB43" s="1124"/>
      <c r="AC43" s="1124"/>
      <c r="AD43" s="1124"/>
      <c r="AE43" s="1124"/>
      <c r="AF43" s="1124"/>
      <c r="AG43" s="1144"/>
    </row>
    <row r="44" spans="1:33" ht="116.25" customHeight="1">
      <c r="A44" s="1524">
        <v>1112</v>
      </c>
      <c r="B44" s="958" t="s">
        <v>640</v>
      </c>
      <c r="C44" s="1073" t="s">
        <v>641</v>
      </c>
      <c r="D44" s="1292"/>
      <c r="E44" s="1293">
        <v>5</v>
      </c>
      <c r="F44" s="1294">
        <v>43220</v>
      </c>
      <c r="G44" s="1294">
        <f t="shared" si="4"/>
        <v>43224</v>
      </c>
      <c r="H44" s="1292" t="s">
        <v>622</v>
      </c>
      <c r="I44" s="1293" t="s">
        <v>170</v>
      </c>
      <c r="J44" s="643" t="s">
        <v>642</v>
      </c>
      <c r="K44" s="1292" t="s">
        <v>663</v>
      </c>
      <c r="L44" s="1231">
        <v>23174</v>
      </c>
      <c r="M44" s="1292"/>
      <c r="N44" s="1292"/>
      <c r="O44" s="647">
        <v>1176</v>
      </c>
      <c r="P44" s="1292">
        <v>1</v>
      </c>
      <c r="Q44" s="1295">
        <f t="shared" si="6"/>
        <v>1176</v>
      </c>
      <c r="R44" s="956">
        <v>1176</v>
      </c>
      <c r="S44" s="954"/>
      <c r="T44" s="651"/>
      <c r="U44" s="654">
        <f>Q44</f>
        <v>1176</v>
      </c>
      <c r="V44" s="954"/>
      <c r="W44" s="954"/>
      <c r="X44" s="1166"/>
      <c r="Y44" s="1144"/>
      <c r="Z44" s="1124"/>
      <c r="AA44" s="1124"/>
      <c r="AB44" s="1124"/>
      <c r="AC44" s="1124"/>
      <c r="AD44" s="1124"/>
      <c r="AE44" s="1124"/>
      <c r="AF44" s="1124"/>
      <c r="AG44" s="1144"/>
    </row>
    <row r="45" spans="1:33" ht="116.25" customHeight="1">
      <c r="A45" s="1524">
        <v>1112</v>
      </c>
      <c r="B45" s="958" t="s">
        <v>640</v>
      </c>
      <c r="C45" s="1073" t="s">
        <v>641</v>
      </c>
      <c r="D45" s="1292"/>
      <c r="E45" s="1293">
        <v>5</v>
      </c>
      <c r="F45" s="1294">
        <v>43220</v>
      </c>
      <c r="G45" s="1294">
        <f t="shared" si="4"/>
        <v>43224</v>
      </c>
      <c r="H45" s="1292" t="s">
        <v>622</v>
      </c>
      <c r="I45" s="1293" t="s">
        <v>170</v>
      </c>
      <c r="J45" s="643" t="s">
        <v>642</v>
      </c>
      <c r="K45" s="1292" t="s">
        <v>664</v>
      </c>
      <c r="L45" s="1231">
        <v>23174</v>
      </c>
      <c r="M45" s="1292"/>
      <c r="N45" s="1292"/>
      <c r="O45" s="647">
        <v>1306.6666666666667</v>
      </c>
      <c r="P45" s="1292">
        <v>1</v>
      </c>
      <c r="Q45" s="1295">
        <f t="shared" si="6"/>
        <v>1306.6666666666667</v>
      </c>
      <c r="R45" s="956">
        <v>1306.6666666666667</v>
      </c>
      <c r="S45" s="954"/>
      <c r="T45" s="651"/>
      <c r="U45" s="654">
        <f>Q45</f>
        <v>1306.6666666666667</v>
      </c>
      <c r="V45" s="954"/>
      <c r="W45" s="954"/>
      <c r="X45" s="1166"/>
      <c r="Y45" s="1144"/>
      <c r="Z45" s="1124"/>
      <c r="AA45" s="1124"/>
      <c r="AB45" s="1124"/>
      <c r="AC45" s="1124"/>
      <c r="AD45" s="1124"/>
      <c r="AE45" s="1124"/>
      <c r="AF45" s="1124"/>
      <c r="AG45" s="1144"/>
    </row>
    <row r="46" spans="1:33" ht="116.25" customHeight="1">
      <c r="A46" s="1524">
        <v>1112</v>
      </c>
      <c r="B46" s="958" t="s">
        <v>640</v>
      </c>
      <c r="C46" s="1073" t="s">
        <v>641</v>
      </c>
      <c r="D46" s="1292"/>
      <c r="E46" s="1293">
        <v>5</v>
      </c>
      <c r="F46" s="1294">
        <v>43220</v>
      </c>
      <c r="G46" s="1294">
        <f t="shared" si="4"/>
        <v>43224</v>
      </c>
      <c r="H46" s="1292" t="s">
        <v>622</v>
      </c>
      <c r="I46" s="1293" t="s">
        <v>170</v>
      </c>
      <c r="J46" s="643" t="s">
        <v>642</v>
      </c>
      <c r="K46" s="1292" t="s">
        <v>665</v>
      </c>
      <c r="L46" s="1231">
        <v>23174</v>
      </c>
      <c r="M46" s="1292"/>
      <c r="N46" s="1292"/>
      <c r="O46" s="647">
        <v>373</v>
      </c>
      <c r="P46" s="1292">
        <v>1</v>
      </c>
      <c r="Q46" s="1295">
        <f t="shared" si="6"/>
        <v>373</v>
      </c>
      <c r="R46" s="956">
        <v>373</v>
      </c>
      <c r="S46" s="954"/>
      <c r="T46" s="654">
        <f>Q46</f>
        <v>373</v>
      </c>
      <c r="U46" s="651"/>
      <c r="V46" s="954"/>
      <c r="W46" s="954"/>
      <c r="X46" s="1166"/>
      <c r="Y46" s="1144"/>
      <c r="Z46" s="1124"/>
      <c r="AA46" s="1124"/>
      <c r="AB46" s="1124"/>
      <c r="AC46" s="1124"/>
      <c r="AD46" s="1124"/>
      <c r="AE46" s="1124"/>
      <c r="AF46" s="1124"/>
      <c r="AG46" s="1144"/>
    </row>
    <row r="47" spans="1:33" ht="116.25" customHeight="1">
      <c r="A47" s="1524">
        <v>1112</v>
      </c>
      <c r="B47" s="958" t="s">
        <v>640</v>
      </c>
      <c r="C47" s="1073" t="s">
        <v>641</v>
      </c>
      <c r="D47" s="1292"/>
      <c r="E47" s="1293">
        <v>5</v>
      </c>
      <c r="F47" s="1294">
        <v>43220</v>
      </c>
      <c r="G47" s="1294">
        <f t="shared" si="4"/>
        <v>43224</v>
      </c>
      <c r="H47" s="1292" t="s">
        <v>622</v>
      </c>
      <c r="I47" s="1293" t="s">
        <v>170</v>
      </c>
      <c r="J47" s="643" t="s">
        <v>642</v>
      </c>
      <c r="K47" s="1292" t="s">
        <v>638</v>
      </c>
      <c r="L47" s="1231">
        <v>23173</v>
      </c>
      <c r="M47" s="1292"/>
      <c r="N47" s="1292"/>
      <c r="O47" s="647">
        <v>833.33333333333337</v>
      </c>
      <c r="P47" s="1292">
        <v>1</v>
      </c>
      <c r="Q47" s="1295">
        <f t="shared" si="6"/>
        <v>833.33333333333337</v>
      </c>
      <c r="R47" s="956">
        <v>833.33333333333337</v>
      </c>
      <c r="S47" s="954"/>
      <c r="T47" s="654">
        <f>Q47</f>
        <v>833.33333333333337</v>
      </c>
      <c r="U47" s="651"/>
      <c r="V47" s="954"/>
      <c r="W47" s="954"/>
      <c r="X47" s="1166"/>
      <c r="Y47" s="1144"/>
      <c r="Z47" s="1124"/>
      <c r="AA47" s="1124"/>
      <c r="AB47" s="1124"/>
      <c r="AC47" s="1124"/>
      <c r="AD47" s="1124"/>
      <c r="AE47" s="1124"/>
      <c r="AF47" s="1124"/>
      <c r="AG47" s="1144"/>
    </row>
    <row r="48" spans="1:33" ht="116.25" customHeight="1">
      <c r="A48" s="1524">
        <v>1112</v>
      </c>
      <c r="B48" s="958" t="s">
        <v>640</v>
      </c>
      <c r="C48" s="1073" t="s">
        <v>666</v>
      </c>
      <c r="D48" s="1292"/>
      <c r="E48" s="1293">
        <v>1</v>
      </c>
      <c r="F48" s="1294">
        <v>43225</v>
      </c>
      <c r="G48" s="1294">
        <f t="shared" si="4"/>
        <v>43225</v>
      </c>
      <c r="H48" s="1292" t="s">
        <v>667</v>
      </c>
      <c r="I48" s="1293" t="s">
        <v>170</v>
      </c>
      <c r="J48" s="643" t="s">
        <v>642</v>
      </c>
      <c r="K48" s="1292" t="s">
        <v>668</v>
      </c>
      <c r="L48" s="1231">
        <v>23173</v>
      </c>
      <c r="M48" s="1292"/>
      <c r="N48" s="1292"/>
      <c r="O48" s="647">
        <v>333.33333333333331</v>
      </c>
      <c r="P48" s="1292">
        <v>1</v>
      </c>
      <c r="Q48" s="1295">
        <f t="shared" si="6"/>
        <v>333.33333333333331</v>
      </c>
      <c r="R48" s="956">
        <v>333.33333333333331</v>
      </c>
      <c r="S48" s="954"/>
      <c r="T48" s="651"/>
      <c r="U48" s="654">
        <f>Q48</f>
        <v>333.33333333333331</v>
      </c>
      <c r="V48" s="954"/>
      <c r="W48" s="954"/>
      <c r="X48" s="1166"/>
      <c r="Y48" s="1144"/>
      <c r="Z48" s="1124"/>
      <c r="AA48" s="1124"/>
      <c r="AB48" s="1124"/>
      <c r="AC48" s="1124"/>
      <c r="AD48" s="1124"/>
      <c r="AE48" s="1124"/>
      <c r="AF48" s="1124"/>
      <c r="AG48" s="1144"/>
    </row>
    <row r="49" spans="1:34" ht="116.25" customHeight="1">
      <c r="A49" s="1524">
        <v>1112</v>
      </c>
      <c r="B49" s="958" t="s">
        <v>640</v>
      </c>
      <c r="C49" s="1073" t="s">
        <v>666</v>
      </c>
      <c r="D49" s="1292"/>
      <c r="E49" s="1293">
        <v>1</v>
      </c>
      <c r="F49" s="1294">
        <v>43225</v>
      </c>
      <c r="G49" s="1294">
        <f t="shared" si="4"/>
        <v>43225</v>
      </c>
      <c r="H49" s="1292" t="s">
        <v>667</v>
      </c>
      <c r="I49" s="1293" t="s">
        <v>170</v>
      </c>
      <c r="J49" s="643" t="s">
        <v>642</v>
      </c>
      <c r="K49" s="1292" t="s">
        <v>670</v>
      </c>
      <c r="L49" s="1231">
        <v>23173</v>
      </c>
      <c r="M49" s="1292"/>
      <c r="N49" s="1292"/>
      <c r="O49" s="647">
        <v>466.66666666666669</v>
      </c>
      <c r="P49" s="1292">
        <v>1</v>
      </c>
      <c r="Q49" s="1295">
        <f t="shared" si="6"/>
        <v>466.66666666666669</v>
      </c>
      <c r="R49" s="956">
        <v>466.66666666666669</v>
      </c>
      <c r="S49" s="954"/>
      <c r="T49" s="651"/>
      <c r="U49" s="654">
        <f>Q49</f>
        <v>466.66666666666669</v>
      </c>
      <c r="V49" s="954"/>
      <c r="W49" s="954"/>
      <c r="X49" s="1166"/>
      <c r="Y49" s="1144"/>
      <c r="Z49" s="1124"/>
      <c r="AA49" s="1124"/>
      <c r="AB49" s="1124"/>
      <c r="AC49" s="1124"/>
      <c r="AD49" s="1124"/>
      <c r="AE49" s="1124"/>
      <c r="AF49" s="1124"/>
      <c r="AG49" s="1144"/>
    </row>
    <row r="50" spans="1:34" s="1028" customFormat="1" ht="73.900000000000006" customHeight="1">
      <c r="A50" s="1524">
        <v>1113</v>
      </c>
      <c r="B50" s="957" t="s">
        <v>671</v>
      </c>
      <c r="C50" s="1072" t="s">
        <v>672</v>
      </c>
      <c r="D50" s="1284"/>
      <c r="E50" s="1285">
        <v>5</v>
      </c>
      <c r="F50" s="1286">
        <v>43227</v>
      </c>
      <c r="G50" s="1286">
        <f t="shared" si="4"/>
        <v>43231</v>
      </c>
      <c r="H50" s="1284" t="s">
        <v>667</v>
      </c>
      <c r="I50" s="1285" t="s">
        <v>170</v>
      </c>
      <c r="J50" s="1026" t="s">
        <v>673</v>
      </c>
      <c r="K50" s="1284" t="s">
        <v>268</v>
      </c>
      <c r="L50" s="1230"/>
      <c r="M50" s="1284"/>
      <c r="N50" s="1284"/>
      <c r="O50" s="647"/>
      <c r="P50" s="1284"/>
      <c r="Q50" s="1288">
        <f>SUM(Q51:Q55)</f>
        <v>6494.0000000000009</v>
      </c>
      <c r="R50" s="1027">
        <f>SUM(R51:R55)</f>
        <v>6494.0000000000009</v>
      </c>
      <c r="S50" s="1289">
        <f t="shared" ref="S50:AF50" si="9">SUM(S51:S55)</f>
        <v>0</v>
      </c>
      <c r="T50" s="1289">
        <f t="shared" si="9"/>
        <v>0</v>
      </c>
      <c r="U50" s="1289">
        <f t="shared" si="9"/>
        <v>6494.0000000000009</v>
      </c>
      <c r="V50" s="1289">
        <f t="shared" si="9"/>
        <v>0</v>
      </c>
      <c r="W50" s="1289">
        <f t="shared" si="9"/>
        <v>0</v>
      </c>
      <c r="X50" s="1290">
        <f t="shared" si="9"/>
        <v>0</v>
      </c>
      <c r="Y50" s="1291">
        <f t="shared" si="9"/>
        <v>0</v>
      </c>
      <c r="Z50" s="1184">
        <f t="shared" si="9"/>
        <v>0</v>
      </c>
      <c r="AA50" s="1184">
        <f t="shared" si="9"/>
        <v>0</v>
      </c>
      <c r="AB50" s="1184">
        <f t="shared" si="9"/>
        <v>0</v>
      </c>
      <c r="AC50" s="1184">
        <f t="shared" si="9"/>
        <v>0</v>
      </c>
      <c r="AD50" s="1184">
        <f t="shared" si="9"/>
        <v>0</v>
      </c>
      <c r="AE50" s="1184">
        <f t="shared" si="9"/>
        <v>0</v>
      </c>
      <c r="AF50" s="1184">
        <f t="shared" si="9"/>
        <v>0</v>
      </c>
      <c r="AG50" s="1047">
        <f>SUM(S50:AF50)</f>
        <v>6494.0000000000009</v>
      </c>
      <c r="AH50" s="357"/>
    </row>
    <row r="51" spans="1:34" ht="73.900000000000006" customHeight="1">
      <c r="A51" s="1524">
        <v>1113</v>
      </c>
      <c r="B51" s="958" t="s">
        <v>671</v>
      </c>
      <c r="C51" s="1073" t="s">
        <v>672</v>
      </c>
      <c r="D51" s="1292"/>
      <c r="E51" s="1293">
        <v>5</v>
      </c>
      <c r="F51" s="1294">
        <v>43227</v>
      </c>
      <c r="G51" s="1294">
        <f t="shared" si="4"/>
        <v>43231</v>
      </c>
      <c r="H51" s="1292" t="s">
        <v>667</v>
      </c>
      <c r="I51" s="1293" t="s">
        <v>170</v>
      </c>
      <c r="J51" s="643" t="s">
        <v>673</v>
      </c>
      <c r="K51" s="1292" t="s">
        <v>674</v>
      </c>
      <c r="L51" s="1231">
        <v>23174</v>
      </c>
      <c r="M51" s="1292"/>
      <c r="N51" s="1292"/>
      <c r="O51" s="647">
        <v>588</v>
      </c>
      <c r="P51" s="1292">
        <v>1</v>
      </c>
      <c r="Q51" s="1295">
        <f t="shared" si="6"/>
        <v>588</v>
      </c>
      <c r="R51" s="956">
        <v>588</v>
      </c>
      <c r="S51" s="954"/>
      <c r="T51" s="954"/>
      <c r="U51" s="654">
        <f>Q51</f>
        <v>588</v>
      </c>
      <c r="V51" s="954"/>
      <c r="W51" s="954"/>
      <c r="X51" s="1166"/>
      <c r="Y51" s="1144"/>
      <c r="Z51" s="1124"/>
      <c r="AA51" s="1124"/>
      <c r="AB51" s="1124"/>
      <c r="AC51" s="1124"/>
      <c r="AD51" s="1124"/>
      <c r="AE51" s="1124"/>
      <c r="AF51" s="1124"/>
      <c r="AG51" s="1144"/>
    </row>
    <row r="52" spans="1:34" ht="73.900000000000006" customHeight="1">
      <c r="A52" s="1524">
        <v>1113</v>
      </c>
      <c r="B52" s="958" t="s">
        <v>671</v>
      </c>
      <c r="C52" s="1073" t="s">
        <v>672</v>
      </c>
      <c r="D52" s="1292"/>
      <c r="E52" s="1293">
        <v>5</v>
      </c>
      <c r="F52" s="1294">
        <v>43227</v>
      </c>
      <c r="G52" s="1294">
        <f t="shared" si="4"/>
        <v>43231</v>
      </c>
      <c r="H52" s="1292" t="s">
        <v>667</v>
      </c>
      <c r="I52" s="1293" t="s">
        <v>170</v>
      </c>
      <c r="J52" s="643" t="s">
        <v>673</v>
      </c>
      <c r="K52" s="1292" t="s">
        <v>675</v>
      </c>
      <c r="L52" s="1231">
        <v>23174</v>
      </c>
      <c r="M52" s="1292"/>
      <c r="N52" s="1292"/>
      <c r="O52" s="647">
        <v>653.33333333333337</v>
      </c>
      <c r="P52" s="1292">
        <v>1</v>
      </c>
      <c r="Q52" s="1295">
        <f t="shared" si="6"/>
        <v>653.33333333333337</v>
      </c>
      <c r="R52" s="956">
        <v>653.33333333333337</v>
      </c>
      <c r="S52" s="954"/>
      <c r="T52" s="954"/>
      <c r="U52" s="654">
        <f>Q52</f>
        <v>653.33333333333337</v>
      </c>
      <c r="V52" s="954"/>
      <c r="W52" s="954"/>
      <c r="X52" s="1166"/>
      <c r="Y52" s="1144"/>
      <c r="Z52" s="1124"/>
      <c r="AA52" s="1124"/>
      <c r="AB52" s="1124"/>
      <c r="AC52" s="1124"/>
      <c r="AD52" s="1124"/>
      <c r="AE52" s="1124"/>
      <c r="AF52" s="1124"/>
      <c r="AG52" s="1144"/>
    </row>
    <row r="53" spans="1:34" ht="73.900000000000006" customHeight="1">
      <c r="A53" s="1524">
        <v>1113</v>
      </c>
      <c r="B53" s="958" t="s">
        <v>671</v>
      </c>
      <c r="C53" s="1073" t="s">
        <v>672</v>
      </c>
      <c r="D53" s="1292"/>
      <c r="E53" s="1293">
        <v>5</v>
      </c>
      <c r="F53" s="1294">
        <v>43227</v>
      </c>
      <c r="G53" s="1294">
        <f t="shared" si="4"/>
        <v>43231</v>
      </c>
      <c r="H53" s="1292" t="s">
        <v>667</v>
      </c>
      <c r="I53" s="1293" t="s">
        <v>170</v>
      </c>
      <c r="J53" s="643" t="s">
        <v>673</v>
      </c>
      <c r="K53" s="1292" t="s">
        <v>676</v>
      </c>
      <c r="L53" s="1231">
        <v>23174</v>
      </c>
      <c r="M53" s="1292"/>
      <c r="N53" s="1292"/>
      <c r="O53" s="647">
        <v>653</v>
      </c>
      <c r="P53" s="1292">
        <v>1</v>
      </c>
      <c r="Q53" s="1295">
        <f t="shared" si="6"/>
        <v>653</v>
      </c>
      <c r="R53" s="956">
        <v>653</v>
      </c>
      <c r="S53" s="954"/>
      <c r="T53" s="954"/>
      <c r="U53" s="654">
        <f>Q53</f>
        <v>653</v>
      </c>
      <c r="V53" s="954"/>
      <c r="W53" s="954"/>
      <c r="X53" s="1166"/>
      <c r="Y53" s="1144"/>
      <c r="Z53" s="1124"/>
      <c r="AA53" s="1124"/>
      <c r="AB53" s="1124"/>
      <c r="AC53" s="1124"/>
      <c r="AD53" s="1124"/>
      <c r="AE53" s="1124"/>
      <c r="AF53" s="1124"/>
      <c r="AG53" s="1144"/>
    </row>
    <row r="54" spans="1:34" ht="73.900000000000006" customHeight="1">
      <c r="A54" s="1524">
        <v>1113</v>
      </c>
      <c r="B54" s="958" t="s">
        <v>671</v>
      </c>
      <c r="C54" s="1073" t="s">
        <v>672</v>
      </c>
      <c r="D54" s="1292"/>
      <c r="E54" s="1293">
        <v>5</v>
      </c>
      <c r="F54" s="1294">
        <v>43227</v>
      </c>
      <c r="G54" s="1294">
        <f t="shared" si="4"/>
        <v>43231</v>
      </c>
      <c r="H54" s="1292" t="s">
        <v>667</v>
      </c>
      <c r="I54" s="1293" t="s">
        <v>170</v>
      </c>
      <c r="J54" s="643" t="s">
        <v>673</v>
      </c>
      <c r="K54" s="1292" t="s">
        <v>677</v>
      </c>
      <c r="L54" s="1231">
        <v>23173</v>
      </c>
      <c r="M54" s="1292"/>
      <c r="N54" s="1292"/>
      <c r="O54" s="647">
        <v>3833</v>
      </c>
      <c r="P54" s="1292">
        <v>1</v>
      </c>
      <c r="Q54" s="1295">
        <f t="shared" si="6"/>
        <v>3833</v>
      </c>
      <c r="R54" s="956">
        <v>3833</v>
      </c>
      <c r="S54" s="954"/>
      <c r="T54" s="954"/>
      <c r="U54" s="654">
        <f>Q54</f>
        <v>3833</v>
      </c>
      <c r="V54" s="954"/>
      <c r="W54" s="954"/>
      <c r="X54" s="1166"/>
      <c r="Y54" s="1144"/>
      <c r="Z54" s="1124"/>
      <c r="AA54" s="1124"/>
      <c r="AB54" s="1124"/>
      <c r="AC54" s="1124"/>
      <c r="AD54" s="1124"/>
      <c r="AE54" s="1124"/>
      <c r="AF54" s="1124"/>
      <c r="AG54" s="1144"/>
    </row>
    <row r="55" spans="1:34" ht="73.900000000000006" customHeight="1">
      <c r="A55" s="1524">
        <v>1113</v>
      </c>
      <c r="B55" s="958" t="s">
        <v>671</v>
      </c>
      <c r="C55" s="1073" t="s">
        <v>672</v>
      </c>
      <c r="D55" s="1292"/>
      <c r="E55" s="1293">
        <v>5</v>
      </c>
      <c r="F55" s="1294">
        <v>43227</v>
      </c>
      <c r="G55" s="1294">
        <f t="shared" si="4"/>
        <v>43231</v>
      </c>
      <c r="H55" s="1292" t="s">
        <v>667</v>
      </c>
      <c r="I55" s="1293" t="s">
        <v>170</v>
      </c>
      <c r="J55" s="643" t="s">
        <v>673</v>
      </c>
      <c r="K55" s="1292" t="s">
        <v>678</v>
      </c>
      <c r="L55" s="1231">
        <v>23173</v>
      </c>
      <c r="M55" s="1292"/>
      <c r="N55" s="1292"/>
      <c r="O55" s="647">
        <v>766.66666666666674</v>
      </c>
      <c r="P55" s="1292">
        <v>1</v>
      </c>
      <c r="Q55" s="1295">
        <f t="shared" si="6"/>
        <v>766.66666666666674</v>
      </c>
      <c r="R55" s="956">
        <v>766.66666666666674</v>
      </c>
      <c r="S55" s="954"/>
      <c r="T55" s="954"/>
      <c r="U55" s="654">
        <f>Q55</f>
        <v>766.66666666666674</v>
      </c>
      <c r="V55" s="954"/>
      <c r="W55" s="954"/>
      <c r="X55" s="1166"/>
      <c r="Y55" s="1144"/>
      <c r="Z55" s="1124"/>
      <c r="AA55" s="1124"/>
      <c r="AB55" s="1124"/>
      <c r="AC55" s="1124"/>
      <c r="AD55" s="1124"/>
      <c r="AE55" s="1124"/>
      <c r="AF55" s="1124"/>
      <c r="AG55" s="1144"/>
    </row>
    <row r="56" spans="1:34" s="1028" customFormat="1" ht="73.900000000000006" customHeight="1">
      <c r="A56" s="1524">
        <v>1114</v>
      </c>
      <c r="B56" s="957" t="s">
        <v>679</v>
      </c>
      <c r="C56" s="1072" t="s">
        <v>680</v>
      </c>
      <c r="D56" s="1284"/>
      <c r="E56" s="1285">
        <v>5</v>
      </c>
      <c r="F56" s="1286">
        <v>43248</v>
      </c>
      <c r="G56" s="1286">
        <f t="shared" si="4"/>
        <v>43252</v>
      </c>
      <c r="H56" s="1284" t="s">
        <v>681</v>
      </c>
      <c r="I56" s="1285" t="s">
        <v>170</v>
      </c>
      <c r="J56" s="1026" t="s">
        <v>682</v>
      </c>
      <c r="K56" s="1284" t="s">
        <v>268</v>
      </c>
      <c r="L56" s="1230"/>
      <c r="M56" s="1284"/>
      <c r="N56" s="1284"/>
      <c r="O56" s="647"/>
      <c r="P56" s="1284"/>
      <c r="Q56" s="1288">
        <f>SUM(Q57:Q67)</f>
        <v>29221</v>
      </c>
      <c r="R56" s="1027">
        <f>SUM(R57:R67)</f>
        <v>29221</v>
      </c>
      <c r="S56" s="1289">
        <f t="shared" ref="S56:AF56" si="10">SUM(S57:S67)</f>
        <v>0</v>
      </c>
      <c r="T56" s="1289">
        <f t="shared" si="10"/>
        <v>0</v>
      </c>
      <c r="U56" s="1289">
        <f t="shared" si="10"/>
        <v>9963</v>
      </c>
      <c r="V56" s="1289">
        <f t="shared" si="10"/>
        <v>19258</v>
      </c>
      <c r="W56" s="1289">
        <f t="shared" si="10"/>
        <v>0</v>
      </c>
      <c r="X56" s="1290">
        <f t="shared" si="10"/>
        <v>0</v>
      </c>
      <c r="Y56" s="1291">
        <f t="shared" si="10"/>
        <v>0</v>
      </c>
      <c r="Z56" s="1184">
        <f t="shared" si="10"/>
        <v>0</v>
      </c>
      <c r="AA56" s="1184">
        <f t="shared" si="10"/>
        <v>0</v>
      </c>
      <c r="AB56" s="1184">
        <f t="shared" si="10"/>
        <v>0</v>
      </c>
      <c r="AC56" s="1184">
        <f t="shared" si="10"/>
        <v>0</v>
      </c>
      <c r="AD56" s="1184">
        <f t="shared" si="10"/>
        <v>0</v>
      </c>
      <c r="AE56" s="1184">
        <f t="shared" si="10"/>
        <v>0</v>
      </c>
      <c r="AF56" s="1184">
        <f t="shared" si="10"/>
        <v>0</v>
      </c>
      <c r="AG56" s="1047">
        <f>SUM(S56:AF56)</f>
        <v>29221</v>
      </c>
      <c r="AH56" s="357"/>
    </row>
    <row r="57" spans="1:34" ht="73.900000000000006" customHeight="1">
      <c r="A57" s="1524">
        <v>1114</v>
      </c>
      <c r="B57" s="958" t="s">
        <v>679</v>
      </c>
      <c r="C57" s="1073" t="s">
        <v>680</v>
      </c>
      <c r="D57" s="1292"/>
      <c r="E57" s="1293">
        <v>5</v>
      </c>
      <c r="F57" s="1294">
        <v>43248</v>
      </c>
      <c r="G57" s="1294">
        <f t="shared" si="4"/>
        <v>43252</v>
      </c>
      <c r="H57" s="1292" t="s">
        <v>681</v>
      </c>
      <c r="I57" s="1293" t="s">
        <v>170</v>
      </c>
      <c r="J57" s="643" t="s">
        <v>682</v>
      </c>
      <c r="K57" s="1292" t="s">
        <v>683</v>
      </c>
      <c r="L57" s="1231">
        <v>23174</v>
      </c>
      <c r="M57" s="1292"/>
      <c r="N57" s="1292"/>
      <c r="O57" s="647">
        <v>588</v>
      </c>
      <c r="P57" s="1292">
        <v>1</v>
      </c>
      <c r="Q57" s="1295">
        <f t="shared" si="6"/>
        <v>588</v>
      </c>
      <c r="R57" s="956">
        <v>588</v>
      </c>
      <c r="S57" s="954"/>
      <c r="T57" s="954"/>
      <c r="U57" s="654">
        <f t="shared" ref="U57:U64" si="11">Q57</f>
        <v>588</v>
      </c>
      <c r="V57" s="651"/>
      <c r="W57" s="954"/>
      <c r="X57" s="1166"/>
      <c r="Y57" s="1144"/>
      <c r="Z57" s="1124"/>
      <c r="AA57" s="1124"/>
      <c r="AB57" s="1124"/>
      <c r="AC57" s="1124"/>
      <c r="AD57" s="1124"/>
      <c r="AE57" s="1124"/>
      <c r="AF57" s="1124"/>
      <c r="AG57" s="1144"/>
    </row>
    <row r="58" spans="1:34" ht="73.900000000000006" customHeight="1">
      <c r="A58" s="1524">
        <v>1114</v>
      </c>
      <c r="B58" s="958" t="s">
        <v>679</v>
      </c>
      <c r="C58" s="1073" t="s">
        <v>680</v>
      </c>
      <c r="D58" s="1292"/>
      <c r="E58" s="1293">
        <v>5</v>
      </c>
      <c r="F58" s="1294">
        <v>43248</v>
      </c>
      <c r="G58" s="1294">
        <f t="shared" si="4"/>
        <v>43252</v>
      </c>
      <c r="H58" s="1292" t="s">
        <v>681</v>
      </c>
      <c r="I58" s="1293" t="s">
        <v>170</v>
      </c>
      <c r="J58" s="643" t="s">
        <v>682</v>
      </c>
      <c r="K58" s="1292" t="s">
        <v>684</v>
      </c>
      <c r="L58" s="1231">
        <v>23174</v>
      </c>
      <c r="M58" s="1292"/>
      <c r="N58" s="1292"/>
      <c r="O58" s="647">
        <v>653.33333333333337</v>
      </c>
      <c r="P58" s="1292">
        <v>1</v>
      </c>
      <c r="Q58" s="1295">
        <f t="shared" si="6"/>
        <v>653.33333333333337</v>
      </c>
      <c r="R58" s="956">
        <v>653.33333333333337</v>
      </c>
      <c r="S58" s="954"/>
      <c r="T58" s="954"/>
      <c r="U58" s="654">
        <f t="shared" si="11"/>
        <v>653.33333333333337</v>
      </c>
      <c r="V58" s="651"/>
      <c r="W58" s="954"/>
      <c r="X58" s="1166"/>
      <c r="Y58" s="1144"/>
      <c r="Z58" s="1124"/>
      <c r="AA58" s="1124"/>
      <c r="AB58" s="1124"/>
      <c r="AC58" s="1124"/>
      <c r="AD58" s="1124"/>
      <c r="AE58" s="1124"/>
      <c r="AF58" s="1124"/>
      <c r="AG58" s="1144"/>
    </row>
    <row r="59" spans="1:34" ht="73.900000000000006" customHeight="1">
      <c r="A59" s="1524">
        <v>1114</v>
      </c>
      <c r="B59" s="958" t="s">
        <v>679</v>
      </c>
      <c r="C59" s="1073" t="s">
        <v>680</v>
      </c>
      <c r="D59" s="1292"/>
      <c r="E59" s="1293">
        <v>5</v>
      </c>
      <c r="F59" s="1294">
        <v>43248</v>
      </c>
      <c r="G59" s="1294">
        <f t="shared" si="4"/>
        <v>43252</v>
      </c>
      <c r="H59" s="1292" t="s">
        <v>681</v>
      </c>
      <c r="I59" s="1293" t="s">
        <v>170</v>
      </c>
      <c r="J59" s="643" t="s">
        <v>682</v>
      </c>
      <c r="K59" s="1292" t="s">
        <v>685</v>
      </c>
      <c r="L59" s="1231">
        <v>23174</v>
      </c>
      <c r="M59" s="1292"/>
      <c r="N59" s="1292"/>
      <c r="O59" s="647">
        <v>490</v>
      </c>
      <c r="P59" s="1292">
        <v>1</v>
      </c>
      <c r="Q59" s="1295">
        <f t="shared" si="6"/>
        <v>490</v>
      </c>
      <c r="R59" s="956">
        <v>490</v>
      </c>
      <c r="S59" s="954"/>
      <c r="T59" s="954"/>
      <c r="U59" s="654">
        <f t="shared" si="11"/>
        <v>490</v>
      </c>
      <c r="V59" s="651"/>
      <c r="W59" s="954"/>
      <c r="X59" s="1166"/>
      <c r="Y59" s="1144"/>
      <c r="Z59" s="1124"/>
      <c r="AA59" s="1124"/>
      <c r="AB59" s="1124"/>
      <c r="AC59" s="1124"/>
      <c r="AD59" s="1124"/>
      <c r="AE59" s="1124"/>
      <c r="AF59" s="1124"/>
      <c r="AG59" s="1144"/>
    </row>
    <row r="60" spans="1:34" ht="73.900000000000006" customHeight="1">
      <c r="A60" s="1524">
        <v>1114</v>
      </c>
      <c r="B60" s="958" t="s">
        <v>679</v>
      </c>
      <c r="C60" s="1073" t="s">
        <v>680</v>
      </c>
      <c r="D60" s="1292"/>
      <c r="E60" s="1293">
        <v>5</v>
      </c>
      <c r="F60" s="1294">
        <v>43248</v>
      </c>
      <c r="G60" s="1294">
        <f t="shared" si="4"/>
        <v>43252</v>
      </c>
      <c r="H60" s="1292" t="s">
        <v>681</v>
      </c>
      <c r="I60" s="1293" t="s">
        <v>170</v>
      </c>
      <c r="J60" s="643" t="s">
        <v>682</v>
      </c>
      <c r="K60" s="1292" t="s">
        <v>686</v>
      </c>
      <c r="L60" s="1231">
        <v>23174</v>
      </c>
      <c r="M60" s="1292"/>
      <c r="N60" s="1292"/>
      <c r="O60" s="647">
        <v>326.66666666666669</v>
      </c>
      <c r="P60" s="1292">
        <v>1</v>
      </c>
      <c r="Q60" s="1295">
        <f t="shared" si="6"/>
        <v>326.66666666666669</v>
      </c>
      <c r="R60" s="956">
        <v>326.66666666666669</v>
      </c>
      <c r="S60" s="954"/>
      <c r="T60" s="954"/>
      <c r="U60" s="654">
        <f t="shared" si="11"/>
        <v>326.66666666666669</v>
      </c>
      <c r="V60" s="651"/>
      <c r="W60" s="954"/>
      <c r="X60" s="1166"/>
      <c r="Y60" s="1144"/>
      <c r="Z60" s="1124"/>
      <c r="AA60" s="1124"/>
      <c r="AB60" s="1124"/>
      <c r="AC60" s="1124"/>
      <c r="AD60" s="1124"/>
      <c r="AE60" s="1124"/>
      <c r="AF60" s="1124"/>
      <c r="AG60" s="1144"/>
    </row>
    <row r="61" spans="1:34" ht="73.900000000000006" customHeight="1">
      <c r="A61" s="1524">
        <v>1114</v>
      </c>
      <c r="B61" s="958" t="s">
        <v>679</v>
      </c>
      <c r="C61" s="1073" t="s">
        <v>680</v>
      </c>
      <c r="D61" s="1292"/>
      <c r="E61" s="1293">
        <v>5</v>
      </c>
      <c r="F61" s="1294">
        <v>43248</v>
      </c>
      <c r="G61" s="1294">
        <f t="shared" si="4"/>
        <v>43252</v>
      </c>
      <c r="H61" s="1292" t="s">
        <v>681</v>
      </c>
      <c r="I61" s="1293" t="s">
        <v>170</v>
      </c>
      <c r="J61" s="643" t="s">
        <v>682</v>
      </c>
      <c r="K61" s="1292" t="s">
        <v>687</v>
      </c>
      <c r="L61" s="1231">
        <v>23174</v>
      </c>
      <c r="M61" s="1292"/>
      <c r="N61" s="1292"/>
      <c r="O61" s="647">
        <v>2221</v>
      </c>
      <c r="P61" s="1292">
        <v>1</v>
      </c>
      <c r="Q61" s="1295">
        <f t="shared" si="6"/>
        <v>2221</v>
      </c>
      <c r="R61" s="956">
        <v>2221</v>
      </c>
      <c r="S61" s="954"/>
      <c r="T61" s="954"/>
      <c r="U61" s="654">
        <f t="shared" si="11"/>
        <v>2221</v>
      </c>
      <c r="V61" s="651"/>
      <c r="W61" s="954"/>
      <c r="X61" s="1166"/>
      <c r="Y61" s="1144"/>
      <c r="Z61" s="1124"/>
      <c r="AA61" s="1124"/>
      <c r="AB61" s="1124"/>
      <c r="AC61" s="1124"/>
      <c r="AD61" s="1124"/>
      <c r="AE61" s="1124"/>
      <c r="AF61" s="1124"/>
      <c r="AG61" s="1144"/>
    </row>
    <row r="62" spans="1:34" ht="73.900000000000006" customHeight="1">
      <c r="A62" s="1524">
        <v>1114</v>
      </c>
      <c r="B62" s="958" t="s">
        <v>679</v>
      </c>
      <c r="C62" s="1073" t="s">
        <v>680</v>
      </c>
      <c r="D62" s="1292"/>
      <c r="E62" s="1293">
        <v>5</v>
      </c>
      <c r="F62" s="1294">
        <v>43248</v>
      </c>
      <c r="G62" s="1294">
        <f t="shared" si="4"/>
        <v>43252</v>
      </c>
      <c r="H62" s="1292" t="s">
        <v>681</v>
      </c>
      <c r="I62" s="1293" t="s">
        <v>170</v>
      </c>
      <c r="J62" s="643" t="s">
        <v>682</v>
      </c>
      <c r="K62" s="1292" t="s">
        <v>688</v>
      </c>
      <c r="L62" s="1231">
        <v>23174</v>
      </c>
      <c r="M62" s="1292"/>
      <c r="N62" s="1292"/>
      <c r="O62" s="647">
        <v>1764</v>
      </c>
      <c r="P62" s="1292">
        <v>1</v>
      </c>
      <c r="Q62" s="1295">
        <f t="shared" si="6"/>
        <v>1764</v>
      </c>
      <c r="R62" s="956">
        <v>1764</v>
      </c>
      <c r="S62" s="954"/>
      <c r="T62" s="954"/>
      <c r="U62" s="654">
        <f t="shared" si="11"/>
        <v>1764</v>
      </c>
      <c r="V62" s="651"/>
      <c r="W62" s="954"/>
      <c r="X62" s="1166"/>
      <c r="Y62" s="1144"/>
      <c r="Z62" s="1124"/>
      <c r="AA62" s="1124"/>
      <c r="AB62" s="1124"/>
      <c r="AC62" s="1124"/>
      <c r="AD62" s="1124"/>
      <c r="AE62" s="1124"/>
      <c r="AF62" s="1124"/>
      <c r="AG62" s="1144"/>
    </row>
    <row r="63" spans="1:34" ht="73.900000000000006" customHeight="1">
      <c r="A63" s="1524">
        <v>1114</v>
      </c>
      <c r="B63" s="958" t="s">
        <v>679</v>
      </c>
      <c r="C63" s="1073" t="s">
        <v>680</v>
      </c>
      <c r="D63" s="1292"/>
      <c r="E63" s="1293">
        <v>5</v>
      </c>
      <c r="F63" s="1294">
        <v>43248</v>
      </c>
      <c r="G63" s="1294">
        <f t="shared" si="4"/>
        <v>43252</v>
      </c>
      <c r="H63" s="1292" t="s">
        <v>681</v>
      </c>
      <c r="I63" s="1293" t="s">
        <v>170</v>
      </c>
      <c r="J63" s="643" t="s">
        <v>682</v>
      </c>
      <c r="K63" s="1292" t="s">
        <v>689</v>
      </c>
      <c r="L63" s="1231">
        <v>23174</v>
      </c>
      <c r="M63" s="1292"/>
      <c r="N63" s="1292"/>
      <c r="O63" s="647">
        <v>1960</v>
      </c>
      <c r="P63" s="1292">
        <v>1</v>
      </c>
      <c r="Q63" s="1295">
        <f t="shared" si="6"/>
        <v>1960</v>
      </c>
      <c r="R63" s="956">
        <v>1960</v>
      </c>
      <c r="S63" s="954"/>
      <c r="T63" s="954"/>
      <c r="U63" s="654">
        <f t="shared" si="11"/>
        <v>1960</v>
      </c>
      <c r="V63" s="651"/>
      <c r="W63" s="954"/>
      <c r="X63" s="1166"/>
      <c r="Y63" s="1144"/>
      <c r="Z63" s="1124"/>
      <c r="AA63" s="1124"/>
      <c r="AB63" s="1124"/>
      <c r="AC63" s="1124"/>
      <c r="AD63" s="1124"/>
      <c r="AE63" s="1124"/>
      <c r="AF63" s="1124"/>
      <c r="AG63" s="1144"/>
    </row>
    <row r="64" spans="1:34" ht="73.900000000000006" customHeight="1">
      <c r="A64" s="1524">
        <v>1114</v>
      </c>
      <c r="B64" s="958" t="s">
        <v>679</v>
      </c>
      <c r="C64" s="1073" t="s">
        <v>680</v>
      </c>
      <c r="D64" s="1292"/>
      <c r="E64" s="1293">
        <v>5</v>
      </c>
      <c r="F64" s="1294">
        <v>43248</v>
      </c>
      <c r="G64" s="1294">
        <f t="shared" si="4"/>
        <v>43252</v>
      </c>
      <c r="H64" s="1292" t="s">
        <v>681</v>
      </c>
      <c r="I64" s="1293" t="s">
        <v>170</v>
      </c>
      <c r="J64" s="643" t="s">
        <v>682</v>
      </c>
      <c r="K64" s="1292" t="s">
        <v>690</v>
      </c>
      <c r="L64" s="1231">
        <v>23174</v>
      </c>
      <c r="M64" s="1292"/>
      <c r="N64" s="1292"/>
      <c r="O64" s="647">
        <v>1960</v>
      </c>
      <c r="P64" s="1292">
        <v>1</v>
      </c>
      <c r="Q64" s="1295">
        <f t="shared" si="6"/>
        <v>1960</v>
      </c>
      <c r="R64" s="956">
        <v>1960</v>
      </c>
      <c r="S64" s="954"/>
      <c r="T64" s="954"/>
      <c r="U64" s="654">
        <f t="shared" si="11"/>
        <v>1960</v>
      </c>
      <c r="V64" s="651"/>
      <c r="W64" s="954"/>
      <c r="X64" s="1166"/>
      <c r="Y64" s="1144"/>
      <c r="Z64" s="1124"/>
      <c r="AA64" s="1124"/>
      <c r="AB64" s="1124"/>
      <c r="AC64" s="1124"/>
      <c r="AD64" s="1124"/>
      <c r="AE64" s="1124"/>
      <c r="AF64" s="1124"/>
      <c r="AG64" s="1144"/>
    </row>
    <row r="65" spans="1:34" ht="73.900000000000006" customHeight="1">
      <c r="A65" s="1524">
        <v>1114</v>
      </c>
      <c r="B65" s="958" t="s">
        <v>679</v>
      </c>
      <c r="C65" s="1073" t="s">
        <v>680</v>
      </c>
      <c r="D65" s="1292"/>
      <c r="E65" s="1293">
        <v>5</v>
      </c>
      <c r="F65" s="1294">
        <v>43248</v>
      </c>
      <c r="G65" s="1294">
        <f t="shared" si="4"/>
        <v>43252</v>
      </c>
      <c r="H65" s="1292" t="s">
        <v>681</v>
      </c>
      <c r="I65" s="1293" t="s">
        <v>170</v>
      </c>
      <c r="J65" s="643" t="s">
        <v>682</v>
      </c>
      <c r="K65" s="1292" t="s">
        <v>691</v>
      </c>
      <c r="L65" s="1231">
        <v>23174</v>
      </c>
      <c r="M65" s="1292"/>
      <c r="N65" s="1292"/>
      <c r="O65" s="647">
        <v>8484</v>
      </c>
      <c r="P65" s="1292">
        <v>1</v>
      </c>
      <c r="Q65" s="1295">
        <f t="shared" si="6"/>
        <v>8484</v>
      </c>
      <c r="R65" s="956">
        <v>8484</v>
      </c>
      <c r="S65" s="954"/>
      <c r="T65" s="954"/>
      <c r="U65" s="651"/>
      <c r="V65" s="654">
        <f>Q65</f>
        <v>8484</v>
      </c>
      <c r="W65" s="954"/>
      <c r="X65" s="1166"/>
      <c r="Y65" s="1144"/>
      <c r="Z65" s="1124"/>
      <c r="AA65" s="1124"/>
      <c r="AB65" s="1124"/>
      <c r="AC65" s="1124"/>
      <c r="AD65" s="1124"/>
      <c r="AE65" s="1124"/>
      <c r="AF65" s="1124"/>
      <c r="AG65" s="1144"/>
    </row>
    <row r="66" spans="1:34" ht="73.900000000000006" customHeight="1">
      <c r="A66" s="1524">
        <v>1114</v>
      </c>
      <c r="B66" s="958" t="s">
        <v>679</v>
      </c>
      <c r="C66" s="1073" t="s">
        <v>680</v>
      </c>
      <c r="D66" s="1292"/>
      <c r="E66" s="1293">
        <v>5</v>
      </c>
      <c r="F66" s="1294">
        <v>43248</v>
      </c>
      <c r="G66" s="1294">
        <f t="shared" si="4"/>
        <v>43252</v>
      </c>
      <c r="H66" s="1292" t="s">
        <v>681</v>
      </c>
      <c r="I66" s="1293" t="s">
        <v>170</v>
      </c>
      <c r="J66" s="643" t="s">
        <v>682</v>
      </c>
      <c r="K66" s="1292" t="s">
        <v>692</v>
      </c>
      <c r="L66" s="1231">
        <v>23174</v>
      </c>
      <c r="M66" s="1292"/>
      <c r="N66" s="1292"/>
      <c r="O66" s="647">
        <v>9427</v>
      </c>
      <c r="P66" s="1292">
        <v>1</v>
      </c>
      <c r="Q66" s="1295">
        <f t="shared" si="6"/>
        <v>9427</v>
      </c>
      <c r="R66" s="956">
        <v>9427</v>
      </c>
      <c r="S66" s="954"/>
      <c r="T66" s="954"/>
      <c r="U66" s="651"/>
      <c r="V66" s="654">
        <f>Q66</f>
        <v>9427</v>
      </c>
      <c r="W66" s="954"/>
      <c r="X66" s="1166"/>
      <c r="Y66" s="1144"/>
      <c r="Z66" s="1124"/>
      <c r="AA66" s="1124"/>
      <c r="AB66" s="1124"/>
      <c r="AC66" s="1124"/>
      <c r="AD66" s="1124"/>
      <c r="AE66" s="1124"/>
      <c r="AF66" s="1124"/>
      <c r="AG66" s="1144"/>
    </row>
    <row r="67" spans="1:34" ht="73.900000000000006" customHeight="1">
      <c r="A67" s="1524">
        <v>1114</v>
      </c>
      <c r="B67" s="958" t="s">
        <v>679</v>
      </c>
      <c r="C67" s="1073" t="s">
        <v>680</v>
      </c>
      <c r="D67" s="1292"/>
      <c r="E67" s="1293">
        <v>5</v>
      </c>
      <c r="F67" s="1294">
        <v>43248</v>
      </c>
      <c r="G67" s="1294">
        <f t="shared" si="4"/>
        <v>43252</v>
      </c>
      <c r="H67" s="1292" t="s">
        <v>681</v>
      </c>
      <c r="I67" s="1293" t="s">
        <v>170</v>
      </c>
      <c r="J67" s="643" t="s">
        <v>682</v>
      </c>
      <c r="K67" s="1292" t="s">
        <v>693</v>
      </c>
      <c r="L67" s="1231">
        <v>23174</v>
      </c>
      <c r="M67" s="1292"/>
      <c r="N67" s="1292"/>
      <c r="O67" s="647">
        <v>1347</v>
      </c>
      <c r="P67" s="1292">
        <v>1</v>
      </c>
      <c r="Q67" s="1295">
        <f t="shared" si="6"/>
        <v>1347</v>
      </c>
      <c r="R67" s="956">
        <v>1347</v>
      </c>
      <c r="S67" s="954"/>
      <c r="T67" s="954"/>
      <c r="U67" s="651"/>
      <c r="V67" s="654">
        <f>Q67</f>
        <v>1347</v>
      </c>
      <c r="W67" s="954"/>
      <c r="X67" s="1166"/>
      <c r="Y67" s="1144"/>
      <c r="Z67" s="1124"/>
      <c r="AA67" s="1124"/>
      <c r="AB67" s="1124"/>
      <c r="AC67" s="1124"/>
      <c r="AD67" s="1124"/>
      <c r="AE67" s="1124"/>
      <c r="AF67" s="1124"/>
      <c r="AG67" s="1144"/>
    </row>
    <row r="68" spans="1:34" s="1028" customFormat="1" ht="97.5" customHeight="1">
      <c r="A68" s="1524">
        <v>1115</v>
      </c>
      <c r="B68" s="957" t="s">
        <v>694</v>
      </c>
      <c r="C68" s="1072" t="s">
        <v>695</v>
      </c>
      <c r="D68" s="1284"/>
      <c r="E68" s="1285">
        <v>10</v>
      </c>
      <c r="F68" s="1286">
        <v>43257</v>
      </c>
      <c r="G68" s="1286">
        <f t="shared" si="4"/>
        <v>43266</v>
      </c>
      <c r="H68" s="1284" t="s">
        <v>681</v>
      </c>
      <c r="I68" s="1285" t="s">
        <v>170</v>
      </c>
      <c r="J68" s="1026" t="s">
        <v>696</v>
      </c>
      <c r="K68" s="1284" t="s">
        <v>268</v>
      </c>
      <c r="L68" s="1230"/>
      <c r="M68" s="1284"/>
      <c r="N68" s="1284"/>
      <c r="O68" s="647"/>
      <c r="P68" s="1284"/>
      <c r="Q68" s="1288">
        <f>SUM(Q69:Q86)</f>
        <v>68472</v>
      </c>
      <c r="R68" s="1027">
        <f>SUM(R69:R86)</f>
        <v>68472</v>
      </c>
      <c r="S68" s="1289">
        <f t="shared" ref="S68:AF68" si="12">SUM(S69:S86)</f>
        <v>0</v>
      </c>
      <c r="T68" s="1289">
        <f t="shared" si="12"/>
        <v>0</v>
      </c>
      <c r="U68" s="1289">
        <f t="shared" si="12"/>
        <v>0</v>
      </c>
      <c r="V68" s="1289">
        <f t="shared" si="12"/>
        <v>31304</v>
      </c>
      <c r="W68" s="1289">
        <f t="shared" si="12"/>
        <v>37168</v>
      </c>
      <c r="X68" s="1290">
        <f t="shared" si="12"/>
        <v>0</v>
      </c>
      <c r="Y68" s="1291">
        <f t="shared" si="12"/>
        <v>0</v>
      </c>
      <c r="Z68" s="1184">
        <f t="shared" si="12"/>
        <v>0</v>
      </c>
      <c r="AA68" s="1184">
        <f t="shared" si="12"/>
        <v>0</v>
      </c>
      <c r="AB68" s="1184">
        <f t="shared" si="12"/>
        <v>0</v>
      </c>
      <c r="AC68" s="1184">
        <f t="shared" si="12"/>
        <v>0</v>
      </c>
      <c r="AD68" s="1184">
        <f t="shared" si="12"/>
        <v>0</v>
      </c>
      <c r="AE68" s="1184">
        <f t="shared" si="12"/>
        <v>0</v>
      </c>
      <c r="AF68" s="1184">
        <f t="shared" si="12"/>
        <v>0</v>
      </c>
      <c r="AG68" s="1047">
        <f>SUM(S68:AF68)</f>
        <v>68472</v>
      </c>
      <c r="AH68" s="357"/>
    </row>
    <row r="69" spans="1:34" ht="97.5" customHeight="1">
      <c r="A69" s="1524">
        <v>1115</v>
      </c>
      <c r="B69" s="958" t="s">
        <v>694</v>
      </c>
      <c r="C69" s="1073" t="s">
        <v>695</v>
      </c>
      <c r="D69" s="1292"/>
      <c r="E69" s="1293">
        <v>10</v>
      </c>
      <c r="F69" s="1294">
        <v>43257</v>
      </c>
      <c r="G69" s="1294">
        <f t="shared" si="4"/>
        <v>43266</v>
      </c>
      <c r="H69" s="1292" t="s">
        <v>681</v>
      </c>
      <c r="I69" s="1293" t="s">
        <v>170</v>
      </c>
      <c r="J69" s="643" t="s">
        <v>696</v>
      </c>
      <c r="K69" s="1292" t="s">
        <v>697</v>
      </c>
      <c r="L69" s="1231">
        <v>23174</v>
      </c>
      <c r="M69" s="1292"/>
      <c r="N69" s="1292"/>
      <c r="O69" s="647">
        <v>420</v>
      </c>
      <c r="P69" s="1292">
        <v>1</v>
      </c>
      <c r="Q69" s="1295">
        <f t="shared" si="6"/>
        <v>420</v>
      </c>
      <c r="R69" s="956">
        <v>420</v>
      </c>
      <c r="S69" s="954"/>
      <c r="T69" s="954"/>
      <c r="U69" s="954"/>
      <c r="V69" s="654">
        <f>Q69</f>
        <v>420</v>
      </c>
      <c r="W69" s="651"/>
      <c r="X69" s="1166"/>
      <c r="Y69" s="1144"/>
      <c r="Z69" s="1124"/>
      <c r="AA69" s="1124"/>
      <c r="AB69" s="1124"/>
      <c r="AC69" s="1124"/>
      <c r="AD69" s="1124"/>
      <c r="AE69" s="1124"/>
      <c r="AF69" s="1124"/>
      <c r="AG69" s="1144"/>
    </row>
    <row r="70" spans="1:34" ht="97.5" customHeight="1">
      <c r="A70" s="1524">
        <v>1115</v>
      </c>
      <c r="B70" s="958" t="s">
        <v>694</v>
      </c>
      <c r="C70" s="1073" t="s">
        <v>695</v>
      </c>
      <c r="D70" s="1292"/>
      <c r="E70" s="1293">
        <v>10</v>
      </c>
      <c r="F70" s="1294">
        <v>43257</v>
      </c>
      <c r="G70" s="1294">
        <f t="shared" si="4"/>
        <v>43266</v>
      </c>
      <c r="H70" s="1292" t="s">
        <v>681</v>
      </c>
      <c r="I70" s="1293" t="s">
        <v>170</v>
      </c>
      <c r="J70" s="643" t="s">
        <v>696</v>
      </c>
      <c r="K70" s="1292" t="s">
        <v>698</v>
      </c>
      <c r="L70" s="1231">
        <v>23174</v>
      </c>
      <c r="M70" s="1292"/>
      <c r="N70" s="1292"/>
      <c r="O70" s="647">
        <v>466.66666666666669</v>
      </c>
      <c r="P70" s="1292">
        <v>1</v>
      </c>
      <c r="Q70" s="1295">
        <f t="shared" si="6"/>
        <v>466.66666666666669</v>
      </c>
      <c r="R70" s="956">
        <v>466.66666666666669</v>
      </c>
      <c r="S70" s="954"/>
      <c r="T70" s="954"/>
      <c r="U70" s="954"/>
      <c r="V70" s="654">
        <f t="shared" ref="V70:V80" si="13">Q70</f>
        <v>466.66666666666669</v>
      </c>
      <c r="W70" s="651"/>
      <c r="X70" s="1166"/>
      <c r="Y70" s="1144"/>
      <c r="Z70" s="1124"/>
      <c r="AA70" s="1124"/>
      <c r="AB70" s="1124"/>
      <c r="AC70" s="1124"/>
      <c r="AD70" s="1124"/>
      <c r="AE70" s="1124"/>
      <c r="AF70" s="1124"/>
      <c r="AG70" s="1144"/>
    </row>
    <row r="71" spans="1:34" ht="97.5" customHeight="1">
      <c r="A71" s="1524">
        <v>1115</v>
      </c>
      <c r="B71" s="958" t="s">
        <v>694</v>
      </c>
      <c r="C71" s="1073" t="s">
        <v>695</v>
      </c>
      <c r="D71" s="1292"/>
      <c r="E71" s="1293">
        <v>10</v>
      </c>
      <c r="F71" s="1294">
        <v>43257</v>
      </c>
      <c r="G71" s="1294">
        <f t="shared" si="4"/>
        <v>43266</v>
      </c>
      <c r="H71" s="1292" t="s">
        <v>681</v>
      </c>
      <c r="I71" s="1293" t="s">
        <v>170</v>
      </c>
      <c r="J71" s="643" t="s">
        <v>696</v>
      </c>
      <c r="K71" s="1292" t="s">
        <v>699</v>
      </c>
      <c r="L71" s="1231">
        <v>23174</v>
      </c>
      <c r="M71" s="1292"/>
      <c r="N71" s="1292"/>
      <c r="O71" s="647">
        <v>350</v>
      </c>
      <c r="P71" s="1292">
        <v>1</v>
      </c>
      <c r="Q71" s="1295">
        <f t="shared" si="6"/>
        <v>350</v>
      </c>
      <c r="R71" s="956">
        <v>350</v>
      </c>
      <c r="S71" s="954"/>
      <c r="T71" s="954"/>
      <c r="U71" s="954"/>
      <c r="V71" s="654">
        <f t="shared" si="13"/>
        <v>350</v>
      </c>
      <c r="W71" s="651"/>
      <c r="X71" s="1166"/>
      <c r="Y71" s="1144"/>
      <c r="Z71" s="1124"/>
      <c r="AA71" s="1124"/>
      <c r="AB71" s="1124"/>
      <c r="AC71" s="1124"/>
      <c r="AD71" s="1124"/>
      <c r="AE71" s="1124"/>
      <c r="AF71" s="1124"/>
      <c r="AG71" s="1144"/>
    </row>
    <row r="72" spans="1:34" ht="97.5" customHeight="1">
      <c r="A72" s="1524">
        <v>1115</v>
      </c>
      <c r="B72" s="958" t="s">
        <v>694</v>
      </c>
      <c r="C72" s="1073" t="s">
        <v>695</v>
      </c>
      <c r="D72" s="1292"/>
      <c r="E72" s="1293">
        <v>10</v>
      </c>
      <c r="F72" s="1294">
        <v>43257</v>
      </c>
      <c r="G72" s="1294">
        <f t="shared" si="4"/>
        <v>43266</v>
      </c>
      <c r="H72" s="1292" t="s">
        <v>681</v>
      </c>
      <c r="I72" s="1293" t="s">
        <v>170</v>
      </c>
      <c r="J72" s="643" t="s">
        <v>696</v>
      </c>
      <c r="K72" s="1292" t="s">
        <v>700</v>
      </c>
      <c r="L72" s="1231">
        <v>23174</v>
      </c>
      <c r="M72" s="1292"/>
      <c r="N72" s="1292"/>
      <c r="O72" s="647">
        <v>233.33333333333334</v>
      </c>
      <c r="P72" s="1292">
        <v>1</v>
      </c>
      <c r="Q72" s="1295">
        <f t="shared" si="6"/>
        <v>233.33333333333334</v>
      </c>
      <c r="R72" s="956">
        <v>233.33333333333334</v>
      </c>
      <c r="S72" s="954"/>
      <c r="T72" s="954"/>
      <c r="U72" s="954"/>
      <c r="V72" s="654">
        <f t="shared" si="13"/>
        <v>233.33333333333334</v>
      </c>
      <c r="W72" s="651"/>
      <c r="X72" s="1166"/>
      <c r="Y72" s="1144"/>
      <c r="Z72" s="1124"/>
      <c r="AA72" s="1124"/>
      <c r="AB72" s="1124"/>
      <c r="AC72" s="1124"/>
      <c r="AD72" s="1124"/>
      <c r="AE72" s="1124"/>
      <c r="AF72" s="1124"/>
      <c r="AG72" s="1144"/>
    </row>
    <row r="73" spans="1:34" ht="97.5" customHeight="1">
      <c r="A73" s="1524">
        <v>1115</v>
      </c>
      <c r="B73" s="958" t="s">
        <v>694</v>
      </c>
      <c r="C73" s="1073" t="s">
        <v>695</v>
      </c>
      <c r="D73" s="1292"/>
      <c r="E73" s="1293">
        <v>10</v>
      </c>
      <c r="F73" s="1294">
        <v>43257</v>
      </c>
      <c r="G73" s="1294">
        <f t="shared" si="4"/>
        <v>43266</v>
      </c>
      <c r="H73" s="1292" t="s">
        <v>681</v>
      </c>
      <c r="I73" s="1293" t="s">
        <v>170</v>
      </c>
      <c r="J73" s="643" t="s">
        <v>696</v>
      </c>
      <c r="K73" s="1292" t="s">
        <v>683</v>
      </c>
      <c r="L73" s="1231">
        <v>23174</v>
      </c>
      <c r="M73" s="1292"/>
      <c r="N73" s="1292"/>
      <c r="O73" s="647">
        <v>1176</v>
      </c>
      <c r="P73" s="1292">
        <v>1</v>
      </c>
      <c r="Q73" s="1295">
        <f t="shared" si="6"/>
        <v>1176</v>
      </c>
      <c r="R73" s="956">
        <v>1176</v>
      </c>
      <c r="S73" s="954"/>
      <c r="T73" s="954"/>
      <c r="U73" s="954"/>
      <c r="V73" s="654">
        <f t="shared" si="13"/>
        <v>1176</v>
      </c>
      <c r="W73" s="651"/>
      <c r="X73" s="1166"/>
      <c r="Y73" s="1144"/>
      <c r="Z73" s="1124"/>
      <c r="AA73" s="1124"/>
      <c r="AB73" s="1124"/>
      <c r="AC73" s="1124"/>
      <c r="AD73" s="1124"/>
      <c r="AE73" s="1124"/>
      <c r="AF73" s="1124"/>
      <c r="AG73" s="1144"/>
    </row>
    <row r="74" spans="1:34" ht="97.5" customHeight="1">
      <c r="A74" s="1524">
        <v>1115</v>
      </c>
      <c r="B74" s="958" t="s">
        <v>694</v>
      </c>
      <c r="C74" s="1073" t="s">
        <v>695</v>
      </c>
      <c r="D74" s="1292"/>
      <c r="E74" s="1293">
        <v>10</v>
      </c>
      <c r="F74" s="1294">
        <v>43257</v>
      </c>
      <c r="G74" s="1294">
        <f t="shared" si="4"/>
        <v>43266</v>
      </c>
      <c r="H74" s="1292" t="s">
        <v>681</v>
      </c>
      <c r="I74" s="1293" t="s">
        <v>170</v>
      </c>
      <c r="J74" s="643" t="s">
        <v>696</v>
      </c>
      <c r="K74" s="1292" t="s">
        <v>684</v>
      </c>
      <c r="L74" s="1231">
        <v>23174</v>
      </c>
      <c r="M74" s="1292"/>
      <c r="N74" s="1292"/>
      <c r="O74" s="647">
        <v>1307</v>
      </c>
      <c r="P74" s="1292">
        <v>1</v>
      </c>
      <c r="Q74" s="1295">
        <f t="shared" si="6"/>
        <v>1307</v>
      </c>
      <c r="R74" s="956">
        <v>1307</v>
      </c>
      <c r="S74" s="954"/>
      <c r="T74" s="954"/>
      <c r="U74" s="954"/>
      <c r="V74" s="654">
        <f t="shared" si="13"/>
        <v>1307</v>
      </c>
      <c r="W74" s="651"/>
      <c r="X74" s="1166"/>
      <c r="Y74" s="1144"/>
      <c r="Z74" s="1124"/>
      <c r="AA74" s="1124"/>
      <c r="AB74" s="1124"/>
      <c r="AC74" s="1124"/>
      <c r="AD74" s="1124"/>
      <c r="AE74" s="1124"/>
      <c r="AF74" s="1124"/>
      <c r="AG74" s="1144"/>
    </row>
    <row r="75" spans="1:34" ht="97.5" customHeight="1">
      <c r="A75" s="1524">
        <v>1115</v>
      </c>
      <c r="B75" s="958" t="s">
        <v>694</v>
      </c>
      <c r="C75" s="1073" t="s">
        <v>695</v>
      </c>
      <c r="D75" s="1292"/>
      <c r="E75" s="1293">
        <v>10</v>
      </c>
      <c r="F75" s="1294">
        <v>43257</v>
      </c>
      <c r="G75" s="1294">
        <f t="shared" ref="G75:G94" si="14">F75+E75-1</f>
        <v>43266</v>
      </c>
      <c r="H75" s="1292" t="s">
        <v>681</v>
      </c>
      <c r="I75" s="1293" t="s">
        <v>170</v>
      </c>
      <c r="J75" s="643" t="s">
        <v>696</v>
      </c>
      <c r="K75" s="1292" t="s">
        <v>685</v>
      </c>
      <c r="L75" s="1231">
        <v>23174</v>
      </c>
      <c r="M75" s="1292"/>
      <c r="N75" s="1292"/>
      <c r="O75" s="647">
        <v>980</v>
      </c>
      <c r="P75" s="1292">
        <v>1</v>
      </c>
      <c r="Q75" s="1295">
        <f t="shared" si="6"/>
        <v>980</v>
      </c>
      <c r="R75" s="956">
        <v>980</v>
      </c>
      <c r="S75" s="954"/>
      <c r="T75" s="954"/>
      <c r="U75" s="954"/>
      <c r="V75" s="654">
        <f>Q75</f>
        <v>980</v>
      </c>
      <c r="W75" s="651"/>
      <c r="X75" s="1166"/>
      <c r="Y75" s="1144"/>
      <c r="Z75" s="1124"/>
      <c r="AA75" s="1124"/>
      <c r="AB75" s="1124"/>
      <c r="AC75" s="1124"/>
      <c r="AD75" s="1124"/>
      <c r="AE75" s="1124"/>
      <c r="AF75" s="1124"/>
      <c r="AG75" s="1144"/>
    </row>
    <row r="76" spans="1:34" ht="97.5" customHeight="1">
      <c r="A76" s="1524">
        <v>1115</v>
      </c>
      <c r="B76" s="958" t="s">
        <v>694</v>
      </c>
      <c r="C76" s="1073" t="s">
        <v>695</v>
      </c>
      <c r="D76" s="1292"/>
      <c r="E76" s="1293">
        <v>10</v>
      </c>
      <c r="F76" s="1294">
        <v>43257</v>
      </c>
      <c r="G76" s="1294">
        <f t="shared" si="14"/>
        <v>43266</v>
      </c>
      <c r="H76" s="1292" t="s">
        <v>681</v>
      </c>
      <c r="I76" s="1293" t="s">
        <v>170</v>
      </c>
      <c r="J76" s="643" t="s">
        <v>696</v>
      </c>
      <c r="K76" s="1292" t="s">
        <v>686</v>
      </c>
      <c r="L76" s="1231">
        <v>23174</v>
      </c>
      <c r="M76" s="1292"/>
      <c r="N76" s="1292"/>
      <c r="O76" s="647">
        <v>653</v>
      </c>
      <c r="P76" s="1292">
        <v>1</v>
      </c>
      <c r="Q76" s="1295">
        <f t="shared" ref="Q76:Q86" si="15">O76*P76</f>
        <v>653</v>
      </c>
      <c r="R76" s="956">
        <v>653</v>
      </c>
      <c r="S76" s="954"/>
      <c r="T76" s="954"/>
      <c r="U76" s="954"/>
      <c r="V76" s="654">
        <f t="shared" si="13"/>
        <v>653</v>
      </c>
      <c r="W76" s="651"/>
      <c r="X76" s="1166"/>
      <c r="Y76" s="1144"/>
      <c r="Z76" s="1124"/>
      <c r="AA76" s="1124"/>
      <c r="AB76" s="1124"/>
      <c r="AC76" s="1124"/>
      <c r="AD76" s="1124"/>
      <c r="AE76" s="1124"/>
      <c r="AF76" s="1124"/>
      <c r="AG76" s="1144"/>
    </row>
    <row r="77" spans="1:34" ht="97.5" customHeight="1">
      <c r="A77" s="1524">
        <v>1115</v>
      </c>
      <c r="B77" s="958" t="s">
        <v>694</v>
      </c>
      <c r="C77" s="1073" t="s">
        <v>695</v>
      </c>
      <c r="D77" s="1292"/>
      <c r="E77" s="1293">
        <v>10</v>
      </c>
      <c r="F77" s="1294">
        <v>43257</v>
      </c>
      <c r="G77" s="1294">
        <f t="shared" si="14"/>
        <v>43266</v>
      </c>
      <c r="H77" s="1292" t="s">
        <v>681</v>
      </c>
      <c r="I77" s="1293" t="s">
        <v>170</v>
      </c>
      <c r="J77" s="643" t="s">
        <v>696</v>
      </c>
      <c r="K77" s="1292" t="s">
        <v>701</v>
      </c>
      <c r="L77" s="1231">
        <v>23174</v>
      </c>
      <c r="M77" s="1292"/>
      <c r="N77" s="1292"/>
      <c r="O77" s="647">
        <v>4443</v>
      </c>
      <c r="P77" s="1292">
        <v>1</v>
      </c>
      <c r="Q77" s="1295">
        <f t="shared" si="15"/>
        <v>4443</v>
      </c>
      <c r="R77" s="956">
        <v>4443</v>
      </c>
      <c r="S77" s="954"/>
      <c r="T77" s="954"/>
      <c r="U77" s="954"/>
      <c r="V77" s="654">
        <f t="shared" si="13"/>
        <v>4443</v>
      </c>
      <c r="W77" s="651"/>
      <c r="X77" s="1166"/>
      <c r="Y77" s="1144"/>
      <c r="Z77" s="1124"/>
      <c r="AA77" s="1124"/>
      <c r="AB77" s="1124"/>
      <c r="AC77" s="1124"/>
      <c r="AD77" s="1124"/>
      <c r="AE77" s="1124"/>
      <c r="AF77" s="1124"/>
      <c r="AG77" s="1144"/>
    </row>
    <row r="78" spans="1:34" ht="97.5" customHeight="1">
      <c r="A78" s="1524">
        <v>1115</v>
      </c>
      <c r="B78" s="958" t="s">
        <v>694</v>
      </c>
      <c r="C78" s="1073" t="s">
        <v>695</v>
      </c>
      <c r="D78" s="1292"/>
      <c r="E78" s="1293">
        <v>10</v>
      </c>
      <c r="F78" s="1294">
        <v>43257</v>
      </c>
      <c r="G78" s="1294">
        <f t="shared" si="14"/>
        <v>43266</v>
      </c>
      <c r="H78" s="1292" t="s">
        <v>681</v>
      </c>
      <c r="I78" s="1293" t="s">
        <v>170</v>
      </c>
      <c r="J78" s="643" t="s">
        <v>696</v>
      </c>
      <c r="K78" s="1292" t="s">
        <v>702</v>
      </c>
      <c r="L78" s="1231">
        <v>23174</v>
      </c>
      <c r="M78" s="1292"/>
      <c r="N78" s="1292"/>
      <c r="O78" s="647">
        <v>3528</v>
      </c>
      <c r="P78" s="1292">
        <v>1</v>
      </c>
      <c r="Q78" s="1295">
        <f t="shared" si="15"/>
        <v>3528</v>
      </c>
      <c r="R78" s="956">
        <v>3528</v>
      </c>
      <c r="S78" s="954"/>
      <c r="T78" s="954"/>
      <c r="U78" s="954"/>
      <c r="V78" s="654">
        <f>Q78</f>
        <v>3528</v>
      </c>
      <c r="W78" s="651"/>
      <c r="X78" s="1166"/>
      <c r="Y78" s="1144"/>
      <c r="Z78" s="1124"/>
      <c r="AA78" s="1124"/>
      <c r="AB78" s="1124"/>
      <c r="AC78" s="1124"/>
      <c r="AD78" s="1124"/>
      <c r="AE78" s="1124"/>
      <c r="AF78" s="1124"/>
      <c r="AG78" s="1144"/>
    </row>
    <row r="79" spans="1:34" ht="97.5" customHeight="1">
      <c r="A79" s="1524">
        <v>1115</v>
      </c>
      <c r="B79" s="958" t="s">
        <v>694</v>
      </c>
      <c r="C79" s="1073" t="s">
        <v>695</v>
      </c>
      <c r="D79" s="1292"/>
      <c r="E79" s="1293">
        <v>10</v>
      </c>
      <c r="F79" s="1294">
        <v>43257</v>
      </c>
      <c r="G79" s="1294">
        <f t="shared" si="14"/>
        <v>43266</v>
      </c>
      <c r="H79" s="1292" t="s">
        <v>681</v>
      </c>
      <c r="I79" s="1293" t="s">
        <v>170</v>
      </c>
      <c r="J79" s="643" t="s">
        <v>696</v>
      </c>
      <c r="K79" s="1292" t="s">
        <v>689</v>
      </c>
      <c r="L79" s="1231">
        <v>23174</v>
      </c>
      <c r="M79" s="1292"/>
      <c r="N79" s="1292"/>
      <c r="O79" s="647">
        <v>3920</v>
      </c>
      <c r="P79" s="1292">
        <v>1</v>
      </c>
      <c r="Q79" s="1295">
        <f t="shared" si="15"/>
        <v>3920</v>
      </c>
      <c r="R79" s="956">
        <v>3920</v>
      </c>
      <c r="S79" s="954"/>
      <c r="T79" s="954"/>
      <c r="U79" s="954"/>
      <c r="V79" s="654">
        <f t="shared" si="13"/>
        <v>3920</v>
      </c>
      <c r="W79" s="651"/>
      <c r="X79" s="1166"/>
      <c r="Y79" s="1144"/>
      <c r="Z79" s="1124"/>
      <c r="AA79" s="1124"/>
      <c r="AB79" s="1124"/>
      <c r="AC79" s="1124"/>
      <c r="AD79" s="1124"/>
      <c r="AE79" s="1124"/>
      <c r="AF79" s="1124"/>
      <c r="AG79" s="1144"/>
    </row>
    <row r="80" spans="1:34" ht="97.5" customHeight="1">
      <c r="A80" s="1524">
        <v>1115</v>
      </c>
      <c r="B80" s="958" t="s">
        <v>694</v>
      </c>
      <c r="C80" s="1073" t="s">
        <v>695</v>
      </c>
      <c r="D80" s="1292"/>
      <c r="E80" s="1293">
        <v>10</v>
      </c>
      <c r="F80" s="1294">
        <v>43257</v>
      </c>
      <c r="G80" s="1294">
        <f t="shared" si="14"/>
        <v>43266</v>
      </c>
      <c r="H80" s="1292" t="s">
        <v>681</v>
      </c>
      <c r="I80" s="1293" t="s">
        <v>170</v>
      </c>
      <c r="J80" s="643" t="s">
        <v>696</v>
      </c>
      <c r="K80" s="1292" t="s">
        <v>690</v>
      </c>
      <c r="L80" s="1231">
        <v>23174</v>
      </c>
      <c r="M80" s="1292"/>
      <c r="N80" s="1292"/>
      <c r="O80" s="647">
        <v>1960</v>
      </c>
      <c r="P80" s="1292">
        <v>1</v>
      </c>
      <c r="Q80" s="1295">
        <f t="shared" si="15"/>
        <v>1960</v>
      </c>
      <c r="R80" s="956">
        <v>1960</v>
      </c>
      <c r="S80" s="954"/>
      <c r="T80" s="954"/>
      <c r="U80" s="954"/>
      <c r="V80" s="654">
        <f t="shared" si="13"/>
        <v>1960</v>
      </c>
      <c r="W80" s="651"/>
      <c r="X80" s="1166"/>
      <c r="Y80" s="1144"/>
      <c r="Z80" s="1124"/>
      <c r="AA80" s="1124"/>
      <c r="AB80" s="1124"/>
      <c r="AC80" s="1124"/>
      <c r="AD80" s="1124"/>
      <c r="AE80" s="1124"/>
      <c r="AF80" s="1124"/>
      <c r="AG80" s="1144"/>
    </row>
    <row r="81" spans="1:34" ht="97.5" customHeight="1">
      <c r="A81" s="1524">
        <v>1115</v>
      </c>
      <c r="B81" s="958" t="s">
        <v>694</v>
      </c>
      <c r="C81" s="1073" t="s">
        <v>695</v>
      </c>
      <c r="D81" s="1292"/>
      <c r="E81" s="1293">
        <v>10</v>
      </c>
      <c r="F81" s="1294">
        <v>43257</v>
      </c>
      <c r="G81" s="1294">
        <f t="shared" si="14"/>
        <v>43266</v>
      </c>
      <c r="H81" s="1292" t="s">
        <v>681</v>
      </c>
      <c r="I81" s="1293" t="s">
        <v>170</v>
      </c>
      <c r="J81" s="643" t="s">
        <v>696</v>
      </c>
      <c r="K81" s="1292" t="s">
        <v>703</v>
      </c>
      <c r="L81" s="1231">
        <v>23174</v>
      </c>
      <c r="M81" s="1292"/>
      <c r="N81" s="1292"/>
      <c r="O81" s="647">
        <v>16968</v>
      </c>
      <c r="P81" s="1292">
        <v>1</v>
      </c>
      <c r="Q81" s="1295">
        <f t="shared" si="15"/>
        <v>16968</v>
      </c>
      <c r="R81" s="956">
        <v>16968</v>
      </c>
      <c r="S81" s="954"/>
      <c r="T81" s="954"/>
      <c r="U81" s="954"/>
      <c r="V81" s="651"/>
      <c r="W81" s="654">
        <f>Q81</f>
        <v>16968</v>
      </c>
      <c r="X81" s="1166"/>
      <c r="Y81" s="1144"/>
      <c r="Z81" s="1124"/>
      <c r="AA81" s="1124"/>
      <c r="AB81" s="1124"/>
      <c r="AC81" s="1124"/>
      <c r="AD81" s="1124"/>
      <c r="AE81" s="1124"/>
      <c r="AF81" s="1124"/>
      <c r="AG81" s="1144"/>
    </row>
    <row r="82" spans="1:34" ht="97.5" customHeight="1">
      <c r="A82" s="1524">
        <v>1115</v>
      </c>
      <c r="B82" s="958" t="s">
        <v>694</v>
      </c>
      <c r="C82" s="1073" t="s">
        <v>695</v>
      </c>
      <c r="D82" s="1292"/>
      <c r="E82" s="1293">
        <v>10</v>
      </c>
      <c r="F82" s="1294">
        <v>43257</v>
      </c>
      <c r="G82" s="1294">
        <f t="shared" si="14"/>
        <v>43266</v>
      </c>
      <c r="H82" s="1292" t="s">
        <v>681</v>
      </c>
      <c r="I82" s="1293" t="s">
        <v>170</v>
      </c>
      <c r="J82" s="643" t="s">
        <v>696</v>
      </c>
      <c r="K82" s="1292" t="s">
        <v>692</v>
      </c>
      <c r="L82" s="1231">
        <v>23174</v>
      </c>
      <c r="M82" s="1292"/>
      <c r="N82" s="1292"/>
      <c r="O82" s="647">
        <v>18853</v>
      </c>
      <c r="P82" s="1292">
        <v>1</v>
      </c>
      <c r="Q82" s="1295">
        <f t="shared" si="15"/>
        <v>18853</v>
      </c>
      <c r="R82" s="956">
        <v>18853</v>
      </c>
      <c r="S82" s="954"/>
      <c r="T82" s="954"/>
      <c r="U82" s="954"/>
      <c r="V82" s="651"/>
      <c r="W82" s="654">
        <f>Q82</f>
        <v>18853</v>
      </c>
      <c r="X82" s="1166"/>
      <c r="Y82" s="1144"/>
      <c r="Z82" s="1124"/>
      <c r="AA82" s="1124"/>
      <c r="AB82" s="1124"/>
      <c r="AC82" s="1124"/>
      <c r="AD82" s="1124"/>
      <c r="AE82" s="1124"/>
      <c r="AF82" s="1124"/>
      <c r="AG82" s="1144"/>
    </row>
    <row r="83" spans="1:34" ht="97.5" customHeight="1">
      <c r="A83" s="1524">
        <v>1115</v>
      </c>
      <c r="B83" s="958" t="s">
        <v>694</v>
      </c>
      <c r="C83" s="1073" t="s">
        <v>695</v>
      </c>
      <c r="D83" s="1292"/>
      <c r="E83" s="1293">
        <v>10</v>
      </c>
      <c r="F83" s="1294">
        <v>43257</v>
      </c>
      <c r="G83" s="1294">
        <f t="shared" si="14"/>
        <v>43266</v>
      </c>
      <c r="H83" s="1292" t="s">
        <v>681</v>
      </c>
      <c r="I83" s="1293" t="s">
        <v>170</v>
      </c>
      <c r="J83" s="643" t="s">
        <v>696</v>
      </c>
      <c r="K83" s="1292" t="s">
        <v>693</v>
      </c>
      <c r="L83" s="1231">
        <v>23174</v>
      </c>
      <c r="M83" s="1292"/>
      <c r="N83" s="1292"/>
      <c r="O83" s="647">
        <v>1347</v>
      </c>
      <c r="P83" s="1292">
        <v>1</v>
      </c>
      <c r="Q83" s="1295">
        <f t="shared" si="15"/>
        <v>1347</v>
      </c>
      <c r="R83" s="956">
        <v>1347</v>
      </c>
      <c r="S83" s="954"/>
      <c r="T83" s="954"/>
      <c r="U83" s="954"/>
      <c r="V83" s="651"/>
      <c r="W83" s="654">
        <f>Q83</f>
        <v>1347</v>
      </c>
      <c r="X83" s="1166"/>
      <c r="Y83" s="1144"/>
      <c r="Z83" s="1124"/>
      <c r="AA83" s="1124"/>
      <c r="AB83" s="1124"/>
      <c r="AC83" s="1124"/>
      <c r="AD83" s="1124"/>
      <c r="AE83" s="1124"/>
      <c r="AF83" s="1124"/>
      <c r="AG83" s="1144"/>
    </row>
    <row r="84" spans="1:34" ht="97.5" customHeight="1">
      <c r="A84" s="1524">
        <v>1115</v>
      </c>
      <c r="B84" s="958" t="s">
        <v>694</v>
      </c>
      <c r="C84" s="1073" t="s">
        <v>695</v>
      </c>
      <c r="D84" s="1292"/>
      <c r="E84" s="1293">
        <v>10</v>
      </c>
      <c r="F84" s="1294">
        <v>43257</v>
      </c>
      <c r="G84" s="1294">
        <f t="shared" si="14"/>
        <v>43266</v>
      </c>
      <c r="H84" s="1292" t="s">
        <v>681</v>
      </c>
      <c r="I84" s="1293" t="s">
        <v>170</v>
      </c>
      <c r="J84" s="643" t="s">
        <v>696</v>
      </c>
      <c r="K84" s="1292" t="s">
        <v>704</v>
      </c>
      <c r="L84" s="1231">
        <v>23173</v>
      </c>
      <c r="M84" s="1292"/>
      <c r="N84" s="1292"/>
      <c r="O84" s="647">
        <v>1117</v>
      </c>
      <c r="P84" s="1292">
        <v>1</v>
      </c>
      <c r="Q84" s="1295">
        <f t="shared" si="15"/>
        <v>1117</v>
      </c>
      <c r="R84" s="956">
        <v>1117</v>
      </c>
      <c r="S84" s="954"/>
      <c r="T84" s="954"/>
      <c r="U84" s="954"/>
      <c r="V84" s="654">
        <f>Q84</f>
        <v>1117</v>
      </c>
      <c r="W84" s="651"/>
      <c r="X84" s="1166"/>
      <c r="Y84" s="1144"/>
      <c r="Z84" s="1124"/>
      <c r="AA84" s="1124"/>
      <c r="AB84" s="1124"/>
      <c r="AC84" s="1124"/>
      <c r="AD84" s="1124"/>
      <c r="AE84" s="1124"/>
      <c r="AF84" s="1124"/>
      <c r="AG84" s="1144"/>
    </row>
    <row r="85" spans="1:34" ht="97.5" customHeight="1">
      <c r="A85" s="1524">
        <v>1115</v>
      </c>
      <c r="B85" s="958" t="s">
        <v>694</v>
      </c>
      <c r="C85" s="1073" t="s">
        <v>695</v>
      </c>
      <c r="D85" s="1292"/>
      <c r="E85" s="1293">
        <v>10</v>
      </c>
      <c r="F85" s="1294">
        <v>43257</v>
      </c>
      <c r="G85" s="1294">
        <f t="shared" si="14"/>
        <v>43266</v>
      </c>
      <c r="H85" s="1292" t="s">
        <v>681</v>
      </c>
      <c r="I85" s="1293" t="s">
        <v>170</v>
      </c>
      <c r="J85" s="643" t="s">
        <v>696</v>
      </c>
      <c r="K85" s="1292" t="s">
        <v>706</v>
      </c>
      <c r="L85" s="1231">
        <v>23173</v>
      </c>
      <c r="M85" s="1292"/>
      <c r="N85" s="1292"/>
      <c r="O85" s="647">
        <v>6450</v>
      </c>
      <c r="P85" s="1292">
        <v>1</v>
      </c>
      <c r="Q85" s="1295">
        <f t="shared" si="15"/>
        <v>6450</v>
      </c>
      <c r="R85" s="956">
        <v>6450</v>
      </c>
      <c r="S85" s="954"/>
      <c r="T85" s="954"/>
      <c r="U85" s="954"/>
      <c r="V85" s="654">
        <f>Q85</f>
        <v>6450</v>
      </c>
      <c r="W85" s="651"/>
      <c r="X85" s="1166"/>
      <c r="Y85" s="1144"/>
      <c r="Z85" s="1124"/>
      <c r="AA85" s="1124"/>
      <c r="AB85" s="1124"/>
      <c r="AC85" s="1124"/>
      <c r="AD85" s="1124"/>
      <c r="AE85" s="1124"/>
      <c r="AF85" s="1124"/>
      <c r="AG85" s="1144"/>
    </row>
    <row r="86" spans="1:34" ht="97.5" customHeight="1">
      <c r="A86" s="1524">
        <v>1115</v>
      </c>
      <c r="B86" s="958" t="s">
        <v>694</v>
      </c>
      <c r="C86" s="1073" t="s">
        <v>695</v>
      </c>
      <c r="D86" s="1292"/>
      <c r="E86" s="1293">
        <v>10</v>
      </c>
      <c r="F86" s="1294">
        <v>43257</v>
      </c>
      <c r="G86" s="1294">
        <f t="shared" si="14"/>
        <v>43266</v>
      </c>
      <c r="H86" s="1292" t="s">
        <v>681</v>
      </c>
      <c r="I86" s="1293" t="s">
        <v>170</v>
      </c>
      <c r="J86" s="643" t="s">
        <v>696</v>
      </c>
      <c r="K86" s="1292" t="s">
        <v>638</v>
      </c>
      <c r="L86" s="1231">
        <v>23173</v>
      </c>
      <c r="M86" s="1292"/>
      <c r="N86" s="1292"/>
      <c r="O86" s="647">
        <v>4300</v>
      </c>
      <c r="P86" s="1292">
        <v>1</v>
      </c>
      <c r="Q86" s="1295">
        <f t="shared" si="15"/>
        <v>4300</v>
      </c>
      <c r="R86" s="956">
        <v>4300</v>
      </c>
      <c r="S86" s="954"/>
      <c r="T86" s="954"/>
      <c r="U86" s="954"/>
      <c r="V86" s="654">
        <f>Q86</f>
        <v>4300</v>
      </c>
      <c r="W86" s="651"/>
      <c r="X86" s="1166"/>
      <c r="Y86" s="1144"/>
      <c r="Z86" s="1124"/>
      <c r="AA86" s="1124"/>
      <c r="AB86" s="1124"/>
      <c r="AC86" s="1124"/>
      <c r="AD86" s="1124"/>
      <c r="AE86" s="1124"/>
      <c r="AF86" s="1124"/>
      <c r="AG86" s="1144"/>
    </row>
    <row r="87" spans="1:34" s="1028" customFormat="1" ht="73.900000000000006" customHeight="1">
      <c r="A87" s="1524">
        <v>1116</v>
      </c>
      <c r="B87" s="957" t="s">
        <v>707</v>
      </c>
      <c r="C87" s="1072" t="s">
        <v>708</v>
      </c>
      <c r="D87" s="1284"/>
      <c r="E87" s="1285">
        <v>1</v>
      </c>
      <c r="F87" s="1286">
        <v>43315</v>
      </c>
      <c r="G87" s="1286">
        <f t="shared" si="14"/>
        <v>43315</v>
      </c>
      <c r="H87" s="1284" t="s">
        <v>667</v>
      </c>
      <c r="I87" s="1285" t="s">
        <v>170</v>
      </c>
      <c r="J87" s="1026" t="s">
        <v>696</v>
      </c>
      <c r="K87" s="1284" t="s">
        <v>268</v>
      </c>
      <c r="L87" s="1230"/>
      <c r="M87" s="1284"/>
      <c r="N87" s="1284"/>
      <c r="O87" s="647"/>
      <c r="P87" s="1284"/>
      <c r="Q87" s="1288">
        <f>SUM(Q88:Q94)</f>
        <v>4019.666666666667</v>
      </c>
      <c r="R87" s="1027">
        <f>SUM(R88:R94)</f>
        <v>4019.666666666667</v>
      </c>
      <c r="S87" s="1289">
        <f t="shared" ref="S87:AF87" si="16">SUM(S88:S94)</f>
        <v>0</v>
      </c>
      <c r="T87" s="1289">
        <f t="shared" si="16"/>
        <v>0</v>
      </c>
      <c r="U87" s="1289">
        <f t="shared" si="16"/>
        <v>0</v>
      </c>
      <c r="V87" s="1289">
        <f t="shared" si="16"/>
        <v>0</v>
      </c>
      <c r="W87" s="1289">
        <f t="shared" si="16"/>
        <v>0</v>
      </c>
      <c r="X87" s="1290">
        <f t="shared" si="16"/>
        <v>4019.666666666667</v>
      </c>
      <c r="Y87" s="1291">
        <f t="shared" si="16"/>
        <v>0</v>
      </c>
      <c r="Z87" s="1184">
        <f t="shared" si="16"/>
        <v>0</v>
      </c>
      <c r="AA87" s="1184">
        <f t="shared" si="16"/>
        <v>0</v>
      </c>
      <c r="AB87" s="1184">
        <f t="shared" si="16"/>
        <v>0</v>
      </c>
      <c r="AC87" s="1184">
        <f t="shared" si="16"/>
        <v>0</v>
      </c>
      <c r="AD87" s="1184">
        <f t="shared" si="16"/>
        <v>0</v>
      </c>
      <c r="AE87" s="1184">
        <f t="shared" si="16"/>
        <v>0</v>
      </c>
      <c r="AF87" s="1184">
        <f t="shared" si="16"/>
        <v>0</v>
      </c>
      <c r="AG87" s="1047">
        <f>SUM(S87:AF87)</f>
        <v>4019.666666666667</v>
      </c>
      <c r="AH87" s="357"/>
    </row>
    <row r="88" spans="1:34" ht="73.900000000000006" customHeight="1">
      <c r="A88" s="1524">
        <v>1116</v>
      </c>
      <c r="B88" s="958" t="s">
        <v>707</v>
      </c>
      <c r="C88" s="1073" t="s">
        <v>708</v>
      </c>
      <c r="D88" s="1292"/>
      <c r="E88" s="1293">
        <v>1</v>
      </c>
      <c r="F88" s="1294">
        <v>43315</v>
      </c>
      <c r="G88" s="1294">
        <f t="shared" si="14"/>
        <v>43315</v>
      </c>
      <c r="H88" s="1292" t="s">
        <v>667</v>
      </c>
      <c r="I88" s="1293" t="s">
        <v>170</v>
      </c>
      <c r="J88" s="643" t="s">
        <v>696</v>
      </c>
      <c r="K88" s="1292" t="s">
        <v>709</v>
      </c>
      <c r="L88" s="1231">
        <v>23174</v>
      </c>
      <c r="M88" s="1292"/>
      <c r="N88" s="1292"/>
      <c r="O88" s="647">
        <v>252</v>
      </c>
      <c r="P88" s="1292">
        <v>1</v>
      </c>
      <c r="Q88" s="1295">
        <f t="shared" ref="Q88:Q94" si="17">O88*P88</f>
        <v>252</v>
      </c>
      <c r="R88" s="956">
        <v>252</v>
      </c>
      <c r="S88" s="954"/>
      <c r="T88" s="954"/>
      <c r="U88" s="954"/>
      <c r="V88" s="954"/>
      <c r="W88" s="954"/>
      <c r="X88" s="1167">
        <f>Q88</f>
        <v>252</v>
      </c>
      <c r="Y88" s="1144"/>
      <c r="Z88" s="1124"/>
      <c r="AA88" s="1124"/>
      <c r="AB88" s="1124"/>
      <c r="AC88" s="1124"/>
      <c r="AD88" s="1124"/>
      <c r="AE88" s="1124"/>
      <c r="AF88" s="1124"/>
      <c r="AG88" s="1144"/>
    </row>
    <row r="89" spans="1:34" ht="73.900000000000006" customHeight="1">
      <c r="A89" s="1524">
        <v>1116</v>
      </c>
      <c r="B89" s="958" t="s">
        <v>707</v>
      </c>
      <c r="C89" s="1073" t="s">
        <v>708</v>
      </c>
      <c r="D89" s="1292"/>
      <c r="E89" s="1293">
        <v>1</v>
      </c>
      <c r="F89" s="1294">
        <v>43315</v>
      </c>
      <c r="G89" s="1294">
        <f t="shared" si="14"/>
        <v>43315</v>
      </c>
      <c r="H89" s="1292" t="s">
        <v>667</v>
      </c>
      <c r="I89" s="1293" t="s">
        <v>170</v>
      </c>
      <c r="J89" s="643" t="s">
        <v>696</v>
      </c>
      <c r="K89" s="1292" t="s">
        <v>710</v>
      </c>
      <c r="L89" s="1231">
        <v>23174</v>
      </c>
      <c r="M89" s="1292"/>
      <c r="N89" s="1292"/>
      <c r="O89" s="647">
        <v>280</v>
      </c>
      <c r="P89" s="1292">
        <v>1</v>
      </c>
      <c r="Q89" s="1295">
        <f t="shared" si="17"/>
        <v>280</v>
      </c>
      <c r="R89" s="956">
        <v>280</v>
      </c>
      <c r="S89" s="954"/>
      <c r="T89" s="954"/>
      <c r="U89" s="954"/>
      <c r="V89" s="954"/>
      <c r="W89" s="954"/>
      <c r="X89" s="1167">
        <f t="shared" ref="X89:X94" si="18">Q89</f>
        <v>280</v>
      </c>
      <c r="Y89" s="1144"/>
      <c r="Z89" s="1124"/>
      <c r="AA89" s="1124"/>
      <c r="AB89" s="1124"/>
      <c r="AC89" s="1124"/>
      <c r="AD89" s="1124"/>
      <c r="AE89" s="1124"/>
      <c r="AF89" s="1124"/>
      <c r="AG89" s="1144"/>
    </row>
    <row r="90" spans="1:34" ht="73.900000000000006" customHeight="1">
      <c r="A90" s="1524">
        <v>1116</v>
      </c>
      <c r="B90" s="958" t="s">
        <v>707</v>
      </c>
      <c r="C90" s="1073" t="s">
        <v>708</v>
      </c>
      <c r="D90" s="1292"/>
      <c r="E90" s="1293">
        <v>1</v>
      </c>
      <c r="F90" s="1294">
        <v>43315</v>
      </c>
      <c r="G90" s="1294">
        <f t="shared" si="14"/>
        <v>43315</v>
      </c>
      <c r="H90" s="1292" t="s">
        <v>667</v>
      </c>
      <c r="I90" s="1293" t="s">
        <v>170</v>
      </c>
      <c r="J90" s="643" t="s">
        <v>696</v>
      </c>
      <c r="K90" s="1292" t="s">
        <v>711</v>
      </c>
      <c r="L90" s="1231">
        <v>23174</v>
      </c>
      <c r="M90" s="1292"/>
      <c r="N90" s="1292"/>
      <c r="O90" s="647">
        <v>210</v>
      </c>
      <c r="P90" s="1292">
        <v>1</v>
      </c>
      <c r="Q90" s="1295">
        <f t="shared" si="17"/>
        <v>210</v>
      </c>
      <c r="R90" s="956">
        <v>210</v>
      </c>
      <c r="S90" s="954"/>
      <c r="T90" s="954"/>
      <c r="U90" s="954"/>
      <c r="V90" s="954"/>
      <c r="W90" s="954"/>
      <c r="X90" s="1167">
        <f t="shared" si="18"/>
        <v>210</v>
      </c>
      <c r="Y90" s="1144"/>
      <c r="Z90" s="1124"/>
      <c r="AA90" s="1124"/>
      <c r="AB90" s="1124"/>
      <c r="AC90" s="1124"/>
      <c r="AD90" s="1124"/>
      <c r="AE90" s="1124"/>
      <c r="AF90" s="1124"/>
      <c r="AG90" s="1144"/>
    </row>
    <row r="91" spans="1:34" ht="73.900000000000006" customHeight="1">
      <c r="A91" s="1524">
        <v>1116</v>
      </c>
      <c r="B91" s="958" t="s">
        <v>707</v>
      </c>
      <c r="C91" s="1073" t="s">
        <v>708</v>
      </c>
      <c r="D91" s="1292"/>
      <c r="E91" s="1293">
        <v>1</v>
      </c>
      <c r="F91" s="1294">
        <v>43315</v>
      </c>
      <c r="G91" s="1294">
        <f t="shared" si="14"/>
        <v>43315</v>
      </c>
      <c r="H91" s="1292" t="s">
        <v>667</v>
      </c>
      <c r="I91" s="1293" t="s">
        <v>170</v>
      </c>
      <c r="J91" s="643" t="s">
        <v>696</v>
      </c>
      <c r="K91" s="1292" t="s">
        <v>712</v>
      </c>
      <c r="L91" s="1231">
        <v>23174</v>
      </c>
      <c r="M91" s="1292"/>
      <c r="N91" s="1292"/>
      <c r="O91" s="647">
        <v>140</v>
      </c>
      <c r="P91" s="1292">
        <v>1</v>
      </c>
      <c r="Q91" s="1295">
        <f t="shared" si="17"/>
        <v>140</v>
      </c>
      <c r="R91" s="956">
        <v>140</v>
      </c>
      <c r="S91" s="954"/>
      <c r="T91" s="954"/>
      <c r="U91" s="954"/>
      <c r="V91" s="954"/>
      <c r="W91" s="954"/>
      <c r="X91" s="1167">
        <f t="shared" si="18"/>
        <v>140</v>
      </c>
      <c r="Y91" s="1144"/>
      <c r="Z91" s="1124"/>
      <c r="AA91" s="1124"/>
      <c r="AB91" s="1124"/>
      <c r="AC91" s="1124"/>
      <c r="AD91" s="1124"/>
      <c r="AE91" s="1124"/>
      <c r="AF91" s="1124"/>
      <c r="AG91" s="1144"/>
    </row>
    <row r="92" spans="1:34" ht="73.900000000000006" customHeight="1">
      <c r="A92" s="1524">
        <v>1116</v>
      </c>
      <c r="B92" s="958" t="s">
        <v>707</v>
      </c>
      <c r="C92" s="1073" t="s">
        <v>708</v>
      </c>
      <c r="D92" s="1292"/>
      <c r="E92" s="1293">
        <v>1</v>
      </c>
      <c r="F92" s="1294">
        <v>43315</v>
      </c>
      <c r="G92" s="1294">
        <f t="shared" si="14"/>
        <v>43315</v>
      </c>
      <c r="H92" s="1292" t="s">
        <v>667</v>
      </c>
      <c r="I92" s="1293" t="s">
        <v>170</v>
      </c>
      <c r="J92" s="643" t="s">
        <v>696</v>
      </c>
      <c r="K92" s="1292" t="s">
        <v>713</v>
      </c>
      <c r="L92" s="1231">
        <v>23174</v>
      </c>
      <c r="M92" s="1292"/>
      <c r="N92" s="1292"/>
      <c r="O92" s="647">
        <v>2221</v>
      </c>
      <c r="P92" s="1292">
        <v>1</v>
      </c>
      <c r="Q92" s="1295">
        <f t="shared" si="17"/>
        <v>2221</v>
      </c>
      <c r="R92" s="956">
        <v>2221</v>
      </c>
      <c r="S92" s="954"/>
      <c r="T92" s="954"/>
      <c r="U92" s="954"/>
      <c r="V92" s="954"/>
      <c r="W92" s="954"/>
      <c r="X92" s="1167">
        <f t="shared" si="18"/>
        <v>2221</v>
      </c>
      <c r="Y92" s="1144"/>
      <c r="Z92" s="1124"/>
      <c r="AA92" s="1124"/>
      <c r="AB92" s="1124"/>
      <c r="AC92" s="1124"/>
      <c r="AD92" s="1124"/>
      <c r="AE92" s="1124"/>
      <c r="AF92" s="1124"/>
      <c r="AG92" s="1144"/>
    </row>
    <row r="93" spans="1:34" ht="73.900000000000006" customHeight="1">
      <c r="A93" s="1524">
        <v>1116</v>
      </c>
      <c r="B93" s="958" t="s">
        <v>707</v>
      </c>
      <c r="C93" s="1073" t="s">
        <v>708</v>
      </c>
      <c r="D93" s="1292"/>
      <c r="E93" s="1293">
        <v>1</v>
      </c>
      <c r="F93" s="1294">
        <v>43315</v>
      </c>
      <c r="G93" s="1294">
        <f t="shared" si="14"/>
        <v>43315</v>
      </c>
      <c r="H93" s="1292" t="s">
        <v>667</v>
      </c>
      <c r="I93" s="1293" t="s">
        <v>170</v>
      </c>
      <c r="J93" s="643" t="s">
        <v>696</v>
      </c>
      <c r="K93" s="1292" t="s">
        <v>714</v>
      </c>
      <c r="L93" s="1231">
        <v>23173</v>
      </c>
      <c r="M93" s="1292"/>
      <c r="N93" s="1292"/>
      <c r="O93" s="647">
        <v>333.33333333333331</v>
      </c>
      <c r="P93" s="1292">
        <v>1</v>
      </c>
      <c r="Q93" s="1295">
        <f t="shared" si="17"/>
        <v>333.33333333333331</v>
      </c>
      <c r="R93" s="956">
        <v>333.33333333333331</v>
      </c>
      <c r="S93" s="954"/>
      <c r="T93" s="954"/>
      <c r="U93" s="954"/>
      <c r="V93" s="954"/>
      <c r="W93" s="954"/>
      <c r="X93" s="1167">
        <f t="shared" si="18"/>
        <v>333.33333333333331</v>
      </c>
      <c r="Y93" s="1144"/>
      <c r="Z93" s="1124"/>
      <c r="AA93" s="1124"/>
      <c r="AB93" s="1124"/>
      <c r="AC93" s="1124"/>
      <c r="AD93" s="1124"/>
      <c r="AE93" s="1124"/>
      <c r="AF93" s="1124"/>
      <c r="AG93" s="1144"/>
    </row>
    <row r="94" spans="1:34" ht="73.900000000000006" customHeight="1">
      <c r="A94" s="1524">
        <v>1116</v>
      </c>
      <c r="B94" s="958" t="s">
        <v>707</v>
      </c>
      <c r="C94" s="1073" t="s">
        <v>708</v>
      </c>
      <c r="D94" s="1292"/>
      <c r="E94" s="1293">
        <v>1</v>
      </c>
      <c r="F94" s="1294">
        <v>43315</v>
      </c>
      <c r="G94" s="1294">
        <f t="shared" si="14"/>
        <v>43315</v>
      </c>
      <c r="H94" s="1292" t="s">
        <v>667</v>
      </c>
      <c r="I94" s="1293" t="s">
        <v>170</v>
      </c>
      <c r="J94" s="643" t="s">
        <v>696</v>
      </c>
      <c r="K94" s="1292" t="s">
        <v>670</v>
      </c>
      <c r="L94" s="1231">
        <v>23173</v>
      </c>
      <c r="M94" s="1292"/>
      <c r="N94" s="1292"/>
      <c r="O94" s="647">
        <v>583.33333333333337</v>
      </c>
      <c r="P94" s="1292">
        <v>1</v>
      </c>
      <c r="Q94" s="1295">
        <f t="shared" si="17"/>
        <v>583.33333333333337</v>
      </c>
      <c r="R94" s="956">
        <v>583.33333333333337</v>
      </c>
      <c r="S94" s="954"/>
      <c r="T94" s="954"/>
      <c r="U94" s="954"/>
      <c r="V94" s="954"/>
      <c r="W94" s="954"/>
      <c r="X94" s="1167">
        <f t="shared" si="18"/>
        <v>583.33333333333337</v>
      </c>
      <c r="Y94" s="1144"/>
      <c r="Z94" s="1124"/>
      <c r="AA94" s="1124"/>
      <c r="AB94" s="1124"/>
      <c r="AC94" s="1124"/>
      <c r="AD94" s="1124"/>
      <c r="AE94" s="1124"/>
      <c r="AF94" s="1124"/>
      <c r="AG94" s="1144"/>
    </row>
    <row r="95" spans="1:34" ht="16.5" customHeight="1">
      <c r="A95" s="1525">
        <v>112</v>
      </c>
      <c r="B95" s="1464"/>
      <c r="C95" s="1464"/>
      <c r="D95" s="1296"/>
      <c r="E95" s="1296"/>
      <c r="F95" s="1296"/>
      <c r="G95" s="1296"/>
      <c r="H95" s="1296"/>
      <c r="I95" s="1296"/>
      <c r="J95" s="636"/>
      <c r="K95" s="1296"/>
      <c r="L95" s="1298"/>
      <c r="M95" s="1296"/>
      <c r="N95" s="1296"/>
      <c r="O95" s="1299"/>
      <c r="P95" s="1296"/>
      <c r="Q95" s="1299"/>
      <c r="R95" s="960"/>
      <c r="S95" s="993"/>
      <c r="T95" s="993"/>
      <c r="U95" s="993"/>
      <c r="V95" s="993"/>
      <c r="W95" s="993"/>
      <c r="X95" s="1168"/>
      <c r="Y95" s="1145"/>
      <c r="Z95" s="1185"/>
      <c r="AA95" s="1185"/>
      <c r="AB95" s="1185"/>
      <c r="AC95" s="1185"/>
      <c r="AD95" s="1185"/>
      <c r="AE95" s="1185"/>
      <c r="AF95" s="1185"/>
      <c r="AG95" s="1145"/>
    </row>
    <row r="96" spans="1:34">
      <c r="A96" s="1526">
        <v>1121</v>
      </c>
      <c r="B96" s="970"/>
      <c r="C96" s="1074"/>
      <c r="D96" s="805"/>
      <c r="E96" s="796"/>
      <c r="F96" s="795"/>
      <c r="G96" s="795"/>
      <c r="H96" s="961"/>
      <c r="I96" s="796"/>
      <c r="J96" s="792"/>
      <c r="K96" s="805"/>
      <c r="L96" s="1232"/>
      <c r="M96" s="805"/>
      <c r="N96" s="805"/>
      <c r="O96" s="994"/>
      <c r="P96" s="805"/>
      <c r="Q96" s="994"/>
      <c r="R96" s="962"/>
      <c r="S96" s="994"/>
      <c r="T96" s="994"/>
      <c r="U96" s="994"/>
      <c r="V96" s="994"/>
      <c r="W96" s="994"/>
      <c r="X96" s="1169"/>
      <c r="Y96" s="1125"/>
      <c r="Z96" s="1186"/>
      <c r="AA96" s="1186"/>
      <c r="AB96" s="1186"/>
      <c r="AC96" s="1186"/>
      <c r="AD96" s="1186"/>
      <c r="AE96" s="1186"/>
      <c r="AF96" s="1186"/>
      <c r="AG96" s="1125"/>
    </row>
    <row r="97" spans="1:34">
      <c r="A97" s="1526">
        <v>1122</v>
      </c>
      <c r="B97" s="970"/>
      <c r="C97" s="1074"/>
      <c r="D97" s="805"/>
      <c r="E97" s="796"/>
      <c r="F97" s="795"/>
      <c r="G97" s="795"/>
      <c r="H97" s="961"/>
      <c r="I97" s="796"/>
      <c r="J97" s="792"/>
      <c r="K97" s="805"/>
      <c r="L97" s="1232"/>
      <c r="M97" s="805"/>
      <c r="N97" s="805"/>
      <c r="O97" s="994"/>
      <c r="P97" s="805"/>
      <c r="Q97" s="994"/>
      <c r="R97" s="962"/>
      <c r="S97" s="994"/>
      <c r="T97" s="994"/>
      <c r="U97" s="994"/>
      <c r="V97" s="994"/>
      <c r="W97" s="994"/>
      <c r="X97" s="1169"/>
      <c r="Y97" s="1125"/>
      <c r="Z97" s="1186"/>
      <c r="AA97" s="1186"/>
      <c r="AB97" s="1186"/>
      <c r="AC97" s="1186"/>
      <c r="AD97" s="1186"/>
      <c r="AE97" s="1186"/>
      <c r="AF97" s="1186"/>
      <c r="AG97" s="1125"/>
    </row>
    <row r="98" spans="1:34">
      <c r="A98" s="1527" t="s">
        <v>233</v>
      </c>
      <c r="B98" s="970"/>
      <c r="C98" s="1074"/>
      <c r="D98" s="805"/>
      <c r="E98" s="796"/>
      <c r="F98" s="795"/>
      <c r="G98" s="795"/>
      <c r="H98" s="961"/>
      <c r="I98" s="796"/>
      <c r="J98" s="792"/>
      <c r="K98" s="805"/>
      <c r="L98" s="1232"/>
      <c r="M98" s="805"/>
      <c r="N98" s="805"/>
      <c r="O98" s="994"/>
      <c r="P98" s="805"/>
      <c r="Q98" s="994"/>
      <c r="R98" s="962"/>
      <c r="S98" s="994"/>
      <c r="T98" s="994"/>
      <c r="U98" s="994"/>
      <c r="V98" s="994"/>
      <c r="W98" s="994"/>
      <c r="X98" s="1169"/>
      <c r="Y98" s="1125"/>
      <c r="Z98" s="1186"/>
      <c r="AA98" s="1186"/>
      <c r="AB98" s="1186"/>
      <c r="AC98" s="1186"/>
      <c r="AD98" s="1186"/>
      <c r="AE98" s="1186"/>
      <c r="AF98" s="1186"/>
      <c r="AG98" s="1125"/>
    </row>
    <row r="99" spans="1:34" ht="37.5" customHeight="1">
      <c r="A99" s="1300" t="s">
        <v>234</v>
      </c>
      <c r="B99" s="786"/>
      <c r="C99" s="786"/>
      <c r="D99" s="1300"/>
      <c r="E99" s="1300"/>
      <c r="F99" s="1300"/>
      <c r="G99" s="1300"/>
      <c r="H99" s="1300"/>
      <c r="I99" s="1300"/>
      <c r="J99" s="781"/>
      <c r="K99" s="1300"/>
      <c r="L99" s="1301"/>
      <c r="M99" s="1300"/>
      <c r="N99" s="1300"/>
      <c r="O99" s="1302"/>
      <c r="P99" s="1300"/>
      <c r="Q99" s="1302">
        <f>Q100+Q171</f>
        <v>314558.67633333331</v>
      </c>
      <c r="R99" s="1303"/>
      <c r="S99" s="1302">
        <f t="shared" ref="S99:AF99" si="19">S100+S171</f>
        <v>0</v>
      </c>
      <c r="T99" s="1302">
        <f t="shared" si="19"/>
        <v>78416.399666666664</v>
      </c>
      <c r="U99" s="1302">
        <f t="shared" si="19"/>
        <v>46733.999333333333</v>
      </c>
      <c r="V99" s="1302">
        <f t="shared" si="19"/>
        <v>111933.72500000001</v>
      </c>
      <c r="W99" s="1302">
        <f t="shared" si="19"/>
        <v>45901.552333333333</v>
      </c>
      <c r="X99" s="1304">
        <f t="shared" si="19"/>
        <v>7142</v>
      </c>
      <c r="Y99" s="1305">
        <f t="shared" si="19"/>
        <v>24431</v>
      </c>
      <c r="Z99" s="1146">
        <f t="shared" si="19"/>
        <v>0</v>
      </c>
      <c r="AA99" s="1146">
        <f t="shared" si="19"/>
        <v>0</v>
      </c>
      <c r="AB99" s="1146">
        <f t="shared" si="19"/>
        <v>0</v>
      </c>
      <c r="AC99" s="1146">
        <f t="shared" si="19"/>
        <v>0</v>
      </c>
      <c r="AD99" s="1146">
        <f t="shared" si="19"/>
        <v>0</v>
      </c>
      <c r="AE99" s="1146">
        <f t="shared" si="19"/>
        <v>0</v>
      </c>
      <c r="AF99" s="1146">
        <f t="shared" si="19"/>
        <v>0</v>
      </c>
      <c r="AG99" s="1146">
        <f>AG100+AG171</f>
        <v>314558.67633333331</v>
      </c>
      <c r="AH99" s="1018"/>
    </row>
    <row r="100" spans="1:34" ht="16.5" customHeight="1">
      <c r="A100" s="1324">
        <v>121</v>
      </c>
      <c r="B100" s="1462" t="s">
        <v>715</v>
      </c>
      <c r="C100" s="1497"/>
      <c r="D100" s="1306"/>
      <c r="E100" s="1306"/>
      <c r="F100" s="1306"/>
      <c r="G100" s="1306"/>
      <c r="H100" s="1306"/>
      <c r="I100" s="1306"/>
      <c r="J100" s="636"/>
      <c r="K100" s="1296"/>
      <c r="L100" s="1298"/>
      <c r="M100" s="1296"/>
      <c r="N100" s="1296"/>
      <c r="O100" s="1299"/>
      <c r="P100" s="1296"/>
      <c r="Q100" s="1307">
        <f>Q101+Q114+Q124+Q137+Q141+Q152+Q168</f>
        <v>163711</v>
      </c>
      <c r="R100" s="960"/>
      <c r="S100" s="1307">
        <f t="shared" ref="S100:AF100" si="20">S101+S114+S124+S137+S141+S152+S168</f>
        <v>0</v>
      </c>
      <c r="T100" s="1307">
        <f t="shared" si="20"/>
        <v>65000</v>
      </c>
      <c r="U100" s="1307">
        <f t="shared" si="20"/>
        <v>14002</v>
      </c>
      <c r="V100" s="1307">
        <f t="shared" si="20"/>
        <v>31374</v>
      </c>
      <c r="W100" s="1307">
        <f t="shared" si="20"/>
        <v>21762</v>
      </c>
      <c r="X100" s="1308">
        <f t="shared" si="20"/>
        <v>7142</v>
      </c>
      <c r="Y100" s="1309">
        <f t="shared" si="20"/>
        <v>24431</v>
      </c>
      <c r="Z100" s="1147">
        <f t="shared" si="20"/>
        <v>0</v>
      </c>
      <c r="AA100" s="1147">
        <f t="shared" si="20"/>
        <v>0</v>
      </c>
      <c r="AB100" s="1147">
        <f t="shared" si="20"/>
        <v>0</v>
      </c>
      <c r="AC100" s="1147">
        <f t="shared" si="20"/>
        <v>0</v>
      </c>
      <c r="AD100" s="1147">
        <f t="shared" si="20"/>
        <v>0</v>
      </c>
      <c r="AE100" s="1147">
        <f t="shared" si="20"/>
        <v>0</v>
      </c>
      <c r="AF100" s="1147">
        <f t="shared" si="20"/>
        <v>0</v>
      </c>
      <c r="AG100" s="1147">
        <f>AG101+AG114+AG124+AG137+AG141+AG152+AG168</f>
        <v>163711</v>
      </c>
      <c r="AH100" s="1614"/>
    </row>
    <row r="101" spans="1:34" s="1032" customFormat="1" ht="51.75" customHeight="1">
      <c r="A101" s="1528">
        <v>1211</v>
      </c>
      <c r="B101" s="971" t="s">
        <v>716</v>
      </c>
      <c r="C101" s="1075" t="s">
        <v>717</v>
      </c>
      <c r="D101" s="1033"/>
      <c r="E101" s="1030">
        <f t="shared" ref="E101:E135" si="21">+G101-F101+1</f>
        <v>12</v>
      </c>
      <c r="F101" s="1029">
        <v>43220</v>
      </c>
      <c r="G101" s="1029">
        <v>43231</v>
      </c>
      <c r="H101" s="1310" t="s">
        <v>718</v>
      </c>
      <c r="I101" s="1030" t="s">
        <v>170</v>
      </c>
      <c r="J101" s="734" t="s">
        <v>719</v>
      </c>
      <c r="K101" s="1311"/>
      <c r="L101" s="1312"/>
      <c r="M101" s="1311"/>
      <c r="N101" s="1311"/>
      <c r="O101" s="1313"/>
      <c r="P101" s="1311"/>
      <c r="Q101" s="1313">
        <f>SUM(Q102:Q113)</f>
        <v>14002</v>
      </c>
      <c r="R101" s="1031">
        <f>+SUM(Q102:Q113)</f>
        <v>14002</v>
      </c>
      <c r="S101" s="1314">
        <f t="shared" ref="S101:Y101" si="22">SUM(S102:S113)</f>
        <v>0</v>
      </c>
      <c r="T101" s="1314">
        <f t="shared" si="22"/>
        <v>0</v>
      </c>
      <c r="U101" s="1314">
        <f t="shared" si="22"/>
        <v>14002</v>
      </c>
      <c r="V101" s="1314">
        <f t="shared" si="22"/>
        <v>0</v>
      </c>
      <c r="W101" s="1314">
        <f t="shared" si="22"/>
        <v>0</v>
      </c>
      <c r="X101" s="1315">
        <f t="shared" si="22"/>
        <v>0</v>
      </c>
      <c r="Y101" s="1316">
        <f t="shared" si="22"/>
        <v>0</v>
      </c>
      <c r="Z101" s="1148">
        <f t="shared" ref="Z101:AF101" si="23">SUM(Z102:Z113)</f>
        <v>0</v>
      </c>
      <c r="AA101" s="1148">
        <f t="shared" si="23"/>
        <v>0</v>
      </c>
      <c r="AB101" s="1148">
        <f t="shared" si="23"/>
        <v>0</v>
      </c>
      <c r="AC101" s="1148">
        <f t="shared" si="23"/>
        <v>0</v>
      </c>
      <c r="AD101" s="1148">
        <f t="shared" si="23"/>
        <v>0</v>
      </c>
      <c r="AE101" s="1148">
        <f t="shared" si="23"/>
        <v>0</v>
      </c>
      <c r="AF101" s="1148">
        <f t="shared" si="23"/>
        <v>0</v>
      </c>
      <c r="AG101" s="1148">
        <f>SUM(S101:AF101)</f>
        <v>14002</v>
      </c>
    </row>
    <row r="102" spans="1:34" s="969" customFormat="1" ht="72.75" customHeight="1">
      <c r="A102" s="1529">
        <v>1211</v>
      </c>
      <c r="B102" s="972" t="s">
        <v>716</v>
      </c>
      <c r="C102" s="1076" t="s">
        <v>717</v>
      </c>
      <c r="D102" s="963"/>
      <c r="E102" s="671">
        <f t="shared" si="21"/>
        <v>12</v>
      </c>
      <c r="F102" s="670">
        <v>43220</v>
      </c>
      <c r="G102" s="670">
        <v>43231</v>
      </c>
      <c r="H102" s="1317" t="s">
        <v>718</v>
      </c>
      <c r="I102" s="671" t="s">
        <v>170</v>
      </c>
      <c r="J102" s="669" t="s">
        <v>719</v>
      </c>
      <c r="K102" s="1292" t="s">
        <v>720</v>
      </c>
      <c r="L102" s="1233">
        <v>23174</v>
      </c>
      <c r="M102" s="963"/>
      <c r="N102" s="963"/>
      <c r="O102" s="1098">
        <v>157</v>
      </c>
      <c r="P102" s="963">
        <v>28</v>
      </c>
      <c r="Q102" s="1098">
        <f t="shared" ref="Q102:Q113" si="24">+O102*P102</f>
        <v>4396</v>
      </c>
      <c r="R102" s="964"/>
      <c r="S102" s="964"/>
      <c r="T102" s="964"/>
      <c r="U102" s="1098">
        <v>4396</v>
      </c>
      <c r="V102" s="964"/>
      <c r="W102" s="964"/>
      <c r="X102" s="1170"/>
      <c r="Y102" s="1187"/>
      <c r="Z102" s="1188"/>
      <c r="AA102" s="1188"/>
      <c r="AB102" s="1188"/>
      <c r="AC102" s="1188"/>
      <c r="AD102" s="1188"/>
      <c r="AE102" s="1188"/>
      <c r="AF102" s="1188"/>
      <c r="AG102" s="1149"/>
    </row>
    <row r="103" spans="1:34" s="969" customFormat="1" ht="72.75" customHeight="1">
      <c r="A103" s="1529">
        <v>1211</v>
      </c>
      <c r="B103" s="972" t="s">
        <v>716</v>
      </c>
      <c r="C103" s="1076" t="s">
        <v>717</v>
      </c>
      <c r="D103" s="963"/>
      <c r="E103" s="671">
        <f t="shared" si="21"/>
        <v>12</v>
      </c>
      <c r="F103" s="670">
        <f t="shared" ref="F103:F113" si="25">+F102</f>
        <v>43220</v>
      </c>
      <c r="G103" s="670">
        <v>43231</v>
      </c>
      <c r="H103" s="1317" t="s">
        <v>718</v>
      </c>
      <c r="I103" s="671" t="s">
        <v>170</v>
      </c>
      <c r="J103" s="669" t="s">
        <v>719</v>
      </c>
      <c r="K103" s="1318" t="s">
        <v>721</v>
      </c>
      <c r="L103" s="1233">
        <v>23174</v>
      </c>
      <c r="M103" s="963"/>
      <c r="N103" s="963"/>
      <c r="O103" s="1098">
        <v>162</v>
      </c>
      <c r="P103" s="963">
        <v>28</v>
      </c>
      <c r="Q103" s="1098">
        <f t="shared" si="24"/>
        <v>4536</v>
      </c>
      <c r="R103" s="964"/>
      <c r="S103" s="964"/>
      <c r="T103" s="964"/>
      <c r="U103" s="1098">
        <v>4536</v>
      </c>
      <c r="V103" s="964"/>
      <c r="W103" s="964"/>
      <c r="X103" s="1170"/>
      <c r="Y103" s="1187"/>
      <c r="Z103" s="1188"/>
      <c r="AA103" s="1188"/>
      <c r="AB103" s="1188"/>
      <c r="AC103" s="1188"/>
      <c r="AD103" s="1188"/>
      <c r="AE103" s="1188"/>
      <c r="AF103" s="1188"/>
      <c r="AG103" s="1149"/>
    </row>
    <row r="104" spans="1:34" s="969" customFormat="1" ht="72.75" customHeight="1">
      <c r="A104" s="1529">
        <v>1211</v>
      </c>
      <c r="B104" s="972" t="s">
        <v>716</v>
      </c>
      <c r="C104" s="1076" t="s">
        <v>717</v>
      </c>
      <c r="D104" s="963"/>
      <c r="E104" s="671">
        <f t="shared" si="21"/>
        <v>12</v>
      </c>
      <c r="F104" s="670">
        <f t="shared" si="25"/>
        <v>43220</v>
      </c>
      <c r="G104" s="670">
        <v>43231</v>
      </c>
      <c r="H104" s="1317" t="s">
        <v>718</v>
      </c>
      <c r="I104" s="671" t="s">
        <v>170</v>
      </c>
      <c r="J104" s="669" t="s">
        <v>719</v>
      </c>
      <c r="K104" s="1318" t="s">
        <v>722</v>
      </c>
      <c r="L104" s="1233">
        <v>23174</v>
      </c>
      <c r="M104" s="963"/>
      <c r="N104" s="963"/>
      <c r="O104" s="1098">
        <v>22</v>
      </c>
      <c r="P104" s="963">
        <v>28</v>
      </c>
      <c r="Q104" s="1098">
        <f t="shared" si="24"/>
        <v>616</v>
      </c>
      <c r="R104" s="964"/>
      <c r="S104" s="964"/>
      <c r="T104" s="964"/>
      <c r="U104" s="1098">
        <v>616</v>
      </c>
      <c r="V104" s="964"/>
      <c r="W104" s="964"/>
      <c r="X104" s="1170"/>
      <c r="Y104" s="1187"/>
      <c r="Z104" s="1188"/>
      <c r="AA104" s="1188"/>
      <c r="AB104" s="1188"/>
      <c r="AC104" s="1188"/>
      <c r="AD104" s="1188"/>
      <c r="AE104" s="1188"/>
      <c r="AF104" s="1188"/>
      <c r="AG104" s="1149"/>
    </row>
    <row r="105" spans="1:34" s="969" customFormat="1" ht="72.75" customHeight="1">
      <c r="A105" s="1529">
        <v>1211</v>
      </c>
      <c r="B105" s="972" t="s">
        <v>716</v>
      </c>
      <c r="C105" s="1076" t="s">
        <v>717</v>
      </c>
      <c r="D105" s="963"/>
      <c r="E105" s="671">
        <f t="shared" si="21"/>
        <v>12</v>
      </c>
      <c r="F105" s="670">
        <f t="shared" si="25"/>
        <v>43220</v>
      </c>
      <c r="G105" s="670">
        <v>43231</v>
      </c>
      <c r="H105" s="1317" t="s">
        <v>718</v>
      </c>
      <c r="I105" s="671" t="s">
        <v>170</v>
      </c>
      <c r="J105" s="669" t="s">
        <v>719</v>
      </c>
      <c r="K105" s="1318" t="s">
        <v>415</v>
      </c>
      <c r="L105" s="1231">
        <v>23173</v>
      </c>
      <c r="M105" s="963"/>
      <c r="N105" s="963"/>
      <c r="O105" s="1098">
        <v>156</v>
      </c>
      <c r="P105" s="963">
        <v>10</v>
      </c>
      <c r="Q105" s="1098">
        <f t="shared" si="24"/>
        <v>1560</v>
      </c>
      <c r="R105" s="964"/>
      <c r="S105" s="964"/>
      <c r="T105" s="964"/>
      <c r="U105" s="1098">
        <v>1560</v>
      </c>
      <c r="V105" s="964"/>
      <c r="W105" s="964"/>
      <c r="X105" s="1170"/>
      <c r="Y105" s="1187"/>
      <c r="Z105" s="1188"/>
      <c r="AA105" s="1188"/>
      <c r="AB105" s="1188"/>
      <c r="AC105" s="1188"/>
      <c r="AD105" s="1188"/>
      <c r="AE105" s="1188"/>
      <c r="AF105" s="1188"/>
      <c r="AG105" s="1149"/>
    </row>
    <row r="106" spans="1:34" s="969" customFormat="1" ht="72.75" customHeight="1">
      <c r="A106" s="1529">
        <v>1211</v>
      </c>
      <c r="B106" s="972" t="s">
        <v>716</v>
      </c>
      <c r="C106" s="1076" t="s">
        <v>717</v>
      </c>
      <c r="D106" s="963"/>
      <c r="E106" s="671">
        <f t="shared" si="21"/>
        <v>12</v>
      </c>
      <c r="F106" s="670">
        <f t="shared" si="25"/>
        <v>43220</v>
      </c>
      <c r="G106" s="670">
        <v>43231</v>
      </c>
      <c r="H106" s="1317" t="s">
        <v>718</v>
      </c>
      <c r="I106" s="671" t="s">
        <v>170</v>
      </c>
      <c r="J106" s="669" t="s">
        <v>719</v>
      </c>
      <c r="K106" s="1318" t="s">
        <v>638</v>
      </c>
      <c r="L106" s="1233">
        <v>23173</v>
      </c>
      <c r="M106" s="963"/>
      <c r="N106" s="963"/>
      <c r="O106" s="1098">
        <v>10</v>
      </c>
      <c r="P106" s="963">
        <v>28</v>
      </c>
      <c r="Q106" s="1098">
        <f t="shared" si="24"/>
        <v>280</v>
      </c>
      <c r="R106" s="964"/>
      <c r="S106" s="964"/>
      <c r="T106" s="964"/>
      <c r="U106" s="1098">
        <v>280</v>
      </c>
      <c r="V106" s="964"/>
      <c r="W106" s="964"/>
      <c r="X106" s="1170"/>
      <c r="Y106" s="1187"/>
      <c r="Z106" s="1188"/>
      <c r="AA106" s="1188"/>
      <c r="AB106" s="1188"/>
      <c r="AC106" s="1188"/>
      <c r="AD106" s="1188"/>
      <c r="AE106" s="1188"/>
      <c r="AF106" s="1188"/>
      <c r="AG106" s="1149"/>
    </row>
    <row r="107" spans="1:34" s="969" customFormat="1" ht="72.75" customHeight="1">
      <c r="A107" s="1529">
        <v>1211</v>
      </c>
      <c r="B107" s="972" t="s">
        <v>716</v>
      </c>
      <c r="C107" s="1076" t="s">
        <v>717</v>
      </c>
      <c r="D107" s="963"/>
      <c r="E107" s="671">
        <f t="shared" si="21"/>
        <v>12</v>
      </c>
      <c r="F107" s="670">
        <f t="shared" si="25"/>
        <v>43220</v>
      </c>
      <c r="G107" s="670">
        <v>43231</v>
      </c>
      <c r="H107" s="1317" t="s">
        <v>718</v>
      </c>
      <c r="I107" s="671" t="s">
        <v>170</v>
      </c>
      <c r="J107" s="669" t="s">
        <v>719</v>
      </c>
      <c r="K107" s="1318" t="s">
        <v>723</v>
      </c>
      <c r="L107" s="1233">
        <v>23174</v>
      </c>
      <c r="M107" s="963"/>
      <c r="N107" s="963"/>
      <c r="O107" s="1098">
        <v>281</v>
      </c>
      <c r="P107" s="963">
        <v>4</v>
      </c>
      <c r="Q107" s="1098">
        <f t="shared" si="24"/>
        <v>1124</v>
      </c>
      <c r="R107" s="964"/>
      <c r="S107" s="964"/>
      <c r="T107" s="964"/>
      <c r="U107" s="1098">
        <v>1124</v>
      </c>
      <c r="V107" s="964"/>
      <c r="W107" s="964"/>
      <c r="X107" s="1170"/>
      <c r="Y107" s="1187"/>
      <c r="Z107" s="1188"/>
      <c r="AA107" s="1188"/>
      <c r="AB107" s="1188"/>
      <c r="AC107" s="1188"/>
      <c r="AD107" s="1188"/>
      <c r="AE107" s="1188"/>
      <c r="AF107" s="1188"/>
      <c r="AG107" s="1149"/>
    </row>
    <row r="108" spans="1:34" s="969" customFormat="1" ht="72.75" customHeight="1">
      <c r="A108" s="1529">
        <v>1211</v>
      </c>
      <c r="B108" s="972" t="s">
        <v>716</v>
      </c>
      <c r="C108" s="1076" t="s">
        <v>717</v>
      </c>
      <c r="D108" s="963"/>
      <c r="E108" s="671">
        <f t="shared" si="21"/>
        <v>12</v>
      </c>
      <c r="F108" s="670">
        <f t="shared" si="25"/>
        <v>43220</v>
      </c>
      <c r="G108" s="670">
        <v>43231</v>
      </c>
      <c r="H108" s="1317" t="s">
        <v>718</v>
      </c>
      <c r="I108" s="671" t="s">
        <v>170</v>
      </c>
      <c r="J108" s="669" t="s">
        <v>719</v>
      </c>
      <c r="K108" s="1318" t="s">
        <v>724</v>
      </c>
      <c r="L108" s="1233">
        <v>23173</v>
      </c>
      <c r="M108" s="963"/>
      <c r="N108" s="963"/>
      <c r="O108" s="1098">
        <v>10</v>
      </c>
      <c r="P108" s="963">
        <v>28</v>
      </c>
      <c r="Q108" s="1098">
        <f t="shared" si="24"/>
        <v>280</v>
      </c>
      <c r="R108" s="964"/>
      <c r="S108" s="964"/>
      <c r="T108" s="964"/>
      <c r="U108" s="1098">
        <v>280</v>
      </c>
      <c r="V108" s="964"/>
      <c r="W108" s="964"/>
      <c r="X108" s="1170"/>
      <c r="Y108" s="1187"/>
      <c r="Z108" s="1188"/>
      <c r="AA108" s="1188"/>
      <c r="AB108" s="1188"/>
      <c r="AC108" s="1188"/>
      <c r="AD108" s="1188"/>
      <c r="AE108" s="1188"/>
      <c r="AF108" s="1188"/>
      <c r="AG108" s="1149"/>
    </row>
    <row r="109" spans="1:34" s="969" customFormat="1" ht="72.75" customHeight="1">
      <c r="A109" s="1529">
        <f>+A108</f>
        <v>1211</v>
      </c>
      <c r="B109" s="972" t="s">
        <v>716</v>
      </c>
      <c r="C109" s="1076" t="s">
        <v>717</v>
      </c>
      <c r="D109" s="963"/>
      <c r="E109" s="671">
        <f t="shared" si="21"/>
        <v>12</v>
      </c>
      <c r="F109" s="670">
        <f t="shared" si="25"/>
        <v>43220</v>
      </c>
      <c r="G109" s="670">
        <v>43231</v>
      </c>
      <c r="H109" s="1317" t="s">
        <v>718</v>
      </c>
      <c r="I109" s="671" t="s">
        <v>170</v>
      </c>
      <c r="J109" s="669" t="s">
        <v>719</v>
      </c>
      <c r="K109" s="1318" t="s">
        <v>725</v>
      </c>
      <c r="L109" s="1233">
        <v>23174</v>
      </c>
      <c r="M109" s="963"/>
      <c r="N109" s="963"/>
      <c r="O109" s="1098">
        <v>157</v>
      </c>
      <c r="P109" s="963">
        <v>2</v>
      </c>
      <c r="Q109" s="1098">
        <f t="shared" si="24"/>
        <v>314</v>
      </c>
      <c r="R109" s="964"/>
      <c r="S109" s="964"/>
      <c r="T109" s="964"/>
      <c r="U109" s="1098">
        <v>314</v>
      </c>
      <c r="V109" s="964"/>
      <c r="W109" s="964"/>
      <c r="X109" s="1170"/>
      <c r="Y109" s="1187"/>
      <c r="Z109" s="1188"/>
      <c r="AA109" s="1188"/>
      <c r="AB109" s="1188"/>
      <c r="AC109" s="1188"/>
      <c r="AD109" s="1188"/>
      <c r="AE109" s="1188"/>
      <c r="AF109" s="1188"/>
      <c r="AG109" s="1149"/>
    </row>
    <row r="110" spans="1:34" s="969" customFormat="1" ht="72.75" customHeight="1">
      <c r="A110" s="1529">
        <f>+A109</f>
        <v>1211</v>
      </c>
      <c r="B110" s="972" t="s">
        <v>716</v>
      </c>
      <c r="C110" s="1076" t="s">
        <v>717</v>
      </c>
      <c r="D110" s="963"/>
      <c r="E110" s="671">
        <f t="shared" si="21"/>
        <v>12</v>
      </c>
      <c r="F110" s="670">
        <f t="shared" si="25"/>
        <v>43220</v>
      </c>
      <c r="G110" s="670">
        <v>43231</v>
      </c>
      <c r="H110" s="1317" t="s">
        <v>718</v>
      </c>
      <c r="I110" s="671" t="s">
        <v>170</v>
      </c>
      <c r="J110" s="669" t="s">
        <v>719</v>
      </c>
      <c r="K110" s="1318" t="s">
        <v>726</v>
      </c>
      <c r="L110" s="1233">
        <v>23174</v>
      </c>
      <c r="M110" s="963"/>
      <c r="N110" s="963"/>
      <c r="O110" s="1098">
        <v>162</v>
      </c>
      <c r="P110" s="963">
        <v>2</v>
      </c>
      <c r="Q110" s="1098">
        <f t="shared" si="24"/>
        <v>324</v>
      </c>
      <c r="R110" s="964"/>
      <c r="S110" s="964"/>
      <c r="T110" s="964"/>
      <c r="U110" s="1098">
        <v>324</v>
      </c>
      <c r="V110" s="964"/>
      <c r="W110" s="964"/>
      <c r="X110" s="1170"/>
      <c r="Y110" s="1187"/>
      <c r="Z110" s="1188"/>
      <c r="AA110" s="1188"/>
      <c r="AB110" s="1188"/>
      <c r="AC110" s="1188"/>
      <c r="AD110" s="1188"/>
      <c r="AE110" s="1188"/>
      <c r="AF110" s="1188"/>
      <c r="AG110" s="1149"/>
    </row>
    <row r="111" spans="1:34" s="969" customFormat="1" ht="72.75" customHeight="1">
      <c r="A111" s="1529">
        <f>+A110</f>
        <v>1211</v>
      </c>
      <c r="B111" s="972" t="s">
        <v>716</v>
      </c>
      <c r="C111" s="1076" t="s">
        <v>717</v>
      </c>
      <c r="D111" s="963"/>
      <c r="E111" s="671">
        <f t="shared" si="21"/>
        <v>12</v>
      </c>
      <c r="F111" s="670">
        <f t="shared" si="25"/>
        <v>43220</v>
      </c>
      <c r="G111" s="670">
        <v>43231</v>
      </c>
      <c r="H111" s="1317" t="s">
        <v>718</v>
      </c>
      <c r="I111" s="671" t="s">
        <v>170</v>
      </c>
      <c r="J111" s="669" t="s">
        <v>719</v>
      </c>
      <c r="K111" s="1318" t="s">
        <v>727</v>
      </c>
      <c r="L111" s="1233">
        <v>23174</v>
      </c>
      <c r="M111" s="963"/>
      <c r="N111" s="963"/>
      <c r="O111" s="1098">
        <v>131</v>
      </c>
      <c r="P111" s="963">
        <v>2</v>
      </c>
      <c r="Q111" s="1098">
        <f t="shared" si="24"/>
        <v>262</v>
      </c>
      <c r="R111" s="964"/>
      <c r="S111" s="964"/>
      <c r="T111" s="964"/>
      <c r="U111" s="1098">
        <v>262</v>
      </c>
      <c r="V111" s="964"/>
      <c r="W111" s="964"/>
      <c r="X111" s="1170"/>
      <c r="Y111" s="1187"/>
      <c r="Z111" s="1188"/>
      <c r="AA111" s="1188"/>
      <c r="AB111" s="1188"/>
      <c r="AC111" s="1188"/>
      <c r="AD111" s="1188"/>
      <c r="AE111" s="1188"/>
      <c r="AF111" s="1188"/>
      <c r="AG111" s="1149"/>
    </row>
    <row r="112" spans="1:34" s="969" customFormat="1" ht="72.75" customHeight="1">
      <c r="A112" s="1529">
        <f>+A111</f>
        <v>1211</v>
      </c>
      <c r="B112" s="972" t="s">
        <v>716</v>
      </c>
      <c r="C112" s="1076" t="s">
        <v>717</v>
      </c>
      <c r="D112" s="963"/>
      <c r="E112" s="671">
        <f t="shared" si="21"/>
        <v>12</v>
      </c>
      <c r="F112" s="670">
        <f t="shared" si="25"/>
        <v>43220</v>
      </c>
      <c r="G112" s="670">
        <v>43231</v>
      </c>
      <c r="H112" s="1317" t="s">
        <v>718</v>
      </c>
      <c r="I112" s="671" t="s">
        <v>170</v>
      </c>
      <c r="J112" s="669" t="s">
        <v>719</v>
      </c>
      <c r="K112" s="1318" t="s">
        <v>728</v>
      </c>
      <c r="L112" s="1233">
        <v>23174</v>
      </c>
      <c r="M112" s="963"/>
      <c r="N112" s="963"/>
      <c r="O112" s="1098">
        <v>81</v>
      </c>
      <c r="P112" s="963">
        <v>2</v>
      </c>
      <c r="Q112" s="1098">
        <f t="shared" si="24"/>
        <v>162</v>
      </c>
      <c r="R112" s="964"/>
      <c r="S112" s="964"/>
      <c r="T112" s="964"/>
      <c r="U112" s="1098">
        <v>162</v>
      </c>
      <c r="V112" s="964"/>
      <c r="W112" s="964"/>
      <c r="X112" s="1170"/>
      <c r="Y112" s="1187"/>
      <c r="Z112" s="1188"/>
      <c r="AA112" s="1188"/>
      <c r="AB112" s="1188"/>
      <c r="AC112" s="1188"/>
      <c r="AD112" s="1188"/>
      <c r="AE112" s="1188"/>
      <c r="AF112" s="1188"/>
      <c r="AG112" s="1149"/>
    </row>
    <row r="113" spans="1:33" s="969" customFormat="1" ht="72.75" customHeight="1">
      <c r="A113" s="1529">
        <f>+A111</f>
        <v>1211</v>
      </c>
      <c r="B113" s="972" t="s">
        <v>716</v>
      </c>
      <c r="C113" s="1076" t="s">
        <v>717</v>
      </c>
      <c r="D113" s="963"/>
      <c r="E113" s="671">
        <f t="shared" si="21"/>
        <v>12</v>
      </c>
      <c r="F113" s="670">
        <f t="shared" si="25"/>
        <v>43220</v>
      </c>
      <c r="G113" s="670">
        <v>43231</v>
      </c>
      <c r="H113" s="1317" t="s">
        <v>718</v>
      </c>
      <c r="I113" s="671" t="s">
        <v>170</v>
      </c>
      <c r="J113" s="669" t="s">
        <v>719</v>
      </c>
      <c r="K113" s="1318" t="s">
        <v>729</v>
      </c>
      <c r="L113" s="1233">
        <v>23174</v>
      </c>
      <c r="M113" s="963"/>
      <c r="N113" s="963"/>
      <c r="O113" s="1098">
        <v>74</v>
      </c>
      <c r="P113" s="963">
        <v>2</v>
      </c>
      <c r="Q113" s="1098">
        <f t="shared" si="24"/>
        <v>148</v>
      </c>
      <c r="R113" s="964"/>
      <c r="S113" s="964"/>
      <c r="T113" s="964"/>
      <c r="U113" s="1098">
        <v>148</v>
      </c>
      <c r="V113" s="964"/>
      <c r="W113" s="964"/>
      <c r="X113" s="1170"/>
      <c r="Y113" s="1187"/>
      <c r="Z113" s="1188"/>
      <c r="AA113" s="1188"/>
      <c r="AB113" s="1188"/>
      <c r="AC113" s="1188"/>
      <c r="AD113" s="1188"/>
      <c r="AE113" s="1188"/>
      <c r="AF113" s="1188"/>
      <c r="AG113" s="1149"/>
    </row>
    <row r="114" spans="1:33" s="1035" customFormat="1" ht="62.1" customHeight="1">
      <c r="A114" s="1528">
        <v>1212</v>
      </c>
      <c r="B114" s="965" t="s">
        <v>730</v>
      </c>
      <c r="C114" s="1075" t="s">
        <v>731</v>
      </c>
      <c r="D114" s="1033"/>
      <c r="E114" s="1030">
        <f t="shared" si="21"/>
        <v>5</v>
      </c>
      <c r="F114" s="1029">
        <v>43248</v>
      </c>
      <c r="G114" s="1029">
        <f t="shared" ref="G114:G123" si="26">+F114+5-1</f>
        <v>43252</v>
      </c>
      <c r="H114" s="1310" t="s">
        <v>732</v>
      </c>
      <c r="I114" s="1030" t="s">
        <v>170</v>
      </c>
      <c r="J114" s="734" t="s">
        <v>719</v>
      </c>
      <c r="K114" s="1319"/>
      <c r="L114" s="1234"/>
      <c r="M114" s="1033"/>
      <c r="N114" s="1033"/>
      <c r="O114" s="1099"/>
      <c r="P114" s="1033"/>
      <c r="Q114" s="1099">
        <f>SUM(Q115:Q123)</f>
        <v>31374</v>
      </c>
      <c r="R114" s="1034">
        <f>SUM(Q115:Q123)</f>
        <v>31374</v>
      </c>
      <c r="S114" s="1054">
        <f t="shared" ref="S114:AF114" si="27">SUM(S115:S123)</f>
        <v>0</v>
      </c>
      <c r="T114" s="1054">
        <f t="shared" si="27"/>
        <v>0</v>
      </c>
      <c r="U114" s="1054">
        <f t="shared" si="27"/>
        <v>0</v>
      </c>
      <c r="V114" s="1054">
        <f t="shared" si="27"/>
        <v>31374</v>
      </c>
      <c r="W114" s="1054">
        <f t="shared" si="27"/>
        <v>0</v>
      </c>
      <c r="X114" s="1171">
        <f t="shared" si="27"/>
        <v>0</v>
      </c>
      <c r="Y114" s="1189">
        <f t="shared" si="27"/>
        <v>0</v>
      </c>
      <c r="Z114" s="1189">
        <f t="shared" si="27"/>
        <v>0</v>
      </c>
      <c r="AA114" s="1189">
        <f t="shared" si="27"/>
        <v>0</v>
      </c>
      <c r="AB114" s="1189">
        <f t="shared" si="27"/>
        <v>0</v>
      </c>
      <c r="AC114" s="1189">
        <f t="shared" si="27"/>
        <v>0</v>
      </c>
      <c r="AD114" s="1189">
        <f t="shared" si="27"/>
        <v>0</v>
      </c>
      <c r="AE114" s="1189">
        <f t="shared" si="27"/>
        <v>0</v>
      </c>
      <c r="AF114" s="1189">
        <f t="shared" si="27"/>
        <v>0</v>
      </c>
      <c r="AG114" s="1201">
        <f>SUM(S114:AF114)</f>
        <v>31374</v>
      </c>
    </row>
    <row r="115" spans="1:33" s="969" customFormat="1" ht="72" customHeight="1">
      <c r="A115" s="1529">
        <v>1212</v>
      </c>
      <c r="B115" s="966" t="s">
        <v>730</v>
      </c>
      <c r="C115" s="1076" t="s">
        <v>731</v>
      </c>
      <c r="D115" s="963"/>
      <c r="E115" s="671">
        <f t="shared" si="21"/>
        <v>5</v>
      </c>
      <c r="F115" s="670">
        <v>43248</v>
      </c>
      <c r="G115" s="670">
        <f t="shared" si="26"/>
        <v>43252</v>
      </c>
      <c r="H115" s="1317" t="s">
        <v>732</v>
      </c>
      <c r="I115" s="671" t="s">
        <v>170</v>
      </c>
      <c r="J115" s="669" t="s">
        <v>719</v>
      </c>
      <c r="K115" s="1318" t="s">
        <v>733</v>
      </c>
      <c r="L115" s="1233">
        <v>23174</v>
      </c>
      <c r="M115" s="963"/>
      <c r="N115" s="963"/>
      <c r="O115" s="1098">
        <v>101</v>
      </c>
      <c r="P115" s="963">
        <v>49</v>
      </c>
      <c r="Q115" s="1098">
        <f t="shared" ref="Q115:Q123" si="28">+O115*P115</f>
        <v>4949</v>
      </c>
      <c r="R115" s="964"/>
      <c r="S115" s="964"/>
      <c r="T115" s="964"/>
      <c r="U115" s="964"/>
      <c r="V115" s="1098">
        <v>4949</v>
      </c>
      <c r="W115" s="964"/>
      <c r="X115" s="1170"/>
      <c r="Y115" s="1187"/>
      <c r="Z115" s="1188"/>
      <c r="AA115" s="1188"/>
      <c r="AB115" s="1188"/>
      <c r="AC115" s="1188"/>
      <c r="AD115" s="1188"/>
      <c r="AE115" s="1188"/>
      <c r="AF115" s="1188"/>
      <c r="AG115" s="1149"/>
    </row>
    <row r="116" spans="1:33" s="969" customFormat="1" ht="72" customHeight="1">
      <c r="A116" s="1529">
        <f>+A115</f>
        <v>1212</v>
      </c>
      <c r="B116" s="966" t="s">
        <v>730</v>
      </c>
      <c r="C116" s="1076" t="s">
        <v>731</v>
      </c>
      <c r="D116" s="963"/>
      <c r="E116" s="671">
        <f t="shared" si="21"/>
        <v>5</v>
      </c>
      <c r="F116" s="670">
        <v>43248</v>
      </c>
      <c r="G116" s="670">
        <f t="shared" si="26"/>
        <v>43252</v>
      </c>
      <c r="H116" s="1317" t="s">
        <v>732</v>
      </c>
      <c r="I116" s="671" t="s">
        <v>170</v>
      </c>
      <c r="J116" s="669" t="s">
        <v>719</v>
      </c>
      <c r="K116" s="1318" t="s">
        <v>721</v>
      </c>
      <c r="L116" s="1233">
        <v>23174</v>
      </c>
      <c r="M116" s="963"/>
      <c r="N116" s="963"/>
      <c r="O116" s="1098">
        <v>100</v>
      </c>
      <c r="P116" s="963">
        <v>49</v>
      </c>
      <c r="Q116" s="1098">
        <f t="shared" si="28"/>
        <v>4900</v>
      </c>
      <c r="R116" s="964"/>
      <c r="S116" s="964"/>
      <c r="T116" s="964"/>
      <c r="U116" s="964"/>
      <c r="V116" s="1098">
        <v>4900</v>
      </c>
      <c r="W116" s="964"/>
      <c r="X116" s="1170"/>
      <c r="Y116" s="1187"/>
      <c r="Z116" s="1188"/>
      <c r="AA116" s="1188"/>
      <c r="AB116" s="1188"/>
      <c r="AC116" s="1188"/>
      <c r="AD116" s="1188"/>
      <c r="AE116" s="1188"/>
      <c r="AF116" s="1188"/>
      <c r="AG116" s="1149"/>
    </row>
    <row r="117" spans="1:33" s="969" customFormat="1" ht="72" customHeight="1">
      <c r="A117" s="1529">
        <f>+A116</f>
        <v>1212</v>
      </c>
      <c r="B117" s="966" t="s">
        <v>730</v>
      </c>
      <c r="C117" s="1076" t="s">
        <v>731</v>
      </c>
      <c r="D117" s="963"/>
      <c r="E117" s="671">
        <f t="shared" si="21"/>
        <v>5</v>
      </c>
      <c r="F117" s="670">
        <v>43248</v>
      </c>
      <c r="G117" s="670">
        <f t="shared" si="26"/>
        <v>43252</v>
      </c>
      <c r="H117" s="1317" t="s">
        <v>732</v>
      </c>
      <c r="I117" s="671" t="s">
        <v>170</v>
      </c>
      <c r="J117" s="669" t="s">
        <v>719</v>
      </c>
      <c r="K117" s="1318" t="s">
        <v>734</v>
      </c>
      <c r="L117" s="1231">
        <v>23173</v>
      </c>
      <c r="M117" s="963"/>
      <c r="N117" s="963"/>
      <c r="O117" s="1098">
        <v>875</v>
      </c>
      <c r="P117" s="963">
        <v>7</v>
      </c>
      <c r="Q117" s="1098">
        <f t="shared" si="28"/>
        <v>6125</v>
      </c>
      <c r="R117" s="964"/>
      <c r="S117" s="964"/>
      <c r="T117" s="964"/>
      <c r="U117" s="964"/>
      <c r="V117" s="1098">
        <v>6125</v>
      </c>
      <c r="W117" s="964"/>
      <c r="X117" s="1170"/>
      <c r="Y117" s="1187"/>
      <c r="Z117" s="1188"/>
      <c r="AA117" s="1188"/>
      <c r="AB117" s="1188"/>
      <c r="AC117" s="1188"/>
      <c r="AD117" s="1188"/>
      <c r="AE117" s="1188"/>
      <c r="AF117" s="1188"/>
      <c r="AG117" s="1149"/>
    </row>
    <row r="118" spans="1:33" s="969" customFormat="1" ht="72" customHeight="1">
      <c r="A118" s="1529">
        <f>+A117</f>
        <v>1212</v>
      </c>
      <c r="B118" s="966" t="s">
        <v>730</v>
      </c>
      <c r="C118" s="1076" t="s">
        <v>731</v>
      </c>
      <c r="D118" s="963"/>
      <c r="E118" s="671">
        <f t="shared" si="21"/>
        <v>5</v>
      </c>
      <c r="F118" s="670">
        <v>43248</v>
      </c>
      <c r="G118" s="670">
        <f t="shared" si="26"/>
        <v>43252</v>
      </c>
      <c r="H118" s="1317" t="s">
        <v>732</v>
      </c>
      <c r="I118" s="671" t="s">
        <v>170</v>
      </c>
      <c r="J118" s="669" t="s">
        <v>719</v>
      </c>
      <c r="K118" s="1318" t="s">
        <v>735</v>
      </c>
      <c r="L118" s="1233">
        <v>23174</v>
      </c>
      <c r="M118" s="963"/>
      <c r="N118" s="963"/>
      <c r="O118" s="1098">
        <v>510</v>
      </c>
      <c r="P118" s="963">
        <v>7</v>
      </c>
      <c r="Q118" s="1098">
        <f t="shared" si="28"/>
        <v>3570</v>
      </c>
      <c r="R118" s="964"/>
      <c r="S118" s="964"/>
      <c r="T118" s="964"/>
      <c r="U118" s="964"/>
      <c r="V118" s="1098">
        <v>3570</v>
      </c>
      <c r="W118" s="964"/>
      <c r="X118" s="1170"/>
      <c r="Y118" s="1187"/>
      <c r="Z118" s="1188"/>
      <c r="AA118" s="1188"/>
      <c r="AB118" s="1188"/>
      <c r="AC118" s="1188"/>
      <c r="AD118" s="1188"/>
      <c r="AE118" s="1188"/>
      <c r="AF118" s="1188"/>
      <c r="AG118" s="1149"/>
    </row>
    <row r="119" spans="1:33" s="969" customFormat="1" ht="72" customHeight="1">
      <c r="A119" s="1529">
        <f>+A117</f>
        <v>1212</v>
      </c>
      <c r="B119" s="966" t="s">
        <v>730</v>
      </c>
      <c r="C119" s="1076" t="s">
        <v>731</v>
      </c>
      <c r="D119" s="963"/>
      <c r="E119" s="671">
        <f t="shared" si="21"/>
        <v>5</v>
      </c>
      <c r="F119" s="670">
        <v>43248</v>
      </c>
      <c r="G119" s="670">
        <f t="shared" si="26"/>
        <v>43252</v>
      </c>
      <c r="H119" s="1317" t="s">
        <v>732</v>
      </c>
      <c r="I119" s="671" t="s">
        <v>170</v>
      </c>
      <c r="J119" s="669" t="s">
        <v>719</v>
      </c>
      <c r="K119" s="1318" t="s">
        <v>725</v>
      </c>
      <c r="L119" s="1233">
        <v>23174</v>
      </c>
      <c r="M119" s="963"/>
      <c r="N119" s="963"/>
      <c r="O119" s="1098">
        <v>101</v>
      </c>
      <c r="P119" s="963">
        <v>14</v>
      </c>
      <c r="Q119" s="1098">
        <f t="shared" si="28"/>
        <v>1414</v>
      </c>
      <c r="R119" s="964"/>
      <c r="S119" s="964"/>
      <c r="T119" s="964"/>
      <c r="U119" s="964"/>
      <c r="V119" s="1098">
        <v>1414</v>
      </c>
      <c r="W119" s="964"/>
      <c r="X119" s="1170"/>
      <c r="Y119" s="1187"/>
      <c r="Z119" s="1188"/>
      <c r="AA119" s="1188"/>
      <c r="AB119" s="1188"/>
      <c r="AC119" s="1188"/>
      <c r="AD119" s="1188"/>
      <c r="AE119" s="1188"/>
      <c r="AF119" s="1188"/>
      <c r="AG119" s="1149"/>
    </row>
    <row r="120" spans="1:33" s="969" customFormat="1" ht="72" customHeight="1">
      <c r="A120" s="1529">
        <f>+A119</f>
        <v>1212</v>
      </c>
      <c r="B120" s="966" t="s">
        <v>730</v>
      </c>
      <c r="C120" s="1076" t="s">
        <v>731</v>
      </c>
      <c r="D120" s="963"/>
      <c r="E120" s="671">
        <f t="shared" si="21"/>
        <v>5</v>
      </c>
      <c r="F120" s="670">
        <v>43248</v>
      </c>
      <c r="G120" s="670">
        <f t="shared" si="26"/>
        <v>43252</v>
      </c>
      <c r="H120" s="1317" t="s">
        <v>732</v>
      </c>
      <c r="I120" s="671" t="s">
        <v>170</v>
      </c>
      <c r="J120" s="669" t="s">
        <v>719</v>
      </c>
      <c r="K120" s="1318" t="s">
        <v>726</v>
      </c>
      <c r="L120" s="1233">
        <v>23174</v>
      </c>
      <c r="M120" s="963"/>
      <c r="N120" s="963"/>
      <c r="O120" s="1098">
        <v>100</v>
      </c>
      <c r="P120" s="963">
        <v>14</v>
      </c>
      <c r="Q120" s="1098">
        <f t="shared" si="28"/>
        <v>1400</v>
      </c>
      <c r="R120" s="964"/>
      <c r="S120" s="964"/>
      <c r="T120" s="964"/>
      <c r="U120" s="964"/>
      <c r="V120" s="1098">
        <v>1400</v>
      </c>
      <c r="W120" s="964"/>
      <c r="X120" s="1170"/>
      <c r="Y120" s="1187"/>
      <c r="Z120" s="1188"/>
      <c r="AA120" s="1188"/>
      <c r="AB120" s="1188"/>
      <c r="AC120" s="1188"/>
      <c r="AD120" s="1188"/>
      <c r="AE120" s="1188"/>
      <c r="AF120" s="1188"/>
      <c r="AG120" s="1149"/>
    </row>
    <row r="121" spans="1:33" s="969" customFormat="1" ht="72" customHeight="1">
      <c r="A121" s="1529">
        <f>+A120</f>
        <v>1212</v>
      </c>
      <c r="B121" s="966" t="s">
        <v>730</v>
      </c>
      <c r="C121" s="1076" t="s">
        <v>731</v>
      </c>
      <c r="D121" s="963"/>
      <c r="E121" s="671">
        <f t="shared" si="21"/>
        <v>5</v>
      </c>
      <c r="F121" s="670">
        <v>43248</v>
      </c>
      <c r="G121" s="670">
        <f t="shared" si="26"/>
        <v>43252</v>
      </c>
      <c r="H121" s="1317" t="s">
        <v>732</v>
      </c>
      <c r="I121" s="671" t="s">
        <v>170</v>
      </c>
      <c r="J121" s="669" t="s">
        <v>719</v>
      </c>
      <c r="K121" s="1318" t="s">
        <v>727</v>
      </c>
      <c r="L121" s="1233">
        <v>23174</v>
      </c>
      <c r="M121" s="963"/>
      <c r="N121" s="963"/>
      <c r="O121" s="1098">
        <v>84</v>
      </c>
      <c r="P121" s="963">
        <v>14</v>
      </c>
      <c r="Q121" s="1098">
        <f t="shared" si="28"/>
        <v>1176</v>
      </c>
      <c r="R121" s="964"/>
      <c r="S121" s="964"/>
      <c r="T121" s="964"/>
      <c r="U121" s="964"/>
      <c r="V121" s="1098">
        <v>1176</v>
      </c>
      <c r="W121" s="964"/>
      <c r="X121" s="1170"/>
      <c r="Y121" s="1187"/>
      <c r="Z121" s="1188"/>
      <c r="AA121" s="1188"/>
      <c r="AB121" s="1188"/>
      <c r="AC121" s="1188"/>
      <c r="AD121" s="1188"/>
      <c r="AE121" s="1188"/>
      <c r="AF121" s="1188"/>
      <c r="AG121" s="1149"/>
    </row>
    <row r="122" spans="1:33" s="969" customFormat="1" ht="72" customHeight="1">
      <c r="A122" s="1529">
        <f>+A121</f>
        <v>1212</v>
      </c>
      <c r="B122" s="966" t="s">
        <v>730</v>
      </c>
      <c r="C122" s="1076" t="s">
        <v>731</v>
      </c>
      <c r="D122" s="963"/>
      <c r="E122" s="671">
        <f t="shared" si="21"/>
        <v>5</v>
      </c>
      <c r="F122" s="670">
        <v>43248</v>
      </c>
      <c r="G122" s="670">
        <f t="shared" si="26"/>
        <v>43252</v>
      </c>
      <c r="H122" s="1317" t="s">
        <v>732</v>
      </c>
      <c r="I122" s="671" t="s">
        <v>170</v>
      </c>
      <c r="J122" s="669" t="s">
        <v>719</v>
      </c>
      <c r="K122" s="1318" t="s">
        <v>736</v>
      </c>
      <c r="L122" s="1233">
        <v>23174</v>
      </c>
      <c r="M122" s="963"/>
      <c r="N122" s="963"/>
      <c r="O122" s="1098">
        <v>50</v>
      </c>
      <c r="P122" s="963">
        <v>14</v>
      </c>
      <c r="Q122" s="1098">
        <f t="shared" si="28"/>
        <v>700</v>
      </c>
      <c r="R122" s="964"/>
      <c r="S122" s="964"/>
      <c r="T122" s="964"/>
      <c r="U122" s="964"/>
      <c r="V122" s="1098">
        <v>700</v>
      </c>
      <c r="W122" s="964"/>
      <c r="X122" s="1170"/>
      <c r="Y122" s="1187"/>
      <c r="Z122" s="1188"/>
      <c r="AA122" s="1188"/>
      <c r="AB122" s="1188"/>
      <c r="AC122" s="1188"/>
      <c r="AD122" s="1188"/>
      <c r="AE122" s="1188"/>
      <c r="AF122" s="1188"/>
      <c r="AG122" s="1149"/>
    </row>
    <row r="123" spans="1:33" s="969" customFormat="1" ht="72" customHeight="1">
      <c r="A123" s="1529">
        <f>+A122</f>
        <v>1212</v>
      </c>
      <c r="B123" s="966" t="s">
        <v>730</v>
      </c>
      <c r="C123" s="1076" t="s">
        <v>731</v>
      </c>
      <c r="D123" s="963"/>
      <c r="E123" s="671">
        <f t="shared" si="21"/>
        <v>5</v>
      </c>
      <c r="F123" s="670">
        <v>43248</v>
      </c>
      <c r="G123" s="670">
        <f t="shared" si="26"/>
        <v>43252</v>
      </c>
      <c r="H123" s="1317" t="s">
        <v>732</v>
      </c>
      <c r="I123" s="671" t="s">
        <v>170</v>
      </c>
      <c r="J123" s="669" t="s">
        <v>719</v>
      </c>
      <c r="K123" s="1318" t="s">
        <v>737</v>
      </c>
      <c r="L123" s="1233">
        <v>23174</v>
      </c>
      <c r="M123" s="963"/>
      <c r="N123" s="963"/>
      <c r="O123" s="1098">
        <v>510</v>
      </c>
      <c r="P123" s="963">
        <v>14</v>
      </c>
      <c r="Q123" s="1098">
        <f t="shared" si="28"/>
        <v>7140</v>
      </c>
      <c r="R123" s="964"/>
      <c r="S123" s="964"/>
      <c r="T123" s="964"/>
      <c r="U123" s="964"/>
      <c r="V123" s="1098">
        <v>7140</v>
      </c>
      <c r="W123" s="964"/>
      <c r="X123" s="1170"/>
      <c r="Y123" s="1187"/>
      <c r="Z123" s="1188"/>
      <c r="AA123" s="1188"/>
      <c r="AB123" s="1188"/>
      <c r="AC123" s="1188"/>
      <c r="AD123" s="1188"/>
      <c r="AE123" s="1188"/>
      <c r="AF123" s="1188"/>
      <c r="AG123" s="1149"/>
    </row>
    <row r="124" spans="1:33" s="1035" customFormat="1" ht="72" customHeight="1">
      <c r="A124" s="1528">
        <v>1213</v>
      </c>
      <c r="B124" s="965" t="s">
        <v>738</v>
      </c>
      <c r="C124" s="1075" t="s">
        <v>739</v>
      </c>
      <c r="D124" s="1033"/>
      <c r="E124" s="1030">
        <f t="shared" si="21"/>
        <v>26</v>
      </c>
      <c r="F124" s="1029">
        <v>43262</v>
      </c>
      <c r="G124" s="1029">
        <v>43287</v>
      </c>
      <c r="H124" s="1310"/>
      <c r="I124" s="1030" t="s">
        <v>170</v>
      </c>
      <c r="J124" s="734" t="s">
        <v>719</v>
      </c>
      <c r="K124" s="1319"/>
      <c r="L124" s="1234"/>
      <c r="M124" s="1033"/>
      <c r="N124" s="1033"/>
      <c r="O124" s="1099"/>
      <c r="P124" s="1033"/>
      <c r="Q124" s="1099">
        <f>SUM(Q125:Q136)</f>
        <v>18706</v>
      </c>
      <c r="R124" s="1034">
        <f>SUM(Q125:Q136)</f>
        <v>18706</v>
      </c>
      <c r="S124" s="1054">
        <f t="shared" ref="S124:AF124" si="29">SUM(S125:S136)</f>
        <v>0</v>
      </c>
      <c r="T124" s="1054">
        <f t="shared" si="29"/>
        <v>0</v>
      </c>
      <c r="U124" s="1054">
        <f t="shared" si="29"/>
        <v>0</v>
      </c>
      <c r="V124" s="1054">
        <f t="shared" si="29"/>
        <v>0</v>
      </c>
      <c r="W124" s="1054">
        <f t="shared" si="29"/>
        <v>18706</v>
      </c>
      <c r="X124" s="1171">
        <f t="shared" si="29"/>
        <v>0</v>
      </c>
      <c r="Y124" s="1189">
        <f t="shared" si="29"/>
        <v>0</v>
      </c>
      <c r="Z124" s="1189">
        <f t="shared" si="29"/>
        <v>0</v>
      </c>
      <c r="AA124" s="1189">
        <f t="shared" si="29"/>
        <v>0</v>
      </c>
      <c r="AB124" s="1189">
        <f t="shared" si="29"/>
        <v>0</v>
      </c>
      <c r="AC124" s="1189">
        <f t="shared" si="29"/>
        <v>0</v>
      </c>
      <c r="AD124" s="1189">
        <f t="shared" si="29"/>
        <v>0</v>
      </c>
      <c r="AE124" s="1189">
        <f t="shared" si="29"/>
        <v>0</v>
      </c>
      <c r="AF124" s="1189">
        <f t="shared" si="29"/>
        <v>0</v>
      </c>
      <c r="AG124" s="1066">
        <f>SUM(S124:AF124)</f>
        <v>18706</v>
      </c>
    </row>
    <row r="125" spans="1:33" s="969" customFormat="1" ht="72" customHeight="1">
      <c r="A125" s="1529">
        <v>1213</v>
      </c>
      <c r="B125" s="966" t="s">
        <v>738</v>
      </c>
      <c r="C125" s="1076" t="s">
        <v>739</v>
      </c>
      <c r="D125" s="963"/>
      <c r="E125" s="671">
        <f t="shared" si="21"/>
        <v>26</v>
      </c>
      <c r="F125" s="670">
        <v>43262</v>
      </c>
      <c r="G125" s="670">
        <v>43287</v>
      </c>
      <c r="H125" s="1317"/>
      <c r="I125" s="671" t="s">
        <v>170</v>
      </c>
      <c r="J125" s="669" t="s">
        <v>719</v>
      </c>
      <c r="K125" s="1318" t="s">
        <v>740</v>
      </c>
      <c r="L125" s="1233">
        <v>23174</v>
      </c>
      <c r="M125" s="963"/>
      <c r="N125" s="963"/>
      <c r="O125" s="1098">
        <v>214</v>
      </c>
      <c r="P125" s="963">
        <v>28</v>
      </c>
      <c r="Q125" s="1098">
        <f t="shared" ref="Q125:Q136" si="30">+O125*P125</f>
        <v>5992</v>
      </c>
      <c r="R125" s="964"/>
      <c r="S125" s="964"/>
      <c r="T125" s="964"/>
      <c r="U125" s="964"/>
      <c r="V125" s="964"/>
      <c r="W125" s="1098">
        <v>5992</v>
      </c>
      <c r="X125" s="1170"/>
      <c r="Y125" s="1187"/>
      <c r="Z125" s="1188"/>
      <c r="AA125" s="1188"/>
      <c r="AB125" s="1188"/>
      <c r="AC125" s="1188"/>
      <c r="AD125" s="1188"/>
      <c r="AE125" s="1188"/>
      <c r="AF125" s="1188"/>
      <c r="AG125" s="1149"/>
    </row>
    <row r="126" spans="1:33" s="969" customFormat="1" ht="72" customHeight="1">
      <c r="A126" s="1529">
        <v>1213</v>
      </c>
      <c r="B126" s="966" t="s">
        <v>738</v>
      </c>
      <c r="C126" s="1076" t="s">
        <v>739</v>
      </c>
      <c r="D126" s="963"/>
      <c r="E126" s="671">
        <f t="shared" si="21"/>
        <v>26</v>
      </c>
      <c r="F126" s="670">
        <v>43262</v>
      </c>
      <c r="G126" s="670">
        <v>43287</v>
      </c>
      <c r="H126" s="1317"/>
      <c r="I126" s="671" t="s">
        <v>170</v>
      </c>
      <c r="J126" s="669" t="s">
        <v>719</v>
      </c>
      <c r="K126" s="1318" t="s">
        <v>741</v>
      </c>
      <c r="L126" s="1233">
        <v>23174</v>
      </c>
      <c r="M126" s="963"/>
      <c r="N126" s="963"/>
      <c r="O126" s="1098">
        <v>225</v>
      </c>
      <c r="P126" s="963">
        <v>28</v>
      </c>
      <c r="Q126" s="1098">
        <f t="shared" si="30"/>
        <v>6300</v>
      </c>
      <c r="R126" s="964"/>
      <c r="S126" s="964"/>
      <c r="T126" s="964"/>
      <c r="U126" s="964"/>
      <c r="V126" s="964"/>
      <c r="W126" s="1098">
        <v>6300</v>
      </c>
      <c r="X126" s="1170"/>
      <c r="Y126" s="1187"/>
      <c r="Z126" s="1188"/>
      <c r="AA126" s="1188"/>
      <c r="AB126" s="1188"/>
      <c r="AC126" s="1188"/>
      <c r="AD126" s="1188"/>
      <c r="AE126" s="1188"/>
      <c r="AF126" s="1188"/>
      <c r="AG126" s="1149"/>
    </row>
    <row r="127" spans="1:33" s="969" customFormat="1" ht="72" customHeight="1">
      <c r="A127" s="1529">
        <v>1213</v>
      </c>
      <c r="B127" s="966" t="s">
        <v>738</v>
      </c>
      <c r="C127" s="1076" t="s">
        <v>739</v>
      </c>
      <c r="D127" s="963"/>
      <c r="E127" s="671">
        <f t="shared" si="21"/>
        <v>26</v>
      </c>
      <c r="F127" s="670">
        <v>43262</v>
      </c>
      <c r="G127" s="670">
        <v>43287</v>
      </c>
      <c r="H127" s="1317"/>
      <c r="I127" s="671" t="s">
        <v>170</v>
      </c>
      <c r="J127" s="669" t="s">
        <v>719</v>
      </c>
      <c r="K127" s="1318" t="s">
        <v>742</v>
      </c>
      <c r="L127" s="1233">
        <v>23174</v>
      </c>
      <c r="M127" s="963"/>
      <c r="N127" s="963"/>
      <c r="O127" s="1098">
        <v>38</v>
      </c>
      <c r="P127" s="963">
        <v>28</v>
      </c>
      <c r="Q127" s="1098">
        <f t="shared" si="30"/>
        <v>1064</v>
      </c>
      <c r="R127" s="964"/>
      <c r="S127" s="964"/>
      <c r="T127" s="964"/>
      <c r="U127" s="964"/>
      <c r="V127" s="964"/>
      <c r="W127" s="1098">
        <v>1064</v>
      </c>
      <c r="X127" s="1170"/>
      <c r="Y127" s="1187"/>
      <c r="Z127" s="1188"/>
      <c r="AA127" s="1188"/>
      <c r="AB127" s="1188"/>
      <c r="AC127" s="1188"/>
      <c r="AD127" s="1188"/>
      <c r="AE127" s="1188"/>
      <c r="AF127" s="1188"/>
      <c r="AG127" s="1149"/>
    </row>
    <row r="128" spans="1:33" s="969" customFormat="1" ht="72" customHeight="1">
      <c r="A128" s="1529">
        <v>1213</v>
      </c>
      <c r="B128" s="966" t="s">
        <v>738</v>
      </c>
      <c r="C128" s="1076" t="s">
        <v>739</v>
      </c>
      <c r="D128" s="963"/>
      <c r="E128" s="671">
        <f t="shared" si="21"/>
        <v>26</v>
      </c>
      <c r="F128" s="670">
        <v>43262</v>
      </c>
      <c r="G128" s="670">
        <v>43287</v>
      </c>
      <c r="H128" s="1317"/>
      <c r="I128" s="671" t="s">
        <v>170</v>
      </c>
      <c r="J128" s="669" t="s">
        <v>719</v>
      </c>
      <c r="K128" s="1318" t="s">
        <v>743</v>
      </c>
      <c r="L128" s="1233">
        <v>23174</v>
      </c>
      <c r="M128" s="963"/>
      <c r="N128" s="963"/>
      <c r="O128" s="1098">
        <f>+O125</f>
        <v>214</v>
      </c>
      <c r="P128" s="963">
        <v>2</v>
      </c>
      <c r="Q128" s="1098">
        <f t="shared" si="30"/>
        <v>428</v>
      </c>
      <c r="R128" s="964"/>
      <c r="S128" s="964"/>
      <c r="T128" s="964"/>
      <c r="U128" s="964"/>
      <c r="V128" s="964"/>
      <c r="W128" s="1098">
        <v>428</v>
      </c>
      <c r="X128" s="1170"/>
      <c r="Y128" s="1187"/>
      <c r="Z128" s="1188"/>
      <c r="AA128" s="1188"/>
      <c r="AB128" s="1188"/>
      <c r="AC128" s="1188"/>
      <c r="AD128" s="1188"/>
      <c r="AE128" s="1188"/>
      <c r="AF128" s="1188"/>
      <c r="AG128" s="1149"/>
    </row>
    <row r="129" spans="1:33" s="969" customFormat="1" ht="72" customHeight="1">
      <c r="A129" s="1529">
        <v>1213</v>
      </c>
      <c r="B129" s="966" t="s">
        <v>738</v>
      </c>
      <c r="C129" s="1076" t="s">
        <v>739</v>
      </c>
      <c r="D129" s="963"/>
      <c r="E129" s="671">
        <f t="shared" si="21"/>
        <v>26</v>
      </c>
      <c r="F129" s="670">
        <v>43262</v>
      </c>
      <c r="G129" s="670">
        <v>43287</v>
      </c>
      <c r="H129" s="1317"/>
      <c r="I129" s="671" t="s">
        <v>170</v>
      </c>
      <c r="J129" s="669" t="s">
        <v>719</v>
      </c>
      <c r="K129" s="1318" t="s">
        <v>744</v>
      </c>
      <c r="L129" s="1233">
        <v>23174</v>
      </c>
      <c r="M129" s="963"/>
      <c r="N129" s="963"/>
      <c r="O129" s="1098">
        <f>+O126</f>
        <v>225</v>
      </c>
      <c r="P129" s="963">
        <v>2</v>
      </c>
      <c r="Q129" s="1098">
        <f t="shared" si="30"/>
        <v>450</v>
      </c>
      <c r="R129" s="964"/>
      <c r="S129" s="964"/>
      <c r="T129" s="964"/>
      <c r="U129" s="964"/>
      <c r="V129" s="964"/>
      <c r="W129" s="1098">
        <v>450</v>
      </c>
      <c r="X129" s="1170"/>
      <c r="Y129" s="1187"/>
      <c r="Z129" s="1188"/>
      <c r="AA129" s="1188"/>
      <c r="AB129" s="1188"/>
      <c r="AC129" s="1188"/>
      <c r="AD129" s="1188"/>
      <c r="AE129" s="1188"/>
      <c r="AF129" s="1188"/>
      <c r="AG129" s="1149"/>
    </row>
    <row r="130" spans="1:33" s="969" customFormat="1" ht="72" customHeight="1">
      <c r="A130" s="1529">
        <v>1213</v>
      </c>
      <c r="B130" s="966" t="s">
        <v>738</v>
      </c>
      <c r="C130" s="1076" t="s">
        <v>739</v>
      </c>
      <c r="D130" s="963"/>
      <c r="E130" s="671">
        <f t="shared" si="21"/>
        <v>26</v>
      </c>
      <c r="F130" s="670">
        <v>43262</v>
      </c>
      <c r="G130" s="670">
        <v>43287</v>
      </c>
      <c r="H130" s="1317"/>
      <c r="I130" s="671" t="s">
        <v>170</v>
      </c>
      <c r="J130" s="669" t="s">
        <v>719</v>
      </c>
      <c r="K130" s="1318" t="s">
        <v>745</v>
      </c>
      <c r="L130" s="1233">
        <v>23174</v>
      </c>
      <c r="M130" s="963"/>
      <c r="N130" s="963"/>
      <c r="O130" s="1098">
        <v>255</v>
      </c>
      <c r="P130" s="963">
        <v>2</v>
      </c>
      <c r="Q130" s="1098">
        <f t="shared" si="30"/>
        <v>510</v>
      </c>
      <c r="R130" s="964"/>
      <c r="S130" s="964"/>
      <c r="T130" s="964"/>
      <c r="U130" s="964"/>
      <c r="V130" s="964"/>
      <c r="W130" s="1098">
        <v>510</v>
      </c>
      <c r="X130" s="1170"/>
      <c r="Y130" s="1187"/>
      <c r="Z130" s="1188"/>
      <c r="AA130" s="1188"/>
      <c r="AB130" s="1188"/>
      <c r="AC130" s="1188"/>
      <c r="AD130" s="1188"/>
      <c r="AE130" s="1188"/>
      <c r="AF130" s="1188"/>
      <c r="AG130" s="1149"/>
    </row>
    <row r="131" spans="1:33" s="969" customFormat="1" ht="72" customHeight="1">
      <c r="A131" s="1529">
        <v>1213</v>
      </c>
      <c r="B131" s="966" t="s">
        <v>738</v>
      </c>
      <c r="C131" s="1076" t="s">
        <v>739</v>
      </c>
      <c r="D131" s="963"/>
      <c r="E131" s="671">
        <f t="shared" si="21"/>
        <v>26</v>
      </c>
      <c r="F131" s="670">
        <v>43262</v>
      </c>
      <c r="G131" s="670">
        <v>43287</v>
      </c>
      <c r="H131" s="1317"/>
      <c r="I131" s="671" t="s">
        <v>170</v>
      </c>
      <c r="J131" s="669" t="s">
        <v>719</v>
      </c>
      <c r="K131" s="1318" t="s">
        <v>727</v>
      </c>
      <c r="L131" s="1233">
        <v>23174</v>
      </c>
      <c r="M131" s="963"/>
      <c r="N131" s="963"/>
      <c r="O131" s="1098">
        <v>178</v>
      </c>
      <c r="P131" s="963">
        <v>2</v>
      </c>
      <c r="Q131" s="1098">
        <f t="shared" si="30"/>
        <v>356</v>
      </c>
      <c r="R131" s="964"/>
      <c r="S131" s="964"/>
      <c r="T131" s="964"/>
      <c r="U131" s="964"/>
      <c r="V131" s="964"/>
      <c r="W131" s="1098">
        <v>356</v>
      </c>
      <c r="X131" s="1170"/>
      <c r="Y131" s="1187"/>
      <c r="Z131" s="1188"/>
      <c r="AA131" s="1188"/>
      <c r="AB131" s="1188"/>
      <c r="AC131" s="1188"/>
      <c r="AD131" s="1188"/>
      <c r="AE131" s="1188"/>
      <c r="AF131" s="1188"/>
      <c r="AG131" s="1149"/>
    </row>
    <row r="132" spans="1:33" s="969" customFormat="1" ht="72" customHeight="1">
      <c r="A132" s="1529">
        <v>1213</v>
      </c>
      <c r="B132" s="966" t="s">
        <v>738</v>
      </c>
      <c r="C132" s="1076" t="s">
        <v>739</v>
      </c>
      <c r="D132" s="963"/>
      <c r="E132" s="671">
        <f t="shared" si="21"/>
        <v>26</v>
      </c>
      <c r="F132" s="670">
        <v>43262</v>
      </c>
      <c r="G132" s="670">
        <v>43287</v>
      </c>
      <c r="H132" s="1317"/>
      <c r="I132" s="671" t="s">
        <v>170</v>
      </c>
      <c r="J132" s="669" t="s">
        <v>719</v>
      </c>
      <c r="K132" s="1318" t="s">
        <v>736</v>
      </c>
      <c r="L132" s="1233">
        <v>23174</v>
      </c>
      <c r="M132" s="963"/>
      <c r="N132" s="963"/>
      <c r="O132" s="1098">
        <v>112</v>
      </c>
      <c r="P132" s="963">
        <v>2</v>
      </c>
      <c r="Q132" s="1098">
        <f t="shared" si="30"/>
        <v>224</v>
      </c>
      <c r="R132" s="964"/>
      <c r="S132" s="964"/>
      <c r="T132" s="964"/>
      <c r="U132" s="964"/>
      <c r="V132" s="964"/>
      <c r="W132" s="1098">
        <v>224</v>
      </c>
      <c r="X132" s="1170"/>
      <c r="Y132" s="1187"/>
      <c r="Z132" s="1188"/>
      <c r="AA132" s="1188"/>
      <c r="AB132" s="1188"/>
      <c r="AC132" s="1188"/>
      <c r="AD132" s="1188"/>
      <c r="AE132" s="1188"/>
      <c r="AF132" s="1188"/>
      <c r="AG132" s="1149"/>
    </row>
    <row r="133" spans="1:33" s="969" customFormat="1" ht="72" customHeight="1">
      <c r="A133" s="1529">
        <v>1213</v>
      </c>
      <c r="B133" s="966" t="s">
        <v>738</v>
      </c>
      <c r="C133" s="1076" t="s">
        <v>739</v>
      </c>
      <c r="D133" s="963"/>
      <c r="E133" s="671">
        <f t="shared" si="21"/>
        <v>26</v>
      </c>
      <c r="F133" s="670">
        <v>43262</v>
      </c>
      <c r="G133" s="670">
        <v>43287</v>
      </c>
      <c r="H133" s="1317"/>
      <c r="I133" s="671" t="s">
        <v>170</v>
      </c>
      <c r="J133" s="669" t="s">
        <v>719</v>
      </c>
      <c r="K133" s="1318" t="s">
        <v>302</v>
      </c>
      <c r="L133" s="1233">
        <v>23173</v>
      </c>
      <c r="M133" s="963"/>
      <c r="N133" s="963"/>
      <c r="O133" s="1098">
        <v>15</v>
      </c>
      <c r="P133" s="963">
        <v>28</v>
      </c>
      <c r="Q133" s="1098">
        <f t="shared" si="30"/>
        <v>420</v>
      </c>
      <c r="R133" s="964"/>
      <c r="S133" s="964"/>
      <c r="T133" s="964"/>
      <c r="U133" s="964"/>
      <c r="V133" s="964"/>
      <c r="W133" s="1098">
        <v>420</v>
      </c>
      <c r="X133" s="1170"/>
      <c r="Y133" s="1187"/>
      <c r="Z133" s="1188"/>
      <c r="AA133" s="1188"/>
      <c r="AB133" s="1188"/>
      <c r="AC133" s="1188"/>
      <c r="AD133" s="1188"/>
      <c r="AE133" s="1188"/>
      <c r="AF133" s="1188"/>
      <c r="AG133" s="1149"/>
    </row>
    <row r="134" spans="1:33" s="969" customFormat="1" ht="63.75" customHeight="1">
      <c r="A134" s="1529">
        <v>1213</v>
      </c>
      <c r="B134" s="966" t="s">
        <v>738</v>
      </c>
      <c r="C134" s="1076" t="s">
        <v>739</v>
      </c>
      <c r="D134" s="963"/>
      <c r="E134" s="671">
        <f t="shared" si="21"/>
        <v>26</v>
      </c>
      <c r="F134" s="670">
        <v>43262</v>
      </c>
      <c r="G134" s="670">
        <v>43287</v>
      </c>
      <c r="H134" s="1317"/>
      <c r="I134" s="671" t="s">
        <v>170</v>
      </c>
      <c r="J134" s="669" t="s">
        <v>719</v>
      </c>
      <c r="K134" s="1318" t="s">
        <v>486</v>
      </c>
      <c r="L134" s="1231">
        <v>23173</v>
      </c>
      <c r="M134" s="963"/>
      <c r="N134" s="963"/>
      <c r="O134" s="1098">
        <v>156</v>
      </c>
      <c r="P134" s="963">
        <v>15</v>
      </c>
      <c r="Q134" s="1098">
        <f t="shared" si="30"/>
        <v>2340</v>
      </c>
      <c r="R134" s="964"/>
      <c r="S134" s="964"/>
      <c r="T134" s="964"/>
      <c r="U134" s="964"/>
      <c r="V134" s="964"/>
      <c r="W134" s="1098">
        <v>2340</v>
      </c>
      <c r="X134" s="1170"/>
      <c r="Y134" s="1187"/>
      <c r="Z134" s="1188"/>
      <c r="AA134" s="1188"/>
      <c r="AB134" s="1188"/>
      <c r="AC134" s="1188"/>
      <c r="AD134" s="1188"/>
      <c r="AE134" s="1188"/>
      <c r="AF134" s="1188"/>
      <c r="AG134" s="1149"/>
    </row>
    <row r="135" spans="1:33" s="969" customFormat="1" ht="63.75" customHeight="1">
      <c r="A135" s="1529">
        <v>1213</v>
      </c>
      <c r="B135" s="966" t="s">
        <v>738</v>
      </c>
      <c r="C135" s="1076" t="s">
        <v>739</v>
      </c>
      <c r="D135" s="963"/>
      <c r="E135" s="671">
        <f t="shared" si="21"/>
        <v>26</v>
      </c>
      <c r="F135" s="670">
        <v>43262</v>
      </c>
      <c r="G135" s="670">
        <v>43287</v>
      </c>
      <c r="H135" s="1317"/>
      <c r="I135" s="671" t="s">
        <v>170</v>
      </c>
      <c r="J135" s="669" t="s">
        <v>719</v>
      </c>
      <c r="K135" s="1320" t="s">
        <v>723</v>
      </c>
      <c r="L135" s="1233">
        <v>23174</v>
      </c>
      <c r="M135" s="963"/>
      <c r="N135" s="963"/>
      <c r="O135" s="1098">
        <v>281</v>
      </c>
      <c r="P135" s="963">
        <v>2</v>
      </c>
      <c r="Q135" s="1098">
        <f t="shared" si="30"/>
        <v>562</v>
      </c>
      <c r="R135" s="964"/>
      <c r="S135" s="964"/>
      <c r="T135" s="964"/>
      <c r="U135" s="964"/>
      <c r="V135" s="964"/>
      <c r="W135" s="1098">
        <v>562</v>
      </c>
      <c r="X135" s="1170"/>
      <c r="Y135" s="1187"/>
      <c r="Z135" s="1188"/>
      <c r="AA135" s="1188"/>
      <c r="AB135" s="1188"/>
      <c r="AC135" s="1188"/>
      <c r="AD135" s="1188"/>
      <c r="AE135" s="1188"/>
      <c r="AF135" s="1188"/>
      <c r="AG135" s="1149"/>
    </row>
    <row r="136" spans="1:33" s="969" customFormat="1" ht="63.75" customHeight="1">
      <c r="A136" s="1529">
        <v>1213</v>
      </c>
      <c r="B136" s="966" t="s">
        <v>738</v>
      </c>
      <c r="C136" s="1076" t="s">
        <v>739</v>
      </c>
      <c r="D136" s="963"/>
      <c r="E136" s="671"/>
      <c r="F136" s="670"/>
      <c r="G136" s="670"/>
      <c r="H136" s="1317"/>
      <c r="I136" s="671" t="s">
        <v>170</v>
      </c>
      <c r="J136" s="669" t="s">
        <v>719</v>
      </c>
      <c r="K136" s="1320" t="s">
        <v>746</v>
      </c>
      <c r="L136" s="1233">
        <v>23173</v>
      </c>
      <c r="M136" s="963"/>
      <c r="N136" s="963"/>
      <c r="O136" s="1098">
        <v>1</v>
      </c>
      <c r="P136" s="963">
        <v>60</v>
      </c>
      <c r="Q136" s="1098">
        <f t="shared" si="30"/>
        <v>60</v>
      </c>
      <c r="R136" s="964"/>
      <c r="S136" s="964"/>
      <c r="T136" s="964"/>
      <c r="U136" s="964"/>
      <c r="V136" s="964"/>
      <c r="W136" s="1098">
        <v>60</v>
      </c>
      <c r="X136" s="1170"/>
      <c r="Y136" s="1187"/>
      <c r="Z136" s="1188"/>
      <c r="AA136" s="1188"/>
      <c r="AB136" s="1188"/>
      <c r="AC136" s="1188"/>
      <c r="AD136" s="1188"/>
      <c r="AE136" s="1188"/>
      <c r="AF136" s="1188"/>
      <c r="AG136" s="1149"/>
    </row>
    <row r="137" spans="1:33" s="1035" customFormat="1" ht="58.5" customHeight="1">
      <c r="A137" s="1528">
        <v>1214</v>
      </c>
      <c r="B137" s="967" t="s">
        <v>747</v>
      </c>
      <c r="C137" s="1075" t="s">
        <v>748</v>
      </c>
      <c r="D137" s="1033"/>
      <c r="E137" s="1030">
        <f>+G137-F137+1</f>
        <v>3</v>
      </c>
      <c r="F137" s="1029">
        <v>43304</v>
      </c>
      <c r="G137" s="1029">
        <f>+F137+3-1</f>
        <v>43306</v>
      </c>
      <c r="H137" s="1310"/>
      <c r="I137" s="1030"/>
      <c r="J137" s="734"/>
      <c r="K137" s="1321"/>
      <c r="L137" s="1234"/>
      <c r="M137" s="1033"/>
      <c r="N137" s="1033"/>
      <c r="O137" s="1099"/>
      <c r="P137" s="1033"/>
      <c r="Q137" s="1099">
        <f>SUM(Q138:Q140)</f>
        <v>3056</v>
      </c>
      <c r="R137" s="1034">
        <f>SUM(Q138:Q140)</f>
        <v>3056</v>
      </c>
      <c r="S137" s="1054">
        <f t="shared" ref="S137:AF137" si="31">SUM(S138:S140)</f>
        <v>0</v>
      </c>
      <c r="T137" s="1054">
        <f t="shared" si="31"/>
        <v>0</v>
      </c>
      <c r="U137" s="1054">
        <f t="shared" si="31"/>
        <v>0</v>
      </c>
      <c r="V137" s="1054">
        <f t="shared" si="31"/>
        <v>0</v>
      </c>
      <c r="W137" s="1054">
        <f t="shared" si="31"/>
        <v>3056</v>
      </c>
      <c r="X137" s="1171">
        <f t="shared" si="31"/>
        <v>0</v>
      </c>
      <c r="Y137" s="1189">
        <f t="shared" si="31"/>
        <v>0</v>
      </c>
      <c r="Z137" s="1189">
        <f t="shared" si="31"/>
        <v>0</v>
      </c>
      <c r="AA137" s="1189">
        <f t="shared" si="31"/>
        <v>0</v>
      </c>
      <c r="AB137" s="1189">
        <f t="shared" si="31"/>
        <v>0</v>
      </c>
      <c r="AC137" s="1189">
        <f t="shared" si="31"/>
        <v>0</v>
      </c>
      <c r="AD137" s="1189">
        <f t="shared" si="31"/>
        <v>0</v>
      </c>
      <c r="AE137" s="1189">
        <f t="shared" si="31"/>
        <v>0</v>
      </c>
      <c r="AF137" s="1189">
        <f t="shared" si="31"/>
        <v>0</v>
      </c>
      <c r="AG137" s="1066">
        <f>SUM(S137:AF137)</f>
        <v>3056</v>
      </c>
    </row>
    <row r="138" spans="1:33" s="969" customFormat="1" ht="58.5" customHeight="1">
      <c r="A138" s="1529">
        <v>1214</v>
      </c>
      <c r="B138" s="968" t="s">
        <v>747</v>
      </c>
      <c r="C138" s="1076" t="s">
        <v>748</v>
      </c>
      <c r="D138" s="963"/>
      <c r="E138" s="671">
        <f>+G138-F138+1</f>
        <v>3</v>
      </c>
      <c r="F138" s="670">
        <v>43304</v>
      </c>
      <c r="G138" s="670">
        <f>+F138+3-1</f>
        <v>43306</v>
      </c>
      <c r="H138" s="1317"/>
      <c r="I138" s="671" t="s">
        <v>170</v>
      </c>
      <c r="J138" s="669"/>
      <c r="K138" s="1322" t="s">
        <v>670</v>
      </c>
      <c r="L138" s="1233">
        <v>23173</v>
      </c>
      <c r="M138" s="963"/>
      <c r="N138" s="963"/>
      <c r="O138" s="1098">
        <f>16*3</f>
        <v>48</v>
      </c>
      <c r="P138" s="963">
        <v>40</v>
      </c>
      <c r="Q138" s="1098">
        <f>+O138*P138</f>
        <v>1920</v>
      </c>
      <c r="R138" s="964"/>
      <c r="S138" s="964"/>
      <c r="T138" s="964"/>
      <c r="U138" s="964"/>
      <c r="V138" s="964"/>
      <c r="W138" s="1098">
        <v>1920</v>
      </c>
      <c r="X138" s="1170"/>
      <c r="Y138" s="1187"/>
      <c r="Z138" s="1188"/>
      <c r="AA138" s="1188"/>
      <c r="AB138" s="1188"/>
      <c r="AC138" s="1188"/>
      <c r="AD138" s="1188"/>
      <c r="AE138" s="1188"/>
      <c r="AF138" s="1188"/>
      <c r="AG138" s="1149"/>
    </row>
    <row r="139" spans="1:33" s="969" customFormat="1" ht="58.5" customHeight="1">
      <c r="A139" s="1529">
        <v>1214</v>
      </c>
      <c r="B139" s="968" t="s">
        <v>747</v>
      </c>
      <c r="C139" s="1076" t="s">
        <v>748</v>
      </c>
      <c r="D139" s="963"/>
      <c r="E139" s="671">
        <f>+G139-F139+1</f>
        <v>3</v>
      </c>
      <c r="F139" s="670">
        <v>43304</v>
      </c>
      <c r="G139" s="670">
        <f>+F139+3-1</f>
        <v>43306</v>
      </c>
      <c r="H139" s="1317"/>
      <c r="I139" s="671" t="s">
        <v>170</v>
      </c>
      <c r="J139" s="669"/>
      <c r="K139" s="1318" t="s">
        <v>638</v>
      </c>
      <c r="L139" s="1233">
        <v>23173</v>
      </c>
      <c r="M139" s="963"/>
      <c r="N139" s="963"/>
      <c r="O139" s="1098">
        <v>5</v>
      </c>
      <c r="P139" s="963">
        <v>40</v>
      </c>
      <c r="Q139" s="1098">
        <f>+O139*P139</f>
        <v>200</v>
      </c>
      <c r="R139" s="964"/>
      <c r="S139" s="964"/>
      <c r="T139" s="964"/>
      <c r="U139" s="964"/>
      <c r="V139" s="964"/>
      <c r="W139" s="1098">
        <v>200</v>
      </c>
      <c r="X139" s="1170"/>
      <c r="Y139" s="1187"/>
      <c r="Z139" s="1188"/>
      <c r="AA139" s="1188"/>
      <c r="AB139" s="1188"/>
      <c r="AC139" s="1188"/>
      <c r="AD139" s="1188"/>
      <c r="AE139" s="1188"/>
      <c r="AF139" s="1188"/>
      <c r="AG139" s="1149"/>
    </row>
    <row r="140" spans="1:33" s="969" customFormat="1" ht="58.5" customHeight="1">
      <c r="A140" s="1529">
        <v>1214</v>
      </c>
      <c r="B140" s="968" t="s">
        <v>747</v>
      </c>
      <c r="C140" s="1076" t="s">
        <v>748</v>
      </c>
      <c r="D140" s="963"/>
      <c r="E140" s="671">
        <f>+G140-F140+1</f>
        <v>3</v>
      </c>
      <c r="F140" s="670">
        <v>43304</v>
      </c>
      <c r="G140" s="670">
        <f>+F140+3-1</f>
        <v>43306</v>
      </c>
      <c r="H140" s="1317"/>
      <c r="I140" s="671" t="s">
        <v>170</v>
      </c>
      <c r="J140" s="669"/>
      <c r="K140" s="1318" t="s">
        <v>486</v>
      </c>
      <c r="L140" s="1231">
        <v>23173</v>
      </c>
      <c r="M140" s="963"/>
      <c r="N140" s="963"/>
      <c r="O140" s="1098">
        <v>312</v>
      </c>
      <c r="P140" s="963">
        <v>3</v>
      </c>
      <c r="Q140" s="1098">
        <f>+O140*P140</f>
        <v>936</v>
      </c>
      <c r="R140" s="964"/>
      <c r="S140" s="964"/>
      <c r="T140" s="964"/>
      <c r="U140" s="964"/>
      <c r="V140" s="964"/>
      <c r="W140" s="1098">
        <v>936</v>
      </c>
      <c r="X140" s="1170"/>
      <c r="Y140" s="1187"/>
      <c r="Z140" s="1188"/>
      <c r="AA140" s="1188"/>
      <c r="AB140" s="1188"/>
      <c r="AC140" s="1188"/>
      <c r="AD140" s="1188"/>
      <c r="AE140" s="1188"/>
      <c r="AF140" s="1188"/>
      <c r="AG140" s="1149"/>
    </row>
    <row r="141" spans="1:33" s="1035" customFormat="1" ht="46.5" customHeight="1">
      <c r="A141" s="1528">
        <v>1215</v>
      </c>
      <c r="B141" s="967" t="s">
        <v>749</v>
      </c>
      <c r="C141" s="1075" t="s">
        <v>750</v>
      </c>
      <c r="D141" s="1033"/>
      <c r="E141" s="1030">
        <f t="shared" ref="E141:E170" si="32">+G141-F141+1</f>
        <v>6</v>
      </c>
      <c r="F141" s="1029">
        <v>43318</v>
      </c>
      <c r="G141" s="1029">
        <f t="shared" ref="G141:G151" si="33">F141+6-1</f>
        <v>43323</v>
      </c>
      <c r="H141" s="1310"/>
      <c r="I141" s="1030"/>
      <c r="J141" s="734"/>
      <c r="K141" s="1319"/>
      <c r="L141" s="1234"/>
      <c r="M141" s="1033"/>
      <c r="N141" s="1033"/>
      <c r="O141" s="1099"/>
      <c r="P141" s="1033"/>
      <c r="Q141" s="1099">
        <f>SUM(Q142:Q151)</f>
        <v>7142</v>
      </c>
      <c r="R141" s="1034">
        <f>SUM(Q142:Q151)</f>
        <v>7142</v>
      </c>
      <c r="S141" s="1054">
        <f t="shared" ref="S141:AF141" si="34">SUM(S142:S151)</f>
        <v>0</v>
      </c>
      <c r="T141" s="1054">
        <f t="shared" si="34"/>
        <v>0</v>
      </c>
      <c r="U141" s="1054">
        <f t="shared" si="34"/>
        <v>0</v>
      </c>
      <c r="V141" s="1054">
        <f t="shared" si="34"/>
        <v>0</v>
      </c>
      <c r="W141" s="1054">
        <f t="shared" si="34"/>
        <v>0</v>
      </c>
      <c r="X141" s="1171">
        <f t="shared" si="34"/>
        <v>7142</v>
      </c>
      <c r="Y141" s="1189">
        <f t="shared" si="34"/>
        <v>0</v>
      </c>
      <c r="Z141" s="1189">
        <f t="shared" si="34"/>
        <v>0</v>
      </c>
      <c r="AA141" s="1189">
        <f t="shared" si="34"/>
        <v>0</v>
      </c>
      <c r="AB141" s="1189">
        <f t="shared" si="34"/>
        <v>0</v>
      </c>
      <c r="AC141" s="1189">
        <f t="shared" si="34"/>
        <v>0</v>
      </c>
      <c r="AD141" s="1189">
        <f t="shared" si="34"/>
        <v>0</v>
      </c>
      <c r="AE141" s="1189">
        <f t="shared" si="34"/>
        <v>0</v>
      </c>
      <c r="AF141" s="1189">
        <f t="shared" si="34"/>
        <v>0</v>
      </c>
      <c r="AG141" s="1066">
        <f>SUM(S141:AF141)</f>
        <v>7142</v>
      </c>
    </row>
    <row r="142" spans="1:33" s="969" customFormat="1" ht="75.75" customHeight="1">
      <c r="A142" s="1529">
        <v>1215</v>
      </c>
      <c r="B142" s="968" t="s">
        <v>749</v>
      </c>
      <c r="C142" s="1076" t="s">
        <v>750</v>
      </c>
      <c r="D142" s="963"/>
      <c r="E142" s="671">
        <f t="shared" si="32"/>
        <v>6</v>
      </c>
      <c r="F142" s="670">
        <v>43318</v>
      </c>
      <c r="G142" s="670">
        <f t="shared" si="33"/>
        <v>43323</v>
      </c>
      <c r="H142" s="1317"/>
      <c r="I142" s="671" t="s">
        <v>170</v>
      </c>
      <c r="J142" s="669"/>
      <c r="K142" s="1322" t="s">
        <v>751</v>
      </c>
      <c r="L142" s="1233">
        <v>23174</v>
      </c>
      <c r="M142" s="963"/>
      <c r="N142" s="963"/>
      <c r="O142" s="1098">
        <v>67</v>
      </c>
      <c r="P142" s="963">
        <v>26</v>
      </c>
      <c r="Q142" s="1098">
        <f t="shared" ref="Q142:Q151" si="35">+O142*P142</f>
        <v>1742</v>
      </c>
      <c r="R142" s="964"/>
      <c r="S142" s="964"/>
      <c r="T142" s="964"/>
      <c r="U142" s="964"/>
      <c r="V142" s="964"/>
      <c r="W142" s="964"/>
      <c r="X142" s="1520">
        <v>1742</v>
      </c>
      <c r="Y142" s="1187"/>
      <c r="Z142" s="1188"/>
      <c r="AA142" s="1188"/>
      <c r="AB142" s="1188"/>
      <c r="AC142" s="1188"/>
      <c r="AD142" s="1188"/>
      <c r="AE142" s="1188"/>
      <c r="AF142" s="1188"/>
      <c r="AG142" s="1149"/>
    </row>
    <row r="143" spans="1:33" s="969" customFormat="1" ht="75.75" customHeight="1">
      <c r="A143" s="1529">
        <v>1215</v>
      </c>
      <c r="B143" s="968" t="s">
        <v>749</v>
      </c>
      <c r="C143" s="1076" t="s">
        <v>750</v>
      </c>
      <c r="D143" s="963"/>
      <c r="E143" s="671">
        <f t="shared" si="32"/>
        <v>6</v>
      </c>
      <c r="F143" s="670">
        <v>43318</v>
      </c>
      <c r="G143" s="670">
        <f t="shared" si="33"/>
        <v>43323</v>
      </c>
      <c r="H143" s="1317"/>
      <c r="I143" s="671" t="s">
        <v>170</v>
      </c>
      <c r="J143" s="669"/>
      <c r="K143" s="1318" t="s">
        <v>752</v>
      </c>
      <c r="L143" s="1233">
        <v>23174</v>
      </c>
      <c r="M143" s="963"/>
      <c r="N143" s="963"/>
      <c r="O143" s="1098">
        <v>63</v>
      </c>
      <c r="P143" s="963">
        <v>26</v>
      </c>
      <c r="Q143" s="1098">
        <f t="shared" si="35"/>
        <v>1638</v>
      </c>
      <c r="R143" s="964"/>
      <c r="S143" s="964"/>
      <c r="T143" s="964"/>
      <c r="U143" s="964"/>
      <c r="V143" s="964"/>
      <c r="W143" s="964"/>
      <c r="X143" s="1520">
        <v>1638</v>
      </c>
      <c r="Y143" s="1187"/>
      <c r="Z143" s="1188"/>
      <c r="AA143" s="1188"/>
      <c r="AB143" s="1188"/>
      <c r="AC143" s="1188"/>
      <c r="AD143" s="1188"/>
      <c r="AE143" s="1188"/>
      <c r="AF143" s="1188"/>
      <c r="AG143" s="1149"/>
    </row>
    <row r="144" spans="1:33" s="969" customFormat="1" ht="75.75" customHeight="1">
      <c r="A144" s="1529">
        <v>1215</v>
      </c>
      <c r="B144" s="968" t="s">
        <v>749</v>
      </c>
      <c r="C144" s="1076" t="s">
        <v>750</v>
      </c>
      <c r="D144" s="963"/>
      <c r="E144" s="671">
        <f t="shared" si="32"/>
        <v>6</v>
      </c>
      <c r="F144" s="670">
        <v>43318</v>
      </c>
      <c r="G144" s="670">
        <f t="shared" si="33"/>
        <v>43323</v>
      </c>
      <c r="H144" s="1317"/>
      <c r="I144" s="671" t="s">
        <v>170</v>
      </c>
      <c r="J144" s="669"/>
      <c r="K144" s="1318" t="s">
        <v>753</v>
      </c>
      <c r="L144" s="1233">
        <v>23174</v>
      </c>
      <c r="M144" s="963"/>
      <c r="N144" s="963"/>
      <c r="O144" s="1098">
        <v>38</v>
      </c>
      <c r="P144" s="963">
        <v>26</v>
      </c>
      <c r="Q144" s="1098">
        <f t="shared" si="35"/>
        <v>988</v>
      </c>
      <c r="R144" s="964"/>
      <c r="S144" s="964"/>
      <c r="T144" s="964"/>
      <c r="U144" s="964"/>
      <c r="V144" s="964"/>
      <c r="W144" s="964"/>
      <c r="X144" s="1520">
        <v>988</v>
      </c>
      <c r="Y144" s="1187"/>
      <c r="Z144" s="1188"/>
      <c r="AA144" s="1188"/>
      <c r="AB144" s="1188"/>
      <c r="AC144" s="1188"/>
      <c r="AD144" s="1188"/>
      <c r="AE144" s="1188"/>
      <c r="AF144" s="1188"/>
      <c r="AG144" s="1149"/>
    </row>
    <row r="145" spans="1:33" s="969" customFormat="1" ht="75.75" customHeight="1">
      <c r="A145" s="1529">
        <v>1215</v>
      </c>
      <c r="B145" s="968" t="s">
        <v>749</v>
      </c>
      <c r="C145" s="1076" t="s">
        <v>750</v>
      </c>
      <c r="D145" s="963"/>
      <c r="E145" s="671">
        <f t="shared" si="32"/>
        <v>6</v>
      </c>
      <c r="F145" s="670">
        <v>43318</v>
      </c>
      <c r="G145" s="670">
        <f t="shared" si="33"/>
        <v>43323</v>
      </c>
      <c r="H145" s="1317"/>
      <c r="I145" s="671" t="s">
        <v>170</v>
      </c>
      <c r="J145" s="669"/>
      <c r="K145" s="1318" t="s">
        <v>743</v>
      </c>
      <c r="L145" s="1233">
        <v>23174</v>
      </c>
      <c r="M145" s="963"/>
      <c r="N145" s="963"/>
      <c r="O145" s="1098">
        <v>67</v>
      </c>
      <c r="P145" s="963">
        <v>2</v>
      </c>
      <c r="Q145" s="1098">
        <f t="shared" si="35"/>
        <v>134</v>
      </c>
      <c r="R145" s="964"/>
      <c r="S145" s="964"/>
      <c r="T145" s="964"/>
      <c r="U145" s="964"/>
      <c r="V145" s="964"/>
      <c r="W145" s="964"/>
      <c r="X145" s="1520">
        <v>134</v>
      </c>
      <c r="Y145" s="1187"/>
      <c r="Z145" s="1188"/>
      <c r="AA145" s="1188"/>
      <c r="AB145" s="1188"/>
      <c r="AC145" s="1188"/>
      <c r="AD145" s="1188"/>
      <c r="AE145" s="1188"/>
      <c r="AF145" s="1188"/>
      <c r="AG145" s="1149"/>
    </row>
    <row r="146" spans="1:33" s="969" customFormat="1" ht="75.75" customHeight="1">
      <c r="A146" s="1529">
        <v>1215</v>
      </c>
      <c r="B146" s="968" t="s">
        <v>749</v>
      </c>
      <c r="C146" s="1076" t="s">
        <v>750</v>
      </c>
      <c r="D146" s="963"/>
      <c r="E146" s="671">
        <f t="shared" si="32"/>
        <v>6</v>
      </c>
      <c r="F146" s="670">
        <v>43318</v>
      </c>
      <c r="G146" s="670">
        <f t="shared" si="33"/>
        <v>43323</v>
      </c>
      <c r="H146" s="1317"/>
      <c r="I146" s="671" t="s">
        <v>170</v>
      </c>
      <c r="J146" s="669"/>
      <c r="K146" s="1318" t="s">
        <v>754</v>
      </c>
      <c r="L146" s="1233">
        <v>23174</v>
      </c>
      <c r="M146" s="963"/>
      <c r="N146" s="963"/>
      <c r="O146" s="1098">
        <v>63</v>
      </c>
      <c r="P146" s="963">
        <v>2</v>
      </c>
      <c r="Q146" s="1098">
        <f t="shared" si="35"/>
        <v>126</v>
      </c>
      <c r="R146" s="964"/>
      <c r="S146" s="964"/>
      <c r="T146" s="964"/>
      <c r="U146" s="964"/>
      <c r="V146" s="964"/>
      <c r="W146" s="964"/>
      <c r="X146" s="1520">
        <v>126</v>
      </c>
      <c r="Y146" s="1187"/>
      <c r="Z146" s="1188"/>
      <c r="AA146" s="1188"/>
      <c r="AB146" s="1188"/>
      <c r="AC146" s="1188"/>
      <c r="AD146" s="1188"/>
      <c r="AE146" s="1188"/>
      <c r="AF146" s="1188"/>
      <c r="AG146" s="1149"/>
    </row>
    <row r="147" spans="1:33" s="969" customFormat="1" ht="75.75" customHeight="1">
      <c r="A147" s="1529">
        <v>1215</v>
      </c>
      <c r="B147" s="968" t="s">
        <v>749</v>
      </c>
      <c r="C147" s="1076" t="s">
        <v>750</v>
      </c>
      <c r="D147" s="963"/>
      <c r="E147" s="671">
        <f t="shared" si="32"/>
        <v>6</v>
      </c>
      <c r="F147" s="670">
        <v>43318</v>
      </c>
      <c r="G147" s="670">
        <f t="shared" si="33"/>
        <v>43323</v>
      </c>
      <c r="H147" s="1317"/>
      <c r="I147" s="671" t="s">
        <v>170</v>
      </c>
      <c r="J147" s="669"/>
      <c r="K147" s="1318" t="s">
        <v>729</v>
      </c>
      <c r="L147" s="1233">
        <v>23174</v>
      </c>
      <c r="M147" s="963"/>
      <c r="N147" s="963"/>
      <c r="O147" s="1098">
        <v>255</v>
      </c>
      <c r="P147" s="963">
        <v>2</v>
      </c>
      <c r="Q147" s="1098">
        <f t="shared" si="35"/>
        <v>510</v>
      </c>
      <c r="R147" s="964"/>
      <c r="S147" s="964"/>
      <c r="T147" s="964"/>
      <c r="U147" s="964"/>
      <c r="V147" s="964"/>
      <c r="W147" s="964"/>
      <c r="X147" s="1520">
        <v>510</v>
      </c>
      <c r="Y147" s="1187"/>
      <c r="Z147" s="1188"/>
      <c r="AA147" s="1188"/>
      <c r="AB147" s="1188"/>
      <c r="AC147" s="1188"/>
      <c r="AD147" s="1188"/>
      <c r="AE147" s="1188"/>
      <c r="AF147" s="1188"/>
      <c r="AG147" s="1149"/>
    </row>
    <row r="148" spans="1:33" s="969" customFormat="1" ht="75.75" customHeight="1">
      <c r="A148" s="1529">
        <v>1215</v>
      </c>
      <c r="B148" s="968" t="s">
        <v>749</v>
      </c>
      <c r="C148" s="1076" t="s">
        <v>750</v>
      </c>
      <c r="D148" s="963"/>
      <c r="E148" s="671">
        <f t="shared" si="32"/>
        <v>6</v>
      </c>
      <c r="F148" s="670">
        <v>43318</v>
      </c>
      <c r="G148" s="670">
        <f t="shared" si="33"/>
        <v>43323</v>
      </c>
      <c r="H148" s="1317"/>
      <c r="I148" s="671" t="s">
        <v>170</v>
      </c>
      <c r="J148" s="669"/>
      <c r="K148" s="1318" t="s">
        <v>302</v>
      </c>
      <c r="L148" s="1233">
        <v>23173</v>
      </c>
      <c r="M148" s="963"/>
      <c r="N148" s="963"/>
      <c r="O148" s="1098">
        <v>5</v>
      </c>
      <c r="P148" s="963">
        <v>26</v>
      </c>
      <c r="Q148" s="1098">
        <f t="shared" si="35"/>
        <v>130</v>
      </c>
      <c r="R148" s="964"/>
      <c r="S148" s="964"/>
      <c r="T148" s="964"/>
      <c r="U148" s="964"/>
      <c r="V148" s="964"/>
      <c r="W148" s="964"/>
      <c r="X148" s="1520">
        <v>130</v>
      </c>
      <c r="Y148" s="1187"/>
      <c r="Z148" s="1188"/>
      <c r="AA148" s="1188"/>
      <c r="AB148" s="1188"/>
      <c r="AC148" s="1188"/>
      <c r="AD148" s="1188"/>
      <c r="AE148" s="1188"/>
      <c r="AF148" s="1188"/>
      <c r="AG148" s="1149"/>
    </row>
    <row r="149" spans="1:33" s="969" customFormat="1" ht="75.75" customHeight="1">
      <c r="A149" s="1529">
        <v>1215</v>
      </c>
      <c r="B149" s="968" t="s">
        <v>749</v>
      </c>
      <c r="C149" s="1076" t="s">
        <v>750</v>
      </c>
      <c r="D149" s="963"/>
      <c r="E149" s="671">
        <f t="shared" si="32"/>
        <v>6</v>
      </c>
      <c r="F149" s="670">
        <v>43318</v>
      </c>
      <c r="G149" s="670">
        <f t="shared" si="33"/>
        <v>43323</v>
      </c>
      <c r="H149" s="1317"/>
      <c r="I149" s="671" t="s">
        <v>170</v>
      </c>
      <c r="J149" s="669"/>
      <c r="K149" s="1318" t="s">
        <v>486</v>
      </c>
      <c r="L149" s="1231">
        <v>23173</v>
      </c>
      <c r="M149" s="963"/>
      <c r="N149" s="963"/>
      <c r="O149" s="1098">
        <v>156</v>
      </c>
      <c r="P149" s="963">
        <v>6</v>
      </c>
      <c r="Q149" s="1098">
        <f t="shared" si="35"/>
        <v>936</v>
      </c>
      <c r="R149" s="964"/>
      <c r="S149" s="964"/>
      <c r="T149" s="964"/>
      <c r="U149" s="964"/>
      <c r="V149" s="964"/>
      <c r="W149" s="964"/>
      <c r="X149" s="1520">
        <v>936</v>
      </c>
      <c r="Y149" s="1187"/>
      <c r="Z149" s="1188"/>
      <c r="AA149" s="1188"/>
      <c r="AB149" s="1188"/>
      <c r="AC149" s="1188"/>
      <c r="AD149" s="1188"/>
      <c r="AE149" s="1188"/>
      <c r="AF149" s="1188"/>
      <c r="AG149" s="1149"/>
    </row>
    <row r="150" spans="1:33" s="969" customFormat="1" ht="75.75" customHeight="1">
      <c r="A150" s="1529">
        <v>1215</v>
      </c>
      <c r="B150" s="968" t="s">
        <v>749</v>
      </c>
      <c r="C150" s="1076" t="s">
        <v>750</v>
      </c>
      <c r="D150" s="963"/>
      <c r="E150" s="671">
        <f t="shared" si="32"/>
        <v>6</v>
      </c>
      <c r="F150" s="670">
        <v>43318</v>
      </c>
      <c r="G150" s="670">
        <f t="shared" si="33"/>
        <v>43323</v>
      </c>
      <c r="H150" s="1317"/>
      <c r="I150" s="671" t="s">
        <v>170</v>
      </c>
      <c r="J150" s="669"/>
      <c r="K150" s="1318" t="s">
        <v>723</v>
      </c>
      <c r="L150" s="1233">
        <v>23174</v>
      </c>
      <c r="M150" s="963"/>
      <c r="N150" s="963"/>
      <c r="O150" s="1098">
        <v>169</v>
      </c>
      <c r="P150" s="963">
        <v>2</v>
      </c>
      <c r="Q150" s="1098">
        <f t="shared" si="35"/>
        <v>338</v>
      </c>
      <c r="R150" s="964"/>
      <c r="S150" s="964"/>
      <c r="T150" s="964"/>
      <c r="U150" s="964"/>
      <c r="V150" s="964"/>
      <c r="W150" s="964"/>
      <c r="X150" s="1520">
        <v>338</v>
      </c>
      <c r="Y150" s="1187"/>
      <c r="Z150" s="1188"/>
      <c r="AA150" s="1188"/>
      <c r="AB150" s="1188"/>
      <c r="AC150" s="1188"/>
      <c r="AD150" s="1188"/>
      <c r="AE150" s="1188"/>
      <c r="AF150" s="1188"/>
      <c r="AG150" s="1149"/>
    </row>
    <row r="151" spans="1:33" s="969" customFormat="1" ht="75.75" customHeight="1">
      <c r="A151" s="1529">
        <v>1215</v>
      </c>
      <c r="B151" s="968" t="s">
        <v>749</v>
      </c>
      <c r="C151" s="1076" t="s">
        <v>750</v>
      </c>
      <c r="D151" s="963"/>
      <c r="E151" s="671">
        <f t="shared" si="32"/>
        <v>6</v>
      </c>
      <c r="F151" s="670">
        <v>43318</v>
      </c>
      <c r="G151" s="670">
        <f t="shared" si="33"/>
        <v>43323</v>
      </c>
      <c r="H151" s="1317"/>
      <c r="I151" s="671" t="s">
        <v>170</v>
      </c>
      <c r="J151" s="669"/>
      <c r="K151" s="1318" t="s">
        <v>755</v>
      </c>
      <c r="L151" s="1233">
        <v>23173</v>
      </c>
      <c r="M151" s="963"/>
      <c r="N151" s="963"/>
      <c r="O151" s="1098">
        <v>10</v>
      </c>
      <c r="P151" s="963">
        <v>60</v>
      </c>
      <c r="Q151" s="1098">
        <f t="shared" si="35"/>
        <v>600</v>
      </c>
      <c r="R151" s="964"/>
      <c r="S151" s="964"/>
      <c r="T151" s="964"/>
      <c r="U151" s="964"/>
      <c r="V151" s="964"/>
      <c r="W151" s="964"/>
      <c r="X151" s="1520">
        <v>600</v>
      </c>
      <c r="Y151" s="1187"/>
      <c r="Z151" s="1188"/>
      <c r="AA151" s="1188"/>
      <c r="AB151" s="1188"/>
      <c r="AC151" s="1188"/>
      <c r="AD151" s="1188"/>
      <c r="AE151" s="1188"/>
      <c r="AF151" s="1188"/>
      <c r="AG151" s="1149"/>
    </row>
    <row r="152" spans="1:33" s="1035" customFormat="1" ht="75.75" customHeight="1">
      <c r="A152" s="1528">
        <v>1216</v>
      </c>
      <c r="B152" s="965" t="s">
        <v>756</v>
      </c>
      <c r="C152" s="1075" t="s">
        <v>757</v>
      </c>
      <c r="D152" s="1033"/>
      <c r="E152" s="1030">
        <f t="shared" si="32"/>
        <v>27</v>
      </c>
      <c r="F152" s="1029">
        <v>43332</v>
      </c>
      <c r="G152" s="1029">
        <v>43358</v>
      </c>
      <c r="H152" s="1310"/>
      <c r="I152" s="1030"/>
      <c r="J152" s="734"/>
      <c r="K152" s="1319"/>
      <c r="L152" s="1234"/>
      <c r="M152" s="1033"/>
      <c r="N152" s="1033"/>
      <c r="O152" s="1099"/>
      <c r="P152" s="1033"/>
      <c r="Q152" s="1099">
        <f>SUM(Q153:Q167)</f>
        <v>24431</v>
      </c>
      <c r="R152" s="1034">
        <f>SUM(Q153:Q167)</f>
        <v>24431</v>
      </c>
      <c r="S152" s="1054">
        <f t="shared" ref="S152:AF152" si="36">SUM(S153:S167)</f>
        <v>0</v>
      </c>
      <c r="T152" s="1054">
        <f t="shared" si="36"/>
        <v>0</v>
      </c>
      <c r="U152" s="1054">
        <f t="shared" si="36"/>
        <v>0</v>
      </c>
      <c r="V152" s="1054">
        <f t="shared" si="36"/>
        <v>0</v>
      </c>
      <c r="W152" s="1054">
        <f t="shared" si="36"/>
        <v>0</v>
      </c>
      <c r="X152" s="1171">
        <f t="shared" si="36"/>
        <v>0</v>
      </c>
      <c r="Y152" s="1189">
        <f t="shared" si="36"/>
        <v>24431</v>
      </c>
      <c r="Z152" s="1189">
        <f t="shared" si="36"/>
        <v>0</v>
      </c>
      <c r="AA152" s="1189">
        <f t="shared" si="36"/>
        <v>0</v>
      </c>
      <c r="AB152" s="1189">
        <f t="shared" si="36"/>
        <v>0</v>
      </c>
      <c r="AC152" s="1189">
        <f t="shared" si="36"/>
        <v>0</v>
      </c>
      <c r="AD152" s="1189">
        <f t="shared" si="36"/>
        <v>0</v>
      </c>
      <c r="AE152" s="1189">
        <f t="shared" si="36"/>
        <v>0</v>
      </c>
      <c r="AF152" s="1189">
        <f t="shared" si="36"/>
        <v>0</v>
      </c>
      <c r="AG152" s="1066">
        <f>SUM(S152:AF152)</f>
        <v>24431</v>
      </c>
    </row>
    <row r="153" spans="1:33" s="969" customFormat="1" ht="75.75" customHeight="1">
      <c r="A153" s="1529">
        <v>1216</v>
      </c>
      <c r="B153" s="966" t="s">
        <v>756</v>
      </c>
      <c r="C153" s="1076" t="s">
        <v>757</v>
      </c>
      <c r="D153" s="963"/>
      <c r="E153" s="671">
        <f t="shared" si="32"/>
        <v>27</v>
      </c>
      <c r="F153" s="670">
        <v>43332</v>
      </c>
      <c r="G153" s="670">
        <v>43358</v>
      </c>
      <c r="H153" s="1317"/>
      <c r="I153" s="671" t="s">
        <v>170</v>
      </c>
      <c r="J153" s="669"/>
      <c r="K153" s="1318" t="s">
        <v>758</v>
      </c>
      <c r="L153" s="1233">
        <v>23174</v>
      </c>
      <c r="M153" s="963"/>
      <c r="N153" s="963"/>
      <c r="O153" s="1098">
        <v>214</v>
      </c>
      <c r="P153" s="963">
        <v>31</v>
      </c>
      <c r="Q153" s="1098">
        <f t="shared" ref="Q153:Q167" si="37">+O153*P153</f>
        <v>6634</v>
      </c>
      <c r="R153" s="964"/>
      <c r="S153" s="964"/>
      <c r="T153" s="964"/>
      <c r="U153" s="964"/>
      <c r="V153" s="964"/>
      <c r="W153" s="964"/>
      <c r="X153" s="1170"/>
      <c r="Y153" s="1521">
        <v>6634</v>
      </c>
      <c r="Z153" s="1188"/>
      <c r="AA153" s="1188"/>
      <c r="AB153" s="1188"/>
      <c r="AC153" s="1188"/>
      <c r="AD153" s="1188"/>
      <c r="AE153" s="1188"/>
      <c r="AF153" s="1188"/>
      <c r="AG153" s="1149"/>
    </row>
    <row r="154" spans="1:33" s="969" customFormat="1" ht="75.75" customHeight="1">
      <c r="A154" s="1529">
        <v>1216</v>
      </c>
      <c r="B154" s="966" t="s">
        <v>756</v>
      </c>
      <c r="C154" s="1076" t="s">
        <v>757</v>
      </c>
      <c r="D154" s="963"/>
      <c r="E154" s="671">
        <f t="shared" si="32"/>
        <v>27</v>
      </c>
      <c r="F154" s="670">
        <v>43332</v>
      </c>
      <c r="G154" s="670">
        <v>43358</v>
      </c>
      <c r="H154" s="1317"/>
      <c r="I154" s="671" t="s">
        <v>170</v>
      </c>
      <c r="J154" s="669"/>
      <c r="K154" s="1318" t="s">
        <v>759</v>
      </c>
      <c r="L154" s="1233">
        <v>23174</v>
      </c>
      <c r="M154" s="963"/>
      <c r="N154" s="963"/>
      <c r="O154" s="1098">
        <v>225</v>
      </c>
      <c r="P154" s="963">
        <v>31</v>
      </c>
      <c r="Q154" s="1098">
        <f t="shared" si="37"/>
        <v>6975</v>
      </c>
      <c r="R154" s="964"/>
      <c r="S154" s="964"/>
      <c r="T154" s="964"/>
      <c r="U154" s="964"/>
      <c r="V154" s="964"/>
      <c r="W154" s="964"/>
      <c r="X154" s="1170"/>
      <c r="Y154" s="1521">
        <v>6975</v>
      </c>
      <c r="Z154" s="1188"/>
      <c r="AA154" s="1188"/>
      <c r="AB154" s="1188"/>
      <c r="AC154" s="1188"/>
      <c r="AD154" s="1188"/>
      <c r="AE154" s="1188"/>
      <c r="AF154" s="1188"/>
      <c r="AG154" s="1149"/>
    </row>
    <row r="155" spans="1:33" s="969" customFormat="1" ht="75.75" customHeight="1">
      <c r="A155" s="1529">
        <v>1216</v>
      </c>
      <c r="B155" s="966" t="s">
        <v>756</v>
      </c>
      <c r="C155" s="1076" t="s">
        <v>757</v>
      </c>
      <c r="D155" s="963"/>
      <c r="E155" s="671">
        <f t="shared" si="32"/>
        <v>27</v>
      </c>
      <c r="F155" s="670">
        <v>43332</v>
      </c>
      <c r="G155" s="670">
        <v>43358</v>
      </c>
      <c r="H155" s="1317"/>
      <c r="I155" s="671" t="s">
        <v>170</v>
      </c>
      <c r="J155" s="669"/>
      <c r="K155" s="1323" t="s">
        <v>760</v>
      </c>
      <c r="L155" s="1233">
        <v>23174</v>
      </c>
      <c r="M155" s="963"/>
      <c r="N155" s="963"/>
      <c r="O155" s="1098">
        <v>37</v>
      </c>
      <c r="P155" s="963">
        <v>31</v>
      </c>
      <c r="Q155" s="1098">
        <f t="shared" si="37"/>
        <v>1147</v>
      </c>
      <c r="R155" s="964"/>
      <c r="S155" s="964"/>
      <c r="T155" s="964"/>
      <c r="U155" s="964"/>
      <c r="V155" s="964"/>
      <c r="W155" s="964"/>
      <c r="X155" s="1170"/>
      <c r="Y155" s="1521">
        <v>1147</v>
      </c>
      <c r="Z155" s="1188"/>
      <c r="AA155" s="1188"/>
      <c r="AB155" s="1188"/>
      <c r="AC155" s="1188"/>
      <c r="AD155" s="1188"/>
      <c r="AE155" s="1188"/>
      <c r="AF155" s="1188"/>
      <c r="AG155" s="1149"/>
    </row>
    <row r="156" spans="1:33" s="969" customFormat="1" ht="75.75" customHeight="1">
      <c r="A156" s="1529">
        <v>1216</v>
      </c>
      <c r="B156" s="966" t="s">
        <v>756</v>
      </c>
      <c r="C156" s="1076" t="s">
        <v>757</v>
      </c>
      <c r="D156" s="963"/>
      <c r="E156" s="671">
        <f t="shared" si="32"/>
        <v>27</v>
      </c>
      <c r="F156" s="670">
        <v>43332</v>
      </c>
      <c r="G156" s="670">
        <v>43358</v>
      </c>
      <c r="H156" s="1317"/>
      <c r="I156" s="671" t="s">
        <v>170</v>
      </c>
      <c r="J156" s="669"/>
      <c r="K156" s="1318" t="s">
        <v>743</v>
      </c>
      <c r="L156" s="1233">
        <v>23174</v>
      </c>
      <c r="M156" s="963"/>
      <c r="N156" s="963"/>
      <c r="O156" s="1098">
        <f>+O153</f>
        <v>214</v>
      </c>
      <c r="P156" s="963">
        <v>2</v>
      </c>
      <c r="Q156" s="1098">
        <f t="shared" si="37"/>
        <v>428</v>
      </c>
      <c r="R156" s="964"/>
      <c r="S156" s="964"/>
      <c r="T156" s="964"/>
      <c r="U156" s="964"/>
      <c r="V156" s="964"/>
      <c r="W156" s="964"/>
      <c r="X156" s="1170"/>
      <c r="Y156" s="1521">
        <v>428</v>
      </c>
      <c r="Z156" s="1188"/>
      <c r="AA156" s="1188"/>
      <c r="AB156" s="1188"/>
      <c r="AC156" s="1188"/>
      <c r="AD156" s="1188"/>
      <c r="AE156" s="1188"/>
      <c r="AF156" s="1188"/>
      <c r="AG156" s="1149"/>
    </row>
    <row r="157" spans="1:33" s="969" customFormat="1" ht="75.75" customHeight="1">
      <c r="A157" s="1529">
        <v>1216</v>
      </c>
      <c r="B157" s="966" t="s">
        <v>756</v>
      </c>
      <c r="C157" s="1076" t="s">
        <v>757</v>
      </c>
      <c r="D157" s="963"/>
      <c r="E157" s="671">
        <f t="shared" si="32"/>
        <v>27</v>
      </c>
      <c r="F157" s="670">
        <v>43332</v>
      </c>
      <c r="G157" s="670">
        <v>43358</v>
      </c>
      <c r="H157" s="1317"/>
      <c r="I157" s="671" t="s">
        <v>170</v>
      </c>
      <c r="J157" s="669"/>
      <c r="K157" s="1318" t="s">
        <v>744</v>
      </c>
      <c r="L157" s="1233">
        <v>23174</v>
      </c>
      <c r="M157" s="963"/>
      <c r="N157" s="963"/>
      <c r="O157" s="1098">
        <f>+O154</f>
        <v>225</v>
      </c>
      <c r="P157" s="963">
        <v>2</v>
      </c>
      <c r="Q157" s="1098">
        <f t="shared" si="37"/>
        <v>450</v>
      </c>
      <c r="R157" s="964"/>
      <c r="S157" s="964"/>
      <c r="T157" s="964"/>
      <c r="U157" s="964"/>
      <c r="V157" s="964"/>
      <c r="W157" s="964"/>
      <c r="X157" s="1170"/>
      <c r="Y157" s="1521">
        <v>450</v>
      </c>
      <c r="Z157" s="1188"/>
      <c r="AA157" s="1188"/>
      <c r="AB157" s="1188"/>
      <c r="AC157" s="1188"/>
      <c r="AD157" s="1188"/>
      <c r="AE157" s="1188"/>
      <c r="AF157" s="1188"/>
      <c r="AG157" s="1149"/>
    </row>
    <row r="158" spans="1:33" s="969" customFormat="1" ht="75.75" customHeight="1">
      <c r="A158" s="1529">
        <v>1216</v>
      </c>
      <c r="B158" s="966" t="s">
        <v>756</v>
      </c>
      <c r="C158" s="1076" t="s">
        <v>757</v>
      </c>
      <c r="D158" s="963"/>
      <c r="E158" s="671">
        <f t="shared" si="32"/>
        <v>27</v>
      </c>
      <c r="F158" s="670">
        <v>43332</v>
      </c>
      <c r="G158" s="670">
        <v>43358</v>
      </c>
      <c r="H158" s="1317"/>
      <c r="I158" s="671" t="s">
        <v>170</v>
      </c>
      <c r="J158" s="669"/>
      <c r="K158" s="1318" t="s">
        <v>745</v>
      </c>
      <c r="L158" s="1233">
        <v>23174</v>
      </c>
      <c r="M158" s="963"/>
      <c r="N158" s="963"/>
      <c r="O158" s="1098">
        <v>255</v>
      </c>
      <c r="P158" s="963">
        <v>2</v>
      </c>
      <c r="Q158" s="1098">
        <f t="shared" si="37"/>
        <v>510</v>
      </c>
      <c r="R158" s="964"/>
      <c r="S158" s="964"/>
      <c r="T158" s="964"/>
      <c r="U158" s="964"/>
      <c r="V158" s="964"/>
      <c r="W158" s="964"/>
      <c r="X158" s="1170"/>
      <c r="Y158" s="1521">
        <v>510</v>
      </c>
      <c r="Z158" s="1188"/>
      <c r="AA158" s="1188"/>
      <c r="AB158" s="1188"/>
      <c r="AC158" s="1188"/>
      <c r="AD158" s="1188"/>
      <c r="AE158" s="1188"/>
      <c r="AF158" s="1188"/>
      <c r="AG158" s="1149"/>
    </row>
    <row r="159" spans="1:33" s="969" customFormat="1" ht="75.75" customHeight="1">
      <c r="A159" s="1529">
        <v>1216</v>
      </c>
      <c r="B159" s="966" t="s">
        <v>756</v>
      </c>
      <c r="C159" s="1076" t="s">
        <v>757</v>
      </c>
      <c r="D159" s="963"/>
      <c r="E159" s="671">
        <f t="shared" si="32"/>
        <v>27</v>
      </c>
      <c r="F159" s="670">
        <v>43332</v>
      </c>
      <c r="G159" s="670">
        <v>43358</v>
      </c>
      <c r="H159" s="1317"/>
      <c r="I159" s="671" t="s">
        <v>170</v>
      </c>
      <c r="J159" s="669"/>
      <c r="K159" s="1318" t="s">
        <v>727</v>
      </c>
      <c r="L159" s="1233">
        <v>23174</v>
      </c>
      <c r="M159" s="963"/>
      <c r="N159" s="963"/>
      <c r="O159" s="1098">
        <v>178</v>
      </c>
      <c r="P159" s="963">
        <v>2</v>
      </c>
      <c r="Q159" s="1098">
        <f t="shared" si="37"/>
        <v>356</v>
      </c>
      <c r="R159" s="964"/>
      <c r="S159" s="964"/>
      <c r="T159" s="964"/>
      <c r="U159" s="964"/>
      <c r="V159" s="964"/>
      <c r="W159" s="964"/>
      <c r="X159" s="1170"/>
      <c r="Y159" s="1521">
        <v>356</v>
      </c>
      <c r="Z159" s="1188"/>
      <c r="AA159" s="1188"/>
      <c r="AB159" s="1188"/>
      <c r="AC159" s="1188"/>
      <c r="AD159" s="1188"/>
      <c r="AE159" s="1188"/>
      <c r="AF159" s="1188"/>
      <c r="AG159" s="1149"/>
    </row>
    <row r="160" spans="1:33" s="969" customFormat="1" ht="75.75" customHeight="1">
      <c r="A160" s="1529">
        <v>1216</v>
      </c>
      <c r="B160" s="966" t="s">
        <v>756</v>
      </c>
      <c r="C160" s="1076" t="s">
        <v>757</v>
      </c>
      <c r="D160" s="963"/>
      <c r="E160" s="671">
        <f t="shared" si="32"/>
        <v>27</v>
      </c>
      <c r="F160" s="670">
        <v>43332</v>
      </c>
      <c r="G160" s="670">
        <v>43358</v>
      </c>
      <c r="H160" s="1317"/>
      <c r="I160" s="671" t="s">
        <v>170</v>
      </c>
      <c r="J160" s="669"/>
      <c r="K160" s="1318" t="s">
        <v>736</v>
      </c>
      <c r="L160" s="1233">
        <v>23174</v>
      </c>
      <c r="M160" s="963"/>
      <c r="N160" s="963"/>
      <c r="O160" s="1098">
        <v>112</v>
      </c>
      <c r="P160" s="963">
        <v>2</v>
      </c>
      <c r="Q160" s="1098">
        <f t="shared" si="37"/>
        <v>224</v>
      </c>
      <c r="R160" s="964"/>
      <c r="S160" s="964"/>
      <c r="T160" s="964"/>
      <c r="U160" s="964"/>
      <c r="V160" s="964"/>
      <c r="W160" s="964"/>
      <c r="X160" s="1170"/>
      <c r="Y160" s="1521">
        <v>224</v>
      </c>
      <c r="Z160" s="1188"/>
      <c r="AA160" s="1188"/>
      <c r="AB160" s="1188"/>
      <c r="AC160" s="1188"/>
      <c r="AD160" s="1188"/>
      <c r="AE160" s="1188"/>
      <c r="AF160" s="1188"/>
      <c r="AG160" s="1149"/>
    </row>
    <row r="161" spans="1:33" s="969" customFormat="1" ht="75.75" customHeight="1">
      <c r="A161" s="1529">
        <v>1216</v>
      </c>
      <c r="B161" s="966" t="s">
        <v>756</v>
      </c>
      <c r="C161" s="1076" t="s">
        <v>757</v>
      </c>
      <c r="D161" s="963"/>
      <c r="E161" s="671">
        <f t="shared" si="32"/>
        <v>27</v>
      </c>
      <c r="F161" s="670">
        <v>43332</v>
      </c>
      <c r="G161" s="670">
        <v>43358</v>
      </c>
      <c r="H161" s="1317"/>
      <c r="I161" s="671" t="s">
        <v>170</v>
      </c>
      <c r="J161" s="669"/>
      <c r="K161" s="1318" t="s">
        <v>302</v>
      </c>
      <c r="L161" s="1233">
        <v>23173</v>
      </c>
      <c r="M161" s="963"/>
      <c r="N161" s="963"/>
      <c r="O161" s="1098">
        <v>15</v>
      </c>
      <c r="P161" s="963">
        <v>30</v>
      </c>
      <c r="Q161" s="1098">
        <f t="shared" si="37"/>
        <v>450</v>
      </c>
      <c r="R161" s="964"/>
      <c r="S161" s="964"/>
      <c r="T161" s="964"/>
      <c r="U161" s="964"/>
      <c r="V161" s="964"/>
      <c r="W161" s="964"/>
      <c r="X161" s="1170"/>
      <c r="Y161" s="1521">
        <v>450</v>
      </c>
      <c r="Z161" s="1188"/>
      <c r="AA161" s="1188"/>
      <c r="AB161" s="1188"/>
      <c r="AC161" s="1188"/>
      <c r="AD161" s="1188"/>
      <c r="AE161" s="1188"/>
      <c r="AF161" s="1188"/>
      <c r="AG161" s="1149"/>
    </row>
    <row r="162" spans="1:33" s="969" customFormat="1" ht="75.75" customHeight="1">
      <c r="A162" s="1529">
        <v>1216</v>
      </c>
      <c r="B162" s="966" t="s">
        <v>756</v>
      </c>
      <c r="C162" s="1076" t="s">
        <v>757</v>
      </c>
      <c r="D162" s="963"/>
      <c r="E162" s="671">
        <f t="shared" si="32"/>
        <v>27</v>
      </c>
      <c r="F162" s="670">
        <v>43332</v>
      </c>
      <c r="G162" s="670">
        <v>43358</v>
      </c>
      <c r="H162" s="1317"/>
      <c r="I162" s="671" t="s">
        <v>170</v>
      </c>
      <c r="J162" s="669"/>
      <c r="K162" s="1318" t="s">
        <v>486</v>
      </c>
      <c r="L162" s="1231">
        <v>23173</v>
      </c>
      <c r="M162" s="963"/>
      <c r="N162" s="963"/>
      <c r="O162" s="1098">
        <v>156</v>
      </c>
      <c r="P162" s="963">
        <v>15</v>
      </c>
      <c r="Q162" s="1098">
        <f t="shared" si="37"/>
        <v>2340</v>
      </c>
      <c r="R162" s="964"/>
      <c r="S162" s="964"/>
      <c r="T162" s="964"/>
      <c r="U162" s="964"/>
      <c r="V162" s="964"/>
      <c r="W162" s="964"/>
      <c r="X162" s="1170"/>
      <c r="Y162" s="1521">
        <v>2340</v>
      </c>
      <c r="Z162" s="1188"/>
      <c r="AA162" s="1188"/>
      <c r="AB162" s="1188"/>
      <c r="AC162" s="1188"/>
      <c r="AD162" s="1188"/>
      <c r="AE162" s="1188"/>
      <c r="AF162" s="1188"/>
      <c r="AG162" s="1149"/>
    </row>
    <row r="163" spans="1:33" s="969" customFormat="1" ht="75.75" customHeight="1">
      <c r="A163" s="1529">
        <v>1216</v>
      </c>
      <c r="B163" s="966" t="s">
        <v>756</v>
      </c>
      <c r="C163" s="1076" t="s">
        <v>757</v>
      </c>
      <c r="D163" s="963"/>
      <c r="E163" s="671">
        <f t="shared" si="32"/>
        <v>27</v>
      </c>
      <c r="F163" s="670">
        <v>43332</v>
      </c>
      <c r="G163" s="670">
        <v>43358</v>
      </c>
      <c r="H163" s="1317"/>
      <c r="I163" s="671" t="s">
        <v>170</v>
      </c>
      <c r="J163" s="669"/>
      <c r="K163" s="1318" t="s">
        <v>723</v>
      </c>
      <c r="L163" s="1233">
        <v>23174</v>
      </c>
      <c r="M163" s="963"/>
      <c r="N163" s="963"/>
      <c r="O163" s="1098">
        <v>281</v>
      </c>
      <c r="P163" s="963">
        <v>2</v>
      </c>
      <c r="Q163" s="1098">
        <f t="shared" si="37"/>
        <v>562</v>
      </c>
      <c r="R163" s="964"/>
      <c r="S163" s="964"/>
      <c r="T163" s="964"/>
      <c r="U163" s="964"/>
      <c r="V163" s="964"/>
      <c r="W163" s="964"/>
      <c r="X163" s="1170"/>
      <c r="Y163" s="1521">
        <v>562</v>
      </c>
      <c r="Z163" s="1188"/>
      <c r="AA163" s="1188"/>
      <c r="AB163" s="1188"/>
      <c r="AC163" s="1188"/>
      <c r="AD163" s="1188"/>
      <c r="AE163" s="1188"/>
      <c r="AF163" s="1188"/>
      <c r="AG163" s="1149"/>
    </row>
    <row r="164" spans="1:33" s="969" customFormat="1" ht="75.75" customHeight="1">
      <c r="A164" s="1529">
        <v>1216</v>
      </c>
      <c r="B164" s="966" t="s">
        <v>756</v>
      </c>
      <c r="C164" s="1076" t="s">
        <v>757</v>
      </c>
      <c r="D164" s="963"/>
      <c r="E164" s="671">
        <f t="shared" si="32"/>
        <v>27</v>
      </c>
      <c r="F164" s="670">
        <v>43332</v>
      </c>
      <c r="G164" s="670">
        <v>43358</v>
      </c>
      <c r="H164" s="1317"/>
      <c r="I164" s="671" t="s">
        <v>170</v>
      </c>
      <c r="J164" s="669"/>
      <c r="K164" s="1318" t="s">
        <v>761</v>
      </c>
      <c r="L164" s="1233">
        <v>23173</v>
      </c>
      <c r="M164" s="963"/>
      <c r="N164" s="963"/>
      <c r="O164" s="1098">
        <v>10</v>
      </c>
      <c r="P164" s="963">
        <v>50</v>
      </c>
      <c r="Q164" s="1098">
        <f t="shared" si="37"/>
        <v>500</v>
      </c>
      <c r="R164" s="964"/>
      <c r="S164" s="964"/>
      <c r="T164" s="964"/>
      <c r="U164" s="964"/>
      <c r="V164" s="964"/>
      <c r="W164" s="964"/>
      <c r="X164" s="1170"/>
      <c r="Y164" s="1521">
        <v>500</v>
      </c>
      <c r="Z164" s="1188"/>
      <c r="AA164" s="1188"/>
      <c r="AB164" s="1188"/>
      <c r="AC164" s="1188"/>
      <c r="AD164" s="1188"/>
      <c r="AE164" s="1188"/>
      <c r="AF164" s="1188"/>
      <c r="AG164" s="1149"/>
    </row>
    <row r="165" spans="1:33" s="969" customFormat="1" ht="75.75" customHeight="1">
      <c r="A165" s="1529">
        <v>1216</v>
      </c>
      <c r="B165" s="966" t="s">
        <v>756</v>
      </c>
      <c r="C165" s="1076" t="s">
        <v>757</v>
      </c>
      <c r="D165" s="963"/>
      <c r="E165" s="671">
        <f t="shared" si="32"/>
        <v>27</v>
      </c>
      <c r="F165" s="670">
        <v>43332</v>
      </c>
      <c r="G165" s="670">
        <v>43358</v>
      </c>
      <c r="H165" s="1317"/>
      <c r="I165" s="671" t="s">
        <v>170</v>
      </c>
      <c r="J165" s="669"/>
      <c r="K165" s="1318" t="s">
        <v>762</v>
      </c>
      <c r="L165" s="1233">
        <v>23173</v>
      </c>
      <c r="M165" s="963"/>
      <c r="N165" s="963"/>
      <c r="O165" s="1098">
        <v>15</v>
      </c>
      <c r="P165" s="963">
        <v>50</v>
      </c>
      <c r="Q165" s="1098">
        <f t="shared" si="37"/>
        <v>750</v>
      </c>
      <c r="R165" s="964"/>
      <c r="S165" s="964"/>
      <c r="T165" s="964"/>
      <c r="U165" s="964"/>
      <c r="V165" s="964"/>
      <c r="W165" s="964"/>
      <c r="X165" s="1170"/>
      <c r="Y165" s="1521">
        <v>750</v>
      </c>
      <c r="Z165" s="1188"/>
      <c r="AA165" s="1188"/>
      <c r="AB165" s="1188"/>
      <c r="AC165" s="1188"/>
      <c r="AD165" s="1188"/>
      <c r="AE165" s="1188"/>
      <c r="AF165" s="1188"/>
      <c r="AG165" s="1149"/>
    </row>
    <row r="166" spans="1:33" s="969" customFormat="1" ht="75.75" customHeight="1">
      <c r="A166" s="1529">
        <v>1216</v>
      </c>
      <c r="B166" s="966" t="s">
        <v>756</v>
      </c>
      <c r="C166" s="1076" t="s">
        <v>757</v>
      </c>
      <c r="D166" s="963"/>
      <c r="E166" s="671">
        <f t="shared" si="32"/>
        <v>27</v>
      </c>
      <c r="F166" s="670">
        <v>43332</v>
      </c>
      <c r="G166" s="670">
        <v>43358</v>
      </c>
      <c r="H166" s="1317"/>
      <c r="I166" s="671" t="s">
        <v>170</v>
      </c>
      <c r="J166" s="669"/>
      <c r="K166" s="1318" t="s">
        <v>763</v>
      </c>
      <c r="L166" s="1233">
        <v>23173</v>
      </c>
      <c r="M166" s="963"/>
      <c r="N166" s="963"/>
      <c r="O166" s="1098">
        <v>10</v>
      </c>
      <c r="P166" s="963">
        <f>22+114+28+23+10+10</f>
        <v>207</v>
      </c>
      <c r="Q166" s="1098">
        <f t="shared" si="37"/>
        <v>2070</v>
      </c>
      <c r="R166" s="964"/>
      <c r="S166" s="964"/>
      <c r="T166" s="964"/>
      <c r="U166" s="964"/>
      <c r="V166" s="964"/>
      <c r="W166" s="964"/>
      <c r="X166" s="1170"/>
      <c r="Y166" s="1521">
        <v>2070</v>
      </c>
      <c r="Z166" s="1188"/>
      <c r="AA166" s="1188"/>
      <c r="AB166" s="1188"/>
      <c r="AC166" s="1188"/>
      <c r="AD166" s="1188"/>
      <c r="AE166" s="1188"/>
      <c r="AF166" s="1188"/>
      <c r="AG166" s="1149"/>
    </row>
    <row r="167" spans="1:33" s="969" customFormat="1" ht="75.75" customHeight="1">
      <c r="A167" s="1529">
        <v>1216</v>
      </c>
      <c r="B167" s="966" t="s">
        <v>756</v>
      </c>
      <c r="C167" s="1076" t="s">
        <v>757</v>
      </c>
      <c r="D167" s="963"/>
      <c r="E167" s="671">
        <f t="shared" si="32"/>
        <v>27</v>
      </c>
      <c r="F167" s="670">
        <v>43332</v>
      </c>
      <c r="G167" s="670">
        <v>43358</v>
      </c>
      <c r="H167" s="1317"/>
      <c r="I167" s="671" t="s">
        <v>170</v>
      </c>
      <c r="J167" s="669"/>
      <c r="K167" s="1318" t="s">
        <v>764</v>
      </c>
      <c r="L167" s="1233">
        <v>23173</v>
      </c>
      <c r="M167" s="963"/>
      <c r="N167" s="963"/>
      <c r="O167" s="1098">
        <v>5</v>
      </c>
      <c r="P167" s="963">
        <v>207</v>
      </c>
      <c r="Q167" s="1098">
        <f t="shared" si="37"/>
        <v>1035</v>
      </c>
      <c r="R167" s="964"/>
      <c r="S167" s="964"/>
      <c r="T167" s="964"/>
      <c r="U167" s="964"/>
      <c r="V167" s="964"/>
      <c r="W167" s="964"/>
      <c r="X167" s="1170"/>
      <c r="Y167" s="1521">
        <v>1035</v>
      </c>
      <c r="Z167" s="1188"/>
      <c r="AA167" s="1188"/>
      <c r="AB167" s="1188"/>
      <c r="AC167" s="1188"/>
      <c r="AD167" s="1188"/>
      <c r="AE167" s="1188"/>
      <c r="AF167" s="1188"/>
      <c r="AG167" s="1149"/>
    </row>
    <row r="168" spans="1:33" s="1035" customFormat="1" ht="75.75" customHeight="1">
      <c r="A168" s="1528">
        <v>1217</v>
      </c>
      <c r="B168" s="965" t="s">
        <v>765</v>
      </c>
      <c r="C168" s="1075" t="s">
        <v>766</v>
      </c>
      <c r="D168" s="1033"/>
      <c r="E168" s="1030"/>
      <c r="F168" s="1029">
        <v>43185</v>
      </c>
      <c r="G168" s="1029">
        <v>43373</v>
      </c>
      <c r="H168" s="1310"/>
      <c r="I168" s="1030"/>
      <c r="J168" s="734"/>
      <c r="K168" s="1319"/>
      <c r="L168" s="1234"/>
      <c r="M168" s="1033"/>
      <c r="N168" s="1033"/>
      <c r="O168" s="1099"/>
      <c r="P168" s="1033"/>
      <c r="Q168" s="1099">
        <f>SUM(Q169:Q170)</f>
        <v>65000</v>
      </c>
      <c r="R168" s="1034">
        <f>SUM(Q169+Q170)</f>
        <v>65000</v>
      </c>
      <c r="S168" s="1054">
        <f t="shared" ref="S168:AF168" si="38">SUM(S169:S170)</f>
        <v>0</v>
      </c>
      <c r="T168" s="1054">
        <f t="shared" si="38"/>
        <v>65000</v>
      </c>
      <c r="U168" s="1054">
        <f t="shared" si="38"/>
        <v>0</v>
      </c>
      <c r="V168" s="1054">
        <f t="shared" si="38"/>
        <v>0</v>
      </c>
      <c r="W168" s="1054">
        <f t="shared" si="38"/>
        <v>0</v>
      </c>
      <c r="X168" s="1171">
        <f t="shared" si="38"/>
        <v>0</v>
      </c>
      <c r="Y168" s="1189">
        <f t="shared" si="38"/>
        <v>0</v>
      </c>
      <c r="Z168" s="1189">
        <f t="shared" si="38"/>
        <v>0</v>
      </c>
      <c r="AA168" s="1189">
        <f t="shared" si="38"/>
        <v>0</v>
      </c>
      <c r="AB168" s="1189">
        <f t="shared" si="38"/>
        <v>0</v>
      </c>
      <c r="AC168" s="1189">
        <f t="shared" si="38"/>
        <v>0</v>
      </c>
      <c r="AD168" s="1189">
        <f t="shared" si="38"/>
        <v>0</v>
      </c>
      <c r="AE168" s="1189">
        <f t="shared" si="38"/>
        <v>0</v>
      </c>
      <c r="AF168" s="1189">
        <f t="shared" si="38"/>
        <v>0</v>
      </c>
      <c r="AG168" s="1066">
        <f>SUM(S168:AF168)</f>
        <v>65000</v>
      </c>
    </row>
    <row r="169" spans="1:33" s="969" customFormat="1" ht="75.75" customHeight="1">
      <c r="A169" s="1529">
        <v>1217</v>
      </c>
      <c r="B169" s="966" t="s">
        <v>499</v>
      </c>
      <c r="C169" s="1076" t="s">
        <v>767</v>
      </c>
      <c r="D169" s="963"/>
      <c r="E169" s="671">
        <f t="shared" si="32"/>
        <v>189</v>
      </c>
      <c r="F169" s="670">
        <v>43185</v>
      </c>
      <c r="G169" s="670">
        <v>43373</v>
      </c>
      <c r="H169" s="1317"/>
      <c r="I169" s="671" t="s">
        <v>768</v>
      </c>
      <c r="J169" s="669"/>
      <c r="K169" s="1318"/>
      <c r="L169" s="1233">
        <v>23173</v>
      </c>
      <c r="M169" s="963"/>
      <c r="N169" s="963"/>
      <c r="O169" s="1098">
        <v>50000</v>
      </c>
      <c r="P169" s="963"/>
      <c r="Q169" s="1098">
        <v>50000</v>
      </c>
      <c r="R169" s="964"/>
      <c r="S169" s="964"/>
      <c r="T169" s="1098">
        <v>50000</v>
      </c>
      <c r="U169" s="964"/>
      <c r="V169" s="964"/>
      <c r="W169" s="964"/>
      <c r="X169" s="1170"/>
      <c r="Y169" s="1187"/>
      <c r="Z169" s="1188"/>
      <c r="AA169" s="1188"/>
      <c r="AB169" s="1188"/>
      <c r="AC169" s="1188"/>
      <c r="AD169" s="1188"/>
      <c r="AE169" s="1188"/>
      <c r="AF169" s="1188"/>
      <c r="AG169" s="1149"/>
    </row>
    <row r="170" spans="1:33" s="969" customFormat="1" ht="57.75" customHeight="1">
      <c r="A170" s="1529">
        <v>1218</v>
      </c>
      <c r="B170" s="966" t="s">
        <v>769</v>
      </c>
      <c r="C170" s="1076" t="s">
        <v>770</v>
      </c>
      <c r="D170" s="963"/>
      <c r="E170" s="671">
        <f t="shared" si="32"/>
        <v>189</v>
      </c>
      <c r="F170" s="670">
        <v>43185</v>
      </c>
      <c r="G170" s="670">
        <v>43373</v>
      </c>
      <c r="H170" s="1317"/>
      <c r="I170" s="671" t="s">
        <v>768</v>
      </c>
      <c r="J170" s="669"/>
      <c r="K170" s="1318"/>
      <c r="L170" s="1233">
        <v>23173</v>
      </c>
      <c r="M170" s="963"/>
      <c r="N170" s="963"/>
      <c r="O170" s="1098">
        <v>15000</v>
      </c>
      <c r="P170" s="963"/>
      <c r="Q170" s="1098">
        <v>15000</v>
      </c>
      <c r="R170" s="964"/>
      <c r="S170" s="964"/>
      <c r="T170" s="1098">
        <v>15000</v>
      </c>
      <c r="U170" s="964"/>
      <c r="V170" s="964"/>
      <c r="W170" s="964"/>
      <c r="X170" s="1170"/>
      <c r="Y170" s="1187"/>
      <c r="Z170" s="1188"/>
      <c r="AA170" s="1188"/>
      <c r="AB170" s="1188"/>
      <c r="AC170" s="1188"/>
      <c r="AD170" s="1188"/>
      <c r="AE170" s="1188"/>
      <c r="AF170" s="1188"/>
      <c r="AG170" s="1149"/>
    </row>
    <row r="171" spans="1:33" ht="16.5" customHeight="1">
      <c r="A171" s="1324">
        <v>122</v>
      </c>
      <c r="B171" s="1463" t="s">
        <v>771</v>
      </c>
      <c r="C171" s="1498"/>
      <c r="D171" s="1325"/>
      <c r="E171" s="1325"/>
      <c r="F171" s="1325"/>
      <c r="G171" s="1325"/>
      <c r="H171" s="1325"/>
      <c r="I171" s="1325"/>
      <c r="J171" s="636"/>
      <c r="K171" s="1296"/>
      <c r="L171" s="1298"/>
      <c r="M171" s="1326"/>
      <c r="N171" s="1297"/>
      <c r="O171" s="1327"/>
      <c r="P171" s="1328"/>
      <c r="Q171" s="1329">
        <f>Q172+Q182+Q192+Q202+Q206+Q207+Q217+Q218+Q227+Q237</f>
        <v>150847.67633333331</v>
      </c>
      <c r="R171" s="790"/>
      <c r="S171" s="1329">
        <f t="shared" ref="S171:AF171" si="39">S172+S182+S192+S202+S206+S207+S217+S218+S227+S237</f>
        <v>0</v>
      </c>
      <c r="T171" s="1329">
        <f t="shared" si="39"/>
        <v>13416.399666666666</v>
      </c>
      <c r="U171" s="1329">
        <f t="shared" si="39"/>
        <v>32731.999333333333</v>
      </c>
      <c r="V171" s="1329">
        <f t="shared" si="39"/>
        <v>80559.725000000006</v>
      </c>
      <c r="W171" s="1329">
        <f t="shared" si="39"/>
        <v>24139.552333333333</v>
      </c>
      <c r="X171" s="1329">
        <f t="shared" si="39"/>
        <v>0</v>
      </c>
      <c r="Y171" s="1329">
        <f t="shared" si="39"/>
        <v>0</v>
      </c>
      <c r="Z171" s="1051">
        <f t="shared" si="39"/>
        <v>0</v>
      </c>
      <c r="AA171" s="1051">
        <f t="shared" si="39"/>
        <v>0</v>
      </c>
      <c r="AB171" s="1051">
        <f t="shared" si="39"/>
        <v>0</v>
      </c>
      <c r="AC171" s="1051">
        <f t="shared" si="39"/>
        <v>0</v>
      </c>
      <c r="AD171" s="1051">
        <f t="shared" si="39"/>
        <v>0</v>
      </c>
      <c r="AE171" s="1051">
        <f t="shared" si="39"/>
        <v>0</v>
      </c>
      <c r="AF171" s="1051">
        <f t="shared" si="39"/>
        <v>0</v>
      </c>
      <c r="AG171" s="1329">
        <f>AG172+AG182+AG192+AG202+AG206+AG207+AG217+AG218+AG227+AG237</f>
        <v>150847.67633333331</v>
      </c>
    </row>
    <row r="172" spans="1:33" s="1041" customFormat="1" ht="57.75" customHeight="1">
      <c r="A172" s="1037">
        <v>1221</v>
      </c>
      <c r="B172" s="939" t="s">
        <v>772</v>
      </c>
      <c r="C172" s="1077" t="s">
        <v>773</v>
      </c>
      <c r="D172" s="1036"/>
      <c r="E172" s="1037">
        <v>10</v>
      </c>
      <c r="F172" s="1038">
        <v>43206</v>
      </c>
      <c r="G172" s="1038">
        <f>F172+E172</f>
        <v>43216</v>
      </c>
      <c r="H172" s="1036" t="s">
        <v>774</v>
      </c>
      <c r="I172" s="1037" t="s">
        <v>170</v>
      </c>
      <c r="J172" s="721"/>
      <c r="K172" s="1036"/>
      <c r="L172" s="1235"/>
      <c r="M172" s="1036"/>
      <c r="N172" s="1036"/>
      <c r="O172" s="1042"/>
      <c r="P172" s="1036"/>
      <c r="Q172" s="1100">
        <f>SUM(Q173:Q181)</f>
        <v>13416.399666666666</v>
      </c>
      <c r="R172" s="1040"/>
      <c r="S172" s="1053">
        <f t="shared" ref="S172:AF172" si="40">SUM(S173:S181)</f>
        <v>0</v>
      </c>
      <c r="T172" s="1053">
        <f t="shared" si="40"/>
        <v>13416.399666666666</v>
      </c>
      <c r="U172" s="1053">
        <f t="shared" si="40"/>
        <v>0</v>
      </c>
      <c r="V172" s="1053">
        <f t="shared" si="40"/>
        <v>0</v>
      </c>
      <c r="W172" s="1053">
        <f t="shared" si="40"/>
        <v>0</v>
      </c>
      <c r="X172" s="1172">
        <f t="shared" si="40"/>
        <v>0</v>
      </c>
      <c r="Y172" s="1190">
        <f t="shared" si="40"/>
        <v>0</v>
      </c>
      <c r="Z172" s="1190">
        <f t="shared" si="40"/>
        <v>0</v>
      </c>
      <c r="AA172" s="1190">
        <f t="shared" si="40"/>
        <v>0</v>
      </c>
      <c r="AB172" s="1190">
        <f t="shared" si="40"/>
        <v>0</v>
      </c>
      <c r="AC172" s="1190">
        <f t="shared" si="40"/>
        <v>0</v>
      </c>
      <c r="AD172" s="1190">
        <f t="shared" si="40"/>
        <v>0</v>
      </c>
      <c r="AE172" s="1190">
        <f t="shared" si="40"/>
        <v>0</v>
      </c>
      <c r="AF172" s="1190">
        <f t="shared" si="40"/>
        <v>0</v>
      </c>
      <c r="AG172" s="1066">
        <f>SUM(S172:AF172)</f>
        <v>13416.399666666666</v>
      </c>
    </row>
    <row r="173" spans="1:33" s="1044" customFormat="1" ht="57.75" customHeight="1">
      <c r="A173" s="706">
        <v>1221</v>
      </c>
      <c r="B173" s="945" t="s">
        <v>772</v>
      </c>
      <c r="C173" s="1078" t="s">
        <v>773</v>
      </c>
      <c r="D173" s="938"/>
      <c r="E173" s="706">
        <v>10</v>
      </c>
      <c r="F173" s="709">
        <v>43206</v>
      </c>
      <c r="G173" s="709">
        <f>F173+E173</f>
        <v>43216</v>
      </c>
      <c r="H173" s="938" t="s">
        <v>774</v>
      </c>
      <c r="I173" s="706" t="s">
        <v>170</v>
      </c>
      <c r="J173" s="708"/>
      <c r="K173" s="938" t="s">
        <v>775</v>
      </c>
      <c r="L173" s="1236">
        <v>23174</v>
      </c>
      <c r="M173" s="938"/>
      <c r="N173" s="938"/>
      <c r="O173" s="949">
        <v>4536</v>
      </c>
      <c r="P173" s="938">
        <v>1</v>
      </c>
      <c r="Q173" s="1101">
        <f t="shared" ref="Q173:Q181" si="41">O173*P173</f>
        <v>4536</v>
      </c>
      <c r="R173" s="1043">
        <v>4536</v>
      </c>
      <c r="S173" s="941"/>
      <c r="T173" s="1101">
        <v>4536</v>
      </c>
      <c r="U173" s="940"/>
      <c r="V173" s="938"/>
      <c r="W173" s="943"/>
      <c r="X173" s="1173"/>
      <c r="Y173" s="1159"/>
      <c r="Z173" s="1159"/>
      <c r="AA173" s="1159"/>
      <c r="AB173" s="1159"/>
      <c r="AC173" s="1160"/>
      <c r="AD173" s="1160"/>
      <c r="AE173" s="1160"/>
      <c r="AF173" s="1160"/>
      <c r="AG173" s="1060"/>
    </row>
    <row r="174" spans="1:33" s="944" customFormat="1" ht="57.75" customHeight="1">
      <c r="A174" s="706">
        <v>1221</v>
      </c>
      <c r="B174" s="945" t="s">
        <v>772</v>
      </c>
      <c r="C174" s="1078" t="s">
        <v>773</v>
      </c>
      <c r="D174" s="938"/>
      <c r="E174" s="706">
        <v>10</v>
      </c>
      <c r="F174" s="709">
        <v>43206</v>
      </c>
      <c r="G174" s="709">
        <f t="shared" ref="G174:G179" si="42">F174+E174</f>
        <v>43216</v>
      </c>
      <c r="H174" s="938" t="s">
        <v>774</v>
      </c>
      <c r="I174" s="706" t="s">
        <v>170</v>
      </c>
      <c r="J174" s="708"/>
      <c r="K174" s="938" t="s">
        <v>776</v>
      </c>
      <c r="L174" s="1236">
        <v>23174</v>
      </c>
      <c r="M174" s="938"/>
      <c r="N174" s="938"/>
      <c r="O174" s="949">
        <v>1320</v>
      </c>
      <c r="P174" s="938">
        <v>1</v>
      </c>
      <c r="Q174" s="1101">
        <f t="shared" si="41"/>
        <v>1320</v>
      </c>
      <c r="R174" s="942">
        <v>1320</v>
      </c>
      <c r="S174" s="1039"/>
      <c r="T174" s="1101">
        <v>1320</v>
      </c>
      <c r="U174" s="940"/>
      <c r="V174" s="938"/>
      <c r="W174" s="943"/>
      <c r="X174" s="1174"/>
      <c r="Y174" s="1159"/>
      <c r="Z174" s="1159"/>
      <c r="AA174" s="1159"/>
      <c r="AB174" s="1159"/>
      <c r="AC174" s="1161"/>
      <c r="AD174" s="1161"/>
      <c r="AE174" s="1161"/>
      <c r="AF174" s="1161"/>
      <c r="AG174" s="1060"/>
    </row>
    <row r="175" spans="1:33" s="944" customFormat="1" ht="57.75" customHeight="1">
      <c r="A175" s="706">
        <v>1221</v>
      </c>
      <c r="B175" s="945" t="s">
        <v>772</v>
      </c>
      <c r="C175" s="1078" t="s">
        <v>773</v>
      </c>
      <c r="D175" s="938"/>
      <c r="E175" s="706">
        <v>10</v>
      </c>
      <c r="F175" s="709">
        <v>43206</v>
      </c>
      <c r="G175" s="709">
        <f t="shared" si="42"/>
        <v>43216</v>
      </c>
      <c r="H175" s="938" t="s">
        <v>774</v>
      </c>
      <c r="I175" s="706" t="s">
        <v>170</v>
      </c>
      <c r="J175" s="708"/>
      <c r="K175" s="938" t="s">
        <v>777</v>
      </c>
      <c r="L175" s="1236">
        <v>23174</v>
      </c>
      <c r="M175" s="938"/>
      <c r="N175" s="938"/>
      <c r="O175" s="949">
        <v>260</v>
      </c>
      <c r="P175" s="938">
        <v>1</v>
      </c>
      <c r="Q175" s="1101">
        <f t="shared" si="41"/>
        <v>260</v>
      </c>
      <c r="R175" s="942">
        <v>260</v>
      </c>
      <c r="S175" s="1039"/>
      <c r="T175" s="1101">
        <v>260</v>
      </c>
      <c r="U175" s="940"/>
      <c r="V175" s="938"/>
      <c r="W175" s="943"/>
      <c r="X175" s="1174"/>
      <c r="Y175" s="1159"/>
      <c r="Z175" s="1159"/>
      <c r="AA175" s="1159"/>
      <c r="AB175" s="1159"/>
      <c r="AC175" s="1161"/>
      <c r="AD175" s="1161"/>
      <c r="AE175" s="1161"/>
      <c r="AF175" s="1161"/>
      <c r="AG175" s="1060"/>
    </row>
    <row r="176" spans="1:33" s="944" customFormat="1" ht="57.75" customHeight="1">
      <c r="A176" s="706">
        <v>1221</v>
      </c>
      <c r="B176" s="945" t="s">
        <v>772</v>
      </c>
      <c r="C176" s="1078" t="s">
        <v>773</v>
      </c>
      <c r="D176" s="938"/>
      <c r="E176" s="706">
        <v>10</v>
      </c>
      <c r="F176" s="709">
        <v>43206</v>
      </c>
      <c r="G176" s="709">
        <f t="shared" si="42"/>
        <v>43216</v>
      </c>
      <c r="H176" s="938" t="s">
        <v>774</v>
      </c>
      <c r="I176" s="706" t="s">
        <v>170</v>
      </c>
      <c r="J176" s="708"/>
      <c r="K176" s="938" t="s">
        <v>778</v>
      </c>
      <c r="L176" s="1236">
        <v>23174</v>
      </c>
      <c r="M176" s="938"/>
      <c r="N176" s="938"/>
      <c r="O176" s="949">
        <v>4573.333333333333</v>
      </c>
      <c r="P176" s="938">
        <v>1</v>
      </c>
      <c r="Q176" s="1101">
        <f t="shared" si="41"/>
        <v>4573.333333333333</v>
      </c>
      <c r="R176" s="942">
        <v>4573.333333333333</v>
      </c>
      <c r="S176" s="1039"/>
      <c r="T176" s="949">
        <v>4573.333333333333</v>
      </c>
      <c r="U176" s="940"/>
      <c r="V176" s="938"/>
      <c r="W176" s="943"/>
      <c r="X176" s="1174"/>
      <c r="Y176" s="1159"/>
      <c r="Z176" s="1159"/>
      <c r="AA176" s="1159"/>
      <c r="AB176" s="1159"/>
      <c r="AC176" s="1161"/>
      <c r="AD176" s="1161"/>
      <c r="AE176" s="1161"/>
      <c r="AF176" s="1161"/>
      <c r="AG176" s="1060"/>
    </row>
    <row r="177" spans="1:33" s="944" customFormat="1" ht="57.75" customHeight="1">
      <c r="A177" s="706">
        <v>1221</v>
      </c>
      <c r="B177" s="945" t="s">
        <v>772</v>
      </c>
      <c r="C177" s="1078" t="s">
        <v>773</v>
      </c>
      <c r="D177" s="938"/>
      <c r="E177" s="706">
        <v>10</v>
      </c>
      <c r="F177" s="709">
        <v>43206</v>
      </c>
      <c r="G177" s="709">
        <f t="shared" si="42"/>
        <v>43216</v>
      </c>
      <c r="H177" s="938" t="s">
        <v>774</v>
      </c>
      <c r="I177" s="706" t="s">
        <v>170</v>
      </c>
      <c r="J177" s="708"/>
      <c r="K177" s="938" t="s">
        <v>779</v>
      </c>
      <c r="L177" s="1236">
        <v>23174</v>
      </c>
      <c r="M177" s="938"/>
      <c r="N177" s="938"/>
      <c r="O177" s="949">
        <v>153.33333333333334</v>
      </c>
      <c r="P177" s="938">
        <v>1</v>
      </c>
      <c r="Q177" s="1101">
        <f t="shared" si="41"/>
        <v>153.33333333333334</v>
      </c>
      <c r="R177" s="942">
        <v>153.33333333333334</v>
      </c>
      <c r="S177" s="1039"/>
      <c r="T177" s="1101">
        <v>153.33333333333334</v>
      </c>
      <c r="U177" s="940"/>
      <c r="V177" s="938"/>
      <c r="W177" s="943"/>
      <c r="X177" s="1174"/>
      <c r="Y177" s="1159"/>
      <c r="Z177" s="1159"/>
      <c r="AA177" s="1159"/>
      <c r="AB177" s="1159"/>
      <c r="AC177" s="1161"/>
      <c r="AD177" s="1161"/>
      <c r="AE177" s="1161"/>
      <c r="AF177" s="1161"/>
      <c r="AG177" s="1060"/>
    </row>
    <row r="178" spans="1:33" s="944" customFormat="1" ht="57.75" customHeight="1">
      <c r="A178" s="706">
        <v>1221</v>
      </c>
      <c r="B178" s="945" t="s">
        <v>772</v>
      </c>
      <c r="C178" s="1078" t="s">
        <v>773</v>
      </c>
      <c r="D178" s="938"/>
      <c r="E178" s="706">
        <v>10</v>
      </c>
      <c r="F178" s="709">
        <v>43206</v>
      </c>
      <c r="G178" s="709">
        <f t="shared" si="42"/>
        <v>43216</v>
      </c>
      <c r="H178" s="938" t="s">
        <v>774</v>
      </c>
      <c r="I178" s="706" t="s">
        <v>170</v>
      </c>
      <c r="J178" s="708"/>
      <c r="K178" s="938" t="s">
        <v>780</v>
      </c>
      <c r="L178" s="1236">
        <v>23174</v>
      </c>
      <c r="M178" s="938"/>
      <c r="N178" s="938"/>
      <c r="O178" s="949">
        <v>238</v>
      </c>
      <c r="P178" s="938">
        <v>1</v>
      </c>
      <c r="Q178" s="1101">
        <f t="shared" si="41"/>
        <v>238</v>
      </c>
      <c r="R178" s="942">
        <v>238</v>
      </c>
      <c r="S178" s="1039"/>
      <c r="T178" s="1101">
        <v>238</v>
      </c>
      <c r="U178" s="940"/>
      <c r="V178" s="938"/>
      <c r="W178" s="943"/>
      <c r="X178" s="1174"/>
      <c r="Y178" s="1159"/>
      <c r="Z178" s="1159"/>
      <c r="AA178" s="1159"/>
      <c r="AB178" s="1159"/>
      <c r="AC178" s="1161"/>
      <c r="AD178" s="1161"/>
      <c r="AE178" s="1161"/>
      <c r="AF178" s="1161"/>
      <c r="AG178" s="1060"/>
    </row>
    <row r="179" spans="1:33" s="944" customFormat="1" ht="57.75" customHeight="1">
      <c r="A179" s="706">
        <v>1221</v>
      </c>
      <c r="B179" s="945" t="s">
        <v>772</v>
      </c>
      <c r="C179" s="1078" t="s">
        <v>773</v>
      </c>
      <c r="D179" s="938"/>
      <c r="E179" s="706">
        <v>10</v>
      </c>
      <c r="F179" s="709">
        <v>43206</v>
      </c>
      <c r="G179" s="709">
        <f t="shared" si="42"/>
        <v>43216</v>
      </c>
      <c r="H179" s="938" t="s">
        <v>774</v>
      </c>
      <c r="I179" s="706" t="s">
        <v>170</v>
      </c>
      <c r="J179" s="708"/>
      <c r="K179" s="938" t="s">
        <v>781</v>
      </c>
      <c r="L179" s="1236">
        <v>23174</v>
      </c>
      <c r="M179" s="938"/>
      <c r="N179" s="938"/>
      <c r="O179" s="949">
        <v>594.73333333333335</v>
      </c>
      <c r="P179" s="938">
        <v>1</v>
      </c>
      <c r="Q179" s="1101">
        <f t="shared" si="41"/>
        <v>594.73333333333335</v>
      </c>
      <c r="R179" s="942">
        <v>594.73333333333335</v>
      </c>
      <c r="S179" s="1039"/>
      <c r="T179" s="1101">
        <v>594.73333333333335</v>
      </c>
      <c r="U179" s="940"/>
      <c r="V179" s="938"/>
      <c r="W179" s="943"/>
      <c r="X179" s="1174"/>
      <c r="Y179" s="1159"/>
      <c r="Z179" s="1159"/>
      <c r="AA179" s="1159"/>
      <c r="AB179" s="1159"/>
      <c r="AC179" s="1161"/>
      <c r="AD179" s="1161"/>
      <c r="AE179" s="1161"/>
      <c r="AF179" s="1161"/>
      <c r="AG179" s="1060"/>
    </row>
    <row r="180" spans="1:33" s="944" customFormat="1" ht="57.75" customHeight="1">
      <c r="A180" s="706">
        <v>1221</v>
      </c>
      <c r="B180" s="945" t="s">
        <v>772</v>
      </c>
      <c r="C180" s="1078" t="s">
        <v>773</v>
      </c>
      <c r="D180" s="938"/>
      <c r="E180" s="706"/>
      <c r="F180" s="709"/>
      <c r="G180" s="709"/>
      <c r="H180" s="938" t="s">
        <v>774</v>
      </c>
      <c r="I180" s="706" t="s">
        <v>170</v>
      </c>
      <c r="J180" s="708"/>
      <c r="K180" s="1330" t="s">
        <v>782</v>
      </c>
      <c r="L180" s="1236">
        <v>23173</v>
      </c>
      <c r="M180" s="938"/>
      <c r="N180" s="938"/>
      <c r="O180" s="949">
        <v>74.332999999999998</v>
      </c>
      <c r="P180" s="938">
        <v>1</v>
      </c>
      <c r="Q180" s="1101">
        <f t="shared" si="41"/>
        <v>74.332999999999998</v>
      </c>
      <c r="R180" s="942">
        <v>74.332999999999998</v>
      </c>
      <c r="S180" s="1039"/>
      <c r="T180" s="1101">
        <v>74.332999999999998</v>
      </c>
      <c r="U180" s="940"/>
      <c r="V180" s="938"/>
      <c r="W180" s="943"/>
      <c r="X180" s="1174"/>
      <c r="Y180" s="1159"/>
      <c r="Z180" s="1159"/>
      <c r="AA180" s="1159"/>
      <c r="AB180" s="1159"/>
      <c r="AC180" s="1161"/>
      <c r="AD180" s="1161"/>
      <c r="AE180" s="1161"/>
      <c r="AF180" s="1161"/>
      <c r="AG180" s="1060"/>
    </row>
    <row r="181" spans="1:33" s="944" customFormat="1" ht="57.75" customHeight="1">
      <c r="A181" s="706">
        <v>1221</v>
      </c>
      <c r="B181" s="945" t="s">
        <v>772</v>
      </c>
      <c r="C181" s="1078" t="s">
        <v>773</v>
      </c>
      <c r="D181" s="938"/>
      <c r="E181" s="706"/>
      <c r="F181" s="718"/>
      <c r="G181" s="718"/>
      <c r="H181" s="938" t="s">
        <v>774</v>
      </c>
      <c r="I181" s="706" t="s">
        <v>170</v>
      </c>
      <c r="J181" s="708"/>
      <c r="K181" s="938" t="s">
        <v>415</v>
      </c>
      <c r="L181" s="1236">
        <v>23173</v>
      </c>
      <c r="M181" s="938"/>
      <c r="N181" s="938"/>
      <c r="O181" s="949">
        <v>1666.6666666666667</v>
      </c>
      <c r="P181" s="938">
        <v>1</v>
      </c>
      <c r="Q181" s="1101">
        <f t="shared" si="41"/>
        <v>1666.6666666666667</v>
      </c>
      <c r="R181" s="942">
        <v>1666.6666666666667</v>
      </c>
      <c r="S181" s="1039"/>
      <c r="T181" s="1101">
        <v>1666.6666666666667</v>
      </c>
      <c r="U181" s="940"/>
      <c r="V181" s="938"/>
      <c r="W181" s="943"/>
      <c r="X181" s="1174"/>
      <c r="Y181" s="1159"/>
      <c r="Z181" s="1159"/>
      <c r="AA181" s="1159"/>
      <c r="AB181" s="1159"/>
      <c r="AC181" s="1161"/>
      <c r="AD181" s="1161"/>
      <c r="AE181" s="1161"/>
      <c r="AF181" s="1161"/>
      <c r="AG181" s="1060"/>
    </row>
    <row r="182" spans="1:33" s="1041" customFormat="1" ht="57.75" customHeight="1">
      <c r="A182" s="1037">
        <v>1222</v>
      </c>
      <c r="B182" s="946" t="s">
        <v>783</v>
      </c>
      <c r="C182" s="1079" t="s">
        <v>784</v>
      </c>
      <c r="D182" s="1036"/>
      <c r="E182" s="1037">
        <v>10</v>
      </c>
      <c r="F182" s="1038">
        <v>43227</v>
      </c>
      <c r="G182" s="1038">
        <f>F182+E182</f>
        <v>43237</v>
      </c>
      <c r="H182" s="1036" t="s">
        <v>785</v>
      </c>
      <c r="I182" s="1037" t="s">
        <v>170</v>
      </c>
      <c r="J182" s="721"/>
      <c r="K182" s="1036"/>
      <c r="L182" s="1235"/>
      <c r="M182" s="1036"/>
      <c r="N182" s="1036"/>
      <c r="O182" s="1042"/>
      <c r="P182" s="1036"/>
      <c r="Q182" s="1100">
        <f>SUM(Q183:Q191)</f>
        <v>15757.999666666667</v>
      </c>
      <c r="R182" s="1040">
        <v>4956</v>
      </c>
      <c r="S182" s="1053">
        <f t="shared" ref="S182:AF182" si="43">SUM(S183:S191)</f>
        <v>0</v>
      </c>
      <c r="T182" s="1053">
        <f t="shared" si="43"/>
        <v>0</v>
      </c>
      <c r="U182" s="1053">
        <f t="shared" si="43"/>
        <v>15757.999666666667</v>
      </c>
      <c r="V182" s="1053">
        <f t="shared" si="43"/>
        <v>0</v>
      </c>
      <c r="W182" s="1053">
        <f t="shared" si="43"/>
        <v>0</v>
      </c>
      <c r="X182" s="1172">
        <f t="shared" si="43"/>
        <v>0</v>
      </c>
      <c r="Y182" s="1190">
        <f t="shared" si="43"/>
        <v>0</v>
      </c>
      <c r="Z182" s="1190">
        <f t="shared" si="43"/>
        <v>0</v>
      </c>
      <c r="AA182" s="1190">
        <f t="shared" si="43"/>
        <v>0</v>
      </c>
      <c r="AB182" s="1190">
        <f t="shared" si="43"/>
        <v>0</v>
      </c>
      <c r="AC182" s="1190">
        <f t="shared" si="43"/>
        <v>0</v>
      </c>
      <c r="AD182" s="1190">
        <f t="shared" si="43"/>
        <v>0</v>
      </c>
      <c r="AE182" s="1190">
        <f t="shared" si="43"/>
        <v>0</v>
      </c>
      <c r="AF182" s="1190">
        <f t="shared" si="43"/>
        <v>0</v>
      </c>
      <c r="AG182" s="1066">
        <f>SUM(S182:AF182)</f>
        <v>15757.999666666667</v>
      </c>
    </row>
    <row r="183" spans="1:33" s="1044" customFormat="1" ht="57.75" customHeight="1">
      <c r="A183" s="706">
        <v>1222</v>
      </c>
      <c r="B183" s="947" t="s">
        <v>783</v>
      </c>
      <c r="C183" s="1080" t="s">
        <v>784</v>
      </c>
      <c r="D183" s="938"/>
      <c r="E183" s="706">
        <v>10</v>
      </c>
      <c r="F183" s="709">
        <v>43227</v>
      </c>
      <c r="G183" s="709">
        <f>F183+E183</f>
        <v>43237</v>
      </c>
      <c r="H183" s="938" t="s">
        <v>785</v>
      </c>
      <c r="I183" s="706" t="s">
        <v>170</v>
      </c>
      <c r="J183" s="708"/>
      <c r="K183" s="938" t="s">
        <v>775</v>
      </c>
      <c r="L183" s="1236">
        <v>23174</v>
      </c>
      <c r="M183" s="938"/>
      <c r="N183" s="938"/>
      <c r="O183" s="949">
        <v>4956</v>
      </c>
      <c r="P183" s="938">
        <v>1</v>
      </c>
      <c r="Q183" s="1101">
        <f t="shared" ref="Q183:Q191" si="44">O183*P183</f>
        <v>4956</v>
      </c>
      <c r="R183" s="1043">
        <v>4956</v>
      </c>
      <c r="S183" s="941"/>
      <c r="T183" s="941"/>
      <c r="U183" s="949">
        <v>4956</v>
      </c>
      <c r="V183" s="938"/>
      <c r="W183" s="938"/>
      <c r="X183" s="1174"/>
      <c r="Y183" s="1159"/>
      <c r="Z183" s="1159"/>
      <c r="AA183" s="1159"/>
      <c r="AB183" s="1159"/>
      <c r="AC183" s="1160"/>
      <c r="AD183" s="1160"/>
      <c r="AE183" s="1160"/>
      <c r="AF183" s="1160"/>
      <c r="AG183" s="1060"/>
    </row>
    <row r="184" spans="1:33" s="944" customFormat="1" ht="57.75" customHeight="1">
      <c r="A184" s="706">
        <v>1222</v>
      </c>
      <c r="B184" s="947" t="s">
        <v>783</v>
      </c>
      <c r="C184" s="1080" t="s">
        <v>784</v>
      </c>
      <c r="D184" s="938"/>
      <c r="E184" s="706">
        <v>10</v>
      </c>
      <c r="F184" s="709">
        <v>43227</v>
      </c>
      <c r="G184" s="709">
        <f t="shared" ref="G184:G189" si="45">F184+E184</f>
        <v>43237</v>
      </c>
      <c r="H184" s="938" t="s">
        <v>785</v>
      </c>
      <c r="I184" s="706" t="s">
        <v>170</v>
      </c>
      <c r="J184" s="708"/>
      <c r="K184" s="938" t="s">
        <v>777</v>
      </c>
      <c r="L184" s="1236">
        <v>23174</v>
      </c>
      <c r="M184" s="938"/>
      <c r="N184" s="938"/>
      <c r="O184" s="949">
        <v>290</v>
      </c>
      <c r="P184" s="938">
        <v>1</v>
      </c>
      <c r="Q184" s="1101">
        <f t="shared" si="44"/>
        <v>290</v>
      </c>
      <c r="R184" s="942">
        <v>290</v>
      </c>
      <c r="S184" s="1039"/>
      <c r="T184" s="941"/>
      <c r="U184" s="949">
        <v>290</v>
      </c>
      <c r="V184" s="938"/>
      <c r="W184" s="938"/>
      <c r="X184" s="1174"/>
      <c r="Y184" s="1159"/>
      <c r="Z184" s="1159"/>
      <c r="AA184" s="1159"/>
      <c r="AB184" s="1159"/>
      <c r="AC184" s="1161"/>
      <c r="AD184" s="1161"/>
      <c r="AE184" s="1161"/>
      <c r="AF184" s="1161"/>
      <c r="AG184" s="1060"/>
    </row>
    <row r="185" spans="1:33" s="944" customFormat="1" ht="57.75" customHeight="1">
      <c r="A185" s="706">
        <v>1222</v>
      </c>
      <c r="B185" s="947" t="s">
        <v>783</v>
      </c>
      <c r="C185" s="1080" t="s">
        <v>784</v>
      </c>
      <c r="D185" s="938"/>
      <c r="E185" s="706">
        <v>10</v>
      </c>
      <c r="F185" s="709">
        <v>43227</v>
      </c>
      <c r="G185" s="709">
        <f t="shared" si="45"/>
        <v>43237</v>
      </c>
      <c r="H185" s="938" t="s">
        <v>785</v>
      </c>
      <c r="I185" s="706" t="s">
        <v>170</v>
      </c>
      <c r="J185" s="708"/>
      <c r="K185" s="938" t="s">
        <v>776</v>
      </c>
      <c r="L185" s="1236">
        <v>23174</v>
      </c>
      <c r="M185" s="938"/>
      <c r="N185" s="938"/>
      <c r="O185" s="949">
        <v>1440</v>
      </c>
      <c r="P185" s="938">
        <v>1</v>
      </c>
      <c r="Q185" s="1101">
        <f t="shared" si="44"/>
        <v>1440</v>
      </c>
      <c r="R185" s="942">
        <v>1440</v>
      </c>
      <c r="S185" s="1039"/>
      <c r="T185" s="941"/>
      <c r="U185" s="949">
        <v>1440</v>
      </c>
      <c r="V185" s="938"/>
      <c r="W185" s="938"/>
      <c r="X185" s="1174"/>
      <c r="Y185" s="1159"/>
      <c r="Z185" s="1159"/>
      <c r="AA185" s="1159"/>
      <c r="AB185" s="1159"/>
      <c r="AC185" s="1161"/>
      <c r="AD185" s="1161"/>
      <c r="AE185" s="1161"/>
      <c r="AF185" s="1161"/>
      <c r="AG185" s="1060"/>
    </row>
    <row r="186" spans="1:33" s="944" customFormat="1" ht="57.75" customHeight="1">
      <c r="A186" s="706">
        <v>1222</v>
      </c>
      <c r="B186" s="947" t="s">
        <v>783</v>
      </c>
      <c r="C186" s="1080" t="s">
        <v>784</v>
      </c>
      <c r="D186" s="938"/>
      <c r="E186" s="706">
        <v>10</v>
      </c>
      <c r="F186" s="709">
        <v>43227</v>
      </c>
      <c r="G186" s="709">
        <f t="shared" si="45"/>
        <v>43237</v>
      </c>
      <c r="H186" s="938" t="s">
        <v>785</v>
      </c>
      <c r="I186" s="706" t="s">
        <v>170</v>
      </c>
      <c r="J186" s="708"/>
      <c r="K186" s="938" t="s">
        <v>778</v>
      </c>
      <c r="L186" s="1236">
        <v>23174</v>
      </c>
      <c r="M186" s="938"/>
      <c r="N186" s="938"/>
      <c r="O186" s="949">
        <v>5040</v>
      </c>
      <c r="P186" s="938">
        <v>1</v>
      </c>
      <c r="Q186" s="1101">
        <f t="shared" si="44"/>
        <v>5040</v>
      </c>
      <c r="R186" s="942">
        <v>5040</v>
      </c>
      <c r="S186" s="1039"/>
      <c r="T186" s="941"/>
      <c r="U186" s="949">
        <v>5040</v>
      </c>
      <c r="V186" s="938"/>
      <c r="W186" s="938"/>
      <c r="X186" s="1174"/>
      <c r="Y186" s="1159"/>
      <c r="Z186" s="1159"/>
      <c r="AA186" s="1159"/>
      <c r="AB186" s="1159"/>
      <c r="AC186" s="1161"/>
      <c r="AD186" s="1161"/>
      <c r="AE186" s="1161"/>
      <c r="AF186" s="1161"/>
      <c r="AG186" s="1060"/>
    </row>
    <row r="187" spans="1:33" s="944" customFormat="1" ht="57.75" customHeight="1">
      <c r="A187" s="706">
        <v>1222</v>
      </c>
      <c r="B187" s="947" t="s">
        <v>783</v>
      </c>
      <c r="C187" s="1080" t="s">
        <v>784</v>
      </c>
      <c r="D187" s="938"/>
      <c r="E187" s="706">
        <v>10</v>
      </c>
      <c r="F187" s="709">
        <v>43227</v>
      </c>
      <c r="G187" s="709">
        <f t="shared" si="45"/>
        <v>43237</v>
      </c>
      <c r="H187" s="938" t="s">
        <v>785</v>
      </c>
      <c r="I187" s="706" t="s">
        <v>170</v>
      </c>
      <c r="J187" s="708"/>
      <c r="K187" s="938" t="s">
        <v>779</v>
      </c>
      <c r="L187" s="1236">
        <v>23174</v>
      </c>
      <c r="M187" s="938"/>
      <c r="N187" s="938"/>
      <c r="O187" s="949">
        <v>173.33333333333334</v>
      </c>
      <c r="P187" s="938">
        <v>1</v>
      </c>
      <c r="Q187" s="1101">
        <f t="shared" si="44"/>
        <v>173.33333333333334</v>
      </c>
      <c r="R187" s="942">
        <v>173.33333333333334</v>
      </c>
      <c r="S187" s="1039"/>
      <c r="T187" s="941"/>
      <c r="U187" s="949">
        <v>173.33333333333334</v>
      </c>
      <c r="V187" s="938"/>
      <c r="W187" s="938"/>
      <c r="X187" s="1174"/>
      <c r="Y187" s="1159"/>
      <c r="Z187" s="1159"/>
      <c r="AA187" s="1159"/>
      <c r="AB187" s="1159"/>
      <c r="AC187" s="1161"/>
      <c r="AD187" s="1161"/>
      <c r="AE187" s="1161"/>
      <c r="AF187" s="1161"/>
      <c r="AG187" s="1060"/>
    </row>
    <row r="188" spans="1:33" s="944" customFormat="1" ht="57.75" customHeight="1">
      <c r="A188" s="706">
        <v>1222</v>
      </c>
      <c r="B188" s="947" t="s">
        <v>783</v>
      </c>
      <c r="C188" s="1080" t="s">
        <v>784</v>
      </c>
      <c r="D188" s="938"/>
      <c r="E188" s="706">
        <v>10</v>
      </c>
      <c r="F188" s="709">
        <v>43227</v>
      </c>
      <c r="G188" s="709">
        <f t="shared" si="45"/>
        <v>43237</v>
      </c>
      <c r="H188" s="938" t="s">
        <v>785</v>
      </c>
      <c r="I188" s="706" t="s">
        <v>170</v>
      </c>
      <c r="J188" s="708"/>
      <c r="K188" s="938" t="s">
        <v>780</v>
      </c>
      <c r="L188" s="1236">
        <v>23174</v>
      </c>
      <c r="M188" s="938"/>
      <c r="N188" s="938"/>
      <c r="O188" s="949">
        <v>816</v>
      </c>
      <c r="P188" s="938">
        <v>1</v>
      </c>
      <c r="Q188" s="1101">
        <f t="shared" si="44"/>
        <v>816</v>
      </c>
      <c r="R188" s="942">
        <v>816</v>
      </c>
      <c r="S188" s="1039"/>
      <c r="T188" s="941"/>
      <c r="U188" s="949">
        <v>816</v>
      </c>
      <c r="V188" s="938"/>
      <c r="W188" s="938"/>
      <c r="X188" s="1174"/>
      <c r="Y188" s="1159"/>
      <c r="Z188" s="1159"/>
      <c r="AA188" s="1159"/>
      <c r="AB188" s="1159"/>
      <c r="AC188" s="1161"/>
      <c r="AD188" s="1161"/>
      <c r="AE188" s="1161"/>
      <c r="AF188" s="1161"/>
      <c r="AG188" s="1060"/>
    </row>
    <row r="189" spans="1:33" s="944" customFormat="1" ht="57.75" customHeight="1">
      <c r="A189" s="706">
        <v>1222</v>
      </c>
      <c r="B189" s="947" t="s">
        <v>783</v>
      </c>
      <c r="C189" s="1080" t="s">
        <v>784</v>
      </c>
      <c r="D189" s="938"/>
      <c r="E189" s="706">
        <v>10</v>
      </c>
      <c r="F189" s="709">
        <v>43227</v>
      </c>
      <c r="G189" s="709">
        <f t="shared" si="45"/>
        <v>43237</v>
      </c>
      <c r="H189" s="938" t="s">
        <v>785</v>
      </c>
      <c r="I189" s="706" t="s">
        <v>170</v>
      </c>
      <c r="J189" s="708"/>
      <c r="K189" s="938" t="s">
        <v>781</v>
      </c>
      <c r="L189" s="1236">
        <v>23174</v>
      </c>
      <c r="M189" s="938"/>
      <c r="N189" s="938"/>
      <c r="O189" s="949">
        <v>1301.6666666666667</v>
      </c>
      <c r="P189" s="938">
        <v>1</v>
      </c>
      <c r="Q189" s="1101">
        <f t="shared" si="44"/>
        <v>1301.6666666666667</v>
      </c>
      <c r="R189" s="942">
        <v>1301.6666666666667</v>
      </c>
      <c r="S189" s="1039"/>
      <c r="T189" s="941"/>
      <c r="U189" s="949">
        <v>1301.6666666666667</v>
      </c>
      <c r="V189" s="938"/>
      <c r="W189" s="938"/>
      <c r="X189" s="1174"/>
      <c r="Y189" s="1159"/>
      <c r="Z189" s="1159"/>
      <c r="AA189" s="1159"/>
      <c r="AB189" s="1159"/>
      <c r="AC189" s="1161"/>
      <c r="AD189" s="1161"/>
      <c r="AE189" s="1161"/>
      <c r="AF189" s="1161"/>
      <c r="AG189" s="1060"/>
    </row>
    <row r="190" spans="1:33" s="944" customFormat="1" ht="57.75" customHeight="1">
      <c r="A190" s="706">
        <v>1222</v>
      </c>
      <c r="B190" s="947" t="s">
        <v>783</v>
      </c>
      <c r="C190" s="1080" t="s">
        <v>784</v>
      </c>
      <c r="D190" s="938"/>
      <c r="E190" s="706"/>
      <c r="F190" s="709"/>
      <c r="G190" s="709"/>
      <c r="H190" s="938" t="s">
        <v>785</v>
      </c>
      <c r="I190" s="706" t="s">
        <v>170</v>
      </c>
      <c r="J190" s="708"/>
      <c r="K190" s="1330" t="s">
        <v>782</v>
      </c>
      <c r="L190" s="1236">
        <v>23173</v>
      </c>
      <c r="M190" s="938"/>
      <c r="N190" s="938"/>
      <c r="O190" s="949">
        <v>74.332999999999998</v>
      </c>
      <c r="P190" s="938">
        <v>1</v>
      </c>
      <c r="Q190" s="1101">
        <f t="shared" si="44"/>
        <v>74.332999999999998</v>
      </c>
      <c r="R190" s="942">
        <v>74.332999999999998</v>
      </c>
      <c r="S190" s="1039"/>
      <c r="T190" s="941"/>
      <c r="U190" s="949">
        <v>74.332999999999998</v>
      </c>
      <c r="V190" s="938"/>
      <c r="W190" s="938"/>
      <c r="X190" s="1174"/>
      <c r="Y190" s="1159"/>
      <c r="Z190" s="1159"/>
      <c r="AA190" s="1159"/>
      <c r="AB190" s="1159"/>
      <c r="AC190" s="1161"/>
      <c r="AD190" s="1161"/>
      <c r="AE190" s="1161"/>
      <c r="AF190" s="1161"/>
      <c r="AG190" s="1060"/>
    </row>
    <row r="191" spans="1:33" s="944" customFormat="1" ht="57.75" customHeight="1">
      <c r="A191" s="706">
        <v>1222</v>
      </c>
      <c r="B191" s="947" t="s">
        <v>783</v>
      </c>
      <c r="C191" s="1080" t="s">
        <v>784</v>
      </c>
      <c r="D191" s="938"/>
      <c r="E191" s="706"/>
      <c r="F191" s="709"/>
      <c r="G191" s="706"/>
      <c r="H191" s="938" t="s">
        <v>785</v>
      </c>
      <c r="I191" s="706" t="s">
        <v>170</v>
      </c>
      <c r="J191" s="708"/>
      <c r="K191" s="938" t="s">
        <v>415</v>
      </c>
      <c r="L191" s="1236">
        <v>23173</v>
      </c>
      <c r="M191" s="938"/>
      <c r="N191" s="938"/>
      <c r="O191" s="949">
        <v>1666.6666666666667</v>
      </c>
      <c r="P191" s="938">
        <v>1</v>
      </c>
      <c r="Q191" s="1101">
        <f t="shared" si="44"/>
        <v>1666.6666666666667</v>
      </c>
      <c r="R191" s="942">
        <v>1666.6666666666667</v>
      </c>
      <c r="S191" s="1039"/>
      <c r="T191" s="941"/>
      <c r="U191" s="949">
        <v>1666.6666666666667</v>
      </c>
      <c r="V191" s="938"/>
      <c r="W191" s="938"/>
      <c r="X191" s="1174"/>
      <c r="Y191" s="1159"/>
      <c r="Z191" s="1159"/>
      <c r="AA191" s="1159"/>
      <c r="AB191" s="1159"/>
      <c r="AC191" s="1161"/>
      <c r="AD191" s="1161"/>
      <c r="AE191" s="1161"/>
      <c r="AF191" s="1161"/>
      <c r="AG191" s="1060"/>
    </row>
    <row r="192" spans="1:33" s="1041" customFormat="1" ht="57.75" customHeight="1">
      <c r="A192" s="1037">
        <v>1223</v>
      </c>
      <c r="B192" s="946" t="s">
        <v>786</v>
      </c>
      <c r="C192" s="1079" t="s">
        <v>787</v>
      </c>
      <c r="D192" s="1036"/>
      <c r="E192" s="1037">
        <v>10</v>
      </c>
      <c r="F192" s="1038">
        <v>43262</v>
      </c>
      <c r="G192" s="1038">
        <f>F192+E192</f>
        <v>43272</v>
      </c>
      <c r="H192" s="1036" t="s">
        <v>785</v>
      </c>
      <c r="I192" s="1037" t="s">
        <v>170</v>
      </c>
      <c r="J192" s="721"/>
      <c r="K192" s="1036"/>
      <c r="L192" s="1235"/>
      <c r="M192" s="1036"/>
      <c r="N192" s="1036"/>
      <c r="O192" s="1042"/>
      <c r="P192" s="1036"/>
      <c r="Q192" s="1100">
        <f>SUM(Q193:Q201)</f>
        <v>15757.999666666667</v>
      </c>
      <c r="R192" s="1040">
        <v>4956</v>
      </c>
      <c r="S192" s="1053">
        <f t="shared" ref="S192:AF192" si="46">SUM(S193:S201)</f>
        <v>0</v>
      </c>
      <c r="T192" s="1053">
        <f t="shared" si="46"/>
        <v>0</v>
      </c>
      <c r="U192" s="1053">
        <f t="shared" si="46"/>
        <v>15757.999666666667</v>
      </c>
      <c r="V192" s="1053">
        <f t="shared" si="46"/>
        <v>0</v>
      </c>
      <c r="W192" s="1053">
        <f t="shared" si="46"/>
        <v>0</v>
      </c>
      <c r="X192" s="1172">
        <f t="shared" si="46"/>
        <v>0</v>
      </c>
      <c r="Y192" s="1190">
        <f t="shared" si="46"/>
        <v>0</v>
      </c>
      <c r="Z192" s="1190">
        <f t="shared" si="46"/>
        <v>0</v>
      </c>
      <c r="AA192" s="1190">
        <f t="shared" si="46"/>
        <v>0</v>
      </c>
      <c r="AB192" s="1190">
        <f t="shared" si="46"/>
        <v>0</v>
      </c>
      <c r="AC192" s="1190">
        <f t="shared" si="46"/>
        <v>0</v>
      </c>
      <c r="AD192" s="1190">
        <f t="shared" si="46"/>
        <v>0</v>
      </c>
      <c r="AE192" s="1190">
        <f t="shared" si="46"/>
        <v>0</v>
      </c>
      <c r="AF192" s="1190">
        <f t="shared" si="46"/>
        <v>0</v>
      </c>
      <c r="AG192" s="1066">
        <f>SUM(S192:AF192)</f>
        <v>15757.999666666667</v>
      </c>
    </row>
    <row r="193" spans="1:33" s="1044" customFormat="1" ht="57.75" customHeight="1">
      <c r="A193" s="706">
        <v>1223</v>
      </c>
      <c r="B193" s="947" t="s">
        <v>786</v>
      </c>
      <c r="C193" s="1080" t="s">
        <v>787</v>
      </c>
      <c r="D193" s="938"/>
      <c r="E193" s="706">
        <v>10</v>
      </c>
      <c r="F193" s="709">
        <v>43262</v>
      </c>
      <c r="G193" s="709">
        <f>F193+E193</f>
        <v>43272</v>
      </c>
      <c r="H193" s="938" t="s">
        <v>785</v>
      </c>
      <c r="I193" s="706" t="s">
        <v>170</v>
      </c>
      <c r="J193" s="708"/>
      <c r="K193" s="938" t="s">
        <v>775</v>
      </c>
      <c r="L193" s="1236">
        <v>23174</v>
      </c>
      <c r="M193" s="938"/>
      <c r="N193" s="938"/>
      <c r="O193" s="949">
        <v>4956</v>
      </c>
      <c r="P193" s="938">
        <v>1</v>
      </c>
      <c r="Q193" s="1101">
        <f t="shared" ref="Q193:Q201" si="47">O193*P193</f>
        <v>4956</v>
      </c>
      <c r="R193" s="1043">
        <v>4956</v>
      </c>
      <c r="S193" s="941"/>
      <c r="T193" s="941"/>
      <c r="U193" s="1103">
        <v>4956</v>
      </c>
      <c r="V193" s="938"/>
      <c r="W193" s="938"/>
      <c r="X193" s="1174"/>
      <c r="Y193" s="1159"/>
      <c r="Z193" s="1159"/>
      <c r="AA193" s="1159"/>
      <c r="AB193" s="1159"/>
      <c r="AC193" s="1160"/>
      <c r="AD193" s="1160"/>
      <c r="AE193" s="1160"/>
      <c r="AF193" s="1160"/>
      <c r="AG193" s="1060"/>
    </row>
    <row r="194" spans="1:33" s="944" customFormat="1" ht="57.75" customHeight="1">
      <c r="A194" s="706">
        <v>1223</v>
      </c>
      <c r="B194" s="947" t="s">
        <v>786</v>
      </c>
      <c r="C194" s="1080" t="s">
        <v>787</v>
      </c>
      <c r="D194" s="938"/>
      <c r="E194" s="706">
        <v>10</v>
      </c>
      <c r="F194" s="709">
        <v>43262</v>
      </c>
      <c r="G194" s="709">
        <f t="shared" ref="G194:G199" si="48">F194+E194</f>
        <v>43272</v>
      </c>
      <c r="H194" s="938" t="s">
        <v>785</v>
      </c>
      <c r="I194" s="706" t="s">
        <v>170</v>
      </c>
      <c r="J194" s="708"/>
      <c r="K194" s="938" t="s">
        <v>777</v>
      </c>
      <c r="L194" s="1236">
        <v>23174</v>
      </c>
      <c r="M194" s="938"/>
      <c r="N194" s="938"/>
      <c r="O194" s="949">
        <v>290</v>
      </c>
      <c r="P194" s="938">
        <v>1</v>
      </c>
      <c r="Q194" s="1101">
        <f t="shared" si="47"/>
        <v>290</v>
      </c>
      <c r="R194" s="942">
        <v>290</v>
      </c>
      <c r="S194" s="1039"/>
      <c r="T194" s="941"/>
      <c r="U194" s="1103">
        <v>290</v>
      </c>
      <c r="V194" s="938"/>
      <c r="W194" s="938"/>
      <c r="X194" s="1174"/>
      <c r="Y194" s="1159"/>
      <c r="Z194" s="1159"/>
      <c r="AA194" s="1159"/>
      <c r="AB194" s="1159"/>
      <c r="AC194" s="1161"/>
      <c r="AD194" s="1161"/>
      <c r="AE194" s="1161"/>
      <c r="AF194" s="1161"/>
      <c r="AG194" s="1060"/>
    </row>
    <row r="195" spans="1:33" s="944" customFormat="1" ht="57.75" customHeight="1">
      <c r="A195" s="706">
        <v>1223</v>
      </c>
      <c r="B195" s="947" t="s">
        <v>786</v>
      </c>
      <c r="C195" s="1080" t="s">
        <v>787</v>
      </c>
      <c r="D195" s="938"/>
      <c r="E195" s="706">
        <v>10</v>
      </c>
      <c r="F195" s="709">
        <v>43262</v>
      </c>
      <c r="G195" s="709">
        <f t="shared" si="48"/>
        <v>43272</v>
      </c>
      <c r="H195" s="938" t="s">
        <v>785</v>
      </c>
      <c r="I195" s="706" t="s">
        <v>170</v>
      </c>
      <c r="J195" s="708"/>
      <c r="K195" s="938" t="s">
        <v>776</v>
      </c>
      <c r="L195" s="1236">
        <v>23174</v>
      </c>
      <c r="M195" s="938"/>
      <c r="N195" s="938"/>
      <c r="O195" s="949">
        <v>1440</v>
      </c>
      <c r="P195" s="938">
        <v>1</v>
      </c>
      <c r="Q195" s="1101">
        <f t="shared" si="47"/>
        <v>1440</v>
      </c>
      <c r="R195" s="942">
        <v>1440</v>
      </c>
      <c r="S195" s="1039"/>
      <c r="T195" s="941"/>
      <c r="U195" s="1103">
        <v>1440</v>
      </c>
      <c r="V195" s="938"/>
      <c r="W195" s="938"/>
      <c r="X195" s="1174"/>
      <c r="Y195" s="1159"/>
      <c r="Z195" s="1159"/>
      <c r="AA195" s="1159"/>
      <c r="AB195" s="1159"/>
      <c r="AC195" s="1161"/>
      <c r="AD195" s="1161"/>
      <c r="AE195" s="1161"/>
      <c r="AF195" s="1161"/>
      <c r="AG195" s="1060"/>
    </row>
    <row r="196" spans="1:33" s="944" customFormat="1" ht="57.75" customHeight="1">
      <c r="A196" s="706">
        <v>1223</v>
      </c>
      <c r="B196" s="947" t="s">
        <v>786</v>
      </c>
      <c r="C196" s="1080" t="s">
        <v>787</v>
      </c>
      <c r="D196" s="938"/>
      <c r="E196" s="706">
        <v>10</v>
      </c>
      <c r="F196" s="709">
        <v>43262</v>
      </c>
      <c r="G196" s="709">
        <f t="shared" si="48"/>
        <v>43272</v>
      </c>
      <c r="H196" s="938" t="s">
        <v>785</v>
      </c>
      <c r="I196" s="706" t="s">
        <v>170</v>
      </c>
      <c r="J196" s="708"/>
      <c r="K196" s="938" t="s">
        <v>778</v>
      </c>
      <c r="L196" s="1236">
        <v>23174</v>
      </c>
      <c r="M196" s="938"/>
      <c r="N196" s="938"/>
      <c r="O196" s="949">
        <v>5040</v>
      </c>
      <c r="P196" s="938">
        <v>1</v>
      </c>
      <c r="Q196" s="1101">
        <f t="shared" si="47"/>
        <v>5040</v>
      </c>
      <c r="R196" s="942">
        <v>5040</v>
      </c>
      <c r="S196" s="1039"/>
      <c r="T196" s="941"/>
      <c r="U196" s="1103">
        <v>5040</v>
      </c>
      <c r="V196" s="938"/>
      <c r="W196" s="938"/>
      <c r="X196" s="1174"/>
      <c r="Y196" s="1159"/>
      <c r="Z196" s="1159"/>
      <c r="AA196" s="1159"/>
      <c r="AB196" s="1159"/>
      <c r="AC196" s="1161"/>
      <c r="AD196" s="1161"/>
      <c r="AE196" s="1161"/>
      <c r="AF196" s="1161"/>
      <c r="AG196" s="1060"/>
    </row>
    <row r="197" spans="1:33" s="944" customFormat="1" ht="57.75" customHeight="1">
      <c r="A197" s="706">
        <v>1223</v>
      </c>
      <c r="B197" s="947" t="s">
        <v>786</v>
      </c>
      <c r="C197" s="1080" t="s">
        <v>787</v>
      </c>
      <c r="D197" s="938"/>
      <c r="E197" s="706">
        <v>10</v>
      </c>
      <c r="F197" s="709">
        <v>43262</v>
      </c>
      <c r="G197" s="709">
        <f t="shared" si="48"/>
        <v>43272</v>
      </c>
      <c r="H197" s="938" t="s">
        <v>785</v>
      </c>
      <c r="I197" s="706" t="s">
        <v>170</v>
      </c>
      <c r="J197" s="708"/>
      <c r="K197" s="938" t="s">
        <v>779</v>
      </c>
      <c r="L197" s="1236">
        <v>23174</v>
      </c>
      <c r="M197" s="938"/>
      <c r="N197" s="938"/>
      <c r="O197" s="949">
        <v>173.33333333333334</v>
      </c>
      <c r="P197" s="938">
        <v>1</v>
      </c>
      <c r="Q197" s="1101">
        <f t="shared" si="47"/>
        <v>173.33333333333334</v>
      </c>
      <c r="R197" s="942">
        <v>173.33333333333334</v>
      </c>
      <c r="S197" s="1039"/>
      <c r="T197" s="941"/>
      <c r="U197" s="1103">
        <v>173.33333333333334</v>
      </c>
      <c r="V197" s="938"/>
      <c r="W197" s="938"/>
      <c r="X197" s="1174"/>
      <c r="Y197" s="1159"/>
      <c r="Z197" s="1159"/>
      <c r="AA197" s="1159"/>
      <c r="AB197" s="1159"/>
      <c r="AC197" s="1161"/>
      <c r="AD197" s="1161"/>
      <c r="AE197" s="1161"/>
      <c r="AF197" s="1161"/>
      <c r="AG197" s="1060"/>
    </row>
    <row r="198" spans="1:33" s="944" customFormat="1" ht="57.75" customHeight="1">
      <c r="A198" s="706">
        <v>1223</v>
      </c>
      <c r="B198" s="947" t="s">
        <v>786</v>
      </c>
      <c r="C198" s="1080" t="s">
        <v>787</v>
      </c>
      <c r="D198" s="938"/>
      <c r="E198" s="706">
        <v>10</v>
      </c>
      <c r="F198" s="709">
        <v>43262</v>
      </c>
      <c r="G198" s="709">
        <f t="shared" si="48"/>
        <v>43272</v>
      </c>
      <c r="H198" s="938" t="s">
        <v>785</v>
      </c>
      <c r="I198" s="706" t="s">
        <v>170</v>
      </c>
      <c r="J198" s="708"/>
      <c r="K198" s="938" t="s">
        <v>780</v>
      </c>
      <c r="L198" s="1236">
        <v>23174</v>
      </c>
      <c r="M198" s="938"/>
      <c r="N198" s="938"/>
      <c r="O198" s="949">
        <v>816</v>
      </c>
      <c r="P198" s="938">
        <v>1</v>
      </c>
      <c r="Q198" s="1101">
        <f t="shared" si="47"/>
        <v>816</v>
      </c>
      <c r="R198" s="942">
        <v>816</v>
      </c>
      <c r="S198" s="1039"/>
      <c r="T198" s="941"/>
      <c r="U198" s="1103">
        <v>816</v>
      </c>
      <c r="V198" s="938"/>
      <c r="W198" s="938"/>
      <c r="X198" s="1174"/>
      <c r="Y198" s="1159"/>
      <c r="Z198" s="1159"/>
      <c r="AA198" s="1159"/>
      <c r="AB198" s="1159"/>
      <c r="AC198" s="1161"/>
      <c r="AD198" s="1161"/>
      <c r="AE198" s="1161"/>
      <c r="AF198" s="1161"/>
      <c r="AG198" s="1060"/>
    </row>
    <row r="199" spans="1:33" s="944" customFormat="1" ht="57.75" customHeight="1">
      <c r="A199" s="706">
        <v>1223</v>
      </c>
      <c r="B199" s="947" t="s">
        <v>786</v>
      </c>
      <c r="C199" s="1080" t="s">
        <v>787</v>
      </c>
      <c r="D199" s="938"/>
      <c r="E199" s="706">
        <v>10</v>
      </c>
      <c r="F199" s="709">
        <v>43262</v>
      </c>
      <c r="G199" s="709">
        <f t="shared" si="48"/>
        <v>43272</v>
      </c>
      <c r="H199" s="938" t="s">
        <v>785</v>
      </c>
      <c r="I199" s="706" t="s">
        <v>170</v>
      </c>
      <c r="J199" s="708"/>
      <c r="K199" s="938" t="s">
        <v>781</v>
      </c>
      <c r="L199" s="1236">
        <v>23174</v>
      </c>
      <c r="M199" s="938"/>
      <c r="N199" s="938"/>
      <c r="O199" s="949">
        <v>1301.6666666666667</v>
      </c>
      <c r="P199" s="938">
        <v>1</v>
      </c>
      <c r="Q199" s="1101">
        <f t="shared" si="47"/>
        <v>1301.6666666666667</v>
      </c>
      <c r="R199" s="942">
        <v>1301.6666666666667</v>
      </c>
      <c r="S199" s="1039"/>
      <c r="T199" s="941"/>
      <c r="U199" s="1103">
        <v>1301.6666666666667</v>
      </c>
      <c r="V199" s="938"/>
      <c r="W199" s="938"/>
      <c r="X199" s="1174"/>
      <c r="Y199" s="1159"/>
      <c r="Z199" s="1159"/>
      <c r="AA199" s="1159"/>
      <c r="AB199" s="1159"/>
      <c r="AC199" s="1161"/>
      <c r="AD199" s="1161"/>
      <c r="AE199" s="1161"/>
      <c r="AF199" s="1161"/>
      <c r="AG199" s="1060"/>
    </row>
    <row r="200" spans="1:33" s="944" customFormat="1" ht="57.75" customHeight="1">
      <c r="A200" s="706">
        <v>1223</v>
      </c>
      <c r="B200" s="947" t="s">
        <v>786</v>
      </c>
      <c r="C200" s="1080" t="s">
        <v>787</v>
      </c>
      <c r="D200" s="938"/>
      <c r="E200" s="706"/>
      <c r="F200" s="709"/>
      <c r="G200" s="709"/>
      <c r="H200" s="938" t="s">
        <v>785</v>
      </c>
      <c r="I200" s="706" t="s">
        <v>170</v>
      </c>
      <c r="J200" s="708"/>
      <c r="K200" s="1330" t="s">
        <v>782</v>
      </c>
      <c r="L200" s="1236">
        <v>23173</v>
      </c>
      <c r="M200" s="938"/>
      <c r="N200" s="938"/>
      <c r="O200" s="949">
        <v>74.332999999999998</v>
      </c>
      <c r="P200" s="938">
        <v>1</v>
      </c>
      <c r="Q200" s="1101">
        <f t="shared" si="47"/>
        <v>74.332999999999998</v>
      </c>
      <c r="R200" s="942">
        <v>74.332999999999998</v>
      </c>
      <c r="S200" s="1039"/>
      <c r="T200" s="941"/>
      <c r="U200" s="1103">
        <v>74.332999999999998</v>
      </c>
      <c r="V200" s="938"/>
      <c r="W200" s="938"/>
      <c r="X200" s="1174"/>
      <c r="Y200" s="1159"/>
      <c r="Z200" s="1159"/>
      <c r="AA200" s="1159"/>
      <c r="AB200" s="1159"/>
      <c r="AC200" s="1161"/>
      <c r="AD200" s="1161"/>
      <c r="AE200" s="1161"/>
      <c r="AF200" s="1161"/>
      <c r="AG200" s="1060"/>
    </row>
    <row r="201" spans="1:33" s="944" customFormat="1" ht="57.75" customHeight="1">
      <c r="A201" s="706">
        <v>1223</v>
      </c>
      <c r="B201" s="947" t="s">
        <v>786</v>
      </c>
      <c r="C201" s="1080" t="s">
        <v>787</v>
      </c>
      <c r="D201" s="938"/>
      <c r="E201" s="706"/>
      <c r="F201" s="709"/>
      <c r="G201" s="709"/>
      <c r="H201" s="938" t="s">
        <v>785</v>
      </c>
      <c r="I201" s="706" t="s">
        <v>170</v>
      </c>
      <c r="J201" s="708"/>
      <c r="K201" s="938" t="s">
        <v>415</v>
      </c>
      <c r="L201" s="1236">
        <v>23173</v>
      </c>
      <c r="M201" s="938"/>
      <c r="N201" s="938"/>
      <c r="O201" s="949">
        <v>1666.6666666666667</v>
      </c>
      <c r="P201" s="938">
        <v>1</v>
      </c>
      <c r="Q201" s="1101">
        <f t="shared" si="47"/>
        <v>1666.6666666666667</v>
      </c>
      <c r="R201" s="942">
        <v>1666.6666666666667</v>
      </c>
      <c r="S201" s="1039"/>
      <c r="T201" s="941"/>
      <c r="U201" s="1103">
        <v>1666.6666666666667</v>
      </c>
      <c r="V201" s="938"/>
      <c r="W201" s="938"/>
      <c r="X201" s="1174"/>
      <c r="Y201" s="1159"/>
      <c r="Z201" s="1159"/>
      <c r="AA201" s="1159"/>
      <c r="AB201" s="1159"/>
      <c r="AC201" s="1161"/>
      <c r="AD201" s="1161"/>
      <c r="AE201" s="1161"/>
      <c r="AF201" s="1161"/>
      <c r="AG201" s="1060"/>
    </row>
    <row r="202" spans="1:33" s="1041" customFormat="1" ht="57.75" customHeight="1">
      <c r="A202" s="1037">
        <v>1224</v>
      </c>
      <c r="B202" s="946" t="s">
        <v>788</v>
      </c>
      <c r="C202" s="1077" t="s">
        <v>789</v>
      </c>
      <c r="D202" s="1036"/>
      <c r="E202" s="1037">
        <v>1</v>
      </c>
      <c r="F202" s="1038">
        <v>43279</v>
      </c>
      <c r="G202" s="1038">
        <f>F202+E202-1</f>
        <v>43279</v>
      </c>
      <c r="H202" s="1036" t="s">
        <v>790</v>
      </c>
      <c r="I202" s="1037" t="s">
        <v>170</v>
      </c>
      <c r="J202" s="721"/>
      <c r="K202" s="1036"/>
      <c r="L202" s="1235"/>
      <c r="M202" s="1036"/>
      <c r="N202" s="1036"/>
      <c r="O202" s="1042"/>
      <c r="P202" s="1036"/>
      <c r="Q202" s="1100">
        <f>SUM(Q203:Q205)</f>
        <v>1216</v>
      </c>
      <c r="R202" s="1040">
        <v>666.66666666666663</v>
      </c>
      <c r="S202" s="1053">
        <f t="shared" ref="S202:AF202" si="49">SUM(S203:S205)</f>
        <v>0</v>
      </c>
      <c r="T202" s="1053">
        <f t="shared" si="49"/>
        <v>0</v>
      </c>
      <c r="U202" s="1053">
        <f t="shared" si="49"/>
        <v>1216</v>
      </c>
      <c r="V202" s="1053">
        <f t="shared" si="49"/>
        <v>0</v>
      </c>
      <c r="W202" s="1053">
        <f t="shared" si="49"/>
        <v>0</v>
      </c>
      <c r="X202" s="1172">
        <f t="shared" si="49"/>
        <v>0</v>
      </c>
      <c r="Y202" s="1190">
        <f t="shared" si="49"/>
        <v>0</v>
      </c>
      <c r="Z202" s="1190">
        <f t="shared" si="49"/>
        <v>0</v>
      </c>
      <c r="AA202" s="1190">
        <f t="shared" si="49"/>
        <v>0</v>
      </c>
      <c r="AB202" s="1190">
        <f t="shared" si="49"/>
        <v>0</v>
      </c>
      <c r="AC202" s="1190">
        <f t="shared" si="49"/>
        <v>0</v>
      </c>
      <c r="AD202" s="1190">
        <f t="shared" si="49"/>
        <v>0</v>
      </c>
      <c r="AE202" s="1190">
        <f t="shared" si="49"/>
        <v>0</v>
      </c>
      <c r="AF202" s="1190">
        <f t="shared" si="49"/>
        <v>0</v>
      </c>
      <c r="AG202" s="1066">
        <f>SUM(S202:AF202)</f>
        <v>1216</v>
      </c>
    </row>
    <row r="203" spans="1:33" s="1044" customFormat="1" ht="57.75" customHeight="1">
      <c r="A203" s="706">
        <v>1224</v>
      </c>
      <c r="B203" s="947" t="s">
        <v>788</v>
      </c>
      <c r="C203" s="1078" t="s">
        <v>789</v>
      </c>
      <c r="D203" s="938"/>
      <c r="E203" s="706">
        <v>1</v>
      </c>
      <c r="F203" s="709">
        <v>43279</v>
      </c>
      <c r="G203" s="709">
        <f>F203+E203-1</f>
        <v>43279</v>
      </c>
      <c r="H203" s="938" t="s">
        <v>790</v>
      </c>
      <c r="I203" s="706" t="s">
        <v>170</v>
      </c>
      <c r="J203" s="708"/>
      <c r="K203" s="938" t="s">
        <v>670</v>
      </c>
      <c r="L203" s="1236">
        <v>23173</v>
      </c>
      <c r="M203" s="938"/>
      <c r="N203" s="938"/>
      <c r="O203" s="949">
        <v>666.66666666666663</v>
      </c>
      <c r="P203" s="938">
        <v>1</v>
      </c>
      <c r="Q203" s="1101">
        <f>O203*P203</f>
        <v>666.66666666666663</v>
      </c>
      <c r="R203" s="1043">
        <v>666.66666666666663</v>
      </c>
      <c r="S203" s="941"/>
      <c r="T203" s="940"/>
      <c r="U203" s="1103">
        <v>666.66666666666663</v>
      </c>
      <c r="V203" s="938"/>
      <c r="W203" s="938"/>
      <c r="X203" s="1174"/>
      <c r="Y203" s="1159"/>
      <c r="Z203" s="1159"/>
      <c r="AA203" s="1159"/>
      <c r="AB203" s="1159"/>
      <c r="AC203" s="1160"/>
      <c r="AD203" s="1160"/>
      <c r="AE203" s="1160"/>
      <c r="AF203" s="1160"/>
      <c r="AG203" s="1060"/>
    </row>
    <row r="204" spans="1:33" s="944" customFormat="1" ht="57.75" customHeight="1">
      <c r="A204" s="706">
        <v>1224</v>
      </c>
      <c r="B204" s="947" t="s">
        <v>788</v>
      </c>
      <c r="C204" s="1078" t="s">
        <v>789</v>
      </c>
      <c r="D204" s="938"/>
      <c r="E204" s="706">
        <v>1</v>
      </c>
      <c r="F204" s="709">
        <v>43279</v>
      </c>
      <c r="G204" s="709">
        <f>F204+E204-1</f>
        <v>43279</v>
      </c>
      <c r="H204" s="938" t="s">
        <v>790</v>
      </c>
      <c r="I204" s="706" t="s">
        <v>170</v>
      </c>
      <c r="J204" s="708"/>
      <c r="K204" s="938" t="s">
        <v>415</v>
      </c>
      <c r="L204" s="1236">
        <v>23173</v>
      </c>
      <c r="M204" s="938"/>
      <c r="N204" s="938"/>
      <c r="O204" s="949">
        <v>333.33333333333331</v>
      </c>
      <c r="P204" s="938">
        <v>1</v>
      </c>
      <c r="Q204" s="1101">
        <f>O204*P204</f>
        <v>333.33333333333331</v>
      </c>
      <c r="R204" s="942">
        <v>333.33333333333331</v>
      </c>
      <c r="S204" s="1039"/>
      <c r="T204" s="941"/>
      <c r="U204" s="1103">
        <v>333.33333333333331</v>
      </c>
      <c r="V204" s="938"/>
      <c r="W204" s="938"/>
      <c r="X204" s="1174"/>
      <c r="Y204" s="1159"/>
      <c r="Z204" s="1159"/>
      <c r="AA204" s="1159"/>
      <c r="AB204" s="1159"/>
      <c r="AC204" s="1161"/>
      <c r="AD204" s="1161"/>
      <c r="AE204" s="1161"/>
      <c r="AF204" s="1161"/>
      <c r="AG204" s="1060"/>
    </row>
    <row r="205" spans="1:33" s="944" customFormat="1" ht="57.75" customHeight="1">
      <c r="A205" s="706">
        <v>1224</v>
      </c>
      <c r="B205" s="947" t="s">
        <v>788</v>
      </c>
      <c r="C205" s="1078" t="s">
        <v>789</v>
      </c>
      <c r="D205" s="938"/>
      <c r="E205" s="706">
        <v>1</v>
      </c>
      <c r="F205" s="709">
        <v>43279</v>
      </c>
      <c r="G205" s="709">
        <f>F205+E205-1</f>
        <v>43279</v>
      </c>
      <c r="H205" s="938" t="s">
        <v>790</v>
      </c>
      <c r="I205" s="706" t="s">
        <v>170</v>
      </c>
      <c r="J205" s="708"/>
      <c r="K205" s="938" t="s">
        <v>638</v>
      </c>
      <c r="L205" s="1236">
        <v>23173</v>
      </c>
      <c r="M205" s="938"/>
      <c r="N205" s="938"/>
      <c r="O205" s="949">
        <v>216</v>
      </c>
      <c r="P205" s="938">
        <v>1</v>
      </c>
      <c r="Q205" s="1101">
        <f>O205*P205</f>
        <v>216</v>
      </c>
      <c r="R205" s="942">
        <v>216</v>
      </c>
      <c r="S205" s="1039"/>
      <c r="T205" s="941"/>
      <c r="U205" s="1103">
        <v>216</v>
      </c>
      <c r="V205" s="938"/>
      <c r="W205" s="938"/>
      <c r="X205" s="1174"/>
      <c r="Y205" s="1159"/>
      <c r="Z205" s="1159"/>
      <c r="AA205" s="1159"/>
      <c r="AB205" s="1159"/>
      <c r="AC205" s="1161"/>
      <c r="AD205" s="1161"/>
      <c r="AE205" s="1161"/>
      <c r="AF205" s="1161"/>
      <c r="AG205" s="1060"/>
    </row>
    <row r="206" spans="1:33" s="1041" customFormat="1" ht="57.75" customHeight="1">
      <c r="A206" s="1037">
        <v>1225</v>
      </c>
      <c r="B206" s="946" t="s">
        <v>791</v>
      </c>
      <c r="C206" s="1077" t="s">
        <v>792</v>
      </c>
      <c r="D206" s="1036"/>
      <c r="E206" s="1037"/>
      <c r="F206" s="1038">
        <v>43283</v>
      </c>
      <c r="G206" s="1037"/>
      <c r="H206" s="1036" t="s">
        <v>793</v>
      </c>
      <c r="I206" s="1037" t="s">
        <v>170</v>
      </c>
      <c r="J206" s="721"/>
      <c r="K206" s="1036" t="s">
        <v>794</v>
      </c>
      <c r="L206" s="1235">
        <v>23173</v>
      </c>
      <c r="M206" s="1036"/>
      <c r="N206" s="1036"/>
      <c r="O206" s="1042">
        <v>12705</v>
      </c>
      <c r="P206" s="1036">
        <v>1</v>
      </c>
      <c r="Q206" s="1100">
        <f>O206*P206</f>
        <v>12705</v>
      </c>
      <c r="R206" s="1040">
        <v>12705</v>
      </c>
      <c r="S206" s="1053"/>
      <c r="T206" s="1053"/>
      <c r="U206" s="1053"/>
      <c r="V206" s="1053">
        <v>12705</v>
      </c>
      <c r="W206" s="1053"/>
      <c r="X206" s="1172"/>
      <c r="Y206" s="1190"/>
      <c r="Z206" s="1190"/>
      <c r="AA206" s="1190"/>
      <c r="AB206" s="1190"/>
      <c r="AC206" s="1190"/>
      <c r="AD206" s="1190"/>
      <c r="AE206" s="1190"/>
      <c r="AF206" s="1190"/>
      <c r="AG206" s="1066">
        <f>SUM(S206:AF206)</f>
        <v>12705</v>
      </c>
    </row>
    <row r="207" spans="1:33" s="1041" customFormat="1" ht="57.75" customHeight="1">
      <c r="A207" s="1037">
        <v>1226</v>
      </c>
      <c r="B207" s="946" t="s">
        <v>795</v>
      </c>
      <c r="C207" s="1077" t="s">
        <v>796</v>
      </c>
      <c r="D207" s="1036"/>
      <c r="E207" s="1037">
        <v>5</v>
      </c>
      <c r="F207" s="1038">
        <v>43297</v>
      </c>
      <c r="G207" s="1038">
        <f>F207+E207</f>
        <v>43302</v>
      </c>
      <c r="H207" s="1036" t="s">
        <v>785</v>
      </c>
      <c r="I207" s="1037" t="s">
        <v>170</v>
      </c>
      <c r="J207" s="721"/>
      <c r="K207" s="1036"/>
      <c r="L207" s="1235"/>
      <c r="M207" s="1036"/>
      <c r="N207" s="1036"/>
      <c r="O207" s="1042"/>
      <c r="P207" s="1036"/>
      <c r="Q207" s="1100">
        <f>SUM(Q208:Q216)</f>
        <v>5745.1666666666661</v>
      </c>
      <c r="R207" s="1040">
        <v>1680</v>
      </c>
      <c r="S207" s="1053">
        <f t="shared" ref="S207:AF207" si="50">SUM(S208:S216)</f>
        <v>0</v>
      </c>
      <c r="T207" s="1053">
        <f t="shared" si="50"/>
        <v>0</v>
      </c>
      <c r="U207" s="1053">
        <f t="shared" si="50"/>
        <v>0</v>
      </c>
      <c r="V207" s="1053">
        <f t="shared" si="50"/>
        <v>5745.1666666666661</v>
      </c>
      <c r="W207" s="1053">
        <f t="shared" si="50"/>
        <v>0</v>
      </c>
      <c r="X207" s="1172">
        <f t="shared" si="50"/>
        <v>0</v>
      </c>
      <c r="Y207" s="1190">
        <f t="shared" si="50"/>
        <v>0</v>
      </c>
      <c r="Z207" s="1190">
        <f t="shared" si="50"/>
        <v>0</v>
      </c>
      <c r="AA207" s="1190">
        <f t="shared" si="50"/>
        <v>0</v>
      </c>
      <c r="AB207" s="1190">
        <f t="shared" si="50"/>
        <v>0</v>
      </c>
      <c r="AC207" s="1190">
        <f t="shared" si="50"/>
        <v>0</v>
      </c>
      <c r="AD207" s="1190">
        <f t="shared" si="50"/>
        <v>0</v>
      </c>
      <c r="AE207" s="1190">
        <f t="shared" si="50"/>
        <v>0</v>
      </c>
      <c r="AF207" s="1190">
        <f t="shared" si="50"/>
        <v>0</v>
      </c>
      <c r="AG207" s="1066">
        <f>SUM(S207:AF207)</f>
        <v>5745.1666666666661</v>
      </c>
    </row>
    <row r="208" spans="1:33" s="1044" customFormat="1" ht="57.75" customHeight="1">
      <c r="A208" s="706">
        <v>1226</v>
      </c>
      <c r="B208" s="947" t="s">
        <v>795</v>
      </c>
      <c r="C208" s="1078" t="s">
        <v>796</v>
      </c>
      <c r="D208" s="938"/>
      <c r="E208" s="706">
        <v>5</v>
      </c>
      <c r="F208" s="709">
        <v>43297</v>
      </c>
      <c r="G208" s="709">
        <f>F208+E208</f>
        <v>43302</v>
      </c>
      <c r="H208" s="938" t="s">
        <v>785</v>
      </c>
      <c r="I208" s="706" t="s">
        <v>170</v>
      </c>
      <c r="J208" s="708"/>
      <c r="K208" s="938" t="s">
        <v>797</v>
      </c>
      <c r="L208" s="1236">
        <v>23174</v>
      </c>
      <c r="M208" s="938"/>
      <c r="N208" s="938"/>
      <c r="O208" s="949">
        <v>1680</v>
      </c>
      <c r="P208" s="938">
        <v>1</v>
      </c>
      <c r="Q208" s="1101">
        <f t="shared" ref="Q208:Q216" si="51">O208*P208</f>
        <v>1680</v>
      </c>
      <c r="R208" s="1043">
        <v>1680</v>
      </c>
      <c r="S208" s="941"/>
      <c r="T208" s="941"/>
      <c r="U208" s="940"/>
      <c r="V208" s="949">
        <v>1680</v>
      </c>
      <c r="W208" s="938"/>
      <c r="X208" s="1174"/>
      <c r="Y208" s="1159"/>
      <c r="Z208" s="1159"/>
      <c r="AA208" s="1159"/>
      <c r="AB208" s="1159"/>
      <c r="AC208" s="1160"/>
      <c r="AD208" s="1160"/>
      <c r="AE208" s="1160"/>
      <c r="AF208" s="1160"/>
      <c r="AG208" s="1060"/>
    </row>
    <row r="209" spans="1:33" s="944" customFormat="1" ht="57.75" customHeight="1">
      <c r="A209" s="706">
        <v>1226</v>
      </c>
      <c r="B209" s="947" t="s">
        <v>795</v>
      </c>
      <c r="C209" s="1078" t="s">
        <v>796</v>
      </c>
      <c r="D209" s="938"/>
      <c r="E209" s="706">
        <v>5</v>
      </c>
      <c r="F209" s="709">
        <v>43297</v>
      </c>
      <c r="G209" s="709">
        <f t="shared" ref="G209:G214" si="52">F209+E209</f>
        <v>43302</v>
      </c>
      <c r="H209" s="938" t="s">
        <v>785</v>
      </c>
      <c r="I209" s="706" t="s">
        <v>170</v>
      </c>
      <c r="J209" s="708"/>
      <c r="K209" s="938" t="s">
        <v>798</v>
      </c>
      <c r="L209" s="1236">
        <v>23174</v>
      </c>
      <c r="M209" s="938"/>
      <c r="N209" s="938"/>
      <c r="O209" s="949">
        <v>900</v>
      </c>
      <c r="P209" s="938">
        <v>1</v>
      </c>
      <c r="Q209" s="1101">
        <f t="shared" si="51"/>
        <v>900</v>
      </c>
      <c r="R209" s="942">
        <v>900</v>
      </c>
      <c r="S209" s="1039"/>
      <c r="T209" s="941"/>
      <c r="U209" s="940"/>
      <c r="V209" s="949">
        <v>900</v>
      </c>
      <c r="W209" s="938"/>
      <c r="X209" s="1174"/>
      <c r="Y209" s="1159"/>
      <c r="Z209" s="1159"/>
      <c r="AA209" s="1159"/>
      <c r="AB209" s="1159"/>
      <c r="AC209" s="1161"/>
      <c r="AD209" s="1161"/>
      <c r="AE209" s="1161"/>
      <c r="AF209" s="1161"/>
      <c r="AG209" s="1060"/>
    </row>
    <row r="210" spans="1:33" s="944" customFormat="1" ht="57.75" customHeight="1">
      <c r="A210" s="706">
        <v>1226</v>
      </c>
      <c r="B210" s="947" t="s">
        <v>795</v>
      </c>
      <c r="C210" s="1078" t="s">
        <v>796</v>
      </c>
      <c r="D210" s="938"/>
      <c r="E210" s="706">
        <v>5</v>
      </c>
      <c r="F210" s="709">
        <v>43297</v>
      </c>
      <c r="G210" s="709">
        <f t="shared" si="52"/>
        <v>43302</v>
      </c>
      <c r="H210" s="938" t="s">
        <v>785</v>
      </c>
      <c r="I210" s="706" t="s">
        <v>170</v>
      </c>
      <c r="J210" s="708"/>
      <c r="K210" s="938" t="s">
        <v>799</v>
      </c>
      <c r="L210" s="1236">
        <v>23174</v>
      </c>
      <c r="M210" s="938"/>
      <c r="N210" s="938"/>
      <c r="O210" s="949">
        <v>120</v>
      </c>
      <c r="P210" s="938">
        <v>1</v>
      </c>
      <c r="Q210" s="1101">
        <f t="shared" si="51"/>
        <v>120</v>
      </c>
      <c r="R210" s="942">
        <v>120</v>
      </c>
      <c r="S210" s="1039"/>
      <c r="T210" s="941"/>
      <c r="U210" s="940"/>
      <c r="V210" s="949">
        <v>120</v>
      </c>
      <c r="W210" s="938"/>
      <c r="X210" s="1174"/>
      <c r="Y210" s="1159"/>
      <c r="Z210" s="1159"/>
      <c r="AA210" s="1159"/>
      <c r="AB210" s="1159"/>
      <c r="AC210" s="1161"/>
      <c r="AD210" s="1161"/>
      <c r="AE210" s="1161"/>
      <c r="AF210" s="1161"/>
      <c r="AG210" s="1060"/>
    </row>
    <row r="211" spans="1:33" s="944" customFormat="1" ht="57.75" customHeight="1">
      <c r="A211" s="706">
        <v>1226</v>
      </c>
      <c r="B211" s="947" t="s">
        <v>795</v>
      </c>
      <c r="C211" s="1078" t="s">
        <v>796</v>
      </c>
      <c r="D211" s="938"/>
      <c r="E211" s="706">
        <v>5</v>
      </c>
      <c r="F211" s="709">
        <v>43297</v>
      </c>
      <c r="G211" s="709">
        <f t="shared" si="52"/>
        <v>43302</v>
      </c>
      <c r="H211" s="938" t="s">
        <v>785</v>
      </c>
      <c r="I211" s="706" t="s">
        <v>170</v>
      </c>
      <c r="J211" s="708"/>
      <c r="K211" s="938" t="s">
        <v>800</v>
      </c>
      <c r="L211" s="1236">
        <v>23174</v>
      </c>
      <c r="M211" s="938"/>
      <c r="N211" s="938"/>
      <c r="O211" s="949">
        <v>773.33333333333337</v>
      </c>
      <c r="P211" s="938">
        <v>1</v>
      </c>
      <c r="Q211" s="1101">
        <f t="shared" si="51"/>
        <v>773.33333333333337</v>
      </c>
      <c r="R211" s="942">
        <v>773.33333333333337</v>
      </c>
      <c r="S211" s="1039"/>
      <c r="T211" s="941"/>
      <c r="U211" s="940"/>
      <c r="V211" s="949">
        <v>773.33333333333337</v>
      </c>
      <c r="W211" s="938"/>
      <c r="X211" s="1174"/>
      <c r="Y211" s="1159"/>
      <c r="Z211" s="1159"/>
      <c r="AA211" s="1159"/>
      <c r="AB211" s="1159"/>
      <c r="AC211" s="1161"/>
      <c r="AD211" s="1161"/>
      <c r="AE211" s="1161"/>
      <c r="AF211" s="1161"/>
      <c r="AG211" s="1060"/>
    </row>
    <row r="212" spans="1:33" s="944" customFormat="1" ht="57.75" customHeight="1">
      <c r="A212" s="706">
        <v>1226</v>
      </c>
      <c r="B212" s="947" t="s">
        <v>795</v>
      </c>
      <c r="C212" s="1078" t="s">
        <v>796</v>
      </c>
      <c r="D212" s="938"/>
      <c r="E212" s="706">
        <v>5</v>
      </c>
      <c r="F212" s="709">
        <v>43297</v>
      </c>
      <c r="G212" s="709">
        <f t="shared" si="52"/>
        <v>43302</v>
      </c>
      <c r="H212" s="938" t="s">
        <v>785</v>
      </c>
      <c r="I212" s="706" t="s">
        <v>170</v>
      </c>
      <c r="J212" s="708"/>
      <c r="K212" s="938" t="s">
        <v>801</v>
      </c>
      <c r="L212" s="1236">
        <v>23174</v>
      </c>
      <c r="M212" s="938"/>
      <c r="N212" s="938"/>
      <c r="O212" s="949">
        <v>106.66666666666667</v>
      </c>
      <c r="P212" s="938">
        <v>1</v>
      </c>
      <c r="Q212" s="1101">
        <f t="shared" si="51"/>
        <v>106.66666666666667</v>
      </c>
      <c r="R212" s="942">
        <v>106.66666666666667</v>
      </c>
      <c r="S212" s="1039"/>
      <c r="T212" s="941"/>
      <c r="U212" s="940"/>
      <c r="V212" s="949">
        <v>106.66666666666667</v>
      </c>
      <c r="W212" s="938"/>
      <c r="X212" s="1174"/>
      <c r="Y212" s="1159"/>
      <c r="Z212" s="1159"/>
      <c r="AA212" s="1159"/>
      <c r="AB212" s="1159"/>
      <c r="AC212" s="1161"/>
      <c r="AD212" s="1161"/>
      <c r="AE212" s="1161"/>
      <c r="AF212" s="1161"/>
      <c r="AG212" s="1060"/>
    </row>
    <row r="213" spans="1:33" s="944" customFormat="1" ht="57.75" customHeight="1">
      <c r="A213" s="706">
        <v>1226</v>
      </c>
      <c r="B213" s="947" t="s">
        <v>795</v>
      </c>
      <c r="C213" s="1078" t="s">
        <v>796</v>
      </c>
      <c r="D213" s="938"/>
      <c r="E213" s="706">
        <v>5</v>
      </c>
      <c r="F213" s="709">
        <v>43297</v>
      </c>
      <c r="G213" s="709">
        <f t="shared" si="52"/>
        <v>43302</v>
      </c>
      <c r="H213" s="938" t="s">
        <v>785</v>
      </c>
      <c r="I213" s="706" t="s">
        <v>170</v>
      </c>
      <c r="J213" s="708"/>
      <c r="K213" s="938" t="s">
        <v>802</v>
      </c>
      <c r="L213" s="1236">
        <v>23174</v>
      </c>
      <c r="M213" s="938"/>
      <c r="N213" s="938"/>
      <c r="O213" s="949">
        <v>816</v>
      </c>
      <c r="P213" s="938">
        <v>1</v>
      </c>
      <c r="Q213" s="1101">
        <f t="shared" si="51"/>
        <v>816</v>
      </c>
      <c r="R213" s="942">
        <v>816</v>
      </c>
      <c r="S213" s="1039"/>
      <c r="T213" s="941"/>
      <c r="U213" s="940"/>
      <c r="V213" s="949">
        <v>816</v>
      </c>
      <c r="W213" s="938"/>
      <c r="X213" s="1174"/>
      <c r="Y213" s="1159"/>
      <c r="Z213" s="1159"/>
      <c r="AA213" s="1159"/>
      <c r="AB213" s="1159"/>
      <c r="AC213" s="1161"/>
      <c r="AD213" s="1161"/>
      <c r="AE213" s="1161"/>
      <c r="AF213" s="1161"/>
      <c r="AG213" s="1060"/>
    </row>
    <row r="214" spans="1:33" s="944" customFormat="1" ht="57.75" customHeight="1">
      <c r="A214" s="706">
        <v>1226</v>
      </c>
      <c r="B214" s="947" t="s">
        <v>795</v>
      </c>
      <c r="C214" s="1078" t="s">
        <v>796</v>
      </c>
      <c r="D214" s="938"/>
      <c r="E214" s="706">
        <v>5</v>
      </c>
      <c r="F214" s="709">
        <v>43297</v>
      </c>
      <c r="G214" s="709">
        <f t="shared" si="52"/>
        <v>43302</v>
      </c>
      <c r="H214" s="938" t="s">
        <v>785</v>
      </c>
      <c r="I214" s="706" t="s">
        <v>170</v>
      </c>
      <c r="J214" s="708"/>
      <c r="K214" s="938" t="s">
        <v>803</v>
      </c>
      <c r="L214" s="1236">
        <v>23174</v>
      </c>
      <c r="M214" s="938"/>
      <c r="N214" s="938"/>
      <c r="O214" s="949">
        <v>480</v>
      </c>
      <c r="P214" s="938">
        <v>1</v>
      </c>
      <c r="Q214" s="1101">
        <f t="shared" si="51"/>
        <v>480</v>
      </c>
      <c r="R214" s="942">
        <v>480</v>
      </c>
      <c r="S214" s="1039"/>
      <c r="T214" s="941"/>
      <c r="U214" s="940"/>
      <c r="V214" s="949">
        <v>480</v>
      </c>
      <c r="W214" s="938"/>
      <c r="X214" s="1174"/>
      <c r="Y214" s="1159"/>
      <c r="Z214" s="1159"/>
      <c r="AA214" s="1159"/>
      <c r="AB214" s="1159"/>
      <c r="AC214" s="1161"/>
      <c r="AD214" s="1161"/>
      <c r="AE214" s="1161"/>
      <c r="AF214" s="1161"/>
      <c r="AG214" s="1060"/>
    </row>
    <row r="215" spans="1:33" s="944" customFormat="1" ht="57.75" customHeight="1">
      <c r="A215" s="706">
        <v>1226</v>
      </c>
      <c r="B215" s="947" t="s">
        <v>795</v>
      </c>
      <c r="C215" s="1078" t="s">
        <v>796</v>
      </c>
      <c r="D215" s="938"/>
      <c r="E215" s="706"/>
      <c r="F215" s="709"/>
      <c r="G215" s="709"/>
      <c r="H215" s="938" t="s">
        <v>785</v>
      </c>
      <c r="I215" s="706" t="s">
        <v>170</v>
      </c>
      <c r="J215" s="708"/>
      <c r="K215" s="938" t="s">
        <v>415</v>
      </c>
      <c r="L215" s="1236">
        <v>23173</v>
      </c>
      <c r="M215" s="938"/>
      <c r="N215" s="938"/>
      <c r="O215" s="949">
        <v>833.33333333333337</v>
      </c>
      <c r="P215" s="938">
        <v>1</v>
      </c>
      <c r="Q215" s="1101">
        <f t="shared" si="51"/>
        <v>833.33333333333337</v>
      </c>
      <c r="R215" s="942">
        <v>833.33333333333337</v>
      </c>
      <c r="S215" s="1039"/>
      <c r="T215" s="941"/>
      <c r="U215" s="940"/>
      <c r="V215" s="949">
        <v>833.33333333333337</v>
      </c>
      <c r="W215" s="938"/>
      <c r="X215" s="1174"/>
      <c r="Y215" s="1159"/>
      <c r="Z215" s="1159"/>
      <c r="AA215" s="1159"/>
      <c r="AB215" s="1159"/>
      <c r="AC215" s="1161"/>
      <c r="AD215" s="1161"/>
      <c r="AE215" s="1161"/>
      <c r="AF215" s="1161"/>
      <c r="AG215" s="1060"/>
    </row>
    <row r="216" spans="1:33" s="944" customFormat="1" ht="57.75" customHeight="1">
      <c r="A216" s="706">
        <v>1226</v>
      </c>
      <c r="B216" s="947" t="s">
        <v>795</v>
      </c>
      <c r="C216" s="1078" t="s">
        <v>796</v>
      </c>
      <c r="D216" s="938"/>
      <c r="E216" s="706"/>
      <c r="F216" s="709"/>
      <c r="G216" s="709"/>
      <c r="H216" s="938" t="s">
        <v>785</v>
      </c>
      <c r="I216" s="706" t="s">
        <v>170</v>
      </c>
      <c r="J216" s="708"/>
      <c r="K216" s="938" t="s">
        <v>804</v>
      </c>
      <c r="L216" s="1236">
        <v>23173</v>
      </c>
      <c r="M216" s="938"/>
      <c r="N216" s="938"/>
      <c r="O216" s="949">
        <v>35.833333333333336</v>
      </c>
      <c r="P216" s="938">
        <v>1</v>
      </c>
      <c r="Q216" s="1101">
        <f t="shared" si="51"/>
        <v>35.833333333333336</v>
      </c>
      <c r="R216" s="942">
        <v>35.833333333333336</v>
      </c>
      <c r="S216" s="1039"/>
      <c r="T216" s="941"/>
      <c r="U216" s="940"/>
      <c r="V216" s="949">
        <v>35.833333333333336</v>
      </c>
      <c r="W216" s="938"/>
      <c r="X216" s="1174"/>
      <c r="Y216" s="1159"/>
      <c r="Z216" s="1159"/>
      <c r="AA216" s="1159"/>
      <c r="AB216" s="1159"/>
      <c r="AC216" s="1161"/>
      <c r="AD216" s="1161"/>
      <c r="AE216" s="1161"/>
      <c r="AF216" s="1161"/>
      <c r="AG216" s="1060"/>
    </row>
    <row r="217" spans="1:33" s="1041" customFormat="1" ht="57.75" customHeight="1">
      <c r="A217" s="1037">
        <v>1227</v>
      </c>
      <c r="B217" s="946" t="s">
        <v>805</v>
      </c>
      <c r="C217" s="1077" t="s">
        <v>806</v>
      </c>
      <c r="D217" s="1036"/>
      <c r="E217" s="1037"/>
      <c r="F217" s="1038">
        <v>43304</v>
      </c>
      <c r="G217" s="1037"/>
      <c r="H217" s="1036" t="s">
        <v>793</v>
      </c>
      <c r="I217" s="1037" t="s">
        <v>170</v>
      </c>
      <c r="J217" s="721"/>
      <c r="K217" s="1036" t="s">
        <v>807</v>
      </c>
      <c r="L217" s="1235">
        <v>23173</v>
      </c>
      <c r="M217" s="1036"/>
      <c r="N217" s="1036"/>
      <c r="O217" s="1042">
        <v>1089</v>
      </c>
      <c r="P217" s="1036">
        <v>1</v>
      </c>
      <c r="Q217" s="1042">
        <f>P217*O217</f>
        <v>1089</v>
      </c>
      <c r="R217" s="1040">
        <v>1089</v>
      </c>
      <c r="S217" s="1064"/>
      <c r="T217" s="1064"/>
      <c r="U217" s="1064"/>
      <c r="V217" s="1522">
        <v>1089</v>
      </c>
      <c r="W217" s="1064"/>
      <c r="X217" s="1175"/>
      <c r="Y217" s="1191"/>
      <c r="Z217" s="1191"/>
      <c r="AA217" s="1191"/>
      <c r="AB217" s="1191"/>
      <c r="AC217" s="1191"/>
      <c r="AD217" s="1191"/>
      <c r="AE217" s="1191"/>
      <c r="AF217" s="1191"/>
      <c r="AG217" s="1066">
        <f>SUM(S217:AF217)</f>
        <v>1089</v>
      </c>
    </row>
    <row r="218" spans="1:33" s="1041" customFormat="1" ht="57.75" customHeight="1">
      <c r="A218" s="1037">
        <v>1228</v>
      </c>
      <c r="B218" s="946" t="s">
        <v>808</v>
      </c>
      <c r="C218" s="1077" t="s">
        <v>809</v>
      </c>
      <c r="D218" s="1036"/>
      <c r="E218" s="1037">
        <v>10</v>
      </c>
      <c r="F218" s="1038">
        <v>43318</v>
      </c>
      <c r="G218" s="1038">
        <f>F218+E218</f>
        <v>43328</v>
      </c>
      <c r="H218" s="1036" t="s">
        <v>810</v>
      </c>
      <c r="I218" s="1037" t="s">
        <v>170</v>
      </c>
      <c r="J218" s="721"/>
      <c r="K218" s="1036"/>
      <c r="L218" s="1235"/>
      <c r="M218" s="1036"/>
      <c r="N218" s="1036"/>
      <c r="O218" s="1042"/>
      <c r="P218" s="1036"/>
      <c r="Q218" s="1102">
        <f>SUM(Q219:Q226)</f>
        <v>61020.558333333334</v>
      </c>
      <c r="R218" s="1040">
        <v>36000</v>
      </c>
      <c r="S218" s="1064">
        <f t="shared" ref="S218:AF218" si="53">SUM(S219:S226)</f>
        <v>0</v>
      </c>
      <c r="T218" s="1064">
        <f t="shared" si="53"/>
        <v>0</v>
      </c>
      <c r="U218" s="1064">
        <f t="shared" si="53"/>
        <v>0</v>
      </c>
      <c r="V218" s="1064">
        <f t="shared" si="53"/>
        <v>61020.558333333334</v>
      </c>
      <c r="W218" s="1064">
        <f t="shared" si="53"/>
        <v>0</v>
      </c>
      <c r="X218" s="1175">
        <f t="shared" si="53"/>
        <v>0</v>
      </c>
      <c r="Y218" s="1191">
        <f t="shared" si="53"/>
        <v>0</v>
      </c>
      <c r="Z218" s="1191">
        <f t="shared" si="53"/>
        <v>0</v>
      </c>
      <c r="AA218" s="1191">
        <f t="shared" si="53"/>
        <v>0</v>
      </c>
      <c r="AB218" s="1191">
        <f t="shared" si="53"/>
        <v>0</v>
      </c>
      <c r="AC218" s="1191">
        <f t="shared" si="53"/>
        <v>0</v>
      </c>
      <c r="AD218" s="1191">
        <f t="shared" si="53"/>
        <v>0</v>
      </c>
      <c r="AE218" s="1191">
        <f t="shared" si="53"/>
        <v>0</v>
      </c>
      <c r="AF218" s="1191">
        <f t="shared" si="53"/>
        <v>0</v>
      </c>
      <c r="AG218" s="1066">
        <f>SUM(S218:AF218)</f>
        <v>61020.558333333334</v>
      </c>
    </row>
    <row r="219" spans="1:33" s="1044" customFormat="1" ht="57.75" customHeight="1">
      <c r="A219" s="706">
        <v>1228</v>
      </c>
      <c r="B219" s="947" t="s">
        <v>808</v>
      </c>
      <c r="C219" s="1078" t="s">
        <v>809</v>
      </c>
      <c r="D219" s="938"/>
      <c r="E219" s="706">
        <v>10</v>
      </c>
      <c r="F219" s="709">
        <v>43318</v>
      </c>
      <c r="G219" s="709">
        <f>F219+E219</f>
        <v>43328</v>
      </c>
      <c r="H219" s="938" t="s">
        <v>810</v>
      </c>
      <c r="I219" s="706" t="s">
        <v>170</v>
      </c>
      <c r="J219" s="708"/>
      <c r="K219" s="938" t="s">
        <v>811</v>
      </c>
      <c r="L219" s="1236">
        <v>23174</v>
      </c>
      <c r="M219" s="938"/>
      <c r="N219" s="938"/>
      <c r="O219" s="949">
        <v>36000</v>
      </c>
      <c r="P219" s="938">
        <v>1</v>
      </c>
      <c r="Q219" s="1103">
        <f t="shared" ref="Q219:Q226" si="54">O219*P219</f>
        <v>36000</v>
      </c>
      <c r="R219" s="1043">
        <v>36000</v>
      </c>
      <c r="S219" s="941"/>
      <c r="T219" s="950"/>
      <c r="U219" s="948"/>
      <c r="V219" s="1103">
        <v>36000</v>
      </c>
      <c r="W219" s="938"/>
      <c r="X219" s="1174"/>
      <c r="Y219" s="1159"/>
      <c r="Z219" s="1159"/>
      <c r="AA219" s="1159"/>
      <c r="AB219" s="1159"/>
      <c r="AC219" s="1160"/>
      <c r="AD219" s="1160"/>
      <c r="AE219" s="1160"/>
      <c r="AF219" s="1160"/>
      <c r="AG219" s="1060"/>
    </row>
    <row r="220" spans="1:33" s="944" customFormat="1" ht="57.75" customHeight="1">
      <c r="A220" s="706">
        <v>1228</v>
      </c>
      <c r="B220" s="947" t="s">
        <v>808</v>
      </c>
      <c r="C220" s="1078" t="s">
        <v>809</v>
      </c>
      <c r="D220" s="938"/>
      <c r="E220" s="706">
        <v>10</v>
      </c>
      <c r="F220" s="709">
        <v>43318</v>
      </c>
      <c r="G220" s="709">
        <f t="shared" ref="G220:G225" si="55">F220+E220</f>
        <v>43328</v>
      </c>
      <c r="H220" s="938" t="s">
        <v>810</v>
      </c>
      <c r="I220" s="706" t="s">
        <v>170</v>
      </c>
      <c r="J220" s="708"/>
      <c r="K220" s="938" t="s">
        <v>812</v>
      </c>
      <c r="L220" s="1236">
        <v>23174</v>
      </c>
      <c r="N220" s="938"/>
      <c r="O220" s="949">
        <v>7920</v>
      </c>
      <c r="P220" s="938">
        <v>1</v>
      </c>
      <c r="Q220" s="1103">
        <f t="shared" si="54"/>
        <v>7920</v>
      </c>
      <c r="R220" s="942">
        <v>7920</v>
      </c>
      <c r="S220" s="1039"/>
      <c r="T220" s="950"/>
      <c r="U220" s="948"/>
      <c r="V220" s="1103">
        <v>7920</v>
      </c>
      <c r="W220" s="938"/>
      <c r="X220" s="1174"/>
      <c r="Y220" s="1159"/>
      <c r="Z220" s="1159"/>
      <c r="AA220" s="1159"/>
      <c r="AB220" s="1159"/>
      <c r="AC220" s="1161"/>
      <c r="AD220" s="1161"/>
      <c r="AE220" s="1161"/>
      <c r="AF220" s="1161"/>
      <c r="AG220" s="1060"/>
    </row>
    <row r="221" spans="1:33" s="944" customFormat="1" ht="57.75" customHeight="1">
      <c r="A221" s="706">
        <v>1228</v>
      </c>
      <c r="B221" s="947" t="s">
        <v>808</v>
      </c>
      <c r="C221" s="1078" t="s">
        <v>809</v>
      </c>
      <c r="D221" s="938"/>
      <c r="E221" s="706">
        <v>10</v>
      </c>
      <c r="F221" s="709">
        <v>43318</v>
      </c>
      <c r="G221" s="709">
        <f t="shared" si="55"/>
        <v>43328</v>
      </c>
      <c r="H221" s="938" t="s">
        <v>810</v>
      </c>
      <c r="I221" s="706" t="s">
        <v>170</v>
      </c>
      <c r="J221" s="708"/>
      <c r="K221" s="938" t="s">
        <v>813</v>
      </c>
      <c r="L221" s="1236">
        <v>23174</v>
      </c>
      <c r="M221" s="938"/>
      <c r="N221" s="938"/>
      <c r="O221" s="949">
        <v>600</v>
      </c>
      <c r="P221" s="938">
        <v>1</v>
      </c>
      <c r="Q221" s="1103">
        <f t="shared" si="54"/>
        <v>600</v>
      </c>
      <c r="R221" s="942">
        <v>600</v>
      </c>
      <c r="S221" s="1039"/>
      <c r="T221" s="950"/>
      <c r="U221" s="948"/>
      <c r="V221" s="1103">
        <v>600</v>
      </c>
      <c r="W221" s="938"/>
      <c r="X221" s="1174"/>
      <c r="Y221" s="1159"/>
      <c r="Z221" s="1159"/>
      <c r="AA221" s="1159"/>
      <c r="AB221" s="1159"/>
      <c r="AC221" s="1161"/>
      <c r="AD221" s="1161"/>
      <c r="AE221" s="1161"/>
      <c r="AF221" s="1161"/>
      <c r="AG221" s="1060"/>
    </row>
    <row r="222" spans="1:33" s="944" customFormat="1" ht="57.75" customHeight="1">
      <c r="A222" s="706">
        <v>1228</v>
      </c>
      <c r="B222" s="947" t="s">
        <v>808</v>
      </c>
      <c r="C222" s="1078" t="s">
        <v>809</v>
      </c>
      <c r="D222" s="938"/>
      <c r="E222" s="706">
        <v>10</v>
      </c>
      <c r="F222" s="709">
        <v>43318</v>
      </c>
      <c r="G222" s="709">
        <f t="shared" si="55"/>
        <v>43328</v>
      </c>
      <c r="H222" s="938" t="s">
        <v>810</v>
      </c>
      <c r="I222" s="706" t="s">
        <v>170</v>
      </c>
      <c r="J222" s="708"/>
      <c r="K222" s="938" t="s">
        <v>814</v>
      </c>
      <c r="L222" s="1236">
        <v>23174</v>
      </c>
      <c r="M222" s="938"/>
      <c r="N222" s="938"/>
      <c r="O222" s="949">
        <v>6600</v>
      </c>
      <c r="P222" s="938">
        <v>1</v>
      </c>
      <c r="Q222" s="1103">
        <f t="shared" si="54"/>
        <v>6600</v>
      </c>
      <c r="R222" s="942">
        <v>6600</v>
      </c>
      <c r="S222" s="1039"/>
      <c r="T222" s="950"/>
      <c r="U222" s="948"/>
      <c r="V222" s="1103">
        <v>6600</v>
      </c>
      <c r="W222" s="938"/>
      <c r="X222" s="1174"/>
      <c r="Y222" s="1159"/>
      <c r="Z222" s="1159"/>
      <c r="AA222" s="1159"/>
      <c r="AB222" s="1159"/>
      <c r="AC222" s="1161"/>
      <c r="AD222" s="1161"/>
      <c r="AE222" s="1161"/>
      <c r="AF222" s="1161"/>
      <c r="AG222" s="1060"/>
    </row>
    <row r="223" spans="1:33" s="944" customFormat="1" ht="57.75" customHeight="1">
      <c r="A223" s="706">
        <v>1228</v>
      </c>
      <c r="B223" s="947" t="s">
        <v>808</v>
      </c>
      <c r="C223" s="1078" t="s">
        <v>809</v>
      </c>
      <c r="D223" s="938"/>
      <c r="E223" s="706">
        <v>10</v>
      </c>
      <c r="F223" s="709">
        <v>43318</v>
      </c>
      <c r="G223" s="709">
        <f t="shared" si="55"/>
        <v>43328</v>
      </c>
      <c r="H223" s="938" t="s">
        <v>810</v>
      </c>
      <c r="I223" s="706" t="s">
        <v>170</v>
      </c>
      <c r="J223" s="708"/>
      <c r="K223" s="938" t="s">
        <v>815</v>
      </c>
      <c r="L223" s="1236">
        <v>23174</v>
      </c>
      <c r="M223" s="938"/>
      <c r="N223" s="938"/>
      <c r="O223" s="949">
        <v>300</v>
      </c>
      <c r="P223" s="938">
        <v>1</v>
      </c>
      <c r="Q223" s="1103">
        <f t="shared" si="54"/>
        <v>300</v>
      </c>
      <c r="R223" s="942">
        <v>300</v>
      </c>
      <c r="S223" s="1039"/>
      <c r="T223" s="950"/>
      <c r="U223" s="948"/>
      <c r="V223" s="1103">
        <v>300</v>
      </c>
      <c r="W223" s="938"/>
      <c r="X223" s="1174"/>
      <c r="Y223" s="1159"/>
      <c r="Z223" s="1159"/>
      <c r="AA223" s="1159"/>
      <c r="AB223" s="1159"/>
      <c r="AC223" s="1161"/>
      <c r="AD223" s="1161"/>
      <c r="AE223" s="1161"/>
      <c r="AF223" s="1161"/>
      <c r="AG223" s="1060"/>
    </row>
    <row r="224" spans="1:33" s="944" customFormat="1" ht="57.75" customHeight="1">
      <c r="A224" s="706">
        <v>1228</v>
      </c>
      <c r="B224" s="947" t="s">
        <v>808</v>
      </c>
      <c r="C224" s="1078" t="s">
        <v>809</v>
      </c>
      <c r="D224" s="938"/>
      <c r="E224" s="706">
        <v>10</v>
      </c>
      <c r="F224" s="709">
        <v>43318</v>
      </c>
      <c r="G224" s="709">
        <f t="shared" si="55"/>
        <v>43328</v>
      </c>
      <c r="H224" s="938" t="s">
        <v>810</v>
      </c>
      <c r="I224" s="706" t="s">
        <v>170</v>
      </c>
      <c r="J224" s="708"/>
      <c r="K224" s="938" t="s">
        <v>816</v>
      </c>
      <c r="L224" s="1236">
        <v>23174</v>
      </c>
      <c r="M224" s="938"/>
      <c r="N224" s="938"/>
      <c r="O224" s="949">
        <v>2720</v>
      </c>
      <c r="P224" s="938">
        <v>1</v>
      </c>
      <c r="Q224" s="1103">
        <f t="shared" si="54"/>
        <v>2720</v>
      </c>
      <c r="R224" s="942">
        <v>2720</v>
      </c>
      <c r="S224" s="1039"/>
      <c r="T224" s="950"/>
      <c r="U224" s="948"/>
      <c r="V224" s="1103">
        <v>2720</v>
      </c>
      <c r="W224" s="938"/>
      <c r="X224" s="1174"/>
      <c r="Y224" s="1159"/>
      <c r="Z224" s="1159"/>
      <c r="AA224" s="1159"/>
      <c r="AB224" s="1159"/>
      <c r="AC224" s="1161"/>
      <c r="AD224" s="1161"/>
      <c r="AE224" s="1161"/>
      <c r="AF224" s="1161"/>
      <c r="AG224" s="1060"/>
    </row>
    <row r="225" spans="1:33" s="944" customFormat="1" ht="57.75" customHeight="1">
      <c r="A225" s="706">
        <v>1228</v>
      </c>
      <c r="B225" s="947" t="s">
        <v>808</v>
      </c>
      <c r="C225" s="1078" t="s">
        <v>809</v>
      </c>
      <c r="D225" s="938"/>
      <c r="E225" s="706">
        <v>10</v>
      </c>
      <c r="F225" s="709">
        <v>43318</v>
      </c>
      <c r="G225" s="709">
        <f t="shared" si="55"/>
        <v>43328</v>
      </c>
      <c r="H225" s="938" t="s">
        <v>810</v>
      </c>
      <c r="I225" s="706" t="s">
        <v>170</v>
      </c>
      <c r="J225" s="708"/>
      <c r="K225" s="938" t="s">
        <v>817</v>
      </c>
      <c r="L225" s="1236">
        <v>23174</v>
      </c>
      <c r="M225" s="938"/>
      <c r="N225" s="938"/>
      <c r="O225" s="949">
        <v>6674.9333333333334</v>
      </c>
      <c r="P225" s="938">
        <v>1</v>
      </c>
      <c r="Q225" s="1103">
        <f t="shared" si="54"/>
        <v>6674.9333333333334</v>
      </c>
      <c r="R225" s="942">
        <v>6674.9333333333334</v>
      </c>
      <c r="S225" s="1039"/>
      <c r="T225" s="950"/>
      <c r="U225" s="948"/>
      <c r="V225" s="1103">
        <v>6674.9333333333334</v>
      </c>
      <c r="W225" s="938"/>
      <c r="X225" s="1174"/>
      <c r="Y225" s="1159"/>
      <c r="Z225" s="1159"/>
      <c r="AA225" s="1159"/>
      <c r="AB225" s="1159"/>
      <c r="AC225" s="1161"/>
      <c r="AD225" s="1161"/>
      <c r="AE225" s="1161"/>
      <c r="AF225" s="1161"/>
      <c r="AG225" s="1060"/>
    </row>
    <row r="226" spans="1:33" s="944" customFormat="1" ht="57.75" customHeight="1">
      <c r="A226" s="706">
        <v>1228</v>
      </c>
      <c r="B226" s="947" t="s">
        <v>808</v>
      </c>
      <c r="C226" s="1078" t="s">
        <v>809</v>
      </c>
      <c r="D226" s="938"/>
      <c r="E226" s="706">
        <v>45</v>
      </c>
      <c r="F226" s="709"/>
      <c r="G226" s="709"/>
      <c r="H226" s="938" t="s">
        <v>810</v>
      </c>
      <c r="I226" s="706" t="s">
        <v>170</v>
      </c>
      <c r="J226" s="708"/>
      <c r="K226" s="938" t="s">
        <v>818</v>
      </c>
      <c r="L226" s="1236">
        <v>23173</v>
      </c>
      <c r="M226" s="938"/>
      <c r="N226" s="938"/>
      <c r="O226" s="949">
        <v>205.625</v>
      </c>
      <c r="P226" s="938">
        <v>1</v>
      </c>
      <c r="Q226" s="1103">
        <f t="shared" si="54"/>
        <v>205.625</v>
      </c>
      <c r="R226" s="942">
        <v>205.625</v>
      </c>
      <c r="S226" s="1039"/>
      <c r="T226" s="950"/>
      <c r="U226" s="948"/>
      <c r="V226" s="1103">
        <v>205.625</v>
      </c>
      <c r="W226" s="938"/>
      <c r="X226" s="1174"/>
      <c r="Y226" s="1159"/>
      <c r="Z226" s="1159"/>
      <c r="AA226" s="1159"/>
      <c r="AB226" s="1159"/>
      <c r="AC226" s="1161"/>
      <c r="AD226" s="1161"/>
      <c r="AE226" s="1161"/>
      <c r="AF226" s="1161"/>
      <c r="AG226" s="1060"/>
    </row>
    <row r="227" spans="1:33" s="1041" customFormat="1" ht="57.75" customHeight="1">
      <c r="A227" s="1037">
        <v>1229</v>
      </c>
      <c r="B227" s="946" t="s">
        <v>819</v>
      </c>
      <c r="C227" s="1079" t="s">
        <v>820</v>
      </c>
      <c r="D227" s="1045"/>
      <c r="E227" s="1046">
        <v>10</v>
      </c>
      <c r="F227" s="1038">
        <v>43339</v>
      </c>
      <c r="G227" s="1038">
        <f>F227+E227</f>
        <v>43349</v>
      </c>
      <c r="H227" s="1036" t="s">
        <v>774</v>
      </c>
      <c r="I227" s="1037" t="s">
        <v>170</v>
      </c>
      <c r="J227" s="656"/>
      <c r="K227" s="1036"/>
      <c r="L227" s="1235"/>
      <c r="M227" s="1045"/>
      <c r="N227" s="1045"/>
      <c r="O227" s="1042"/>
      <c r="P227" s="1036"/>
      <c r="Q227" s="1042">
        <f>SUM(Q228:Q236)</f>
        <v>16171.887999999999</v>
      </c>
      <c r="R227" s="1040">
        <v>1320</v>
      </c>
      <c r="S227" s="1064">
        <f t="shared" ref="S227:AF227" si="56">SUM(S228:S236)</f>
        <v>0</v>
      </c>
      <c r="T227" s="1064">
        <f t="shared" si="56"/>
        <v>0</v>
      </c>
      <c r="U227" s="1064">
        <f t="shared" si="56"/>
        <v>0</v>
      </c>
      <c r="V227" s="1064">
        <f t="shared" si="56"/>
        <v>0</v>
      </c>
      <c r="W227" s="1064">
        <f t="shared" si="56"/>
        <v>16171.887999999999</v>
      </c>
      <c r="X227" s="1175">
        <f t="shared" si="56"/>
        <v>0</v>
      </c>
      <c r="Y227" s="1191">
        <f t="shared" si="56"/>
        <v>0</v>
      </c>
      <c r="Z227" s="1191">
        <f t="shared" si="56"/>
        <v>0</v>
      </c>
      <c r="AA227" s="1191">
        <f t="shared" si="56"/>
        <v>0</v>
      </c>
      <c r="AB227" s="1191">
        <f t="shared" si="56"/>
        <v>0</v>
      </c>
      <c r="AC227" s="1191">
        <f t="shared" si="56"/>
        <v>0</v>
      </c>
      <c r="AD227" s="1191">
        <f t="shared" si="56"/>
        <v>0</v>
      </c>
      <c r="AE227" s="1191">
        <f t="shared" si="56"/>
        <v>0</v>
      </c>
      <c r="AF227" s="1191">
        <f t="shared" si="56"/>
        <v>0</v>
      </c>
      <c r="AG227" s="1066">
        <f>SUM(S227:AF227)</f>
        <v>16171.887999999999</v>
      </c>
    </row>
    <row r="228" spans="1:33" s="1044" customFormat="1" ht="57.75" customHeight="1">
      <c r="A228" s="706">
        <v>1229</v>
      </c>
      <c r="B228" s="947" t="s">
        <v>819</v>
      </c>
      <c r="C228" s="1080" t="s">
        <v>820</v>
      </c>
      <c r="D228" s="1048"/>
      <c r="E228" s="1049">
        <v>10</v>
      </c>
      <c r="F228" s="709">
        <v>43339</v>
      </c>
      <c r="G228" s="709">
        <f>F228+E228</f>
        <v>43349</v>
      </c>
      <c r="H228" s="938" t="s">
        <v>774</v>
      </c>
      <c r="I228" s="706" t="s">
        <v>170</v>
      </c>
      <c r="J228" s="1488"/>
      <c r="K228" s="938" t="s">
        <v>821</v>
      </c>
      <c r="L228" s="1236">
        <v>23174</v>
      </c>
      <c r="M228" s="1048"/>
      <c r="N228" s="1048"/>
      <c r="O228" s="949">
        <v>1320</v>
      </c>
      <c r="P228" s="938">
        <v>1</v>
      </c>
      <c r="Q228" s="949">
        <f t="shared" ref="Q228:Q236" si="57">O228*P228</f>
        <v>1320</v>
      </c>
      <c r="R228" s="1043">
        <v>1320</v>
      </c>
      <c r="S228" s="941"/>
      <c r="T228" s="941"/>
      <c r="U228" s="1050"/>
      <c r="V228" s="1048"/>
      <c r="W228" s="1105">
        <v>1320</v>
      </c>
      <c r="X228" s="1176"/>
      <c r="Y228" s="1160"/>
      <c r="Z228" s="1160"/>
      <c r="AA228" s="1160"/>
      <c r="AB228" s="1160"/>
      <c r="AC228" s="1160"/>
      <c r="AD228" s="1160"/>
      <c r="AE228" s="1160"/>
      <c r="AF228" s="1160"/>
      <c r="AG228" s="1061"/>
    </row>
    <row r="229" spans="1:33" s="944" customFormat="1" ht="57.75" customHeight="1">
      <c r="A229" s="706">
        <v>1229</v>
      </c>
      <c r="B229" s="947" t="s">
        <v>819</v>
      </c>
      <c r="C229" s="1080" t="s">
        <v>820</v>
      </c>
      <c r="D229" s="951"/>
      <c r="E229" s="726">
        <v>10</v>
      </c>
      <c r="F229" s="709">
        <v>43339</v>
      </c>
      <c r="G229" s="709">
        <f t="shared" ref="G229:G234" si="58">F229+E229</f>
        <v>43349</v>
      </c>
      <c r="H229" s="938" t="s">
        <v>774</v>
      </c>
      <c r="I229" s="706" t="s">
        <v>170</v>
      </c>
      <c r="J229" s="728"/>
      <c r="K229" s="938" t="s">
        <v>822</v>
      </c>
      <c r="L229" s="1236">
        <v>23174</v>
      </c>
      <c r="M229" s="951"/>
      <c r="N229" s="951"/>
      <c r="O229" s="949">
        <v>5724</v>
      </c>
      <c r="P229" s="938">
        <v>1</v>
      </c>
      <c r="Q229" s="949">
        <f t="shared" si="57"/>
        <v>5724</v>
      </c>
      <c r="R229" s="942">
        <v>5724</v>
      </c>
      <c r="S229" s="1039"/>
      <c r="T229" s="941"/>
      <c r="U229" s="952"/>
      <c r="V229" s="951"/>
      <c r="W229" s="1106">
        <v>5724</v>
      </c>
      <c r="X229" s="1177"/>
      <c r="Y229" s="1161"/>
      <c r="Z229" s="1161"/>
      <c r="AA229" s="1161"/>
      <c r="AB229" s="1161"/>
      <c r="AC229" s="1161"/>
      <c r="AD229" s="1161"/>
      <c r="AE229" s="1161"/>
      <c r="AF229" s="1161"/>
      <c r="AG229" s="1062"/>
    </row>
    <row r="230" spans="1:33" s="944" customFormat="1" ht="57.75" customHeight="1">
      <c r="A230" s="706">
        <v>1229</v>
      </c>
      <c r="B230" s="947" t="s">
        <v>819</v>
      </c>
      <c r="C230" s="1080" t="s">
        <v>820</v>
      </c>
      <c r="D230" s="951"/>
      <c r="E230" s="726">
        <v>10</v>
      </c>
      <c r="F230" s="709">
        <v>43339</v>
      </c>
      <c r="G230" s="709">
        <f t="shared" si="58"/>
        <v>43349</v>
      </c>
      <c r="H230" s="938" t="s">
        <v>774</v>
      </c>
      <c r="I230" s="706" t="s">
        <v>170</v>
      </c>
      <c r="J230" s="728"/>
      <c r="K230" s="938" t="s">
        <v>799</v>
      </c>
      <c r="L230" s="1236">
        <v>23174</v>
      </c>
      <c r="M230" s="951"/>
      <c r="N230" s="951"/>
      <c r="O230" s="949">
        <v>260</v>
      </c>
      <c r="P230" s="938">
        <v>1</v>
      </c>
      <c r="Q230" s="949">
        <f t="shared" si="57"/>
        <v>260</v>
      </c>
      <c r="R230" s="942">
        <v>260</v>
      </c>
      <c r="S230" s="1039"/>
      <c r="T230" s="941"/>
      <c r="U230" s="952"/>
      <c r="V230" s="951"/>
      <c r="W230" s="1106">
        <v>260</v>
      </c>
      <c r="X230" s="1177"/>
      <c r="Y230" s="1161"/>
      <c r="Z230" s="1161"/>
      <c r="AA230" s="1161"/>
      <c r="AB230" s="1161"/>
      <c r="AC230" s="1161"/>
      <c r="AD230" s="1161"/>
      <c r="AE230" s="1161"/>
      <c r="AF230" s="1161"/>
      <c r="AG230" s="1062"/>
    </row>
    <row r="231" spans="1:33" s="944" customFormat="1" ht="57.75" customHeight="1">
      <c r="A231" s="706">
        <v>1229</v>
      </c>
      <c r="B231" s="947" t="s">
        <v>819</v>
      </c>
      <c r="C231" s="1080" t="s">
        <v>820</v>
      </c>
      <c r="D231" s="951"/>
      <c r="E231" s="726">
        <v>10</v>
      </c>
      <c r="F231" s="709">
        <v>43339</v>
      </c>
      <c r="G231" s="709">
        <f t="shared" si="58"/>
        <v>43349</v>
      </c>
      <c r="H231" s="938" t="s">
        <v>774</v>
      </c>
      <c r="I231" s="706" t="s">
        <v>170</v>
      </c>
      <c r="J231" s="728"/>
      <c r="K231" s="938" t="s">
        <v>823</v>
      </c>
      <c r="L231" s="1236">
        <v>23174</v>
      </c>
      <c r="M231" s="951"/>
      <c r="N231" s="951"/>
      <c r="O231" s="949">
        <v>5773.333333333333</v>
      </c>
      <c r="P231" s="938">
        <v>1</v>
      </c>
      <c r="Q231" s="949">
        <f t="shared" si="57"/>
        <v>5773.333333333333</v>
      </c>
      <c r="R231" s="942">
        <v>5773.333333333333</v>
      </c>
      <c r="S231" s="1039"/>
      <c r="T231" s="941"/>
      <c r="U231" s="952"/>
      <c r="V231" s="951"/>
      <c r="W231" s="1106">
        <v>5773.333333333333</v>
      </c>
      <c r="X231" s="1177"/>
      <c r="Y231" s="1161"/>
      <c r="Z231" s="1161"/>
      <c r="AA231" s="1161"/>
      <c r="AB231" s="1161"/>
      <c r="AC231" s="1161"/>
      <c r="AD231" s="1161"/>
      <c r="AE231" s="1161"/>
      <c r="AF231" s="1161"/>
      <c r="AG231" s="1062"/>
    </row>
    <row r="232" spans="1:33" s="944" customFormat="1" ht="57.75" customHeight="1">
      <c r="A232" s="706">
        <v>1229</v>
      </c>
      <c r="B232" s="947" t="s">
        <v>819</v>
      </c>
      <c r="C232" s="1080" t="s">
        <v>820</v>
      </c>
      <c r="D232" s="951"/>
      <c r="E232" s="726">
        <v>10</v>
      </c>
      <c r="F232" s="709">
        <v>43339</v>
      </c>
      <c r="G232" s="709">
        <f t="shared" si="58"/>
        <v>43349</v>
      </c>
      <c r="H232" s="938" t="s">
        <v>774</v>
      </c>
      <c r="I232" s="706" t="s">
        <v>170</v>
      </c>
      <c r="J232" s="728"/>
      <c r="K232" s="938" t="s">
        <v>779</v>
      </c>
      <c r="L232" s="1236">
        <v>23174</v>
      </c>
      <c r="M232" s="951"/>
      <c r="N232" s="951"/>
      <c r="O232" s="949">
        <v>153.33333333333334</v>
      </c>
      <c r="P232" s="938">
        <v>1</v>
      </c>
      <c r="Q232" s="949">
        <f t="shared" si="57"/>
        <v>153.33333333333334</v>
      </c>
      <c r="R232" s="942">
        <v>153.33333333333334</v>
      </c>
      <c r="S232" s="1039"/>
      <c r="T232" s="941"/>
      <c r="U232" s="952"/>
      <c r="V232" s="951"/>
      <c r="W232" s="1106">
        <v>153.33333333333334</v>
      </c>
      <c r="X232" s="1177"/>
      <c r="Y232" s="1161"/>
      <c r="Z232" s="1161"/>
      <c r="AA232" s="1161"/>
      <c r="AB232" s="1161"/>
      <c r="AC232" s="1161"/>
      <c r="AD232" s="1161"/>
      <c r="AE232" s="1161"/>
      <c r="AF232" s="1161"/>
      <c r="AG232" s="1062"/>
    </row>
    <row r="233" spans="1:33" s="944" customFormat="1" ht="57.75" customHeight="1">
      <c r="A233" s="706">
        <v>1229</v>
      </c>
      <c r="B233" s="947" t="s">
        <v>819</v>
      </c>
      <c r="C233" s="1080" t="s">
        <v>820</v>
      </c>
      <c r="D233" s="951"/>
      <c r="E233" s="726">
        <v>10</v>
      </c>
      <c r="F233" s="709">
        <v>43339</v>
      </c>
      <c r="G233" s="709">
        <f t="shared" si="58"/>
        <v>43349</v>
      </c>
      <c r="H233" s="938" t="s">
        <v>774</v>
      </c>
      <c r="I233" s="706" t="s">
        <v>170</v>
      </c>
      <c r="J233" s="728"/>
      <c r="K233" s="938" t="s">
        <v>824</v>
      </c>
      <c r="L233" s="1236">
        <v>23174</v>
      </c>
      <c r="M233" s="951"/>
      <c r="N233" s="951"/>
      <c r="O233" s="949">
        <v>238</v>
      </c>
      <c r="P233" s="938">
        <v>1</v>
      </c>
      <c r="Q233" s="949">
        <f t="shared" si="57"/>
        <v>238</v>
      </c>
      <c r="R233" s="942">
        <v>238</v>
      </c>
      <c r="S233" s="1039"/>
      <c r="T233" s="941"/>
      <c r="U233" s="952"/>
      <c r="V233" s="951"/>
      <c r="W233" s="1106">
        <v>238</v>
      </c>
      <c r="X233" s="1177"/>
      <c r="Y233" s="1161"/>
      <c r="Z233" s="1161"/>
      <c r="AA233" s="1161"/>
      <c r="AB233" s="1161"/>
      <c r="AC233" s="1161"/>
      <c r="AD233" s="1161"/>
      <c r="AE233" s="1161"/>
      <c r="AF233" s="1161"/>
      <c r="AG233" s="1062"/>
    </row>
    <row r="234" spans="1:33" s="944" customFormat="1" ht="57.75" customHeight="1">
      <c r="A234" s="706">
        <v>1229</v>
      </c>
      <c r="B234" s="947" t="s">
        <v>819</v>
      </c>
      <c r="C234" s="1080" t="s">
        <v>820</v>
      </c>
      <c r="D234" s="951"/>
      <c r="E234" s="726">
        <v>10</v>
      </c>
      <c r="F234" s="709">
        <v>43339</v>
      </c>
      <c r="G234" s="709">
        <f t="shared" si="58"/>
        <v>43349</v>
      </c>
      <c r="H234" s="938" t="s">
        <v>774</v>
      </c>
      <c r="I234" s="706" t="s">
        <v>170</v>
      </c>
      <c r="J234" s="728"/>
      <c r="K234" s="938" t="s">
        <v>825</v>
      </c>
      <c r="L234" s="1236">
        <v>23174</v>
      </c>
      <c r="M234" s="951"/>
      <c r="N234" s="951"/>
      <c r="O234" s="949">
        <v>501.66666666666669</v>
      </c>
      <c r="P234" s="938">
        <v>1</v>
      </c>
      <c r="Q234" s="949">
        <f t="shared" si="57"/>
        <v>501.66666666666669</v>
      </c>
      <c r="R234" s="942">
        <v>501.66666666666669</v>
      </c>
      <c r="S234" s="1039"/>
      <c r="T234" s="941"/>
      <c r="U234" s="952"/>
      <c r="V234" s="951"/>
      <c r="W234" s="1106">
        <v>501.66666666666669</v>
      </c>
      <c r="X234" s="1177"/>
      <c r="Y234" s="1161"/>
      <c r="Z234" s="1161"/>
      <c r="AA234" s="1161"/>
      <c r="AB234" s="1161"/>
      <c r="AC234" s="1161"/>
      <c r="AD234" s="1161"/>
      <c r="AE234" s="1161"/>
      <c r="AF234" s="1161"/>
      <c r="AG234" s="1062"/>
    </row>
    <row r="235" spans="1:33" s="944" customFormat="1" ht="57.75" customHeight="1">
      <c r="A235" s="706">
        <v>1229</v>
      </c>
      <c r="B235" s="947" t="s">
        <v>819</v>
      </c>
      <c r="C235" s="1080" t="s">
        <v>820</v>
      </c>
      <c r="D235" s="951"/>
      <c r="E235" s="726"/>
      <c r="F235" s="709"/>
      <c r="G235" s="709"/>
      <c r="H235" s="938" t="s">
        <v>774</v>
      </c>
      <c r="I235" s="706" t="s">
        <v>170</v>
      </c>
      <c r="J235" s="728"/>
      <c r="K235" s="1330" t="s">
        <v>818</v>
      </c>
      <c r="L235" s="1236">
        <v>23173</v>
      </c>
      <c r="M235" s="951"/>
      <c r="N235" s="951"/>
      <c r="O235" s="949">
        <v>534.88800000000003</v>
      </c>
      <c r="P235" s="952">
        <v>1</v>
      </c>
      <c r="Q235" s="949">
        <f t="shared" si="57"/>
        <v>534.88800000000003</v>
      </c>
      <c r="R235" s="942">
        <v>534.88800000000003</v>
      </c>
      <c r="S235" s="1039"/>
      <c r="T235" s="941"/>
      <c r="U235" s="952"/>
      <c r="V235" s="951"/>
      <c r="W235" s="1106">
        <v>534.88800000000003</v>
      </c>
      <c r="X235" s="1177"/>
      <c r="Y235" s="1161"/>
      <c r="Z235" s="1161"/>
      <c r="AA235" s="1161"/>
      <c r="AB235" s="1161"/>
      <c r="AC235" s="1161"/>
      <c r="AD235" s="1161"/>
      <c r="AE235" s="1161"/>
      <c r="AF235" s="1161"/>
      <c r="AG235" s="1062"/>
    </row>
    <row r="236" spans="1:33" s="944" customFormat="1" ht="57.75" customHeight="1">
      <c r="A236" s="706">
        <v>1229</v>
      </c>
      <c r="B236" s="947" t="s">
        <v>819</v>
      </c>
      <c r="C236" s="1080" t="s">
        <v>820</v>
      </c>
      <c r="D236" s="951"/>
      <c r="E236" s="726"/>
      <c r="F236" s="726"/>
      <c r="G236" s="726"/>
      <c r="H236" s="938" t="s">
        <v>774</v>
      </c>
      <c r="I236" s="706" t="s">
        <v>170</v>
      </c>
      <c r="J236" s="728"/>
      <c r="K236" s="938" t="s">
        <v>415</v>
      </c>
      <c r="L236" s="1236">
        <v>23173</v>
      </c>
      <c r="M236" s="951"/>
      <c r="N236" s="951"/>
      <c r="O236" s="949">
        <v>1666.6666666666667</v>
      </c>
      <c r="P236" s="938">
        <v>1</v>
      </c>
      <c r="Q236" s="949">
        <f t="shared" si="57"/>
        <v>1666.6666666666667</v>
      </c>
      <c r="R236" s="942">
        <v>1666.6666666666667</v>
      </c>
      <c r="S236" s="1039"/>
      <c r="T236" s="941"/>
      <c r="U236" s="952"/>
      <c r="V236" s="951"/>
      <c r="W236" s="1106">
        <v>1666.6666666666667</v>
      </c>
      <c r="X236" s="1177"/>
      <c r="Y236" s="1161"/>
      <c r="Z236" s="1161"/>
      <c r="AA236" s="1161"/>
      <c r="AB236" s="1161"/>
      <c r="AC236" s="1161"/>
      <c r="AD236" s="1161"/>
      <c r="AE236" s="1161"/>
      <c r="AF236" s="1161"/>
      <c r="AG236" s="1062"/>
    </row>
    <row r="237" spans="1:33" s="1041" customFormat="1" ht="57.75" customHeight="1">
      <c r="A237" s="1037">
        <v>1230</v>
      </c>
      <c r="B237" s="946" t="s">
        <v>826</v>
      </c>
      <c r="C237" s="1081" t="s">
        <v>827</v>
      </c>
      <c r="D237" s="1045"/>
      <c r="E237" s="1046">
        <v>5</v>
      </c>
      <c r="F237" s="1038">
        <v>43360</v>
      </c>
      <c r="G237" s="1038">
        <f>F237+E237</f>
        <v>43365</v>
      </c>
      <c r="H237" s="1036" t="s">
        <v>785</v>
      </c>
      <c r="I237" s="1037" t="s">
        <v>170</v>
      </c>
      <c r="J237" s="656"/>
      <c r="K237" s="1036"/>
      <c r="L237" s="1235"/>
      <c r="M237" s="1045"/>
      <c r="N237" s="1045"/>
      <c r="O237" s="1042"/>
      <c r="P237" s="1036"/>
      <c r="Q237" s="1104">
        <f>SUM(Q238:Q246)</f>
        <v>7967.6643333333332</v>
      </c>
      <c r="R237" s="1040">
        <v>2520</v>
      </c>
      <c r="S237" s="1065">
        <f t="shared" ref="S237:AF237" si="59">SUM(S238:S246)</f>
        <v>0</v>
      </c>
      <c r="T237" s="1065">
        <f t="shared" si="59"/>
        <v>0</v>
      </c>
      <c r="U237" s="1065">
        <f t="shared" si="59"/>
        <v>0</v>
      </c>
      <c r="V237" s="1065">
        <f t="shared" si="59"/>
        <v>0</v>
      </c>
      <c r="W237" s="1065">
        <f t="shared" si="59"/>
        <v>7967.6643333333332</v>
      </c>
      <c r="X237" s="1178">
        <f t="shared" si="59"/>
        <v>0</v>
      </c>
      <c r="Y237" s="1192">
        <f t="shared" si="59"/>
        <v>0</v>
      </c>
      <c r="Z237" s="1192">
        <f t="shared" si="59"/>
        <v>0</v>
      </c>
      <c r="AA237" s="1192">
        <f t="shared" si="59"/>
        <v>0</v>
      </c>
      <c r="AB237" s="1192">
        <f t="shared" si="59"/>
        <v>0</v>
      </c>
      <c r="AC237" s="1192">
        <f t="shared" si="59"/>
        <v>0</v>
      </c>
      <c r="AD237" s="1192">
        <f t="shared" si="59"/>
        <v>0</v>
      </c>
      <c r="AE237" s="1192">
        <f t="shared" si="59"/>
        <v>0</v>
      </c>
      <c r="AF237" s="1192">
        <f t="shared" si="59"/>
        <v>0</v>
      </c>
      <c r="AG237" s="1066">
        <f>SUM(S237:AF237)</f>
        <v>7967.6643333333332</v>
      </c>
    </row>
    <row r="238" spans="1:33" s="1044" customFormat="1" ht="57.75" customHeight="1">
      <c r="A238" s="706">
        <v>1230</v>
      </c>
      <c r="B238" s="947" t="s">
        <v>826</v>
      </c>
      <c r="C238" s="1082" t="s">
        <v>827</v>
      </c>
      <c r="D238" s="1048"/>
      <c r="E238" s="1049">
        <v>5</v>
      </c>
      <c r="F238" s="709">
        <v>43360</v>
      </c>
      <c r="G238" s="709">
        <f>F238+E238</f>
        <v>43365</v>
      </c>
      <c r="H238" s="938" t="s">
        <v>785</v>
      </c>
      <c r="I238" s="706" t="s">
        <v>170</v>
      </c>
      <c r="J238" s="1488"/>
      <c r="K238" s="938" t="s">
        <v>828</v>
      </c>
      <c r="L238" s="1236">
        <v>23174</v>
      </c>
      <c r="M238" s="1048"/>
      <c r="N238" s="1048"/>
      <c r="O238" s="949">
        <v>2520</v>
      </c>
      <c r="P238" s="938">
        <v>1</v>
      </c>
      <c r="Q238" s="1105">
        <f>O238*P238</f>
        <v>2520</v>
      </c>
      <c r="R238" s="1043">
        <v>2520</v>
      </c>
      <c r="S238" s="941"/>
      <c r="T238" s="941"/>
      <c r="U238" s="1050"/>
      <c r="V238" s="1048"/>
      <c r="W238" s="1105">
        <v>2520</v>
      </c>
      <c r="X238" s="1176"/>
      <c r="Y238" s="1160"/>
      <c r="Z238" s="1160"/>
      <c r="AA238" s="1160"/>
      <c r="AB238" s="1160"/>
      <c r="AC238" s="1160"/>
      <c r="AD238" s="1160"/>
      <c r="AE238" s="1160"/>
      <c r="AF238" s="1160"/>
      <c r="AG238" s="1061"/>
    </row>
    <row r="239" spans="1:33" s="944" customFormat="1" ht="57.75" customHeight="1">
      <c r="A239" s="706">
        <v>1230</v>
      </c>
      <c r="B239" s="947" t="s">
        <v>826</v>
      </c>
      <c r="C239" s="1082" t="s">
        <v>827</v>
      </c>
      <c r="D239" s="951"/>
      <c r="E239" s="726">
        <v>5</v>
      </c>
      <c r="F239" s="709">
        <v>43360</v>
      </c>
      <c r="G239" s="709">
        <f t="shared" ref="G239:G244" si="60">F239+E239</f>
        <v>43365</v>
      </c>
      <c r="H239" s="938" t="s">
        <v>785</v>
      </c>
      <c r="I239" s="706" t="s">
        <v>170</v>
      </c>
      <c r="J239" s="728"/>
      <c r="K239" s="938" t="s">
        <v>829</v>
      </c>
      <c r="L239" s="1236">
        <v>23174</v>
      </c>
      <c r="M239" s="951"/>
      <c r="N239" s="951"/>
      <c r="O239" s="949">
        <v>1236</v>
      </c>
      <c r="P239" s="938">
        <v>1</v>
      </c>
      <c r="Q239" s="1106">
        <f>O239*P239</f>
        <v>1236</v>
      </c>
      <c r="R239" s="942">
        <v>1236</v>
      </c>
      <c r="S239" s="1039"/>
      <c r="T239" s="941"/>
      <c r="U239" s="952"/>
      <c r="V239" s="951"/>
      <c r="W239" s="1106">
        <v>1236</v>
      </c>
      <c r="X239" s="1177"/>
      <c r="Y239" s="1161"/>
      <c r="Z239" s="1161"/>
      <c r="AA239" s="1161"/>
      <c r="AB239" s="1161"/>
      <c r="AC239" s="1161"/>
      <c r="AD239" s="1161"/>
      <c r="AE239" s="1161"/>
      <c r="AF239" s="1161"/>
      <c r="AG239" s="1062"/>
    </row>
    <row r="240" spans="1:33" s="944" customFormat="1" ht="57.75" customHeight="1">
      <c r="A240" s="706">
        <v>1230</v>
      </c>
      <c r="B240" s="947" t="s">
        <v>826</v>
      </c>
      <c r="C240" s="1082" t="s">
        <v>827</v>
      </c>
      <c r="D240" s="951"/>
      <c r="E240" s="726">
        <v>5</v>
      </c>
      <c r="F240" s="709">
        <v>43360</v>
      </c>
      <c r="G240" s="709">
        <f t="shared" si="60"/>
        <v>43365</v>
      </c>
      <c r="H240" s="938" t="s">
        <v>785</v>
      </c>
      <c r="I240" s="706" t="s">
        <v>170</v>
      </c>
      <c r="J240" s="728"/>
      <c r="K240" s="938" t="s">
        <v>830</v>
      </c>
      <c r="L240" s="1236">
        <v>23174</v>
      </c>
      <c r="M240" s="951"/>
      <c r="N240" s="951"/>
      <c r="O240" s="949">
        <v>260</v>
      </c>
      <c r="P240" s="938">
        <v>1</v>
      </c>
      <c r="Q240" s="1106">
        <f>O240*P240</f>
        <v>260</v>
      </c>
      <c r="R240" s="942">
        <v>260</v>
      </c>
      <c r="S240" s="1039"/>
      <c r="T240" s="941"/>
      <c r="U240" s="952"/>
      <c r="V240" s="951"/>
      <c r="W240" s="1106">
        <v>260</v>
      </c>
      <c r="X240" s="1177"/>
      <c r="Y240" s="1161"/>
      <c r="Z240" s="1161"/>
      <c r="AA240" s="1161"/>
      <c r="AB240" s="1161"/>
      <c r="AC240" s="1161"/>
      <c r="AD240" s="1161"/>
      <c r="AE240" s="1161"/>
      <c r="AF240" s="1161"/>
      <c r="AG240" s="1062"/>
    </row>
    <row r="241" spans="1:33" s="944" customFormat="1" ht="57.75" customHeight="1">
      <c r="A241" s="706">
        <v>1230</v>
      </c>
      <c r="B241" s="947" t="s">
        <v>826</v>
      </c>
      <c r="C241" s="1082" t="s">
        <v>827</v>
      </c>
      <c r="D241" s="951"/>
      <c r="E241" s="726">
        <v>5</v>
      </c>
      <c r="F241" s="709">
        <v>43360</v>
      </c>
      <c r="G241" s="709">
        <f t="shared" si="60"/>
        <v>43365</v>
      </c>
      <c r="H241" s="938" t="s">
        <v>785</v>
      </c>
      <c r="I241" s="706" t="s">
        <v>170</v>
      </c>
      <c r="J241" s="728"/>
      <c r="K241" s="938" t="s">
        <v>831</v>
      </c>
      <c r="L241" s="1236">
        <v>23174</v>
      </c>
      <c r="M241" s="951"/>
      <c r="N241" s="951"/>
      <c r="O241" s="949">
        <v>1173.3333333333333</v>
      </c>
      <c r="P241" s="938">
        <v>1</v>
      </c>
      <c r="Q241" s="1106">
        <f>O241*P241</f>
        <v>1173.3333333333333</v>
      </c>
      <c r="R241" s="942">
        <v>1173.3333333333333</v>
      </c>
      <c r="S241" s="1039"/>
      <c r="T241" s="941"/>
      <c r="U241" s="952"/>
      <c r="V241" s="951"/>
      <c r="W241" s="1106">
        <v>1173.3333333333333</v>
      </c>
      <c r="X241" s="1177"/>
      <c r="Y241" s="1161"/>
      <c r="Z241" s="1161"/>
      <c r="AA241" s="1161"/>
      <c r="AB241" s="1161"/>
      <c r="AC241" s="1161"/>
      <c r="AD241" s="1161"/>
      <c r="AE241" s="1161"/>
      <c r="AF241" s="1161"/>
      <c r="AG241" s="1062"/>
    </row>
    <row r="242" spans="1:33" s="944" customFormat="1" ht="57.75" customHeight="1">
      <c r="A242" s="706">
        <v>1230</v>
      </c>
      <c r="B242" s="947" t="s">
        <v>826</v>
      </c>
      <c r="C242" s="1082" t="s">
        <v>827</v>
      </c>
      <c r="D242" s="951"/>
      <c r="E242" s="726">
        <v>5</v>
      </c>
      <c r="F242" s="709">
        <v>43360</v>
      </c>
      <c r="G242" s="709">
        <f t="shared" si="60"/>
        <v>43365</v>
      </c>
      <c r="H242" s="938" t="s">
        <v>785</v>
      </c>
      <c r="I242" s="706" t="s">
        <v>170</v>
      </c>
      <c r="J242" s="728"/>
      <c r="K242" s="938" t="s">
        <v>832</v>
      </c>
      <c r="L242" s="1236">
        <v>23174</v>
      </c>
      <c r="M242" s="951"/>
      <c r="N242" s="951"/>
      <c r="O242" s="949">
        <v>146.66666666666666</v>
      </c>
      <c r="P242" s="938">
        <v>1</v>
      </c>
      <c r="Q242" s="1106">
        <f>P242*O242</f>
        <v>146.66666666666666</v>
      </c>
      <c r="R242" s="942">
        <v>146.66666666666666</v>
      </c>
      <c r="S242" s="1039"/>
      <c r="T242" s="941"/>
      <c r="U242" s="952"/>
      <c r="V242" s="951"/>
      <c r="W242" s="1106">
        <v>146.66666666666666</v>
      </c>
      <c r="X242" s="1177"/>
      <c r="Y242" s="1161"/>
      <c r="Z242" s="1161"/>
      <c r="AA242" s="1161"/>
      <c r="AB242" s="1161"/>
      <c r="AC242" s="1161"/>
      <c r="AD242" s="1161"/>
      <c r="AE242" s="1161"/>
      <c r="AF242" s="1161"/>
      <c r="AG242" s="1062"/>
    </row>
    <row r="243" spans="1:33" s="944" customFormat="1" ht="57.75" customHeight="1">
      <c r="A243" s="706">
        <v>1230</v>
      </c>
      <c r="B243" s="947" t="s">
        <v>826</v>
      </c>
      <c r="C243" s="1082" t="s">
        <v>827</v>
      </c>
      <c r="D243" s="951"/>
      <c r="E243" s="726">
        <v>5</v>
      </c>
      <c r="F243" s="709">
        <v>43360</v>
      </c>
      <c r="G243" s="709">
        <f t="shared" si="60"/>
        <v>43365</v>
      </c>
      <c r="H243" s="938" t="s">
        <v>785</v>
      </c>
      <c r="I243" s="706" t="s">
        <v>170</v>
      </c>
      <c r="J243" s="728"/>
      <c r="K243" s="938" t="s">
        <v>833</v>
      </c>
      <c r="L243" s="1236">
        <v>23174</v>
      </c>
      <c r="M243" s="951"/>
      <c r="N243" s="951"/>
      <c r="O243" s="949">
        <v>1088</v>
      </c>
      <c r="P243" s="938">
        <v>1</v>
      </c>
      <c r="Q243" s="1106">
        <f>P243*O243</f>
        <v>1088</v>
      </c>
      <c r="R243" s="942">
        <v>1088</v>
      </c>
      <c r="S243" s="1039"/>
      <c r="T243" s="941"/>
      <c r="U243" s="952"/>
      <c r="V243" s="951"/>
      <c r="W243" s="1106">
        <v>1088</v>
      </c>
      <c r="X243" s="1177"/>
      <c r="Y243" s="1161"/>
      <c r="Z243" s="1161"/>
      <c r="AA243" s="1161"/>
      <c r="AB243" s="1161"/>
      <c r="AC243" s="1161"/>
      <c r="AD243" s="1161"/>
      <c r="AE243" s="1161"/>
      <c r="AF243" s="1161"/>
      <c r="AG243" s="1062"/>
    </row>
    <row r="244" spans="1:33" s="944" customFormat="1" ht="57.75" customHeight="1">
      <c r="A244" s="706">
        <v>1230</v>
      </c>
      <c r="B244" s="947" t="s">
        <v>826</v>
      </c>
      <c r="C244" s="1082" t="s">
        <v>827</v>
      </c>
      <c r="D244" s="951"/>
      <c r="E244" s="726">
        <v>5</v>
      </c>
      <c r="F244" s="709">
        <v>43360</v>
      </c>
      <c r="G244" s="709">
        <f t="shared" si="60"/>
        <v>43365</v>
      </c>
      <c r="H244" s="938" t="s">
        <v>785</v>
      </c>
      <c r="I244" s="706" t="s">
        <v>170</v>
      </c>
      <c r="J244" s="728"/>
      <c r="K244" s="938" t="s">
        <v>834</v>
      </c>
      <c r="L244" s="1236">
        <v>23174</v>
      </c>
      <c r="M244" s="951"/>
      <c r="N244" s="951"/>
      <c r="O244" s="949">
        <v>680</v>
      </c>
      <c r="P244" s="938">
        <v>1</v>
      </c>
      <c r="Q244" s="1106">
        <f>O244*P244</f>
        <v>680</v>
      </c>
      <c r="R244" s="942">
        <v>680</v>
      </c>
      <c r="S244" s="1039"/>
      <c r="T244" s="941"/>
      <c r="U244" s="952"/>
      <c r="V244" s="951"/>
      <c r="W244" s="1106">
        <v>680</v>
      </c>
      <c r="X244" s="1177"/>
      <c r="Y244" s="1161"/>
      <c r="Z244" s="1161"/>
      <c r="AA244" s="1161"/>
      <c r="AB244" s="1161"/>
      <c r="AC244" s="1161"/>
      <c r="AD244" s="1161"/>
      <c r="AE244" s="1161"/>
      <c r="AF244" s="1161"/>
      <c r="AG244" s="1062"/>
    </row>
    <row r="245" spans="1:33" s="944" customFormat="1" ht="57.75" customHeight="1">
      <c r="A245" s="706">
        <v>1230</v>
      </c>
      <c r="B245" s="947" t="s">
        <v>826</v>
      </c>
      <c r="C245" s="1082" t="s">
        <v>827</v>
      </c>
      <c r="D245" s="951"/>
      <c r="E245" s="726"/>
      <c r="F245" s="709"/>
      <c r="G245" s="709"/>
      <c r="H245" s="938" t="s">
        <v>785</v>
      </c>
      <c r="I245" s="706" t="s">
        <v>170</v>
      </c>
      <c r="J245" s="728"/>
      <c r="K245" s="1330" t="s">
        <v>835</v>
      </c>
      <c r="L245" s="1236">
        <v>23173</v>
      </c>
      <c r="M245" s="951"/>
      <c r="N245" s="951"/>
      <c r="O245" s="949">
        <v>30.331</v>
      </c>
      <c r="P245" s="938">
        <v>1</v>
      </c>
      <c r="Q245" s="1106">
        <f>O245*P245</f>
        <v>30.331</v>
      </c>
      <c r="R245" s="942">
        <v>30.331</v>
      </c>
      <c r="S245" s="1039"/>
      <c r="T245" s="941"/>
      <c r="U245" s="952"/>
      <c r="V245" s="951"/>
      <c r="W245" s="1106">
        <v>30.331</v>
      </c>
      <c r="X245" s="1177"/>
      <c r="Y245" s="1161"/>
      <c r="Z245" s="1161"/>
      <c r="AA245" s="1161"/>
      <c r="AB245" s="1161"/>
      <c r="AC245" s="1161"/>
      <c r="AD245" s="1161"/>
      <c r="AE245" s="1161"/>
      <c r="AF245" s="1161"/>
      <c r="AG245" s="1062"/>
    </row>
    <row r="246" spans="1:33" s="944" customFormat="1" ht="57.75" customHeight="1">
      <c r="A246" s="706">
        <v>1230</v>
      </c>
      <c r="B246" s="947" t="s">
        <v>826</v>
      </c>
      <c r="C246" s="1082" t="s">
        <v>827</v>
      </c>
      <c r="D246" s="951"/>
      <c r="E246" s="726"/>
      <c r="F246" s="726"/>
      <c r="G246" s="726"/>
      <c r="H246" s="938" t="s">
        <v>785</v>
      </c>
      <c r="I246" s="706" t="s">
        <v>170</v>
      </c>
      <c r="J246" s="728"/>
      <c r="K246" s="938" t="s">
        <v>415</v>
      </c>
      <c r="L246" s="1236">
        <v>23173</v>
      </c>
      <c r="M246" s="951"/>
      <c r="N246" s="951"/>
      <c r="O246" s="949">
        <v>833.33333333333337</v>
      </c>
      <c r="P246" s="938">
        <v>1</v>
      </c>
      <c r="Q246" s="1106">
        <f>O246*P246</f>
        <v>833.33333333333337</v>
      </c>
      <c r="R246" s="942">
        <v>833.33333333333337</v>
      </c>
      <c r="S246" s="1039"/>
      <c r="T246" s="941"/>
      <c r="U246" s="952"/>
      <c r="V246" s="951"/>
      <c r="W246" s="1106">
        <v>833.33333333333337</v>
      </c>
      <c r="X246" s="1177"/>
      <c r="Y246" s="1161"/>
      <c r="Z246" s="1161"/>
      <c r="AA246" s="1161"/>
      <c r="AB246" s="1161"/>
      <c r="AC246" s="1161"/>
      <c r="AD246" s="1161"/>
      <c r="AE246" s="1161"/>
      <c r="AF246" s="1161"/>
      <c r="AG246" s="1062"/>
    </row>
    <row r="247" spans="1:33" s="992" customFormat="1" ht="33.75" customHeight="1">
      <c r="A247" s="1539" t="s">
        <v>235</v>
      </c>
      <c r="B247" s="1460"/>
      <c r="C247" s="1499"/>
      <c r="D247" s="1331"/>
      <c r="E247" s="1331"/>
      <c r="F247" s="1331"/>
      <c r="G247" s="1331"/>
      <c r="H247" s="1331"/>
      <c r="I247" s="1332"/>
      <c r="J247" s="265"/>
      <c r="K247" s="1247"/>
      <c r="L247" s="1262"/>
      <c r="M247" s="1263"/>
      <c r="N247" s="1261"/>
      <c r="O247" s="1264"/>
      <c r="P247" s="1261"/>
      <c r="Q247" s="1265">
        <f>Q248+Q335+Q382</f>
        <v>688782.5104266667</v>
      </c>
      <c r="R247" s="1266">
        <f>+R248+R335+R382</f>
        <v>688782.21375999996</v>
      </c>
      <c r="S247" s="1265">
        <f t="shared" ref="S247:AF247" si="61">S248+S335+S382</f>
        <v>0</v>
      </c>
      <c r="T247" s="1265">
        <f t="shared" si="61"/>
        <v>1700</v>
      </c>
      <c r="U247" s="1265">
        <f t="shared" si="61"/>
        <v>152563.84376000002</v>
      </c>
      <c r="V247" s="1265">
        <f t="shared" si="61"/>
        <v>137838.66666666669</v>
      </c>
      <c r="W247" s="1265">
        <f t="shared" si="61"/>
        <v>64436</v>
      </c>
      <c r="X247" s="1333">
        <f t="shared" si="61"/>
        <v>109804</v>
      </c>
      <c r="Y247" s="1334">
        <f t="shared" si="61"/>
        <v>187000</v>
      </c>
      <c r="Z247" s="1193">
        <f t="shared" si="61"/>
        <v>11600</v>
      </c>
      <c r="AA247" s="1193">
        <f t="shared" si="61"/>
        <v>11640</v>
      </c>
      <c r="AB247" s="1193">
        <f t="shared" si="61"/>
        <v>500</v>
      </c>
      <c r="AC247" s="1193">
        <f t="shared" si="61"/>
        <v>500</v>
      </c>
      <c r="AD247" s="1193">
        <f t="shared" si="61"/>
        <v>10200</v>
      </c>
      <c r="AE247" s="1193">
        <f t="shared" si="61"/>
        <v>500</v>
      </c>
      <c r="AF247" s="1193">
        <f t="shared" si="61"/>
        <v>500</v>
      </c>
      <c r="AG247" s="268">
        <f>AG248+AG335+AG382</f>
        <v>688782.5104266667</v>
      </c>
    </row>
    <row r="248" spans="1:33" ht="37.5" customHeight="1">
      <c r="A248" s="1540" t="s">
        <v>236</v>
      </c>
      <c r="B248" s="1461"/>
      <c r="C248" s="1500"/>
      <c r="D248" s="1335"/>
      <c r="E248" s="1335"/>
      <c r="F248" s="1335"/>
      <c r="G248" s="1335"/>
      <c r="H248" s="1335"/>
      <c r="I248" s="1336"/>
      <c r="J248" s="273"/>
      <c r="K248" s="1248"/>
      <c r="L248" s="1269"/>
      <c r="M248" s="1270"/>
      <c r="N248" s="1268"/>
      <c r="O248" s="1271"/>
      <c r="P248" s="1268"/>
      <c r="Q248" s="1272">
        <f>+Q249+Q260+Q277+Q296+Q315</f>
        <v>300354.41666666669</v>
      </c>
      <c r="R248" s="1273">
        <f>+'[2]Compil Costing PPA 3 millions'!F7</f>
        <v>300354.12</v>
      </c>
      <c r="S248" s="1272">
        <f t="shared" ref="S248:AF248" si="62">+S249+S260+S277+S296+S315</f>
        <v>0</v>
      </c>
      <c r="T248" s="1272">
        <f t="shared" si="62"/>
        <v>0</v>
      </c>
      <c r="U248" s="1272">
        <f t="shared" si="62"/>
        <v>79470.75</v>
      </c>
      <c r="V248" s="1272">
        <f t="shared" si="62"/>
        <v>40583.666666666672</v>
      </c>
      <c r="W248" s="1272">
        <f t="shared" si="62"/>
        <v>54436</v>
      </c>
      <c r="X248" s="1337">
        <f t="shared" si="62"/>
        <v>45624</v>
      </c>
      <c r="Y248" s="1338">
        <f t="shared" si="62"/>
        <v>77200</v>
      </c>
      <c r="Z248" s="1071">
        <f t="shared" si="62"/>
        <v>0</v>
      </c>
      <c r="AA248" s="1071">
        <f t="shared" si="62"/>
        <v>3040</v>
      </c>
      <c r="AB248" s="1071">
        <f t="shared" si="62"/>
        <v>0</v>
      </c>
      <c r="AC248" s="1071">
        <f t="shared" si="62"/>
        <v>0</v>
      </c>
      <c r="AD248" s="1071">
        <f t="shared" si="62"/>
        <v>0</v>
      </c>
      <c r="AE248" s="1071">
        <f t="shared" si="62"/>
        <v>0</v>
      </c>
      <c r="AF248" s="1071">
        <f t="shared" si="62"/>
        <v>0</v>
      </c>
      <c r="AG248" s="276">
        <f>+AG249+AG260+AG277+AG296+AG315</f>
        <v>300354.41666666669</v>
      </c>
    </row>
    <row r="249" spans="1:33" ht="29.25" customHeight="1">
      <c r="A249" s="1275">
        <v>211</v>
      </c>
      <c r="B249" s="995" t="s">
        <v>59</v>
      </c>
      <c r="C249" s="1083"/>
      <c r="D249" s="1339"/>
      <c r="E249" s="1340"/>
      <c r="F249" s="1340"/>
      <c r="G249" s="1340"/>
      <c r="H249" s="1339"/>
      <c r="I249" s="1341"/>
      <c r="J249" s="283"/>
      <c r="K249" s="1278"/>
      <c r="L249" s="1279"/>
      <c r="M249" s="1280"/>
      <c r="N249" s="1277"/>
      <c r="O249" s="1281"/>
      <c r="P249" s="1277"/>
      <c r="Q249" s="1282">
        <f>+Q250+Q259</f>
        <v>32625.75</v>
      </c>
      <c r="R249" s="287"/>
      <c r="S249" s="1282">
        <f t="shared" ref="S249:AF249" si="63">SUM(S251:S259)</f>
        <v>0</v>
      </c>
      <c r="T249" s="1282">
        <f t="shared" si="63"/>
        <v>0</v>
      </c>
      <c r="U249" s="1282">
        <f t="shared" si="63"/>
        <v>32625.75</v>
      </c>
      <c r="V249" s="1282">
        <f t="shared" si="63"/>
        <v>0</v>
      </c>
      <c r="W249" s="1282">
        <f t="shared" si="63"/>
        <v>0</v>
      </c>
      <c r="X249" s="1342">
        <f t="shared" si="63"/>
        <v>0</v>
      </c>
      <c r="Y249" s="1343">
        <f t="shared" si="63"/>
        <v>0</v>
      </c>
      <c r="Z249" s="1151">
        <f t="shared" si="63"/>
        <v>0</v>
      </c>
      <c r="AA249" s="1151">
        <f t="shared" si="63"/>
        <v>0</v>
      </c>
      <c r="AB249" s="1151">
        <f t="shared" si="63"/>
        <v>0</v>
      </c>
      <c r="AC249" s="1151">
        <f t="shared" si="63"/>
        <v>0</v>
      </c>
      <c r="AD249" s="1151">
        <f t="shared" si="63"/>
        <v>0</v>
      </c>
      <c r="AE249" s="1151">
        <f t="shared" si="63"/>
        <v>0</v>
      </c>
      <c r="AF249" s="1151">
        <f t="shared" si="63"/>
        <v>0</v>
      </c>
      <c r="AG249" s="1151">
        <f>SUM(S249:AF249)</f>
        <v>32625.75</v>
      </c>
    </row>
    <row r="250" spans="1:33" ht="36.75" customHeight="1">
      <c r="A250" s="1442">
        <v>2111</v>
      </c>
      <c r="B250" s="1666" t="s">
        <v>59</v>
      </c>
      <c r="C250" s="824" t="s">
        <v>293</v>
      </c>
      <c r="D250" s="326"/>
      <c r="E250" s="294">
        <v>5</v>
      </c>
      <c r="F250" s="293">
        <v>43221</v>
      </c>
      <c r="G250" s="293">
        <f>+E250+F250</f>
        <v>43226</v>
      </c>
      <c r="H250" s="293" t="s">
        <v>294</v>
      </c>
      <c r="I250" s="294" t="s">
        <v>171</v>
      </c>
      <c r="J250" s="307" t="s">
        <v>295</v>
      </c>
      <c r="K250" s="1656"/>
      <c r="L250" s="1660"/>
      <c r="M250" s="1661"/>
      <c r="N250" s="1657"/>
      <c r="O250" s="1662"/>
      <c r="P250" s="1657"/>
      <c r="Q250" s="1663">
        <f>SUM(Q251:Q257)</f>
        <v>9915</v>
      </c>
      <c r="R250" s="1658"/>
      <c r="S250" s="1663"/>
      <c r="T250" s="1663"/>
      <c r="U250" s="1663"/>
      <c r="V250" s="1663"/>
      <c r="W250" s="1663"/>
      <c r="X250" s="1664"/>
      <c r="Y250" s="1663"/>
      <c r="Z250" s="1665"/>
      <c r="AA250" s="1665"/>
      <c r="AB250" s="1665"/>
      <c r="AC250" s="1665"/>
      <c r="AD250" s="1665"/>
      <c r="AE250" s="1665"/>
      <c r="AF250" s="1665"/>
      <c r="AG250" s="1665"/>
    </row>
    <row r="251" spans="1:33" ht="32.25" customHeight="1">
      <c r="A251" s="1442">
        <v>2111</v>
      </c>
      <c r="B251" s="291" t="s">
        <v>59</v>
      </c>
      <c r="C251" s="824" t="s">
        <v>293</v>
      </c>
      <c r="D251" s="326"/>
      <c r="E251" s="294">
        <v>5</v>
      </c>
      <c r="F251" s="293">
        <v>43221</v>
      </c>
      <c r="G251" s="293">
        <f>+E251+F251</f>
        <v>43226</v>
      </c>
      <c r="H251" s="293" t="s">
        <v>294</v>
      </c>
      <c r="I251" s="294" t="s">
        <v>171</v>
      </c>
      <c r="J251" s="307" t="s">
        <v>295</v>
      </c>
      <c r="K251" s="326" t="s">
        <v>296</v>
      </c>
      <c r="L251" s="1237">
        <v>23174</v>
      </c>
      <c r="M251" s="326"/>
      <c r="N251" s="294"/>
      <c r="O251" s="354">
        <v>1800</v>
      </c>
      <c r="P251" s="294">
        <v>3</v>
      </c>
      <c r="Q251" s="355">
        <f t="shared" ref="Q251:Q259" si="64">+O251*P251</f>
        <v>5400</v>
      </c>
      <c r="R251" s="299"/>
      <c r="S251" s="355"/>
      <c r="T251" s="355"/>
      <c r="U251" s="355">
        <f t="shared" ref="U251:U257" si="65">+Q251</f>
        <v>5400</v>
      </c>
      <c r="V251" s="355"/>
      <c r="W251" s="355"/>
      <c r="X251" s="1137"/>
      <c r="Y251" s="1126"/>
      <c r="Z251" s="1194"/>
      <c r="AA251" s="1194"/>
      <c r="AB251" s="1194"/>
      <c r="AC251" s="1124"/>
      <c r="AD251" s="1124"/>
      <c r="AE251" s="1200"/>
      <c r="AF251" s="1124"/>
      <c r="AG251" s="1126"/>
    </row>
    <row r="252" spans="1:33" ht="32.25" customHeight="1">
      <c r="A252" s="1442">
        <v>2111</v>
      </c>
      <c r="B252" s="291" t="s">
        <v>59</v>
      </c>
      <c r="C252" s="824" t="s">
        <v>293</v>
      </c>
      <c r="D252" s="326"/>
      <c r="E252" s="294">
        <v>5</v>
      </c>
      <c r="F252" s="293">
        <v>43221</v>
      </c>
      <c r="G252" s="293">
        <f t="shared" ref="G252:G259" si="66">+E252+F252</f>
        <v>43226</v>
      </c>
      <c r="H252" s="293" t="s">
        <v>294</v>
      </c>
      <c r="I252" s="294" t="s">
        <v>171</v>
      </c>
      <c r="J252" s="307" t="s">
        <v>295</v>
      </c>
      <c r="K252" s="326" t="s">
        <v>297</v>
      </c>
      <c r="L252" s="1237">
        <v>23174</v>
      </c>
      <c r="M252" s="326"/>
      <c r="N252" s="294"/>
      <c r="O252" s="354">
        <v>177.33333333333334</v>
      </c>
      <c r="P252" s="294">
        <v>3</v>
      </c>
      <c r="Q252" s="355">
        <f t="shared" si="64"/>
        <v>532</v>
      </c>
      <c r="R252" s="299"/>
      <c r="S252" s="355"/>
      <c r="T252" s="355"/>
      <c r="U252" s="355">
        <f t="shared" si="65"/>
        <v>532</v>
      </c>
      <c r="V252" s="355"/>
      <c r="W252" s="355"/>
      <c r="X252" s="1137"/>
      <c r="Y252" s="1126"/>
      <c r="Z252" s="1194"/>
      <c r="AA252" s="1194"/>
      <c r="AB252" s="1194"/>
      <c r="AC252" s="1124"/>
      <c r="AD252" s="1124"/>
      <c r="AE252" s="1200"/>
      <c r="AF252" s="1124"/>
      <c r="AG252" s="1126"/>
    </row>
    <row r="253" spans="1:33" ht="32.25" customHeight="1">
      <c r="A253" s="1442">
        <v>2111</v>
      </c>
      <c r="B253" s="291" t="s">
        <v>59</v>
      </c>
      <c r="C253" s="824" t="s">
        <v>293</v>
      </c>
      <c r="D253" s="326"/>
      <c r="E253" s="294">
        <v>5</v>
      </c>
      <c r="F253" s="293">
        <v>43221</v>
      </c>
      <c r="G253" s="293">
        <f t="shared" si="66"/>
        <v>43226</v>
      </c>
      <c r="H253" s="293" t="s">
        <v>294</v>
      </c>
      <c r="I253" s="294" t="s">
        <v>171</v>
      </c>
      <c r="J253" s="307" t="s">
        <v>295</v>
      </c>
      <c r="K253" s="326" t="s">
        <v>298</v>
      </c>
      <c r="L253" s="1237">
        <v>23174</v>
      </c>
      <c r="M253" s="326"/>
      <c r="N253" s="294"/>
      <c r="O253" s="354">
        <v>224</v>
      </c>
      <c r="P253" s="294">
        <v>3</v>
      </c>
      <c r="Q253" s="355">
        <f t="shared" si="64"/>
        <v>672</v>
      </c>
      <c r="R253" s="299"/>
      <c r="S253" s="355"/>
      <c r="T253" s="355"/>
      <c r="U253" s="355">
        <f t="shared" si="65"/>
        <v>672</v>
      </c>
      <c r="V253" s="355"/>
      <c r="W253" s="355"/>
      <c r="X253" s="1137"/>
      <c r="Y253" s="1126"/>
      <c r="Z253" s="1194"/>
      <c r="AA253" s="1194"/>
      <c r="AB253" s="1194"/>
      <c r="AC253" s="1124"/>
      <c r="AD253" s="1124"/>
      <c r="AE253" s="1200"/>
      <c r="AF253" s="1124"/>
      <c r="AG253" s="1126"/>
    </row>
    <row r="254" spans="1:33" ht="32.25" customHeight="1">
      <c r="A254" s="1442">
        <v>2111</v>
      </c>
      <c r="B254" s="291" t="s">
        <v>59</v>
      </c>
      <c r="C254" s="824" t="s">
        <v>293</v>
      </c>
      <c r="D254" s="326"/>
      <c r="E254" s="294">
        <v>5</v>
      </c>
      <c r="F254" s="293">
        <v>43221</v>
      </c>
      <c r="G254" s="293">
        <f t="shared" si="66"/>
        <v>43226</v>
      </c>
      <c r="H254" s="293" t="s">
        <v>294</v>
      </c>
      <c r="I254" s="294" t="s">
        <v>171</v>
      </c>
      <c r="J254" s="307" t="s">
        <v>295</v>
      </c>
      <c r="K254" s="326" t="s">
        <v>299</v>
      </c>
      <c r="L254" s="1237">
        <v>23174</v>
      </c>
      <c r="M254" s="326"/>
      <c r="N254" s="294"/>
      <c r="O254" s="354">
        <v>166.66666666666666</v>
      </c>
      <c r="P254" s="294">
        <v>3</v>
      </c>
      <c r="Q254" s="355">
        <f t="shared" si="64"/>
        <v>500</v>
      </c>
      <c r="R254" s="299"/>
      <c r="S254" s="355"/>
      <c r="T254" s="355"/>
      <c r="U254" s="355">
        <f t="shared" si="65"/>
        <v>500</v>
      </c>
      <c r="V254" s="355"/>
      <c r="W254" s="355"/>
      <c r="X254" s="1137"/>
      <c r="Y254" s="1126"/>
      <c r="Z254" s="1194"/>
      <c r="AA254" s="1194"/>
      <c r="AB254" s="1194"/>
      <c r="AC254" s="1124"/>
      <c r="AD254" s="1124"/>
      <c r="AE254" s="1200"/>
      <c r="AF254" s="1124"/>
      <c r="AG254" s="1126"/>
    </row>
    <row r="255" spans="1:33" ht="32.25" customHeight="1">
      <c r="A255" s="1442">
        <v>2111</v>
      </c>
      <c r="B255" s="291" t="s">
        <v>59</v>
      </c>
      <c r="C255" s="824" t="s">
        <v>293</v>
      </c>
      <c r="D255" s="326"/>
      <c r="E255" s="294">
        <v>5</v>
      </c>
      <c r="F255" s="293">
        <v>43221</v>
      </c>
      <c r="G255" s="293">
        <f t="shared" si="66"/>
        <v>43226</v>
      </c>
      <c r="H255" s="293" t="s">
        <v>294</v>
      </c>
      <c r="I255" s="294" t="s">
        <v>171</v>
      </c>
      <c r="J255" s="307" t="s">
        <v>295</v>
      </c>
      <c r="K255" s="326" t="s">
        <v>300</v>
      </c>
      <c r="L255" s="1237">
        <v>23174</v>
      </c>
      <c r="M255" s="326"/>
      <c r="N255" s="294"/>
      <c r="O255" s="354">
        <v>426.66666666666669</v>
      </c>
      <c r="P255" s="294">
        <v>3</v>
      </c>
      <c r="Q255" s="355">
        <f t="shared" si="64"/>
        <v>1280</v>
      </c>
      <c r="R255" s="299"/>
      <c r="S255" s="355"/>
      <c r="T255" s="355"/>
      <c r="U255" s="355">
        <f t="shared" si="65"/>
        <v>1280</v>
      </c>
      <c r="V255" s="355"/>
      <c r="W255" s="355"/>
      <c r="X255" s="1137"/>
      <c r="Y255" s="1126"/>
      <c r="Z255" s="1194"/>
      <c r="AA255" s="1194"/>
      <c r="AB255" s="1194"/>
      <c r="AC255" s="1124"/>
      <c r="AD255" s="1124"/>
      <c r="AE255" s="1200"/>
      <c r="AF255" s="1124"/>
      <c r="AG255" s="1126"/>
    </row>
    <row r="256" spans="1:33" ht="32.25" customHeight="1">
      <c r="A256" s="1442">
        <v>2111</v>
      </c>
      <c r="B256" s="291" t="s">
        <v>59</v>
      </c>
      <c r="C256" s="824" t="s">
        <v>293</v>
      </c>
      <c r="D256" s="326"/>
      <c r="E256" s="294">
        <v>5</v>
      </c>
      <c r="F256" s="293">
        <v>43221</v>
      </c>
      <c r="G256" s="293">
        <f t="shared" si="66"/>
        <v>43226</v>
      </c>
      <c r="H256" s="293" t="s">
        <v>294</v>
      </c>
      <c r="I256" s="294" t="s">
        <v>171</v>
      </c>
      <c r="J256" s="307" t="s">
        <v>295</v>
      </c>
      <c r="K256" s="326" t="s">
        <v>301</v>
      </c>
      <c r="L256" s="1237">
        <v>23173</v>
      </c>
      <c r="M256" s="326"/>
      <c r="N256" s="294"/>
      <c r="O256" s="354">
        <v>166.66666666666666</v>
      </c>
      <c r="P256" s="294">
        <v>3</v>
      </c>
      <c r="Q256" s="355">
        <f t="shared" si="64"/>
        <v>500</v>
      </c>
      <c r="R256" s="299"/>
      <c r="S256" s="355"/>
      <c r="T256" s="355"/>
      <c r="U256" s="355">
        <f t="shared" si="65"/>
        <v>500</v>
      </c>
      <c r="V256" s="355"/>
      <c r="W256" s="355"/>
      <c r="X256" s="1137"/>
      <c r="Y256" s="1126"/>
      <c r="Z256" s="1194"/>
      <c r="AA256" s="1194"/>
      <c r="AB256" s="1194"/>
      <c r="AC256" s="1124"/>
      <c r="AD256" s="1124"/>
      <c r="AE256" s="1200"/>
      <c r="AF256" s="1124"/>
      <c r="AG256" s="1126"/>
    </row>
    <row r="257" spans="1:33" ht="32.25" customHeight="1">
      <c r="A257" s="1442">
        <v>2111</v>
      </c>
      <c r="B257" s="291" t="s">
        <v>59</v>
      </c>
      <c r="C257" s="824" t="s">
        <v>293</v>
      </c>
      <c r="D257" s="326"/>
      <c r="E257" s="294">
        <v>5</v>
      </c>
      <c r="F257" s="293">
        <v>43221</v>
      </c>
      <c r="G257" s="293">
        <f t="shared" si="66"/>
        <v>43226</v>
      </c>
      <c r="H257" s="293" t="s">
        <v>294</v>
      </c>
      <c r="I257" s="294" t="s">
        <v>171</v>
      </c>
      <c r="J257" s="307" t="s">
        <v>295</v>
      </c>
      <c r="K257" s="326" t="s">
        <v>302</v>
      </c>
      <c r="L257" s="1237">
        <v>23173</v>
      </c>
      <c r="M257" s="326"/>
      <c r="N257" s="294"/>
      <c r="O257" s="354">
        <v>343.66666666666669</v>
      </c>
      <c r="P257" s="294">
        <v>3</v>
      </c>
      <c r="Q257" s="355">
        <f t="shared" si="64"/>
        <v>1031</v>
      </c>
      <c r="R257" s="299"/>
      <c r="S257" s="355"/>
      <c r="T257" s="355"/>
      <c r="U257" s="355">
        <f t="shared" si="65"/>
        <v>1031</v>
      </c>
      <c r="V257" s="355"/>
      <c r="W257" s="355"/>
      <c r="X257" s="1137"/>
      <c r="Y257" s="1126"/>
      <c r="Z257" s="1194"/>
      <c r="AA257" s="1194"/>
      <c r="AB257" s="1194"/>
      <c r="AC257" s="1124"/>
      <c r="AD257" s="1124"/>
      <c r="AE257" s="1200"/>
      <c r="AF257" s="1124"/>
      <c r="AG257" s="1126"/>
    </row>
    <row r="258" spans="1:33" ht="32.25" customHeight="1">
      <c r="A258" s="1442">
        <v>2112</v>
      </c>
      <c r="B258" s="1666" t="s">
        <v>303</v>
      </c>
      <c r="C258" s="824" t="s">
        <v>304</v>
      </c>
      <c r="D258" s="326"/>
      <c r="E258" s="294">
        <v>60</v>
      </c>
      <c r="F258" s="293">
        <v>43221</v>
      </c>
      <c r="G258" s="293">
        <f>+E258+F258</f>
        <v>43281</v>
      </c>
      <c r="H258" s="293" t="s">
        <v>294</v>
      </c>
      <c r="I258" s="294" t="s">
        <v>171</v>
      </c>
      <c r="J258" s="307" t="s">
        <v>295</v>
      </c>
      <c r="K258" s="326" t="s">
        <v>305</v>
      </c>
      <c r="L258" s="1668"/>
      <c r="M258" s="1636"/>
      <c r="N258" s="1631"/>
      <c r="O258" s="1676"/>
      <c r="P258" s="1631"/>
      <c r="Q258" s="1670"/>
      <c r="R258" s="1671"/>
      <c r="S258" s="1670"/>
      <c r="T258" s="1670"/>
      <c r="U258" s="1670"/>
      <c r="V258" s="1670"/>
      <c r="W258" s="1670"/>
      <c r="X258" s="1672"/>
      <c r="Y258" s="1670"/>
      <c r="Z258" s="1673"/>
      <c r="AA258" s="1673"/>
      <c r="AB258" s="1673"/>
      <c r="AC258" s="1636"/>
      <c r="AD258" s="1636"/>
      <c r="AE258" s="1674"/>
      <c r="AF258" s="1636"/>
      <c r="AG258" s="1670"/>
    </row>
    <row r="259" spans="1:33" ht="32.25" customHeight="1">
      <c r="A259" s="1442">
        <v>2112</v>
      </c>
      <c r="B259" s="291" t="s">
        <v>303</v>
      </c>
      <c r="C259" s="824" t="s">
        <v>304</v>
      </c>
      <c r="D259" s="326"/>
      <c r="E259" s="294">
        <v>60</v>
      </c>
      <c r="F259" s="293">
        <v>43221</v>
      </c>
      <c r="G259" s="293">
        <f t="shared" si="66"/>
        <v>43281</v>
      </c>
      <c r="H259" s="293" t="s">
        <v>294</v>
      </c>
      <c r="I259" s="294" t="s">
        <v>171</v>
      </c>
      <c r="J259" s="307" t="s">
        <v>295</v>
      </c>
      <c r="K259" s="326" t="s">
        <v>305</v>
      </c>
      <c r="L259" s="1237">
        <v>2461</v>
      </c>
      <c r="M259" s="326"/>
      <c r="N259" s="294"/>
      <c r="O259" s="354">
        <v>504.68333333333334</v>
      </c>
      <c r="P259" s="294">
        <v>45</v>
      </c>
      <c r="Q259" s="1667">
        <f t="shared" si="64"/>
        <v>22710.75</v>
      </c>
      <c r="R259" s="299"/>
      <c r="S259" s="355"/>
      <c r="T259" s="355"/>
      <c r="U259" s="355">
        <f>+Q259</f>
        <v>22710.75</v>
      </c>
      <c r="V259" s="355"/>
      <c r="W259" s="355"/>
      <c r="X259" s="1137"/>
      <c r="Y259" s="1126"/>
      <c r="Z259" s="1194"/>
      <c r="AA259" s="1194"/>
      <c r="AB259" s="1194"/>
      <c r="AC259" s="1124"/>
      <c r="AD259" s="1124"/>
      <c r="AE259" s="1200"/>
      <c r="AF259" s="1124"/>
      <c r="AG259" s="1126"/>
    </row>
    <row r="260" spans="1:33" ht="29.25" customHeight="1">
      <c r="A260" s="1275">
        <v>212</v>
      </c>
      <c r="B260" s="995" t="s">
        <v>306</v>
      </c>
      <c r="C260" s="1083"/>
      <c r="D260" s="1339"/>
      <c r="E260" s="1340"/>
      <c r="F260" s="1340"/>
      <c r="G260" s="1340"/>
      <c r="H260" s="1339"/>
      <c r="I260" s="1341"/>
      <c r="J260" s="283"/>
      <c r="K260" s="1278"/>
      <c r="L260" s="1279"/>
      <c r="M260" s="1280"/>
      <c r="N260" s="1277"/>
      <c r="O260" s="1281"/>
      <c r="P260" s="1277"/>
      <c r="Q260" s="1282">
        <f>+Q261+Q269+Q271+Q273+Q275</f>
        <v>39681</v>
      </c>
      <c r="R260" s="287"/>
      <c r="S260" s="1282">
        <f t="shared" ref="S260:AF260" si="67">SUM(S262:S276)</f>
        <v>0</v>
      </c>
      <c r="T260" s="1282">
        <f t="shared" si="67"/>
        <v>0</v>
      </c>
      <c r="U260" s="1282">
        <f t="shared" si="67"/>
        <v>11347.666666666666</v>
      </c>
      <c r="V260" s="1282">
        <f t="shared" si="67"/>
        <v>0</v>
      </c>
      <c r="W260" s="1282">
        <f t="shared" si="67"/>
        <v>28333.333333333336</v>
      </c>
      <c r="X260" s="1342">
        <f t="shared" si="67"/>
        <v>0</v>
      </c>
      <c r="Y260" s="1343">
        <f t="shared" si="67"/>
        <v>0</v>
      </c>
      <c r="Z260" s="1151">
        <f t="shared" si="67"/>
        <v>0</v>
      </c>
      <c r="AA260" s="1151">
        <f t="shared" si="67"/>
        <v>0</v>
      </c>
      <c r="AB260" s="1151">
        <f t="shared" si="67"/>
        <v>0</v>
      </c>
      <c r="AC260" s="1151">
        <f t="shared" si="67"/>
        <v>0</v>
      </c>
      <c r="AD260" s="1151">
        <f t="shared" si="67"/>
        <v>0</v>
      </c>
      <c r="AE260" s="1151">
        <f t="shared" si="67"/>
        <v>0</v>
      </c>
      <c r="AF260" s="1151">
        <f t="shared" si="67"/>
        <v>0</v>
      </c>
      <c r="AG260" s="1151">
        <f>SUM(S260:AF260)</f>
        <v>39681</v>
      </c>
    </row>
    <row r="261" spans="1:33" ht="29.25" customHeight="1">
      <c r="A261" s="1442">
        <v>2121</v>
      </c>
      <c r="B261" s="1666" t="s">
        <v>60</v>
      </c>
      <c r="C261" s="824" t="s">
        <v>307</v>
      </c>
      <c r="D261" s="326"/>
      <c r="E261" s="294">
        <v>2</v>
      </c>
      <c r="F261" s="293">
        <v>43227</v>
      </c>
      <c r="G261" s="293">
        <f>+E261+F261</f>
        <v>43229</v>
      </c>
      <c r="H261" s="293" t="s">
        <v>294</v>
      </c>
      <c r="I261" s="294" t="s">
        <v>171</v>
      </c>
      <c r="J261" s="307" t="s">
        <v>295</v>
      </c>
      <c r="K261" s="326" t="s">
        <v>308</v>
      </c>
      <c r="L261" s="1660"/>
      <c r="M261" s="1661"/>
      <c r="N261" s="1657"/>
      <c r="O261" s="1662"/>
      <c r="P261" s="1657"/>
      <c r="Q261" s="1663">
        <f>SUM(Q262:Q268)</f>
        <v>5347.666666666667</v>
      </c>
      <c r="R261" s="1658"/>
      <c r="S261" s="1663"/>
      <c r="T261" s="1663"/>
      <c r="U261" s="1663"/>
      <c r="V261" s="1663"/>
      <c r="W261" s="1663"/>
      <c r="X261" s="1664"/>
      <c r="Y261" s="1663"/>
      <c r="Z261" s="1665"/>
      <c r="AA261" s="1665"/>
      <c r="AB261" s="1665"/>
      <c r="AC261" s="1665"/>
      <c r="AD261" s="1665"/>
      <c r="AE261" s="1665"/>
      <c r="AF261" s="1665"/>
      <c r="AG261" s="1665"/>
    </row>
    <row r="262" spans="1:33" ht="32.25" customHeight="1">
      <c r="A262" s="1442">
        <v>2121</v>
      </c>
      <c r="B262" s="291" t="s">
        <v>60</v>
      </c>
      <c r="C262" s="824" t="s">
        <v>307</v>
      </c>
      <c r="D262" s="326"/>
      <c r="E262" s="294">
        <v>2</v>
      </c>
      <c r="F262" s="293">
        <v>43227</v>
      </c>
      <c r="G262" s="293">
        <f t="shared" ref="G262:G276" si="68">+E262+F262</f>
        <v>43229</v>
      </c>
      <c r="H262" s="293" t="s">
        <v>294</v>
      </c>
      <c r="I262" s="294" t="s">
        <v>171</v>
      </c>
      <c r="J262" s="307" t="s">
        <v>295</v>
      </c>
      <c r="K262" s="326" t="s">
        <v>308</v>
      </c>
      <c r="L262" s="1237">
        <v>23173</v>
      </c>
      <c r="M262" s="326"/>
      <c r="N262" s="294"/>
      <c r="O262" s="1114">
        <v>270</v>
      </c>
      <c r="P262" s="294">
        <v>1</v>
      </c>
      <c r="Q262" s="355">
        <v>90</v>
      </c>
      <c r="R262" s="299"/>
      <c r="S262" s="355"/>
      <c r="T262" s="355"/>
      <c r="U262" s="355">
        <f t="shared" ref="U262:U268" si="69">+Q262</f>
        <v>90</v>
      </c>
      <c r="V262" s="355"/>
      <c r="W262" s="355"/>
      <c r="X262" s="1137"/>
      <c r="Y262" s="1126"/>
      <c r="Z262" s="1194"/>
      <c r="AA262" s="1194"/>
      <c r="AB262" s="1194"/>
      <c r="AC262" s="1124"/>
      <c r="AD262" s="1124"/>
      <c r="AE262" s="1200"/>
      <c r="AF262" s="1124"/>
      <c r="AG262" s="1126"/>
    </row>
    <row r="263" spans="1:33" ht="32.25" customHeight="1">
      <c r="A263" s="1442">
        <v>2121</v>
      </c>
      <c r="B263" s="291" t="s">
        <v>60</v>
      </c>
      <c r="C263" s="824" t="s">
        <v>307</v>
      </c>
      <c r="D263" s="326"/>
      <c r="E263" s="294">
        <v>2</v>
      </c>
      <c r="F263" s="293">
        <v>43227</v>
      </c>
      <c r="G263" s="293">
        <f t="shared" si="68"/>
        <v>43229</v>
      </c>
      <c r="H263" s="293" t="s">
        <v>294</v>
      </c>
      <c r="I263" s="294" t="s">
        <v>171</v>
      </c>
      <c r="J263" s="307" t="s">
        <v>295</v>
      </c>
      <c r="K263" s="326" t="s">
        <v>309</v>
      </c>
      <c r="L263" s="1237">
        <v>23173</v>
      </c>
      <c r="M263" s="326"/>
      <c r="N263" s="294"/>
      <c r="O263" s="1114">
        <v>1260</v>
      </c>
      <c r="P263" s="294">
        <v>1</v>
      </c>
      <c r="Q263" s="355">
        <v>420</v>
      </c>
      <c r="R263" s="299"/>
      <c r="S263" s="355"/>
      <c r="T263" s="355"/>
      <c r="U263" s="355">
        <f t="shared" si="69"/>
        <v>420</v>
      </c>
      <c r="V263" s="355"/>
      <c r="W263" s="355"/>
      <c r="X263" s="1137"/>
      <c r="Y263" s="1126"/>
      <c r="Z263" s="1194"/>
      <c r="AA263" s="1194"/>
      <c r="AB263" s="1194"/>
      <c r="AC263" s="1124"/>
      <c r="AD263" s="1124"/>
      <c r="AE263" s="1200"/>
      <c r="AF263" s="1124"/>
      <c r="AG263" s="1126"/>
    </row>
    <row r="264" spans="1:33" ht="32.25" customHeight="1">
      <c r="A264" s="1442">
        <v>2121</v>
      </c>
      <c r="B264" s="291" t="s">
        <v>60</v>
      </c>
      <c r="C264" s="824" t="s">
        <v>307</v>
      </c>
      <c r="D264" s="326"/>
      <c r="E264" s="294">
        <v>2</v>
      </c>
      <c r="F264" s="293">
        <v>43227</v>
      </c>
      <c r="G264" s="293">
        <f t="shared" si="68"/>
        <v>43229</v>
      </c>
      <c r="H264" s="293" t="s">
        <v>294</v>
      </c>
      <c r="I264" s="294" t="s">
        <v>171</v>
      </c>
      <c r="J264" s="307" t="s">
        <v>295</v>
      </c>
      <c r="K264" s="1023" t="s">
        <v>310</v>
      </c>
      <c r="L264" s="1237">
        <v>23174</v>
      </c>
      <c r="M264" s="326"/>
      <c r="N264" s="294"/>
      <c r="O264" s="1114">
        <v>11400</v>
      </c>
      <c r="P264" s="294">
        <v>1</v>
      </c>
      <c r="Q264" s="355">
        <v>3800</v>
      </c>
      <c r="R264" s="299"/>
      <c r="S264" s="355"/>
      <c r="T264" s="355"/>
      <c r="U264" s="355">
        <f t="shared" si="69"/>
        <v>3800</v>
      </c>
      <c r="V264" s="355"/>
      <c r="W264" s="355"/>
      <c r="X264" s="1137"/>
      <c r="Y264" s="1126"/>
      <c r="Z264" s="1194"/>
      <c r="AA264" s="1194"/>
      <c r="AB264" s="1194"/>
      <c r="AC264" s="1124"/>
      <c r="AD264" s="1124"/>
      <c r="AE264" s="1200"/>
      <c r="AF264" s="1124"/>
      <c r="AG264" s="1126"/>
    </row>
    <row r="265" spans="1:33" ht="32.25" customHeight="1">
      <c r="A265" s="1442">
        <v>2121</v>
      </c>
      <c r="B265" s="291" t="s">
        <v>60</v>
      </c>
      <c r="C265" s="824" t="s">
        <v>307</v>
      </c>
      <c r="D265" s="326"/>
      <c r="E265" s="294">
        <v>2</v>
      </c>
      <c r="F265" s="293">
        <v>43227</v>
      </c>
      <c r="G265" s="293">
        <f t="shared" si="68"/>
        <v>43229</v>
      </c>
      <c r="H265" s="293" t="s">
        <v>294</v>
      </c>
      <c r="I265" s="294" t="s">
        <v>171</v>
      </c>
      <c r="J265" s="307" t="s">
        <v>295</v>
      </c>
      <c r="K265" s="326" t="s">
        <v>311</v>
      </c>
      <c r="L265" s="1237">
        <v>23174</v>
      </c>
      <c r="M265" s="326"/>
      <c r="N265" s="294"/>
      <c r="O265" s="1114">
        <v>1200</v>
      </c>
      <c r="P265" s="294">
        <v>1</v>
      </c>
      <c r="Q265" s="355">
        <v>400</v>
      </c>
      <c r="R265" s="299"/>
      <c r="S265" s="355"/>
      <c r="T265" s="355"/>
      <c r="U265" s="355">
        <f t="shared" si="69"/>
        <v>400</v>
      </c>
      <c r="V265" s="355"/>
      <c r="W265" s="355"/>
      <c r="X265" s="1137"/>
      <c r="Y265" s="1126"/>
      <c r="Z265" s="1194"/>
      <c r="AA265" s="1194"/>
      <c r="AB265" s="1194"/>
      <c r="AC265" s="1124"/>
      <c r="AD265" s="1124"/>
      <c r="AE265" s="1200"/>
      <c r="AF265" s="1124"/>
      <c r="AG265" s="1126"/>
    </row>
    <row r="266" spans="1:33" ht="32.25" customHeight="1">
      <c r="A266" s="1442">
        <v>2121</v>
      </c>
      <c r="B266" s="291" t="s">
        <v>60</v>
      </c>
      <c r="C266" s="824" t="s">
        <v>307</v>
      </c>
      <c r="D266" s="326"/>
      <c r="E266" s="294">
        <v>2</v>
      </c>
      <c r="F266" s="293">
        <v>43227</v>
      </c>
      <c r="G266" s="293">
        <f t="shared" si="68"/>
        <v>43229</v>
      </c>
      <c r="H266" s="293" t="s">
        <v>294</v>
      </c>
      <c r="I266" s="294" t="s">
        <v>171</v>
      </c>
      <c r="J266" s="307" t="s">
        <v>295</v>
      </c>
      <c r="K266" s="326" t="s">
        <v>301</v>
      </c>
      <c r="L266" s="1237">
        <v>23173</v>
      </c>
      <c r="M266" s="326"/>
      <c r="N266" s="294"/>
      <c r="O266" s="1114">
        <v>900</v>
      </c>
      <c r="P266" s="294">
        <v>1</v>
      </c>
      <c r="Q266" s="355">
        <v>300</v>
      </c>
      <c r="R266" s="299"/>
      <c r="S266" s="355"/>
      <c r="T266" s="355"/>
      <c r="U266" s="355">
        <f t="shared" si="69"/>
        <v>300</v>
      </c>
      <c r="V266" s="355"/>
      <c r="W266" s="355"/>
      <c r="X266" s="1137"/>
      <c r="Y266" s="1126"/>
      <c r="Z266" s="1194"/>
      <c r="AA266" s="1194"/>
      <c r="AB266" s="1194"/>
      <c r="AC266" s="1124"/>
      <c r="AD266" s="1124"/>
      <c r="AE266" s="1200"/>
      <c r="AF266" s="1124"/>
      <c r="AG266" s="1126"/>
    </row>
    <row r="267" spans="1:33" ht="32.25" customHeight="1">
      <c r="A267" s="1442">
        <v>2121</v>
      </c>
      <c r="B267" s="291" t="s">
        <v>60</v>
      </c>
      <c r="C267" s="824" t="s">
        <v>307</v>
      </c>
      <c r="D267" s="326"/>
      <c r="E267" s="294">
        <v>2</v>
      </c>
      <c r="F267" s="293">
        <v>43227</v>
      </c>
      <c r="G267" s="293">
        <f t="shared" si="68"/>
        <v>43229</v>
      </c>
      <c r="H267" s="293" t="s">
        <v>294</v>
      </c>
      <c r="I267" s="294" t="s">
        <v>171</v>
      </c>
      <c r="J267" s="307" t="s">
        <v>295</v>
      </c>
      <c r="K267" s="1023" t="s">
        <v>312</v>
      </c>
      <c r="L267" s="1237">
        <v>23173</v>
      </c>
      <c r="M267" s="326"/>
      <c r="N267" s="294"/>
      <c r="O267" s="1114">
        <v>300</v>
      </c>
      <c r="P267" s="294">
        <v>1</v>
      </c>
      <c r="Q267" s="355">
        <v>100</v>
      </c>
      <c r="R267" s="299"/>
      <c r="S267" s="355"/>
      <c r="T267" s="355"/>
      <c r="U267" s="355">
        <f t="shared" si="69"/>
        <v>100</v>
      </c>
      <c r="V267" s="355"/>
      <c r="W267" s="355"/>
      <c r="X267" s="1137"/>
      <c r="Y267" s="1126"/>
      <c r="Z267" s="1194"/>
      <c r="AA267" s="1194"/>
      <c r="AB267" s="1194"/>
      <c r="AC267" s="1124"/>
      <c r="AD267" s="1124"/>
      <c r="AE267" s="1200"/>
      <c r="AF267" s="1124"/>
      <c r="AG267" s="1126"/>
    </row>
    <row r="268" spans="1:33" ht="32.25" customHeight="1">
      <c r="A268" s="1442">
        <v>2121</v>
      </c>
      <c r="B268" s="291" t="s">
        <v>60</v>
      </c>
      <c r="C268" s="824" t="s">
        <v>307</v>
      </c>
      <c r="D268" s="326"/>
      <c r="E268" s="294">
        <v>2</v>
      </c>
      <c r="F268" s="293">
        <v>43227</v>
      </c>
      <c r="G268" s="293">
        <f t="shared" si="68"/>
        <v>43229</v>
      </c>
      <c r="H268" s="293" t="s">
        <v>294</v>
      </c>
      <c r="I268" s="294" t="s">
        <v>171</v>
      </c>
      <c r="J268" s="307" t="s">
        <v>295</v>
      </c>
      <c r="K268" s="326" t="s">
        <v>302</v>
      </c>
      <c r="L268" s="1237">
        <v>23173</v>
      </c>
      <c r="M268" s="326"/>
      <c r="N268" s="294"/>
      <c r="O268" s="1114">
        <v>713</v>
      </c>
      <c r="P268" s="294">
        <v>1</v>
      </c>
      <c r="Q268" s="355">
        <v>237.66666666666666</v>
      </c>
      <c r="R268" s="299"/>
      <c r="S268" s="355"/>
      <c r="T268" s="355"/>
      <c r="U268" s="355">
        <f t="shared" si="69"/>
        <v>237.66666666666666</v>
      </c>
      <c r="V268" s="355"/>
      <c r="W268" s="355"/>
      <c r="X268" s="1137"/>
      <c r="Y268" s="1126"/>
      <c r="Z268" s="1194"/>
      <c r="AA268" s="1194"/>
      <c r="AB268" s="1194"/>
      <c r="AC268" s="1124"/>
      <c r="AD268" s="1124"/>
      <c r="AE268" s="1200"/>
      <c r="AF268" s="1124"/>
      <c r="AG268" s="1126"/>
    </row>
    <row r="269" spans="1:33" ht="32.25" customHeight="1">
      <c r="A269" s="1442">
        <v>2122</v>
      </c>
      <c r="B269" s="1666" t="s">
        <v>313</v>
      </c>
      <c r="C269" s="1493" t="s">
        <v>314</v>
      </c>
      <c r="D269" s="326"/>
      <c r="E269" s="294">
        <v>60</v>
      </c>
      <c r="F269" s="293">
        <v>43221</v>
      </c>
      <c r="G269" s="293">
        <f>+E269+F269</f>
        <v>43281</v>
      </c>
      <c r="H269" s="293" t="s">
        <v>294</v>
      </c>
      <c r="I269" s="294" t="s">
        <v>171</v>
      </c>
      <c r="J269" s="307" t="s">
        <v>295</v>
      </c>
      <c r="K269" s="326" t="s">
        <v>315</v>
      </c>
      <c r="L269" s="1668"/>
      <c r="M269" s="1636"/>
      <c r="N269" s="1631"/>
      <c r="O269" s="1669"/>
      <c r="P269" s="1631"/>
      <c r="Q269" s="1663">
        <f>SUM(Q270)</f>
        <v>3333.3333333333335</v>
      </c>
      <c r="R269" s="1671"/>
      <c r="S269" s="1670"/>
      <c r="T269" s="1670"/>
      <c r="U269" s="1670"/>
      <c r="V269" s="1670"/>
      <c r="W269" s="1670"/>
      <c r="X269" s="1672"/>
      <c r="Y269" s="1670"/>
      <c r="Z269" s="1673"/>
      <c r="AA269" s="1673"/>
      <c r="AB269" s="1673"/>
      <c r="AC269" s="1636"/>
      <c r="AD269" s="1636"/>
      <c r="AE269" s="1674"/>
      <c r="AF269" s="1636"/>
      <c r="AG269" s="1670"/>
    </row>
    <row r="270" spans="1:33" ht="32.25" customHeight="1">
      <c r="A270" s="1442">
        <v>2122</v>
      </c>
      <c r="B270" s="291" t="s">
        <v>313</v>
      </c>
      <c r="C270" s="1493" t="s">
        <v>314</v>
      </c>
      <c r="D270" s="326"/>
      <c r="E270" s="294">
        <v>60</v>
      </c>
      <c r="F270" s="293">
        <v>43221</v>
      </c>
      <c r="G270" s="293">
        <f t="shared" si="68"/>
        <v>43281</v>
      </c>
      <c r="H270" s="293" t="s">
        <v>294</v>
      </c>
      <c r="I270" s="294" t="s">
        <v>171</v>
      </c>
      <c r="J270" s="307" t="s">
        <v>295</v>
      </c>
      <c r="K270" s="326" t="s">
        <v>315</v>
      </c>
      <c r="L270" s="1237">
        <v>2313</v>
      </c>
      <c r="M270" s="326"/>
      <c r="N270" s="294"/>
      <c r="O270" s="354">
        <v>3333.3333333333335</v>
      </c>
      <c r="P270" s="294">
        <v>1</v>
      </c>
      <c r="Q270" s="355">
        <f>+O270*P270</f>
        <v>3333.3333333333335</v>
      </c>
      <c r="R270" s="299"/>
      <c r="S270" s="355"/>
      <c r="T270" s="355"/>
      <c r="U270" s="355">
        <f>+Q270</f>
        <v>3333.3333333333335</v>
      </c>
      <c r="V270" s="355"/>
      <c r="W270" s="355"/>
      <c r="X270" s="1137"/>
      <c r="Y270" s="1126"/>
      <c r="Z270" s="1194"/>
      <c r="AA270" s="1194"/>
      <c r="AB270" s="1194"/>
      <c r="AC270" s="1124"/>
      <c r="AD270" s="1124"/>
      <c r="AE270" s="1200"/>
      <c r="AF270" s="1124"/>
      <c r="AG270" s="1126"/>
    </row>
    <row r="271" spans="1:33" ht="32.25" customHeight="1">
      <c r="A271" s="1442">
        <v>2123</v>
      </c>
      <c r="B271" s="1666" t="s">
        <v>316</v>
      </c>
      <c r="C271" s="1493" t="s">
        <v>314</v>
      </c>
      <c r="D271" s="326"/>
      <c r="E271" s="294">
        <v>60</v>
      </c>
      <c r="F271" s="293">
        <v>43221</v>
      </c>
      <c r="G271" s="293">
        <f>+E271+F271</f>
        <v>43281</v>
      </c>
      <c r="H271" s="293" t="s">
        <v>294</v>
      </c>
      <c r="I271" s="294" t="s">
        <v>171</v>
      </c>
      <c r="J271" s="307" t="s">
        <v>295</v>
      </c>
      <c r="K271" s="326" t="s">
        <v>317</v>
      </c>
      <c r="L271" s="1668"/>
      <c r="M271" s="1636"/>
      <c r="N271" s="1631"/>
      <c r="O271" s="1676"/>
      <c r="P271" s="1631"/>
      <c r="Q271" s="1663">
        <f>SUM(Q272)</f>
        <v>2666.6666666666665</v>
      </c>
      <c r="R271" s="1671"/>
      <c r="S271" s="1670"/>
      <c r="T271" s="1670"/>
      <c r="U271" s="1670"/>
      <c r="V271" s="1670"/>
      <c r="W271" s="1670"/>
      <c r="X271" s="1672"/>
      <c r="Y271" s="1670"/>
      <c r="Z271" s="1673"/>
      <c r="AA271" s="1673"/>
      <c r="AB271" s="1673"/>
      <c r="AC271" s="1636"/>
      <c r="AD271" s="1636"/>
      <c r="AE271" s="1674"/>
      <c r="AF271" s="1636"/>
      <c r="AG271" s="1670"/>
    </row>
    <row r="272" spans="1:33" ht="32.25" customHeight="1">
      <c r="A272" s="1442">
        <v>2123</v>
      </c>
      <c r="B272" s="291" t="s">
        <v>316</v>
      </c>
      <c r="C272" s="1493" t="s">
        <v>314</v>
      </c>
      <c r="D272" s="326"/>
      <c r="E272" s="294">
        <v>60</v>
      </c>
      <c r="F272" s="293">
        <v>43221</v>
      </c>
      <c r="G272" s="293">
        <f t="shared" si="68"/>
        <v>43281</v>
      </c>
      <c r="H272" s="293" t="s">
        <v>294</v>
      </c>
      <c r="I272" s="294" t="s">
        <v>171</v>
      </c>
      <c r="J272" s="307" t="s">
        <v>295</v>
      </c>
      <c r="K272" s="326" t="s">
        <v>317</v>
      </c>
      <c r="L272" s="1237">
        <v>2313</v>
      </c>
      <c r="M272" s="326"/>
      <c r="N272" s="294"/>
      <c r="O272" s="354">
        <v>2666.6666666666665</v>
      </c>
      <c r="P272" s="294">
        <v>1</v>
      </c>
      <c r="Q272" s="355">
        <f>+O272*P272</f>
        <v>2666.6666666666665</v>
      </c>
      <c r="R272" s="299"/>
      <c r="S272" s="355"/>
      <c r="T272" s="355"/>
      <c r="U272" s="355">
        <f>+Q272</f>
        <v>2666.6666666666665</v>
      </c>
      <c r="V272" s="355"/>
      <c r="W272" s="355"/>
      <c r="X272" s="1137"/>
      <c r="Y272" s="1126"/>
      <c r="Z272" s="1194"/>
      <c r="AA272" s="1194"/>
      <c r="AB272" s="1194"/>
      <c r="AC272" s="1124"/>
      <c r="AD272" s="1124"/>
      <c r="AE272" s="1200"/>
      <c r="AF272" s="1124"/>
      <c r="AG272" s="1126"/>
    </row>
    <row r="273" spans="1:33" ht="32.25" customHeight="1">
      <c r="A273" s="1442">
        <v>2124</v>
      </c>
      <c r="B273" s="1666" t="s">
        <v>318</v>
      </c>
      <c r="C273" s="1493" t="s">
        <v>319</v>
      </c>
      <c r="D273" s="326"/>
      <c r="E273" s="294">
        <v>15</v>
      </c>
      <c r="F273" s="293">
        <v>43283</v>
      </c>
      <c r="G273" s="293">
        <f>+E273+F273</f>
        <v>43298</v>
      </c>
      <c r="H273" s="293" t="s">
        <v>294</v>
      </c>
      <c r="I273" s="294" t="s">
        <v>171</v>
      </c>
      <c r="J273" s="307" t="s">
        <v>295</v>
      </c>
      <c r="K273" s="311" t="s">
        <v>320</v>
      </c>
      <c r="L273" s="1668"/>
      <c r="M273" s="1636"/>
      <c r="N273" s="1631"/>
      <c r="O273" s="1676"/>
      <c r="P273" s="1631"/>
      <c r="Q273" s="1663">
        <f>SUM(Q274)</f>
        <v>8333.3333333333339</v>
      </c>
      <c r="R273" s="1671"/>
      <c r="S273" s="1670"/>
      <c r="T273" s="1670"/>
      <c r="U273" s="1670"/>
      <c r="V273" s="1670"/>
      <c r="W273" s="1670"/>
      <c r="X273" s="1672"/>
      <c r="Y273" s="1670"/>
      <c r="Z273" s="1673"/>
      <c r="AA273" s="1673"/>
      <c r="AB273" s="1673"/>
      <c r="AC273" s="1636"/>
      <c r="AD273" s="1636"/>
      <c r="AE273" s="1674"/>
      <c r="AF273" s="1636"/>
      <c r="AG273" s="1670"/>
    </row>
    <row r="274" spans="1:33" ht="32.25" customHeight="1">
      <c r="A274" s="1442">
        <v>2124</v>
      </c>
      <c r="B274" s="291" t="s">
        <v>318</v>
      </c>
      <c r="C274" s="1493" t="s">
        <v>319</v>
      </c>
      <c r="D274" s="326"/>
      <c r="E274" s="294">
        <v>15</v>
      </c>
      <c r="F274" s="293">
        <v>43283</v>
      </c>
      <c r="G274" s="293">
        <f t="shared" si="68"/>
        <v>43298</v>
      </c>
      <c r="H274" s="293" t="s">
        <v>294</v>
      </c>
      <c r="I274" s="294" t="s">
        <v>171</v>
      </c>
      <c r="J274" s="307" t="s">
        <v>295</v>
      </c>
      <c r="K274" s="311" t="s">
        <v>320</v>
      </c>
      <c r="L274" s="1237">
        <v>23173</v>
      </c>
      <c r="M274" s="326"/>
      <c r="N274" s="294"/>
      <c r="O274" s="354">
        <v>16666.666666666668</v>
      </c>
      <c r="P274" s="354">
        <v>0.5</v>
      </c>
      <c r="Q274" s="355">
        <f>+O274*P274</f>
        <v>8333.3333333333339</v>
      </c>
      <c r="R274" s="299"/>
      <c r="S274" s="355"/>
      <c r="T274" s="355"/>
      <c r="U274" s="355"/>
      <c r="V274" s="355"/>
      <c r="W274" s="355">
        <f>+Q274</f>
        <v>8333.3333333333339</v>
      </c>
      <c r="X274" s="1137"/>
      <c r="Y274" s="1126"/>
      <c r="Z274" s="1194"/>
      <c r="AA274" s="1194"/>
      <c r="AB274" s="1194"/>
      <c r="AC274" s="1124"/>
      <c r="AD274" s="1124"/>
      <c r="AE274" s="1200"/>
      <c r="AF274" s="1124"/>
      <c r="AG274" s="1126"/>
    </row>
    <row r="275" spans="1:33" ht="32.25" customHeight="1">
      <c r="A275" s="1442">
        <v>2125</v>
      </c>
      <c r="B275" s="1666" t="s">
        <v>61</v>
      </c>
      <c r="C275" s="1501" t="s">
        <v>321</v>
      </c>
      <c r="D275" s="326"/>
      <c r="E275" s="294">
        <v>15</v>
      </c>
      <c r="F275" s="293">
        <v>43304</v>
      </c>
      <c r="G275" s="293">
        <f>+E275+F275</f>
        <v>43319</v>
      </c>
      <c r="H275" s="293" t="s">
        <v>294</v>
      </c>
      <c r="I275" s="294" t="s">
        <v>171</v>
      </c>
      <c r="J275" s="307" t="s">
        <v>295</v>
      </c>
      <c r="K275" s="326" t="s">
        <v>322</v>
      </c>
      <c r="L275" s="1668"/>
      <c r="M275" s="1636"/>
      <c r="N275" s="1631"/>
      <c r="O275" s="1676"/>
      <c r="P275" s="1676"/>
      <c r="Q275" s="1663">
        <f>SUM(Q276)</f>
        <v>20000</v>
      </c>
      <c r="R275" s="1671"/>
      <c r="S275" s="1670"/>
      <c r="T275" s="1670"/>
      <c r="U275" s="1670"/>
      <c r="V275" s="1670"/>
      <c r="W275" s="1670"/>
      <c r="X275" s="1672"/>
      <c r="Y275" s="1670"/>
      <c r="Z275" s="1673"/>
      <c r="AA275" s="1673"/>
      <c r="AB275" s="1673"/>
      <c r="AC275" s="1636"/>
      <c r="AD275" s="1636"/>
      <c r="AE275" s="1674"/>
      <c r="AF275" s="1636"/>
      <c r="AG275" s="1670"/>
    </row>
    <row r="276" spans="1:33" ht="32.25" customHeight="1">
      <c r="A276" s="1442">
        <v>2125</v>
      </c>
      <c r="B276" s="291" t="s">
        <v>61</v>
      </c>
      <c r="C276" s="1501" t="s">
        <v>321</v>
      </c>
      <c r="D276" s="326"/>
      <c r="E276" s="294">
        <v>15</v>
      </c>
      <c r="F276" s="293">
        <v>43304</v>
      </c>
      <c r="G276" s="293">
        <f t="shared" si="68"/>
        <v>43319</v>
      </c>
      <c r="H276" s="293" t="s">
        <v>294</v>
      </c>
      <c r="I276" s="294" t="s">
        <v>171</v>
      </c>
      <c r="J276" s="307" t="s">
        <v>295</v>
      </c>
      <c r="K276" s="326" t="s">
        <v>322</v>
      </c>
      <c r="L276" s="1237">
        <v>2315</v>
      </c>
      <c r="M276" s="326"/>
      <c r="N276" s="294"/>
      <c r="O276" s="354">
        <v>333.33333333333331</v>
      </c>
      <c r="P276" s="294">
        <v>60</v>
      </c>
      <c r="Q276" s="355">
        <f>+O276*P276</f>
        <v>20000</v>
      </c>
      <c r="R276" s="299"/>
      <c r="S276" s="355"/>
      <c r="T276" s="355"/>
      <c r="U276" s="355"/>
      <c r="V276" s="355"/>
      <c r="W276" s="355">
        <f>+Q276</f>
        <v>20000</v>
      </c>
      <c r="X276" s="1137"/>
      <c r="Y276" s="1126"/>
      <c r="Z276" s="1194"/>
      <c r="AA276" s="1194"/>
      <c r="AB276" s="1194"/>
      <c r="AC276" s="1124"/>
      <c r="AD276" s="1124"/>
      <c r="AE276" s="1200"/>
      <c r="AF276" s="1124"/>
      <c r="AG276" s="1126"/>
    </row>
    <row r="277" spans="1:33" ht="29.25" customHeight="1">
      <c r="A277" s="1275">
        <v>213</v>
      </c>
      <c r="B277" s="995" t="s">
        <v>323</v>
      </c>
      <c r="C277" s="1083"/>
      <c r="D277" s="1339"/>
      <c r="E277" s="1340"/>
      <c r="F277" s="1340"/>
      <c r="G277" s="1340"/>
      <c r="H277" s="1339"/>
      <c r="I277" s="1341"/>
      <c r="J277" s="283"/>
      <c r="K277" s="1278"/>
      <c r="L277" s="1279"/>
      <c r="M277" s="1280"/>
      <c r="N277" s="1277"/>
      <c r="O277" s="1281"/>
      <c r="P277" s="1277"/>
      <c r="Q277" s="1282">
        <f>SUM(Q278:Q295)</f>
        <v>127504</v>
      </c>
      <c r="R277" s="287"/>
      <c r="S277" s="1282">
        <f t="shared" ref="S277:AF277" si="70">SUM(S278:S295)</f>
        <v>0</v>
      </c>
      <c r="T277" s="1282">
        <f t="shared" si="70"/>
        <v>0</v>
      </c>
      <c r="U277" s="1282">
        <f t="shared" si="70"/>
        <v>0</v>
      </c>
      <c r="V277" s="1282">
        <f t="shared" si="70"/>
        <v>0</v>
      </c>
      <c r="W277" s="1282">
        <f t="shared" si="70"/>
        <v>4680</v>
      </c>
      <c r="X277" s="1342">
        <f t="shared" si="70"/>
        <v>45624</v>
      </c>
      <c r="Y277" s="1343">
        <f t="shared" si="70"/>
        <v>77200</v>
      </c>
      <c r="Z277" s="1151">
        <f t="shared" si="70"/>
        <v>0</v>
      </c>
      <c r="AA277" s="1151">
        <f t="shared" si="70"/>
        <v>0</v>
      </c>
      <c r="AB277" s="1151">
        <f t="shared" si="70"/>
        <v>0</v>
      </c>
      <c r="AC277" s="1151">
        <f t="shared" si="70"/>
        <v>0</v>
      </c>
      <c r="AD277" s="1151">
        <f t="shared" si="70"/>
        <v>0</v>
      </c>
      <c r="AE277" s="1151">
        <f t="shared" si="70"/>
        <v>0</v>
      </c>
      <c r="AF277" s="1151">
        <f t="shared" si="70"/>
        <v>0</v>
      </c>
      <c r="AG277" s="1151">
        <f>SUM(S277:AF277)</f>
        <v>127504</v>
      </c>
    </row>
    <row r="278" spans="1:33" ht="47.25">
      <c r="A278" s="1442">
        <v>2131</v>
      </c>
      <c r="B278" s="291" t="s">
        <v>62</v>
      </c>
      <c r="C278" s="1493" t="s">
        <v>324</v>
      </c>
      <c r="D278" s="326"/>
      <c r="E278" s="294">
        <v>1</v>
      </c>
      <c r="F278" s="293">
        <v>43318</v>
      </c>
      <c r="G278" s="293">
        <f t="shared" ref="G278:G295" si="71">+E278+F278</f>
        <v>43319</v>
      </c>
      <c r="H278" s="293" t="s">
        <v>294</v>
      </c>
      <c r="I278" s="294" t="s">
        <v>171</v>
      </c>
      <c r="J278" s="307" t="s">
        <v>295</v>
      </c>
      <c r="K278" s="1023" t="s">
        <v>296</v>
      </c>
      <c r="L278" s="1237">
        <v>23174</v>
      </c>
      <c r="M278" s="326"/>
      <c r="N278" s="294"/>
      <c r="O278" s="354">
        <v>36</v>
      </c>
      <c r="P278" s="294">
        <v>60</v>
      </c>
      <c r="Q278" s="355">
        <f t="shared" ref="Q278:Q295" si="72">+O278*P278</f>
        <v>2160</v>
      </c>
      <c r="R278" s="299"/>
      <c r="S278" s="355"/>
      <c r="T278" s="355"/>
      <c r="U278" s="355"/>
      <c r="V278" s="355"/>
      <c r="W278" s="355">
        <v>1080</v>
      </c>
      <c r="X278" s="1137">
        <v>1080</v>
      </c>
      <c r="Y278" s="1126"/>
      <c r="Z278" s="1194"/>
      <c r="AA278" s="1194"/>
      <c r="AB278" s="1194"/>
      <c r="AC278" s="1124"/>
      <c r="AD278" s="1124"/>
      <c r="AE278" s="1200"/>
      <c r="AF278" s="1124"/>
      <c r="AG278" s="1126"/>
    </row>
    <row r="279" spans="1:33" ht="47.25">
      <c r="A279" s="1442">
        <v>2131</v>
      </c>
      <c r="B279" s="291" t="s">
        <v>62</v>
      </c>
      <c r="C279" s="1493" t="s">
        <v>324</v>
      </c>
      <c r="D279" s="326"/>
      <c r="E279" s="294">
        <v>1</v>
      </c>
      <c r="F279" s="293">
        <v>43304</v>
      </c>
      <c r="G279" s="293">
        <f t="shared" si="71"/>
        <v>43305</v>
      </c>
      <c r="H279" s="293" t="s">
        <v>294</v>
      </c>
      <c r="I279" s="294" t="s">
        <v>171</v>
      </c>
      <c r="J279" s="307" t="s">
        <v>295</v>
      </c>
      <c r="K279" s="1023" t="s">
        <v>325</v>
      </c>
      <c r="L279" s="1237">
        <v>23174</v>
      </c>
      <c r="M279" s="326"/>
      <c r="N279" s="294"/>
      <c r="O279" s="354">
        <v>10</v>
      </c>
      <c r="P279" s="294">
        <v>60</v>
      </c>
      <c r="Q279" s="355">
        <f t="shared" si="72"/>
        <v>600</v>
      </c>
      <c r="R279" s="299"/>
      <c r="S279" s="355"/>
      <c r="T279" s="355"/>
      <c r="U279" s="355"/>
      <c r="V279" s="355"/>
      <c r="W279" s="355">
        <v>300</v>
      </c>
      <c r="X279" s="1137">
        <v>300</v>
      </c>
      <c r="Y279" s="1126"/>
      <c r="Z279" s="1194"/>
      <c r="AA279" s="1194"/>
      <c r="AB279" s="1194"/>
      <c r="AC279" s="1124"/>
      <c r="AD279" s="1124"/>
      <c r="AE279" s="1200"/>
      <c r="AF279" s="1124"/>
      <c r="AG279" s="1126"/>
    </row>
    <row r="280" spans="1:33" ht="47.25">
      <c r="A280" s="1442">
        <v>2131</v>
      </c>
      <c r="B280" s="291" t="s">
        <v>62</v>
      </c>
      <c r="C280" s="1493" t="s">
        <v>324</v>
      </c>
      <c r="D280" s="326"/>
      <c r="E280" s="294">
        <v>1</v>
      </c>
      <c r="F280" s="293">
        <v>43304</v>
      </c>
      <c r="G280" s="293">
        <f t="shared" si="71"/>
        <v>43305</v>
      </c>
      <c r="H280" s="293" t="s">
        <v>294</v>
      </c>
      <c r="I280" s="294" t="s">
        <v>171</v>
      </c>
      <c r="J280" s="307" t="s">
        <v>295</v>
      </c>
      <c r="K280" s="1023" t="s">
        <v>326</v>
      </c>
      <c r="L280" s="1237">
        <v>23174</v>
      </c>
      <c r="M280" s="326"/>
      <c r="N280" s="294"/>
      <c r="O280" s="354">
        <v>100</v>
      </c>
      <c r="P280" s="294">
        <v>60</v>
      </c>
      <c r="Q280" s="355">
        <f t="shared" si="72"/>
        <v>6000</v>
      </c>
      <c r="R280" s="299"/>
      <c r="S280" s="355"/>
      <c r="T280" s="355"/>
      <c r="U280" s="355"/>
      <c r="V280" s="355"/>
      <c r="W280" s="355">
        <v>3000</v>
      </c>
      <c r="X280" s="1137">
        <v>3000</v>
      </c>
      <c r="Y280" s="1126"/>
      <c r="Z280" s="1194"/>
      <c r="AA280" s="1194"/>
      <c r="AB280" s="1194"/>
      <c r="AC280" s="1124"/>
      <c r="AD280" s="1124"/>
      <c r="AE280" s="1200"/>
      <c r="AF280" s="1124"/>
      <c r="AG280" s="1126"/>
    </row>
    <row r="281" spans="1:33" ht="47.25">
      <c r="A281" s="1442">
        <v>2131</v>
      </c>
      <c r="B281" s="291" t="s">
        <v>62</v>
      </c>
      <c r="C281" s="1493" t="s">
        <v>324</v>
      </c>
      <c r="D281" s="326"/>
      <c r="E281" s="294">
        <v>1</v>
      </c>
      <c r="F281" s="293">
        <v>43304</v>
      </c>
      <c r="G281" s="293">
        <f t="shared" si="71"/>
        <v>43305</v>
      </c>
      <c r="H281" s="293" t="s">
        <v>294</v>
      </c>
      <c r="I281" s="294" t="s">
        <v>171</v>
      </c>
      <c r="J281" s="307" t="s">
        <v>295</v>
      </c>
      <c r="K281" s="1023" t="s">
        <v>312</v>
      </c>
      <c r="L281" s="1237">
        <v>23173</v>
      </c>
      <c r="M281" s="326"/>
      <c r="N281" s="294"/>
      <c r="O281" s="354">
        <v>10</v>
      </c>
      <c r="P281" s="294">
        <v>60</v>
      </c>
      <c r="Q281" s="355">
        <f t="shared" si="72"/>
        <v>600</v>
      </c>
      <c r="R281" s="299"/>
      <c r="S281" s="355"/>
      <c r="T281" s="355"/>
      <c r="U281" s="355"/>
      <c r="V281" s="355"/>
      <c r="W281" s="355">
        <v>300</v>
      </c>
      <c r="X281" s="1137">
        <v>300</v>
      </c>
      <c r="Y281" s="1126"/>
      <c r="Z281" s="1194"/>
      <c r="AA281" s="1194"/>
      <c r="AB281" s="1194"/>
      <c r="AC281" s="1124"/>
      <c r="AD281" s="1124"/>
      <c r="AE281" s="1200"/>
      <c r="AF281" s="1124"/>
      <c r="AG281" s="1126"/>
    </row>
    <row r="282" spans="1:33" ht="32.25" customHeight="1">
      <c r="A282" s="1442">
        <v>2132</v>
      </c>
      <c r="B282" s="291" t="s">
        <v>63</v>
      </c>
      <c r="C282" s="1493" t="s">
        <v>327</v>
      </c>
      <c r="D282" s="326"/>
      <c r="E282" s="294">
        <v>3</v>
      </c>
      <c r="F282" s="293">
        <v>43318</v>
      </c>
      <c r="G282" s="293">
        <f t="shared" si="71"/>
        <v>43321</v>
      </c>
      <c r="H282" s="293" t="s">
        <v>294</v>
      </c>
      <c r="I282" s="294" t="s">
        <v>171</v>
      </c>
      <c r="J282" s="307" t="s">
        <v>295</v>
      </c>
      <c r="K282" s="1023" t="s">
        <v>328</v>
      </c>
      <c r="L282" s="1237">
        <v>23174</v>
      </c>
      <c r="M282" s="326"/>
      <c r="N282" s="294"/>
      <c r="O282" s="354">
        <v>380</v>
      </c>
      <c r="P282" s="294">
        <v>3</v>
      </c>
      <c r="Q282" s="355">
        <f t="shared" si="72"/>
        <v>1140</v>
      </c>
      <c r="R282" s="299"/>
      <c r="S282" s="355"/>
      <c r="T282" s="355"/>
      <c r="U282" s="355"/>
      <c r="V282" s="355"/>
      <c r="W282" s="355"/>
      <c r="X282" s="1137">
        <f t="shared" ref="X282:X293" si="73">+Q282</f>
        <v>1140</v>
      </c>
      <c r="Y282" s="1126"/>
      <c r="Z282" s="1194"/>
      <c r="AA282" s="1194"/>
      <c r="AB282" s="1194"/>
      <c r="AC282" s="1124"/>
      <c r="AD282" s="1124"/>
      <c r="AE282" s="1200"/>
      <c r="AF282" s="1124"/>
      <c r="AG282" s="1126"/>
    </row>
    <row r="283" spans="1:33" ht="32.25" customHeight="1">
      <c r="A283" s="1442">
        <v>2132</v>
      </c>
      <c r="B283" s="291" t="s">
        <v>63</v>
      </c>
      <c r="C283" s="1493" t="s">
        <v>327</v>
      </c>
      <c r="D283" s="326"/>
      <c r="E283" s="294">
        <v>3</v>
      </c>
      <c r="F283" s="293">
        <v>43318</v>
      </c>
      <c r="G283" s="293">
        <f t="shared" si="71"/>
        <v>43321</v>
      </c>
      <c r="H283" s="293" t="s">
        <v>294</v>
      </c>
      <c r="I283" s="294" t="s">
        <v>171</v>
      </c>
      <c r="J283" s="307" t="s">
        <v>295</v>
      </c>
      <c r="K283" s="1023" t="s">
        <v>325</v>
      </c>
      <c r="L283" s="1237">
        <v>23174</v>
      </c>
      <c r="M283" s="326"/>
      <c r="N283" s="294"/>
      <c r="O283" s="354">
        <v>96.666666666666671</v>
      </c>
      <c r="P283" s="294">
        <v>3</v>
      </c>
      <c r="Q283" s="355">
        <f t="shared" si="72"/>
        <v>290</v>
      </c>
      <c r="R283" s="299"/>
      <c r="S283" s="355"/>
      <c r="T283" s="355"/>
      <c r="U283" s="355"/>
      <c r="V283" s="355"/>
      <c r="W283" s="355"/>
      <c r="X283" s="1137">
        <f t="shared" si="73"/>
        <v>290</v>
      </c>
      <c r="Y283" s="1126"/>
      <c r="Z283" s="1194"/>
      <c r="AA283" s="1194"/>
      <c r="AB283" s="1194"/>
      <c r="AC283" s="1124"/>
      <c r="AD283" s="1124"/>
      <c r="AE283" s="1200"/>
      <c r="AF283" s="1124"/>
      <c r="AG283" s="1126"/>
    </row>
    <row r="284" spans="1:33" ht="32.25" customHeight="1">
      <c r="A284" s="1442">
        <v>2132</v>
      </c>
      <c r="B284" s="291" t="s">
        <v>63</v>
      </c>
      <c r="C284" s="1493" t="s">
        <v>327</v>
      </c>
      <c r="D284" s="326"/>
      <c r="E284" s="294">
        <v>3</v>
      </c>
      <c r="F284" s="293">
        <v>43318</v>
      </c>
      <c r="G284" s="293">
        <f t="shared" si="71"/>
        <v>43321</v>
      </c>
      <c r="H284" s="293" t="s">
        <v>294</v>
      </c>
      <c r="I284" s="294" t="s">
        <v>171</v>
      </c>
      <c r="J284" s="307" t="s">
        <v>295</v>
      </c>
      <c r="K284" s="1023" t="s">
        <v>329</v>
      </c>
      <c r="L284" s="1237">
        <v>23174</v>
      </c>
      <c r="M284" s="326"/>
      <c r="N284" s="294"/>
      <c r="O284" s="354">
        <v>1000</v>
      </c>
      <c r="P284" s="294">
        <v>3</v>
      </c>
      <c r="Q284" s="355">
        <f t="shared" si="72"/>
        <v>3000</v>
      </c>
      <c r="R284" s="299"/>
      <c r="S284" s="355"/>
      <c r="T284" s="355"/>
      <c r="U284" s="355"/>
      <c r="V284" s="355"/>
      <c r="W284" s="355"/>
      <c r="X284" s="1137">
        <f t="shared" si="73"/>
        <v>3000</v>
      </c>
      <c r="Y284" s="1126"/>
      <c r="Z284" s="1194"/>
      <c r="AA284" s="1194"/>
      <c r="AB284" s="1194"/>
      <c r="AC284" s="1124"/>
      <c r="AD284" s="1124"/>
      <c r="AE284" s="1200"/>
      <c r="AF284" s="1124"/>
      <c r="AG284" s="1126"/>
    </row>
    <row r="285" spans="1:33" ht="32.25" customHeight="1">
      <c r="A285" s="1442">
        <v>2132</v>
      </c>
      <c r="B285" s="291" t="s">
        <v>63</v>
      </c>
      <c r="C285" s="1493" t="s">
        <v>327</v>
      </c>
      <c r="D285" s="326"/>
      <c r="E285" s="294">
        <v>3</v>
      </c>
      <c r="F285" s="293">
        <v>43318</v>
      </c>
      <c r="G285" s="293">
        <f t="shared" si="71"/>
        <v>43321</v>
      </c>
      <c r="H285" s="293" t="s">
        <v>294</v>
      </c>
      <c r="I285" s="294" t="s">
        <v>171</v>
      </c>
      <c r="J285" s="307" t="s">
        <v>295</v>
      </c>
      <c r="K285" s="1023" t="s">
        <v>326</v>
      </c>
      <c r="L285" s="1237">
        <v>23174</v>
      </c>
      <c r="M285" s="294"/>
      <c r="N285" s="294"/>
      <c r="O285" s="354">
        <v>100</v>
      </c>
      <c r="P285" s="294">
        <v>3</v>
      </c>
      <c r="Q285" s="355">
        <f t="shared" si="72"/>
        <v>300</v>
      </c>
      <c r="R285" s="299"/>
      <c r="S285" s="355"/>
      <c r="T285" s="355"/>
      <c r="U285" s="355"/>
      <c r="V285" s="355"/>
      <c r="W285" s="355"/>
      <c r="X285" s="1137">
        <f t="shared" si="73"/>
        <v>300</v>
      </c>
      <c r="Y285" s="1126"/>
      <c r="Z285" s="1194"/>
      <c r="AA285" s="1194"/>
      <c r="AB285" s="1194"/>
      <c r="AC285" s="1124"/>
      <c r="AD285" s="1124"/>
      <c r="AE285" s="1200"/>
      <c r="AF285" s="1124"/>
      <c r="AG285" s="1126"/>
    </row>
    <row r="286" spans="1:33" ht="32.25" customHeight="1">
      <c r="A286" s="1442">
        <v>2133</v>
      </c>
      <c r="B286" s="291" t="s">
        <v>64</v>
      </c>
      <c r="C286" s="1501" t="s">
        <v>330</v>
      </c>
      <c r="D286" s="326"/>
      <c r="E286" s="294">
        <v>2</v>
      </c>
      <c r="F286" s="293">
        <v>43325</v>
      </c>
      <c r="G286" s="293">
        <f t="shared" si="71"/>
        <v>43327</v>
      </c>
      <c r="H286" s="293" t="s">
        <v>294</v>
      </c>
      <c r="I286" s="294" t="s">
        <v>171</v>
      </c>
      <c r="J286" s="307" t="s">
        <v>295</v>
      </c>
      <c r="K286" s="1023" t="s">
        <v>296</v>
      </c>
      <c r="L286" s="1237">
        <v>23174</v>
      </c>
      <c r="M286" s="294"/>
      <c r="N286" s="294"/>
      <c r="O286" s="354">
        <v>900</v>
      </c>
      <c r="P286" s="998">
        <v>3</v>
      </c>
      <c r="Q286" s="355">
        <f t="shared" si="72"/>
        <v>2700</v>
      </c>
      <c r="R286" s="299"/>
      <c r="S286" s="355"/>
      <c r="T286" s="355"/>
      <c r="U286" s="355"/>
      <c r="V286" s="355"/>
      <c r="W286" s="355"/>
      <c r="X286" s="1137">
        <f t="shared" si="73"/>
        <v>2700</v>
      </c>
      <c r="Y286" s="1126"/>
      <c r="Z286" s="1194"/>
      <c r="AA286" s="1194"/>
      <c r="AB286" s="1194"/>
      <c r="AC286" s="1124"/>
      <c r="AD286" s="1124"/>
      <c r="AE286" s="1200"/>
      <c r="AF286" s="1124"/>
      <c r="AG286" s="1126"/>
    </row>
    <row r="287" spans="1:33" ht="32.25" customHeight="1">
      <c r="A287" s="1442">
        <v>2133</v>
      </c>
      <c r="B287" s="291" t="s">
        <v>64</v>
      </c>
      <c r="C287" s="1501" t="s">
        <v>330</v>
      </c>
      <c r="D287" s="326"/>
      <c r="E287" s="294">
        <v>2</v>
      </c>
      <c r="F287" s="293">
        <v>43325</v>
      </c>
      <c r="G287" s="293">
        <f t="shared" si="71"/>
        <v>43327</v>
      </c>
      <c r="H287" s="293" t="s">
        <v>294</v>
      </c>
      <c r="I287" s="294" t="s">
        <v>171</v>
      </c>
      <c r="J287" s="307" t="s">
        <v>295</v>
      </c>
      <c r="K287" s="1023" t="s">
        <v>297</v>
      </c>
      <c r="L287" s="1237">
        <v>23174</v>
      </c>
      <c r="M287" s="294"/>
      <c r="N287" s="294"/>
      <c r="O287" s="354">
        <v>101.33333333333333</v>
      </c>
      <c r="P287" s="998">
        <v>3</v>
      </c>
      <c r="Q287" s="355">
        <f t="shared" si="72"/>
        <v>304</v>
      </c>
      <c r="R287" s="299"/>
      <c r="S287" s="355"/>
      <c r="T287" s="355"/>
      <c r="U287" s="355"/>
      <c r="V287" s="355"/>
      <c r="W287" s="355"/>
      <c r="X287" s="1137">
        <f t="shared" si="73"/>
        <v>304</v>
      </c>
      <c r="Y287" s="1126"/>
      <c r="Z287" s="1194"/>
      <c r="AA287" s="1194"/>
      <c r="AB287" s="1194"/>
      <c r="AC287" s="1124"/>
      <c r="AD287" s="1124"/>
      <c r="AE287" s="1200"/>
      <c r="AF287" s="1124"/>
      <c r="AG287" s="1126"/>
    </row>
    <row r="288" spans="1:33" ht="32.25" customHeight="1">
      <c r="A288" s="1442">
        <v>2133</v>
      </c>
      <c r="B288" s="291" t="s">
        <v>64</v>
      </c>
      <c r="C288" s="1501" t="s">
        <v>330</v>
      </c>
      <c r="D288" s="326"/>
      <c r="E288" s="294">
        <v>2</v>
      </c>
      <c r="F288" s="293">
        <v>43325</v>
      </c>
      <c r="G288" s="293">
        <f t="shared" si="71"/>
        <v>43327</v>
      </c>
      <c r="H288" s="293" t="s">
        <v>294</v>
      </c>
      <c r="I288" s="294" t="s">
        <v>171</v>
      </c>
      <c r="J288" s="307" t="s">
        <v>295</v>
      </c>
      <c r="K288" s="1023" t="s">
        <v>331</v>
      </c>
      <c r="L288" s="1237">
        <v>23174</v>
      </c>
      <c r="M288" s="294"/>
      <c r="N288" s="294"/>
      <c r="O288" s="354">
        <v>112</v>
      </c>
      <c r="P288" s="998">
        <v>3</v>
      </c>
      <c r="Q288" s="355">
        <f t="shared" si="72"/>
        <v>336</v>
      </c>
      <c r="R288" s="299"/>
      <c r="S288" s="355"/>
      <c r="T288" s="355"/>
      <c r="U288" s="355"/>
      <c r="V288" s="355"/>
      <c r="W288" s="355"/>
      <c r="X288" s="1137">
        <f t="shared" si="73"/>
        <v>336</v>
      </c>
      <c r="Y288" s="1126"/>
      <c r="Z288" s="1194"/>
      <c r="AA288" s="1194"/>
      <c r="AB288" s="1194"/>
      <c r="AC288" s="1124"/>
      <c r="AD288" s="1124"/>
      <c r="AE288" s="1200"/>
      <c r="AF288" s="1124"/>
      <c r="AG288" s="1126"/>
    </row>
    <row r="289" spans="1:33" ht="32.25" customHeight="1">
      <c r="A289" s="1442">
        <v>2133</v>
      </c>
      <c r="B289" s="291" t="s">
        <v>64</v>
      </c>
      <c r="C289" s="1501" t="s">
        <v>330</v>
      </c>
      <c r="D289" s="326"/>
      <c r="E289" s="294">
        <v>2</v>
      </c>
      <c r="F289" s="293">
        <v>43325</v>
      </c>
      <c r="G289" s="293">
        <f t="shared" si="71"/>
        <v>43327</v>
      </c>
      <c r="H289" s="293" t="s">
        <v>294</v>
      </c>
      <c r="I289" s="294" t="s">
        <v>171</v>
      </c>
      <c r="J289" s="307" t="s">
        <v>295</v>
      </c>
      <c r="K289" s="1023" t="s">
        <v>332</v>
      </c>
      <c r="L289" s="1237">
        <v>23174</v>
      </c>
      <c r="M289" s="294"/>
      <c r="N289" s="294"/>
      <c r="O289" s="354">
        <v>166.66666666666666</v>
      </c>
      <c r="P289" s="998">
        <v>3</v>
      </c>
      <c r="Q289" s="355">
        <f t="shared" si="72"/>
        <v>500</v>
      </c>
      <c r="R289" s="299"/>
      <c r="S289" s="355"/>
      <c r="T289" s="355"/>
      <c r="U289" s="355"/>
      <c r="V289" s="355"/>
      <c r="W289" s="355"/>
      <c r="X289" s="1137">
        <f t="shared" si="73"/>
        <v>500</v>
      </c>
      <c r="Y289" s="1126"/>
      <c r="Z289" s="1194"/>
      <c r="AA289" s="1194"/>
      <c r="AB289" s="1194"/>
      <c r="AC289" s="1124"/>
      <c r="AD289" s="1124"/>
      <c r="AE289" s="1200"/>
      <c r="AF289" s="1124"/>
      <c r="AG289" s="1126"/>
    </row>
    <row r="290" spans="1:33" ht="32.25" customHeight="1">
      <c r="A290" s="1442">
        <v>2133</v>
      </c>
      <c r="B290" s="291" t="s">
        <v>64</v>
      </c>
      <c r="C290" s="1501" t="s">
        <v>330</v>
      </c>
      <c r="D290" s="326"/>
      <c r="E290" s="294">
        <v>2</v>
      </c>
      <c r="F290" s="293">
        <v>43325</v>
      </c>
      <c r="G290" s="293">
        <f t="shared" si="71"/>
        <v>43327</v>
      </c>
      <c r="H290" s="293" t="s">
        <v>294</v>
      </c>
      <c r="I290" s="294" t="s">
        <v>171</v>
      </c>
      <c r="J290" s="307" t="s">
        <v>295</v>
      </c>
      <c r="K290" s="1023" t="s">
        <v>311</v>
      </c>
      <c r="L290" s="1237">
        <v>23174</v>
      </c>
      <c r="M290" s="294"/>
      <c r="N290" s="294"/>
      <c r="O290" s="354">
        <v>426.66666666666669</v>
      </c>
      <c r="P290" s="998">
        <v>3</v>
      </c>
      <c r="Q290" s="355">
        <f t="shared" si="72"/>
        <v>1280</v>
      </c>
      <c r="R290" s="299"/>
      <c r="S290" s="355"/>
      <c r="T290" s="355"/>
      <c r="U290" s="355"/>
      <c r="V290" s="355"/>
      <c r="W290" s="355"/>
      <c r="X290" s="1137">
        <f t="shared" si="73"/>
        <v>1280</v>
      </c>
      <c r="Y290" s="1126"/>
      <c r="Z290" s="1194"/>
      <c r="AA290" s="1194"/>
      <c r="AB290" s="1194"/>
      <c r="AC290" s="1124"/>
      <c r="AD290" s="1124"/>
      <c r="AE290" s="1200"/>
      <c r="AF290" s="1124"/>
      <c r="AG290" s="1126"/>
    </row>
    <row r="291" spans="1:33" ht="32.25" customHeight="1">
      <c r="A291" s="1442">
        <v>2133</v>
      </c>
      <c r="B291" s="291" t="s">
        <v>64</v>
      </c>
      <c r="C291" s="1501" t="s">
        <v>330</v>
      </c>
      <c r="D291" s="326"/>
      <c r="E291" s="294">
        <v>2</v>
      </c>
      <c r="F291" s="293">
        <v>43325</v>
      </c>
      <c r="G291" s="293">
        <f t="shared" si="71"/>
        <v>43327</v>
      </c>
      <c r="H291" s="293" t="s">
        <v>294</v>
      </c>
      <c r="I291" s="294" t="s">
        <v>171</v>
      </c>
      <c r="J291" s="307" t="s">
        <v>295</v>
      </c>
      <c r="K291" s="1023" t="s">
        <v>301</v>
      </c>
      <c r="L291" s="1237">
        <v>23173</v>
      </c>
      <c r="M291" s="294"/>
      <c r="N291" s="294"/>
      <c r="O291" s="354">
        <v>33.333333333333336</v>
      </c>
      <c r="P291" s="998">
        <v>3</v>
      </c>
      <c r="Q291" s="355">
        <f t="shared" si="72"/>
        <v>100</v>
      </c>
      <c r="R291" s="299"/>
      <c r="S291" s="355"/>
      <c r="T291" s="355"/>
      <c r="U291" s="355"/>
      <c r="V291" s="355"/>
      <c r="W291" s="355"/>
      <c r="X291" s="1137">
        <f t="shared" si="73"/>
        <v>100</v>
      </c>
      <c r="Y291" s="1126"/>
      <c r="Z291" s="1194"/>
      <c r="AA291" s="1194"/>
      <c r="AB291" s="1194"/>
      <c r="AC291" s="1124"/>
      <c r="AD291" s="1124"/>
      <c r="AE291" s="1200"/>
      <c r="AF291" s="1124"/>
      <c r="AG291" s="1126"/>
    </row>
    <row r="292" spans="1:33" ht="32.25" customHeight="1">
      <c r="A292" s="1442">
        <v>2133</v>
      </c>
      <c r="B292" s="291" t="s">
        <v>64</v>
      </c>
      <c r="C292" s="1501" t="s">
        <v>330</v>
      </c>
      <c r="D292" s="326"/>
      <c r="E292" s="294">
        <v>2</v>
      </c>
      <c r="F292" s="293">
        <v>43325</v>
      </c>
      <c r="G292" s="293">
        <f t="shared" si="71"/>
        <v>43327</v>
      </c>
      <c r="H292" s="293" t="s">
        <v>294</v>
      </c>
      <c r="I292" s="294" t="s">
        <v>171</v>
      </c>
      <c r="J292" s="307" t="s">
        <v>295</v>
      </c>
      <c r="K292" s="1023" t="s">
        <v>302</v>
      </c>
      <c r="L292" s="1237">
        <v>23173</v>
      </c>
      <c r="M292" s="294"/>
      <c r="N292" s="294"/>
      <c r="O292" s="354">
        <v>237.66666666666666</v>
      </c>
      <c r="P292" s="998">
        <v>3</v>
      </c>
      <c r="Q292" s="355">
        <f t="shared" si="72"/>
        <v>713</v>
      </c>
      <c r="R292" s="299"/>
      <c r="S292" s="355"/>
      <c r="T292" s="355"/>
      <c r="U292" s="355"/>
      <c r="V292" s="355"/>
      <c r="W292" s="355"/>
      <c r="X292" s="1137">
        <f t="shared" si="73"/>
        <v>713</v>
      </c>
      <c r="Y292" s="1126"/>
      <c r="Z292" s="1194"/>
      <c r="AA292" s="1194"/>
      <c r="AB292" s="1194"/>
      <c r="AC292" s="1124"/>
      <c r="AD292" s="1124"/>
      <c r="AE292" s="1200"/>
      <c r="AF292" s="1124"/>
      <c r="AG292" s="1126"/>
    </row>
    <row r="293" spans="1:33" ht="32.25" customHeight="1">
      <c r="A293" s="1442">
        <v>2134</v>
      </c>
      <c r="B293" s="291" t="s">
        <v>333</v>
      </c>
      <c r="C293" s="1493" t="s">
        <v>334</v>
      </c>
      <c r="D293" s="326"/>
      <c r="E293" s="294">
        <v>15</v>
      </c>
      <c r="F293" s="293">
        <v>43304</v>
      </c>
      <c r="G293" s="293">
        <f t="shared" si="71"/>
        <v>43319</v>
      </c>
      <c r="H293" s="293" t="s">
        <v>294</v>
      </c>
      <c r="I293" s="294" t="s">
        <v>171</v>
      </c>
      <c r="J293" s="307" t="s">
        <v>295</v>
      </c>
      <c r="K293" s="311" t="s">
        <v>335</v>
      </c>
      <c r="L293" s="1238">
        <v>2461</v>
      </c>
      <c r="M293" s="294"/>
      <c r="N293" s="294"/>
      <c r="O293" s="354">
        <v>504.68333333333334</v>
      </c>
      <c r="P293" s="294">
        <v>60</v>
      </c>
      <c r="Q293" s="355">
        <f t="shared" si="72"/>
        <v>30281</v>
      </c>
      <c r="R293" s="299"/>
      <c r="S293" s="355"/>
      <c r="T293" s="355"/>
      <c r="U293" s="355"/>
      <c r="V293" s="355"/>
      <c r="W293" s="355"/>
      <c r="X293" s="1137">
        <f t="shared" si="73"/>
        <v>30281</v>
      </c>
      <c r="Y293" s="1126"/>
      <c r="Z293" s="1194"/>
      <c r="AA293" s="1194"/>
      <c r="AB293" s="1194"/>
      <c r="AC293" s="1124"/>
      <c r="AD293" s="1124"/>
      <c r="AE293" s="1200"/>
      <c r="AF293" s="1124"/>
      <c r="AG293" s="1126"/>
    </row>
    <row r="294" spans="1:33" ht="32.25" customHeight="1">
      <c r="A294" s="1442">
        <v>2135</v>
      </c>
      <c r="B294" s="291" t="s">
        <v>65</v>
      </c>
      <c r="C294" s="1493" t="s">
        <v>336</v>
      </c>
      <c r="D294" s="326"/>
      <c r="E294" s="294">
        <v>30</v>
      </c>
      <c r="F294" s="293">
        <v>43346</v>
      </c>
      <c r="G294" s="293">
        <f t="shared" si="71"/>
        <v>43376</v>
      </c>
      <c r="H294" s="293" t="s">
        <v>294</v>
      </c>
      <c r="I294" s="294" t="s">
        <v>171</v>
      </c>
      <c r="J294" s="307" t="s">
        <v>295</v>
      </c>
      <c r="K294" s="326" t="s">
        <v>337</v>
      </c>
      <c r="L294" s="1237">
        <v>6552</v>
      </c>
      <c r="M294" s="326"/>
      <c r="N294" s="294"/>
      <c r="O294" s="354">
        <v>1166.6666666666667</v>
      </c>
      <c r="P294" s="294">
        <v>60</v>
      </c>
      <c r="Q294" s="355">
        <f t="shared" si="72"/>
        <v>70000</v>
      </c>
      <c r="R294" s="299"/>
      <c r="S294" s="355"/>
      <c r="T294" s="355"/>
      <c r="U294" s="355"/>
      <c r="V294" s="355"/>
      <c r="W294" s="355"/>
      <c r="X294" s="1137"/>
      <c r="Y294" s="1126">
        <f>+Q294</f>
        <v>70000</v>
      </c>
      <c r="Z294" s="1194"/>
      <c r="AA294" s="1194"/>
      <c r="AB294" s="1194"/>
      <c r="AC294" s="1124"/>
      <c r="AD294" s="1124"/>
      <c r="AE294" s="1200"/>
      <c r="AF294" s="1124"/>
      <c r="AG294" s="1126"/>
    </row>
    <row r="295" spans="1:33" ht="32.25" customHeight="1">
      <c r="A295" s="1442">
        <v>2136</v>
      </c>
      <c r="B295" s="291" t="s">
        <v>66</v>
      </c>
      <c r="C295" s="1501" t="s">
        <v>338</v>
      </c>
      <c r="D295" s="326"/>
      <c r="E295" s="294">
        <v>30</v>
      </c>
      <c r="F295" s="293">
        <v>43346</v>
      </c>
      <c r="G295" s="293">
        <f t="shared" si="71"/>
        <v>43376</v>
      </c>
      <c r="H295" s="293" t="s">
        <v>294</v>
      </c>
      <c r="I295" s="294" t="s">
        <v>171</v>
      </c>
      <c r="J295" s="307" t="s">
        <v>295</v>
      </c>
      <c r="K295" s="326" t="s">
        <v>339</v>
      </c>
      <c r="L295" s="1239">
        <v>6565</v>
      </c>
      <c r="M295" s="326"/>
      <c r="N295" s="294"/>
      <c r="O295" s="354">
        <v>60</v>
      </c>
      <c r="P295" s="294">
        <v>120</v>
      </c>
      <c r="Q295" s="355">
        <f t="shared" si="72"/>
        <v>7200</v>
      </c>
      <c r="R295" s="299"/>
      <c r="S295" s="355"/>
      <c r="T295" s="355"/>
      <c r="U295" s="355"/>
      <c r="V295" s="355"/>
      <c r="W295" s="355"/>
      <c r="X295" s="1137"/>
      <c r="Y295" s="1126">
        <f>+Q295</f>
        <v>7200</v>
      </c>
      <c r="Z295" s="1194"/>
      <c r="AA295" s="1194"/>
      <c r="AB295" s="1194"/>
      <c r="AC295" s="1124"/>
      <c r="AD295" s="1124"/>
      <c r="AE295" s="1200"/>
      <c r="AF295" s="1124"/>
      <c r="AG295" s="1126"/>
    </row>
    <row r="296" spans="1:33" ht="29.25" customHeight="1">
      <c r="A296" s="1275">
        <v>214</v>
      </c>
      <c r="B296" s="995" t="s">
        <v>340</v>
      </c>
      <c r="C296" s="1083"/>
      <c r="D296" s="1339"/>
      <c r="E296" s="1340"/>
      <c r="F296" s="1340"/>
      <c r="G296" s="1340"/>
      <c r="H296" s="1339"/>
      <c r="I296" s="1341"/>
      <c r="J296" s="283"/>
      <c r="K296" s="1278"/>
      <c r="L296" s="1279"/>
      <c r="M296" s="1280"/>
      <c r="N296" s="1277"/>
      <c r="O296" s="1281"/>
      <c r="P296" s="1277"/>
      <c r="Q296" s="1282">
        <f>SUM(Q297:Q314)</f>
        <v>47057.333333333336</v>
      </c>
      <c r="R296" s="287"/>
      <c r="S296" s="1282">
        <f t="shared" ref="S296:AF296" si="74">SUM(S297:S314)</f>
        <v>0</v>
      </c>
      <c r="T296" s="1282">
        <f t="shared" si="74"/>
        <v>0</v>
      </c>
      <c r="U296" s="1282">
        <f t="shared" si="74"/>
        <v>22594.666666666668</v>
      </c>
      <c r="V296" s="1282">
        <f t="shared" si="74"/>
        <v>0</v>
      </c>
      <c r="W296" s="1282">
        <f t="shared" si="74"/>
        <v>21422.666666666668</v>
      </c>
      <c r="X296" s="1342">
        <f t="shared" si="74"/>
        <v>0</v>
      </c>
      <c r="Y296" s="1343">
        <f t="shared" si="74"/>
        <v>0</v>
      </c>
      <c r="Z296" s="1151">
        <f t="shared" si="74"/>
        <v>0</v>
      </c>
      <c r="AA296" s="1151">
        <f t="shared" si="74"/>
        <v>3040</v>
      </c>
      <c r="AB296" s="1151">
        <f t="shared" si="74"/>
        <v>0</v>
      </c>
      <c r="AC296" s="1151">
        <f t="shared" si="74"/>
        <v>0</v>
      </c>
      <c r="AD296" s="1151">
        <f t="shared" si="74"/>
        <v>0</v>
      </c>
      <c r="AE296" s="1151">
        <f t="shared" si="74"/>
        <v>0</v>
      </c>
      <c r="AF296" s="1151">
        <f t="shared" si="74"/>
        <v>0</v>
      </c>
      <c r="AG296" s="1151">
        <f>SUM(S296:AF296)</f>
        <v>47057.333333333336</v>
      </c>
    </row>
    <row r="297" spans="1:33" ht="32.25" customHeight="1">
      <c r="A297" s="1442">
        <v>2141</v>
      </c>
      <c r="B297" s="291" t="s">
        <v>341</v>
      </c>
      <c r="C297" s="1493" t="s">
        <v>342</v>
      </c>
      <c r="D297" s="326"/>
      <c r="E297" s="294">
        <v>5</v>
      </c>
      <c r="F297" s="293">
        <v>43227</v>
      </c>
      <c r="G297" s="293">
        <f t="shared" ref="G297:G314" si="75">+E297+F297</f>
        <v>43232</v>
      </c>
      <c r="H297" s="293" t="s">
        <v>294</v>
      </c>
      <c r="I297" s="294" t="s">
        <v>171</v>
      </c>
      <c r="J297" s="307" t="s">
        <v>295</v>
      </c>
      <c r="K297" s="1024" t="s">
        <v>343</v>
      </c>
      <c r="L297" s="1237">
        <v>23173</v>
      </c>
      <c r="M297" s="294"/>
      <c r="N297" s="294"/>
      <c r="O297" s="354">
        <v>770</v>
      </c>
      <c r="P297" s="319">
        <v>2</v>
      </c>
      <c r="Q297" s="355">
        <f t="shared" ref="Q297:Q314" si="76">+O297*P297</f>
        <v>1540</v>
      </c>
      <c r="R297" s="299"/>
      <c r="S297" s="355"/>
      <c r="T297" s="355"/>
      <c r="U297" s="355">
        <f t="shared" ref="U297:U305" si="77">+Q297</f>
        <v>1540</v>
      </c>
      <c r="V297" s="355"/>
      <c r="W297" s="355"/>
      <c r="X297" s="1137"/>
      <c r="Y297" s="1126"/>
      <c r="Z297" s="1194"/>
      <c r="AA297" s="1194"/>
      <c r="AB297" s="1194"/>
      <c r="AC297" s="1124"/>
      <c r="AD297" s="1124"/>
      <c r="AE297" s="1200"/>
      <c r="AF297" s="1124"/>
      <c r="AG297" s="1126"/>
    </row>
    <row r="298" spans="1:33" ht="32.25" customHeight="1">
      <c r="A298" s="1442">
        <v>2141</v>
      </c>
      <c r="B298" s="291" t="s">
        <v>341</v>
      </c>
      <c r="C298" s="1493" t="s">
        <v>342</v>
      </c>
      <c r="D298" s="326"/>
      <c r="E298" s="294">
        <v>5</v>
      </c>
      <c r="F298" s="293">
        <v>43227</v>
      </c>
      <c r="G298" s="293">
        <f t="shared" si="75"/>
        <v>43232</v>
      </c>
      <c r="H298" s="293" t="s">
        <v>294</v>
      </c>
      <c r="I298" s="294" t="s">
        <v>171</v>
      </c>
      <c r="J298" s="307" t="s">
        <v>295</v>
      </c>
      <c r="K298" s="1024" t="s">
        <v>344</v>
      </c>
      <c r="L298" s="1237">
        <v>23173</v>
      </c>
      <c r="M298" s="294"/>
      <c r="N298" s="294"/>
      <c r="O298" s="354">
        <v>165</v>
      </c>
      <c r="P298" s="319">
        <v>2</v>
      </c>
      <c r="Q298" s="355">
        <f t="shared" si="76"/>
        <v>330</v>
      </c>
      <c r="R298" s="299"/>
      <c r="S298" s="355"/>
      <c r="T298" s="355"/>
      <c r="U298" s="355">
        <f t="shared" si="77"/>
        <v>330</v>
      </c>
      <c r="V298" s="355"/>
      <c r="W298" s="355"/>
      <c r="X298" s="1137"/>
      <c r="Y298" s="1126"/>
      <c r="Z298" s="1194"/>
      <c r="AA298" s="1194"/>
      <c r="AB298" s="1194"/>
      <c r="AC298" s="1124"/>
      <c r="AD298" s="1124"/>
      <c r="AE298" s="1200"/>
      <c r="AF298" s="1124"/>
      <c r="AG298" s="1126"/>
    </row>
    <row r="299" spans="1:33" ht="32.25" customHeight="1">
      <c r="A299" s="1442">
        <v>2141</v>
      </c>
      <c r="B299" s="291" t="s">
        <v>341</v>
      </c>
      <c r="C299" s="1493" t="s">
        <v>342</v>
      </c>
      <c r="D299" s="326"/>
      <c r="E299" s="294">
        <v>5</v>
      </c>
      <c r="F299" s="293">
        <v>43227</v>
      </c>
      <c r="G299" s="293">
        <f t="shared" si="75"/>
        <v>43232</v>
      </c>
      <c r="H299" s="293" t="s">
        <v>294</v>
      </c>
      <c r="I299" s="294" t="s">
        <v>171</v>
      </c>
      <c r="J299" s="307" t="s">
        <v>295</v>
      </c>
      <c r="K299" s="1024" t="s">
        <v>310</v>
      </c>
      <c r="L299" s="1237">
        <v>23174</v>
      </c>
      <c r="M299" s="997"/>
      <c r="N299" s="294"/>
      <c r="O299" s="354">
        <v>5320</v>
      </c>
      <c r="P299" s="319">
        <v>2</v>
      </c>
      <c r="Q299" s="355">
        <f t="shared" si="76"/>
        <v>10640</v>
      </c>
      <c r="R299" s="299"/>
      <c r="S299" s="355"/>
      <c r="T299" s="355"/>
      <c r="U299" s="355">
        <f t="shared" si="77"/>
        <v>10640</v>
      </c>
      <c r="V299" s="355"/>
      <c r="W299" s="355"/>
      <c r="X299" s="1137"/>
      <c r="Y299" s="1126"/>
      <c r="Z299" s="1194"/>
      <c r="AA299" s="1194"/>
      <c r="AB299" s="1194"/>
      <c r="AC299" s="1124"/>
      <c r="AD299" s="1124"/>
      <c r="AE299" s="1200"/>
      <c r="AF299" s="1124"/>
      <c r="AG299" s="1126"/>
    </row>
    <row r="300" spans="1:33" ht="32.25" customHeight="1">
      <c r="A300" s="1442">
        <v>2141</v>
      </c>
      <c r="B300" s="291" t="s">
        <v>341</v>
      </c>
      <c r="C300" s="1493" t="s">
        <v>342</v>
      </c>
      <c r="D300" s="326"/>
      <c r="E300" s="294">
        <v>5</v>
      </c>
      <c r="F300" s="293">
        <v>43227</v>
      </c>
      <c r="G300" s="293">
        <f t="shared" si="75"/>
        <v>43232</v>
      </c>
      <c r="H300" s="293" t="s">
        <v>294</v>
      </c>
      <c r="I300" s="294" t="s">
        <v>171</v>
      </c>
      <c r="J300" s="307" t="s">
        <v>295</v>
      </c>
      <c r="K300" s="1024" t="s">
        <v>345</v>
      </c>
      <c r="L300" s="1237">
        <v>23174</v>
      </c>
      <c r="M300" s="294"/>
      <c r="N300" s="294"/>
      <c r="O300" s="354">
        <v>532</v>
      </c>
      <c r="P300" s="319">
        <v>2</v>
      </c>
      <c r="Q300" s="355">
        <f t="shared" si="76"/>
        <v>1064</v>
      </c>
      <c r="R300" s="299"/>
      <c r="S300" s="355"/>
      <c r="T300" s="355"/>
      <c r="U300" s="355">
        <f t="shared" si="77"/>
        <v>1064</v>
      </c>
      <c r="V300" s="355"/>
      <c r="W300" s="355"/>
      <c r="X300" s="1137"/>
      <c r="Y300" s="1126"/>
      <c r="Z300" s="1194"/>
      <c r="AA300" s="1194"/>
      <c r="AB300" s="1194"/>
      <c r="AC300" s="1124"/>
      <c r="AD300" s="1124"/>
      <c r="AE300" s="1200"/>
      <c r="AF300" s="1124"/>
      <c r="AG300" s="1126"/>
    </row>
    <row r="301" spans="1:33" ht="32.25" customHeight="1">
      <c r="A301" s="1442">
        <v>2141</v>
      </c>
      <c r="B301" s="291" t="s">
        <v>341</v>
      </c>
      <c r="C301" s="1493" t="s">
        <v>342</v>
      </c>
      <c r="D301" s="326"/>
      <c r="E301" s="294">
        <v>5</v>
      </c>
      <c r="F301" s="293">
        <v>43227</v>
      </c>
      <c r="G301" s="293">
        <f t="shared" si="75"/>
        <v>43232</v>
      </c>
      <c r="H301" s="293" t="s">
        <v>294</v>
      </c>
      <c r="I301" s="294" t="s">
        <v>171</v>
      </c>
      <c r="J301" s="307" t="s">
        <v>295</v>
      </c>
      <c r="K301" s="1024" t="s">
        <v>300</v>
      </c>
      <c r="L301" s="1237">
        <v>23174</v>
      </c>
      <c r="M301" s="294"/>
      <c r="N301" s="294"/>
      <c r="O301" s="354">
        <v>1000</v>
      </c>
      <c r="P301" s="319">
        <v>2</v>
      </c>
      <c r="Q301" s="355">
        <f t="shared" si="76"/>
        <v>2000</v>
      </c>
      <c r="R301" s="299"/>
      <c r="S301" s="355"/>
      <c r="T301" s="355"/>
      <c r="U301" s="355">
        <f t="shared" si="77"/>
        <v>2000</v>
      </c>
      <c r="V301" s="355"/>
      <c r="W301" s="355"/>
      <c r="X301" s="1137"/>
      <c r="Y301" s="1126"/>
      <c r="Z301" s="1194"/>
      <c r="AA301" s="1194"/>
      <c r="AB301" s="1194"/>
      <c r="AC301" s="1124"/>
      <c r="AD301" s="1124"/>
      <c r="AE301" s="1200"/>
      <c r="AF301" s="1124"/>
      <c r="AG301" s="1126"/>
    </row>
    <row r="302" spans="1:33" ht="32.25" customHeight="1">
      <c r="A302" s="1442">
        <v>2141</v>
      </c>
      <c r="B302" s="291" t="s">
        <v>341</v>
      </c>
      <c r="C302" s="1493" t="s">
        <v>342</v>
      </c>
      <c r="D302" s="326"/>
      <c r="E302" s="294">
        <v>5</v>
      </c>
      <c r="F302" s="293">
        <v>43227</v>
      </c>
      <c r="G302" s="293">
        <f t="shared" si="75"/>
        <v>43232</v>
      </c>
      <c r="H302" s="293" t="s">
        <v>294</v>
      </c>
      <c r="I302" s="294" t="s">
        <v>171</v>
      </c>
      <c r="J302" s="307" t="s">
        <v>295</v>
      </c>
      <c r="K302" s="1024" t="s">
        <v>346</v>
      </c>
      <c r="L302" s="1237">
        <v>23174</v>
      </c>
      <c r="M302" s="997"/>
      <c r="N302" s="294"/>
      <c r="O302" s="354">
        <v>1000</v>
      </c>
      <c r="P302" s="319">
        <v>2</v>
      </c>
      <c r="Q302" s="355">
        <f t="shared" si="76"/>
        <v>2000</v>
      </c>
      <c r="R302" s="299"/>
      <c r="S302" s="355"/>
      <c r="T302" s="355"/>
      <c r="U302" s="355">
        <f t="shared" si="77"/>
        <v>2000</v>
      </c>
      <c r="V302" s="355"/>
      <c r="W302" s="355"/>
      <c r="X302" s="1137"/>
      <c r="Y302" s="1126"/>
      <c r="Z302" s="1194"/>
      <c r="AA302" s="1194"/>
      <c r="AB302" s="1194"/>
      <c r="AC302" s="1124"/>
      <c r="AD302" s="1124"/>
      <c r="AE302" s="1200"/>
      <c r="AF302" s="1124"/>
      <c r="AG302" s="1126"/>
    </row>
    <row r="303" spans="1:33" ht="32.25" customHeight="1">
      <c r="A303" s="1442">
        <v>2141</v>
      </c>
      <c r="B303" s="291" t="s">
        <v>341</v>
      </c>
      <c r="C303" s="1493" t="s">
        <v>342</v>
      </c>
      <c r="D303" s="326"/>
      <c r="E303" s="294">
        <v>5</v>
      </c>
      <c r="F303" s="293">
        <v>43227</v>
      </c>
      <c r="G303" s="293">
        <f t="shared" si="75"/>
        <v>43232</v>
      </c>
      <c r="H303" s="293" t="s">
        <v>294</v>
      </c>
      <c r="I303" s="294" t="s">
        <v>171</v>
      </c>
      <c r="J303" s="307" t="s">
        <v>295</v>
      </c>
      <c r="K303" s="1024" t="s">
        <v>301</v>
      </c>
      <c r="L303" s="1237">
        <v>23173</v>
      </c>
      <c r="M303" s="294"/>
      <c r="N303" s="294"/>
      <c r="O303" s="354">
        <v>500</v>
      </c>
      <c r="P303" s="319">
        <v>2</v>
      </c>
      <c r="Q303" s="355">
        <f t="shared" si="76"/>
        <v>1000</v>
      </c>
      <c r="R303" s="299"/>
      <c r="S303" s="355"/>
      <c r="T303" s="355"/>
      <c r="U303" s="355">
        <f t="shared" si="77"/>
        <v>1000</v>
      </c>
      <c r="V303" s="355"/>
      <c r="W303" s="355"/>
      <c r="X303" s="1137"/>
      <c r="Y303" s="1126"/>
      <c r="Z303" s="1194"/>
      <c r="AA303" s="1194"/>
      <c r="AB303" s="1194"/>
      <c r="AC303" s="1124"/>
      <c r="AD303" s="1124"/>
      <c r="AE303" s="1200"/>
      <c r="AF303" s="1124"/>
      <c r="AG303" s="1126"/>
    </row>
    <row r="304" spans="1:33" ht="32.25" customHeight="1">
      <c r="A304" s="1442">
        <v>2141</v>
      </c>
      <c r="B304" s="291" t="s">
        <v>341</v>
      </c>
      <c r="C304" s="1493" t="s">
        <v>342</v>
      </c>
      <c r="D304" s="326"/>
      <c r="E304" s="294">
        <v>5</v>
      </c>
      <c r="F304" s="293">
        <v>43227</v>
      </c>
      <c r="G304" s="293">
        <f t="shared" si="75"/>
        <v>43232</v>
      </c>
      <c r="H304" s="293" t="s">
        <v>294</v>
      </c>
      <c r="I304" s="294" t="s">
        <v>171</v>
      </c>
      <c r="J304" s="307" t="s">
        <v>295</v>
      </c>
      <c r="K304" s="1024" t="s">
        <v>302</v>
      </c>
      <c r="L304" s="1237">
        <v>23173</v>
      </c>
      <c r="M304" s="326"/>
      <c r="N304" s="294"/>
      <c r="O304" s="354">
        <v>677</v>
      </c>
      <c r="P304" s="319">
        <v>2</v>
      </c>
      <c r="Q304" s="355">
        <f t="shared" si="76"/>
        <v>1354</v>
      </c>
      <c r="R304" s="299"/>
      <c r="S304" s="355"/>
      <c r="T304" s="355"/>
      <c r="U304" s="355">
        <f t="shared" si="77"/>
        <v>1354</v>
      </c>
      <c r="V304" s="355"/>
      <c r="W304" s="355"/>
      <c r="X304" s="1137"/>
      <c r="Y304" s="1126"/>
      <c r="Z304" s="1194"/>
      <c r="AA304" s="1194"/>
      <c r="AB304" s="1194"/>
      <c r="AC304" s="1124"/>
      <c r="AD304" s="1124"/>
      <c r="AE304" s="1200"/>
      <c r="AF304" s="1124"/>
      <c r="AG304" s="1126"/>
    </row>
    <row r="305" spans="1:33" ht="32.25" customHeight="1">
      <c r="A305" s="1442">
        <v>2141</v>
      </c>
      <c r="B305" s="291" t="s">
        <v>341</v>
      </c>
      <c r="C305" s="1493" t="s">
        <v>314</v>
      </c>
      <c r="D305" s="326"/>
      <c r="E305" s="294">
        <v>5</v>
      </c>
      <c r="F305" s="293">
        <v>43227</v>
      </c>
      <c r="G305" s="293">
        <f t="shared" si="75"/>
        <v>43232</v>
      </c>
      <c r="H305" s="293" t="s">
        <v>294</v>
      </c>
      <c r="I305" s="294" t="s">
        <v>171</v>
      </c>
      <c r="J305" s="307" t="s">
        <v>295</v>
      </c>
      <c r="K305" s="326" t="s">
        <v>315</v>
      </c>
      <c r="L305" s="1237">
        <v>2313</v>
      </c>
      <c r="M305" s="326"/>
      <c r="N305" s="294"/>
      <c r="O305" s="354">
        <v>2666.6666666666665</v>
      </c>
      <c r="P305" s="294">
        <v>1</v>
      </c>
      <c r="Q305" s="355">
        <f t="shared" si="76"/>
        <v>2666.6666666666665</v>
      </c>
      <c r="R305" s="299"/>
      <c r="S305" s="355"/>
      <c r="T305" s="355"/>
      <c r="U305" s="355">
        <f t="shared" si="77"/>
        <v>2666.6666666666665</v>
      </c>
      <c r="V305" s="355"/>
      <c r="W305" s="355"/>
      <c r="X305" s="1137"/>
      <c r="Y305" s="1126"/>
      <c r="Z305" s="1194"/>
      <c r="AA305" s="1194"/>
      <c r="AB305" s="1194"/>
      <c r="AC305" s="1124"/>
      <c r="AD305" s="1124"/>
      <c r="AE305" s="1200"/>
      <c r="AF305" s="1124"/>
      <c r="AG305" s="1126"/>
    </row>
    <row r="306" spans="1:33" ht="32.25" customHeight="1">
      <c r="A306" s="1442">
        <v>2142</v>
      </c>
      <c r="B306" s="291" t="s">
        <v>347</v>
      </c>
      <c r="C306" s="1501" t="s">
        <v>348</v>
      </c>
      <c r="D306" s="326"/>
      <c r="E306" s="294">
        <v>10</v>
      </c>
      <c r="F306" s="293">
        <v>43283</v>
      </c>
      <c r="G306" s="293">
        <f t="shared" si="75"/>
        <v>43293</v>
      </c>
      <c r="H306" s="293" t="s">
        <v>294</v>
      </c>
      <c r="I306" s="294" t="s">
        <v>171</v>
      </c>
      <c r="J306" s="307" t="s">
        <v>295</v>
      </c>
      <c r="K306" s="1344" t="s">
        <v>301</v>
      </c>
      <c r="L306" s="1237">
        <v>23173</v>
      </c>
      <c r="M306" s="326"/>
      <c r="N306" s="294"/>
      <c r="O306" s="354">
        <v>166.66666666666666</v>
      </c>
      <c r="P306" s="294">
        <v>4</v>
      </c>
      <c r="Q306" s="355">
        <f t="shared" si="76"/>
        <v>666.66666666666663</v>
      </c>
      <c r="R306" s="299"/>
      <c r="S306" s="355"/>
      <c r="T306" s="355"/>
      <c r="U306" s="355"/>
      <c r="V306" s="355"/>
      <c r="W306" s="355">
        <f t="shared" ref="W306:W312" si="78">+Q306</f>
        <v>666.66666666666663</v>
      </c>
      <c r="X306" s="1137"/>
      <c r="Y306" s="1126"/>
      <c r="Z306" s="1194"/>
      <c r="AA306" s="1194"/>
      <c r="AB306" s="1194"/>
      <c r="AC306" s="1124"/>
      <c r="AD306" s="1124"/>
      <c r="AE306" s="1200"/>
      <c r="AF306" s="1124"/>
      <c r="AG306" s="1126"/>
    </row>
    <row r="307" spans="1:33" ht="32.25" customHeight="1">
      <c r="A307" s="1442">
        <v>2142</v>
      </c>
      <c r="B307" s="291" t="s">
        <v>347</v>
      </c>
      <c r="C307" s="1501" t="s">
        <v>348</v>
      </c>
      <c r="D307" s="326"/>
      <c r="E307" s="294">
        <v>10</v>
      </c>
      <c r="F307" s="293">
        <v>43283</v>
      </c>
      <c r="G307" s="293">
        <f t="shared" si="75"/>
        <v>43293</v>
      </c>
      <c r="H307" s="293" t="s">
        <v>294</v>
      </c>
      <c r="I307" s="294" t="s">
        <v>171</v>
      </c>
      <c r="J307" s="307" t="s">
        <v>295</v>
      </c>
      <c r="K307" s="1344" t="s">
        <v>302</v>
      </c>
      <c r="L307" s="1237">
        <v>23173</v>
      </c>
      <c r="M307" s="326"/>
      <c r="N307" s="294"/>
      <c r="O307" s="354">
        <v>870.33333333333337</v>
      </c>
      <c r="P307" s="294">
        <v>4</v>
      </c>
      <c r="Q307" s="355">
        <f t="shared" si="76"/>
        <v>3481.3333333333335</v>
      </c>
      <c r="R307" s="299"/>
      <c r="S307" s="355"/>
      <c r="T307" s="355"/>
      <c r="U307" s="355"/>
      <c r="V307" s="355"/>
      <c r="W307" s="355">
        <f t="shared" si="78"/>
        <v>3481.3333333333335</v>
      </c>
      <c r="X307" s="1137"/>
      <c r="Y307" s="1126"/>
      <c r="Z307" s="1194"/>
      <c r="AA307" s="1194"/>
      <c r="AB307" s="1194"/>
      <c r="AC307" s="1124"/>
      <c r="AD307" s="1124"/>
      <c r="AE307" s="1200"/>
      <c r="AF307" s="1124"/>
      <c r="AG307" s="1126"/>
    </row>
    <row r="308" spans="1:33" ht="32.25" customHeight="1">
      <c r="A308" s="1442">
        <v>2142</v>
      </c>
      <c r="B308" s="291" t="s">
        <v>347</v>
      </c>
      <c r="C308" s="1501" t="s">
        <v>348</v>
      </c>
      <c r="D308" s="326"/>
      <c r="E308" s="294">
        <v>10</v>
      </c>
      <c r="F308" s="293">
        <v>43283</v>
      </c>
      <c r="G308" s="293">
        <f t="shared" si="75"/>
        <v>43293</v>
      </c>
      <c r="H308" s="293" t="s">
        <v>294</v>
      </c>
      <c r="I308" s="294" t="s">
        <v>171</v>
      </c>
      <c r="J308" s="307" t="s">
        <v>295</v>
      </c>
      <c r="K308" s="1344" t="s">
        <v>296</v>
      </c>
      <c r="L308" s="1237">
        <v>23174</v>
      </c>
      <c r="M308" s="326"/>
      <c r="N308" s="294"/>
      <c r="O308" s="354">
        <v>3000</v>
      </c>
      <c r="P308" s="294">
        <v>4</v>
      </c>
      <c r="Q308" s="355">
        <f t="shared" si="76"/>
        <v>12000</v>
      </c>
      <c r="R308" s="299"/>
      <c r="S308" s="355"/>
      <c r="T308" s="355"/>
      <c r="U308" s="355"/>
      <c r="V308" s="355"/>
      <c r="W308" s="355">
        <f t="shared" si="78"/>
        <v>12000</v>
      </c>
      <c r="X308" s="1137"/>
      <c r="Y308" s="1126"/>
      <c r="Z308" s="1194"/>
      <c r="AA308" s="1194"/>
      <c r="AB308" s="1194"/>
      <c r="AC308" s="1124"/>
      <c r="AD308" s="1124"/>
      <c r="AE308" s="1200"/>
      <c r="AF308" s="1124"/>
      <c r="AG308" s="1126"/>
    </row>
    <row r="309" spans="1:33" ht="32.25" customHeight="1">
      <c r="A309" s="1442">
        <v>2142</v>
      </c>
      <c r="B309" s="291" t="s">
        <v>347</v>
      </c>
      <c r="C309" s="1501" t="s">
        <v>348</v>
      </c>
      <c r="D309" s="326"/>
      <c r="E309" s="294">
        <v>10</v>
      </c>
      <c r="F309" s="293">
        <v>43283</v>
      </c>
      <c r="G309" s="293">
        <f t="shared" si="75"/>
        <v>43293</v>
      </c>
      <c r="H309" s="293" t="s">
        <v>294</v>
      </c>
      <c r="I309" s="294" t="s">
        <v>171</v>
      </c>
      <c r="J309" s="307" t="s">
        <v>295</v>
      </c>
      <c r="K309" s="1344" t="s">
        <v>349</v>
      </c>
      <c r="L309" s="1237">
        <v>23174</v>
      </c>
      <c r="M309" s="326"/>
      <c r="N309" s="294"/>
      <c r="O309" s="354">
        <v>304</v>
      </c>
      <c r="P309" s="294">
        <v>4</v>
      </c>
      <c r="Q309" s="355">
        <f t="shared" si="76"/>
        <v>1216</v>
      </c>
      <c r="R309" s="299"/>
      <c r="S309" s="355"/>
      <c r="T309" s="355"/>
      <c r="U309" s="355"/>
      <c r="V309" s="355"/>
      <c r="W309" s="355">
        <f t="shared" si="78"/>
        <v>1216</v>
      </c>
      <c r="X309" s="1137"/>
      <c r="Y309" s="1126"/>
      <c r="Z309" s="1194"/>
      <c r="AA309" s="1194"/>
      <c r="AB309" s="1194"/>
      <c r="AC309" s="1124"/>
      <c r="AD309" s="1124"/>
      <c r="AE309" s="1200"/>
      <c r="AF309" s="1124"/>
      <c r="AG309" s="1126"/>
    </row>
    <row r="310" spans="1:33" ht="32.25" customHeight="1">
      <c r="A310" s="1442">
        <v>2142</v>
      </c>
      <c r="B310" s="291" t="s">
        <v>347</v>
      </c>
      <c r="C310" s="1501" t="s">
        <v>348</v>
      </c>
      <c r="D310" s="326"/>
      <c r="E310" s="294">
        <v>10</v>
      </c>
      <c r="F310" s="293">
        <v>43283</v>
      </c>
      <c r="G310" s="293">
        <f t="shared" si="75"/>
        <v>43293</v>
      </c>
      <c r="H310" s="293" t="s">
        <v>294</v>
      </c>
      <c r="I310" s="294" t="s">
        <v>171</v>
      </c>
      <c r="J310" s="307" t="s">
        <v>295</v>
      </c>
      <c r="K310" s="1344" t="s">
        <v>298</v>
      </c>
      <c r="L310" s="1237">
        <v>23174</v>
      </c>
      <c r="M310" s="326"/>
      <c r="N310" s="294"/>
      <c r="O310" s="354">
        <v>448</v>
      </c>
      <c r="P310" s="294">
        <v>4</v>
      </c>
      <c r="Q310" s="355">
        <f t="shared" si="76"/>
        <v>1792</v>
      </c>
      <c r="R310" s="299"/>
      <c r="S310" s="355"/>
      <c r="T310" s="355"/>
      <c r="U310" s="355"/>
      <c r="V310" s="355"/>
      <c r="W310" s="355">
        <f t="shared" si="78"/>
        <v>1792</v>
      </c>
      <c r="X310" s="1137"/>
      <c r="Y310" s="1126"/>
      <c r="Z310" s="1194"/>
      <c r="AA310" s="1194"/>
      <c r="AB310" s="1194"/>
      <c r="AC310" s="1124"/>
      <c r="AD310" s="1124"/>
      <c r="AE310" s="1200"/>
      <c r="AF310" s="1124"/>
      <c r="AG310" s="1126"/>
    </row>
    <row r="311" spans="1:33" ht="32.25" customHeight="1">
      <c r="A311" s="1442">
        <v>2142</v>
      </c>
      <c r="B311" s="291" t="s">
        <v>347</v>
      </c>
      <c r="C311" s="1501" t="s">
        <v>348</v>
      </c>
      <c r="D311" s="326"/>
      <c r="E311" s="294">
        <v>10</v>
      </c>
      <c r="F311" s="293">
        <v>43283</v>
      </c>
      <c r="G311" s="293">
        <f t="shared" si="75"/>
        <v>43293</v>
      </c>
      <c r="H311" s="293" t="s">
        <v>294</v>
      </c>
      <c r="I311" s="294" t="s">
        <v>171</v>
      </c>
      <c r="J311" s="307" t="s">
        <v>295</v>
      </c>
      <c r="K311" s="1344" t="s">
        <v>350</v>
      </c>
      <c r="L311" s="1237">
        <v>23174</v>
      </c>
      <c r="M311" s="326"/>
      <c r="N311" s="294"/>
      <c r="O311" s="354">
        <v>166.66666666666666</v>
      </c>
      <c r="P311" s="294">
        <v>4</v>
      </c>
      <c r="Q311" s="355">
        <f t="shared" si="76"/>
        <v>666.66666666666663</v>
      </c>
      <c r="R311" s="299"/>
      <c r="S311" s="355"/>
      <c r="T311" s="355"/>
      <c r="U311" s="355"/>
      <c r="V311" s="355"/>
      <c r="W311" s="355">
        <f t="shared" si="78"/>
        <v>666.66666666666663</v>
      </c>
      <c r="X311" s="1137"/>
      <c r="Y311" s="1126"/>
      <c r="Z311" s="1194"/>
      <c r="AA311" s="1194"/>
      <c r="AB311" s="1194"/>
      <c r="AC311" s="1124"/>
      <c r="AD311" s="1124"/>
      <c r="AE311" s="1200"/>
      <c r="AF311" s="1124"/>
      <c r="AG311" s="1126"/>
    </row>
    <row r="312" spans="1:33" ht="32.25" customHeight="1">
      <c r="A312" s="1442">
        <v>2142</v>
      </c>
      <c r="B312" s="291" t="s">
        <v>347</v>
      </c>
      <c r="C312" s="1501" t="s">
        <v>348</v>
      </c>
      <c r="D312" s="326"/>
      <c r="E312" s="294">
        <v>10</v>
      </c>
      <c r="F312" s="293">
        <v>43283</v>
      </c>
      <c r="G312" s="293">
        <f t="shared" si="75"/>
        <v>43293</v>
      </c>
      <c r="H312" s="293" t="s">
        <v>294</v>
      </c>
      <c r="I312" s="294" t="s">
        <v>171</v>
      </c>
      <c r="J312" s="307" t="s">
        <v>295</v>
      </c>
      <c r="K312" s="1344" t="s">
        <v>300</v>
      </c>
      <c r="L312" s="1237">
        <v>23174</v>
      </c>
      <c r="M312" s="326"/>
      <c r="N312" s="294"/>
      <c r="O312" s="354">
        <v>400</v>
      </c>
      <c r="P312" s="294">
        <v>4</v>
      </c>
      <c r="Q312" s="355">
        <f t="shared" si="76"/>
        <v>1600</v>
      </c>
      <c r="R312" s="299"/>
      <c r="S312" s="355"/>
      <c r="T312" s="355"/>
      <c r="U312" s="355"/>
      <c r="V312" s="355"/>
      <c r="W312" s="355">
        <f t="shared" si="78"/>
        <v>1600</v>
      </c>
      <c r="X312" s="1137"/>
      <c r="Y312" s="1126"/>
      <c r="Z312" s="1194"/>
      <c r="AA312" s="1194"/>
      <c r="AB312" s="1194"/>
      <c r="AC312" s="1124"/>
      <c r="AD312" s="1124"/>
      <c r="AE312" s="1200"/>
      <c r="AF312" s="1124"/>
      <c r="AG312" s="1126"/>
    </row>
    <row r="313" spans="1:33" ht="32.25" customHeight="1">
      <c r="A313" s="1442">
        <v>2143</v>
      </c>
      <c r="B313" s="291" t="s">
        <v>69</v>
      </c>
      <c r="C313" s="1501" t="s">
        <v>351</v>
      </c>
      <c r="D313" s="326"/>
      <c r="E313" s="294">
        <v>1</v>
      </c>
      <c r="F313" s="293">
        <v>43409</v>
      </c>
      <c r="G313" s="293">
        <f t="shared" si="75"/>
        <v>43410</v>
      </c>
      <c r="H313" s="293" t="s">
        <v>294</v>
      </c>
      <c r="I313" s="294" t="s">
        <v>171</v>
      </c>
      <c r="J313" s="307" t="s">
        <v>295</v>
      </c>
      <c r="K313" s="326" t="s">
        <v>296</v>
      </c>
      <c r="L313" s="1237">
        <v>23174</v>
      </c>
      <c r="M313" s="326"/>
      <c r="N313" s="294"/>
      <c r="O313" s="999">
        <v>24</v>
      </c>
      <c r="P313" s="998">
        <v>60</v>
      </c>
      <c r="Q313" s="355">
        <f t="shared" si="76"/>
        <v>1440</v>
      </c>
      <c r="R313" s="299"/>
      <c r="S313" s="355"/>
      <c r="T313" s="355"/>
      <c r="U313" s="355"/>
      <c r="V313" s="355"/>
      <c r="W313" s="355"/>
      <c r="X313" s="1137"/>
      <c r="Y313" s="1126"/>
      <c r="Z313" s="1194"/>
      <c r="AA313" s="1126">
        <f>+Q313</f>
        <v>1440</v>
      </c>
      <c r="AB313" s="1194"/>
      <c r="AC313" s="1124"/>
      <c r="AD313" s="1124"/>
      <c r="AE313" s="1200"/>
      <c r="AF313" s="1124"/>
      <c r="AG313" s="1126"/>
    </row>
    <row r="314" spans="1:33" ht="32.25" customHeight="1">
      <c r="A314" s="1442">
        <v>2143</v>
      </c>
      <c r="B314" s="291" t="s">
        <v>69</v>
      </c>
      <c r="C314" s="1501" t="s">
        <v>351</v>
      </c>
      <c r="D314" s="326"/>
      <c r="E314" s="294">
        <v>1</v>
      </c>
      <c r="F314" s="293">
        <v>43409</v>
      </c>
      <c r="G314" s="293">
        <f t="shared" si="75"/>
        <v>43410</v>
      </c>
      <c r="H314" s="293" t="s">
        <v>294</v>
      </c>
      <c r="I314" s="294" t="s">
        <v>171</v>
      </c>
      <c r="J314" s="307" t="s">
        <v>295</v>
      </c>
      <c r="K314" s="326" t="s">
        <v>352</v>
      </c>
      <c r="L314" s="1237">
        <v>23174</v>
      </c>
      <c r="M314" s="326"/>
      <c r="N314" s="294"/>
      <c r="O314" s="354">
        <v>26.666666666666668</v>
      </c>
      <c r="P314" s="998">
        <v>60</v>
      </c>
      <c r="Q314" s="355">
        <f t="shared" si="76"/>
        <v>1600</v>
      </c>
      <c r="R314" s="299"/>
      <c r="S314" s="355"/>
      <c r="T314" s="355"/>
      <c r="U314" s="355"/>
      <c r="V314" s="355"/>
      <c r="W314" s="355"/>
      <c r="X314" s="1137"/>
      <c r="Y314" s="1126"/>
      <c r="Z314" s="1194"/>
      <c r="AA314" s="1126">
        <f>+Q314</f>
        <v>1600</v>
      </c>
      <c r="AB314" s="1194"/>
      <c r="AC314" s="1124"/>
      <c r="AD314" s="1124"/>
      <c r="AE314" s="1200"/>
      <c r="AF314" s="1124"/>
      <c r="AG314" s="1126"/>
    </row>
    <row r="315" spans="1:33" ht="29.25" customHeight="1">
      <c r="A315" s="1275">
        <v>215</v>
      </c>
      <c r="B315" s="995" t="s">
        <v>353</v>
      </c>
      <c r="C315" s="1083"/>
      <c r="D315" s="1339"/>
      <c r="E315" s="1340"/>
      <c r="F315" s="1340"/>
      <c r="G315" s="1340"/>
      <c r="H315" s="1339"/>
      <c r="I315" s="1341"/>
      <c r="J315" s="283"/>
      <c r="K315" s="1278"/>
      <c r="L315" s="1279"/>
      <c r="M315" s="1280"/>
      <c r="N315" s="1277"/>
      <c r="O315" s="1281"/>
      <c r="P315" s="1277"/>
      <c r="Q315" s="1282">
        <f>SUM(Q316:Q333)</f>
        <v>53486.333333333343</v>
      </c>
      <c r="R315" s="287"/>
      <c r="S315" s="1282">
        <f t="shared" ref="S315:AF315" si="79">SUM(S316:S333)</f>
        <v>0</v>
      </c>
      <c r="T315" s="1282">
        <f t="shared" si="79"/>
        <v>0</v>
      </c>
      <c r="U315" s="1282">
        <f t="shared" si="79"/>
        <v>12902.666666666664</v>
      </c>
      <c r="V315" s="1282">
        <f t="shared" si="79"/>
        <v>40583.666666666672</v>
      </c>
      <c r="W315" s="1282">
        <f t="shared" si="79"/>
        <v>0</v>
      </c>
      <c r="X315" s="1342">
        <f t="shared" si="79"/>
        <v>0</v>
      </c>
      <c r="Y315" s="1343">
        <f t="shared" si="79"/>
        <v>0</v>
      </c>
      <c r="Z315" s="1151">
        <f t="shared" si="79"/>
        <v>0</v>
      </c>
      <c r="AA315" s="1151">
        <f t="shared" si="79"/>
        <v>0</v>
      </c>
      <c r="AB315" s="1151">
        <f t="shared" si="79"/>
        <v>0</v>
      </c>
      <c r="AC315" s="1151">
        <f t="shared" si="79"/>
        <v>0</v>
      </c>
      <c r="AD315" s="1151">
        <f t="shared" si="79"/>
        <v>0</v>
      </c>
      <c r="AE315" s="1151">
        <f t="shared" si="79"/>
        <v>0</v>
      </c>
      <c r="AF315" s="1151">
        <f t="shared" si="79"/>
        <v>0</v>
      </c>
      <c r="AG315" s="1151">
        <f>SUM(S315:AF315)</f>
        <v>53486.333333333336</v>
      </c>
    </row>
    <row r="316" spans="1:33" ht="32.25" customHeight="1">
      <c r="A316" s="1442">
        <v>2151</v>
      </c>
      <c r="B316" s="291" t="s">
        <v>70</v>
      </c>
      <c r="C316" s="1493" t="s">
        <v>307</v>
      </c>
      <c r="D316" s="326"/>
      <c r="E316" s="294">
        <v>2</v>
      </c>
      <c r="F316" s="293">
        <v>43269</v>
      </c>
      <c r="G316" s="293">
        <f t="shared" ref="G316:G333" si="80">+E316+F316</f>
        <v>43271</v>
      </c>
      <c r="H316" s="293" t="s">
        <v>294</v>
      </c>
      <c r="I316" s="294" t="s">
        <v>171</v>
      </c>
      <c r="J316" s="307" t="s">
        <v>295</v>
      </c>
      <c r="K316" s="326" t="s">
        <v>309</v>
      </c>
      <c r="L316" s="1237">
        <v>23173</v>
      </c>
      <c r="M316" s="294"/>
      <c r="N316" s="294"/>
      <c r="O316" s="354">
        <v>205.33333333333334</v>
      </c>
      <c r="P316" s="998">
        <v>3</v>
      </c>
      <c r="Q316" s="355">
        <f t="shared" ref="Q316:Q333" si="81">+O316*P316</f>
        <v>616</v>
      </c>
      <c r="R316" s="299"/>
      <c r="S316" s="355"/>
      <c r="T316" s="355"/>
      <c r="U316" s="355"/>
      <c r="V316" s="355">
        <f t="shared" ref="V316:V323" si="82">+Q316</f>
        <v>616</v>
      </c>
      <c r="W316" s="355"/>
      <c r="X316" s="1137"/>
      <c r="Y316" s="1126"/>
      <c r="Z316" s="1194"/>
      <c r="AA316" s="1194"/>
      <c r="AB316" s="1194"/>
      <c r="AC316" s="1124"/>
      <c r="AD316" s="1124"/>
      <c r="AE316" s="1200"/>
      <c r="AF316" s="1124"/>
      <c r="AG316" s="1126"/>
    </row>
    <row r="317" spans="1:33" ht="32.25" customHeight="1">
      <c r="A317" s="1442">
        <v>2151</v>
      </c>
      <c r="B317" s="291" t="s">
        <v>70</v>
      </c>
      <c r="C317" s="1493" t="s">
        <v>307</v>
      </c>
      <c r="D317" s="326"/>
      <c r="E317" s="294">
        <v>2</v>
      </c>
      <c r="F317" s="293">
        <v>43269</v>
      </c>
      <c r="G317" s="293">
        <f t="shared" si="80"/>
        <v>43271</v>
      </c>
      <c r="H317" s="293" t="s">
        <v>294</v>
      </c>
      <c r="I317" s="294" t="s">
        <v>171</v>
      </c>
      <c r="J317" s="307" t="s">
        <v>295</v>
      </c>
      <c r="K317" s="326" t="s">
        <v>308</v>
      </c>
      <c r="L317" s="1237">
        <v>23173</v>
      </c>
      <c r="M317" s="326"/>
      <c r="N317" s="294"/>
      <c r="O317" s="354">
        <v>44</v>
      </c>
      <c r="P317" s="998">
        <v>3</v>
      </c>
      <c r="Q317" s="355">
        <f t="shared" si="81"/>
        <v>132</v>
      </c>
      <c r="R317" s="299"/>
      <c r="S317" s="355"/>
      <c r="T317" s="355"/>
      <c r="U317" s="355"/>
      <c r="V317" s="355">
        <f t="shared" si="82"/>
        <v>132</v>
      </c>
      <c r="W317" s="355"/>
      <c r="X317" s="1137"/>
      <c r="Y317" s="1126"/>
      <c r="Z317" s="1194"/>
      <c r="AA317" s="1194"/>
      <c r="AB317" s="1194"/>
      <c r="AC317" s="1124"/>
      <c r="AD317" s="1124"/>
      <c r="AE317" s="1200"/>
      <c r="AF317" s="1124"/>
      <c r="AG317" s="1126"/>
    </row>
    <row r="318" spans="1:33" ht="32.25" customHeight="1">
      <c r="A318" s="1442">
        <v>2151</v>
      </c>
      <c r="B318" s="291" t="s">
        <v>70</v>
      </c>
      <c r="C318" s="1493" t="s">
        <v>307</v>
      </c>
      <c r="D318" s="326"/>
      <c r="E318" s="294">
        <v>2</v>
      </c>
      <c r="F318" s="293">
        <v>43269</v>
      </c>
      <c r="G318" s="293">
        <f t="shared" si="80"/>
        <v>43271</v>
      </c>
      <c r="H318" s="293" t="s">
        <v>294</v>
      </c>
      <c r="I318" s="294" t="s">
        <v>171</v>
      </c>
      <c r="J318" s="307" t="s">
        <v>295</v>
      </c>
      <c r="K318" s="326" t="s">
        <v>296</v>
      </c>
      <c r="L318" s="1237">
        <v>23174</v>
      </c>
      <c r="M318" s="326"/>
      <c r="N318" s="294"/>
      <c r="O318" s="354">
        <v>480</v>
      </c>
      <c r="P318" s="998">
        <v>3</v>
      </c>
      <c r="Q318" s="355">
        <f t="shared" si="81"/>
        <v>1440</v>
      </c>
      <c r="R318" s="299"/>
      <c r="S318" s="355"/>
      <c r="T318" s="355"/>
      <c r="U318" s="355"/>
      <c r="V318" s="355">
        <f t="shared" si="82"/>
        <v>1440</v>
      </c>
      <c r="W318" s="355"/>
      <c r="X318" s="1137"/>
      <c r="Y318" s="1126"/>
      <c r="Z318" s="1194"/>
      <c r="AA318" s="1194"/>
      <c r="AB318" s="1194"/>
      <c r="AC318" s="1124"/>
      <c r="AD318" s="1124"/>
      <c r="AE318" s="1200"/>
      <c r="AF318" s="1124"/>
      <c r="AG318" s="1126"/>
    </row>
    <row r="319" spans="1:33" ht="32.25" customHeight="1">
      <c r="A319" s="1442">
        <v>2151</v>
      </c>
      <c r="B319" s="291" t="s">
        <v>70</v>
      </c>
      <c r="C319" s="1493" t="s">
        <v>307</v>
      </c>
      <c r="D319" s="326"/>
      <c r="E319" s="294">
        <v>2</v>
      </c>
      <c r="F319" s="293">
        <v>43269</v>
      </c>
      <c r="G319" s="293">
        <f t="shared" si="80"/>
        <v>43271</v>
      </c>
      <c r="H319" s="293" t="s">
        <v>294</v>
      </c>
      <c r="I319" s="294" t="s">
        <v>171</v>
      </c>
      <c r="J319" s="307" t="s">
        <v>295</v>
      </c>
      <c r="K319" s="326" t="s">
        <v>354</v>
      </c>
      <c r="L319" s="1237">
        <v>23174</v>
      </c>
      <c r="M319" s="326"/>
      <c r="N319" s="294"/>
      <c r="O319" s="354">
        <v>202.66666666666666</v>
      </c>
      <c r="P319" s="998">
        <v>3</v>
      </c>
      <c r="Q319" s="355">
        <f t="shared" si="81"/>
        <v>608</v>
      </c>
      <c r="R319" s="299"/>
      <c r="S319" s="355"/>
      <c r="T319" s="355"/>
      <c r="U319" s="355"/>
      <c r="V319" s="355">
        <f t="shared" si="82"/>
        <v>608</v>
      </c>
      <c r="W319" s="355"/>
      <c r="X319" s="1137"/>
      <c r="Y319" s="1126"/>
      <c r="Z319" s="1194"/>
      <c r="AA319" s="1194"/>
      <c r="AB319" s="1194"/>
      <c r="AC319" s="1124"/>
      <c r="AD319" s="1124"/>
      <c r="AE319" s="1200"/>
      <c r="AF319" s="1124"/>
      <c r="AG319" s="1126"/>
    </row>
    <row r="320" spans="1:33" ht="32.25" customHeight="1">
      <c r="A320" s="1442">
        <v>2151</v>
      </c>
      <c r="B320" s="291" t="s">
        <v>70</v>
      </c>
      <c r="C320" s="1493" t="s">
        <v>307</v>
      </c>
      <c r="D320" s="326"/>
      <c r="E320" s="294">
        <v>2</v>
      </c>
      <c r="F320" s="293">
        <v>43269</v>
      </c>
      <c r="G320" s="293">
        <f t="shared" si="80"/>
        <v>43271</v>
      </c>
      <c r="H320" s="293" t="s">
        <v>294</v>
      </c>
      <c r="I320" s="294" t="s">
        <v>171</v>
      </c>
      <c r="J320" s="307" t="s">
        <v>295</v>
      </c>
      <c r="K320" s="326" t="s">
        <v>355</v>
      </c>
      <c r="L320" s="1237">
        <v>23174</v>
      </c>
      <c r="M320" s="326"/>
      <c r="N320" s="294"/>
      <c r="O320" s="354">
        <v>333.33333333333331</v>
      </c>
      <c r="P320" s="998">
        <v>3</v>
      </c>
      <c r="Q320" s="355">
        <f t="shared" si="81"/>
        <v>1000</v>
      </c>
      <c r="R320" s="299"/>
      <c r="S320" s="355"/>
      <c r="T320" s="355"/>
      <c r="U320" s="355"/>
      <c r="V320" s="355">
        <f t="shared" si="82"/>
        <v>1000</v>
      </c>
      <c r="W320" s="355"/>
      <c r="X320" s="1137"/>
      <c r="Y320" s="1126"/>
      <c r="Z320" s="1194"/>
      <c r="AA320" s="1194"/>
      <c r="AB320" s="1194"/>
      <c r="AC320" s="1124"/>
      <c r="AD320" s="1124"/>
      <c r="AE320" s="1200"/>
      <c r="AF320" s="1124"/>
      <c r="AG320" s="1126"/>
    </row>
    <row r="321" spans="1:33" ht="32.25" customHeight="1">
      <c r="A321" s="1442">
        <v>2151</v>
      </c>
      <c r="B321" s="291" t="s">
        <v>70</v>
      </c>
      <c r="C321" s="1493" t="s">
        <v>307</v>
      </c>
      <c r="D321" s="326"/>
      <c r="E321" s="294">
        <v>2</v>
      </c>
      <c r="F321" s="293">
        <v>43269</v>
      </c>
      <c r="G321" s="293">
        <f t="shared" si="80"/>
        <v>43271</v>
      </c>
      <c r="H321" s="293" t="s">
        <v>294</v>
      </c>
      <c r="I321" s="294" t="s">
        <v>171</v>
      </c>
      <c r="J321" s="307" t="s">
        <v>295</v>
      </c>
      <c r="K321" s="326" t="s">
        <v>356</v>
      </c>
      <c r="L321" s="1237">
        <v>23174</v>
      </c>
      <c r="M321" s="326"/>
      <c r="N321" s="294"/>
      <c r="O321" s="354">
        <v>133.33333333333334</v>
      </c>
      <c r="P321" s="998">
        <v>3</v>
      </c>
      <c r="Q321" s="355">
        <f t="shared" si="81"/>
        <v>400</v>
      </c>
      <c r="R321" s="299"/>
      <c r="S321" s="355"/>
      <c r="T321" s="355"/>
      <c r="U321" s="355"/>
      <c r="V321" s="355">
        <f t="shared" si="82"/>
        <v>400</v>
      </c>
      <c r="W321" s="355"/>
      <c r="X321" s="1137"/>
      <c r="Y321" s="1126"/>
      <c r="Z321" s="1194"/>
      <c r="AA321" s="1194"/>
      <c r="AB321" s="1194"/>
      <c r="AC321" s="1124"/>
      <c r="AD321" s="1124"/>
      <c r="AE321" s="1200"/>
      <c r="AF321" s="1124"/>
      <c r="AG321" s="1126"/>
    </row>
    <row r="322" spans="1:33" ht="32.25" customHeight="1">
      <c r="A322" s="1442">
        <v>2151</v>
      </c>
      <c r="B322" s="291" t="s">
        <v>70</v>
      </c>
      <c r="C322" s="1493" t="s">
        <v>307</v>
      </c>
      <c r="D322" s="326"/>
      <c r="E322" s="294">
        <v>2</v>
      </c>
      <c r="F322" s="293">
        <v>43269</v>
      </c>
      <c r="G322" s="293">
        <f t="shared" si="80"/>
        <v>43271</v>
      </c>
      <c r="H322" s="293" t="s">
        <v>294</v>
      </c>
      <c r="I322" s="294" t="s">
        <v>171</v>
      </c>
      <c r="J322" s="307" t="s">
        <v>295</v>
      </c>
      <c r="K322" s="326" t="s">
        <v>301</v>
      </c>
      <c r="L322" s="1237">
        <v>23173</v>
      </c>
      <c r="M322" s="326"/>
      <c r="N322" s="294"/>
      <c r="O322" s="354">
        <v>200</v>
      </c>
      <c r="P322" s="998">
        <v>3</v>
      </c>
      <c r="Q322" s="355">
        <f t="shared" si="81"/>
        <v>600</v>
      </c>
      <c r="R322" s="299"/>
      <c r="S322" s="355"/>
      <c r="T322" s="355"/>
      <c r="U322" s="355"/>
      <c r="V322" s="355">
        <f t="shared" si="82"/>
        <v>600</v>
      </c>
      <c r="W322" s="355"/>
      <c r="X322" s="1137"/>
      <c r="Y322" s="1126"/>
      <c r="Z322" s="1194"/>
      <c r="AA322" s="1194"/>
      <c r="AB322" s="1194"/>
      <c r="AC322" s="1124"/>
      <c r="AD322" s="1124"/>
      <c r="AE322" s="1200"/>
      <c r="AF322" s="1124"/>
      <c r="AG322" s="1126"/>
    </row>
    <row r="323" spans="1:33" ht="32.25" customHeight="1">
      <c r="A323" s="1442">
        <v>2151</v>
      </c>
      <c r="B323" s="291" t="s">
        <v>70</v>
      </c>
      <c r="C323" s="1493" t="s">
        <v>307</v>
      </c>
      <c r="D323" s="326"/>
      <c r="E323" s="294">
        <v>2</v>
      </c>
      <c r="F323" s="293">
        <v>43269</v>
      </c>
      <c r="G323" s="293">
        <f t="shared" si="80"/>
        <v>43271</v>
      </c>
      <c r="H323" s="293" t="s">
        <v>294</v>
      </c>
      <c r="I323" s="294" t="s">
        <v>171</v>
      </c>
      <c r="J323" s="307" t="s">
        <v>295</v>
      </c>
      <c r="K323" s="326" t="s">
        <v>302</v>
      </c>
      <c r="L323" s="1237">
        <v>23173</v>
      </c>
      <c r="M323" s="326"/>
      <c r="N323" s="294"/>
      <c r="O323" s="354">
        <v>207</v>
      </c>
      <c r="P323" s="998">
        <v>3</v>
      </c>
      <c r="Q323" s="355">
        <f t="shared" si="81"/>
        <v>621</v>
      </c>
      <c r="R323" s="299"/>
      <c r="S323" s="355"/>
      <c r="T323" s="355"/>
      <c r="U323" s="355"/>
      <c r="V323" s="355">
        <f t="shared" si="82"/>
        <v>621</v>
      </c>
      <c r="W323" s="355"/>
      <c r="X323" s="1137"/>
      <c r="Y323" s="1126"/>
      <c r="Z323" s="1194"/>
      <c r="AA323" s="1194"/>
      <c r="AB323" s="1194"/>
      <c r="AC323" s="1124"/>
      <c r="AD323" s="1124"/>
      <c r="AE323" s="1200"/>
      <c r="AF323" s="1124"/>
      <c r="AG323" s="1126"/>
    </row>
    <row r="324" spans="1:33" ht="32.25" customHeight="1">
      <c r="A324" s="1442">
        <v>2152</v>
      </c>
      <c r="B324" s="291" t="s">
        <v>71</v>
      </c>
      <c r="C324" s="1501" t="s">
        <v>307</v>
      </c>
      <c r="D324" s="326"/>
      <c r="E324" s="294">
        <v>5</v>
      </c>
      <c r="F324" s="293">
        <v>43234</v>
      </c>
      <c r="G324" s="293">
        <f t="shared" si="80"/>
        <v>43239</v>
      </c>
      <c r="H324" s="293" t="s">
        <v>294</v>
      </c>
      <c r="I324" s="294" t="s">
        <v>171</v>
      </c>
      <c r="J324" s="307" t="s">
        <v>295</v>
      </c>
      <c r="K324" s="326" t="s">
        <v>309</v>
      </c>
      <c r="L324" s="1237">
        <v>23173</v>
      </c>
      <c r="M324" s="326"/>
      <c r="N324" s="294"/>
      <c r="O324" s="354">
        <v>933.33333333333337</v>
      </c>
      <c r="P324" s="294">
        <v>1</v>
      </c>
      <c r="Q324" s="355">
        <f t="shared" si="81"/>
        <v>933.33333333333337</v>
      </c>
      <c r="R324" s="299"/>
      <c r="S324" s="355"/>
      <c r="T324" s="355"/>
      <c r="U324" s="355">
        <f t="shared" ref="U324:U330" si="83">+Q324</f>
        <v>933.33333333333337</v>
      </c>
      <c r="V324" s="355"/>
      <c r="W324" s="355"/>
      <c r="X324" s="1137"/>
      <c r="Y324" s="1126"/>
      <c r="Z324" s="1194"/>
      <c r="AA324" s="1194"/>
      <c r="AB324" s="1194"/>
      <c r="AC324" s="1124"/>
      <c r="AD324" s="1124"/>
      <c r="AE324" s="1200"/>
      <c r="AF324" s="1124"/>
      <c r="AG324" s="1126"/>
    </row>
    <row r="325" spans="1:33" ht="32.25" customHeight="1">
      <c r="A325" s="1442">
        <v>2152</v>
      </c>
      <c r="B325" s="291" t="s">
        <v>71</v>
      </c>
      <c r="C325" s="1501" t="s">
        <v>307</v>
      </c>
      <c r="D325" s="326"/>
      <c r="E325" s="294">
        <v>5</v>
      </c>
      <c r="F325" s="293">
        <v>43234</v>
      </c>
      <c r="G325" s="293">
        <f t="shared" si="80"/>
        <v>43239</v>
      </c>
      <c r="H325" s="293" t="s">
        <v>294</v>
      </c>
      <c r="I325" s="294" t="s">
        <v>171</v>
      </c>
      <c r="J325" s="307" t="s">
        <v>295</v>
      </c>
      <c r="K325" s="326" t="s">
        <v>308</v>
      </c>
      <c r="L325" s="1237">
        <v>23173</v>
      </c>
      <c r="M325" s="326"/>
      <c r="N325" s="294"/>
      <c r="O325" s="354">
        <v>200</v>
      </c>
      <c r="P325" s="294">
        <v>1</v>
      </c>
      <c r="Q325" s="355">
        <f t="shared" si="81"/>
        <v>200</v>
      </c>
      <c r="R325" s="299"/>
      <c r="S325" s="355"/>
      <c r="T325" s="355"/>
      <c r="U325" s="355">
        <f t="shared" si="83"/>
        <v>200</v>
      </c>
      <c r="V325" s="355"/>
      <c r="W325" s="355"/>
      <c r="X325" s="1137"/>
      <c r="Y325" s="1126"/>
      <c r="Z325" s="1194"/>
      <c r="AA325" s="1194"/>
      <c r="AB325" s="1194"/>
      <c r="AC325" s="1124"/>
      <c r="AD325" s="1124"/>
      <c r="AE325" s="1200"/>
      <c r="AF325" s="1124"/>
      <c r="AG325" s="1126"/>
    </row>
    <row r="326" spans="1:33" ht="32.25" customHeight="1">
      <c r="A326" s="1442">
        <v>2152</v>
      </c>
      <c r="B326" s="291" t="s">
        <v>71</v>
      </c>
      <c r="C326" s="1501" t="s">
        <v>307</v>
      </c>
      <c r="D326" s="326"/>
      <c r="E326" s="294">
        <v>5</v>
      </c>
      <c r="F326" s="293">
        <v>43234</v>
      </c>
      <c r="G326" s="293">
        <f t="shared" si="80"/>
        <v>43239</v>
      </c>
      <c r="H326" s="293" t="s">
        <v>294</v>
      </c>
      <c r="I326" s="294" t="s">
        <v>171</v>
      </c>
      <c r="J326" s="307" t="s">
        <v>295</v>
      </c>
      <c r="K326" s="1024" t="s">
        <v>357</v>
      </c>
      <c r="L326" s="1237">
        <v>23174</v>
      </c>
      <c r="M326" s="326"/>
      <c r="N326" s="294"/>
      <c r="O326" s="354">
        <v>7093.333333333333</v>
      </c>
      <c r="P326" s="294">
        <v>1</v>
      </c>
      <c r="Q326" s="355">
        <f t="shared" si="81"/>
        <v>7093.333333333333</v>
      </c>
      <c r="R326" s="299"/>
      <c r="S326" s="355"/>
      <c r="T326" s="355"/>
      <c r="U326" s="355">
        <f t="shared" si="83"/>
        <v>7093.333333333333</v>
      </c>
      <c r="V326" s="355"/>
      <c r="W326" s="355"/>
      <c r="X326" s="1137"/>
      <c r="Y326" s="1126"/>
      <c r="Z326" s="1194"/>
      <c r="AA326" s="1194"/>
      <c r="AB326" s="1194"/>
      <c r="AC326" s="1124"/>
      <c r="AD326" s="1124"/>
      <c r="AE326" s="1200"/>
      <c r="AF326" s="1124"/>
      <c r="AG326" s="1126"/>
    </row>
    <row r="327" spans="1:33" ht="32.25" customHeight="1">
      <c r="A327" s="1442">
        <v>2152</v>
      </c>
      <c r="B327" s="291" t="s">
        <v>71</v>
      </c>
      <c r="C327" s="1501" t="s">
        <v>307</v>
      </c>
      <c r="D327" s="326"/>
      <c r="E327" s="294">
        <v>5</v>
      </c>
      <c r="F327" s="293">
        <v>43234</v>
      </c>
      <c r="G327" s="293">
        <f t="shared" si="80"/>
        <v>43239</v>
      </c>
      <c r="H327" s="293" t="s">
        <v>294</v>
      </c>
      <c r="I327" s="294" t="s">
        <v>171</v>
      </c>
      <c r="J327" s="307" t="s">
        <v>295</v>
      </c>
      <c r="K327" s="1024" t="s">
        <v>346</v>
      </c>
      <c r="L327" s="1237">
        <v>23174</v>
      </c>
      <c r="M327" s="326"/>
      <c r="N327" s="294"/>
      <c r="O327" s="354">
        <v>2666.6666666666665</v>
      </c>
      <c r="P327" s="294">
        <v>1</v>
      </c>
      <c r="Q327" s="355">
        <f t="shared" si="81"/>
        <v>2666.6666666666665</v>
      </c>
      <c r="R327" s="299"/>
      <c r="S327" s="355"/>
      <c r="T327" s="355"/>
      <c r="U327" s="355">
        <f t="shared" si="83"/>
        <v>2666.6666666666665</v>
      </c>
      <c r="V327" s="355"/>
      <c r="W327" s="355"/>
      <c r="X327" s="1137"/>
      <c r="Y327" s="1126"/>
      <c r="Z327" s="1194"/>
      <c r="AA327" s="1194"/>
      <c r="AB327" s="1194"/>
      <c r="AC327" s="1124"/>
      <c r="AD327" s="1124"/>
      <c r="AE327" s="1200"/>
      <c r="AF327" s="1124"/>
      <c r="AG327" s="1126"/>
    </row>
    <row r="328" spans="1:33" ht="32.25" customHeight="1">
      <c r="A328" s="1442">
        <v>2152</v>
      </c>
      <c r="B328" s="291" t="s">
        <v>71</v>
      </c>
      <c r="C328" s="1501" t="s">
        <v>307</v>
      </c>
      <c r="D328" s="326"/>
      <c r="E328" s="294">
        <v>5</v>
      </c>
      <c r="F328" s="293">
        <v>43234</v>
      </c>
      <c r="G328" s="293">
        <f t="shared" si="80"/>
        <v>43239</v>
      </c>
      <c r="H328" s="293" t="s">
        <v>294</v>
      </c>
      <c r="I328" s="294" t="s">
        <v>171</v>
      </c>
      <c r="J328" s="307" t="s">
        <v>295</v>
      </c>
      <c r="K328" s="1025" t="s">
        <v>358</v>
      </c>
      <c r="L328" s="1237">
        <v>23174</v>
      </c>
      <c r="M328" s="326"/>
      <c r="N328" s="294"/>
      <c r="O328" s="354">
        <v>1066.6666666666667</v>
      </c>
      <c r="P328" s="294">
        <v>1</v>
      </c>
      <c r="Q328" s="355">
        <f t="shared" si="81"/>
        <v>1066.6666666666667</v>
      </c>
      <c r="R328" s="299"/>
      <c r="S328" s="355"/>
      <c r="T328" s="355"/>
      <c r="U328" s="355">
        <f t="shared" si="83"/>
        <v>1066.6666666666667</v>
      </c>
      <c r="V328" s="355"/>
      <c r="W328" s="355"/>
      <c r="X328" s="1137"/>
      <c r="Y328" s="1126"/>
      <c r="Z328" s="1194"/>
      <c r="AA328" s="1194"/>
      <c r="AB328" s="1194"/>
      <c r="AC328" s="1124"/>
      <c r="AD328" s="1124"/>
      <c r="AE328" s="1200"/>
      <c r="AF328" s="1124"/>
      <c r="AG328" s="1126"/>
    </row>
    <row r="329" spans="1:33" ht="32.25" customHeight="1">
      <c r="A329" s="1442">
        <v>2152</v>
      </c>
      <c r="B329" s="291" t="s">
        <v>71</v>
      </c>
      <c r="C329" s="1501" t="s">
        <v>307</v>
      </c>
      <c r="D329" s="326"/>
      <c r="E329" s="294">
        <v>5</v>
      </c>
      <c r="F329" s="293">
        <v>43234</v>
      </c>
      <c r="G329" s="293">
        <f t="shared" si="80"/>
        <v>43239</v>
      </c>
      <c r="H329" s="293" t="s">
        <v>294</v>
      </c>
      <c r="I329" s="294" t="s">
        <v>171</v>
      </c>
      <c r="J329" s="307" t="s">
        <v>295</v>
      </c>
      <c r="K329" s="1024" t="s">
        <v>301</v>
      </c>
      <c r="L329" s="1237">
        <v>23173</v>
      </c>
      <c r="M329" s="326"/>
      <c r="N329" s="294"/>
      <c r="O329" s="354">
        <v>666.66666666666663</v>
      </c>
      <c r="P329" s="294">
        <v>1</v>
      </c>
      <c r="Q329" s="355">
        <f t="shared" si="81"/>
        <v>666.66666666666663</v>
      </c>
      <c r="R329" s="299"/>
      <c r="S329" s="355"/>
      <c r="T329" s="355"/>
      <c r="U329" s="355">
        <f t="shared" si="83"/>
        <v>666.66666666666663</v>
      </c>
      <c r="V329" s="355"/>
      <c r="W329" s="355"/>
      <c r="X329" s="1137"/>
      <c r="Y329" s="1126"/>
      <c r="Z329" s="1194"/>
      <c r="AA329" s="1194"/>
      <c r="AB329" s="1194"/>
      <c r="AC329" s="1124"/>
      <c r="AD329" s="1124"/>
      <c r="AE329" s="1200"/>
      <c r="AF329" s="1124"/>
      <c r="AG329" s="1126"/>
    </row>
    <row r="330" spans="1:33" ht="32.25" customHeight="1">
      <c r="A330" s="1442">
        <v>2152</v>
      </c>
      <c r="B330" s="291" t="s">
        <v>71</v>
      </c>
      <c r="C330" s="1501" t="s">
        <v>307</v>
      </c>
      <c r="D330" s="326"/>
      <c r="E330" s="294">
        <v>5</v>
      </c>
      <c r="F330" s="293">
        <v>43234</v>
      </c>
      <c r="G330" s="293">
        <f t="shared" si="80"/>
        <v>43239</v>
      </c>
      <c r="H330" s="293" t="s">
        <v>294</v>
      </c>
      <c r="I330" s="294" t="s">
        <v>171</v>
      </c>
      <c r="J330" s="307" t="s">
        <v>295</v>
      </c>
      <c r="K330" s="1024" t="s">
        <v>302</v>
      </c>
      <c r="L330" s="1237">
        <v>23173</v>
      </c>
      <c r="M330" s="326"/>
      <c r="N330" s="294"/>
      <c r="O330" s="354">
        <v>276</v>
      </c>
      <c r="P330" s="294">
        <v>1</v>
      </c>
      <c r="Q330" s="355">
        <f t="shared" si="81"/>
        <v>276</v>
      </c>
      <c r="R330" s="299"/>
      <c r="S330" s="355"/>
      <c r="T330" s="355"/>
      <c r="U330" s="355">
        <f t="shared" si="83"/>
        <v>276</v>
      </c>
      <c r="V330" s="355"/>
      <c r="W330" s="355"/>
      <c r="X330" s="1137"/>
      <c r="Y330" s="1126"/>
      <c r="Z330" s="1194"/>
      <c r="AA330" s="1194"/>
      <c r="AB330" s="1194"/>
      <c r="AC330" s="1124"/>
      <c r="AD330" s="1124"/>
      <c r="AE330" s="1200"/>
      <c r="AF330" s="1124"/>
      <c r="AG330" s="1126"/>
    </row>
    <row r="331" spans="1:33" ht="32.25" customHeight="1">
      <c r="A331" s="1442">
        <v>2153</v>
      </c>
      <c r="B331" s="291" t="s">
        <v>72</v>
      </c>
      <c r="C331" s="824" t="s">
        <v>359</v>
      </c>
      <c r="D331" s="326"/>
      <c r="E331" s="294">
        <v>30</v>
      </c>
      <c r="F331" s="293">
        <v>43255</v>
      </c>
      <c r="G331" s="293">
        <f t="shared" si="80"/>
        <v>43285</v>
      </c>
      <c r="H331" s="293" t="s">
        <v>294</v>
      </c>
      <c r="I331" s="294" t="s">
        <v>171</v>
      </c>
      <c r="J331" s="307" t="s">
        <v>295</v>
      </c>
      <c r="K331" s="326" t="s">
        <v>360</v>
      </c>
      <c r="L331" s="1237">
        <v>23172</v>
      </c>
      <c r="M331" s="326"/>
      <c r="N331" s="294"/>
      <c r="O331" s="354">
        <v>133333.33333333334</v>
      </c>
      <c r="P331" s="294">
        <v>0.2</v>
      </c>
      <c r="Q331" s="355">
        <f t="shared" si="81"/>
        <v>26666.666666666672</v>
      </c>
      <c r="R331" s="299"/>
      <c r="S331" s="355"/>
      <c r="T331" s="355"/>
      <c r="U331" s="355"/>
      <c r="V331" s="355">
        <f>+Q331</f>
        <v>26666.666666666672</v>
      </c>
      <c r="W331" s="355"/>
      <c r="X331" s="1137"/>
      <c r="Y331" s="1126"/>
      <c r="Z331" s="1194"/>
      <c r="AA331" s="1194"/>
      <c r="AB331" s="1194"/>
      <c r="AC331" s="1124"/>
      <c r="AD331" s="1124"/>
      <c r="AE331" s="1200"/>
      <c r="AF331" s="1124"/>
      <c r="AG331" s="1126"/>
    </row>
    <row r="332" spans="1:33" ht="32.25" customHeight="1">
      <c r="A332" s="1442">
        <v>2154</v>
      </c>
      <c r="B332" s="291" t="s">
        <v>73</v>
      </c>
      <c r="C332" s="824" t="s">
        <v>361</v>
      </c>
      <c r="D332" s="326"/>
      <c r="E332" s="294">
        <v>30</v>
      </c>
      <c r="F332" s="293">
        <v>43255</v>
      </c>
      <c r="G332" s="293">
        <f t="shared" si="80"/>
        <v>43285</v>
      </c>
      <c r="H332" s="293" t="s">
        <v>294</v>
      </c>
      <c r="I332" s="294" t="s">
        <v>171</v>
      </c>
      <c r="J332" s="307" t="s">
        <v>295</v>
      </c>
      <c r="K332" s="326" t="s">
        <v>360</v>
      </c>
      <c r="L332" s="1237">
        <v>23172</v>
      </c>
      <c r="M332" s="326"/>
      <c r="N332" s="294"/>
      <c r="O332" s="354">
        <v>2000</v>
      </c>
      <c r="P332" s="294">
        <v>3</v>
      </c>
      <c r="Q332" s="355">
        <f t="shared" si="81"/>
        <v>6000</v>
      </c>
      <c r="R332" s="299"/>
      <c r="S332" s="355"/>
      <c r="T332" s="355"/>
      <c r="U332" s="355"/>
      <c r="V332" s="355">
        <f>+Q332</f>
        <v>6000</v>
      </c>
      <c r="W332" s="355"/>
      <c r="X332" s="1137"/>
      <c r="Y332" s="1126"/>
      <c r="Z332" s="1194"/>
      <c r="AA332" s="1194"/>
      <c r="AB332" s="1194"/>
      <c r="AC332" s="1124"/>
      <c r="AD332" s="1124"/>
      <c r="AE332" s="1200"/>
      <c r="AF332" s="1124"/>
      <c r="AG332" s="1126"/>
    </row>
    <row r="333" spans="1:33" ht="32.25" customHeight="1">
      <c r="A333" s="1442">
        <v>2155</v>
      </c>
      <c r="B333" s="291" t="s">
        <v>74</v>
      </c>
      <c r="C333" s="1493" t="s">
        <v>362</v>
      </c>
      <c r="D333" s="326"/>
      <c r="E333" s="294">
        <v>30</v>
      </c>
      <c r="F333" s="293">
        <v>43255</v>
      </c>
      <c r="G333" s="293">
        <f t="shared" si="80"/>
        <v>43285</v>
      </c>
      <c r="H333" s="293" t="s">
        <v>294</v>
      </c>
      <c r="I333" s="294" t="s">
        <v>171</v>
      </c>
      <c r="J333" s="307" t="s">
        <v>295</v>
      </c>
      <c r="K333" s="326" t="s">
        <v>360</v>
      </c>
      <c r="L333" s="1237">
        <v>23172</v>
      </c>
      <c r="M333" s="326"/>
      <c r="N333" s="294"/>
      <c r="O333" s="354">
        <v>833.33333333333337</v>
      </c>
      <c r="P333" s="294">
        <v>3</v>
      </c>
      <c r="Q333" s="355">
        <f t="shared" si="81"/>
        <v>2500</v>
      </c>
      <c r="R333" s="299"/>
      <c r="S333" s="355"/>
      <c r="T333" s="355"/>
      <c r="U333" s="355"/>
      <c r="V333" s="355">
        <f>+Q333</f>
        <v>2500</v>
      </c>
      <c r="W333" s="355"/>
      <c r="X333" s="1137"/>
      <c r="Y333" s="1126"/>
      <c r="Z333" s="1194"/>
      <c r="AA333" s="1194"/>
      <c r="AB333" s="1194"/>
      <c r="AC333" s="1124"/>
      <c r="AD333" s="1124"/>
      <c r="AE333" s="1200"/>
      <c r="AF333" s="1124"/>
      <c r="AG333" s="1126"/>
    </row>
    <row r="334" spans="1:33">
      <c r="A334" s="294" t="s">
        <v>233</v>
      </c>
      <c r="B334" s="973"/>
      <c r="C334" s="824"/>
      <c r="D334" s="326"/>
      <c r="E334" s="294"/>
      <c r="F334" s="293"/>
      <c r="G334" s="293"/>
      <c r="H334" s="293"/>
      <c r="I334" s="294"/>
      <c r="J334" s="307"/>
      <c r="K334" s="326"/>
      <c r="L334" s="1237"/>
      <c r="M334" s="326"/>
      <c r="N334" s="294"/>
      <c r="O334" s="354"/>
      <c r="P334" s="294"/>
      <c r="Q334" s="355"/>
      <c r="R334" s="299"/>
      <c r="S334" s="355"/>
      <c r="T334" s="355"/>
      <c r="U334" s="355"/>
      <c r="V334" s="355"/>
      <c r="W334" s="355"/>
      <c r="X334" s="1137"/>
      <c r="Y334" s="1126"/>
      <c r="Z334" s="1194"/>
      <c r="AA334" s="1194"/>
      <c r="AB334" s="1194"/>
      <c r="AC334" s="1124"/>
      <c r="AD334" s="1124"/>
      <c r="AE334" s="1200"/>
      <c r="AF334" s="1124"/>
      <c r="AG334" s="1126"/>
    </row>
    <row r="335" spans="1:33" ht="37.5" customHeight="1">
      <c r="A335" s="1248" t="s">
        <v>237</v>
      </c>
      <c r="B335" s="274"/>
      <c r="C335" s="278"/>
      <c r="D335" s="1270"/>
      <c r="E335" s="1270"/>
      <c r="F335" s="1270"/>
      <c r="G335" s="1270"/>
      <c r="H335" s="1270"/>
      <c r="I335" s="1270"/>
      <c r="J335" s="273"/>
      <c r="K335" s="1248"/>
      <c r="L335" s="1269"/>
      <c r="M335" s="1270"/>
      <c r="N335" s="1268"/>
      <c r="O335" s="1271"/>
      <c r="P335" s="1268"/>
      <c r="Q335" s="1272">
        <f>Q336+Q346+Q358+Q379</f>
        <v>300000</v>
      </c>
      <c r="R335" s="1273">
        <f>+'[2]Compil Costing PPA 3 millions'!F8</f>
        <v>300000</v>
      </c>
      <c r="S335" s="1272">
        <f t="shared" ref="S335:AF335" si="84">S336+S346+S358+S379</f>
        <v>0</v>
      </c>
      <c r="T335" s="1272">
        <f t="shared" si="84"/>
        <v>1700</v>
      </c>
      <c r="U335" s="1272">
        <f t="shared" si="84"/>
        <v>17480</v>
      </c>
      <c r="V335" s="1272">
        <f t="shared" si="84"/>
        <v>64440</v>
      </c>
      <c r="W335" s="1272">
        <f t="shared" si="84"/>
        <v>10000</v>
      </c>
      <c r="X335" s="1337">
        <f t="shared" si="84"/>
        <v>64180</v>
      </c>
      <c r="Y335" s="1338">
        <f t="shared" si="84"/>
        <v>109800</v>
      </c>
      <c r="Z335" s="1071">
        <f t="shared" si="84"/>
        <v>11600</v>
      </c>
      <c r="AA335" s="1071">
        <f t="shared" si="84"/>
        <v>8600</v>
      </c>
      <c r="AB335" s="1071">
        <f t="shared" si="84"/>
        <v>500</v>
      </c>
      <c r="AC335" s="1071">
        <f t="shared" si="84"/>
        <v>500</v>
      </c>
      <c r="AD335" s="1071">
        <f t="shared" si="84"/>
        <v>10200</v>
      </c>
      <c r="AE335" s="1071">
        <f t="shared" si="84"/>
        <v>500</v>
      </c>
      <c r="AF335" s="1071">
        <f t="shared" si="84"/>
        <v>500</v>
      </c>
      <c r="AG335" s="276">
        <f>AG336+AG346+AG358+AG379</f>
        <v>300000</v>
      </c>
    </row>
    <row r="336" spans="1:33" s="280" customFormat="1" ht="16.5" customHeight="1">
      <c r="A336" s="1324">
        <v>221</v>
      </c>
      <c r="B336" s="806" t="s">
        <v>238</v>
      </c>
      <c r="C336" s="1502"/>
      <c r="D336" s="1345"/>
      <c r="E336" s="1345"/>
      <c r="F336" s="1345"/>
      <c r="G336" s="1345"/>
      <c r="H336" s="1345"/>
      <c r="I336" s="1345"/>
      <c r="J336" s="635"/>
      <c r="K336" s="1296"/>
      <c r="L336" s="1347"/>
      <c r="M336" s="1348"/>
      <c r="N336" s="1297"/>
      <c r="O336" s="1349"/>
      <c r="P336" s="1346"/>
      <c r="Q336" s="1350">
        <f>SUM(Q337:Q345)</f>
        <v>42960</v>
      </c>
      <c r="R336" s="790"/>
      <c r="S336" s="1350">
        <f t="shared" ref="S336:AF336" si="85">SUM(S337:S345)</f>
        <v>0</v>
      </c>
      <c r="T336" s="1350">
        <f t="shared" si="85"/>
        <v>240</v>
      </c>
      <c r="U336" s="1350">
        <f t="shared" si="85"/>
        <v>0</v>
      </c>
      <c r="V336" s="1350">
        <f t="shared" si="85"/>
        <v>740</v>
      </c>
      <c r="W336" s="1350">
        <f t="shared" si="85"/>
        <v>0</v>
      </c>
      <c r="X336" s="1351">
        <f t="shared" si="85"/>
        <v>12480</v>
      </c>
      <c r="Y336" s="1352">
        <f t="shared" si="85"/>
        <v>10300</v>
      </c>
      <c r="Z336" s="1195">
        <f t="shared" si="85"/>
        <v>11100</v>
      </c>
      <c r="AA336" s="1195">
        <f t="shared" si="85"/>
        <v>8100</v>
      </c>
      <c r="AB336" s="1195">
        <f t="shared" si="85"/>
        <v>0</v>
      </c>
      <c r="AC336" s="1195">
        <f t="shared" si="85"/>
        <v>0</v>
      </c>
      <c r="AD336" s="1195">
        <f t="shared" si="85"/>
        <v>0</v>
      </c>
      <c r="AE336" s="1195">
        <f t="shared" si="85"/>
        <v>0</v>
      </c>
      <c r="AF336" s="1195">
        <f t="shared" si="85"/>
        <v>0</v>
      </c>
      <c r="AG336" s="807">
        <f>SUM(S336:AF336)</f>
        <v>42960</v>
      </c>
    </row>
    <row r="337" spans="1:33" s="280" customFormat="1">
      <c r="A337" s="796">
        <v>2211</v>
      </c>
      <c r="B337" s="808" t="s">
        <v>845</v>
      </c>
      <c r="C337" s="793" t="s">
        <v>846</v>
      </c>
      <c r="D337" s="797"/>
      <c r="E337" s="796">
        <v>15</v>
      </c>
      <c r="F337" s="795">
        <v>43199</v>
      </c>
      <c r="G337" s="795">
        <f>+F337+E337</f>
        <v>43214</v>
      </c>
      <c r="H337" s="795" t="s">
        <v>368</v>
      </c>
      <c r="I337" s="796" t="s">
        <v>169</v>
      </c>
      <c r="J337" s="794" t="s">
        <v>174</v>
      </c>
      <c r="K337" s="805" t="s">
        <v>847</v>
      </c>
      <c r="L337" s="1240">
        <v>23173</v>
      </c>
      <c r="M337" s="780"/>
      <c r="N337" s="796" t="s">
        <v>366</v>
      </c>
      <c r="O337" s="1107">
        <v>80</v>
      </c>
      <c r="P337" s="796">
        <v>3</v>
      </c>
      <c r="Q337" s="1107">
        <f>+P337*O337</f>
        <v>240</v>
      </c>
      <c r="R337" s="800"/>
      <c r="S337" s="799"/>
      <c r="T337" s="1107">
        <v>240</v>
      </c>
      <c r="U337" s="799"/>
      <c r="V337" s="799"/>
      <c r="W337" s="799"/>
      <c r="X337" s="1179"/>
      <c r="Y337" s="1154"/>
      <c r="Z337" s="1165"/>
      <c r="AA337" s="1165"/>
      <c r="AB337" s="1165"/>
      <c r="AC337" s="1152"/>
      <c r="AD337" s="1152"/>
      <c r="AE337" s="1152"/>
      <c r="AF337" s="1152"/>
      <c r="AG337" s="1165"/>
    </row>
    <row r="338" spans="1:33" s="280" customFormat="1">
      <c r="A338" s="796">
        <f>A337</f>
        <v>2211</v>
      </c>
      <c r="B338" s="808" t="s">
        <v>845</v>
      </c>
      <c r="C338" s="1503" t="s">
        <v>848</v>
      </c>
      <c r="D338" s="797" t="s">
        <v>849</v>
      </c>
      <c r="E338" s="796">
        <v>150</v>
      </c>
      <c r="F338" s="795">
        <f>+G337</f>
        <v>43214</v>
      </c>
      <c r="G338" s="795">
        <f>+G337+E338</f>
        <v>43364</v>
      </c>
      <c r="H338" s="795" t="s">
        <v>368</v>
      </c>
      <c r="I338" s="796" t="s">
        <v>174</v>
      </c>
      <c r="J338" s="794" t="s">
        <v>169</v>
      </c>
      <c r="K338" s="1543" t="s">
        <v>365</v>
      </c>
      <c r="L338" s="1240">
        <v>2313</v>
      </c>
      <c r="M338" s="780"/>
      <c r="N338" s="796" t="s">
        <v>366</v>
      </c>
      <c r="O338" s="1107">
        <v>27000</v>
      </c>
      <c r="P338" s="796">
        <v>1</v>
      </c>
      <c r="Q338" s="1107">
        <f>+O338*P338</f>
        <v>27000</v>
      </c>
      <c r="R338" s="800"/>
      <c r="S338" s="799"/>
      <c r="T338" s="799"/>
      <c r="U338" s="799"/>
      <c r="V338" s="799"/>
      <c r="W338" s="315"/>
      <c r="X338" s="1137">
        <v>5400</v>
      </c>
      <c r="Y338" s="1126">
        <v>5400</v>
      </c>
      <c r="Z338" s="1126">
        <v>8100</v>
      </c>
      <c r="AA338" s="1165">
        <v>8100</v>
      </c>
      <c r="AB338" s="1165"/>
      <c r="AC338" s="1152"/>
      <c r="AD338" s="1152"/>
      <c r="AE338" s="1152"/>
      <c r="AF338" s="1152"/>
      <c r="AG338" s="1165"/>
    </row>
    <row r="339" spans="1:33" s="280" customFormat="1">
      <c r="A339" s="796">
        <f>+A338+1</f>
        <v>2212</v>
      </c>
      <c r="B339" s="808" t="s">
        <v>850</v>
      </c>
      <c r="C339" s="793" t="s">
        <v>846</v>
      </c>
      <c r="D339" s="797"/>
      <c r="E339" s="796">
        <v>20</v>
      </c>
      <c r="F339" s="795">
        <v>43226</v>
      </c>
      <c r="G339" s="795">
        <v>43246</v>
      </c>
      <c r="H339" s="795" t="s">
        <v>368</v>
      </c>
      <c r="I339" s="796" t="s">
        <v>169</v>
      </c>
      <c r="J339" s="794" t="s">
        <v>174</v>
      </c>
      <c r="K339" s="805" t="s">
        <v>847</v>
      </c>
      <c r="L339" s="1240">
        <v>23173</v>
      </c>
      <c r="M339" s="780"/>
      <c r="N339" s="796" t="s">
        <v>366</v>
      </c>
      <c r="O339" s="1107">
        <v>80</v>
      </c>
      <c r="P339" s="796">
        <v>3</v>
      </c>
      <c r="Q339" s="1107">
        <f t="shared" ref="Q339:Q345" si="86">O339*P339</f>
        <v>240</v>
      </c>
      <c r="R339" s="800"/>
      <c r="S339" s="799"/>
      <c r="T339" s="799"/>
      <c r="U339" s="799"/>
      <c r="V339" s="1107">
        <v>240</v>
      </c>
      <c r="W339" s="799"/>
      <c r="X339" s="1179"/>
      <c r="Y339" s="1154"/>
      <c r="Z339" s="1165"/>
      <c r="AA339" s="1165"/>
      <c r="AB339" s="1165"/>
      <c r="AC339" s="1152"/>
      <c r="AD339" s="1152"/>
      <c r="AE339" s="1152"/>
      <c r="AF339" s="1152"/>
      <c r="AG339" s="1165"/>
    </row>
    <row r="340" spans="1:33" s="280" customFormat="1">
      <c r="A340" s="796">
        <v>2212</v>
      </c>
      <c r="B340" s="808" t="s">
        <v>851</v>
      </c>
      <c r="C340" s="1503" t="s">
        <v>852</v>
      </c>
      <c r="D340" s="797" t="s">
        <v>849</v>
      </c>
      <c r="E340" s="796">
        <v>95</v>
      </c>
      <c r="F340" s="795">
        <v>43249</v>
      </c>
      <c r="G340" s="795">
        <v>43341</v>
      </c>
      <c r="H340" s="795" t="s">
        <v>368</v>
      </c>
      <c r="I340" s="796" t="s">
        <v>174</v>
      </c>
      <c r="J340" s="794" t="s">
        <v>169</v>
      </c>
      <c r="K340" s="805" t="s">
        <v>365</v>
      </c>
      <c r="L340" s="1240">
        <v>2313</v>
      </c>
      <c r="M340" s="780"/>
      <c r="N340" s="796" t="s">
        <v>366</v>
      </c>
      <c r="O340" s="1353">
        <v>5000</v>
      </c>
      <c r="P340" s="797">
        <v>1</v>
      </c>
      <c r="Q340" s="799">
        <f t="shared" si="86"/>
        <v>5000</v>
      </c>
      <c r="R340" s="800"/>
      <c r="S340" s="799"/>
      <c r="T340" s="799"/>
      <c r="U340" s="799"/>
      <c r="V340" s="1107">
        <v>500</v>
      </c>
      <c r="W340" s="799"/>
      <c r="X340" s="1179">
        <v>2000</v>
      </c>
      <c r="Y340" s="1154">
        <v>2500</v>
      </c>
      <c r="Z340" s="1165"/>
      <c r="AA340" s="1165"/>
      <c r="AB340" s="1165"/>
      <c r="AC340" s="1152"/>
      <c r="AD340" s="1152"/>
      <c r="AE340" s="1152"/>
      <c r="AF340" s="1152"/>
      <c r="AG340" s="1165"/>
    </row>
    <row r="341" spans="1:33" s="280" customFormat="1">
      <c r="A341" s="796">
        <f>+A340+1</f>
        <v>2213</v>
      </c>
      <c r="B341" s="808" t="s">
        <v>853</v>
      </c>
      <c r="C341" s="793" t="s">
        <v>846</v>
      </c>
      <c r="D341" s="797"/>
      <c r="E341" s="796">
        <v>20</v>
      </c>
      <c r="F341" s="795">
        <v>43288</v>
      </c>
      <c r="G341" s="795">
        <v>43308</v>
      </c>
      <c r="H341" s="795" t="s">
        <v>368</v>
      </c>
      <c r="I341" s="796" t="s">
        <v>169</v>
      </c>
      <c r="J341" s="794" t="s">
        <v>174</v>
      </c>
      <c r="K341" s="805" t="s">
        <v>847</v>
      </c>
      <c r="L341" s="1240">
        <v>23173</v>
      </c>
      <c r="M341" s="780"/>
      <c r="N341" s="796" t="s">
        <v>366</v>
      </c>
      <c r="O341" s="1353">
        <v>80</v>
      </c>
      <c r="P341" s="797">
        <v>3</v>
      </c>
      <c r="Q341" s="799">
        <f t="shared" si="86"/>
        <v>240</v>
      </c>
      <c r="R341" s="800"/>
      <c r="S341" s="799"/>
      <c r="T341" s="799"/>
      <c r="U341" s="799"/>
      <c r="V341" s="799"/>
      <c r="W341" s="799"/>
      <c r="X341" s="1179">
        <v>240</v>
      </c>
      <c r="Y341" s="1154"/>
      <c r="Z341" s="1165"/>
      <c r="AA341" s="1165"/>
      <c r="AB341" s="1165"/>
      <c r="AC341" s="1152"/>
      <c r="AD341" s="1152"/>
      <c r="AE341" s="1152"/>
      <c r="AF341" s="1152"/>
      <c r="AG341" s="1165"/>
    </row>
    <row r="342" spans="1:33" s="280" customFormat="1">
      <c r="A342" s="796">
        <v>2213</v>
      </c>
      <c r="B342" s="808" t="s">
        <v>854</v>
      </c>
      <c r="C342" s="793" t="s">
        <v>367</v>
      </c>
      <c r="D342" s="797" t="s">
        <v>849</v>
      </c>
      <c r="E342" s="796">
        <v>95</v>
      </c>
      <c r="F342" s="795">
        <v>43309</v>
      </c>
      <c r="G342" s="795">
        <v>43403</v>
      </c>
      <c r="H342" s="795" t="s">
        <v>368</v>
      </c>
      <c r="I342" s="796" t="s">
        <v>174</v>
      </c>
      <c r="J342" s="794" t="s">
        <v>169</v>
      </c>
      <c r="K342" s="805" t="s">
        <v>365</v>
      </c>
      <c r="L342" s="1240">
        <v>2313</v>
      </c>
      <c r="M342" s="780"/>
      <c r="N342" s="796" t="s">
        <v>366</v>
      </c>
      <c r="O342" s="1353">
        <v>6000</v>
      </c>
      <c r="P342" s="797">
        <v>1</v>
      </c>
      <c r="Q342" s="799">
        <f t="shared" si="86"/>
        <v>6000</v>
      </c>
      <c r="R342" s="800"/>
      <c r="S342" s="799"/>
      <c r="T342" s="799"/>
      <c r="U342" s="799"/>
      <c r="V342" s="799"/>
      <c r="W342" s="799"/>
      <c r="X342" s="1179">
        <v>600</v>
      </c>
      <c r="Y342" s="1154">
        <v>2400</v>
      </c>
      <c r="Z342" s="1165">
        <v>3000</v>
      </c>
      <c r="AA342" s="1165"/>
      <c r="AB342" s="1165"/>
      <c r="AC342" s="1152"/>
      <c r="AD342" s="1152"/>
      <c r="AE342" s="1152"/>
      <c r="AF342" s="1152"/>
      <c r="AG342" s="1165"/>
    </row>
    <row r="343" spans="1:33" s="280" customFormat="1" ht="47.25">
      <c r="A343" s="796">
        <f>+A342+1</f>
        <v>2214</v>
      </c>
      <c r="B343" s="808" t="s">
        <v>855</v>
      </c>
      <c r="C343" s="793" t="s">
        <v>856</v>
      </c>
      <c r="D343" s="813"/>
      <c r="E343" s="796">
        <v>5</v>
      </c>
      <c r="F343" s="816">
        <v>43318</v>
      </c>
      <c r="G343" s="816">
        <v>43321</v>
      </c>
      <c r="H343" s="795" t="s">
        <v>368</v>
      </c>
      <c r="I343" s="796" t="s">
        <v>174</v>
      </c>
      <c r="J343" s="792" t="s">
        <v>169</v>
      </c>
      <c r="K343" s="805" t="s">
        <v>486</v>
      </c>
      <c r="L343" s="1240">
        <v>23173</v>
      </c>
      <c r="M343" s="780"/>
      <c r="N343" s="796" t="s">
        <v>366</v>
      </c>
      <c r="O343" s="1115">
        <v>343</v>
      </c>
      <c r="P343" s="797">
        <v>1</v>
      </c>
      <c r="Q343" s="1107">
        <f t="shared" si="86"/>
        <v>343</v>
      </c>
      <c r="R343" s="800"/>
      <c r="S343" s="799"/>
      <c r="T343" s="799"/>
      <c r="U343" s="799"/>
      <c r="V343" s="799"/>
      <c r="W343" s="799"/>
      <c r="X343" s="1180">
        <v>343</v>
      </c>
      <c r="Y343" s="1154"/>
      <c r="Z343" s="1165"/>
      <c r="AA343" s="1165"/>
      <c r="AB343" s="1165"/>
      <c r="AC343" s="1152"/>
      <c r="AD343" s="1152"/>
      <c r="AE343" s="1152"/>
      <c r="AF343" s="1152"/>
      <c r="AG343" s="1165"/>
    </row>
    <row r="344" spans="1:33" s="280" customFormat="1" ht="47.25">
      <c r="A344" s="796">
        <f>A343</f>
        <v>2214</v>
      </c>
      <c r="B344" s="808" t="s">
        <v>855</v>
      </c>
      <c r="C344" s="793" t="s">
        <v>856</v>
      </c>
      <c r="D344" s="813"/>
      <c r="E344" s="796">
        <v>5</v>
      </c>
      <c r="F344" s="816">
        <v>43318</v>
      </c>
      <c r="G344" s="816">
        <v>43321</v>
      </c>
      <c r="H344" s="795" t="s">
        <v>368</v>
      </c>
      <c r="I344" s="796" t="s">
        <v>169</v>
      </c>
      <c r="J344" s="792" t="s">
        <v>174</v>
      </c>
      <c r="K344" s="1544" t="s">
        <v>857</v>
      </c>
      <c r="L344" s="1241">
        <v>23174</v>
      </c>
      <c r="M344" s="296"/>
      <c r="N344" s="294"/>
      <c r="O344" s="1354">
        <v>3657</v>
      </c>
      <c r="P344" s="295">
        <v>1</v>
      </c>
      <c r="Q344" s="355">
        <f t="shared" si="86"/>
        <v>3657</v>
      </c>
      <c r="R344" s="299"/>
      <c r="S344" s="298"/>
      <c r="T344" s="298"/>
      <c r="U344" s="298"/>
      <c r="V344" s="298"/>
      <c r="W344" s="298"/>
      <c r="X344" s="1355">
        <v>3657</v>
      </c>
      <c r="Y344" s="1154"/>
      <c r="Z344" s="1165"/>
      <c r="AA344" s="1165"/>
      <c r="AB344" s="1165"/>
      <c r="AC344" s="1152"/>
      <c r="AD344" s="1152"/>
      <c r="AE344" s="1152"/>
      <c r="AF344" s="1152"/>
      <c r="AG344" s="1165"/>
    </row>
    <row r="345" spans="1:33" s="280" customFormat="1">
      <c r="A345" s="294">
        <f>+A343+1</f>
        <v>2215</v>
      </c>
      <c r="B345" s="820" t="s">
        <v>858</v>
      </c>
      <c r="C345" s="291" t="s">
        <v>859</v>
      </c>
      <c r="D345" s="294" t="s">
        <v>514</v>
      </c>
      <c r="E345" s="295">
        <v>20</v>
      </c>
      <c r="F345" s="293">
        <v>43288</v>
      </c>
      <c r="G345" s="293">
        <v>43308</v>
      </c>
      <c r="H345" s="293" t="s">
        <v>368</v>
      </c>
      <c r="I345" s="294" t="s">
        <v>174</v>
      </c>
      <c r="J345" s="292" t="s">
        <v>169</v>
      </c>
      <c r="K345" s="326" t="s">
        <v>860</v>
      </c>
      <c r="L345" s="1241">
        <v>23173</v>
      </c>
      <c r="M345" s="296"/>
      <c r="N345" s="294"/>
      <c r="O345" s="1357">
        <v>80</v>
      </c>
      <c r="P345" s="295">
        <v>3</v>
      </c>
      <c r="Q345" s="298">
        <f t="shared" si="86"/>
        <v>240</v>
      </c>
      <c r="R345" s="299"/>
      <c r="S345" s="298"/>
      <c r="T345" s="298"/>
      <c r="U345" s="298"/>
      <c r="V345" s="298"/>
      <c r="W345" s="298"/>
      <c r="X345" s="1179">
        <v>240</v>
      </c>
      <c r="Y345" s="1154"/>
      <c r="Z345" s="1165"/>
      <c r="AA345" s="1165"/>
      <c r="AB345" s="1165"/>
      <c r="AC345" s="1152"/>
      <c r="AD345" s="1152"/>
      <c r="AE345" s="1152"/>
      <c r="AF345" s="1152"/>
      <c r="AG345" s="1165"/>
    </row>
    <row r="346" spans="1:33" s="280" customFormat="1" ht="33.75" customHeight="1">
      <c r="A346" s="1275">
        <v>222</v>
      </c>
      <c r="B346" s="508" t="s">
        <v>861</v>
      </c>
      <c r="C346" s="1504"/>
      <c r="D346" s="1358"/>
      <c r="E346" s="1358"/>
      <c r="F346" s="1358"/>
      <c r="G346" s="1358"/>
      <c r="H346" s="1358"/>
      <c r="I346" s="1358"/>
      <c r="J346" s="523"/>
      <c r="K346" s="1560"/>
      <c r="L346" s="1359"/>
      <c r="M346" s="1358"/>
      <c r="N346" s="1358"/>
      <c r="O346" s="1360"/>
      <c r="P346" s="1358"/>
      <c r="Q346" s="1360">
        <f>SUM(Q347:Q357)</f>
        <v>24920.000000000004</v>
      </c>
      <c r="R346" s="1358"/>
      <c r="S346" s="1360">
        <f t="shared" ref="S346:AF346" si="87">SUM(S347:S357)</f>
        <v>0</v>
      </c>
      <c r="T346" s="1360">
        <f t="shared" si="87"/>
        <v>720</v>
      </c>
      <c r="U346" s="1360">
        <f t="shared" si="87"/>
        <v>500</v>
      </c>
      <c r="V346" s="1360">
        <f t="shared" si="87"/>
        <v>500</v>
      </c>
      <c r="W346" s="1360">
        <f t="shared" si="87"/>
        <v>9000</v>
      </c>
      <c r="X346" s="1360">
        <f t="shared" si="87"/>
        <v>500</v>
      </c>
      <c r="Y346" s="1360">
        <f t="shared" si="87"/>
        <v>500</v>
      </c>
      <c r="Z346" s="1108">
        <f t="shared" si="87"/>
        <v>500</v>
      </c>
      <c r="AA346" s="1108">
        <f t="shared" si="87"/>
        <v>500</v>
      </c>
      <c r="AB346" s="1108">
        <f t="shared" si="87"/>
        <v>500</v>
      </c>
      <c r="AC346" s="1108">
        <f t="shared" si="87"/>
        <v>500</v>
      </c>
      <c r="AD346" s="1108">
        <f t="shared" si="87"/>
        <v>10200</v>
      </c>
      <c r="AE346" s="1108">
        <f t="shared" si="87"/>
        <v>500</v>
      </c>
      <c r="AF346" s="1108">
        <f t="shared" si="87"/>
        <v>500</v>
      </c>
      <c r="AG346" s="807">
        <f>SUM(S346:AF346)</f>
        <v>24920</v>
      </c>
    </row>
    <row r="347" spans="1:33" s="280" customFormat="1" ht="45" customHeight="1">
      <c r="A347" s="294">
        <v>2221</v>
      </c>
      <c r="B347" s="291" t="s">
        <v>862</v>
      </c>
      <c r="C347" s="291" t="s">
        <v>846</v>
      </c>
      <c r="D347" s="821"/>
      <c r="E347" s="295">
        <v>20</v>
      </c>
      <c r="F347" s="293">
        <v>43199</v>
      </c>
      <c r="G347" s="293">
        <v>43219</v>
      </c>
      <c r="H347" s="293" t="s">
        <v>368</v>
      </c>
      <c r="I347" s="294" t="s">
        <v>169</v>
      </c>
      <c r="J347" s="307" t="s">
        <v>174</v>
      </c>
      <c r="K347" s="326" t="s">
        <v>847</v>
      </c>
      <c r="L347" s="1241">
        <v>23173</v>
      </c>
      <c r="M347" s="296"/>
      <c r="N347" s="294"/>
      <c r="O347" s="1357">
        <v>80</v>
      </c>
      <c r="P347" s="295">
        <v>3</v>
      </c>
      <c r="Q347" s="298">
        <f t="shared" ref="Q347:Q357" si="88">O347*P347</f>
        <v>240</v>
      </c>
      <c r="R347" s="299"/>
      <c r="S347" s="298"/>
      <c r="T347" s="298">
        <v>240</v>
      </c>
      <c r="U347" s="298"/>
      <c r="V347" s="298"/>
      <c r="W347" s="298"/>
      <c r="X347" s="1179"/>
      <c r="Y347" s="1154"/>
      <c r="Z347" s="1152"/>
      <c r="AA347" s="1152"/>
      <c r="AB347" s="1152"/>
      <c r="AC347" s="1152"/>
      <c r="AD347" s="1152"/>
      <c r="AE347" s="1152"/>
      <c r="AF347" s="1152"/>
      <c r="AG347" s="1152"/>
    </row>
    <row r="348" spans="1:33" s="280" customFormat="1" ht="72" customHeight="1">
      <c r="A348" s="294">
        <f>A347</f>
        <v>2221</v>
      </c>
      <c r="B348" s="291" t="s">
        <v>862</v>
      </c>
      <c r="C348" s="291" t="s">
        <v>863</v>
      </c>
      <c r="D348" s="821"/>
      <c r="E348" s="295">
        <f>56+365</f>
        <v>421</v>
      </c>
      <c r="F348" s="293">
        <v>43181</v>
      </c>
      <c r="G348" s="293">
        <v>43581</v>
      </c>
      <c r="H348" s="293" t="s">
        <v>368</v>
      </c>
      <c r="I348" s="294" t="s">
        <v>174</v>
      </c>
      <c r="J348" s="307" t="s">
        <v>169</v>
      </c>
      <c r="K348" s="326" t="s">
        <v>864</v>
      </c>
      <c r="L348" s="1237">
        <v>23171</v>
      </c>
      <c r="M348" s="296"/>
      <c r="N348" s="294"/>
      <c r="O348" s="1357">
        <v>250</v>
      </c>
      <c r="P348" s="295">
        <v>12</v>
      </c>
      <c r="Q348" s="298">
        <f t="shared" si="88"/>
        <v>3000</v>
      </c>
      <c r="R348" s="299"/>
      <c r="S348" s="298"/>
      <c r="T348" s="298"/>
      <c r="U348" s="298">
        <v>250</v>
      </c>
      <c r="V348" s="298">
        <v>250</v>
      </c>
      <c r="W348" s="298">
        <v>250</v>
      </c>
      <c r="X348" s="1179">
        <v>250</v>
      </c>
      <c r="Y348" s="1154">
        <v>250</v>
      </c>
      <c r="Z348" s="1154">
        <v>250</v>
      </c>
      <c r="AA348" s="1154">
        <v>250</v>
      </c>
      <c r="AB348" s="1154">
        <v>250</v>
      </c>
      <c r="AC348" s="1154">
        <v>250</v>
      </c>
      <c r="AD348" s="1154">
        <v>250</v>
      </c>
      <c r="AE348" s="1154">
        <v>250</v>
      </c>
      <c r="AF348" s="1154">
        <v>250</v>
      </c>
      <c r="AG348" s="1154"/>
    </row>
    <row r="349" spans="1:33" s="280" customFormat="1" ht="31.5">
      <c r="A349" s="294">
        <v>2222</v>
      </c>
      <c r="B349" s="291" t="s">
        <v>865</v>
      </c>
      <c r="C349" s="291" t="s">
        <v>846</v>
      </c>
      <c r="D349" s="821"/>
      <c r="E349" s="295">
        <v>20</v>
      </c>
      <c r="F349" s="293">
        <v>43199</v>
      </c>
      <c r="G349" s="293">
        <v>43219</v>
      </c>
      <c r="H349" s="293" t="s">
        <v>368</v>
      </c>
      <c r="I349" s="294" t="s">
        <v>169</v>
      </c>
      <c r="J349" s="307" t="s">
        <v>174</v>
      </c>
      <c r="K349" s="326" t="s">
        <v>847</v>
      </c>
      <c r="L349" s="1241">
        <v>23173</v>
      </c>
      <c r="M349" s="296"/>
      <c r="N349" s="294"/>
      <c r="O349" s="1357">
        <v>80</v>
      </c>
      <c r="P349" s="295">
        <v>3</v>
      </c>
      <c r="Q349" s="298">
        <f t="shared" si="88"/>
        <v>240</v>
      </c>
      <c r="R349" s="299"/>
      <c r="S349" s="298"/>
      <c r="T349" s="298">
        <v>240</v>
      </c>
      <c r="U349" s="298"/>
      <c r="V349" s="298"/>
      <c r="W349" s="298"/>
      <c r="X349" s="1179"/>
      <c r="Y349" s="1154"/>
      <c r="Z349" s="1152"/>
      <c r="AA349" s="1152"/>
      <c r="AB349" s="1152"/>
      <c r="AC349" s="1152"/>
      <c r="AD349" s="1152"/>
      <c r="AE349" s="1152"/>
      <c r="AF349" s="1152"/>
      <c r="AG349" s="1152"/>
    </row>
    <row r="350" spans="1:33" s="280" customFormat="1" ht="31.5">
      <c r="A350" s="294">
        <f>A349</f>
        <v>2222</v>
      </c>
      <c r="B350" s="291" t="s">
        <v>865</v>
      </c>
      <c r="C350" s="291" t="s">
        <v>866</v>
      </c>
      <c r="D350" s="821"/>
      <c r="E350" s="295">
        <f>56+365</f>
        <v>421</v>
      </c>
      <c r="F350" s="293">
        <v>43181</v>
      </c>
      <c r="G350" s="293">
        <v>43581</v>
      </c>
      <c r="H350" s="293" t="s">
        <v>368</v>
      </c>
      <c r="I350" s="294" t="s">
        <v>174</v>
      </c>
      <c r="J350" s="307" t="s">
        <v>169</v>
      </c>
      <c r="K350" s="326" t="s">
        <v>864</v>
      </c>
      <c r="L350" s="1237">
        <v>23171</v>
      </c>
      <c r="M350" s="296"/>
      <c r="N350" s="294"/>
      <c r="O350" s="1357">
        <v>250</v>
      </c>
      <c r="P350" s="295">
        <v>12</v>
      </c>
      <c r="Q350" s="298">
        <f t="shared" si="88"/>
        <v>3000</v>
      </c>
      <c r="R350" s="299"/>
      <c r="S350" s="298"/>
      <c r="T350" s="298"/>
      <c r="U350" s="298">
        <v>250</v>
      </c>
      <c r="V350" s="298">
        <v>250</v>
      </c>
      <c r="W350" s="298">
        <v>250</v>
      </c>
      <c r="X350" s="1179">
        <v>250</v>
      </c>
      <c r="Y350" s="1154">
        <v>250</v>
      </c>
      <c r="Z350" s="1154">
        <v>250</v>
      </c>
      <c r="AA350" s="1154">
        <v>250</v>
      </c>
      <c r="AB350" s="1154">
        <v>250</v>
      </c>
      <c r="AC350" s="1154">
        <v>250</v>
      </c>
      <c r="AD350" s="1154">
        <v>250</v>
      </c>
      <c r="AE350" s="1154">
        <v>250</v>
      </c>
      <c r="AF350" s="1154">
        <v>250</v>
      </c>
      <c r="AG350" s="1154"/>
    </row>
    <row r="351" spans="1:33" s="280" customFormat="1" ht="31.5">
      <c r="A351" s="294">
        <v>2223</v>
      </c>
      <c r="B351" s="824" t="s">
        <v>99</v>
      </c>
      <c r="C351" s="291" t="s">
        <v>846</v>
      </c>
      <c r="D351" s="821"/>
      <c r="E351" s="294">
        <v>20</v>
      </c>
      <c r="F351" s="293">
        <v>43196</v>
      </c>
      <c r="G351" s="293">
        <v>43215</v>
      </c>
      <c r="H351" s="293" t="s">
        <v>368</v>
      </c>
      <c r="I351" s="294" t="s">
        <v>867</v>
      </c>
      <c r="J351" s="307" t="s">
        <v>169</v>
      </c>
      <c r="K351" s="326" t="s">
        <v>847</v>
      </c>
      <c r="L351" s="1241">
        <v>23173</v>
      </c>
      <c r="M351" s="296"/>
      <c r="N351" s="294"/>
      <c r="O351" s="1357">
        <v>80</v>
      </c>
      <c r="P351" s="295">
        <v>3</v>
      </c>
      <c r="Q351" s="298">
        <f t="shared" si="88"/>
        <v>240</v>
      </c>
      <c r="R351" s="299"/>
      <c r="S351" s="298"/>
      <c r="T351" s="298">
        <v>240</v>
      </c>
      <c r="U351" s="298"/>
      <c r="V351" s="298"/>
      <c r="W351" s="298"/>
      <c r="X351" s="1179"/>
      <c r="Y351" s="1154"/>
      <c r="Z351" s="1152"/>
      <c r="AA351" s="1152"/>
      <c r="AB351" s="1152"/>
      <c r="AC351" s="1152"/>
      <c r="AD351" s="1152"/>
      <c r="AE351" s="1152"/>
      <c r="AF351" s="1152"/>
      <c r="AG351" s="1152"/>
    </row>
    <row r="352" spans="1:33" s="280" customFormat="1" ht="31.5">
      <c r="A352" s="294">
        <f>A351</f>
        <v>2223</v>
      </c>
      <c r="B352" s="824" t="s">
        <v>99</v>
      </c>
      <c r="C352" s="291" t="s">
        <v>868</v>
      </c>
      <c r="D352" s="821"/>
      <c r="E352" s="294">
        <v>2</v>
      </c>
      <c r="F352" s="293">
        <v>43279</v>
      </c>
      <c r="G352" s="293">
        <f>+F352+E352</f>
        <v>43281</v>
      </c>
      <c r="H352" s="293" t="s">
        <v>869</v>
      </c>
      <c r="I352" s="294" t="s">
        <v>174</v>
      </c>
      <c r="J352" s="306" t="s">
        <v>169</v>
      </c>
      <c r="K352" s="326" t="s">
        <v>365</v>
      </c>
      <c r="L352" s="1241">
        <v>2313</v>
      </c>
      <c r="M352" s="296"/>
      <c r="N352" s="294"/>
      <c r="O352" s="1357">
        <v>2711.4</v>
      </c>
      <c r="P352" s="295">
        <v>1</v>
      </c>
      <c r="Q352" s="298">
        <f t="shared" si="88"/>
        <v>2711.4</v>
      </c>
      <c r="R352" s="299"/>
      <c r="S352" s="298"/>
      <c r="T352" s="298"/>
      <c r="U352" s="298"/>
      <c r="V352" s="298"/>
      <c r="W352" s="1357">
        <v>2711.4</v>
      </c>
      <c r="X352" s="1179"/>
      <c r="Y352" s="1154"/>
      <c r="Z352" s="1152"/>
      <c r="AA352" s="1152"/>
      <c r="AB352" s="1152"/>
      <c r="AC352" s="1152"/>
      <c r="AD352" s="1152"/>
      <c r="AE352" s="1152"/>
      <c r="AF352" s="1152"/>
      <c r="AG352" s="1152"/>
    </row>
    <row r="353" spans="1:33" s="280" customFormat="1" ht="31.5">
      <c r="A353" s="294">
        <f>A351</f>
        <v>2223</v>
      </c>
      <c r="B353" s="824" t="s">
        <v>99</v>
      </c>
      <c r="C353" s="291" t="s">
        <v>868</v>
      </c>
      <c r="D353" s="821"/>
      <c r="E353" s="294">
        <v>2</v>
      </c>
      <c r="F353" s="293">
        <v>43279</v>
      </c>
      <c r="G353" s="293">
        <f>+F353+E353</f>
        <v>43281</v>
      </c>
      <c r="H353" s="293" t="s">
        <v>869</v>
      </c>
      <c r="I353" s="293" t="s">
        <v>169</v>
      </c>
      <c r="J353" s="307" t="s">
        <v>174</v>
      </c>
      <c r="K353" s="326" t="s">
        <v>486</v>
      </c>
      <c r="L353" s="1241">
        <v>23173</v>
      </c>
      <c r="M353" s="296"/>
      <c r="N353" s="294"/>
      <c r="O353" s="1357">
        <v>257.33</v>
      </c>
      <c r="P353" s="295">
        <v>1</v>
      </c>
      <c r="Q353" s="298">
        <f t="shared" si="88"/>
        <v>257.33</v>
      </c>
      <c r="R353" s="299"/>
      <c r="S353" s="298"/>
      <c r="T353" s="298"/>
      <c r="U353" s="298"/>
      <c r="V353" s="298"/>
      <c r="W353" s="1357">
        <v>257.33</v>
      </c>
      <c r="X353" s="1179"/>
      <c r="Y353" s="1154"/>
      <c r="Z353" s="1152"/>
      <c r="AA353" s="1152"/>
      <c r="AB353" s="1152"/>
      <c r="AC353" s="1152"/>
      <c r="AD353" s="1152"/>
      <c r="AE353" s="1152"/>
      <c r="AF353" s="1152"/>
      <c r="AG353" s="1152"/>
    </row>
    <row r="354" spans="1:33" s="280" customFormat="1" ht="31.5">
      <c r="A354" s="294">
        <f>A351</f>
        <v>2223</v>
      </c>
      <c r="B354" s="824" t="s">
        <v>99</v>
      </c>
      <c r="C354" s="291" t="s">
        <v>868</v>
      </c>
      <c r="D354" s="821"/>
      <c r="E354" s="294">
        <v>2</v>
      </c>
      <c r="F354" s="293">
        <v>43279</v>
      </c>
      <c r="G354" s="293">
        <f>+F354+E354</f>
        <v>43281</v>
      </c>
      <c r="H354" s="293" t="s">
        <v>869</v>
      </c>
      <c r="I354" s="293" t="s">
        <v>169</v>
      </c>
      <c r="J354" s="307" t="s">
        <v>174</v>
      </c>
      <c r="K354" s="1544" t="s">
        <v>857</v>
      </c>
      <c r="L354" s="1241">
        <v>23174</v>
      </c>
      <c r="M354" s="296"/>
      <c r="N354" s="294"/>
      <c r="O354" s="1357">
        <v>5531.27</v>
      </c>
      <c r="P354" s="295">
        <v>1</v>
      </c>
      <c r="Q354" s="298">
        <f t="shared" si="88"/>
        <v>5531.27</v>
      </c>
      <c r="R354" s="299"/>
      <c r="S354" s="298"/>
      <c r="T354" s="298"/>
      <c r="U354" s="298"/>
      <c r="V354" s="298"/>
      <c r="W354" s="1357">
        <v>5531.27</v>
      </c>
      <c r="X354" s="1179"/>
      <c r="Y354" s="1154"/>
      <c r="Z354" s="1152"/>
      <c r="AA354" s="1152"/>
      <c r="AB354" s="1152"/>
      <c r="AC354" s="1152"/>
      <c r="AD354" s="1152"/>
      <c r="AE354" s="1152"/>
      <c r="AF354" s="1152"/>
      <c r="AG354" s="1152"/>
    </row>
    <row r="355" spans="1:33" s="280" customFormat="1" ht="31.5">
      <c r="A355" s="294">
        <v>2224</v>
      </c>
      <c r="B355" s="824" t="s">
        <v>99</v>
      </c>
      <c r="C355" s="291" t="s">
        <v>870</v>
      </c>
      <c r="D355" s="821"/>
      <c r="E355" s="294">
        <v>2</v>
      </c>
      <c r="F355" s="293">
        <v>43500</v>
      </c>
      <c r="G355" s="293">
        <f>+F355+E355</f>
        <v>43502</v>
      </c>
      <c r="H355" s="293" t="s">
        <v>871</v>
      </c>
      <c r="I355" s="294" t="s">
        <v>174</v>
      </c>
      <c r="J355" s="306" t="s">
        <v>169</v>
      </c>
      <c r="K355" s="326" t="s">
        <v>365</v>
      </c>
      <c r="L355" s="1241">
        <v>2313</v>
      </c>
      <c r="M355" s="296"/>
      <c r="N355" s="294"/>
      <c r="O355" s="1357">
        <v>2711.4</v>
      </c>
      <c r="P355" s="295">
        <v>1</v>
      </c>
      <c r="Q355" s="298">
        <f t="shared" si="88"/>
        <v>2711.4</v>
      </c>
      <c r="R355" s="299"/>
      <c r="S355" s="298"/>
      <c r="T355" s="298"/>
      <c r="U355" s="298"/>
      <c r="V355" s="298"/>
      <c r="W355" s="298"/>
      <c r="X355" s="1179"/>
      <c r="Y355" s="1154"/>
      <c r="Z355" s="1152"/>
      <c r="AA355" s="1152"/>
      <c r="AB355" s="1152"/>
      <c r="AC355" s="1152"/>
      <c r="AD355" s="298">
        <v>2711.4</v>
      </c>
      <c r="AE355" s="1152"/>
      <c r="AF355" s="1152"/>
      <c r="AG355" s="1152"/>
    </row>
    <row r="356" spans="1:33" s="280" customFormat="1" ht="31.5">
      <c r="A356" s="294">
        <v>2224</v>
      </c>
      <c r="B356" s="824" t="s">
        <v>99</v>
      </c>
      <c r="C356" s="291" t="s">
        <v>870</v>
      </c>
      <c r="D356" s="821"/>
      <c r="E356" s="294">
        <v>2</v>
      </c>
      <c r="F356" s="293">
        <v>43500</v>
      </c>
      <c r="G356" s="293">
        <v>43502</v>
      </c>
      <c r="H356" s="293" t="s">
        <v>871</v>
      </c>
      <c r="I356" s="293" t="s">
        <v>169</v>
      </c>
      <c r="J356" s="307" t="s">
        <v>174</v>
      </c>
      <c r="K356" s="326" t="s">
        <v>486</v>
      </c>
      <c r="L356" s="1241">
        <v>23173</v>
      </c>
      <c r="M356" s="296"/>
      <c r="N356" s="294"/>
      <c r="O356" s="1357">
        <v>431.33</v>
      </c>
      <c r="P356" s="295">
        <v>1</v>
      </c>
      <c r="Q356" s="298">
        <f t="shared" si="88"/>
        <v>431.33</v>
      </c>
      <c r="R356" s="299"/>
      <c r="S356" s="298"/>
      <c r="T356" s="298"/>
      <c r="U356" s="298"/>
      <c r="V356" s="298"/>
      <c r="W356" s="298"/>
      <c r="X356" s="1179"/>
      <c r="Y356" s="1154"/>
      <c r="Z356" s="1152"/>
      <c r="AA356" s="1152"/>
      <c r="AB356" s="1152"/>
      <c r="AC356" s="1152"/>
      <c r="AD356" s="298">
        <v>431.33</v>
      </c>
      <c r="AE356" s="1152"/>
      <c r="AF356" s="1152"/>
      <c r="AG356" s="1152"/>
    </row>
    <row r="357" spans="1:33" s="280" customFormat="1" ht="31.5">
      <c r="A357" s="294">
        <v>2224</v>
      </c>
      <c r="B357" s="824" t="s">
        <v>99</v>
      </c>
      <c r="C357" s="291" t="s">
        <v>870</v>
      </c>
      <c r="D357" s="821"/>
      <c r="E357" s="294">
        <v>2</v>
      </c>
      <c r="F357" s="293">
        <v>43500</v>
      </c>
      <c r="G357" s="293">
        <v>43502</v>
      </c>
      <c r="H357" s="293" t="s">
        <v>871</v>
      </c>
      <c r="I357" s="293" t="s">
        <v>169</v>
      </c>
      <c r="J357" s="307" t="s">
        <v>174</v>
      </c>
      <c r="K357" s="1544" t="s">
        <v>857</v>
      </c>
      <c r="L357" s="1241">
        <v>23174</v>
      </c>
      <c r="M357" s="296"/>
      <c r="N357" s="294"/>
      <c r="O357" s="1357">
        <v>6557.27</v>
      </c>
      <c r="P357" s="295">
        <v>1</v>
      </c>
      <c r="Q357" s="298">
        <f t="shared" si="88"/>
        <v>6557.27</v>
      </c>
      <c r="R357" s="299"/>
      <c r="S357" s="298"/>
      <c r="T357" s="298"/>
      <c r="U357" s="298"/>
      <c r="V357" s="298"/>
      <c r="W357" s="298"/>
      <c r="X357" s="1179"/>
      <c r="Y357" s="1154"/>
      <c r="Z357" s="1152"/>
      <c r="AA357" s="1152"/>
      <c r="AB357" s="1152"/>
      <c r="AC357" s="1152"/>
      <c r="AD357" s="298">
        <v>6557.27</v>
      </c>
      <c r="AE357" s="1152"/>
      <c r="AF357" s="1152"/>
      <c r="AG357" s="1152"/>
    </row>
    <row r="358" spans="1:33" s="280" customFormat="1" ht="38.25" customHeight="1">
      <c r="A358" s="1275">
        <v>223</v>
      </c>
      <c r="B358" s="508" t="s">
        <v>872</v>
      </c>
      <c r="C358" s="1504"/>
      <c r="D358" s="1358"/>
      <c r="E358" s="1358"/>
      <c r="F358" s="1358"/>
      <c r="G358" s="1358"/>
      <c r="H358" s="1358"/>
      <c r="I358" s="1358"/>
      <c r="J358" s="523"/>
      <c r="K358" s="1560"/>
      <c r="L358" s="1359"/>
      <c r="M358" s="1358"/>
      <c r="N358" s="1358"/>
      <c r="O358" s="1360"/>
      <c r="P358" s="1358"/>
      <c r="Q358" s="1360">
        <f>Q359+Q362+Q366+Q377</f>
        <v>209880</v>
      </c>
      <c r="R358" s="1358"/>
      <c r="S358" s="1360">
        <f t="shared" ref="S358:AF358" si="89">S359+S362+S366+S377</f>
        <v>0</v>
      </c>
      <c r="T358" s="1360">
        <f t="shared" si="89"/>
        <v>740</v>
      </c>
      <c r="U358" s="1360">
        <f t="shared" si="89"/>
        <v>16740</v>
      </c>
      <c r="V358" s="1360">
        <f t="shared" si="89"/>
        <v>63200</v>
      </c>
      <c r="W358" s="1360">
        <f t="shared" si="89"/>
        <v>1000</v>
      </c>
      <c r="X358" s="1360">
        <f t="shared" si="89"/>
        <v>40200</v>
      </c>
      <c r="Y358" s="1360">
        <f t="shared" si="89"/>
        <v>88000</v>
      </c>
      <c r="Z358" s="1108">
        <f t="shared" si="89"/>
        <v>0</v>
      </c>
      <c r="AA358" s="1108">
        <f t="shared" si="89"/>
        <v>0</v>
      </c>
      <c r="AB358" s="1108">
        <f t="shared" si="89"/>
        <v>0</v>
      </c>
      <c r="AC358" s="1108">
        <f t="shared" si="89"/>
        <v>0</v>
      </c>
      <c r="AD358" s="1108">
        <f t="shared" si="89"/>
        <v>0</v>
      </c>
      <c r="AE358" s="1108">
        <f t="shared" si="89"/>
        <v>0</v>
      </c>
      <c r="AF358" s="1108">
        <f t="shared" si="89"/>
        <v>0</v>
      </c>
      <c r="AG358" s="807">
        <f>SUM(S358:AF358)</f>
        <v>209880</v>
      </c>
    </row>
    <row r="359" spans="1:33" s="280" customFormat="1" ht="21.75" customHeight="1">
      <c r="A359" s="1361">
        <v>2231</v>
      </c>
      <c r="B359" s="1541" t="s">
        <v>873</v>
      </c>
      <c r="C359" s="1505"/>
      <c r="D359" s="1362"/>
      <c r="E359" s="1362"/>
      <c r="F359" s="1362"/>
      <c r="G359" s="1362"/>
      <c r="H359" s="1362"/>
      <c r="I359" s="1362"/>
      <c r="J359" s="292"/>
      <c r="K359" s="326"/>
      <c r="L359" s="1241"/>
      <c r="M359" s="296"/>
      <c r="N359" s="294"/>
      <c r="O359" s="1357"/>
      <c r="P359" s="295"/>
      <c r="Q359" s="1096">
        <f>SUM(Q360:Q361)</f>
        <v>5240</v>
      </c>
      <c r="R359" s="299"/>
      <c r="S359" s="1202">
        <f t="shared" ref="S359:AF359" si="90">SUM(S360:S361)</f>
        <v>0</v>
      </c>
      <c r="T359" s="1202">
        <f t="shared" si="90"/>
        <v>740</v>
      </c>
      <c r="U359" s="1202">
        <f t="shared" si="90"/>
        <v>4500</v>
      </c>
      <c r="V359" s="1202">
        <f t="shared" si="90"/>
        <v>0</v>
      </c>
      <c r="W359" s="1202">
        <f t="shared" si="90"/>
        <v>0</v>
      </c>
      <c r="X359" s="1202">
        <f t="shared" si="90"/>
        <v>0</v>
      </c>
      <c r="Y359" s="1202">
        <f t="shared" si="90"/>
        <v>0</v>
      </c>
      <c r="Z359" s="1202">
        <f t="shared" si="90"/>
        <v>0</v>
      </c>
      <c r="AA359" s="1202">
        <f t="shared" si="90"/>
        <v>0</v>
      </c>
      <c r="AB359" s="1202">
        <f t="shared" si="90"/>
        <v>0</v>
      </c>
      <c r="AC359" s="1202">
        <f t="shared" si="90"/>
        <v>0</v>
      </c>
      <c r="AD359" s="1202">
        <f t="shared" si="90"/>
        <v>0</v>
      </c>
      <c r="AE359" s="1202">
        <f t="shared" si="90"/>
        <v>0</v>
      </c>
      <c r="AF359" s="1202">
        <f t="shared" si="90"/>
        <v>0</v>
      </c>
      <c r="AG359" s="1153">
        <f>SUM(S359:AF359)</f>
        <v>5240</v>
      </c>
    </row>
    <row r="360" spans="1:33" s="833" customFormat="1">
      <c r="A360" s="294">
        <v>2231</v>
      </c>
      <c r="B360" s="820" t="s">
        <v>874</v>
      </c>
      <c r="C360" s="291" t="s">
        <v>846</v>
      </c>
      <c r="D360" s="295" t="s">
        <v>849</v>
      </c>
      <c r="E360" s="294">
        <v>20</v>
      </c>
      <c r="F360" s="829">
        <v>43196</v>
      </c>
      <c r="G360" s="829">
        <v>43215</v>
      </c>
      <c r="H360" s="294" t="s">
        <v>368</v>
      </c>
      <c r="I360" s="294" t="s">
        <v>169</v>
      </c>
      <c r="J360" s="307" t="s">
        <v>174</v>
      </c>
      <c r="K360" s="326" t="s">
        <v>847</v>
      </c>
      <c r="L360" s="1241">
        <v>23173</v>
      </c>
      <c r="M360" s="830"/>
      <c r="N360" s="569"/>
      <c r="O360" s="355">
        <v>80</v>
      </c>
      <c r="P360" s="294">
        <v>3</v>
      </c>
      <c r="Q360" s="355">
        <f>O360*P360</f>
        <v>240</v>
      </c>
      <c r="R360" s="831"/>
      <c r="S360" s="494"/>
      <c r="T360" s="294">
        <v>240</v>
      </c>
      <c r="U360" s="494"/>
      <c r="V360" s="494"/>
      <c r="W360" s="494"/>
      <c r="X360" s="1181"/>
      <c r="Y360" s="1196"/>
      <c r="Z360" s="1155"/>
      <c r="AA360" s="1155"/>
      <c r="AB360" s="1155"/>
      <c r="AC360" s="1155"/>
      <c r="AD360" s="1155"/>
      <c r="AE360" s="1155"/>
      <c r="AF360" s="1155"/>
      <c r="AG360" s="1155"/>
    </row>
    <row r="361" spans="1:33" s="280" customFormat="1">
      <c r="A361" s="294">
        <v>2231</v>
      </c>
      <c r="B361" s="820" t="s">
        <v>874</v>
      </c>
      <c r="C361" s="291" t="s">
        <v>875</v>
      </c>
      <c r="D361" s="294" t="s">
        <v>849</v>
      </c>
      <c r="E361" s="294">
        <v>30</v>
      </c>
      <c r="F361" s="293">
        <v>43205</v>
      </c>
      <c r="G361" s="293">
        <v>43235</v>
      </c>
      <c r="H361" s="293" t="s">
        <v>368</v>
      </c>
      <c r="I361" s="294" t="s">
        <v>174</v>
      </c>
      <c r="J361" s="307" t="s">
        <v>169</v>
      </c>
      <c r="K361" s="326" t="s">
        <v>365</v>
      </c>
      <c r="L361" s="1237">
        <v>2313</v>
      </c>
      <c r="M361" s="296"/>
      <c r="N361" s="294"/>
      <c r="O361" s="355">
        <v>5000</v>
      </c>
      <c r="P361" s="294">
        <v>1</v>
      </c>
      <c r="Q361" s="355">
        <f>O361*P361</f>
        <v>5000</v>
      </c>
      <c r="R361" s="299"/>
      <c r="S361" s="298"/>
      <c r="T361" s="294">
        <f>Q361*10/100</f>
        <v>500</v>
      </c>
      <c r="U361" s="294">
        <f>Q361*90/100</f>
        <v>4500</v>
      </c>
      <c r="V361" s="298"/>
      <c r="W361" s="298"/>
      <c r="X361" s="1179"/>
      <c r="Y361" s="1154"/>
      <c r="Z361" s="1152"/>
      <c r="AA361" s="1152"/>
      <c r="AB361" s="1152"/>
      <c r="AC361" s="1152"/>
      <c r="AD361" s="1152"/>
      <c r="AE361" s="1152"/>
      <c r="AF361" s="1152"/>
      <c r="AG361" s="1152"/>
    </row>
    <row r="362" spans="1:33" s="280" customFormat="1" ht="21.75" customHeight="1">
      <c r="A362" s="1361">
        <v>2232</v>
      </c>
      <c r="B362" s="1541" t="s">
        <v>876</v>
      </c>
      <c r="C362" s="1505"/>
      <c r="D362" s="1362"/>
      <c r="E362" s="1362"/>
      <c r="F362" s="1362"/>
      <c r="G362" s="1362"/>
      <c r="H362" s="1362"/>
      <c r="I362" s="1362"/>
      <c r="J362" s="292"/>
      <c r="K362" s="326"/>
      <c r="L362" s="1241"/>
      <c r="M362" s="296"/>
      <c r="N362" s="294"/>
      <c r="O362" s="1357"/>
      <c r="P362" s="295"/>
      <c r="Q362" s="1096">
        <f>SUM(Q363:Q365)</f>
        <v>27200</v>
      </c>
      <c r="R362" s="299"/>
      <c r="S362" s="1203">
        <f t="shared" ref="S362:AF362" si="91">SUM(S363:S365)</f>
        <v>0</v>
      </c>
      <c r="T362" s="1203">
        <f t="shared" si="91"/>
        <v>0</v>
      </c>
      <c r="U362" s="1203">
        <f t="shared" si="91"/>
        <v>0</v>
      </c>
      <c r="V362" s="1203">
        <f t="shared" si="91"/>
        <v>8000</v>
      </c>
      <c r="W362" s="1203">
        <f t="shared" si="91"/>
        <v>0</v>
      </c>
      <c r="X362" s="1204">
        <f t="shared" si="91"/>
        <v>19200</v>
      </c>
      <c r="Y362" s="1205">
        <f t="shared" si="91"/>
        <v>0</v>
      </c>
      <c r="Z362" s="1206">
        <f t="shared" si="91"/>
        <v>0</v>
      </c>
      <c r="AA362" s="1206">
        <f t="shared" si="91"/>
        <v>0</v>
      </c>
      <c r="AB362" s="1206">
        <f t="shared" si="91"/>
        <v>0</v>
      </c>
      <c r="AC362" s="1206">
        <f t="shared" si="91"/>
        <v>0</v>
      </c>
      <c r="AD362" s="1206">
        <f t="shared" si="91"/>
        <v>0</v>
      </c>
      <c r="AE362" s="1206">
        <f t="shared" si="91"/>
        <v>0</v>
      </c>
      <c r="AF362" s="1206">
        <f t="shared" si="91"/>
        <v>0</v>
      </c>
      <c r="AG362" s="1153">
        <f>SUM(S362:AF362)</f>
        <v>27200</v>
      </c>
    </row>
    <row r="363" spans="1:33" s="280" customFormat="1">
      <c r="A363" s="294">
        <v>2232</v>
      </c>
      <c r="B363" s="834" t="s">
        <v>877</v>
      </c>
      <c r="C363" s="291" t="s">
        <v>878</v>
      </c>
      <c r="D363" s="821"/>
      <c r="E363" s="1363">
        <v>66</v>
      </c>
      <c r="F363" s="293">
        <v>43195</v>
      </c>
      <c r="G363" s="293">
        <f>F363+E363</f>
        <v>43261</v>
      </c>
      <c r="H363" s="293" t="s">
        <v>368</v>
      </c>
      <c r="I363" s="294" t="s">
        <v>169</v>
      </c>
      <c r="J363" s="307" t="s">
        <v>174</v>
      </c>
      <c r="K363" s="326" t="s">
        <v>879</v>
      </c>
      <c r="L363" s="1241">
        <v>2463</v>
      </c>
      <c r="M363" s="296"/>
      <c r="N363" s="294"/>
      <c r="O363" s="1357">
        <v>1500</v>
      </c>
      <c r="P363" s="295">
        <v>4</v>
      </c>
      <c r="Q363" s="298">
        <f>O363*P363</f>
        <v>6000</v>
      </c>
      <c r="R363" s="299"/>
      <c r="S363" s="298"/>
      <c r="T363" s="298"/>
      <c r="U363" s="298"/>
      <c r="V363" s="298">
        <v>6000</v>
      </c>
      <c r="W363" s="298"/>
      <c r="X363" s="1179"/>
      <c r="Y363" s="1154"/>
      <c r="Z363" s="1152"/>
      <c r="AA363" s="1152"/>
      <c r="AB363" s="1152"/>
      <c r="AC363" s="1152"/>
      <c r="AD363" s="1152"/>
      <c r="AE363" s="1152"/>
      <c r="AF363" s="1152"/>
      <c r="AG363" s="1152"/>
    </row>
    <row r="364" spans="1:33" s="280" customFormat="1">
      <c r="A364" s="294">
        <v>2232</v>
      </c>
      <c r="B364" s="291" t="s">
        <v>880</v>
      </c>
      <c r="C364" s="291" t="s">
        <v>881</v>
      </c>
      <c r="D364" s="821"/>
      <c r="E364" s="1363">
        <v>77</v>
      </c>
      <c r="F364" s="293">
        <v>43196</v>
      </c>
      <c r="G364" s="293">
        <f>F364+E364</f>
        <v>43273</v>
      </c>
      <c r="H364" s="293" t="s">
        <v>368</v>
      </c>
      <c r="I364" s="294" t="s">
        <v>169</v>
      </c>
      <c r="J364" s="307" t="s">
        <v>174</v>
      </c>
      <c r="K364" s="326" t="s">
        <v>320</v>
      </c>
      <c r="L364" s="1241">
        <v>23173</v>
      </c>
      <c r="M364" s="296"/>
      <c r="N364" s="294"/>
      <c r="O364" s="1357">
        <v>2000</v>
      </c>
      <c r="P364" s="295">
        <v>1</v>
      </c>
      <c r="Q364" s="298">
        <f>O364*P364</f>
        <v>2000</v>
      </c>
      <c r="R364" s="299"/>
      <c r="S364" s="298"/>
      <c r="T364" s="298"/>
      <c r="U364" s="298"/>
      <c r="V364" s="298">
        <v>2000</v>
      </c>
      <c r="W364" s="298"/>
      <c r="X364" s="1179"/>
      <c r="Y364" s="1154"/>
      <c r="Z364" s="1152"/>
      <c r="AA364" s="1152"/>
      <c r="AB364" s="1152"/>
      <c r="AC364" s="1152"/>
      <c r="AD364" s="1152"/>
      <c r="AE364" s="1152"/>
      <c r="AF364" s="1152"/>
      <c r="AG364" s="1152"/>
    </row>
    <row r="365" spans="1:33" s="280" customFormat="1">
      <c r="A365" s="294">
        <v>2232</v>
      </c>
      <c r="B365" s="834" t="s">
        <v>882</v>
      </c>
      <c r="C365" s="291" t="s">
        <v>883</v>
      </c>
      <c r="D365" s="821"/>
      <c r="E365" s="1363">
        <v>125</v>
      </c>
      <c r="F365" s="293">
        <v>43196</v>
      </c>
      <c r="G365" s="293">
        <f>F365+E365</f>
        <v>43321</v>
      </c>
      <c r="H365" s="293" t="s">
        <v>368</v>
      </c>
      <c r="I365" s="294" t="s">
        <v>169</v>
      </c>
      <c r="J365" s="307" t="s">
        <v>884</v>
      </c>
      <c r="K365" s="326" t="s">
        <v>879</v>
      </c>
      <c r="L365" s="1241">
        <v>2463</v>
      </c>
      <c r="M365" s="296"/>
      <c r="N365" s="294"/>
      <c r="O365" s="1357">
        <v>19200</v>
      </c>
      <c r="P365" s="295">
        <v>1</v>
      </c>
      <c r="Q365" s="298">
        <f>O365*P365</f>
        <v>19200</v>
      </c>
      <c r="R365" s="299"/>
      <c r="S365" s="298"/>
      <c r="T365" s="298"/>
      <c r="U365" s="298"/>
      <c r="V365" s="298"/>
      <c r="W365" s="298"/>
      <c r="X365" s="1179">
        <v>19200</v>
      </c>
      <c r="Y365" s="1154"/>
      <c r="Z365" s="1152"/>
      <c r="AA365" s="1152"/>
      <c r="AB365" s="1152"/>
      <c r="AC365" s="1152"/>
      <c r="AD365" s="1152"/>
      <c r="AE365" s="1152"/>
      <c r="AF365" s="1152"/>
      <c r="AG365" s="1152"/>
    </row>
    <row r="366" spans="1:33" s="280" customFormat="1" ht="21.75" customHeight="1">
      <c r="A366" s="1361">
        <v>2233</v>
      </c>
      <c r="B366" s="1541" t="s">
        <v>885</v>
      </c>
      <c r="C366" s="1505"/>
      <c r="D366" s="1362"/>
      <c r="E366" s="1362"/>
      <c r="F366" s="1362"/>
      <c r="G366" s="1362"/>
      <c r="H366" s="1362"/>
      <c r="I366" s="1362"/>
      <c r="J366" s="292"/>
      <c r="K366" s="326"/>
      <c r="L366" s="1241"/>
      <c r="M366" s="296"/>
      <c r="N366" s="294"/>
      <c r="O366" s="1357"/>
      <c r="P366" s="295"/>
      <c r="Q366" s="1096">
        <f>SUM(Q367:Q376)</f>
        <v>177200</v>
      </c>
      <c r="R366" s="299"/>
      <c r="S366" s="1203">
        <f t="shared" ref="S366:AF366" si="92">SUM(S367:S376)</f>
        <v>0</v>
      </c>
      <c r="T366" s="1203">
        <f t="shared" si="92"/>
        <v>0</v>
      </c>
      <c r="U366" s="1203">
        <f t="shared" si="92"/>
        <v>12240</v>
      </c>
      <c r="V366" s="1203">
        <f t="shared" si="92"/>
        <v>54960</v>
      </c>
      <c r="W366" s="1203">
        <f t="shared" si="92"/>
        <v>1000</v>
      </c>
      <c r="X366" s="1204">
        <f t="shared" si="92"/>
        <v>21000</v>
      </c>
      <c r="Y366" s="1205">
        <f t="shared" si="92"/>
        <v>88000</v>
      </c>
      <c r="Z366" s="1206">
        <f t="shared" si="92"/>
        <v>0</v>
      </c>
      <c r="AA366" s="1206">
        <f t="shared" si="92"/>
        <v>0</v>
      </c>
      <c r="AB366" s="1206">
        <f t="shared" si="92"/>
        <v>0</v>
      </c>
      <c r="AC366" s="1206">
        <f t="shared" si="92"/>
        <v>0</v>
      </c>
      <c r="AD366" s="1206">
        <f t="shared" si="92"/>
        <v>0</v>
      </c>
      <c r="AE366" s="1206">
        <f t="shared" si="92"/>
        <v>0</v>
      </c>
      <c r="AF366" s="1206">
        <f t="shared" si="92"/>
        <v>0</v>
      </c>
      <c r="AG366" s="1153">
        <f>SUM(S366:AF366)</f>
        <v>177200</v>
      </c>
    </row>
    <row r="367" spans="1:33" s="280" customFormat="1">
      <c r="A367" s="294">
        <v>2233</v>
      </c>
      <c r="B367" s="291" t="s">
        <v>886</v>
      </c>
      <c r="C367" s="291" t="s">
        <v>887</v>
      </c>
      <c r="D367" s="357"/>
      <c r="E367" s="294">
        <v>1</v>
      </c>
      <c r="F367" s="293">
        <v>43235</v>
      </c>
      <c r="G367" s="293">
        <v>43235</v>
      </c>
      <c r="H367" s="293" t="s">
        <v>368</v>
      </c>
      <c r="I367" s="294" t="s">
        <v>867</v>
      </c>
      <c r="J367" s="307" t="s">
        <v>169</v>
      </c>
      <c r="K367" s="326" t="s">
        <v>320</v>
      </c>
      <c r="L367" s="1241">
        <v>23173</v>
      </c>
      <c r="N367" s="341"/>
      <c r="O367" s="1364">
        <v>3000</v>
      </c>
      <c r="P367" s="342">
        <v>1</v>
      </c>
      <c r="Q367" s="298">
        <f t="shared" ref="Q367:Q376" si="93">O367*P367</f>
        <v>3000</v>
      </c>
      <c r="R367" s="344"/>
      <c r="S367" s="315"/>
      <c r="T367" s="315"/>
      <c r="U367" s="298">
        <v>3000</v>
      </c>
      <c r="V367" s="315"/>
      <c r="W367" s="315"/>
      <c r="X367" s="315"/>
      <c r="Y367" s="1154"/>
      <c r="Z367" s="1152"/>
      <c r="AA367" s="1152"/>
      <c r="AB367" s="1152"/>
      <c r="AC367" s="1152"/>
      <c r="AD367" s="1152"/>
      <c r="AE367" s="1152"/>
      <c r="AF367" s="1152"/>
      <c r="AG367" s="1152"/>
    </row>
    <row r="368" spans="1:33" s="280" customFormat="1">
      <c r="A368" s="294">
        <v>2233</v>
      </c>
      <c r="B368" s="291" t="s">
        <v>886</v>
      </c>
      <c r="C368" s="291" t="s">
        <v>887</v>
      </c>
      <c r="D368" s="821"/>
      <c r="E368" s="294">
        <v>1</v>
      </c>
      <c r="F368" s="293">
        <v>43235</v>
      </c>
      <c r="G368" s="293">
        <v>43235</v>
      </c>
      <c r="H368" s="293" t="s">
        <v>368</v>
      </c>
      <c r="I368" s="294" t="s">
        <v>169</v>
      </c>
      <c r="J368" s="307" t="s">
        <v>867</v>
      </c>
      <c r="K368" s="326" t="s">
        <v>888</v>
      </c>
      <c r="L368" s="1241">
        <v>23174</v>
      </c>
      <c r="M368" s="296"/>
      <c r="N368" s="294"/>
      <c r="O368" s="1357">
        <v>9000</v>
      </c>
      <c r="P368" s="342">
        <v>1</v>
      </c>
      <c r="Q368" s="298">
        <f t="shared" si="93"/>
        <v>9000</v>
      </c>
      <c r="R368" s="299"/>
      <c r="S368" s="298"/>
      <c r="T368" s="298"/>
      <c r="U368" s="298">
        <v>9000</v>
      </c>
      <c r="V368" s="298"/>
      <c r="W368" s="298"/>
      <c r="X368" s="1179"/>
      <c r="Y368" s="1154"/>
      <c r="Z368" s="1152"/>
      <c r="AA368" s="1152"/>
      <c r="AB368" s="1152"/>
      <c r="AC368" s="1152"/>
      <c r="AD368" s="1152"/>
      <c r="AE368" s="1152"/>
      <c r="AF368" s="1152"/>
      <c r="AG368" s="1152"/>
    </row>
    <row r="369" spans="1:33" s="280" customFormat="1" ht="31.5">
      <c r="A369" s="294">
        <v>2233</v>
      </c>
      <c r="B369" s="291" t="s">
        <v>889</v>
      </c>
      <c r="C369" s="291" t="s">
        <v>846</v>
      </c>
      <c r="D369" s="294"/>
      <c r="E369" s="294">
        <v>20</v>
      </c>
      <c r="F369" s="293">
        <v>43235</v>
      </c>
      <c r="G369" s="293">
        <v>43256</v>
      </c>
      <c r="H369" s="293" t="s">
        <v>368</v>
      </c>
      <c r="I369" s="294" t="s">
        <v>867</v>
      </c>
      <c r="J369" s="307" t="s">
        <v>169</v>
      </c>
      <c r="K369" s="326" t="s">
        <v>847</v>
      </c>
      <c r="L369" s="1241">
        <v>23173</v>
      </c>
      <c r="M369" s="296"/>
      <c r="N369" s="294"/>
      <c r="O369" s="1357">
        <v>80</v>
      </c>
      <c r="P369" s="295">
        <v>3</v>
      </c>
      <c r="Q369" s="298">
        <f t="shared" si="93"/>
        <v>240</v>
      </c>
      <c r="R369" s="299"/>
      <c r="S369" s="298"/>
      <c r="T369" s="298"/>
      <c r="U369" s="298">
        <v>240</v>
      </c>
      <c r="V369" s="298"/>
      <c r="W369" s="298"/>
      <c r="X369" s="1179"/>
      <c r="Y369" s="1154"/>
      <c r="Z369" s="1152"/>
      <c r="AA369" s="1152"/>
      <c r="AB369" s="1152"/>
      <c r="AC369" s="1152"/>
      <c r="AD369" s="1152"/>
      <c r="AE369" s="1152"/>
      <c r="AF369" s="1152"/>
      <c r="AG369" s="1152"/>
    </row>
    <row r="370" spans="1:33" s="280" customFormat="1" ht="31.5">
      <c r="A370" s="294">
        <v>2233</v>
      </c>
      <c r="B370" s="291" t="s">
        <v>889</v>
      </c>
      <c r="C370" s="291" t="s">
        <v>890</v>
      </c>
      <c r="D370" s="821"/>
      <c r="E370" s="294">
        <v>66</v>
      </c>
      <c r="F370" s="293">
        <v>43257</v>
      </c>
      <c r="G370" s="293">
        <v>43278</v>
      </c>
      <c r="H370" s="293" t="s">
        <v>368</v>
      </c>
      <c r="I370" s="294" t="s">
        <v>867</v>
      </c>
      <c r="J370" s="307" t="s">
        <v>169</v>
      </c>
      <c r="K370" s="326" t="s">
        <v>302</v>
      </c>
      <c r="L370" s="1241">
        <v>23173</v>
      </c>
      <c r="M370" s="296"/>
      <c r="N370" s="294"/>
      <c r="O370" s="1357">
        <v>8000</v>
      </c>
      <c r="P370" s="295">
        <v>2</v>
      </c>
      <c r="Q370" s="298">
        <f t="shared" si="93"/>
        <v>16000</v>
      </c>
      <c r="R370" s="299"/>
      <c r="S370" s="298"/>
      <c r="T370" s="298"/>
      <c r="U370" s="298"/>
      <c r="V370" s="298">
        <v>16000</v>
      </c>
      <c r="W370" s="298"/>
      <c r="X370" s="1179"/>
      <c r="Y370" s="1154"/>
      <c r="Z370" s="1152"/>
      <c r="AA370" s="1152"/>
      <c r="AB370" s="1152"/>
      <c r="AC370" s="1152"/>
      <c r="AD370" s="1152"/>
      <c r="AE370" s="1152"/>
      <c r="AF370" s="1152"/>
      <c r="AG370" s="1152"/>
    </row>
    <row r="371" spans="1:33" s="280" customFormat="1">
      <c r="A371" s="294">
        <v>2233</v>
      </c>
      <c r="B371" s="291" t="s">
        <v>1008</v>
      </c>
      <c r="C371" s="291" t="s">
        <v>892</v>
      </c>
      <c r="D371" s="821"/>
      <c r="E371" s="294">
        <v>6</v>
      </c>
      <c r="F371" s="293">
        <v>43241</v>
      </c>
      <c r="G371" s="293">
        <v>43246</v>
      </c>
      <c r="H371" s="293" t="s">
        <v>368</v>
      </c>
      <c r="I371" s="294" t="s">
        <v>867</v>
      </c>
      <c r="J371" s="307" t="s">
        <v>169</v>
      </c>
      <c r="K371" s="326" t="s">
        <v>486</v>
      </c>
      <c r="L371" s="1241">
        <v>23173</v>
      </c>
      <c r="M371" s="296"/>
      <c r="N371" s="294"/>
      <c r="O371" s="1357">
        <v>1081</v>
      </c>
      <c r="P371" s="295">
        <v>4</v>
      </c>
      <c r="Q371" s="298">
        <f t="shared" si="93"/>
        <v>4324</v>
      </c>
      <c r="R371" s="299"/>
      <c r="S371" s="298"/>
      <c r="T371" s="298"/>
      <c r="U371" s="298"/>
      <c r="V371" s="298">
        <v>4324</v>
      </c>
      <c r="W371" s="298"/>
      <c r="X371" s="1179"/>
      <c r="Y371" s="1154"/>
      <c r="Z371" s="1152"/>
      <c r="AA371" s="1152"/>
      <c r="AB371" s="1152"/>
      <c r="AC371" s="1152"/>
      <c r="AD371" s="1152"/>
      <c r="AE371" s="1152"/>
      <c r="AF371" s="1152"/>
      <c r="AG371" s="1152"/>
    </row>
    <row r="372" spans="1:33" s="280" customFormat="1">
      <c r="A372" s="294">
        <v>2233</v>
      </c>
      <c r="B372" s="291" t="s">
        <v>1008</v>
      </c>
      <c r="C372" s="291" t="s">
        <v>892</v>
      </c>
      <c r="D372" s="821"/>
      <c r="E372" s="294">
        <v>6</v>
      </c>
      <c r="F372" s="293">
        <v>43241</v>
      </c>
      <c r="G372" s="293">
        <v>43246</v>
      </c>
      <c r="H372" s="293" t="s">
        <v>368</v>
      </c>
      <c r="I372" s="294" t="s">
        <v>169</v>
      </c>
      <c r="J372" s="307" t="s">
        <v>867</v>
      </c>
      <c r="K372" s="326" t="s">
        <v>888</v>
      </c>
      <c r="L372" s="1241">
        <v>23174</v>
      </c>
      <c r="M372" s="296"/>
      <c r="N372" s="294"/>
      <c r="O372" s="1357">
        <v>8659</v>
      </c>
      <c r="P372" s="295">
        <v>4</v>
      </c>
      <c r="Q372" s="298">
        <f t="shared" si="93"/>
        <v>34636</v>
      </c>
      <c r="R372" s="299"/>
      <c r="S372" s="298"/>
      <c r="T372" s="298"/>
      <c r="U372" s="298"/>
      <c r="V372" s="298">
        <v>34636</v>
      </c>
      <c r="W372" s="298"/>
      <c r="X372" s="1179"/>
      <c r="Y372" s="1154"/>
      <c r="Z372" s="1152"/>
      <c r="AA372" s="1152"/>
      <c r="AB372" s="1152"/>
      <c r="AC372" s="1152"/>
      <c r="AD372" s="1152"/>
      <c r="AE372" s="1152"/>
      <c r="AF372" s="1152"/>
      <c r="AG372" s="1152"/>
    </row>
    <row r="373" spans="1:33" s="280" customFormat="1">
      <c r="A373" s="294">
        <v>2233</v>
      </c>
      <c r="B373" s="291" t="s">
        <v>893</v>
      </c>
      <c r="C373" s="291" t="s">
        <v>894</v>
      </c>
      <c r="D373" s="821"/>
      <c r="E373" s="294">
        <v>2</v>
      </c>
      <c r="F373" s="293">
        <v>43283</v>
      </c>
      <c r="G373" s="293">
        <v>43284</v>
      </c>
      <c r="H373" s="293" t="s">
        <v>895</v>
      </c>
      <c r="I373" s="294" t="s">
        <v>169</v>
      </c>
      <c r="J373" s="307" t="s">
        <v>867</v>
      </c>
      <c r="K373" s="326" t="s">
        <v>896</v>
      </c>
      <c r="L373" s="1241">
        <v>23173</v>
      </c>
      <c r="M373" s="296"/>
      <c r="N373" s="294"/>
      <c r="O373" s="1357">
        <v>1000</v>
      </c>
      <c r="P373" s="295">
        <v>1</v>
      </c>
      <c r="Q373" s="298">
        <f t="shared" si="93"/>
        <v>1000</v>
      </c>
      <c r="R373" s="299"/>
      <c r="S373" s="298"/>
      <c r="T373" s="298"/>
      <c r="U373" s="298"/>
      <c r="V373" s="298"/>
      <c r="W373" s="298">
        <v>1000</v>
      </c>
      <c r="X373" s="1179"/>
      <c r="Y373" s="1154"/>
      <c r="Z373" s="1152"/>
      <c r="AA373" s="1152"/>
      <c r="AB373" s="1152"/>
      <c r="AC373" s="1152"/>
      <c r="AD373" s="1152"/>
      <c r="AE373" s="1152"/>
      <c r="AF373" s="1152"/>
      <c r="AG373" s="1152"/>
    </row>
    <row r="374" spans="1:33" s="280" customFormat="1" ht="43.5" customHeight="1">
      <c r="A374" s="294">
        <v>2233</v>
      </c>
      <c r="B374" s="291" t="s">
        <v>100</v>
      </c>
      <c r="C374" s="291" t="s">
        <v>897</v>
      </c>
      <c r="D374" s="821"/>
      <c r="E374" s="294">
        <v>2</v>
      </c>
      <c r="F374" s="293">
        <v>43318</v>
      </c>
      <c r="G374" s="293">
        <v>43321</v>
      </c>
      <c r="H374" s="293" t="s">
        <v>895</v>
      </c>
      <c r="I374" s="294" t="s">
        <v>867</v>
      </c>
      <c r="J374" s="307" t="s">
        <v>169</v>
      </c>
      <c r="K374" s="326" t="s">
        <v>888</v>
      </c>
      <c r="L374" s="1241">
        <v>23174</v>
      </c>
      <c r="M374" s="296"/>
      <c r="N374" s="294"/>
      <c r="O374" s="1357">
        <v>1000</v>
      </c>
      <c r="P374" s="295">
        <v>20</v>
      </c>
      <c r="Q374" s="298">
        <f t="shared" si="93"/>
        <v>20000</v>
      </c>
      <c r="R374" s="299"/>
      <c r="S374" s="298"/>
      <c r="T374" s="298"/>
      <c r="U374" s="298"/>
      <c r="V374" s="298"/>
      <c r="W374" s="298"/>
      <c r="X374" s="1179">
        <v>20000</v>
      </c>
      <c r="Y374" s="1154"/>
      <c r="Z374" s="1152"/>
      <c r="AA374" s="1152"/>
      <c r="AB374" s="1152"/>
      <c r="AC374" s="1152"/>
      <c r="AD374" s="1152"/>
      <c r="AE374" s="1152"/>
      <c r="AF374" s="1152"/>
      <c r="AG374" s="1152"/>
    </row>
    <row r="375" spans="1:33" s="280" customFormat="1" ht="31.5">
      <c r="A375" s="294">
        <v>2233</v>
      </c>
      <c r="B375" s="291" t="s">
        <v>1009</v>
      </c>
      <c r="C375" s="291" t="s">
        <v>894</v>
      </c>
      <c r="D375" s="821"/>
      <c r="E375" s="294">
        <v>2</v>
      </c>
      <c r="F375" s="293" t="s">
        <v>899</v>
      </c>
      <c r="G375" s="293" t="s">
        <v>900</v>
      </c>
      <c r="H375" s="293" t="s">
        <v>895</v>
      </c>
      <c r="I375" s="294" t="s">
        <v>169</v>
      </c>
      <c r="J375" s="307" t="s">
        <v>867</v>
      </c>
      <c r="K375" s="326" t="s">
        <v>896</v>
      </c>
      <c r="L375" s="1241">
        <v>23173</v>
      </c>
      <c r="M375" s="296"/>
      <c r="N375" s="294"/>
      <c r="O375" s="1357">
        <v>1000</v>
      </c>
      <c r="P375" s="295">
        <v>1</v>
      </c>
      <c r="Q375" s="298">
        <f t="shared" si="93"/>
        <v>1000</v>
      </c>
      <c r="R375" s="299"/>
      <c r="S375" s="298"/>
      <c r="T375" s="298"/>
      <c r="U375" s="298"/>
      <c r="V375" s="298"/>
      <c r="W375" s="298"/>
      <c r="X375" s="1179">
        <v>1000</v>
      </c>
      <c r="Y375" s="1154"/>
      <c r="Z375" s="1152"/>
      <c r="AA375" s="1152"/>
      <c r="AB375" s="1152"/>
      <c r="AC375" s="1152"/>
      <c r="AD375" s="1152"/>
      <c r="AE375" s="1152"/>
      <c r="AF375" s="1152"/>
      <c r="AG375" s="1152"/>
    </row>
    <row r="376" spans="1:33" s="280" customFormat="1" ht="42.75" customHeight="1">
      <c r="A376" s="294">
        <v>2233</v>
      </c>
      <c r="B376" s="291" t="s">
        <v>102</v>
      </c>
      <c r="C376" s="291" t="s">
        <v>901</v>
      </c>
      <c r="D376" s="821"/>
      <c r="E376" s="1363">
        <v>30</v>
      </c>
      <c r="F376" s="293" t="s">
        <v>902</v>
      </c>
      <c r="G376" s="293">
        <v>43359</v>
      </c>
      <c r="H376" s="293" t="s">
        <v>895</v>
      </c>
      <c r="I376" s="294" t="s">
        <v>867</v>
      </c>
      <c r="J376" s="307" t="s">
        <v>169</v>
      </c>
      <c r="K376" s="326" t="s">
        <v>888</v>
      </c>
      <c r="L376" s="1241">
        <v>23174</v>
      </c>
      <c r="M376" s="296"/>
      <c r="N376" s="294"/>
      <c r="O376" s="1357">
        <v>440</v>
      </c>
      <c r="P376" s="295">
        <v>200</v>
      </c>
      <c r="Q376" s="298">
        <f t="shared" si="93"/>
        <v>88000</v>
      </c>
      <c r="R376" s="299"/>
      <c r="S376" s="298"/>
      <c r="T376" s="298"/>
      <c r="U376" s="298"/>
      <c r="V376" s="298"/>
      <c r="W376" s="298"/>
      <c r="X376" s="1179"/>
      <c r="Y376" s="1154">
        <v>88000</v>
      </c>
      <c r="Z376" s="1152"/>
      <c r="AA376" s="1152"/>
      <c r="AB376" s="1152"/>
      <c r="AC376" s="1152"/>
      <c r="AD376" s="1152"/>
      <c r="AE376" s="1152"/>
      <c r="AF376" s="1152"/>
      <c r="AG376" s="1152"/>
    </row>
    <row r="377" spans="1:33" s="280" customFormat="1" ht="21.75" customHeight="1">
      <c r="A377" s="1361">
        <v>2234</v>
      </c>
      <c r="B377" s="1541" t="s">
        <v>903</v>
      </c>
      <c r="C377" s="1505"/>
      <c r="D377" s="1362"/>
      <c r="E377" s="1362"/>
      <c r="F377" s="1362"/>
      <c r="G377" s="1362"/>
      <c r="H377" s="1362"/>
      <c r="I377" s="1362"/>
      <c r="J377" s="292"/>
      <c r="K377" s="326"/>
      <c r="L377" s="1241"/>
      <c r="M377" s="296"/>
      <c r="N377" s="294"/>
      <c r="O377" s="1357"/>
      <c r="P377" s="295"/>
      <c r="Q377" s="1096">
        <f>SUM(Q378)</f>
        <v>240</v>
      </c>
      <c r="R377" s="299"/>
      <c r="S377" s="1203">
        <f t="shared" ref="S377:AF377" si="94">SUM(S378)</f>
        <v>0</v>
      </c>
      <c r="T377" s="1203">
        <f t="shared" si="94"/>
        <v>0</v>
      </c>
      <c r="U377" s="1203">
        <f t="shared" si="94"/>
        <v>0</v>
      </c>
      <c r="V377" s="1203">
        <f t="shared" si="94"/>
        <v>240</v>
      </c>
      <c r="W377" s="1203">
        <f t="shared" si="94"/>
        <v>0</v>
      </c>
      <c r="X377" s="1204">
        <f t="shared" si="94"/>
        <v>0</v>
      </c>
      <c r="Y377" s="1205">
        <f t="shared" si="94"/>
        <v>0</v>
      </c>
      <c r="Z377" s="1206">
        <f t="shared" si="94"/>
        <v>0</v>
      </c>
      <c r="AA377" s="1206">
        <f t="shared" si="94"/>
        <v>0</v>
      </c>
      <c r="AB377" s="1206">
        <f t="shared" si="94"/>
        <v>0</v>
      </c>
      <c r="AC377" s="1206">
        <f t="shared" si="94"/>
        <v>0</v>
      </c>
      <c r="AD377" s="1206">
        <f t="shared" si="94"/>
        <v>0</v>
      </c>
      <c r="AE377" s="1206">
        <f t="shared" si="94"/>
        <v>0</v>
      </c>
      <c r="AF377" s="1206">
        <f t="shared" si="94"/>
        <v>0</v>
      </c>
      <c r="AG377" s="1153">
        <f>SUM(S377:AF377)</f>
        <v>240</v>
      </c>
    </row>
    <row r="378" spans="1:33" s="280" customFormat="1">
      <c r="A378" s="294">
        <v>2234</v>
      </c>
      <c r="B378" s="820" t="s">
        <v>904</v>
      </c>
      <c r="C378" s="291" t="s">
        <v>846</v>
      </c>
      <c r="D378" s="821"/>
      <c r="E378" s="295">
        <v>45</v>
      </c>
      <c r="F378" s="293">
        <v>43200</v>
      </c>
      <c r="G378" s="293">
        <v>43245</v>
      </c>
      <c r="H378" s="293" t="s">
        <v>368</v>
      </c>
      <c r="I378" s="294" t="s">
        <v>174</v>
      </c>
      <c r="J378" s="307" t="s">
        <v>169</v>
      </c>
      <c r="K378" s="326" t="s">
        <v>847</v>
      </c>
      <c r="L378" s="1241">
        <v>23173</v>
      </c>
      <c r="M378" s="296"/>
      <c r="N378" s="294"/>
      <c r="O378" s="355">
        <v>80</v>
      </c>
      <c r="P378" s="294">
        <v>3</v>
      </c>
      <c r="Q378" s="355">
        <f>O378*P378</f>
        <v>240</v>
      </c>
      <c r="R378" s="299"/>
      <c r="S378" s="298"/>
      <c r="T378" s="298"/>
      <c r="U378" s="298"/>
      <c r="V378" s="294">
        <v>240</v>
      </c>
      <c r="W378" s="298"/>
      <c r="X378" s="1179"/>
      <c r="Y378" s="1154"/>
      <c r="Z378" s="1152"/>
      <c r="AA378" s="1152"/>
      <c r="AB378" s="1152"/>
      <c r="AC378" s="1152"/>
      <c r="AD378" s="1152"/>
      <c r="AE378" s="1152"/>
      <c r="AF378" s="1152"/>
      <c r="AG378" s="1152"/>
    </row>
    <row r="379" spans="1:33" s="280" customFormat="1">
      <c r="A379" s="1275">
        <v>224</v>
      </c>
      <c r="B379" s="823" t="s">
        <v>905</v>
      </c>
      <c r="C379" s="1506"/>
      <c r="D379" s="1365"/>
      <c r="E379" s="1365"/>
      <c r="F379" s="1365"/>
      <c r="G379" s="1365"/>
      <c r="H379" s="1365"/>
      <c r="I379" s="1366"/>
      <c r="J379" s="1489"/>
      <c r="K379" s="1001"/>
      <c r="L379" s="1242"/>
      <c r="M379" s="514"/>
      <c r="N379" s="512"/>
      <c r="O379" s="1367"/>
      <c r="P379" s="513"/>
      <c r="Q379" s="548">
        <f>SUM(Q380:Q381)</f>
        <v>22240</v>
      </c>
      <c r="R379" s="1097"/>
      <c r="S379" s="548">
        <f t="shared" ref="S379:AF379" si="95">SUM(S380:S381)</f>
        <v>0</v>
      </c>
      <c r="T379" s="548">
        <f t="shared" si="95"/>
        <v>0</v>
      </c>
      <c r="U379" s="548">
        <f t="shared" si="95"/>
        <v>240</v>
      </c>
      <c r="V379" s="548">
        <f t="shared" si="95"/>
        <v>0</v>
      </c>
      <c r="W379" s="548">
        <f t="shared" si="95"/>
        <v>0</v>
      </c>
      <c r="X379" s="548">
        <f t="shared" si="95"/>
        <v>11000</v>
      </c>
      <c r="Y379" s="548">
        <f t="shared" si="95"/>
        <v>11000</v>
      </c>
      <c r="Z379" s="548">
        <f t="shared" si="95"/>
        <v>0</v>
      </c>
      <c r="AA379" s="548">
        <f t="shared" si="95"/>
        <v>0</v>
      </c>
      <c r="AB379" s="548">
        <f t="shared" si="95"/>
        <v>0</v>
      </c>
      <c r="AC379" s="548">
        <f t="shared" si="95"/>
        <v>0</v>
      </c>
      <c r="AD379" s="548">
        <f t="shared" si="95"/>
        <v>0</v>
      </c>
      <c r="AE379" s="548">
        <f t="shared" si="95"/>
        <v>0</v>
      </c>
      <c r="AF379" s="548">
        <f t="shared" si="95"/>
        <v>0</v>
      </c>
      <c r="AG379" s="807">
        <f>SUM(S379:AF379)</f>
        <v>22240</v>
      </c>
    </row>
    <row r="380" spans="1:33" s="280" customFormat="1">
      <c r="A380" s="294">
        <v>2241</v>
      </c>
      <c r="B380" s="291" t="s">
        <v>906</v>
      </c>
      <c r="C380" s="291" t="s">
        <v>907</v>
      </c>
      <c r="D380" s="821"/>
      <c r="E380" s="1363">
        <v>20</v>
      </c>
      <c r="F380" s="293">
        <v>43212</v>
      </c>
      <c r="G380" s="293">
        <v>43231</v>
      </c>
      <c r="H380" s="293" t="s">
        <v>368</v>
      </c>
      <c r="I380" s="294" t="s">
        <v>169</v>
      </c>
      <c r="J380" s="307" t="s">
        <v>174</v>
      </c>
      <c r="K380" s="326" t="s">
        <v>847</v>
      </c>
      <c r="L380" s="1241">
        <v>23173</v>
      </c>
      <c r="M380" s="296"/>
      <c r="N380" s="294"/>
      <c r="O380" s="1357">
        <v>80</v>
      </c>
      <c r="P380" s="295">
        <v>3</v>
      </c>
      <c r="Q380" s="298">
        <f>O380*P380</f>
        <v>240</v>
      </c>
      <c r="R380" s="299"/>
      <c r="S380" s="298"/>
      <c r="T380" s="298"/>
      <c r="U380" s="298">
        <v>240</v>
      </c>
      <c r="V380" s="315"/>
      <c r="W380" s="298"/>
      <c r="X380" s="1179"/>
      <c r="Y380" s="1154"/>
      <c r="Z380" s="1152"/>
      <c r="AA380" s="1152"/>
      <c r="AB380" s="1152"/>
      <c r="AC380" s="1152"/>
      <c r="AD380" s="1152"/>
      <c r="AE380" s="1152"/>
      <c r="AF380" s="1152"/>
      <c r="AG380" s="1152"/>
    </row>
    <row r="381" spans="1:33" s="280" customFormat="1" ht="31.5">
      <c r="A381" s="294">
        <v>2241</v>
      </c>
      <c r="B381" s="291" t="s">
        <v>906</v>
      </c>
      <c r="C381" s="291" t="s">
        <v>908</v>
      </c>
      <c r="D381" s="821"/>
      <c r="E381" s="1363">
        <v>115</v>
      </c>
      <c r="F381" s="293">
        <v>43232</v>
      </c>
      <c r="G381" s="293">
        <v>43346</v>
      </c>
      <c r="H381" s="293" t="s">
        <v>368</v>
      </c>
      <c r="I381" s="294" t="s">
        <v>174</v>
      </c>
      <c r="J381" s="307" t="s">
        <v>169</v>
      </c>
      <c r="K381" s="326" t="s">
        <v>365</v>
      </c>
      <c r="L381" s="1237">
        <v>2313</v>
      </c>
      <c r="M381" s="296"/>
      <c r="N381" s="294"/>
      <c r="O381" s="1357">
        <v>22000</v>
      </c>
      <c r="P381" s="295">
        <v>1</v>
      </c>
      <c r="Q381" s="298">
        <f>O381*P381</f>
        <v>22000</v>
      </c>
      <c r="R381" s="299"/>
      <c r="S381" s="298"/>
      <c r="T381" s="298"/>
      <c r="U381" s="298"/>
      <c r="V381" s="298"/>
      <c r="W381" s="298"/>
      <c r="X381" s="1179">
        <f>Q381*50/100</f>
        <v>11000</v>
      </c>
      <c r="Y381" s="1154">
        <f>X381</f>
        <v>11000</v>
      </c>
      <c r="Z381" s="1152"/>
      <c r="AA381" s="1152"/>
      <c r="AB381" s="1152"/>
      <c r="AC381" s="1152"/>
      <c r="AD381" s="1152"/>
      <c r="AE381" s="1152"/>
      <c r="AF381" s="1152"/>
      <c r="AG381" s="1152"/>
    </row>
    <row r="382" spans="1:33" ht="37.5" customHeight="1">
      <c r="A382" s="1268" t="s">
        <v>240</v>
      </c>
      <c r="B382" s="274"/>
      <c r="C382" s="278"/>
      <c r="D382" s="1270"/>
      <c r="E382" s="1270"/>
      <c r="F382" s="1270"/>
      <c r="G382" s="1270"/>
      <c r="H382" s="1270"/>
      <c r="I382" s="1270"/>
      <c r="J382" s="273"/>
      <c r="K382" s="1248"/>
      <c r="L382" s="1269"/>
      <c r="M382" s="1270"/>
      <c r="N382" s="1268"/>
      <c r="O382" s="1271"/>
      <c r="P382" s="1268"/>
      <c r="Q382" s="1272">
        <f>Q383+Q386+Q390+Q393+Q395</f>
        <v>88428.093760000003</v>
      </c>
      <c r="R382" s="1273">
        <f>+SUM(R383,R386,R390,R393,R395)</f>
        <v>88428.093760000003</v>
      </c>
      <c r="S382" s="1272">
        <f t="shared" ref="S382:AF382" si="96">S383+S386+S390+S393+S395</f>
        <v>0</v>
      </c>
      <c r="T382" s="1272">
        <f t="shared" si="96"/>
        <v>0</v>
      </c>
      <c r="U382" s="1272">
        <f t="shared" si="96"/>
        <v>55613.093760000011</v>
      </c>
      <c r="V382" s="1272">
        <f t="shared" si="96"/>
        <v>32815</v>
      </c>
      <c r="W382" s="1272">
        <f t="shared" si="96"/>
        <v>0</v>
      </c>
      <c r="X382" s="1272">
        <f t="shared" si="96"/>
        <v>0</v>
      </c>
      <c r="Y382" s="1272">
        <f t="shared" si="96"/>
        <v>0</v>
      </c>
      <c r="Z382" s="276">
        <f t="shared" si="96"/>
        <v>0</v>
      </c>
      <c r="AA382" s="276">
        <f t="shared" si="96"/>
        <v>0</v>
      </c>
      <c r="AB382" s="276">
        <f t="shared" si="96"/>
        <v>0</v>
      </c>
      <c r="AC382" s="276">
        <f t="shared" si="96"/>
        <v>0</v>
      </c>
      <c r="AD382" s="276">
        <f t="shared" si="96"/>
        <v>0</v>
      </c>
      <c r="AE382" s="276">
        <f t="shared" si="96"/>
        <v>0</v>
      </c>
      <c r="AF382" s="276">
        <f t="shared" si="96"/>
        <v>0</v>
      </c>
      <c r="AG382" s="276">
        <f>AG383+AG386+AG390+AG393+AG395</f>
        <v>88428.093760000003</v>
      </c>
    </row>
    <row r="383" spans="1:33" ht="16.5" customHeight="1">
      <c r="A383" s="1275">
        <v>231</v>
      </c>
      <c r="B383" s="359" t="s">
        <v>511</v>
      </c>
      <c r="C383" s="1021"/>
      <c r="D383" s="1280"/>
      <c r="E383" s="1280"/>
      <c r="F383" s="1280"/>
      <c r="G383" s="1280"/>
      <c r="H383" s="1280"/>
      <c r="I383" s="1280"/>
      <c r="J383" s="283"/>
      <c r="K383" s="1278"/>
      <c r="L383" s="1279"/>
      <c r="M383" s="1280"/>
      <c r="N383" s="1277"/>
      <c r="O383" s="1281"/>
      <c r="P383" s="1277"/>
      <c r="Q383" s="1282">
        <f>SUM(Q384:Q385)</f>
        <v>45378.293760000008</v>
      </c>
      <c r="R383" s="287">
        <f>Q385+Q384</f>
        <v>45378.293760000008</v>
      </c>
      <c r="S383" s="1282">
        <f t="shared" ref="S383:AF383" si="97">SUM(S384:S385)</f>
        <v>0</v>
      </c>
      <c r="T383" s="1282">
        <f t="shared" si="97"/>
        <v>0</v>
      </c>
      <c r="U383" s="1282">
        <f t="shared" si="97"/>
        <v>45378.293760000008</v>
      </c>
      <c r="V383" s="1282">
        <f t="shared" si="97"/>
        <v>0</v>
      </c>
      <c r="W383" s="1282">
        <f t="shared" si="97"/>
        <v>0</v>
      </c>
      <c r="X383" s="1282">
        <f t="shared" si="97"/>
        <v>0</v>
      </c>
      <c r="Y383" s="1282">
        <f t="shared" si="97"/>
        <v>0</v>
      </c>
      <c r="Z383" s="546">
        <f t="shared" si="97"/>
        <v>0</v>
      </c>
      <c r="AA383" s="546">
        <f t="shared" si="97"/>
        <v>0</v>
      </c>
      <c r="AB383" s="546">
        <f t="shared" si="97"/>
        <v>0</v>
      </c>
      <c r="AC383" s="546">
        <f t="shared" si="97"/>
        <v>0</v>
      </c>
      <c r="AD383" s="546">
        <f t="shared" si="97"/>
        <v>0</v>
      </c>
      <c r="AE383" s="546">
        <f t="shared" si="97"/>
        <v>0</v>
      </c>
      <c r="AF383" s="546">
        <f t="shared" si="97"/>
        <v>0</v>
      </c>
      <c r="AG383" s="807">
        <f>SUM(S383:AF383)</f>
        <v>45378.293760000008</v>
      </c>
    </row>
    <row r="384" spans="1:33" ht="31.5">
      <c r="A384" s="1442">
        <v>2311</v>
      </c>
      <c r="B384" s="980" t="s">
        <v>512</v>
      </c>
      <c r="C384" s="1084" t="s">
        <v>513</v>
      </c>
      <c r="D384" s="506" t="s">
        <v>514</v>
      </c>
      <c r="E384" s="506">
        <v>150</v>
      </c>
      <c r="F384" s="1368">
        <v>43193</v>
      </c>
      <c r="G384" s="1368">
        <f>E384+F384</f>
        <v>43343</v>
      </c>
      <c r="H384" s="506" t="s">
        <v>515</v>
      </c>
      <c r="I384" s="506" t="s">
        <v>516</v>
      </c>
      <c r="J384" s="482" t="s">
        <v>517</v>
      </c>
      <c r="K384" s="1369" t="s">
        <v>518</v>
      </c>
      <c r="L384" s="1244">
        <v>23173</v>
      </c>
      <c r="M384" s="506"/>
      <c r="N384" s="506" t="s">
        <v>366</v>
      </c>
      <c r="O384" s="517">
        <v>0.12</v>
      </c>
      <c r="P384" s="486">
        <v>52301.824000000001</v>
      </c>
      <c r="Q384" s="517">
        <f>O384*P384</f>
        <v>6276.2188799999994</v>
      </c>
      <c r="R384" s="486"/>
      <c r="S384" s="487"/>
      <c r="T384" s="488"/>
      <c r="U384" s="487">
        <f>Q384</f>
        <v>6276.2188799999994</v>
      </c>
      <c r="V384" s="487"/>
      <c r="W384" s="487"/>
      <c r="X384" s="1138"/>
      <c r="Y384" s="1156"/>
      <c r="Z384" s="1124"/>
      <c r="AA384" s="1124"/>
      <c r="AB384" s="1124"/>
      <c r="AC384" s="1124"/>
      <c r="AD384" s="1124"/>
      <c r="AE384" s="1124"/>
      <c r="AF384" s="1124"/>
      <c r="AG384" s="1156"/>
    </row>
    <row r="385" spans="1:33" ht="31.5">
      <c r="A385" s="1442">
        <v>2312</v>
      </c>
      <c r="B385" s="980" t="s">
        <v>519</v>
      </c>
      <c r="C385" s="1084" t="s">
        <v>520</v>
      </c>
      <c r="D385" s="506" t="s">
        <v>514</v>
      </c>
      <c r="E385" s="506">
        <v>150</v>
      </c>
      <c r="F385" s="1368">
        <v>43193</v>
      </c>
      <c r="G385" s="1368">
        <f>E385+F385</f>
        <v>43343</v>
      </c>
      <c r="H385" s="506" t="s">
        <v>515</v>
      </c>
      <c r="I385" s="506" t="s">
        <v>516</v>
      </c>
      <c r="J385" s="482" t="s">
        <v>517</v>
      </c>
      <c r="K385" s="1369" t="s">
        <v>521</v>
      </c>
      <c r="L385" s="1244">
        <v>23173</v>
      </c>
      <c r="M385" s="1370"/>
      <c r="N385" s="506" t="s">
        <v>366</v>
      </c>
      <c r="O385" s="1371">
        <v>0.11</v>
      </c>
      <c r="P385" s="1372">
        <v>355473.40800000005</v>
      </c>
      <c r="Q385" s="517">
        <f>O385*P385</f>
        <v>39102.074880000007</v>
      </c>
      <c r="R385" s="486"/>
      <c r="S385" s="487"/>
      <c r="T385" s="488"/>
      <c r="U385" s="487">
        <f>Q385</f>
        <v>39102.074880000007</v>
      </c>
      <c r="V385" s="487"/>
      <c r="W385" s="487"/>
      <c r="X385" s="1138"/>
      <c r="Y385" s="1156"/>
      <c r="Z385" s="1124"/>
      <c r="AA385" s="1124"/>
      <c r="AB385" s="1124"/>
      <c r="AC385" s="1124"/>
      <c r="AD385" s="1124"/>
      <c r="AE385" s="1124"/>
      <c r="AF385" s="1124"/>
      <c r="AG385" s="1156"/>
    </row>
    <row r="386" spans="1:33" ht="31.5">
      <c r="A386" s="1275">
        <v>232</v>
      </c>
      <c r="B386" s="981" t="s">
        <v>522</v>
      </c>
      <c r="C386" s="1507"/>
      <c r="D386" s="1280"/>
      <c r="E386" s="1277"/>
      <c r="F386" s="1277"/>
      <c r="G386" s="1277"/>
      <c r="H386" s="1280"/>
      <c r="I386" s="1277"/>
      <c r="J386" s="283"/>
      <c r="K386" s="1278"/>
      <c r="L386" s="1279"/>
      <c r="M386" s="1280"/>
      <c r="N386" s="1277"/>
      <c r="O386" s="1281"/>
      <c r="P386" s="1277"/>
      <c r="Q386" s="1282">
        <f>SUM(Q387:Q389)</f>
        <v>32475</v>
      </c>
      <c r="R386" s="287">
        <f>SUM(Q387:Q389)</f>
        <v>32475</v>
      </c>
      <c r="S386" s="1282">
        <f t="shared" ref="S386:AF386" si="98">SUM(S387:S389)</f>
        <v>0</v>
      </c>
      <c r="T386" s="1282">
        <f t="shared" si="98"/>
        <v>0</v>
      </c>
      <c r="U386" s="1282">
        <f t="shared" si="98"/>
        <v>0</v>
      </c>
      <c r="V386" s="1282">
        <f t="shared" si="98"/>
        <v>32475</v>
      </c>
      <c r="W386" s="1282">
        <f t="shared" si="98"/>
        <v>0</v>
      </c>
      <c r="X386" s="1282">
        <f t="shared" si="98"/>
        <v>0</v>
      </c>
      <c r="Y386" s="1282">
        <f t="shared" si="98"/>
        <v>0</v>
      </c>
      <c r="Z386" s="546">
        <f t="shared" si="98"/>
        <v>0</v>
      </c>
      <c r="AA386" s="546">
        <f t="shared" si="98"/>
        <v>0</v>
      </c>
      <c r="AB386" s="546">
        <f t="shared" si="98"/>
        <v>0</v>
      </c>
      <c r="AC386" s="546">
        <f t="shared" si="98"/>
        <v>0</v>
      </c>
      <c r="AD386" s="546">
        <f t="shared" si="98"/>
        <v>0</v>
      </c>
      <c r="AE386" s="546">
        <f t="shared" si="98"/>
        <v>0</v>
      </c>
      <c r="AF386" s="546">
        <f t="shared" si="98"/>
        <v>0</v>
      </c>
      <c r="AG386" s="807">
        <f>SUM(S386:AF386)</f>
        <v>32475</v>
      </c>
    </row>
    <row r="387" spans="1:33" ht="69" customHeight="1">
      <c r="A387" s="1442">
        <v>2321</v>
      </c>
      <c r="B387" s="980" t="s">
        <v>523</v>
      </c>
      <c r="C387" s="1084" t="s">
        <v>524</v>
      </c>
      <c r="D387" s="506" t="s">
        <v>514</v>
      </c>
      <c r="E387" s="506">
        <v>56</v>
      </c>
      <c r="F387" s="1368">
        <v>43210</v>
      </c>
      <c r="G387" s="1368">
        <f>E387+F387</f>
        <v>43266</v>
      </c>
      <c r="H387" s="506" t="s">
        <v>525</v>
      </c>
      <c r="I387" s="506" t="s">
        <v>526</v>
      </c>
      <c r="J387" s="482" t="s">
        <v>526</v>
      </c>
      <c r="K387" s="1373" t="s">
        <v>527</v>
      </c>
      <c r="L387" s="1244">
        <v>23174</v>
      </c>
      <c r="M387" s="1370"/>
      <c r="N387" s="506" t="s">
        <v>366</v>
      </c>
      <c r="O387" s="1371">
        <v>2104</v>
      </c>
      <c r="P387" s="506">
        <v>12</v>
      </c>
      <c r="Q387" s="517">
        <f>O387*P387</f>
        <v>25248</v>
      </c>
      <c r="R387" s="486"/>
      <c r="S387" s="487"/>
      <c r="T387" s="487"/>
      <c r="U387" s="487"/>
      <c r="V387" s="488">
        <f>Q387</f>
        <v>25248</v>
      </c>
      <c r="W387" s="487"/>
      <c r="X387" s="1138"/>
      <c r="Y387" s="1156"/>
      <c r="Z387" s="1124"/>
      <c r="AA387" s="1124"/>
      <c r="AB387" s="1124"/>
      <c r="AC387" s="1124"/>
      <c r="AD387" s="1124"/>
      <c r="AE387" s="1124"/>
      <c r="AF387" s="1124"/>
      <c r="AG387" s="1156"/>
    </row>
    <row r="388" spans="1:33" ht="47.25">
      <c r="A388" s="1442">
        <v>2322</v>
      </c>
      <c r="B388" s="980" t="s">
        <v>523</v>
      </c>
      <c r="C388" s="1084" t="s">
        <v>528</v>
      </c>
      <c r="D388" s="506" t="s">
        <v>514</v>
      </c>
      <c r="E388" s="506">
        <v>56</v>
      </c>
      <c r="F388" s="1368">
        <v>43210</v>
      </c>
      <c r="G388" s="1368">
        <f>E388+F388</f>
        <v>43266</v>
      </c>
      <c r="H388" s="506" t="s">
        <v>529</v>
      </c>
      <c r="I388" s="506" t="s">
        <v>526</v>
      </c>
      <c r="J388" s="482" t="s">
        <v>295</v>
      </c>
      <c r="K388" s="1373" t="s">
        <v>530</v>
      </c>
      <c r="L388" s="1244">
        <v>23174</v>
      </c>
      <c r="M388" s="1370"/>
      <c r="N388" s="506" t="s">
        <v>366</v>
      </c>
      <c r="O388" s="1371">
        <v>6440</v>
      </c>
      <c r="P388" s="506">
        <v>1</v>
      </c>
      <c r="Q388" s="517">
        <f>O388*P388</f>
        <v>6440</v>
      </c>
      <c r="R388" s="486"/>
      <c r="S388" s="487"/>
      <c r="T388" s="487"/>
      <c r="U388" s="487"/>
      <c r="V388" s="488">
        <f>Q388</f>
        <v>6440</v>
      </c>
      <c r="W388" s="487"/>
      <c r="X388" s="1138"/>
      <c r="Y388" s="1156"/>
      <c r="Z388" s="1124"/>
      <c r="AA388" s="1124"/>
      <c r="AB388" s="1124"/>
      <c r="AC388" s="1124"/>
      <c r="AD388" s="1124"/>
      <c r="AE388" s="1124"/>
      <c r="AF388" s="1124"/>
      <c r="AG388" s="1156"/>
    </row>
    <row r="389" spans="1:33" ht="47.25">
      <c r="A389" s="1442">
        <v>2322</v>
      </c>
      <c r="B389" s="980" t="s">
        <v>523</v>
      </c>
      <c r="C389" s="1084" t="s">
        <v>531</v>
      </c>
      <c r="D389" s="506" t="s">
        <v>514</v>
      </c>
      <c r="E389" s="506">
        <v>56</v>
      </c>
      <c r="F389" s="1368">
        <v>43210</v>
      </c>
      <c r="G389" s="1368">
        <f>E389+F389</f>
        <v>43266</v>
      </c>
      <c r="H389" s="506" t="s">
        <v>529</v>
      </c>
      <c r="I389" s="506" t="s">
        <v>526</v>
      </c>
      <c r="J389" s="482" t="s">
        <v>532</v>
      </c>
      <c r="K389" s="1373" t="s">
        <v>533</v>
      </c>
      <c r="L389" s="1244">
        <v>23172</v>
      </c>
      <c r="M389" s="1370"/>
      <c r="N389" s="506" t="s">
        <v>366</v>
      </c>
      <c r="O389" s="1371">
        <v>787</v>
      </c>
      <c r="P389" s="506">
        <v>1</v>
      </c>
      <c r="Q389" s="517">
        <f>O389*P389</f>
        <v>787</v>
      </c>
      <c r="R389" s="486"/>
      <c r="S389" s="487"/>
      <c r="T389" s="487"/>
      <c r="U389" s="487"/>
      <c r="V389" s="488">
        <f>Q389</f>
        <v>787</v>
      </c>
      <c r="W389" s="487"/>
      <c r="X389" s="1138"/>
      <c r="Y389" s="1156"/>
      <c r="Z389" s="1124"/>
      <c r="AA389" s="1124"/>
      <c r="AB389" s="1124"/>
      <c r="AC389" s="1124"/>
      <c r="AD389" s="1124"/>
      <c r="AE389" s="1124"/>
      <c r="AF389" s="1124"/>
      <c r="AG389" s="1156"/>
    </row>
    <row r="390" spans="1:33" ht="16.5" customHeight="1">
      <c r="A390" s="1275">
        <v>233</v>
      </c>
      <c r="B390" s="981" t="s">
        <v>534</v>
      </c>
      <c r="C390" s="1507"/>
      <c r="D390" s="1277"/>
      <c r="E390" s="1277"/>
      <c r="F390" s="1277"/>
      <c r="G390" s="1277"/>
      <c r="H390" s="1280"/>
      <c r="I390" s="1277"/>
      <c r="J390" s="283"/>
      <c r="K390" s="1278"/>
      <c r="L390" s="1279"/>
      <c r="M390" s="1280"/>
      <c r="N390" s="1277"/>
      <c r="O390" s="1281"/>
      <c r="P390" s="1277"/>
      <c r="Q390" s="1282">
        <f>SUM(Q391:Q392)</f>
        <v>3957.8</v>
      </c>
      <c r="R390" s="287">
        <f>Q392+Q391</f>
        <v>3957.8</v>
      </c>
      <c r="S390" s="1282">
        <f t="shared" ref="S390:AF390" si="99">SUM(S391:S392)</f>
        <v>0</v>
      </c>
      <c r="T390" s="1282">
        <f t="shared" si="99"/>
        <v>0</v>
      </c>
      <c r="U390" s="1282">
        <f t="shared" si="99"/>
        <v>3957.8</v>
      </c>
      <c r="V390" s="1282">
        <f t="shared" si="99"/>
        <v>0</v>
      </c>
      <c r="W390" s="1282">
        <f t="shared" si="99"/>
        <v>0</v>
      </c>
      <c r="X390" s="1282">
        <f t="shared" si="99"/>
        <v>0</v>
      </c>
      <c r="Y390" s="1282">
        <f t="shared" si="99"/>
        <v>0</v>
      </c>
      <c r="Z390" s="546">
        <f t="shared" si="99"/>
        <v>0</v>
      </c>
      <c r="AA390" s="546">
        <f t="shared" si="99"/>
        <v>0</v>
      </c>
      <c r="AB390" s="546">
        <f t="shared" si="99"/>
        <v>0</v>
      </c>
      <c r="AC390" s="546">
        <f t="shared" si="99"/>
        <v>0</v>
      </c>
      <c r="AD390" s="546">
        <f t="shared" si="99"/>
        <v>0</v>
      </c>
      <c r="AE390" s="546">
        <f t="shared" si="99"/>
        <v>0</v>
      </c>
      <c r="AF390" s="546">
        <f t="shared" si="99"/>
        <v>0</v>
      </c>
      <c r="AG390" s="807">
        <f>SUM(S390:AF390)</f>
        <v>3957.8</v>
      </c>
    </row>
    <row r="391" spans="1:33">
      <c r="A391" s="1442">
        <v>2331</v>
      </c>
      <c r="B391" s="980" t="s">
        <v>535</v>
      </c>
      <c r="C391" s="1084" t="s">
        <v>536</v>
      </c>
      <c r="D391" s="506" t="s">
        <v>514</v>
      </c>
      <c r="E391" s="506">
        <v>6</v>
      </c>
      <c r="F391" s="1374">
        <v>43233</v>
      </c>
      <c r="G391" s="1368">
        <f>E391+F391</f>
        <v>43239</v>
      </c>
      <c r="H391" s="506" t="s">
        <v>525</v>
      </c>
      <c r="I391" s="1375" t="s">
        <v>526</v>
      </c>
      <c r="J391" s="502" t="s">
        <v>537</v>
      </c>
      <c r="K391" s="1373" t="s">
        <v>527</v>
      </c>
      <c r="L391" s="1244">
        <v>23174</v>
      </c>
      <c r="M391" s="1376"/>
      <c r="N391" s="506" t="s">
        <v>366</v>
      </c>
      <c r="O391" s="1371">
        <v>3477.8</v>
      </c>
      <c r="P391" s="506">
        <v>1</v>
      </c>
      <c r="Q391" s="517">
        <f>O391*P391</f>
        <v>3477.8</v>
      </c>
      <c r="R391" s="486"/>
      <c r="S391" s="487"/>
      <c r="T391" s="487"/>
      <c r="U391" s="488">
        <f>Q391</f>
        <v>3477.8</v>
      </c>
      <c r="V391" s="487"/>
      <c r="W391" s="487"/>
      <c r="X391" s="1138"/>
      <c r="Y391" s="1156"/>
      <c r="Z391" s="1156"/>
      <c r="AA391" s="1156"/>
      <c r="AB391" s="1156"/>
      <c r="AC391" s="1156"/>
      <c r="AD391" s="1156"/>
      <c r="AE391" s="1156"/>
      <c r="AF391" s="1156"/>
      <c r="AG391" s="1156"/>
    </row>
    <row r="392" spans="1:33">
      <c r="A392" s="1442">
        <v>2332</v>
      </c>
      <c r="B392" s="980" t="s">
        <v>535</v>
      </c>
      <c r="C392" s="1084" t="s">
        <v>536</v>
      </c>
      <c r="D392" s="506" t="s">
        <v>514</v>
      </c>
      <c r="E392" s="506">
        <v>4</v>
      </c>
      <c r="F392" s="1374">
        <v>43234</v>
      </c>
      <c r="G392" s="1368">
        <f>E392+F392</f>
        <v>43238</v>
      </c>
      <c r="H392" s="506" t="s">
        <v>525</v>
      </c>
      <c r="I392" s="1375" t="s">
        <v>526</v>
      </c>
      <c r="J392" s="502" t="s">
        <v>537</v>
      </c>
      <c r="K392" s="1373" t="s">
        <v>538</v>
      </c>
      <c r="L392" s="1244">
        <v>23172</v>
      </c>
      <c r="M392" s="1370"/>
      <c r="N392" s="506" t="s">
        <v>366</v>
      </c>
      <c r="O392" s="1371">
        <v>480</v>
      </c>
      <c r="P392" s="506">
        <v>1</v>
      </c>
      <c r="Q392" s="517">
        <f>O392*P392</f>
        <v>480</v>
      </c>
      <c r="R392" s="486"/>
      <c r="S392" s="487"/>
      <c r="T392" s="487"/>
      <c r="U392" s="488">
        <f>Q392</f>
        <v>480</v>
      </c>
      <c r="V392" s="487"/>
      <c r="W392" s="487"/>
      <c r="X392" s="1138"/>
      <c r="Y392" s="1156"/>
      <c r="Z392" s="1156"/>
      <c r="AA392" s="1156"/>
      <c r="AB392" s="1156"/>
      <c r="AC392" s="1156"/>
      <c r="AD392" s="1156"/>
      <c r="AE392" s="1156"/>
      <c r="AF392" s="1156"/>
      <c r="AG392" s="1156"/>
    </row>
    <row r="393" spans="1:33" ht="35.25" customHeight="1">
      <c r="A393" s="1275">
        <v>234</v>
      </c>
      <c r="B393" s="981" t="s">
        <v>539</v>
      </c>
      <c r="C393" s="1507"/>
      <c r="D393" s="1280"/>
      <c r="E393" s="1277"/>
      <c r="F393" s="1277"/>
      <c r="G393" s="1277"/>
      <c r="H393" s="1280"/>
      <c r="I393" s="1277"/>
      <c r="J393" s="283"/>
      <c r="K393" s="1278"/>
      <c r="L393" s="1279"/>
      <c r="M393" s="1280"/>
      <c r="N393" s="1277"/>
      <c r="O393" s="1281"/>
      <c r="P393" s="1277"/>
      <c r="Q393" s="1282">
        <f>SUM(Q394)</f>
        <v>6277</v>
      </c>
      <c r="R393" s="287">
        <f>SUM(Q394:Q394)</f>
        <v>6277</v>
      </c>
      <c r="S393" s="1282">
        <f t="shared" ref="S393:AF393" si="100">SUM(S394)</f>
        <v>0</v>
      </c>
      <c r="T393" s="1282">
        <f t="shared" si="100"/>
        <v>0</v>
      </c>
      <c r="U393" s="1282">
        <f t="shared" si="100"/>
        <v>6277</v>
      </c>
      <c r="V393" s="1282">
        <f t="shared" si="100"/>
        <v>0</v>
      </c>
      <c r="W393" s="1282">
        <f t="shared" si="100"/>
        <v>0</v>
      </c>
      <c r="X393" s="1282">
        <f t="shared" si="100"/>
        <v>0</v>
      </c>
      <c r="Y393" s="1282">
        <f t="shared" si="100"/>
        <v>0</v>
      </c>
      <c r="Z393" s="546">
        <f t="shared" si="100"/>
        <v>0</v>
      </c>
      <c r="AA393" s="546">
        <f t="shared" si="100"/>
        <v>0</v>
      </c>
      <c r="AB393" s="546">
        <f t="shared" si="100"/>
        <v>0</v>
      </c>
      <c r="AC393" s="546">
        <f t="shared" si="100"/>
        <v>0</v>
      </c>
      <c r="AD393" s="546">
        <f t="shared" si="100"/>
        <v>0</v>
      </c>
      <c r="AE393" s="546">
        <f t="shared" si="100"/>
        <v>0</v>
      </c>
      <c r="AF393" s="546">
        <f t="shared" si="100"/>
        <v>0</v>
      </c>
      <c r="AG393" s="807">
        <f>SUM(S393:AF393)</f>
        <v>6277</v>
      </c>
    </row>
    <row r="394" spans="1:33" ht="47.25">
      <c r="A394" s="1530">
        <v>2341</v>
      </c>
      <c r="B394" s="982" t="s">
        <v>540</v>
      </c>
      <c r="C394" s="1085" t="s">
        <v>541</v>
      </c>
      <c r="D394" s="1377" t="s">
        <v>542</v>
      </c>
      <c r="E394" s="1375">
        <v>135</v>
      </c>
      <c r="F394" s="1374">
        <v>43193</v>
      </c>
      <c r="G394" s="1374">
        <f>E394+F394</f>
        <v>43328</v>
      </c>
      <c r="H394" s="1375" t="s">
        <v>525</v>
      </c>
      <c r="I394" s="1375" t="s">
        <v>169</v>
      </c>
      <c r="J394" s="482" t="s">
        <v>526</v>
      </c>
      <c r="K394" s="1373" t="s">
        <v>543</v>
      </c>
      <c r="L394" s="1244">
        <v>2463</v>
      </c>
      <c r="M394" s="1370"/>
      <c r="N394" s="506" t="s">
        <v>366</v>
      </c>
      <c r="O394" s="1371">
        <v>6277</v>
      </c>
      <c r="P394" s="507">
        <v>1</v>
      </c>
      <c r="Q394" s="517">
        <f>O394*P394</f>
        <v>6277</v>
      </c>
      <c r="R394" s="486"/>
      <c r="S394" s="487"/>
      <c r="T394" s="488"/>
      <c r="U394" s="487">
        <f>Q394</f>
        <v>6277</v>
      </c>
      <c r="V394" s="487"/>
      <c r="W394" s="487"/>
      <c r="X394" s="1138"/>
      <c r="Y394" s="1156"/>
      <c r="Z394" s="1156"/>
      <c r="AA394" s="1156"/>
      <c r="AB394" s="1156"/>
      <c r="AC394" s="1156"/>
      <c r="AD394" s="1156"/>
      <c r="AE394" s="1156"/>
      <c r="AF394" s="1156"/>
      <c r="AG394" s="1156"/>
    </row>
    <row r="395" spans="1:33">
      <c r="A395" s="1275">
        <v>235</v>
      </c>
      <c r="B395" s="981" t="s">
        <v>544</v>
      </c>
      <c r="C395" s="1508"/>
      <c r="D395" s="822"/>
      <c r="E395" s="1275"/>
      <c r="F395" s="511"/>
      <c r="G395" s="511"/>
      <c r="H395" s="511"/>
      <c r="I395" s="512"/>
      <c r="J395" s="1490"/>
      <c r="K395" s="1001"/>
      <c r="L395" s="1243"/>
      <c r="M395" s="1001"/>
      <c r="N395" s="512"/>
      <c r="O395" s="1002"/>
      <c r="P395" s="512"/>
      <c r="Q395" s="1109">
        <f>SUM(Q396)</f>
        <v>340</v>
      </c>
      <c r="R395" s="287">
        <f>SUM(Q396:Q396)</f>
        <v>340</v>
      </c>
      <c r="S395" s="1109">
        <f t="shared" ref="S395:AF395" si="101">SUM(S396)</f>
        <v>0</v>
      </c>
      <c r="T395" s="1109">
        <f t="shared" si="101"/>
        <v>0</v>
      </c>
      <c r="U395" s="1109">
        <f t="shared" si="101"/>
        <v>0</v>
      </c>
      <c r="V395" s="1109">
        <f t="shared" si="101"/>
        <v>340</v>
      </c>
      <c r="W395" s="1109">
        <f t="shared" si="101"/>
        <v>0</v>
      </c>
      <c r="X395" s="1109">
        <f t="shared" si="101"/>
        <v>0</v>
      </c>
      <c r="Y395" s="1109">
        <f t="shared" si="101"/>
        <v>0</v>
      </c>
      <c r="Z395" s="1109">
        <f t="shared" si="101"/>
        <v>0</v>
      </c>
      <c r="AA395" s="1109">
        <f t="shared" si="101"/>
        <v>0</v>
      </c>
      <c r="AB395" s="1109">
        <f t="shared" si="101"/>
        <v>0</v>
      </c>
      <c r="AC395" s="1109">
        <f t="shared" si="101"/>
        <v>0</v>
      </c>
      <c r="AD395" s="1109">
        <f t="shared" si="101"/>
        <v>0</v>
      </c>
      <c r="AE395" s="1109">
        <f t="shared" si="101"/>
        <v>0</v>
      </c>
      <c r="AF395" s="1109">
        <f t="shared" si="101"/>
        <v>0</v>
      </c>
      <c r="AG395" s="807">
        <f>SUM(S395:AF395)</f>
        <v>340</v>
      </c>
    </row>
    <row r="396" spans="1:33" ht="31.5">
      <c r="A396" s="1442">
        <v>2351</v>
      </c>
      <c r="B396" s="982" t="s">
        <v>545</v>
      </c>
      <c r="C396" s="1085" t="s">
        <v>546</v>
      </c>
      <c r="D396" s="506" t="s">
        <v>514</v>
      </c>
      <c r="E396" s="506">
        <v>70</v>
      </c>
      <c r="F396" s="1374">
        <v>43248</v>
      </c>
      <c r="G396" s="1374">
        <f>E396+F396</f>
        <v>43318</v>
      </c>
      <c r="H396" s="506" t="s">
        <v>529</v>
      </c>
      <c r="I396" s="1375" t="s">
        <v>169</v>
      </c>
      <c r="J396" s="482" t="s">
        <v>526</v>
      </c>
      <c r="K396" s="1369" t="s">
        <v>547</v>
      </c>
      <c r="L396" s="1244">
        <v>2464</v>
      </c>
      <c r="M396" s="326"/>
      <c r="N396" s="506" t="s">
        <v>366</v>
      </c>
      <c r="O396" s="517">
        <v>340</v>
      </c>
      <c r="P396" s="506">
        <v>1</v>
      </c>
      <c r="Q396" s="517">
        <f>O396*P396</f>
        <v>340</v>
      </c>
      <c r="R396" s="518"/>
      <c r="S396" s="487"/>
      <c r="T396" s="487"/>
      <c r="U396" s="488"/>
      <c r="V396" s="487">
        <f>Q396</f>
        <v>340</v>
      </c>
      <c r="W396" s="487"/>
      <c r="X396" s="1138"/>
      <c r="Y396" s="1156"/>
      <c r="Z396" s="1156"/>
      <c r="AA396" s="1156"/>
      <c r="AB396" s="1156"/>
      <c r="AC396" s="1156"/>
      <c r="AD396" s="1156"/>
      <c r="AE396" s="1156"/>
      <c r="AF396" s="1156"/>
      <c r="AG396" s="1156"/>
    </row>
    <row r="397" spans="1:33" s="992" customFormat="1" ht="33.75" customHeight="1">
      <c r="A397" s="1247" t="s">
        <v>241</v>
      </c>
      <c r="B397" s="266"/>
      <c r="C397" s="1022"/>
      <c r="D397" s="1263"/>
      <c r="E397" s="1263"/>
      <c r="F397" s="1263"/>
      <c r="G397" s="1263"/>
      <c r="H397" s="1263"/>
      <c r="I397" s="1263"/>
      <c r="J397" s="265"/>
      <c r="K397" s="1247"/>
      <c r="L397" s="1262"/>
      <c r="M397" s="1263"/>
      <c r="N397" s="1261"/>
      <c r="O397" s="1264"/>
      <c r="P397" s="1261"/>
      <c r="Q397" s="1265">
        <f>Q398+Q434</f>
        <v>129720.38</v>
      </c>
      <c r="R397" s="1266">
        <f>+R398+R407</f>
        <v>29240.073333333334</v>
      </c>
      <c r="S397" s="1265">
        <f t="shared" ref="S397:AF397" si="102">S398+S434</f>
        <v>0</v>
      </c>
      <c r="T397" s="1265">
        <f t="shared" si="102"/>
        <v>0</v>
      </c>
      <c r="U397" s="1265">
        <f t="shared" si="102"/>
        <v>6219</v>
      </c>
      <c r="V397" s="1265">
        <f t="shared" si="102"/>
        <v>14362.666666666668</v>
      </c>
      <c r="W397" s="1265">
        <f t="shared" si="102"/>
        <v>55069.296666666662</v>
      </c>
      <c r="X397" s="1265">
        <f t="shared" si="102"/>
        <v>29425.336666666662</v>
      </c>
      <c r="Y397" s="1265">
        <f t="shared" si="102"/>
        <v>8644.4133333333339</v>
      </c>
      <c r="Z397" s="268">
        <f t="shared" si="102"/>
        <v>16000</v>
      </c>
      <c r="AA397" s="268">
        <f t="shared" si="102"/>
        <v>0</v>
      </c>
      <c r="AB397" s="268">
        <f t="shared" si="102"/>
        <v>0</v>
      </c>
      <c r="AC397" s="268">
        <f t="shared" si="102"/>
        <v>0</v>
      </c>
      <c r="AD397" s="268">
        <f t="shared" si="102"/>
        <v>0</v>
      </c>
      <c r="AE397" s="268">
        <f t="shared" si="102"/>
        <v>0</v>
      </c>
      <c r="AF397" s="268">
        <f t="shared" si="102"/>
        <v>0</v>
      </c>
      <c r="AG397" s="268">
        <f>AG398+AG434</f>
        <v>129720.71333333332</v>
      </c>
    </row>
    <row r="398" spans="1:33" ht="15.75" customHeight="1">
      <c r="A398" s="1248" t="s">
        <v>242</v>
      </c>
      <c r="B398" s="274"/>
      <c r="C398" s="278"/>
      <c r="D398" s="1270"/>
      <c r="E398" s="1270"/>
      <c r="F398" s="1270"/>
      <c r="G398" s="1270"/>
      <c r="H398" s="1270"/>
      <c r="I398" s="1270"/>
      <c r="J398" s="273"/>
      <c r="K398" s="1248"/>
      <c r="L398" s="1269"/>
      <c r="M398" s="1270"/>
      <c r="N398" s="1268"/>
      <c r="O398" s="1271"/>
      <c r="P398" s="1268"/>
      <c r="Q398" s="1272">
        <f>+Q399</f>
        <v>29720.666666666668</v>
      </c>
      <c r="R398" s="1273">
        <f>+'[3]Compil Costing PPA 3 millions'!F11</f>
        <v>29240.073333333334</v>
      </c>
      <c r="S398" s="1272">
        <f t="shared" ref="S398:AF398" si="103">+S399</f>
        <v>0</v>
      </c>
      <c r="T398" s="1272">
        <f t="shared" si="103"/>
        <v>0</v>
      </c>
      <c r="U398" s="1272">
        <f t="shared" si="103"/>
        <v>6219</v>
      </c>
      <c r="V398" s="1272">
        <f t="shared" si="103"/>
        <v>7696.0000000000009</v>
      </c>
      <c r="W398" s="1272">
        <f t="shared" si="103"/>
        <v>5028.0000000000009</v>
      </c>
      <c r="X398" s="1272">
        <f t="shared" si="103"/>
        <v>10777.666666666666</v>
      </c>
      <c r="Y398" s="1272">
        <f t="shared" si="103"/>
        <v>0</v>
      </c>
      <c r="Z398" s="276">
        <f t="shared" si="103"/>
        <v>0</v>
      </c>
      <c r="AA398" s="276">
        <f t="shared" si="103"/>
        <v>0</v>
      </c>
      <c r="AB398" s="276">
        <f t="shared" si="103"/>
        <v>0</v>
      </c>
      <c r="AC398" s="276">
        <f t="shared" si="103"/>
        <v>0</v>
      </c>
      <c r="AD398" s="276">
        <f t="shared" si="103"/>
        <v>0</v>
      </c>
      <c r="AE398" s="276">
        <f t="shared" si="103"/>
        <v>0</v>
      </c>
      <c r="AF398" s="276">
        <f t="shared" si="103"/>
        <v>0</v>
      </c>
      <c r="AG398" s="276">
        <f>+AG399</f>
        <v>29720.666666666664</v>
      </c>
    </row>
    <row r="399" spans="1:33" s="1005" customFormat="1" ht="31.5">
      <c r="A399" s="1378">
        <v>311</v>
      </c>
      <c r="B399" s="1003" t="s">
        <v>243</v>
      </c>
      <c r="C399" s="1509"/>
      <c r="D399" s="1379"/>
      <c r="E399" s="1380"/>
      <c r="F399" s="1380"/>
      <c r="G399" s="1380"/>
      <c r="H399" s="1379"/>
      <c r="I399" s="1380"/>
      <c r="J399" s="165"/>
      <c r="K399" s="1381"/>
      <c r="L399" s="1382"/>
      <c r="M399" s="1379"/>
      <c r="N399" s="1380"/>
      <c r="O399" s="1383"/>
      <c r="P399" s="1380"/>
      <c r="Q399" s="1384">
        <f>SUM(Q400:Q433)</f>
        <v>29720.666666666668</v>
      </c>
      <c r="R399" s="169"/>
      <c r="S399" s="1384">
        <f t="shared" ref="S399:AF399" si="104">SUM(S400:S433)</f>
        <v>0</v>
      </c>
      <c r="T399" s="1384">
        <f t="shared" si="104"/>
        <v>0</v>
      </c>
      <c r="U399" s="1384">
        <f t="shared" si="104"/>
        <v>6219</v>
      </c>
      <c r="V399" s="1384">
        <f t="shared" si="104"/>
        <v>7696.0000000000009</v>
      </c>
      <c r="W399" s="1384">
        <f t="shared" si="104"/>
        <v>5028.0000000000009</v>
      </c>
      <c r="X399" s="1384">
        <f t="shared" si="104"/>
        <v>10777.666666666666</v>
      </c>
      <c r="Y399" s="1384">
        <f t="shared" si="104"/>
        <v>0</v>
      </c>
      <c r="Z399" s="1004">
        <f t="shared" si="104"/>
        <v>0</v>
      </c>
      <c r="AA399" s="1004">
        <f t="shared" si="104"/>
        <v>0</v>
      </c>
      <c r="AB399" s="1004">
        <f t="shared" si="104"/>
        <v>0</v>
      </c>
      <c r="AC399" s="1004">
        <f t="shared" si="104"/>
        <v>0</v>
      </c>
      <c r="AD399" s="1004">
        <f t="shared" si="104"/>
        <v>0</v>
      </c>
      <c r="AE399" s="1004">
        <f t="shared" si="104"/>
        <v>0</v>
      </c>
      <c r="AF399" s="1004">
        <f t="shared" si="104"/>
        <v>0</v>
      </c>
      <c r="AG399" s="807">
        <f>SUM(S399:AF399)</f>
        <v>29720.666666666664</v>
      </c>
    </row>
    <row r="400" spans="1:33" s="1005" customFormat="1" ht="57" customHeight="1">
      <c r="A400" s="1518">
        <v>3111</v>
      </c>
      <c r="B400" s="983" t="s">
        <v>244</v>
      </c>
      <c r="C400" s="1086" t="s">
        <v>245</v>
      </c>
      <c r="D400" s="1385" t="s">
        <v>246</v>
      </c>
      <c r="E400" s="1386">
        <f>70+55</f>
        <v>125</v>
      </c>
      <c r="F400" s="174">
        <v>43193</v>
      </c>
      <c r="G400" s="174">
        <f>+F400+E400</f>
        <v>43318</v>
      </c>
      <c r="H400" s="175" t="s">
        <v>247</v>
      </c>
      <c r="I400" s="175" t="s">
        <v>176</v>
      </c>
      <c r="J400" s="186" t="s">
        <v>169</v>
      </c>
      <c r="K400" s="187" t="s">
        <v>248</v>
      </c>
      <c r="L400" s="1245">
        <v>2313</v>
      </c>
      <c r="M400" s="187"/>
      <c r="N400" s="175">
        <v>2313</v>
      </c>
      <c r="O400" s="1116">
        <v>10643</v>
      </c>
      <c r="P400" s="189">
        <v>1</v>
      </c>
      <c r="Q400" s="1006">
        <f>O400*P400</f>
        <v>10643</v>
      </c>
      <c r="R400" s="180"/>
      <c r="S400" s="1007"/>
      <c r="T400" s="1007"/>
      <c r="U400" s="1007"/>
      <c r="V400" s="1007"/>
      <c r="W400" s="1007"/>
      <c r="X400" s="1182">
        <f>Q400</f>
        <v>10643</v>
      </c>
      <c r="Y400" s="1157"/>
      <c r="Z400" s="1197"/>
      <c r="AA400" s="1197"/>
      <c r="AB400" s="1197"/>
      <c r="AC400" s="1197"/>
      <c r="AD400" s="1197"/>
      <c r="AE400" s="1197"/>
      <c r="AF400" s="1197"/>
      <c r="AG400" s="1157"/>
    </row>
    <row r="401" spans="1:33" s="1005" customFormat="1" ht="45" customHeight="1">
      <c r="A401" s="1518">
        <v>3112</v>
      </c>
      <c r="B401" s="983" t="s">
        <v>249</v>
      </c>
      <c r="C401" s="1086" t="s">
        <v>250</v>
      </c>
      <c r="E401" s="1386">
        <v>10</v>
      </c>
      <c r="F401" s="174">
        <f>G406</f>
        <v>43238</v>
      </c>
      <c r="G401" s="174">
        <f t="shared" ref="G401:G433" si="105">F401+E401</f>
        <v>43248</v>
      </c>
      <c r="H401" s="175" t="s">
        <v>247</v>
      </c>
      <c r="I401" s="175" t="s">
        <v>176</v>
      </c>
      <c r="J401" s="186" t="s">
        <v>169</v>
      </c>
      <c r="K401" s="187" t="s">
        <v>251</v>
      </c>
      <c r="L401" s="1245">
        <v>2315</v>
      </c>
      <c r="M401" s="187"/>
      <c r="N401" s="175">
        <v>23174</v>
      </c>
      <c r="O401" s="1008"/>
      <c r="P401" s="1009"/>
      <c r="Q401" s="1010"/>
      <c r="R401" s="201"/>
      <c r="S401" s="1007"/>
      <c r="T401" s="1007"/>
      <c r="U401" s="1007">
        <f t="shared" ref="U401:U409" si="106">Q401</f>
        <v>0</v>
      </c>
      <c r="V401" s="1007"/>
      <c r="W401" s="1007"/>
      <c r="X401" s="1182"/>
      <c r="Y401" s="1157"/>
      <c r="Z401" s="1197"/>
      <c r="AA401" s="1197"/>
      <c r="AB401" s="1197"/>
      <c r="AC401" s="1197"/>
      <c r="AD401" s="1197"/>
      <c r="AE401" s="1197"/>
      <c r="AF401" s="1197"/>
      <c r="AG401" s="1157"/>
    </row>
    <row r="402" spans="1:33" s="1005" customFormat="1" ht="57" customHeight="1">
      <c r="A402" s="1531">
        <v>3112</v>
      </c>
      <c r="B402" s="984" t="s">
        <v>249</v>
      </c>
      <c r="C402" s="1087" t="s">
        <v>250</v>
      </c>
      <c r="D402" s="1385"/>
      <c r="E402" s="1386">
        <v>10</v>
      </c>
      <c r="F402" s="174">
        <v>43238</v>
      </c>
      <c r="G402" s="174">
        <f t="shared" si="105"/>
        <v>43248</v>
      </c>
      <c r="H402" s="175" t="s">
        <v>247</v>
      </c>
      <c r="I402" s="175" t="s">
        <v>169</v>
      </c>
      <c r="J402" s="186" t="s">
        <v>176</v>
      </c>
      <c r="K402" s="187" t="s">
        <v>252</v>
      </c>
      <c r="L402" s="1245">
        <v>23174</v>
      </c>
      <c r="M402" s="187"/>
      <c r="N402" s="175">
        <v>23174</v>
      </c>
      <c r="O402" s="206">
        <f>36000/3000</f>
        <v>12</v>
      </c>
      <c r="P402" s="207">
        <f>15*7</f>
        <v>105</v>
      </c>
      <c r="Q402" s="206">
        <f t="shared" ref="Q402:Q409" si="107">O402*P402</f>
        <v>1260</v>
      </c>
      <c r="R402" s="180"/>
      <c r="S402" s="1007"/>
      <c r="T402" s="1007"/>
      <c r="U402" s="1007">
        <f t="shared" si="106"/>
        <v>1260</v>
      </c>
      <c r="V402" s="1007"/>
      <c r="W402" s="1007"/>
      <c r="X402" s="1182"/>
      <c r="Y402" s="1157"/>
      <c r="Z402" s="1197"/>
      <c r="AA402" s="1197"/>
      <c r="AB402" s="1197"/>
      <c r="AC402" s="1197"/>
      <c r="AD402" s="1197"/>
      <c r="AE402" s="1197"/>
      <c r="AF402" s="1197"/>
      <c r="AG402" s="1157"/>
    </row>
    <row r="403" spans="1:33" s="1005" customFormat="1" ht="57" customHeight="1">
      <c r="A403" s="1531">
        <v>3112</v>
      </c>
      <c r="B403" s="984" t="s">
        <v>249</v>
      </c>
      <c r="C403" s="1087" t="s">
        <v>250</v>
      </c>
      <c r="D403" s="1385"/>
      <c r="E403" s="1386">
        <v>10</v>
      </c>
      <c r="F403" s="174">
        <v>43238</v>
      </c>
      <c r="G403" s="174">
        <f t="shared" si="105"/>
        <v>43248</v>
      </c>
      <c r="H403" s="175" t="s">
        <v>247</v>
      </c>
      <c r="I403" s="175" t="s">
        <v>169</v>
      </c>
      <c r="J403" s="186" t="s">
        <v>176</v>
      </c>
      <c r="K403" s="187" t="s">
        <v>253</v>
      </c>
      <c r="L403" s="1245">
        <v>23174</v>
      </c>
      <c r="M403" s="187"/>
      <c r="N403" s="175">
        <v>23174</v>
      </c>
      <c r="O403" s="217">
        <f>40000/3000</f>
        <v>13.333333333333334</v>
      </c>
      <c r="P403" s="175">
        <f>15*7</f>
        <v>105</v>
      </c>
      <c r="Q403" s="217">
        <f t="shared" si="107"/>
        <v>1400</v>
      </c>
      <c r="R403" s="180"/>
      <c r="S403" s="1007"/>
      <c r="T403" s="1007"/>
      <c r="U403" s="1007">
        <f t="shared" si="106"/>
        <v>1400</v>
      </c>
      <c r="V403" s="1007"/>
      <c r="W403" s="1007"/>
      <c r="X403" s="1182"/>
      <c r="Y403" s="1157"/>
      <c r="Z403" s="1197"/>
      <c r="AA403" s="1197"/>
      <c r="AB403" s="1197"/>
      <c r="AC403" s="1197"/>
      <c r="AD403" s="1197"/>
      <c r="AE403" s="1197"/>
      <c r="AF403" s="1197"/>
      <c r="AG403" s="1157"/>
    </row>
    <row r="404" spans="1:33" s="1005" customFormat="1" ht="57" customHeight="1">
      <c r="A404" s="1531">
        <v>3112</v>
      </c>
      <c r="B404" s="984" t="s">
        <v>249</v>
      </c>
      <c r="C404" s="1087" t="s">
        <v>250</v>
      </c>
      <c r="D404" s="1385"/>
      <c r="E404" s="1386">
        <v>10</v>
      </c>
      <c r="F404" s="174">
        <v>43238</v>
      </c>
      <c r="G404" s="174">
        <f t="shared" si="105"/>
        <v>43248</v>
      </c>
      <c r="H404" s="175" t="s">
        <v>247</v>
      </c>
      <c r="I404" s="175" t="s">
        <v>169</v>
      </c>
      <c r="J404" s="186" t="s">
        <v>176</v>
      </c>
      <c r="K404" s="187" t="s">
        <v>254</v>
      </c>
      <c r="L404" s="1245">
        <v>23174</v>
      </c>
      <c r="M404" s="187"/>
      <c r="N404" s="175">
        <v>23174</v>
      </c>
      <c r="O404" s="1117">
        <f>30000/3000</f>
        <v>10</v>
      </c>
      <c r="P404" s="210">
        <v>15</v>
      </c>
      <c r="Q404" s="217">
        <f t="shared" si="107"/>
        <v>150</v>
      </c>
      <c r="R404" s="180"/>
      <c r="S404" s="1007"/>
      <c r="T404" s="1007"/>
      <c r="U404" s="1007">
        <f t="shared" si="106"/>
        <v>150</v>
      </c>
      <c r="V404" s="1007"/>
      <c r="W404" s="1007"/>
      <c r="X404" s="1182"/>
      <c r="Y404" s="1157"/>
      <c r="Z404" s="1197"/>
      <c r="AA404" s="1197"/>
      <c r="AB404" s="1197"/>
      <c r="AC404" s="1197"/>
      <c r="AD404" s="1197"/>
      <c r="AE404" s="1197"/>
      <c r="AF404" s="1197"/>
      <c r="AG404" s="1157"/>
    </row>
    <row r="405" spans="1:33" s="1005" customFormat="1" ht="57" customHeight="1">
      <c r="A405" s="1531">
        <v>3112</v>
      </c>
      <c r="B405" s="984" t="s">
        <v>249</v>
      </c>
      <c r="C405" s="1087" t="s">
        <v>250</v>
      </c>
      <c r="D405" s="1385"/>
      <c r="E405" s="1386">
        <v>10</v>
      </c>
      <c r="F405" s="174">
        <v>43238</v>
      </c>
      <c r="G405" s="174">
        <f t="shared" si="105"/>
        <v>43248</v>
      </c>
      <c r="H405" s="175" t="s">
        <v>247</v>
      </c>
      <c r="I405" s="175" t="s">
        <v>169</v>
      </c>
      <c r="J405" s="186" t="s">
        <v>176</v>
      </c>
      <c r="K405" s="1005" t="s">
        <v>255</v>
      </c>
      <c r="L405" s="1245">
        <v>23174</v>
      </c>
      <c r="M405" s="187"/>
      <c r="N405" s="175">
        <v>23174</v>
      </c>
      <c r="O405" s="1117">
        <f>(0.15*4000*2)/3000</f>
        <v>0.4</v>
      </c>
      <c r="P405" s="210">
        <v>170</v>
      </c>
      <c r="Q405" s="217">
        <f t="shared" si="107"/>
        <v>68</v>
      </c>
      <c r="R405" s="180"/>
      <c r="S405" s="1007"/>
      <c r="T405" s="1007"/>
      <c r="U405" s="1007">
        <f t="shared" si="106"/>
        <v>68</v>
      </c>
      <c r="V405" s="1007"/>
      <c r="W405" s="1007"/>
      <c r="X405" s="1182"/>
      <c r="Y405" s="1157"/>
      <c r="Z405" s="1197"/>
      <c r="AA405" s="1197"/>
      <c r="AB405" s="1197"/>
      <c r="AC405" s="1197"/>
      <c r="AD405" s="1197"/>
      <c r="AE405" s="1197"/>
      <c r="AF405" s="1197"/>
      <c r="AG405" s="1157"/>
    </row>
    <row r="406" spans="1:33" s="1005" customFormat="1" ht="57" customHeight="1">
      <c r="A406" s="1531">
        <v>3112</v>
      </c>
      <c r="B406" s="984" t="s">
        <v>249</v>
      </c>
      <c r="C406" s="1087" t="s">
        <v>250</v>
      </c>
      <c r="D406" s="1385"/>
      <c r="E406" s="1386">
        <v>45</v>
      </c>
      <c r="F406" s="174">
        <v>43193</v>
      </c>
      <c r="G406" s="174">
        <f t="shared" si="105"/>
        <v>43238</v>
      </c>
      <c r="H406" s="175" t="s">
        <v>247</v>
      </c>
      <c r="I406" s="175" t="s">
        <v>169</v>
      </c>
      <c r="J406" s="186" t="s">
        <v>176</v>
      </c>
      <c r="K406" s="1011" t="s">
        <v>256</v>
      </c>
      <c r="L406" s="1245">
        <v>23173</v>
      </c>
      <c r="M406" s="187"/>
      <c r="N406" s="175">
        <v>23173</v>
      </c>
      <c r="O406" s="1117">
        <f>765000/3000</f>
        <v>255</v>
      </c>
      <c r="P406" s="210">
        <v>1</v>
      </c>
      <c r="Q406" s="217">
        <f t="shared" si="107"/>
        <v>255</v>
      </c>
      <c r="R406" s="180"/>
      <c r="S406" s="1007"/>
      <c r="T406" s="1007"/>
      <c r="U406" s="1007">
        <f t="shared" si="106"/>
        <v>255</v>
      </c>
      <c r="V406" s="1007"/>
      <c r="W406" s="1007"/>
      <c r="X406" s="1182"/>
      <c r="Y406" s="1157"/>
      <c r="Z406" s="1197"/>
      <c r="AA406" s="1197"/>
      <c r="AB406" s="1197"/>
      <c r="AC406" s="1197"/>
      <c r="AD406" s="1197"/>
      <c r="AE406" s="1197"/>
      <c r="AF406" s="1197"/>
      <c r="AG406" s="1157"/>
    </row>
    <row r="407" spans="1:33" s="1005" customFormat="1" ht="57" customHeight="1">
      <c r="A407" s="1531">
        <v>3112</v>
      </c>
      <c r="B407" s="984" t="s">
        <v>249</v>
      </c>
      <c r="C407" s="1087" t="s">
        <v>250</v>
      </c>
      <c r="D407" s="1385"/>
      <c r="E407" s="1386">
        <v>10</v>
      </c>
      <c r="F407" s="174">
        <v>43238</v>
      </c>
      <c r="G407" s="174">
        <f t="shared" si="105"/>
        <v>43248</v>
      </c>
      <c r="H407" s="175" t="s">
        <v>247</v>
      </c>
      <c r="I407" s="175" t="s">
        <v>169</v>
      </c>
      <c r="J407" s="186" t="s">
        <v>176</v>
      </c>
      <c r="K407" s="1387" t="s">
        <v>257</v>
      </c>
      <c r="L407" s="1245">
        <v>23173</v>
      </c>
      <c r="M407" s="187"/>
      <c r="N407" s="175">
        <v>23172</v>
      </c>
      <c r="O407" s="1117">
        <f>200000/3000</f>
        <v>66.666666666666671</v>
      </c>
      <c r="P407" s="210">
        <v>5</v>
      </c>
      <c r="Q407" s="217">
        <f t="shared" si="107"/>
        <v>333.33333333333337</v>
      </c>
      <c r="R407" s="180"/>
      <c r="S407" s="1007"/>
      <c r="T407" s="1007"/>
      <c r="U407" s="1007">
        <f t="shared" si="106"/>
        <v>333.33333333333337</v>
      </c>
      <c r="V407" s="1007"/>
      <c r="W407" s="1007"/>
      <c r="X407" s="1182"/>
      <c r="Y407" s="1157"/>
      <c r="Z407" s="1197"/>
      <c r="AA407" s="1197"/>
      <c r="AB407" s="1197"/>
      <c r="AC407" s="1197"/>
      <c r="AD407" s="1197"/>
      <c r="AE407" s="1197"/>
      <c r="AF407" s="1197"/>
      <c r="AG407" s="1157"/>
    </row>
    <row r="408" spans="1:33" s="1005" customFormat="1" ht="57" customHeight="1">
      <c r="A408" s="1531">
        <v>3112</v>
      </c>
      <c r="B408" s="984" t="s">
        <v>249</v>
      </c>
      <c r="C408" s="1087" t="s">
        <v>250</v>
      </c>
      <c r="D408" s="1385"/>
      <c r="E408" s="1386">
        <v>45</v>
      </c>
      <c r="F408" s="174">
        <v>43193</v>
      </c>
      <c r="G408" s="174">
        <f t="shared" si="105"/>
        <v>43238</v>
      </c>
      <c r="H408" s="175" t="s">
        <v>247</v>
      </c>
      <c r="I408" s="175" t="s">
        <v>169</v>
      </c>
      <c r="J408" s="186" t="s">
        <v>176</v>
      </c>
      <c r="K408" s="1011" t="s">
        <v>258</v>
      </c>
      <c r="L408" s="1245">
        <v>2463</v>
      </c>
      <c r="M408" s="187"/>
      <c r="N408" s="175">
        <v>23173</v>
      </c>
      <c r="O408" s="1118">
        <f>1850000/3000</f>
        <v>616.66666666666663</v>
      </c>
      <c r="P408" s="210">
        <v>1</v>
      </c>
      <c r="Q408" s="217">
        <f t="shared" si="107"/>
        <v>616.66666666666663</v>
      </c>
      <c r="R408" s="180"/>
      <c r="S408" s="1007"/>
      <c r="T408" s="1007"/>
      <c r="U408" s="1007">
        <f t="shared" si="106"/>
        <v>616.66666666666663</v>
      </c>
      <c r="V408" s="1007"/>
      <c r="W408" s="1007"/>
      <c r="X408" s="1182"/>
      <c r="Y408" s="1157"/>
      <c r="Z408" s="1197"/>
      <c r="AA408" s="1197"/>
      <c r="AB408" s="1197"/>
      <c r="AC408" s="1197"/>
      <c r="AD408" s="1197"/>
      <c r="AE408" s="1197"/>
      <c r="AF408" s="1197"/>
      <c r="AG408" s="1157"/>
    </row>
    <row r="409" spans="1:33" s="1005" customFormat="1" ht="57" customHeight="1">
      <c r="A409" s="1531">
        <v>3112</v>
      </c>
      <c r="B409" s="984" t="s">
        <v>249</v>
      </c>
      <c r="C409" s="1087" t="s">
        <v>250</v>
      </c>
      <c r="D409" s="1385"/>
      <c r="E409" s="1386">
        <v>45</v>
      </c>
      <c r="F409" s="174">
        <v>43193</v>
      </c>
      <c r="G409" s="174">
        <f t="shared" si="105"/>
        <v>43238</v>
      </c>
      <c r="H409" s="175" t="s">
        <v>247</v>
      </c>
      <c r="I409" s="175" t="s">
        <v>169</v>
      </c>
      <c r="J409" s="186" t="s">
        <v>176</v>
      </c>
      <c r="K409" s="1011" t="s">
        <v>259</v>
      </c>
      <c r="L409" s="1245">
        <v>2463</v>
      </c>
      <c r="M409" s="187"/>
      <c r="N409" s="175">
        <v>23173</v>
      </c>
      <c r="O409" s="1118">
        <f>6000000/3000</f>
        <v>2000</v>
      </c>
      <c r="P409" s="210">
        <v>1</v>
      </c>
      <c r="Q409" s="217">
        <f t="shared" si="107"/>
        <v>2000</v>
      </c>
      <c r="R409" s="180"/>
      <c r="S409" s="1007"/>
      <c r="T409" s="1007"/>
      <c r="U409" s="1007">
        <f t="shared" si="106"/>
        <v>2000</v>
      </c>
      <c r="V409" s="1007"/>
      <c r="W409" s="1007"/>
      <c r="X409" s="1182"/>
      <c r="Y409" s="1157"/>
      <c r="Z409" s="1197"/>
      <c r="AA409" s="1197"/>
      <c r="AB409" s="1197"/>
      <c r="AC409" s="1197"/>
      <c r="AD409" s="1197"/>
      <c r="AE409" s="1197"/>
      <c r="AF409" s="1197"/>
      <c r="AG409" s="1157"/>
    </row>
    <row r="410" spans="1:33" s="1005" customFormat="1" ht="57" customHeight="1">
      <c r="A410" s="1518">
        <v>3113</v>
      </c>
      <c r="B410" s="983" t="s">
        <v>260</v>
      </c>
      <c r="C410" s="1086" t="s">
        <v>261</v>
      </c>
      <c r="D410" s="1385"/>
      <c r="E410" s="1386">
        <v>15</v>
      </c>
      <c r="F410" s="174">
        <v>43248</v>
      </c>
      <c r="G410" s="174">
        <f t="shared" si="105"/>
        <v>43263</v>
      </c>
      <c r="H410" s="175" t="s">
        <v>247</v>
      </c>
      <c r="I410" s="175" t="s">
        <v>176</v>
      </c>
      <c r="J410" s="186" t="s">
        <v>169</v>
      </c>
      <c r="K410" s="187" t="s">
        <v>262</v>
      </c>
      <c r="L410" s="1245">
        <v>23174</v>
      </c>
      <c r="M410" s="187"/>
      <c r="N410" s="175">
        <v>23174</v>
      </c>
      <c r="O410" s="217"/>
      <c r="P410" s="175"/>
      <c r="Q410" s="217"/>
      <c r="R410" s="180"/>
      <c r="S410" s="1007"/>
      <c r="T410" s="1007"/>
      <c r="U410" s="1007"/>
      <c r="V410" s="1007">
        <f>Q410</f>
        <v>0</v>
      </c>
      <c r="W410" s="1007"/>
      <c r="X410" s="1182"/>
      <c r="Y410" s="1157"/>
      <c r="Z410" s="1197"/>
      <c r="AA410" s="1197"/>
      <c r="AB410" s="1197"/>
      <c r="AC410" s="1197"/>
      <c r="AD410" s="1197"/>
      <c r="AE410" s="1197"/>
      <c r="AF410" s="1197"/>
      <c r="AG410" s="1157"/>
    </row>
    <row r="411" spans="1:33" s="1005" customFormat="1" ht="57" customHeight="1">
      <c r="A411" s="1531">
        <v>3113</v>
      </c>
      <c r="B411" s="984" t="s">
        <v>260</v>
      </c>
      <c r="C411" s="1087" t="s">
        <v>261</v>
      </c>
      <c r="D411" s="1385"/>
      <c r="E411" s="1386">
        <v>15</v>
      </c>
      <c r="F411" s="174">
        <v>43248</v>
      </c>
      <c r="G411" s="174">
        <f t="shared" si="105"/>
        <v>43263</v>
      </c>
      <c r="H411" s="175" t="s">
        <v>247</v>
      </c>
      <c r="I411" s="175" t="s">
        <v>169</v>
      </c>
      <c r="J411" s="186" t="s">
        <v>176</v>
      </c>
      <c r="K411" s="187" t="s">
        <v>252</v>
      </c>
      <c r="L411" s="1245">
        <v>23174</v>
      </c>
      <c r="M411" s="187"/>
      <c r="N411" s="175">
        <v>23174</v>
      </c>
      <c r="O411" s="217">
        <f>36000/3000</f>
        <v>12</v>
      </c>
      <c r="P411" s="175">
        <f>12*9</f>
        <v>108</v>
      </c>
      <c r="Q411" s="217">
        <f>O411*P411</f>
        <v>1296</v>
      </c>
      <c r="R411" s="180"/>
      <c r="S411" s="1007"/>
      <c r="T411" s="1007"/>
      <c r="U411" s="1007"/>
      <c r="V411" s="1007">
        <f t="shared" ref="V411:V420" si="108">Q411</f>
        <v>1296</v>
      </c>
      <c r="W411" s="1007"/>
      <c r="X411" s="1182"/>
      <c r="Y411" s="1157"/>
      <c r="Z411" s="1197"/>
      <c r="AA411" s="1197"/>
      <c r="AB411" s="1197"/>
      <c r="AC411" s="1197"/>
      <c r="AD411" s="1197"/>
      <c r="AE411" s="1197"/>
      <c r="AF411" s="1197"/>
      <c r="AG411" s="1157"/>
    </row>
    <row r="412" spans="1:33" s="1005" customFormat="1" ht="57" customHeight="1">
      <c r="A412" s="1531">
        <v>3113</v>
      </c>
      <c r="B412" s="984" t="s">
        <v>260</v>
      </c>
      <c r="C412" s="1087" t="s">
        <v>261</v>
      </c>
      <c r="D412" s="1385"/>
      <c r="E412" s="1386">
        <v>15</v>
      </c>
      <c r="F412" s="174">
        <v>43248</v>
      </c>
      <c r="G412" s="174">
        <f t="shared" si="105"/>
        <v>43263</v>
      </c>
      <c r="H412" s="175" t="s">
        <v>247</v>
      </c>
      <c r="I412" s="175" t="s">
        <v>169</v>
      </c>
      <c r="J412" s="186" t="s">
        <v>176</v>
      </c>
      <c r="K412" s="187" t="s">
        <v>253</v>
      </c>
      <c r="L412" s="1245">
        <v>23174</v>
      </c>
      <c r="M412" s="187"/>
      <c r="N412" s="175">
        <v>23174</v>
      </c>
      <c r="O412" s="217">
        <f>40000/3000</f>
        <v>13.333333333333334</v>
      </c>
      <c r="P412" s="175">
        <f>12*8</f>
        <v>96</v>
      </c>
      <c r="Q412" s="217">
        <f>O412*P412</f>
        <v>1280</v>
      </c>
      <c r="R412" s="180"/>
      <c r="S412" s="1007"/>
      <c r="T412" s="1007"/>
      <c r="U412" s="1007"/>
      <c r="V412" s="1007">
        <f t="shared" si="108"/>
        <v>1280</v>
      </c>
      <c r="W412" s="1007"/>
      <c r="X412" s="1182"/>
      <c r="Y412" s="1157"/>
      <c r="Z412" s="1197"/>
      <c r="AA412" s="1197"/>
      <c r="AB412" s="1197"/>
      <c r="AC412" s="1197"/>
      <c r="AD412" s="1197"/>
      <c r="AE412" s="1197"/>
      <c r="AF412" s="1197"/>
      <c r="AG412" s="1157"/>
    </row>
    <row r="413" spans="1:33" s="1005" customFormat="1" ht="57" customHeight="1">
      <c r="A413" s="1531">
        <v>3113</v>
      </c>
      <c r="B413" s="984" t="s">
        <v>260</v>
      </c>
      <c r="C413" s="1087" t="s">
        <v>261</v>
      </c>
      <c r="D413" s="1385"/>
      <c r="E413" s="1386">
        <v>15</v>
      </c>
      <c r="F413" s="174">
        <v>43248</v>
      </c>
      <c r="G413" s="174">
        <f t="shared" si="105"/>
        <v>43263</v>
      </c>
      <c r="H413" s="175" t="s">
        <v>247</v>
      </c>
      <c r="I413" s="175" t="s">
        <v>169</v>
      </c>
      <c r="J413" s="186" t="s">
        <v>176</v>
      </c>
      <c r="K413" s="187" t="s">
        <v>263</v>
      </c>
      <c r="L413" s="1245">
        <v>23174</v>
      </c>
      <c r="M413" s="187"/>
      <c r="N413" s="175">
        <v>23174</v>
      </c>
      <c r="O413" s="1117">
        <f>175000/3000</f>
        <v>58.333333333333336</v>
      </c>
      <c r="P413" s="210">
        <v>4</v>
      </c>
      <c r="Q413" s="217">
        <f>O413*P413</f>
        <v>233.33333333333334</v>
      </c>
      <c r="R413" s="180"/>
      <c r="S413" s="1007"/>
      <c r="T413" s="1007"/>
      <c r="U413" s="1007"/>
      <c r="V413" s="1007">
        <f t="shared" si="108"/>
        <v>233.33333333333334</v>
      </c>
      <c r="W413" s="1007"/>
      <c r="X413" s="1182"/>
      <c r="Y413" s="1157"/>
      <c r="Z413" s="1197"/>
      <c r="AA413" s="1197"/>
      <c r="AB413" s="1197"/>
      <c r="AC413" s="1197"/>
      <c r="AD413" s="1197"/>
      <c r="AE413" s="1197"/>
      <c r="AF413" s="1197"/>
      <c r="AG413" s="1157"/>
    </row>
    <row r="414" spans="1:33" s="1005" customFormat="1" ht="57" customHeight="1">
      <c r="A414" s="1531">
        <v>3113</v>
      </c>
      <c r="B414" s="984" t="s">
        <v>260</v>
      </c>
      <c r="C414" s="1087" t="s">
        <v>261</v>
      </c>
      <c r="D414" s="1385"/>
      <c r="E414" s="1386">
        <v>15</v>
      </c>
      <c r="F414" s="174">
        <v>43248</v>
      </c>
      <c r="G414" s="174">
        <f t="shared" si="105"/>
        <v>43263</v>
      </c>
      <c r="H414" s="175" t="s">
        <v>247</v>
      </c>
      <c r="I414" s="175" t="s">
        <v>169</v>
      </c>
      <c r="J414" s="186" t="s">
        <v>176</v>
      </c>
      <c r="K414" s="187" t="s">
        <v>264</v>
      </c>
      <c r="L414" s="1245">
        <v>23174</v>
      </c>
      <c r="M414" s="187"/>
      <c r="N414" s="175">
        <v>23174</v>
      </c>
      <c r="O414" s="1119">
        <f>109000/3000</f>
        <v>36.333333333333336</v>
      </c>
      <c r="P414" s="210">
        <v>4</v>
      </c>
      <c r="Q414" s="217">
        <f>O414*P414</f>
        <v>145.33333333333334</v>
      </c>
      <c r="R414" s="180"/>
      <c r="S414" s="1007"/>
      <c r="T414" s="1007"/>
      <c r="U414" s="1007"/>
      <c r="V414" s="1007">
        <f t="shared" si="108"/>
        <v>145.33333333333334</v>
      </c>
      <c r="W414" s="1007"/>
      <c r="X414" s="1182"/>
      <c r="Y414" s="1157"/>
      <c r="Z414" s="1197"/>
      <c r="AA414" s="1197"/>
      <c r="AB414" s="1197"/>
      <c r="AC414" s="1197"/>
      <c r="AD414" s="1197"/>
      <c r="AE414" s="1197"/>
      <c r="AF414" s="1197"/>
      <c r="AG414" s="1157"/>
    </row>
    <row r="415" spans="1:33" s="1005" customFormat="1" ht="57" customHeight="1">
      <c r="A415" s="1531">
        <v>3113</v>
      </c>
      <c r="B415" s="984" t="s">
        <v>260</v>
      </c>
      <c r="C415" s="1087" t="s">
        <v>261</v>
      </c>
      <c r="D415" s="1385"/>
      <c r="E415" s="1386">
        <v>15</v>
      </c>
      <c r="F415" s="174">
        <v>43248</v>
      </c>
      <c r="G415" s="174">
        <f t="shared" si="105"/>
        <v>43263</v>
      </c>
      <c r="H415" s="175" t="s">
        <v>247</v>
      </c>
      <c r="I415" s="175" t="s">
        <v>169</v>
      </c>
      <c r="J415" s="186" t="s">
        <v>176</v>
      </c>
      <c r="K415" s="187" t="s">
        <v>265</v>
      </c>
      <c r="L415" s="1245">
        <v>23174</v>
      </c>
      <c r="M415" s="187"/>
      <c r="N415" s="175">
        <v>23174</v>
      </c>
      <c r="O415" s="1119">
        <f>215000/3000</f>
        <v>71.666666666666671</v>
      </c>
      <c r="P415" s="210">
        <v>4</v>
      </c>
      <c r="Q415" s="217">
        <f>O415*P415</f>
        <v>286.66666666666669</v>
      </c>
      <c r="R415" s="180"/>
      <c r="S415" s="1007"/>
      <c r="T415" s="1007"/>
      <c r="U415" s="1007"/>
      <c r="V415" s="1007">
        <f t="shared" si="108"/>
        <v>286.66666666666669</v>
      </c>
      <c r="W415" s="1007"/>
      <c r="X415" s="1182"/>
      <c r="Y415" s="1157"/>
      <c r="Z415" s="1197"/>
      <c r="AA415" s="1197"/>
      <c r="AB415" s="1197"/>
      <c r="AC415" s="1197"/>
      <c r="AD415" s="1197"/>
      <c r="AE415" s="1197"/>
      <c r="AF415" s="1197"/>
      <c r="AG415" s="1157"/>
    </row>
    <row r="416" spans="1:33" s="1005" customFormat="1" ht="57" customHeight="1">
      <c r="A416" s="1518">
        <v>3114</v>
      </c>
      <c r="B416" s="983" t="s">
        <v>266</v>
      </c>
      <c r="C416" s="1086" t="s">
        <v>267</v>
      </c>
      <c r="D416" s="1385"/>
      <c r="E416" s="1386">
        <v>15</v>
      </c>
      <c r="F416" s="174">
        <v>43269</v>
      </c>
      <c r="G416" s="174">
        <f t="shared" si="105"/>
        <v>43284</v>
      </c>
      <c r="H416" s="175" t="s">
        <v>247</v>
      </c>
      <c r="I416" s="175" t="s">
        <v>176</v>
      </c>
      <c r="J416" s="186" t="s">
        <v>169</v>
      </c>
      <c r="K416" s="187" t="s">
        <v>268</v>
      </c>
      <c r="L416" s="1245">
        <v>2315</v>
      </c>
      <c r="M416" s="187"/>
      <c r="N416" s="175">
        <v>23174</v>
      </c>
      <c r="O416" s="217"/>
      <c r="P416" s="175"/>
      <c r="Q416" s="217"/>
      <c r="R416" s="180"/>
      <c r="S416" s="1007"/>
      <c r="T416" s="1007"/>
      <c r="U416" s="1007"/>
      <c r="V416" s="1007">
        <f>Q416</f>
        <v>0</v>
      </c>
      <c r="W416" s="1007"/>
      <c r="X416" s="1182"/>
      <c r="Y416" s="1157"/>
      <c r="Z416" s="1197"/>
      <c r="AA416" s="1197"/>
      <c r="AB416" s="1197"/>
      <c r="AC416" s="1197"/>
      <c r="AD416" s="1197"/>
      <c r="AE416" s="1197"/>
      <c r="AF416" s="1197"/>
      <c r="AG416" s="1157"/>
    </row>
    <row r="417" spans="1:33" s="1005" customFormat="1" ht="57" customHeight="1">
      <c r="A417" s="1531">
        <v>3114</v>
      </c>
      <c r="B417" s="984" t="s">
        <v>266</v>
      </c>
      <c r="C417" s="1087" t="s">
        <v>267</v>
      </c>
      <c r="D417" s="1385"/>
      <c r="E417" s="1386">
        <v>15</v>
      </c>
      <c r="F417" s="174">
        <v>43269</v>
      </c>
      <c r="G417" s="174">
        <f t="shared" si="105"/>
        <v>43284</v>
      </c>
      <c r="H417" s="175" t="s">
        <v>247</v>
      </c>
      <c r="I417" s="175" t="s">
        <v>169</v>
      </c>
      <c r="J417" s="186" t="s">
        <v>176</v>
      </c>
      <c r="K417" s="187" t="s">
        <v>252</v>
      </c>
      <c r="L417" s="1245">
        <v>23174</v>
      </c>
      <c r="M417" s="187"/>
      <c r="N417" s="175">
        <v>23174</v>
      </c>
      <c r="O417" s="217">
        <f>36000/3000</f>
        <v>12</v>
      </c>
      <c r="P417" s="175">
        <f>20*8</f>
        <v>160</v>
      </c>
      <c r="Q417" s="217">
        <f t="shared" ref="Q417:Q422" si="109">O417*P417</f>
        <v>1920</v>
      </c>
      <c r="R417" s="180"/>
      <c r="S417" s="1007"/>
      <c r="T417" s="1007"/>
      <c r="U417" s="1007"/>
      <c r="V417" s="1007">
        <f t="shared" si="108"/>
        <v>1920</v>
      </c>
      <c r="W417" s="1007"/>
      <c r="X417" s="1182"/>
      <c r="Y417" s="1157"/>
      <c r="Z417" s="1197"/>
      <c r="AA417" s="1197"/>
      <c r="AB417" s="1197"/>
      <c r="AC417" s="1197"/>
      <c r="AD417" s="1197"/>
      <c r="AE417" s="1197"/>
      <c r="AF417" s="1197"/>
      <c r="AG417" s="1157"/>
    </row>
    <row r="418" spans="1:33" s="1005" customFormat="1" ht="57" customHeight="1">
      <c r="A418" s="1531">
        <v>3114</v>
      </c>
      <c r="B418" s="984" t="s">
        <v>266</v>
      </c>
      <c r="C418" s="1087" t="s">
        <v>267</v>
      </c>
      <c r="D418" s="1385"/>
      <c r="E418" s="1386">
        <v>15</v>
      </c>
      <c r="F418" s="174">
        <v>43269</v>
      </c>
      <c r="G418" s="174">
        <f t="shared" si="105"/>
        <v>43284</v>
      </c>
      <c r="H418" s="175" t="s">
        <v>247</v>
      </c>
      <c r="I418" s="175" t="s">
        <v>169</v>
      </c>
      <c r="J418" s="186" t="s">
        <v>176</v>
      </c>
      <c r="K418" s="187" t="s">
        <v>253</v>
      </c>
      <c r="L418" s="1245">
        <v>23174</v>
      </c>
      <c r="M418" s="187"/>
      <c r="N418" s="175">
        <v>23174</v>
      </c>
      <c r="O418" s="217">
        <f>40000/3000</f>
        <v>13.333333333333334</v>
      </c>
      <c r="P418" s="175">
        <f>20*7</f>
        <v>140</v>
      </c>
      <c r="Q418" s="217">
        <f t="shared" si="109"/>
        <v>1866.6666666666667</v>
      </c>
      <c r="R418" s="180"/>
      <c r="S418" s="1007"/>
      <c r="T418" s="1007"/>
      <c r="U418" s="1007"/>
      <c r="V418" s="1007">
        <f t="shared" si="108"/>
        <v>1866.6666666666667</v>
      </c>
      <c r="W418" s="1007"/>
      <c r="X418" s="1182"/>
      <c r="Y418" s="1157"/>
      <c r="Z418" s="1197"/>
      <c r="AA418" s="1197"/>
      <c r="AB418" s="1197"/>
      <c r="AC418" s="1197"/>
      <c r="AD418" s="1197"/>
      <c r="AE418" s="1197"/>
      <c r="AF418" s="1197"/>
      <c r="AG418" s="1157"/>
    </row>
    <row r="419" spans="1:33" s="1005" customFormat="1" ht="57" customHeight="1">
      <c r="A419" s="1531">
        <v>3114</v>
      </c>
      <c r="B419" s="984" t="s">
        <v>266</v>
      </c>
      <c r="C419" s="1087" t="s">
        <v>267</v>
      </c>
      <c r="D419" s="1385"/>
      <c r="E419" s="1386">
        <v>15</v>
      </c>
      <c r="F419" s="174">
        <v>43269</v>
      </c>
      <c r="G419" s="174">
        <f t="shared" si="105"/>
        <v>43284</v>
      </c>
      <c r="H419" s="175" t="s">
        <v>247</v>
      </c>
      <c r="I419" s="175" t="s">
        <v>169</v>
      </c>
      <c r="J419" s="186" t="s">
        <v>176</v>
      </c>
      <c r="K419" s="187" t="s">
        <v>254</v>
      </c>
      <c r="L419" s="1245">
        <v>23174</v>
      </c>
      <c r="M419" s="187"/>
      <c r="N419" s="175">
        <v>23174</v>
      </c>
      <c r="O419" s="1117">
        <f>30000/3000</f>
        <v>10</v>
      </c>
      <c r="P419" s="210">
        <v>20</v>
      </c>
      <c r="Q419" s="217">
        <f t="shared" si="109"/>
        <v>200</v>
      </c>
      <c r="R419" s="180"/>
      <c r="S419" s="1007"/>
      <c r="T419" s="1007"/>
      <c r="U419" s="1007"/>
      <c r="V419" s="1007">
        <f>Q419</f>
        <v>200</v>
      </c>
      <c r="W419" s="1007"/>
      <c r="X419" s="1182"/>
      <c r="Y419" s="1157"/>
      <c r="Z419" s="1197"/>
      <c r="AA419" s="1197"/>
      <c r="AB419" s="1197"/>
      <c r="AC419" s="1197"/>
      <c r="AD419" s="1197"/>
      <c r="AE419" s="1197"/>
      <c r="AF419" s="1197"/>
      <c r="AG419" s="1157"/>
    </row>
    <row r="420" spans="1:33" s="1005" customFormat="1" ht="57" customHeight="1">
      <c r="A420" s="1531">
        <v>3114</v>
      </c>
      <c r="B420" s="984" t="s">
        <v>266</v>
      </c>
      <c r="C420" s="1087" t="s">
        <v>267</v>
      </c>
      <c r="D420" s="1385"/>
      <c r="E420" s="1386">
        <v>15</v>
      </c>
      <c r="F420" s="174">
        <v>43269</v>
      </c>
      <c r="G420" s="174">
        <f t="shared" si="105"/>
        <v>43284</v>
      </c>
      <c r="H420" s="175" t="s">
        <v>247</v>
      </c>
      <c r="I420" s="175" t="s">
        <v>169</v>
      </c>
      <c r="J420" s="186" t="s">
        <v>176</v>
      </c>
      <c r="K420" s="1005" t="s">
        <v>255</v>
      </c>
      <c r="L420" s="1245">
        <v>23174</v>
      </c>
      <c r="M420" s="187"/>
      <c r="N420" s="175">
        <v>23174</v>
      </c>
      <c r="O420" s="1117">
        <f>(0.15*4000*2)/3000</f>
        <v>0.4</v>
      </c>
      <c r="P420" s="210">
        <v>170</v>
      </c>
      <c r="Q420" s="217">
        <f t="shared" si="109"/>
        <v>68</v>
      </c>
      <c r="R420" s="180"/>
      <c r="S420" s="1007"/>
      <c r="T420" s="1007"/>
      <c r="U420" s="1007"/>
      <c r="V420" s="1007">
        <f t="shared" si="108"/>
        <v>68</v>
      </c>
      <c r="W420" s="1007"/>
      <c r="X420" s="1182"/>
      <c r="Y420" s="1157"/>
      <c r="Z420" s="1197"/>
      <c r="AA420" s="1197"/>
      <c r="AB420" s="1197"/>
      <c r="AC420" s="1197"/>
      <c r="AD420" s="1197"/>
      <c r="AE420" s="1197"/>
      <c r="AF420" s="1197"/>
      <c r="AG420" s="1157"/>
    </row>
    <row r="421" spans="1:33" s="1005" customFormat="1" ht="57" customHeight="1">
      <c r="A421" s="1531">
        <v>3114</v>
      </c>
      <c r="B421" s="984" t="s">
        <v>266</v>
      </c>
      <c r="C421" s="1087" t="s">
        <v>267</v>
      </c>
      <c r="D421" s="1385"/>
      <c r="E421" s="1386">
        <v>45</v>
      </c>
      <c r="F421" s="174">
        <v>43193</v>
      </c>
      <c r="G421" s="174">
        <f t="shared" si="105"/>
        <v>43238</v>
      </c>
      <c r="H421" s="175" t="s">
        <v>247</v>
      </c>
      <c r="I421" s="175" t="s">
        <v>169</v>
      </c>
      <c r="J421" s="186" t="s">
        <v>176</v>
      </c>
      <c r="K421" s="1011" t="s">
        <v>256</v>
      </c>
      <c r="L421" s="1245">
        <v>23173</v>
      </c>
      <c r="M421" s="187"/>
      <c r="N421" s="175">
        <v>23173</v>
      </c>
      <c r="O421" s="1117">
        <f>45000/3000</f>
        <v>15</v>
      </c>
      <c r="P421" s="210">
        <v>1</v>
      </c>
      <c r="Q421" s="217">
        <f t="shared" si="109"/>
        <v>15</v>
      </c>
      <c r="R421" s="180"/>
      <c r="S421" s="1007"/>
      <c r="T421" s="1007"/>
      <c r="U421" s="1007">
        <f>Q421</f>
        <v>15</v>
      </c>
      <c r="W421" s="1007"/>
      <c r="X421" s="1182"/>
      <c r="Y421" s="1157"/>
      <c r="Z421" s="1197"/>
      <c r="AA421" s="1197"/>
      <c r="AB421" s="1197"/>
      <c r="AC421" s="1197"/>
      <c r="AD421" s="1197"/>
      <c r="AE421" s="1197"/>
      <c r="AF421" s="1197"/>
      <c r="AG421" s="1157"/>
    </row>
    <row r="422" spans="1:33" s="1005" customFormat="1" ht="57" customHeight="1">
      <c r="A422" s="1531">
        <v>3114</v>
      </c>
      <c r="B422" s="984" t="s">
        <v>266</v>
      </c>
      <c r="C422" s="1087" t="s">
        <v>267</v>
      </c>
      <c r="D422" s="1385"/>
      <c r="E422" s="1386">
        <v>15</v>
      </c>
      <c r="F422" s="174">
        <v>43269</v>
      </c>
      <c r="G422" s="174">
        <f t="shared" si="105"/>
        <v>43284</v>
      </c>
      <c r="H422" s="175" t="s">
        <v>247</v>
      </c>
      <c r="I422" s="175" t="s">
        <v>169</v>
      </c>
      <c r="J422" s="186" t="s">
        <v>176</v>
      </c>
      <c r="K422" s="1387" t="s">
        <v>257</v>
      </c>
      <c r="L422" s="1245">
        <v>23173</v>
      </c>
      <c r="M422" s="187"/>
      <c r="N422" s="175">
        <v>23172</v>
      </c>
      <c r="O422" s="1117">
        <f>200000/3000</f>
        <v>66.666666666666671</v>
      </c>
      <c r="P422" s="210">
        <v>6</v>
      </c>
      <c r="Q422" s="217">
        <f t="shared" si="109"/>
        <v>400</v>
      </c>
      <c r="R422" s="180"/>
      <c r="S422" s="1007"/>
      <c r="T422" s="1007"/>
      <c r="U422" s="1007"/>
      <c r="V422" s="1007">
        <f>Q422</f>
        <v>400</v>
      </c>
      <c r="W422" s="1007"/>
      <c r="X422" s="1182"/>
      <c r="Y422" s="1157"/>
      <c r="Z422" s="1197"/>
      <c r="AA422" s="1197"/>
      <c r="AB422" s="1197"/>
      <c r="AC422" s="1197"/>
      <c r="AD422" s="1197"/>
      <c r="AE422" s="1197"/>
      <c r="AF422" s="1197"/>
      <c r="AG422" s="1157"/>
    </row>
    <row r="423" spans="1:33" s="1005" customFormat="1" ht="57" customHeight="1">
      <c r="A423" s="1518">
        <v>3115</v>
      </c>
      <c r="B423" s="983" t="s">
        <v>269</v>
      </c>
      <c r="C423" s="1086" t="s">
        <v>270</v>
      </c>
      <c r="D423" s="1385"/>
      <c r="E423" s="1386">
        <v>15</v>
      </c>
      <c r="F423" s="174">
        <v>43290</v>
      </c>
      <c r="G423" s="174">
        <f t="shared" si="105"/>
        <v>43305</v>
      </c>
      <c r="H423" s="175" t="s">
        <v>247</v>
      </c>
      <c r="I423" s="175" t="s">
        <v>176</v>
      </c>
      <c r="J423" s="186" t="s">
        <v>169</v>
      </c>
      <c r="K423" s="187" t="s">
        <v>268</v>
      </c>
      <c r="L423" s="1245">
        <v>2315</v>
      </c>
      <c r="M423" s="187"/>
      <c r="N423" s="175"/>
      <c r="O423" s="217"/>
      <c r="P423" s="175"/>
      <c r="Q423" s="217"/>
      <c r="R423" s="180"/>
      <c r="S423" s="1007"/>
      <c r="T423" s="1007"/>
      <c r="U423" s="1007"/>
      <c r="V423" s="1007"/>
      <c r="W423" s="1007">
        <f>Q423</f>
        <v>0</v>
      </c>
      <c r="X423" s="1182"/>
      <c r="Y423" s="1157"/>
      <c r="Z423" s="1197"/>
      <c r="AA423" s="1197"/>
      <c r="AB423" s="1197"/>
      <c r="AC423" s="1197"/>
      <c r="AD423" s="1197"/>
      <c r="AE423" s="1197"/>
      <c r="AF423" s="1197"/>
      <c r="AG423" s="1157"/>
    </row>
    <row r="424" spans="1:33" s="1005" customFormat="1" ht="57" customHeight="1">
      <c r="A424" s="1531">
        <v>3115</v>
      </c>
      <c r="B424" s="984" t="s">
        <v>269</v>
      </c>
      <c r="C424" s="1087" t="s">
        <v>270</v>
      </c>
      <c r="D424" s="1385"/>
      <c r="E424" s="1386">
        <v>15</v>
      </c>
      <c r="F424" s="174">
        <v>43290</v>
      </c>
      <c r="G424" s="174">
        <f t="shared" si="105"/>
        <v>43305</v>
      </c>
      <c r="H424" s="175" t="s">
        <v>247</v>
      </c>
      <c r="I424" s="175" t="s">
        <v>169</v>
      </c>
      <c r="J424" s="186" t="s">
        <v>176</v>
      </c>
      <c r="K424" s="187" t="s">
        <v>252</v>
      </c>
      <c r="L424" s="1245">
        <v>23174</v>
      </c>
      <c r="M424" s="187"/>
      <c r="N424" s="175">
        <v>23174</v>
      </c>
      <c r="O424" s="217">
        <f>36000/3000</f>
        <v>12</v>
      </c>
      <c r="P424" s="175">
        <f>20*9</f>
        <v>180</v>
      </c>
      <c r="Q424" s="217">
        <f t="shared" ref="Q424:Q429" si="110">O424*P424</f>
        <v>2160</v>
      </c>
      <c r="R424" s="180"/>
      <c r="S424" s="1007"/>
      <c r="T424" s="1007"/>
      <c r="U424" s="1007"/>
      <c r="V424" s="1007"/>
      <c r="W424" s="1007">
        <f t="shared" ref="W424:W429" si="111">Q424</f>
        <v>2160</v>
      </c>
      <c r="X424" s="1182"/>
      <c r="Y424" s="1157"/>
      <c r="Z424" s="1197"/>
      <c r="AA424" s="1197"/>
      <c r="AB424" s="1197"/>
      <c r="AC424" s="1197"/>
      <c r="AD424" s="1197"/>
      <c r="AE424" s="1197"/>
      <c r="AF424" s="1197"/>
      <c r="AG424" s="1157"/>
    </row>
    <row r="425" spans="1:33" s="1005" customFormat="1" ht="57" customHeight="1">
      <c r="A425" s="1531">
        <v>3115</v>
      </c>
      <c r="B425" s="984" t="s">
        <v>269</v>
      </c>
      <c r="C425" s="1087" t="s">
        <v>270</v>
      </c>
      <c r="D425" s="1385"/>
      <c r="E425" s="1386">
        <v>15</v>
      </c>
      <c r="F425" s="174">
        <v>43290</v>
      </c>
      <c r="G425" s="174">
        <f t="shared" si="105"/>
        <v>43305</v>
      </c>
      <c r="H425" s="175" t="s">
        <v>247</v>
      </c>
      <c r="I425" s="175" t="s">
        <v>169</v>
      </c>
      <c r="J425" s="186" t="s">
        <v>176</v>
      </c>
      <c r="K425" s="187" t="s">
        <v>253</v>
      </c>
      <c r="L425" s="1245">
        <v>23174</v>
      </c>
      <c r="M425" s="187"/>
      <c r="N425" s="175">
        <v>23174</v>
      </c>
      <c r="O425" s="217">
        <f>40000/3000</f>
        <v>13.333333333333334</v>
      </c>
      <c r="P425" s="175">
        <f>20*8</f>
        <v>160</v>
      </c>
      <c r="Q425" s="217">
        <f t="shared" si="110"/>
        <v>2133.3333333333335</v>
      </c>
      <c r="R425" s="180"/>
      <c r="S425" s="1007"/>
      <c r="T425" s="1007"/>
      <c r="U425" s="1007"/>
      <c r="V425" s="1007"/>
      <c r="W425" s="1007">
        <f t="shared" si="111"/>
        <v>2133.3333333333335</v>
      </c>
      <c r="X425" s="1182"/>
      <c r="Y425" s="1157"/>
      <c r="Z425" s="1197"/>
      <c r="AA425" s="1197"/>
      <c r="AB425" s="1197"/>
      <c r="AC425" s="1197"/>
      <c r="AD425" s="1197"/>
      <c r="AE425" s="1197"/>
      <c r="AF425" s="1197"/>
      <c r="AG425" s="1157"/>
    </row>
    <row r="426" spans="1:33" s="1005" customFormat="1" ht="57" customHeight="1">
      <c r="A426" s="1531">
        <v>3115</v>
      </c>
      <c r="B426" s="984" t="s">
        <v>269</v>
      </c>
      <c r="C426" s="1087" t="s">
        <v>270</v>
      </c>
      <c r="D426" s="1385"/>
      <c r="E426" s="1386">
        <v>15</v>
      </c>
      <c r="F426" s="174">
        <v>43290</v>
      </c>
      <c r="G426" s="174">
        <f t="shared" si="105"/>
        <v>43305</v>
      </c>
      <c r="H426" s="175" t="s">
        <v>247</v>
      </c>
      <c r="I426" s="175" t="s">
        <v>169</v>
      </c>
      <c r="J426" s="186" t="s">
        <v>176</v>
      </c>
      <c r="K426" s="187" t="s">
        <v>254</v>
      </c>
      <c r="L426" s="1245">
        <v>23174</v>
      </c>
      <c r="M426" s="187"/>
      <c r="N426" s="175">
        <v>23174</v>
      </c>
      <c r="O426" s="1117">
        <f>30000/3000</f>
        <v>10</v>
      </c>
      <c r="P426" s="210">
        <v>20</v>
      </c>
      <c r="Q426" s="217">
        <f t="shared" si="110"/>
        <v>200</v>
      </c>
      <c r="R426" s="180"/>
      <c r="S426" s="1007"/>
      <c r="T426" s="1007"/>
      <c r="U426" s="1007"/>
      <c r="V426" s="1007"/>
      <c r="W426" s="1007">
        <f t="shared" si="111"/>
        <v>200</v>
      </c>
      <c r="X426" s="1182"/>
      <c r="Y426" s="1157"/>
      <c r="Z426" s="1197"/>
      <c r="AA426" s="1197"/>
      <c r="AB426" s="1197"/>
      <c r="AC426" s="1197"/>
      <c r="AD426" s="1197"/>
      <c r="AE426" s="1197"/>
      <c r="AF426" s="1197"/>
      <c r="AG426" s="1157"/>
    </row>
    <row r="427" spans="1:33" s="1005" customFormat="1" ht="57" customHeight="1">
      <c r="A427" s="1531">
        <v>3115</v>
      </c>
      <c r="B427" s="984" t="s">
        <v>269</v>
      </c>
      <c r="C427" s="1087" t="s">
        <v>270</v>
      </c>
      <c r="D427" s="1385"/>
      <c r="E427" s="1386">
        <v>15</v>
      </c>
      <c r="F427" s="174">
        <v>43290</v>
      </c>
      <c r="G427" s="174">
        <f t="shared" si="105"/>
        <v>43305</v>
      </c>
      <c r="H427" s="175" t="s">
        <v>247</v>
      </c>
      <c r="I427" s="175" t="s">
        <v>169</v>
      </c>
      <c r="J427" s="186" t="s">
        <v>176</v>
      </c>
      <c r="K427" s="1005" t="s">
        <v>255</v>
      </c>
      <c r="L427" s="1245">
        <v>23174</v>
      </c>
      <c r="M427" s="187"/>
      <c r="N427" s="175">
        <v>23174</v>
      </c>
      <c r="O427" s="1117">
        <f>(0.15*4000*2)/3000</f>
        <v>0.4</v>
      </c>
      <c r="P427" s="210">
        <v>170</v>
      </c>
      <c r="Q427" s="217">
        <f t="shared" si="110"/>
        <v>68</v>
      </c>
      <c r="R427" s="180"/>
      <c r="S427" s="1007"/>
      <c r="T427" s="1007"/>
      <c r="U427" s="1007"/>
      <c r="V427" s="1007"/>
      <c r="W427" s="1007">
        <f t="shared" si="111"/>
        <v>68</v>
      </c>
      <c r="X427" s="1182"/>
      <c r="Y427" s="1157"/>
      <c r="Z427" s="1197"/>
      <c r="AA427" s="1197"/>
      <c r="AB427" s="1197"/>
      <c r="AC427" s="1197"/>
      <c r="AD427" s="1197"/>
      <c r="AE427" s="1197"/>
      <c r="AF427" s="1197"/>
      <c r="AG427" s="1157"/>
    </row>
    <row r="428" spans="1:33" s="1005" customFormat="1" ht="57" customHeight="1">
      <c r="A428" s="1531">
        <v>3115</v>
      </c>
      <c r="B428" s="984" t="s">
        <v>269</v>
      </c>
      <c r="C428" s="1087" t="s">
        <v>270</v>
      </c>
      <c r="D428" s="1385"/>
      <c r="E428" s="1386">
        <v>45</v>
      </c>
      <c r="F428" s="174">
        <v>43193</v>
      </c>
      <c r="G428" s="174">
        <f t="shared" si="105"/>
        <v>43238</v>
      </c>
      <c r="H428" s="175" t="s">
        <v>247</v>
      </c>
      <c r="I428" s="175" t="s">
        <v>169</v>
      </c>
      <c r="J428" s="186" t="s">
        <v>176</v>
      </c>
      <c r="K428" s="1011" t="s">
        <v>256</v>
      </c>
      <c r="L428" s="1245">
        <v>23173</v>
      </c>
      <c r="M428" s="187"/>
      <c r="N428" s="175">
        <v>23173</v>
      </c>
      <c r="O428" s="1117">
        <f>217000/3000</f>
        <v>72.333333333333329</v>
      </c>
      <c r="P428" s="210">
        <v>1</v>
      </c>
      <c r="Q428" s="217">
        <f t="shared" si="110"/>
        <v>72.333333333333329</v>
      </c>
      <c r="R428" s="180"/>
      <c r="S428" s="1007"/>
      <c r="T428" s="1007"/>
      <c r="U428" s="1007">
        <f>Q428</f>
        <v>72.333333333333329</v>
      </c>
      <c r="V428" s="1007"/>
      <c r="X428" s="1182"/>
      <c r="Y428" s="1157"/>
      <c r="Z428" s="1197"/>
      <c r="AA428" s="1197"/>
      <c r="AB428" s="1197"/>
      <c r="AC428" s="1197"/>
      <c r="AD428" s="1197"/>
      <c r="AE428" s="1197"/>
      <c r="AF428" s="1197"/>
      <c r="AG428" s="1157"/>
    </row>
    <row r="429" spans="1:33" s="1005" customFormat="1" ht="57" customHeight="1">
      <c r="A429" s="1531">
        <v>3115</v>
      </c>
      <c r="B429" s="984" t="s">
        <v>269</v>
      </c>
      <c r="C429" s="1087" t="s">
        <v>270</v>
      </c>
      <c r="D429" s="1385"/>
      <c r="E429" s="1386">
        <v>15</v>
      </c>
      <c r="F429" s="174">
        <v>43290</v>
      </c>
      <c r="G429" s="174">
        <f t="shared" si="105"/>
        <v>43305</v>
      </c>
      <c r="H429" s="175" t="s">
        <v>247</v>
      </c>
      <c r="I429" s="175" t="s">
        <v>169</v>
      </c>
      <c r="J429" s="186" t="s">
        <v>176</v>
      </c>
      <c r="K429" s="1387" t="s">
        <v>257</v>
      </c>
      <c r="L429" s="1245">
        <v>23173</v>
      </c>
      <c r="M429" s="187"/>
      <c r="N429" s="175">
        <v>23172</v>
      </c>
      <c r="O429" s="1117">
        <f>200000/3000</f>
        <v>66.666666666666671</v>
      </c>
      <c r="P429" s="210">
        <v>7</v>
      </c>
      <c r="Q429" s="217">
        <f t="shared" si="110"/>
        <v>466.66666666666669</v>
      </c>
      <c r="R429" s="180"/>
      <c r="S429" s="1007"/>
      <c r="T429" s="1007"/>
      <c r="U429" s="1007"/>
      <c r="V429" s="1007"/>
      <c r="W429" s="1007">
        <f t="shared" si="111"/>
        <v>466.66666666666669</v>
      </c>
      <c r="X429" s="1182"/>
      <c r="Y429" s="1157"/>
      <c r="Z429" s="1197"/>
      <c r="AA429" s="1197"/>
      <c r="AB429" s="1197"/>
      <c r="AC429" s="1197"/>
      <c r="AD429" s="1197"/>
      <c r="AE429" s="1197"/>
      <c r="AF429" s="1197"/>
      <c r="AG429" s="1157"/>
    </row>
    <row r="430" spans="1:33" s="1005" customFormat="1" ht="57" customHeight="1">
      <c r="A430" s="1518">
        <v>3116</v>
      </c>
      <c r="B430" s="983" t="s">
        <v>271</v>
      </c>
      <c r="C430" s="1086" t="s">
        <v>272</v>
      </c>
      <c r="D430" s="1385"/>
      <c r="E430" s="1386">
        <v>15</v>
      </c>
      <c r="F430" s="174">
        <v>43311</v>
      </c>
      <c r="G430" s="174">
        <f t="shared" si="105"/>
        <v>43326</v>
      </c>
      <c r="H430" s="175" t="s">
        <v>247</v>
      </c>
      <c r="I430" s="175" t="s">
        <v>176</v>
      </c>
      <c r="J430" s="186" t="s">
        <v>169</v>
      </c>
      <c r="K430" s="187" t="s">
        <v>268</v>
      </c>
      <c r="L430" s="1245">
        <v>2315</v>
      </c>
      <c r="M430" s="187"/>
      <c r="N430" s="175">
        <v>23173</v>
      </c>
      <c r="O430" s="217"/>
      <c r="P430" s="175"/>
      <c r="Q430" s="217"/>
      <c r="R430" s="180"/>
      <c r="S430" s="1007"/>
      <c r="T430" s="1007"/>
      <c r="U430" s="1007"/>
      <c r="V430" s="1007"/>
      <c r="W430" s="1007"/>
      <c r="X430" s="1182">
        <f>Q430</f>
        <v>0</v>
      </c>
      <c r="Y430" s="1157"/>
      <c r="Z430" s="1197"/>
      <c r="AA430" s="1197"/>
      <c r="AB430" s="1197"/>
      <c r="AC430" s="1197"/>
      <c r="AD430" s="1197"/>
      <c r="AE430" s="1197"/>
      <c r="AF430" s="1197"/>
      <c r="AG430" s="1157"/>
    </row>
    <row r="431" spans="1:33" s="1005" customFormat="1" ht="57" customHeight="1">
      <c r="A431" s="1531">
        <v>3116</v>
      </c>
      <c r="B431" s="984" t="s">
        <v>271</v>
      </c>
      <c r="C431" s="1087" t="s">
        <v>272</v>
      </c>
      <c r="D431" s="1385"/>
      <c r="E431" s="1386">
        <v>15</v>
      </c>
      <c r="F431" s="174">
        <v>43311</v>
      </c>
      <c r="G431" s="174">
        <f t="shared" si="105"/>
        <v>43326</v>
      </c>
      <c r="H431" s="175" t="s">
        <v>247</v>
      </c>
      <c r="I431" s="175" t="s">
        <v>169</v>
      </c>
      <c r="J431" s="186" t="s">
        <v>176</v>
      </c>
      <c r="K431" s="1005" t="s">
        <v>273</v>
      </c>
      <c r="L431" s="1245">
        <v>23173</v>
      </c>
      <c r="M431" s="187"/>
      <c r="N431" s="175">
        <v>23173</v>
      </c>
      <c r="O431" s="1117">
        <f>(0.15*4000*2)/3000</f>
        <v>0.4</v>
      </c>
      <c r="P431" s="210">
        <v>170</v>
      </c>
      <c r="Q431" s="217">
        <f>O431*P431</f>
        <v>68</v>
      </c>
      <c r="R431" s="180"/>
      <c r="S431" s="1007"/>
      <c r="T431" s="1007"/>
      <c r="U431" s="1007"/>
      <c r="V431" s="1007"/>
      <c r="W431" s="1007"/>
      <c r="X431" s="1182">
        <f>Q431</f>
        <v>68</v>
      </c>
      <c r="Y431" s="1157"/>
      <c r="Z431" s="1197"/>
      <c r="AA431" s="1197"/>
      <c r="AB431" s="1197"/>
      <c r="AC431" s="1197"/>
      <c r="AD431" s="1197"/>
      <c r="AE431" s="1197"/>
      <c r="AF431" s="1197"/>
      <c r="AG431" s="1157"/>
    </row>
    <row r="432" spans="1:33" s="1005" customFormat="1" ht="57" customHeight="1">
      <c r="A432" s="1531">
        <v>3116</v>
      </c>
      <c r="B432" s="984" t="s">
        <v>271</v>
      </c>
      <c r="C432" s="1087" t="s">
        <v>272</v>
      </c>
      <c r="D432" s="1385"/>
      <c r="E432" s="1386">
        <v>45</v>
      </c>
      <c r="F432" s="174">
        <v>43193</v>
      </c>
      <c r="G432" s="174">
        <f t="shared" si="105"/>
        <v>43238</v>
      </c>
      <c r="H432" s="175" t="s">
        <v>247</v>
      </c>
      <c r="I432" s="175" t="s">
        <v>169</v>
      </c>
      <c r="J432" s="186" t="s">
        <v>176</v>
      </c>
      <c r="K432" s="1011" t="s">
        <v>256</v>
      </c>
      <c r="L432" s="1245">
        <v>23173</v>
      </c>
      <c r="M432" s="187"/>
      <c r="N432" s="175">
        <v>23173</v>
      </c>
      <c r="O432" s="1117">
        <f>146000/3000</f>
        <v>48.666666666666664</v>
      </c>
      <c r="P432" s="210">
        <v>1</v>
      </c>
      <c r="Q432" s="217">
        <f>O432*P432</f>
        <v>48.666666666666664</v>
      </c>
      <c r="R432" s="180"/>
      <c r="S432" s="1007"/>
      <c r="T432" s="1007"/>
      <c r="U432" s="1007">
        <f>Q432</f>
        <v>48.666666666666664</v>
      </c>
      <c r="V432" s="1007"/>
      <c r="W432" s="1007"/>
      <c r="Y432" s="1157"/>
      <c r="Z432" s="1197"/>
      <c r="AA432" s="1197"/>
      <c r="AB432" s="1197"/>
      <c r="AC432" s="1197"/>
      <c r="AD432" s="1197"/>
      <c r="AE432" s="1197"/>
      <c r="AF432" s="1197"/>
      <c r="AG432" s="1157"/>
    </row>
    <row r="433" spans="1:33" s="1005" customFormat="1" ht="57" customHeight="1">
      <c r="A433" s="1531">
        <v>3116</v>
      </c>
      <c r="B433" s="984" t="s">
        <v>271</v>
      </c>
      <c r="C433" s="1087" t="s">
        <v>272</v>
      </c>
      <c r="D433" s="1385"/>
      <c r="E433" s="1386">
        <v>15</v>
      </c>
      <c r="F433" s="174">
        <v>43311</v>
      </c>
      <c r="G433" s="174">
        <f t="shared" si="105"/>
        <v>43326</v>
      </c>
      <c r="H433" s="175" t="s">
        <v>247</v>
      </c>
      <c r="I433" s="175" t="s">
        <v>169</v>
      </c>
      <c r="J433" s="186" t="s">
        <v>176</v>
      </c>
      <c r="K433" s="1387" t="s">
        <v>257</v>
      </c>
      <c r="L433" s="1245">
        <v>23173</v>
      </c>
      <c r="M433" s="187"/>
      <c r="N433" s="175">
        <v>23172</v>
      </c>
      <c r="O433" s="1117">
        <f>200000/3000</f>
        <v>66.666666666666671</v>
      </c>
      <c r="P433" s="210">
        <v>1</v>
      </c>
      <c r="Q433" s="217">
        <f>O433*P433</f>
        <v>66.666666666666671</v>
      </c>
      <c r="R433" s="180"/>
      <c r="S433" s="1007"/>
      <c r="T433" s="1007"/>
      <c r="U433" s="1007"/>
      <c r="V433" s="1007"/>
      <c r="W433" s="1007"/>
      <c r="X433" s="1182">
        <f>Q433</f>
        <v>66.666666666666671</v>
      </c>
      <c r="Y433" s="1157"/>
      <c r="Z433" s="1197"/>
      <c r="AA433" s="1197"/>
      <c r="AB433" s="1197"/>
      <c r="AC433" s="1197"/>
      <c r="AD433" s="1197"/>
      <c r="AE433" s="1197"/>
      <c r="AF433" s="1197"/>
      <c r="AG433" s="1157"/>
    </row>
    <row r="434" spans="1:33" s="280" customFormat="1" ht="15.75" customHeight="1">
      <c r="A434" s="1248" t="s">
        <v>274</v>
      </c>
      <c r="B434" s="274"/>
      <c r="C434" s="278"/>
      <c r="D434" s="1270"/>
      <c r="E434" s="1270"/>
      <c r="F434" s="1270"/>
      <c r="G434" s="1270"/>
      <c r="H434" s="1270"/>
      <c r="I434" s="1270"/>
      <c r="J434" s="273"/>
      <c r="K434" s="1248"/>
      <c r="L434" s="1269"/>
      <c r="M434" s="1270"/>
      <c r="N434" s="1268"/>
      <c r="O434" s="1272"/>
      <c r="P434" s="1268"/>
      <c r="Q434" s="1272">
        <f>+Q435+Q445+Q455+Q474+Q482+Q489</f>
        <v>99999.713333333333</v>
      </c>
      <c r="R434" s="1273"/>
      <c r="S434" s="1272">
        <f t="shared" ref="S434:AG434" si="112">+S435+S445+S455+S474+S482+S489</f>
        <v>0</v>
      </c>
      <c r="T434" s="1272">
        <f t="shared" si="112"/>
        <v>0</v>
      </c>
      <c r="U434" s="1272">
        <f t="shared" si="112"/>
        <v>0</v>
      </c>
      <c r="V434" s="1272">
        <f t="shared" si="112"/>
        <v>6666.666666666667</v>
      </c>
      <c r="W434" s="1272">
        <f t="shared" si="112"/>
        <v>50041.296666666662</v>
      </c>
      <c r="X434" s="1272">
        <f t="shared" si="112"/>
        <v>18647.669999999998</v>
      </c>
      <c r="Y434" s="1272">
        <f t="shared" si="112"/>
        <v>8644.4133333333339</v>
      </c>
      <c r="Z434" s="276">
        <f t="shared" si="112"/>
        <v>16000</v>
      </c>
      <c r="AA434" s="276">
        <f t="shared" si="112"/>
        <v>0</v>
      </c>
      <c r="AB434" s="276">
        <f t="shared" si="112"/>
        <v>0</v>
      </c>
      <c r="AC434" s="276">
        <f t="shared" si="112"/>
        <v>0</v>
      </c>
      <c r="AD434" s="276">
        <f t="shared" si="112"/>
        <v>0</v>
      </c>
      <c r="AE434" s="276">
        <f t="shared" si="112"/>
        <v>0</v>
      </c>
      <c r="AF434" s="276">
        <f t="shared" si="112"/>
        <v>0</v>
      </c>
      <c r="AG434" s="276">
        <f t="shared" si="112"/>
        <v>100000.04666666666</v>
      </c>
    </row>
    <row r="435" spans="1:33" s="550" customFormat="1" ht="16.5" customHeight="1">
      <c r="A435" s="1275">
        <v>321</v>
      </c>
      <c r="B435" s="523" t="s">
        <v>552</v>
      </c>
      <c r="C435" s="1504"/>
      <c r="D435" s="1358"/>
      <c r="E435" s="1358"/>
      <c r="F435" s="1358"/>
      <c r="G435" s="1358"/>
      <c r="H435" s="1358"/>
      <c r="I435" s="1358"/>
      <c r="J435" s="543"/>
      <c r="K435" s="1545"/>
      <c r="L435" s="1389"/>
      <c r="M435" s="1390"/>
      <c r="N435" s="1388"/>
      <c r="O435" s="1282"/>
      <c r="P435" s="1388"/>
      <c r="Q435" s="1282">
        <f>+Q436+Q437+Q443+Q444</f>
        <v>22794.666666666668</v>
      </c>
      <c r="R435" s="547"/>
      <c r="S435" s="1282">
        <f t="shared" ref="S435:AF435" si="113">+S436+S437+S443+S444</f>
        <v>0</v>
      </c>
      <c r="T435" s="1282">
        <f t="shared" si="113"/>
        <v>0</v>
      </c>
      <c r="U435" s="1282">
        <f t="shared" si="113"/>
        <v>0</v>
      </c>
      <c r="V435" s="1282">
        <f t="shared" si="113"/>
        <v>6666.666666666667</v>
      </c>
      <c r="W435" s="1282">
        <f t="shared" si="113"/>
        <v>16128</v>
      </c>
      <c r="X435" s="1282">
        <f t="shared" si="113"/>
        <v>0</v>
      </c>
      <c r="Y435" s="1282">
        <f t="shared" si="113"/>
        <v>0</v>
      </c>
      <c r="Z435" s="546">
        <f t="shared" si="113"/>
        <v>0</v>
      </c>
      <c r="AA435" s="546">
        <f t="shared" si="113"/>
        <v>0</v>
      </c>
      <c r="AB435" s="546">
        <f t="shared" si="113"/>
        <v>0</v>
      </c>
      <c r="AC435" s="546">
        <f t="shared" si="113"/>
        <v>0</v>
      </c>
      <c r="AD435" s="546">
        <f t="shared" si="113"/>
        <v>0</v>
      </c>
      <c r="AE435" s="546">
        <f t="shared" si="113"/>
        <v>0</v>
      </c>
      <c r="AF435" s="546">
        <f t="shared" si="113"/>
        <v>0</v>
      </c>
      <c r="AG435" s="807">
        <f>SUM(S435:AF435)</f>
        <v>22794.666666666668</v>
      </c>
    </row>
    <row r="436" spans="1:33" s="280" customFormat="1" ht="31.5">
      <c r="A436" s="1442">
        <v>3211</v>
      </c>
      <c r="B436" s="291" t="s">
        <v>553</v>
      </c>
      <c r="C436" s="824" t="s">
        <v>554</v>
      </c>
      <c r="D436" s="1391"/>
      <c r="E436" s="1391">
        <v>30</v>
      </c>
      <c r="F436" s="829">
        <v>43159</v>
      </c>
      <c r="G436" s="829">
        <f>+F436+E436</f>
        <v>43189</v>
      </c>
      <c r="H436" s="1391" t="s">
        <v>555</v>
      </c>
      <c r="I436" s="294" t="s">
        <v>177</v>
      </c>
      <c r="J436" s="307"/>
      <c r="K436" s="326"/>
      <c r="L436" s="1241"/>
      <c r="M436" s="296"/>
      <c r="N436" s="294"/>
      <c r="O436" s="355"/>
      <c r="P436" s="294"/>
      <c r="Q436" s="355"/>
      <c r="R436" s="299"/>
      <c r="S436" s="298"/>
      <c r="T436" s="298"/>
      <c r="U436" s="298"/>
      <c r="V436" s="298"/>
      <c r="W436" s="355"/>
      <c r="X436" s="1137"/>
      <c r="Y436" s="1126"/>
      <c r="Z436" s="1126"/>
      <c r="AA436" s="1126"/>
      <c r="AB436" s="1126"/>
      <c r="AC436" s="1126"/>
      <c r="AD436" s="1126"/>
      <c r="AE436" s="1126"/>
      <c r="AF436" s="1126"/>
      <c r="AG436" s="1126"/>
    </row>
    <row r="437" spans="1:33" s="280" customFormat="1" ht="94.5">
      <c r="A437" s="1442">
        <v>3212</v>
      </c>
      <c r="B437" s="291" t="s">
        <v>556</v>
      </c>
      <c r="C437" s="824" t="s">
        <v>557</v>
      </c>
      <c r="D437" s="1391"/>
      <c r="E437" s="1391">
        <v>60</v>
      </c>
      <c r="F437" s="829">
        <v>43194</v>
      </c>
      <c r="G437" s="829">
        <v>43262</v>
      </c>
      <c r="H437" s="1391" t="s">
        <v>555</v>
      </c>
      <c r="I437" s="294" t="s">
        <v>177</v>
      </c>
      <c r="J437" s="307" t="s">
        <v>558</v>
      </c>
      <c r="K437" s="1546" t="s">
        <v>268</v>
      </c>
      <c r="L437" s="1241"/>
      <c r="M437" s="296"/>
      <c r="N437" s="294"/>
      <c r="O437" s="487">
        <f>+SUM(O438:O442)</f>
        <v>6666.666666666667</v>
      </c>
      <c r="P437" s="294">
        <v>1</v>
      </c>
      <c r="Q437" s="555">
        <f>+SUM(Q438:Q442)</f>
        <v>6666.666666666667</v>
      </c>
      <c r="R437" s="518"/>
      <c r="S437" s="493"/>
      <c r="T437" s="493"/>
      <c r="U437" s="493"/>
      <c r="V437" s="555">
        <f>Q437</f>
        <v>6666.666666666667</v>
      </c>
      <c r="W437" s="487"/>
      <c r="X437" s="1138"/>
      <c r="Y437" s="1156"/>
      <c r="Z437" s="1156"/>
      <c r="AA437" s="1156"/>
      <c r="AB437" s="1156"/>
      <c r="AC437" s="1156"/>
      <c r="AD437" s="1156"/>
      <c r="AE437" s="1156"/>
      <c r="AF437" s="1156"/>
      <c r="AG437" s="1156"/>
    </row>
    <row r="438" spans="1:33" s="280" customFormat="1">
      <c r="A438" s="1442">
        <v>3212</v>
      </c>
      <c r="B438" s="291" t="s">
        <v>556</v>
      </c>
      <c r="C438" s="824" t="s">
        <v>559</v>
      </c>
      <c r="D438" s="294" t="s">
        <v>514</v>
      </c>
      <c r="E438" s="294">
        <v>45</v>
      </c>
      <c r="F438" s="829">
        <v>43194</v>
      </c>
      <c r="G438" s="829">
        <f>+E438+F438</f>
        <v>43239</v>
      </c>
      <c r="H438" s="1391" t="s">
        <v>555</v>
      </c>
      <c r="I438" s="294" t="s">
        <v>169</v>
      </c>
      <c r="J438" s="307" t="s">
        <v>177</v>
      </c>
      <c r="K438" s="326" t="s">
        <v>302</v>
      </c>
      <c r="L438" s="1241">
        <v>23173</v>
      </c>
      <c r="M438" s="296"/>
      <c r="N438" s="294"/>
      <c r="O438" s="355">
        <v>202.6</v>
      </c>
      <c r="P438" s="294">
        <v>1</v>
      </c>
      <c r="Q438" s="355">
        <f t="shared" ref="Q438:Q443" si="114">O438*P438</f>
        <v>202.6</v>
      </c>
      <c r="R438" s="299"/>
      <c r="S438" s="298"/>
      <c r="T438" s="298"/>
      <c r="U438" s="298"/>
      <c r="V438" s="298"/>
      <c r="W438" s="355"/>
      <c r="X438" s="1137"/>
      <c r="Y438" s="1126"/>
      <c r="Z438" s="1126"/>
      <c r="AA438" s="1126"/>
      <c r="AB438" s="1126"/>
      <c r="AC438" s="1126"/>
      <c r="AD438" s="1126"/>
      <c r="AE438" s="1126"/>
      <c r="AF438" s="1126"/>
      <c r="AG438" s="1126"/>
    </row>
    <row r="439" spans="1:33" s="280" customFormat="1">
      <c r="A439" s="1442">
        <v>3212</v>
      </c>
      <c r="B439" s="291" t="s">
        <v>556</v>
      </c>
      <c r="C439" s="824" t="s">
        <v>560</v>
      </c>
      <c r="D439" s="1391"/>
      <c r="E439" s="294">
        <f>10</f>
        <v>10</v>
      </c>
      <c r="F439" s="829">
        <v>43252</v>
      </c>
      <c r="G439" s="829">
        <f>+F439+E439</f>
        <v>43262</v>
      </c>
      <c r="H439" s="1391" t="s">
        <v>555</v>
      </c>
      <c r="I439" s="294" t="s">
        <v>177</v>
      </c>
      <c r="J439" s="307"/>
      <c r="K439" s="326" t="s">
        <v>561</v>
      </c>
      <c r="L439" s="1241">
        <v>23174</v>
      </c>
      <c r="M439" s="296"/>
      <c r="N439" s="294"/>
      <c r="O439" s="1392">
        <v>4064</v>
      </c>
      <c r="P439" s="294">
        <v>1</v>
      </c>
      <c r="Q439" s="355">
        <f t="shared" si="114"/>
        <v>4064</v>
      </c>
      <c r="R439" s="299"/>
      <c r="S439" s="298"/>
      <c r="T439" s="298"/>
      <c r="U439" s="298"/>
      <c r="V439" s="298"/>
      <c r="W439" s="355"/>
      <c r="X439" s="1137"/>
      <c r="Y439" s="1126"/>
      <c r="Z439" s="1126"/>
      <c r="AA439" s="1126"/>
      <c r="AB439" s="1126"/>
      <c r="AC439" s="1126"/>
      <c r="AD439" s="1126"/>
      <c r="AE439" s="1126"/>
      <c r="AF439" s="1126"/>
      <c r="AG439" s="1126"/>
    </row>
    <row r="440" spans="1:33" s="280" customFormat="1">
      <c r="A440" s="1442">
        <v>3212</v>
      </c>
      <c r="B440" s="291" t="s">
        <v>556</v>
      </c>
      <c r="C440" s="824" t="s">
        <v>562</v>
      </c>
      <c r="D440" s="1391"/>
      <c r="E440" s="294">
        <f>10</f>
        <v>10</v>
      </c>
      <c r="F440" s="829">
        <v>43252</v>
      </c>
      <c r="G440" s="829">
        <f>+F440+E440</f>
        <v>43262</v>
      </c>
      <c r="H440" s="1391" t="s">
        <v>555</v>
      </c>
      <c r="I440" s="294" t="s">
        <v>177</v>
      </c>
      <c r="J440" s="307"/>
      <c r="K440" s="326" t="s">
        <v>563</v>
      </c>
      <c r="L440" s="1241">
        <v>23174</v>
      </c>
      <c r="M440" s="296"/>
      <c r="N440" s="294"/>
      <c r="O440" s="355">
        <v>1640</v>
      </c>
      <c r="P440" s="294">
        <v>1</v>
      </c>
      <c r="Q440" s="355">
        <f t="shared" si="114"/>
        <v>1640</v>
      </c>
      <c r="R440" s="299"/>
      <c r="S440" s="298"/>
      <c r="T440" s="298"/>
      <c r="U440" s="298"/>
      <c r="V440" s="298"/>
      <c r="W440" s="355"/>
      <c r="X440" s="1137"/>
      <c r="Y440" s="1126"/>
      <c r="Z440" s="1126"/>
      <c r="AA440" s="1126"/>
      <c r="AB440" s="1126"/>
      <c r="AC440" s="1126"/>
      <c r="AD440" s="1126"/>
      <c r="AE440" s="1126"/>
      <c r="AF440" s="1126"/>
      <c r="AG440" s="1126"/>
    </row>
    <row r="441" spans="1:33" s="280" customFormat="1">
      <c r="A441" s="1442">
        <v>3212</v>
      </c>
      <c r="B441" s="291" t="s">
        <v>556</v>
      </c>
      <c r="C441" s="824" t="s">
        <v>564</v>
      </c>
      <c r="D441" s="1391"/>
      <c r="E441" s="294">
        <f>10</f>
        <v>10</v>
      </c>
      <c r="F441" s="829">
        <v>43252</v>
      </c>
      <c r="G441" s="829">
        <f>+F441+E441</f>
        <v>43262</v>
      </c>
      <c r="H441" s="1391" t="s">
        <v>555</v>
      </c>
      <c r="I441" s="294" t="s">
        <v>177</v>
      </c>
      <c r="J441" s="307"/>
      <c r="K441" s="326" t="s">
        <v>565</v>
      </c>
      <c r="L441" s="1241">
        <v>23174</v>
      </c>
      <c r="M441" s="296"/>
      <c r="N441" s="294"/>
      <c r="O441" s="355">
        <v>426.73333333333335</v>
      </c>
      <c r="P441" s="294">
        <v>1</v>
      </c>
      <c r="Q441" s="355">
        <f t="shared" si="114"/>
        <v>426.73333333333335</v>
      </c>
      <c r="R441" s="299"/>
      <c r="S441" s="298"/>
      <c r="T441" s="298"/>
      <c r="U441" s="298"/>
      <c r="V441" s="298"/>
      <c r="W441" s="355"/>
      <c r="X441" s="1137"/>
      <c r="Y441" s="1126"/>
      <c r="Z441" s="1126"/>
      <c r="AA441" s="1126"/>
      <c r="AB441" s="1126"/>
      <c r="AC441" s="1126"/>
      <c r="AD441" s="1126"/>
      <c r="AE441" s="1126"/>
      <c r="AF441" s="1126"/>
      <c r="AG441" s="1126"/>
    </row>
    <row r="442" spans="1:33" s="280" customFormat="1">
      <c r="A442" s="1442">
        <v>3212</v>
      </c>
      <c r="B442" s="291" t="s">
        <v>556</v>
      </c>
      <c r="C442" s="824" t="s">
        <v>566</v>
      </c>
      <c r="D442" s="1391"/>
      <c r="E442" s="294">
        <f>10</f>
        <v>10</v>
      </c>
      <c r="F442" s="829">
        <v>43252</v>
      </c>
      <c r="G442" s="829">
        <f>+F442+E442</f>
        <v>43262</v>
      </c>
      <c r="H442" s="1391" t="s">
        <v>555</v>
      </c>
      <c r="I442" s="294" t="s">
        <v>169</v>
      </c>
      <c r="J442" s="307" t="s">
        <v>177</v>
      </c>
      <c r="K442" s="326" t="s">
        <v>486</v>
      </c>
      <c r="L442" s="1241">
        <v>23173</v>
      </c>
      <c r="M442" s="296"/>
      <c r="N442" s="294"/>
      <c r="O442" s="355">
        <v>333.33333333333331</v>
      </c>
      <c r="P442" s="294">
        <v>1</v>
      </c>
      <c r="Q442" s="355">
        <f t="shared" si="114"/>
        <v>333.33333333333331</v>
      </c>
      <c r="R442" s="299"/>
      <c r="S442" s="298"/>
      <c r="T442" s="298"/>
      <c r="U442" s="298"/>
      <c r="V442" s="298"/>
      <c r="W442" s="355"/>
      <c r="X442" s="1137"/>
      <c r="Y442" s="1126"/>
      <c r="Z442" s="1126"/>
      <c r="AA442" s="1126"/>
      <c r="AB442" s="1126"/>
      <c r="AC442" s="1126"/>
      <c r="AD442" s="1126"/>
      <c r="AE442" s="1126"/>
      <c r="AF442" s="1126"/>
      <c r="AG442" s="1126"/>
    </row>
    <row r="443" spans="1:33" s="280" customFormat="1" ht="31.5">
      <c r="A443" s="1442">
        <v>3213</v>
      </c>
      <c r="B443" s="291" t="s">
        <v>567</v>
      </c>
      <c r="C443" s="824" t="s">
        <v>568</v>
      </c>
      <c r="D443" s="1391"/>
      <c r="E443" s="294">
        <v>10</v>
      </c>
      <c r="F443" s="829">
        <v>43269</v>
      </c>
      <c r="G443" s="829">
        <f>+E443+F443</f>
        <v>43279</v>
      </c>
      <c r="H443" s="1391" t="s">
        <v>555</v>
      </c>
      <c r="I443" s="1393" t="s">
        <v>569</v>
      </c>
      <c r="J443" s="307" t="s">
        <v>177</v>
      </c>
      <c r="K443" s="326"/>
      <c r="L443" s="1241"/>
      <c r="M443" s="296"/>
      <c r="N443" s="294"/>
      <c r="O443" s="355"/>
      <c r="P443" s="294"/>
      <c r="Q443" s="558">
        <f t="shared" si="114"/>
        <v>0</v>
      </c>
      <c r="R443" s="299"/>
      <c r="S443" s="298"/>
      <c r="T443" s="298"/>
      <c r="U443" s="298"/>
      <c r="V443" s="298"/>
      <c r="W443" s="355"/>
      <c r="X443" s="1137"/>
      <c r="Y443" s="1126"/>
      <c r="Z443" s="1126"/>
      <c r="AA443" s="1126"/>
      <c r="AB443" s="1126"/>
      <c r="AC443" s="1126"/>
      <c r="AD443" s="1126"/>
      <c r="AE443" s="1126"/>
      <c r="AF443" s="1126"/>
      <c r="AG443" s="1126"/>
    </row>
    <row r="444" spans="1:33" s="280" customFormat="1">
      <c r="A444" s="1532">
        <v>3214</v>
      </c>
      <c r="B444" s="291" t="s">
        <v>570</v>
      </c>
      <c r="C444" s="824" t="s">
        <v>571</v>
      </c>
      <c r="D444" s="1391"/>
      <c r="E444" s="294"/>
      <c r="F444" s="829">
        <v>43282</v>
      </c>
      <c r="G444" s="829"/>
      <c r="H444" s="1391" t="s">
        <v>555</v>
      </c>
      <c r="I444" s="1393" t="s">
        <v>169</v>
      </c>
      <c r="J444" s="307" t="s">
        <v>177</v>
      </c>
      <c r="K444" s="326" t="s">
        <v>302</v>
      </c>
      <c r="L444" s="1241">
        <v>23173</v>
      </c>
      <c r="M444" s="296"/>
      <c r="N444" s="294"/>
      <c r="O444" s="487">
        <v>0.63</v>
      </c>
      <c r="P444" s="294">
        <v>25600</v>
      </c>
      <c r="Q444" s="555">
        <f>+O444*P444</f>
        <v>16128</v>
      </c>
      <c r="R444" s="518"/>
      <c r="S444" s="493"/>
      <c r="T444" s="493"/>
      <c r="U444" s="493"/>
      <c r="V444" s="493"/>
      <c r="W444" s="555">
        <f>+Q444</f>
        <v>16128</v>
      </c>
      <c r="X444" s="1138"/>
      <c r="Y444" s="1156"/>
      <c r="Z444" s="1156"/>
      <c r="AA444" s="1156"/>
      <c r="AB444" s="1156"/>
      <c r="AC444" s="1156"/>
      <c r="AD444" s="1156"/>
      <c r="AE444" s="1156"/>
      <c r="AF444" s="1156"/>
      <c r="AG444" s="1156"/>
    </row>
    <row r="445" spans="1:33" s="280" customFormat="1">
      <c r="A445" s="1275">
        <v>322</v>
      </c>
      <c r="B445" s="523" t="s">
        <v>572</v>
      </c>
      <c r="C445" s="1504"/>
      <c r="D445" s="1358"/>
      <c r="E445" s="1358"/>
      <c r="F445" s="1358"/>
      <c r="G445" s="1358"/>
      <c r="H445" s="1358"/>
      <c r="I445" s="1358"/>
      <c r="J445" s="283"/>
      <c r="K445" s="1278"/>
      <c r="L445" s="1394"/>
      <c r="M445" s="495"/>
      <c r="N445" s="1277"/>
      <c r="O445" s="1395"/>
      <c r="P445" s="1277"/>
      <c r="Q445" s="1282">
        <f>+Q446+Q447+Q453+Q454</f>
        <v>7666.67</v>
      </c>
      <c r="R445" s="287"/>
      <c r="S445" s="1282">
        <f t="shared" ref="S445:AF445" si="115">+S446+S447+S453+S454</f>
        <v>0</v>
      </c>
      <c r="T445" s="1282">
        <f t="shared" si="115"/>
        <v>0</v>
      </c>
      <c r="U445" s="1282">
        <f t="shared" si="115"/>
        <v>0</v>
      </c>
      <c r="V445" s="1282">
        <f t="shared" si="115"/>
        <v>0</v>
      </c>
      <c r="W445" s="1282">
        <f t="shared" si="115"/>
        <v>0</v>
      </c>
      <c r="X445" s="1282">
        <f t="shared" si="115"/>
        <v>6667</v>
      </c>
      <c r="Y445" s="1282">
        <f t="shared" si="115"/>
        <v>0</v>
      </c>
      <c r="Z445" s="546">
        <f t="shared" si="115"/>
        <v>1000</v>
      </c>
      <c r="AA445" s="546">
        <f t="shared" si="115"/>
        <v>0</v>
      </c>
      <c r="AB445" s="546">
        <f t="shared" si="115"/>
        <v>0</v>
      </c>
      <c r="AC445" s="546">
        <f t="shared" si="115"/>
        <v>0</v>
      </c>
      <c r="AD445" s="546">
        <f t="shared" si="115"/>
        <v>0</v>
      </c>
      <c r="AE445" s="546">
        <f t="shared" si="115"/>
        <v>0</v>
      </c>
      <c r="AF445" s="546">
        <f t="shared" si="115"/>
        <v>0</v>
      </c>
      <c r="AG445" s="807">
        <f>SUM(S445:AF445)</f>
        <v>7667</v>
      </c>
    </row>
    <row r="446" spans="1:33" s="280" customFormat="1">
      <c r="A446" s="1533">
        <v>3221</v>
      </c>
      <c r="B446" s="337" t="s">
        <v>573</v>
      </c>
      <c r="C446" s="824" t="s">
        <v>574</v>
      </c>
      <c r="D446" s="1391"/>
      <c r="E446" s="1391">
        <v>30</v>
      </c>
      <c r="F446" s="829">
        <v>43159</v>
      </c>
      <c r="G446" s="829">
        <f>+F446+E446</f>
        <v>43189</v>
      </c>
      <c r="H446" s="1391" t="s">
        <v>555</v>
      </c>
      <c r="I446" s="294" t="s">
        <v>177</v>
      </c>
      <c r="J446" s="307"/>
      <c r="K446" s="326"/>
      <c r="L446" s="1241"/>
      <c r="M446" s="296"/>
      <c r="N446" s="294"/>
      <c r="O446" s="355"/>
      <c r="P446" s="294"/>
      <c r="Q446" s="355"/>
      <c r="R446" s="299"/>
      <c r="S446" s="298"/>
      <c r="T446" s="298"/>
      <c r="U446" s="298"/>
      <c r="V446" s="298"/>
      <c r="W446" s="355"/>
      <c r="X446" s="1137"/>
      <c r="Y446" s="1126"/>
      <c r="Z446" s="1126"/>
      <c r="AA446" s="1126"/>
      <c r="AB446" s="1126"/>
      <c r="AC446" s="1126"/>
      <c r="AD446" s="1126"/>
      <c r="AE446" s="1126"/>
      <c r="AF446" s="1126"/>
      <c r="AG446" s="1126"/>
    </row>
    <row r="447" spans="1:33" s="280" customFormat="1" ht="57" customHeight="1">
      <c r="A447" s="1442">
        <v>3222</v>
      </c>
      <c r="B447" s="561" t="s">
        <v>575</v>
      </c>
      <c r="C447" s="824" t="s">
        <v>576</v>
      </c>
      <c r="D447" s="1391"/>
      <c r="E447" s="294">
        <f>10+5</f>
        <v>15</v>
      </c>
      <c r="F447" s="829">
        <v>43313</v>
      </c>
      <c r="G447" s="829">
        <f>+E447+F447</f>
        <v>43328</v>
      </c>
      <c r="H447" s="1391" t="s">
        <v>555</v>
      </c>
      <c r="I447" s="294" t="s">
        <v>577</v>
      </c>
      <c r="J447" s="307" t="s">
        <v>578</v>
      </c>
      <c r="K447" s="1546" t="s">
        <v>268</v>
      </c>
      <c r="L447" s="1241"/>
      <c r="M447" s="296"/>
      <c r="N447" s="294"/>
      <c r="O447" s="487">
        <v>6666.67</v>
      </c>
      <c r="P447" s="294">
        <v>1</v>
      </c>
      <c r="Q447" s="555">
        <f>O447*P447</f>
        <v>6666.67</v>
      </c>
      <c r="R447" s="518"/>
      <c r="S447" s="493"/>
      <c r="T447" s="493"/>
      <c r="U447" s="493"/>
      <c r="V447" s="493"/>
      <c r="W447" s="357"/>
      <c r="X447" s="1140">
        <v>6667</v>
      </c>
      <c r="Y447" s="1156"/>
      <c r="Z447" s="1156"/>
      <c r="AA447" s="1156"/>
      <c r="AB447" s="1156"/>
      <c r="AC447" s="1156"/>
      <c r="AD447" s="1156"/>
      <c r="AE447" s="1156"/>
      <c r="AF447" s="1156"/>
      <c r="AG447" s="1156"/>
    </row>
    <row r="448" spans="1:33" s="280" customFormat="1">
      <c r="A448" s="1442">
        <v>3222</v>
      </c>
      <c r="B448" s="561" t="s">
        <v>575</v>
      </c>
      <c r="C448" s="824" t="s">
        <v>579</v>
      </c>
      <c r="D448" s="294" t="s">
        <v>514</v>
      </c>
      <c r="E448" s="294">
        <v>45</v>
      </c>
      <c r="F448" s="829">
        <v>43194</v>
      </c>
      <c r="G448" s="829">
        <f>+F448+E448</f>
        <v>43239</v>
      </c>
      <c r="H448" s="1391" t="s">
        <v>555</v>
      </c>
      <c r="I448" s="294" t="s">
        <v>169</v>
      </c>
      <c r="J448" s="307"/>
      <c r="K448" s="326" t="s">
        <v>302</v>
      </c>
      <c r="L448" s="1241">
        <v>23173</v>
      </c>
      <c r="M448" s="296"/>
      <c r="N448" s="294"/>
      <c r="O448" s="355">
        <f>O438</f>
        <v>202.6</v>
      </c>
      <c r="P448" s="294">
        <f>1</f>
        <v>1</v>
      </c>
      <c r="Q448" s="355">
        <f>+O448*P448</f>
        <v>202.6</v>
      </c>
      <c r="R448" s="299"/>
      <c r="S448" s="298"/>
      <c r="T448" s="298"/>
      <c r="U448" s="298"/>
      <c r="V448" s="298"/>
      <c r="W448" s="355"/>
      <c r="X448" s="1137"/>
      <c r="Y448" s="1126"/>
      <c r="Z448" s="1126"/>
      <c r="AA448" s="1126"/>
      <c r="AB448" s="1126"/>
      <c r="AC448" s="1126"/>
      <c r="AD448" s="1126"/>
      <c r="AE448" s="1126"/>
      <c r="AF448" s="1126"/>
      <c r="AG448" s="1126"/>
    </row>
    <row r="449" spans="1:33" s="280" customFormat="1">
      <c r="A449" s="1442">
        <v>3222</v>
      </c>
      <c r="B449" s="561" t="s">
        <v>575</v>
      </c>
      <c r="C449" s="824" t="s">
        <v>560</v>
      </c>
      <c r="D449" s="1391"/>
      <c r="E449" s="294">
        <v>10</v>
      </c>
      <c r="F449" s="829">
        <v>43313</v>
      </c>
      <c r="G449" s="829">
        <f>+F449+E449</f>
        <v>43323</v>
      </c>
      <c r="H449" s="1391" t="s">
        <v>555</v>
      </c>
      <c r="I449" s="294" t="s">
        <v>177</v>
      </c>
      <c r="J449" s="307"/>
      <c r="K449" s="326" t="s">
        <v>561</v>
      </c>
      <c r="L449" s="1241">
        <v>23174</v>
      </c>
      <c r="M449" s="296"/>
      <c r="N449" s="294"/>
      <c r="O449" s="355">
        <f>O439</f>
        <v>4064</v>
      </c>
      <c r="P449" s="294">
        <f>1</f>
        <v>1</v>
      </c>
      <c r="Q449" s="355">
        <f>+O449*P449</f>
        <v>4064</v>
      </c>
      <c r="R449" s="299"/>
      <c r="S449" s="298"/>
      <c r="T449" s="298"/>
      <c r="U449" s="298"/>
      <c r="V449" s="298"/>
      <c r="W449" s="355"/>
      <c r="X449" s="1137"/>
      <c r="Y449" s="1126"/>
      <c r="Z449" s="1126"/>
      <c r="AA449" s="1126"/>
      <c r="AB449" s="1126"/>
      <c r="AC449" s="1126"/>
      <c r="AD449" s="1126"/>
      <c r="AE449" s="1126"/>
      <c r="AF449" s="1126"/>
      <c r="AG449" s="1126"/>
    </row>
    <row r="450" spans="1:33" s="280" customFormat="1">
      <c r="A450" s="1442">
        <v>3222</v>
      </c>
      <c r="B450" s="561" t="s">
        <v>575</v>
      </c>
      <c r="C450" s="824" t="s">
        <v>562</v>
      </c>
      <c r="D450" s="1391"/>
      <c r="E450" s="294">
        <f>10</f>
        <v>10</v>
      </c>
      <c r="F450" s="829">
        <v>43313</v>
      </c>
      <c r="G450" s="829">
        <f>+F450+E450</f>
        <v>43323</v>
      </c>
      <c r="H450" s="1391" t="s">
        <v>555</v>
      </c>
      <c r="I450" s="294" t="s">
        <v>177</v>
      </c>
      <c r="J450" s="307"/>
      <c r="K450" s="326" t="s">
        <v>563</v>
      </c>
      <c r="L450" s="1241">
        <v>23174</v>
      </c>
      <c r="M450" s="296"/>
      <c r="N450" s="294"/>
      <c r="O450" s="355">
        <f>O440</f>
        <v>1640</v>
      </c>
      <c r="P450" s="294">
        <f>1</f>
        <v>1</v>
      </c>
      <c r="Q450" s="355">
        <f>+O450*P450</f>
        <v>1640</v>
      </c>
      <c r="R450" s="299"/>
      <c r="S450" s="298"/>
      <c r="T450" s="298"/>
      <c r="U450" s="298"/>
      <c r="V450" s="298"/>
      <c r="W450" s="355"/>
      <c r="X450" s="1137"/>
      <c r="Y450" s="1126"/>
      <c r="Z450" s="1126"/>
      <c r="AA450" s="1126"/>
      <c r="AB450" s="1126"/>
      <c r="AC450" s="1126"/>
      <c r="AD450" s="1126"/>
      <c r="AE450" s="1126"/>
      <c r="AF450" s="1126"/>
      <c r="AG450" s="1126"/>
    </row>
    <row r="451" spans="1:33" s="280" customFormat="1">
      <c r="A451" s="1442">
        <v>3222</v>
      </c>
      <c r="B451" s="561" t="s">
        <v>575</v>
      </c>
      <c r="C451" s="824" t="s">
        <v>564</v>
      </c>
      <c r="D451" s="1391"/>
      <c r="E451" s="294">
        <f>10</f>
        <v>10</v>
      </c>
      <c r="F451" s="829">
        <v>43313</v>
      </c>
      <c r="G451" s="829">
        <f>+F451+E451</f>
        <v>43323</v>
      </c>
      <c r="H451" s="1391" t="s">
        <v>555</v>
      </c>
      <c r="I451" s="294" t="s">
        <v>177</v>
      </c>
      <c r="J451" s="307"/>
      <c r="K451" s="326" t="s">
        <v>565</v>
      </c>
      <c r="L451" s="1241">
        <v>23174</v>
      </c>
      <c r="M451" s="296"/>
      <c r="N451" s="294"/>
      <c r="O451" s="355">
        <f>O441</f>
        <v>426.73333333333335</v>
      </c>
      <c r="P451" s="294">
        <f>1</f>
        <v>1</v>
      </c>
      <c r="Q451" s="355">
        <f>+O451*P451</f>
        <v>426.73333333333335</v>
      </c>
      <c r="R451" s="299"/>
      <c r="S451" s="298"/>
      <c r="T451" s="298"/>
      <c r="U451" s="298"/>
      <c r="V451" s="298"/>
      <c r="W451" s="355"/>
      <c r="X451" s="1137"/>
      <c r="Y451" s="1126"/>
      <c r="Z451" s="1126"/>
      <c r="AA451" s="1126"/>
      <c r="AB451" s="1126"/>
      <c r="AC451" s="1126"/>
      <c r="AD451" s="1126"/>
      <c r="AE451" s="1126"/>
      <c r="AF451" s="1126"/>
      <c r="AG451" s="1126"/>
    </row>
    <row r="452" spans="1:33" s="280" customFormat="1">
      <c r="A452" s="1442">
        <v>3222</v>
      </c>
      <c r="B452" s="561" t="s">
        <v>575</v>
      </c>
      <c r="C452" s="824" t="s">
        <v>566</v>
      </c>
      <c r="D452" s="1391"/>
      <c r="E452" s="294">
        <f>10</f>
        <v>10</v>
      </c>
      <c r="F452" s="829">
        <v>43313</v>
      </c>
      <c r="G452" s="829">
        <f>+F452+E452</f>
        <v>43323</v>
      </c>
      <c r="H452" s="1391" t="s">
        <v>555</v>
      </c>
      <c r="I452" s="294" t="s">
        <v>169</v>
      </c>
      <c r="J452" s="307" t="s">
        <v>177</v>
      </c>
      <c r="K452" s="326" t="s">
        <v>486</v>
      </c>
      <c r="L452" s="1241">
        <v>23173</v>
      </c>
      <c r="M452" s="296"/>
      <c r="N452" s="294"/>
      <c r="O452" s="355">
        <f>O442</f>
        <v>333.33333333333331</v>
      </c>
      <c r="P452" s="294">
        <f>1</f>
        <v>1</v>
      </c>
      <c r="Q452" s="355">
        <f>+O452*P452</f>
        <v>333.33333333333331</v>
      </c>
      <c r="R452" s="299"/>
      <c r="S452" s="298"/>
      <c r="T452" s="298"/>
      <c r="U452" s="298"/>
      <c r="V452" s="298"/>
      <c r="W452" s="355"/>
      <c r="X452" s="1137"/>
      <c r="Y452" s="1126"/>
      <c r="Z452" s="1126"/>
      <c r="AA452" s="1126"/>
      <c r="AB452" s="1126"/>
      <c r="AC452" s="1126"/>
      <c r="AD452" s="1126"/>
      <c r="AE452" s="1126"/>
      <c r="AF452" s="1126"/>
      <c r="AG452" s="1126"/>
    </row>
    <row r="453" spans="1:33" s="280" customFormat="1" ht="31.5">
      <c r="A453" s="1442">
        <v>3223</v>
      </c>
      <c r="B453" s="291" t="s">
        <v>580</v>
      </c>
      <c r="C453" s="824" t="s">
        <v>581</v>
      </c>
      <c r="D453" s="1391"/>
      <c r="E453" s="294">
        <v>45</v>
      </c>
      <c r="F453" s="829">
        <v>43332</v>
      </c>
      <c r="G453" s="829">
        <f>+E453+F453</f>
        <v>43377</v>
      </c>
      <c r="H453" s="1391" t="s">
        <v>555</v>
      </c>
      <c r="I453" s="294" t="s">
        <v>582</v>
      </c>
      <c r="J453" s="552" t="s">
        <v>177</v>
      </c>
      <c r="K453" s="1547"/>
      <c r="L453" s="1241"/>
      <c r="M453" s="296"/>
      <c r="N453" s="294"/>
      <c r="O453" s="487"/>
      <c r="P453" s="294"/>
      <c r="Q453" s="487"/>
      <c r="R453" s="518"/>
      <c r="S453" s="493"/>
      <c r="T453" s="493"/>
      <c r="U453" s="493"/>
      <c r="V453" s="493"/>
      <c r="W453" s="487"/>
      <c r="X453" s="1138"/>
      <c r="Y453" s="1156"/>
      <c r="Z453" s="1156"/>
      <c r="AA453" s="1156"/>
      <c r="AB453" s="1156"/>
      <c r="AC453" s="1156"/>
      <c r="AD453" s="1156"/>
      <c r="AE453" s="1156"/>
      <c r="AF453" s="1156"/>
      <c r="AG453" s="1156"/>
    </row>
    <row r="454" spans="1:33" s="280" customFormat="1">
      <c r="A454" s="1533">
        <v>3224</v>
      </c>
      <c r="B454" s="291" t="s">
        <v>583</v>
      </c>
      <c r="C454" s="824" t="s">
        <v>584</v>
      </c>
      <c r="D454" s="1396"/>
      <c r="E454" s="1391">
        <v>5</v>
      </c>
      <c r="F454" s="829">
        <v>43381</v>
      </c>
      <c r="G454" s="829">
        <f>+F454+E454</f>
        <v>43386</v>
      </c>
      <c r="H454" s="1391" t="s">
        <v>555</v>
      </c>
      <c r="I454" s="294" t="s">
        <v>169</v>
      </c>
      <c r="J454" s="307" t="s">
        <v>177</v>
      </c>
      <c r="K454" s="326"/>
      <c r="L454" s="1241">
        <v>23173</v>
      </c>
      <c r="M454" s="296"/>
      <c r="N454" s="294"/>
      <c r="O454" s="487">
        <v>1000</v>
      </c>
      <c r="P454" s="294">
        <v>1</v>
      </c>
      <c r="Q454" s="555">
        <f>+O454*P454</f>
        <v>1000</v>
      </c>
      <c r="R454" s="518"/>
      <c r="S454" s="493"/>
      <c r="T454" s="493"/>
      <c r="U454" s="493"/>
      <c r="V454" s="493"/>
      <c r="W454" s="487"/>
      <c r="X454" s="563"/>
      <c r="Y454" s="1156"/>
      <c r="Z454" s="1156">
        <v>1000</v>
      </c>
      <c r="AA454" s="1156"/>
      <c r="AB454" s="1156"/>
      <c r="AC454" s="1156"/>
      <c r="AD454" s="1156"/>
      <c r="AE454" s="1156"/>
      <c r="AF454" s="1156"/>
      <c r="AG454" s="1158">
        <v>1000</v>
      </c>
    </row>
    <row r="455" spans="1:33" s="280" customFormat="1" ht="16.5" customHeight="1">
      <c r="A455" s="1275">
        <v>323</v>
      </c>
      <c r="B455" s="523" t="s">
        <v>585</v>
      </c>
      <c r="C455" s="1504"/>
      <c r="D455" s="1358"/>
      <c r="E455" s="1358"/>
      <c r="F455" s="1358"/>
      <c r="G455" s="1358"/>
      <c r="H455" s="1358"/>
      <c r="I455" s="1358"/>
      <c r="J455" s="283"/>
      <c r="K455" s="1278"/>
      <c r="L455" s="1394"/>
      <c r="M455" s="495"/>
      <c r="N455" s="1277"/>
      <c r="O455" s="1395"/>
      <c r="P455" s="1277"/>
      <c r="Q455" s="1282">
        <f>+Q457+Q464+Q468</f>
        <v>14314.71</v>
      </c>
      <c r="R455" s="287"/>
      <c r="S455" s="1282">
        <f t="shared" ref="S455:AF455" si="116">+S457+S464+S468</f>
        <v>0</v>
      </c>
      <c r="T455" s="1282">
        <f t="shared" si="116"/>
        <v>0</v>
      </c>
      <c r="U455" s="1282">
        <f t="shared" si="116"/>
        <v>0</v>
      </c>
      <c r="V455" s="1282">
        <f t="shared" si="116"/>
        <v>0</v>
      </c>
      <c r="W455" s="1282">
        <f t="shared" si="116"/>
        <v>5670.2966666666662</v>
      </c>
      <c r="X455" s="1282">
        <f t="shared" si="116"/>
        <v>0</v>
      </c>
      <c r="Y455" s="1282">
        <f t="shared" si="116"/>
        <v>8644.4133333333339</v>
      </c>
      <c r="Z455" s="546">
        <f t="shared" si="116"/>
        <v>0</v>
      </c>
      <c r="AA455" s="546">
        <f t="shared" si="116"/>
        <v>0</v>
      </c>
      <c r="AB455" s="546">
        <f t="shared" si="116"/>
        <v>0</v>
      </c>
      <c r="AC455" s="546">
        <f t="shared" si="116"/>
        <v>0</v>
      </c>
      <c r="AD455" s="546">
        <f t="shared" si="116"/>
        <v>0</v>
      </c>
      <c r="AE455" s="546">
        <f t="shared" si="116"/>
        <v>0</v>
      </c>
      <c r="AF455" s="546">
        <f t="shared" si="116"/>
        <v>0</v>
      </c>
      <c r="AG455" s="807">
        <f>SUM(S455:AF455)</f>
        <v>14314.71</v>
      </c>
    </row>
    <row r="456" spans="1:33" s="280" customFormat="1">
      <c r="A456" s="1398">
        <v>3231</v>
      </c>
      <c r="B456" s="291" t="s">
        <v>586</v>
      </c>
      <c r="C456" s="824" t="s">
        <v>587</v>
      </c>
      <c r="D456" s="1391"/>
      <c r="E456" s="294">
        <v>30</v>
      </c>
      <c r="F456" s="829">
        <v>43159</v>
      </c>
      <c r="G456" s="829">
        <f>+F456+E456</f>
        <v>43189</v>
      </c>
      <c r="H456" s="1391"/>
      <c r="I456" s="294" t="s">
        <v>177</v>
      </c>
      <c r="J456" s="307"/>
      <c r="K456" s="326"/>
      <c r="L456" s="1241"/>
      <c r="M456" s="296"/>
      <c r="N456" s="294"/>
      <c r="O456" s="355"/>
      <c r="P456" s="294"/>
      <c r="Q456" s="355"/>
      <c r="R456" s="299"/>
      <c r="S456" s="298"/>
      <c r="T456" s="298"/>
      <c r="U456" s="298"/>
      <c r="V456" s="298"/>
      <c r="W456" s="355"/>
      <c r="X456" s="1137"/>
      <c r="Y456" s="1126"/>
      <c r="Z456" s="1152"/>
      <c r="AA456" s="1152"/>
      <c r="AB456" s="1152"/>
      <c r="AC456" s="1152"/>
      <c r="AD456" s="1152"/>
      <c r="AE456" s="1152"/>
      <c r="AF456" s="1152"/>
      <c r="AG456" s="1126"/>
    </row>
    <row r="457" spans="1:33" s="280" customFormat="1" ht="66" customHeight="1">
      <c r="A457" s="1398">
        <v>3232</v>
      </c>
      <c r="B457" s="291" t="s">
        <v>588</v>
      </c>
      <c r="C457" s="824" t="s">
        <v>589</v>
      </c>
      <c r="D457" s="1391"/>
      <c r="E457" s="294">
        <v>11</v>
      </c>
      <c r="F457" s="829">
        <v>43287</v>
      </c>
      <c r="G457" s="829">
        <f t="shared" ref="G457:G462" si="117">+F457+E457</f>
        <v>43298</v>
      </c>
      <c r="H457" s="1391"/>
      <c r="I457" s="294" t="s">
        <v>177</v>
      </c>
      <c r="J457" s="307" t="s">
        <v>590</v>
      </c>
      <c r="K457" s="326"/>
      <c r="L457" s="1241"/>
      <c r="M457" s="296"/>
      <c r="N457" s="294"/>
      <c r="O457" s="487">
        <v>5293</v>
      </c>
      <c r="P457" s="294">
        <v>1</v>
      </c>
      <c r="Q457" s="555">
        <f>SUM(Q458:Q463)</f>
        <v>5670.2966666666662</v>
      </c>
      <c r="R457" s="518"/>
      <c r="S457" s="493"/>
      <c r="T457" s="493"/>
      <c r="U457" s="493"/>
      <c r="V457" s="493"/>
      <c r="W457" s="565">
        <f>+Q457</f>
        <v>5670.2966666666662</v>
      </c>
      <c r="X457" s="1397"/>
      <c r="Y457" s="1156"/>
      <c r="Z457" s="1152"/>
      <c r="AA457" s="1152"/>
      <c r="AB457" s="1152"/>
      <c r="AC457" s="1152"/>
      <c r="AD457" s="1152"/>
      <c r="AE457" s="1152"/>
      <c r="AF457" s="1152"/>
      <c r="AG457" s="1156"/>
    </row>
    <row r="458" spans="1:33" s="280" customFormat="1">
      <c r="A458" s="1398">
        <v>3232</v>
      </c>
      <c r="B458" s="291" t="s">
        <v>588</v>
      </c>
      <c r="C458" s="824" t="s">
        <v>579</v>
      </c>
      <c r="D458" s="341"/>
      <c r="E458" s="294">
        <v>45</v>
      </c>
      <c r="F458" s="829">
        <v>43194</v>
      </c>
      <c r="G458" s="829">
        <f>+F458+E458</f>
        <v>43239</v>
      </c>
      <c r="H458" s="1391"/>
      <c r="I458" s="294" t="s">
        <v>169</v>
      </c>
      <c r="J458" s="307" t="s">
        <v>177</v>
      </c>
      <c r="K458" s="326" t="s">
        <v>302</v>
      </c>
      <c r="L458" s="1241">
        <v>23173</v>
      </c>
      <c r="M458" s="296"/>
      <c r="N458" s="294"/>
      <c r="O458" s="355">
        <f>'[4]BUDGET CAPITALISATION'!$D$29</f>
        <v>79.5</v>
      </c>
      <c r="P458" s="294">
        <v>1</v>
      </c>
      <c r="Q458" s="355">
        <f t="shared" ref="Q458:Q473" si="118">+O458*P458</f>
        <v>79.5</v>
      </c>
      <c r="R458" s="299"/>
      <c r="S458" s="298"/>
      <c r="T458" s="298"/>
      <c r="U458" s="298"/>
      <c r="V458" s="298"/>
      <c r="W458" s="355"/>
      <c r="X458" s="1137"/>
      <c r="Y458" s="1126"/>
      <c r="Z458" s="1152"/>
      <c r="AA458" s="1152"/>
      <c r="AB458" s="1152"/>
      <c r="AC458" s="1152"/>
      <c r="AD458" s="1152"/>
      <c r="AE458" s="1152"/>
      <c r="AF458" s="1152"/>
      <c r="AG458" s="1126"/>
    </row>
    <row r="459" spans="1:33" s="280" customFormat="1">
      <c r="A459" s="1398">
        <v>3232</v>
      </c>
      <c r="B459" s="291" t="s">
        <v>588</v>
      </c>
      <c r="C459" s="824" t="s">
        <v>560</v>
      </c>
      <c r="D459" s="1391"/>
      <c r="E459" s="294">
        <v>6</v>
      </c>
      <c r="F459" s="829">
        <v>43287</v>
      </c>
      <c r="G459" s="829">
        <f t="shared" si="117"/>
        <v>43293</v>
      </c>
      <c r="H459" s="1391"/>
      <c r="I459" s="294" t="s">
        <v>177</v>
      </c>
      <c r="J459" s="307"/>
      <c r="K459" s="326" t="s">
        <v>561</v>
      </c>
      <c r="L459" s="1241">
        <v>23174</v>
      </c>
      <c r="M459" s="296"/>
      <c r="N459" s="294"/>
      <c r="O459" s="355">
        <f>'[4]BUDGET CAPITALISATION'!$D$26</f>
        <v>2400</v>
      </c>
      <c r="P459" s="294">
        <v>1</v>
      </c>
      <c r="Q459" s="355">
        <f t="shared" si="118"/>
        <v>2400</v>
      </c>
      <c r="R459" s="299"/>
      <c r="S459" s="298"/>
      <c r="T459" s="298"/>
      <c r="U459" s="298"/>
      <c r="V459" s="298"/>
      <c r="W459" s="355"/>
      <c r="X459" s="1137"/>
      <c r="Y459" s="1126"/>
      <c r="Z459" s="1152"/>
      <c r="AA459" s="1152"/>
      <c r="AB459" s="1152"/>
      <c r="AC459" s="1152"/>
      <c r="AD459" s="1152"/>
      <c r="AE459" s="1152"/>
      <c r="AF459" s="1152"/>
      <c r="AG459" s="1126"/>
    </row>
    <row r="460" spans="1:33" s="280" customFormat="1" ht="36" customHeight="1">
      <c r="A460" s="1398">
        <v>3232</v>
      </c>
      <c r="B460" s="291" t="s">
        <v>588</v>
      </c>
      <c r="C460" s="824" t="s">
        <v>562</v>
      </c>
      <c r="D460" s="1391"/>
      <c r="E460" s="294">
        <v>6</v>
      </c>
      <c r="F460" s="829">
        <v>43287</v>
      </c>
      <c r="G460" s="829">
        <f t="shared" si="117"/>
        <v>43293</v>
      </c>
      <c r="H460" s="1391"/>
      <c r="I460" s="294" t="s">
        <v>177</v>
      </c>
      <c r="J460" s="307"/>
      <c r="K460" s="326" t="s">
        <v>563</v>
      </c>
      <c r="L460" s="1241">
        <v>23174</v>
      </c>
      <c r="M460" s="296"/>
      <c r="N460" s="294"/>
      <c r="O460" s="355">
        <f>'[4]BUDGET CAPITALISATION'!$D$27</f>
        <v>1973.3333333333333</v>
      </c>
      <c r="P460" s="294">
        <v>1</v>
      </c>
      <c r="Q460" s="355">
        <f t="shared" si="118"/>
        <v>1973.3333333333333</v>
      </c>
      <c r="R460" s="299"/>
      <c r="S460" s="298"/>
      <c r="T460" s="298"/>
      <c r="U460" s="298"/>
      <c r="V460" s="298"/>
      <c r="W460" s="355"/>
      <c r="X460" s="1137"/>
      <c r="Y460" s="1126"/>
      <c r="Z460" s="1152"/>
      <c r="AA460" s="1152"/>
      <c r="AB460" s="1152"/>
      <c r="AC460" s="1152"/>
      <c r="AD460" s="1152"/>
      <c r="AE460" s="1152"/>
      <c r="AF460" s="1152"/>
      <c r="AG460" s="1126"/>
    </row>
    <row r="461" spans="1:33" s="280" customFormat="1" ht="36" customHeight="1">
      <c r="A461" s="1398">
        <v>3232</v>
      </c>
      <c r="B461" s="291" t="s">
        <v>588</v>
      </c>
      <c r="C461" s="824" t="s">
        <v>564</v>
      </c>
      <c r="D461" s="1391"/>
      <c r="E461" s="294">
        <v>6</v>
      </c>
      <c r="F461" s="829">
        <v>43287</v>
      </c>
      <c r="G461" s="829">
        <f t="shared" si="117"/>
        <v>43293</v>
      </c>
      <c r="H461" s="1391"/>
      <c r="I461" s="294" t="s">
        <v>177</v>
      </c>
      <c r="J461" s="307"/>
      <c r="K461" s="326" t="s">
        <v>565</v>
      </c>
      <c r="L461" s="1241">
        <v>23174</v>
      </c>
      <c r="M461" s="296"/>
      <c r="N461" s="294"/>
      <c r="O461" s="355">
        <f>'[4]BUDGET CAPITALISATION'!$D$28</f>
        <v>340.13333333333333</v>
      </c>
      <c r="P461" s="294">
        <v>1</v>
      </c>
      <c r="Q461" s="355">
        <f t="shared" si="118"/>
        <v>340.13333333333333</v>
      </c>
      <c r="R461" s="299"/>
      <c r="S461" s="298"/>
      <c r="T461" s="298"/>
      <c r="U461" s="298"/>
      <c r="V461" s="298"/>
      <c r="W461" s="355"/>
      <c r="X461" s="1137"/>
      <c r="Y461" s="1126"/>
      <c r="Z461" s="1152"/>
      <c r="AA461" s="1152"/>
      <c r="AB461" s="1152"/>
      <c r="AC461" s="1152"/>
      <c r="AD461" s="1152"/>
      <c r="AE461" s="1152"/>
      <c r="AF461" s="1152"/>
      <c r="AG461" s="1126"/>
    </row>
    <row r="462" spans="1:33" s="280" customFormat="1" ht="36" customHeight="1">
      <c r="A462" s="1398">
        <v>3232</v>
      </c>
      <c r="B462" s="291" t="s">
        <v>588</v>
      </c>
      <c r="C462" s="824" t="s">
        <v>566</v>
      </c>
      <c r="D462" s="1391"/>
      <c r="E462" s="294">
        <v>6</v>
      </c>
      <c r="F462" s="829">
        <v>43287</v>
      </c>
      <c r="G462" s="829">
        <f t="shared" si="117"/>
        <v>43293</v>
      </c>
      <c r="H462" s="1391"/>
      <c r="I462" s="294" t="s">
        <v>169</v>
      </c>
      <c r="J462" s="307" t="s">
        <v>177</v>
      </c>
      <c r="K462" s="326" t="s">
        <v>486</v>
      </c>
      <c r="L462" s="1241">
        <v>23173</v>
      </c>
      <c r="M462" s="296"/>
      <c r="N462" s="294"/>
      <c r="O462" s="355">
        <f>'[4]BUDGET CAPITALISATION'!$D$30</f>
        <v>500</v>
      </c>
      <c r="P462" s="294">
        <v>1</v>
      </c>
      <c r="Q462" s="355">
        <f t="shared" si="118"/>
        <v>500</v>
      </c>
      <c r="R462" s="299"/>
      <c r="S462" s="298"/>
      <c r="T462" s="298"/>
      <c r="U462" s="298"/>
      <c r="V462" s="298"/>
      <c r="W462" s="355"/>
      <c r="X462" s="1137"/>
      <c r="Y462" s="1126"/>
      <c r="Z462" s="1152"/>
      <c r="AA462" s="1152"/>
      <c r="AB462" s="1152"/>
      <c r="AC462" s="1152"/>
      <c r="AD462" s="1152"/>
      <c r="AE462" s="1152"/>
      <c r="AF462" s="1152"/>
      <c r="AG462" s="1126"/>
    </row>
    <row r="463" spans="1:33" s="280" customFormat="1">
      <c r="A463" s="1398">
        <v>3232</v>
      </c>
      <c r="B463" s="291" t="s">
        <v>588</v>
      </c>
      <c r="C463" s="824" t="s">
        <v>591</v>
      </c>
      <c r="D463" s="341" t="s">
        <v>514</v>
      </c>
      <c r="E463" s="294">
        <v>45</v>
      </c>
      <c r="F463" s="829">
        <v>43298</v>
      </c>
      <c r="G463" s="829">
        <f t="shared" ref="G463:G473" si="119">+F463+E463</f>
        <v>43343</v>
      </c>
      <c r="H463" s="1391"/>
      <c r="I463" s="294" t="s">
        <v>169</v>
      </c>
      <c r="J463" s="307" t="s">
        <v>177</v>
      </c>
      <c r="K463" s="326"/>
      <c r="L463" s="1677">
        <v>23173</v>
      </c>
      <c r="M463" s="296"/>
      <c r="N463" s="294"/>
      <c r="O463" s="355">
        <v>377.33</v>
      </c>
      <c r="P463" s="294">
        <v>1</v>
      </c>
      <c r="Q463" s="355">
        <f t="shared" si="118"/>
        <v>377.33</v>
      </c>
      <c r="R463" s="299"/>
      <c r="S463" s="298"/>
      <c r="T463" s="298"/>
      <c r="U463" s="298"/>
      <c r="V463" s="298"/>
      <c r="W463" s="355"/>
      <c r="X463" s="1183">
        <f>+Q463</f>
        <v>377.33</v>
      </c>
      <c r="Y463" s="1126"/>
      <c r="Z463" s="1152"/>
      <c r="AA463" s="1152"/>
      <c r="AB463" s="1152"/>
      <c r="AC463" s="1152"/>
      <c r="AD463" s="1152"/>
      <c r="AE463" s="1152"/>
      <c r="AF463" s="1152"/>
      <c r="AG463" s="1126"/>
    </row>
    <row r="464" spans="1:33" s="280" customFormat="1" ht="15.75" customHeight="1">
      <c r="A464" s="1398">
        <v>3233</v>
      </c>
      <c r="B464" s="567" t="s">
        <v>458</v>
      </c>
      <c r="C464" s="824" t="s">
        <v>592</v>
      </c>
      <c r="D464" s="1391"/>
      <c r="E464" s="1391">
        <v>14</v>
      </c>
      <c r="F464" s="829">
        <v>43346</v>
      </c>
      <c r="G464" s="829">
        <f t="shared" si="119"/>
        <v>43360</v>
      </c>
      <c r="H464" s="1391"/>
      <c r="I464" s="294" t="s">
        <v>177</v>
      </c>
      <c r="J464" s="307"/>
      <c r="K464" s="326"/>
      <c r="L464" s="1241"/>
      <c r="M464" s="296"/>
      <c r="N464" s="294"/>
      <c r="O464" s="487">
        <f>+SUM(O465:O467)</f>
        <v>4410.4133333333339</v>
      </c>
      <c r="P464" s="294">
        <v>1</v>
      </c>
      <c r="Q464" s="555">
        <f t="shared" si="118"/>
        <v>4410.4133333333339</v>
      </c>
      <c r="R464" s="518"/>
      <c r="S464" s="493"/>
      <c r="T464" s="493"/>
      <c r="U464" s="493"/>
      <c r="V464" s="493"/>
      <c r="W464" s="487"/>
      <c r="X464" s="1138"/>
      <c r="Y464" s="1156">
        <f>O464</f>
        <v>4410.4133333333339</v>
      </c>
      <c r="Z464" s="1152"/>
      <c r="AA464" s="1152"/>
      <c r="AB464" s="1152"/>
      <c r="AC464" s="1152"/>
      <c r="AD464" s="1152"/>
      <c r="AE464" s="1152"/>
      <c r="AF464" s="1152"/>
      <c r="AG464" s="1158"/>
    </row>
    <row r="465" spans="1:33" s="280" customFormat="1" ht="15.75" customHeight="1">
      <c r="A465" s="1398">
        <v>3233</v>
      </c>
      <c r="B465" s="567" t="s">
        <v>458</v>
      </c>
      <c r="C465" s="824" t="s">
        <v>560</v>
      </c>
      <c r="D465" s="1391"/>
      <c r="E465" s="1391">
        <v>9</v>
      </c>
      <c r="F465" s="829">
        <v>43346</v>
      </c>
      <c r="G465" s="829">
        <f t="shared" si="119"/>
        <v>43355</v>
      </c>
      <c r="H465" s="1391"/>
      <c r="I465" s="294"/>
      <c r="J465" s="307"/>
      <c r="K465" s="326" t="s">
        <v>561</v>
      </c>
      <c r="L465" s="1241">
        <v>23174</v>
      </c>
      <c r="M465" s="296"/>
      <c r="N465" s="294"/>
      <c r="O465" s="487">
        <f>'[4]BUDGET TESTING'!$D$35</f>
        <v>2546</v>
      </c>
      <c r="P465" s="294">
        <v>1</v>
      </c>
      <c r="Q465" s="355">
        <f t="shared" si="118"/>
        <v>2546</v>
      </c>
      <c r="R465" s="299"/>
      <c r="S465" s="298"/>
      <c r="T465" s="298"/>
      <c r="U465" s="298"/>
      <c r="V465" s="298"/>
      <c r="W465" s="355"/>
      <c r="X465" s="1137"/>
      <c r="Y465" s="1126"/>
      <c r="Z465" s="1152"/>
      <c r="AA465" s="1152"/>
      <c r="AB465" s="1152"/>
      <c r="AC465" s="1152"/>
      <c r="AD465" s="1152"/>
      <c r="AE465" s="1152"/>
      <c r="AF465" s="1152"/>
      <c r="AG465" s="1126"/>
    </row>
    <row r="466" spans="1:33" s="280" customFormat="1" ht="15.75" customHeight="1">
      <c r="A466" s="1398">
        <v>3233</v>
      </c>
      <c r="B466" s="567" t="s">
        <v>458</v>
      </c>
      <c r="C466" s="824" t="s">
        <v>562</v>
      </c>
      <c r="D466" s="1391"/>
      <c r="E466" s="1391">
        <v>9</v>
      </c>
      <c r="F466" s="829">
        <v>43346</v>
      </c>
      <c r="G466" s="829">
        <f t="shared" si="119"/>
        <v>43355</v>
      </c>
      <c r="H466" s="1391"/>
      <c r="I466" s="294"/>
      <c r="J466" s="307"/>
      <c r="K466" s="326" t="s">
        <v>563</v>
      </c>
      <c r="L466" s="1241">
        <v>23174</v>
      </c>
      <c r="M466" s="296"/>
      <c r="N466" s="294"/>
      <c r="O466" s="487">
        <f>'[4]BUDGET TESTING'!$D$36</f>
        <v>1306.6666666666667</v>
      </c>
      <c r="P466" s="294">
        <v>1</v>
      </c>
      <c r="Q466" s="355">
        <f t="shared" si="118"/>
        <v>1306.6666666666667</v>
      </c>
      <c r="R466" s="299"/>
      <c r="S466" s="298"/>
      <c r="T466" s="298"/>
      <c r="U466" s="298"/>
      <c r="V466" s="298"/>
      <c r="W466" s="355"/>
      <c r="X466" s="1137"/>
      <c r="Y466" s="1126"/>
      <c r="Z466" s="1152"/>
      <c r="AA466" s="1152"/>
      <c r="AB466" s="1152"/>
      <c r="AC466" s="1152"/>
      <c r="AD466" s="1152"/>
      <c r="AE466" s="1152"/>
      <c r="AF466" s="1152"/>
      <c r="AG466" s="1126"/>
    </row>
    <row r="467" spans="1:33" s="280" customFormat="1" ht="15.75" customHeight="1">
      <c r="A467" s="1398">
        <v>3233</v>
      </c>
      <c r="B467" s="567" t="s">
        <v>458</v>
      </c>
      <c r="C467" s="824" t="s">
        <v>564</v>
      </c>
      <c r="D467" s="1391"/>
      <c r="E467" s="1391">
        <v>9</v>
      </c>
      <c r="F467" s="829">
        <v>43346</v>
      </c>
      <c r="G467" s="829">
        <f t="shared" si="119"/>
        <v>43355</v>
      </c>
      <c r="H467" s="1391"/>
      <c r="I467" s="294"/>
      <c r="J467" s="307"/>
      <c r="K467" s="326" t="s">
        <v>565</v>
      </c>
      <c r="L467" s="1241">
        <v>23174</v>
      </c>
      <c r="M467" s="296"/>
      <c r="N467" s="294"/>
      <c r="O467" s="487">
        <f>'[4]BUDGET TESTING'!$D$37</f>
        <v>557.74666666666667</v>
      </c>
      <c r="P467" s="294">
        <v>1</v>
      </c>
      <c r="Q467" s="355">
        <f t="shared" si="118"/>
        <v>557.74666666666667</v>
      </c>
      <c r="R467" s="299"/>
      <c r="S467" s="298"/>
      <c r="T467" s="298"/>
      <c r="U467" s="298"/>
      <c r="V467" s="298"/>
      <c r="W467" s="355"/>
      <c r="X467" s="1137"/>
      <c r="Y467" s="1126"/>
      <c r="Z467" s="1152"/>
      <c r="AA467" s="1152"/>
      <c r="AB467" s="1152"/>
      <c r="AC467" s="1152"/>
      <c r="AD467" s="1152"/>
      <c r="AE467" s="1152"/>
      <c r="AF467" s="1152"/>
      <c r="AG467" s="1126"/>
    </row>
    <row r="468" spans="1:33" s="280" customFormat="1" ht="47.25">
      <c r="A468" s="1398">
        <v>3234</v>
      </c>
      <c r="B468" s="291" t="s">
        <v>593</v>
      </c>
      <c r="C468" s="824" t="s">
        <v>594</v>
      </c>
      <c r="D468" s="294"/>
      <c r="E468" s="294">
        <f>4+5</f>
        <v>9</v>
      </c>
      <c r="F468" s="829">
        <v>43367</v>
      </c>
      <c r="G468" s="829">
        <f t="shared" si="119"/>
        <v>43376</v>
      </c>
      <c r="H468" s="1391"/>
      <c r="I468" s="294" t="s">
        <v>177</v>
      </c>
      <c r="J468" s="307" t="s">
        <v>595</v>
      </c>
      <c r="K468" s="326"/>
      <c r="L468" s="1241"/>
      <c r="M468" s="296"/>
      <c r="N468" s="294"/>
      <c r="O468" s="487">
        <v>4234</v>
      </c>
      <c r="P468" s="294">
        <v>1</v>
      </c>
      <c r="Q468" s="555">
        <f t="shared" si="118"/>
        <v>4234</v>
      </c>
      <c r="R468" s="518"/>
      <c r="S468" s="493"/>
      <c r="T468" s="493"/>
      <c r="U468" s="493"/>
      <c r="V468" s="493"/>
      <c r="W468" s="487"/>
      <c r="X468" s="1138"/>
      <c r="Y468" s="1158">
        <v>4234</v>
      </c>
      <c r="Z468" s="1152"/>
      <c r="AA468" s="1152"/>
      <c r="AB468" s="1152"/>
      <c r="AC468" s="1152"/>
      <c r="AD468" s="1152"/>
      <c r="AE468" s="1152"/>
      <c r="AF468" s="1152"/>
      <c r="AG468" s="1158"/>
    </row>
    <row r="469" spans="1:33" s="280" customFormat="1">
      <c r="A469" s="1398">
        <v>3234</v>
      </c>
      <c r="B469" s="291" t="s">
        <v>593</v>
      </c>
      <c r="C469" s="824" t="s">
        <v>579</v>
      </c>
      <c r="D469" s="294" t="s">
        <v>514</v>
      </c>
      <c r="E469" s="294">
        <v>45</v>
      </c>
      <c r="F469" s="829">
        <v>43194</v>
      </c>
      <c r="G469" s="829">
        <f t="shared" si="119"/>
        <v>43239</v>
      </c>
      <c r="H469" s="1391"/>
      <c r="I469" s="294" t="s">
        <v>169</v>
      </c>
      <c r="J469" s="307"/>
      <c r="K469" s="326" t="s">
        <v>302</v>
      </c>
      <c r="L469" s="1241">
        <v>23173</v>
      </c>
      <c r="M469" s="296"/>
      <c r="N469" s="294"/>
      <c r="O469" s="355">
        <f>[4]FINALISATION!$D$27</f>
        <v>57.333333333333336</v>
      </c>
      <c r="P469" s="294">
        <v>1</v>
      </c>
      <c r="Q469" s="355">
        <f t="shared" si="118"/>
        <v>57.333333333333336</v>
      </c>
      <c r="R469" s="299"/>
      <c r="S469" s="298"/>
      <c r="T469" s="298"/>
      <c r="U469" s="298"/>
      <c r="V469" s="298"/>
      <c r="W469" s="355"/>
      <c r="X469" s="1137"/>
      <c r="Y469" s="1126"/>
      <c r="Z469" s="1152"/>
      <c r="AA469" s="1152"/>
      <c r="AB469" s="1152"/>
      <c r="AC469" s="1152"/>
      <c r="AD469" s="1152"/>
      <c r="AE469" s="1152"/>
      <c r="AF469" s="1152"/>
      <c r="AG469" s="1126"/>
    </row>
    <row r="470" spans="1:33" s="280" customFormat="1">
      <c r="A470" s="1398">
        <v>3234</v>
      </c>
      <c r="B470" s="291" t="s">
        <v>593</v>
      </c>
      <c r="C470" s="824" t="s">
        <v>560</v>
      </c>
      <c r="D470" s="1391"/>
      <c r="E470" s="294">
        <v>4</v>
      </c>
      <c r="F470" s="829">
        <v>43367</v>
      </c>
      <c r="G470" s="829">
        <f t="shared" si="119"/>
        <v>43371</v>
      </c>
      <c r="H470" s="1391"/>
      <c r="I470" s="294" t="s">
        <v>177</v>
      </c>
      <c r="J470" s="307"/>
      <c r="K470" s="326" t="s">
        <v>596</v>
      </c>
      <c r="L470" s="1241">
        <v>23174</v>
      </c>
      <c r="M470" s="296"/>
      <c r="N470" s="294"/>
      <c r="O470" s="355">
        <f>[4]FINALISATION!$D$24</f>
        <v>2150</v>
      </c>
      <c r="P470" s="294">
        <v>1</v>
      </c>
      <c r="Q470" s="355">
        <f t="shared" si="118"/>
        <v>2150</v>
      </c>
      <c r="R470" s="299"/>
      <c r="S470" s="298"/>
      <c r="T470" s="298"/>
      <c r="U470" s="298"/>
      <c r="V470" s="298"/>
      <c r="W470" s="355"/>
      <c r="X470" s="1137"/>
      <c r="Y470" s="1126"/>
      <c r="Z470" s="1152"/>
      <c r="AA470" s="1152"/>
      <c r="AB470" s="1152"/>
      <c r="AC470" s="1152"/>
      <c r="AD470" s="1152"/>
      <c r="AE470" s="1152"/>
      <c r="AF470" s="1152"/>
      <c r="AG470" s="1126"/>
    </row>
    <row r="471" spans="1:33" s="280" customFormat="1">
      <c r="A471" s="1398">
        <v>3234</v>
      </c>
      <c r="B471" s="291" t="s">
        <v>593</v>
      </c>
      <c r="C471" s="824" t="s">
        <v>562</v>
      </c>
      <c r="D471" s="1391"/>
      <c r="E471" s="294">
        <v>4</v>
      </c>
      <c r="F471" s="829">
        <v>43367</v>
      </c>
      <c r="G471" s="829">
        <f t="shared" si="119"/>
        <v>43371</v>
      </c>
      <c r="H471" s="1391"/>
      <c r="I471" s="294" t="s">
        <v>177</v>
      </c>
      <c r="J471" s="307"/>
      <c r="K471" s="326" t="s">
        <v>565</v>
      </c>
      <c r="L471" s="1241">
        <v>23174</v>
      </c>
      <c r="M471" s="296"/>
      <c r="N471" s="294"/>
      <c r="O471" s="355">
        <f>[4]FINALISATION!$D$26</f>
        <v>0</v>
      </c>
      <c r="P471" s="294">
        <v>1</v>
      </c>
      <c r="Q471" s="355">
        <f t="shared" si="118"/>
        <v>0</v>
      </c>
      <c r="R471" s="299"/>
      <c r="S471" s="298"/>
      <c r="T471" s="298"/>
      <c r="U471" s="298"/>
      <c r="V471" s="298"/>
      <c r="W471" s="355"/>
      <c r="X471" s="1137"/>
      <c r="Y471" s="1126"/>
      <c r="Z471" s="1152"/>
      <c r="AA471" s="1152"/>
      <c r="AB471" s="1152"/>
      <c r="AC471" s="1152"/>
      <c r="AD471" s="1152"/>
      <c r="AE471" s="1152"/>
      <c r="AF471" s="1152"/>
      <c r="AG471" s="1126"/>
    </row>
    <row r="472" spans="1:33" s="280" customFormat="1">
      <c r="A472" s="1398">
        <v>3234</v>
      </c>
      <c r="B472" s="291" t="s">
        <v>593</v>
      </c>
      <c r="C472" s="824" t="s">
        <v>564</v>
      </c>
      <c r="D472" s="1391"/>
      <c r="E472" s="294">
        <v>4</v>
      </c>
      <c r="F472" s="829">
        <v>43367</v>
      </c>
      <c r="G472" s="829">
        <f t="shared" si="119"/>
        <v>43371</v>
      </c>
      <c r="H472" s="1391"/>
      <c r="I472" s="294" t="s">
        <v>177</v>
      </c>
      <c r="J472" s="307"/>
      <c r="K472" s="326" t="s">
        <v>597</v>
      </c>
      <c r="L472" s="1241">
        <v>23174</v>
      </c>
      <c r="M472" s="296"/>
      <c r="N472" s="294"/>
      <c r="O472" s="355">
        <f>[4]FINALISATION!$D$25</f>
        <v>1893.3333333333333</v>
      </c>
      <c r="P472" s="294">
        <v>1</v>
      </c>
      <c r="Q472" s="355">
        <f t="shared" si="118"/>
        <v>1893.3333333333333</v>
      </c>
      <c r="R472" s="299"/>
      <c r="S472" s="298"/>
      <c r="T472" s="298"/>
      <c r="U472" s="298"/>
      <c r="V472" s="298"/>
      <c r="W472" s="355"/>
      <c r="X472" s="1137"/>
      <c r="Y472" s="1126"/>
      <c r="Z472" s="1152"/>
      <c r="AA472" s="1152"/>
      <c r="AB472" s="1152"/>
      <c r="AC472" s="1152"/>
      <c r="AD472" s="1152"/>
      <c r="AE472" s="1152"/>
      <c r="AF472" s="1152"/>
      <c r="AG472" s="1126"/>
    </row>
    <row r="473" spans="1:33" s="280" customFormat="1">
      <c r="A473" s="1398">
        <v>3234</v>
      </c>
      <c r="B473" s="291" t="s">
        <v>593</v>
      </c>
      <c r="C473" s="824" t="s">
        <v>566</v>
      </c>
      <c r="D473" s="1391"/>
      <c r="E473" s="294">
        <v>4</v>
      </c>
      <c r="F473" s="829">
        <v>43367</v>
      </c>
      <c r="G473" s="829">
        <f t="shared" si="119"/>
        <v>43371</v>
      </c>
      <c r="H473" s="1391"/>
      <c r="I473" s="294" t="s">
        <v>169</v>
      </c>
      <c r="J473" s="307"/>
      <c r="K473" s="326" t="s">
        <v>486</v>
      </c>
      <c r="L473" s="1241">
        <v>23173</v>
      </c>
      <c r="M473" s="296"/>
      <c r="N473" s="294"/>
      <c r="O473" s="355">
        <f>[4]FINALISATION!$D$28</f>
        <v>133.33333333333334</v>
      </c>
      <c r="P473" s="294">
        <v>1</v>
      </c>
      <c r="Q473" s="355">
        <f t="shared" si="118"/>
        <v>133.33333333333334</v>
      </c>
      <c r="R473" s="299"/>
      <c r="S473" s="298"/>
      <c r="T473" s="298"/>
      <c r="U473" s="298"/>
      <c r="V473" s="298"/>
      <c r="W473" s="355"/>
      <c r="X473" s="1137"/>
      <c r="Y473" s="1126"/>
      <c r="Z473" s="1152"/>
      <c r="AA473" s="1152"/>
      <c r="AB473" s="1152"/>
      <c r="AC473" s="1152"/>
      <c r="AD473" s="1152"/>
      <c r="AE473" s="1152"/>
      <c r="AF473" s="1152"/>
      <c r="AG473" s="1126"/>
    </row>
    <row r="474" spans="1:33" s="280" customFormat="1" ht="16.5" customHeight="1">
      <c r="A474" s="1275">
        <v>324</v>
      </c>
      <c r="B474" s="523" t="s">
        <v>598</v>
      </c>
      <c r="C474" s="1504"/>
      <c r="D474" s="1358"/>
      <c r="E474" s="1358"/>
      <c r="F474" s="1358"/>
      <c r="G474" s="1358"/>
      <c r="H474" s="1358"/>
      <c r="I474" s="1358"/>
      <c r="J474" s="283"/>
      <c r="K474" s="1278"/>
      <c r="L474" s="1394"/>
      <c r="M474" s="495"/>
      <c r="N474" s="1277"/>
      <c r="O474" s="1395"/>
      <c r="P474" s="1277"/>
      <c r="Q474" s="1282">
        <f>+Q475+Q481</f>
        <v>11980.666666666668</v>
      </c>
      <c r="R474" s="287"/>
      <c r="S474" s="1282">
        <f t="shared" ref="S474:AF474" si="120">+S475+S481</f>
        <v>0</v>
      </c>
      <c r="T474" s="1282">
        <f t="shared" si="120"/>
        <v>0</v>
      </c>
      <c r="U474" s="1282">
        <f t="shared" si="120"/>
        <v>0</v>
      </c>
      <c r="V474" s="1282">
        <f t="shared" si="120"/>
        <v>0</v>
      </c>
      <c r="W474" s="1282">
        <f t="shared" si="120"/>
        <v>0</v>
      </c>
      <c r="X474" s="1282">
        <f t="shared" si="120"/>
        <v>11980.67</v>
      </c>
      <c r="Y474" s="1282">
        <f t="shared" si="120"/>
        <v>0</v>
      </c>
      <c r="Z474" s="546">
        <f t="shared" si="120"/>
        <v>0</v>
      </c>
      <c r="AA474" s="546">
        <f t="shared" si="120"/>
        <v>0</v>
      </c>
      <c r="AB474" s="546">
        <f t="shared" si="120"/>
        <v>0</v>
      </c>
      <c r="AC474" s="546">
        <f t="shared" si="120"/>
        <v>0</v>
      </c>
      <c r="AD474" s="546">
        <f t="shared" si="120"/>
        <v>0</v>
      </c>
      <c r="AE474" s="546">
        <f t="shared" si="120"/>
        <v>0</v>
      </c>
      <c r="AF474" s="546">
        <f t="shared" si="120"/>
        <v>0</v>
      </c>
      <c r="AG474" s="807">
        <f>SUM(S474:AF474)</f>
        <v>11980.67</v>
      </c>
    </row>
    <row r="475" spans="1:33" s="280" customFormat="1" ht="47.25">
      <c r="A475" s="1534">
        <v>3241</v>
      </c>
      <c r="B475" s="291" t="s">
        <v>599</v>
      </c>
      <c r="C475" s="824" t="s">
        <v>600</v>
      </c>
      <c r="D475" s="1391"/>
      <c r="E475" s="294">
        <v>10</v>
      </c>
      <c r="F475" s="829">
        <v>43332</v>
      </c>
      <c r="G475" s="829">
        <f>+F475+E475</f>
        <v>43342</v>
      </c>
      <c r="H475" s="1391"/>
      <c r="I475" s="294" t="s">
        <v>177</v>
      </c>
      <c r="J475" s="307" t="s">
        <v>601</v>
      </c>
      <c r="K475" s="326"/>
      <c r="L475" s="1241"/>
      <c r="M475" s="296"/>
      <c r="N475" s="294"/>
      <c r="O475" s="487">
        <f>[5]Feuil1!$E$35</f>
        <v>9680.6666666666661</v>
      </c>
      <c r="P475" s="294">
        <v>1</v>
      </c>
      <c r="Q475" s="555">
        <f>SUM(Q476:Q480)</f>
        <v>9680.6666666666679</v>
      </c>
      <c r="R475" s="518"/>
      <c r="S475" s="493"/>
      <c r="T475" s="493"/>
      <c r="U475" s="493"/>
      <c r="W475" s="487"/>
      <c r="X475" s="1138">
        <v>9680.67</v>
      </c>
      <c r="Y475" s="1156"/>
      <c r="Z475" s="1156"/>
      <c r="AA475" s="1156"/>
      <c r="AB475" s="1156"/>
      <c r="AC475" s="1156"/>
      <c r="AD475" s="1156"/>
      <c r="AE475" s="1156"/>
      <c r="AF475" s="1156"/>
      <c r="AG475" s="1156"/>
    </row>
    <row r="476" spans="1:33" s="280" customFormat="1">
      <c r="A476" s="1534">
        <v>3241</v>
      </c>
      <c r="B476" s="291" t="s">
        <v>599</v>
      </c>
      <c r="C476" s="824" t="s">
        <v>579</v>
      </c>
      <c r="D476" s="341" t="s">
        <v>514</v>
      </c>
      <c r="E476" s="294">
        <v>45</v>
      </c>
      <c r="F476" s="829">
        <v>43194</v>
      </c>
      <c r="G476" s="829">
        <f t="shared" ref="G476:G481" si="121">+E476+F476</f>
        <v>43239</v>
      </c>
      <c r="H476" s="1391"/>
      <c r="I476" s="294"/>
      <c r="J476" s="307"/>
      <c r="K476" s="326" t="s">
        <v>302</v>
      </c>
      <c r="L476" s="1241">
        <v>23173</v>
      </c>
      <c r="M476" s="296"/>
      <c r="N476" s="294"/>
      <c r="O476" s="355">
        <f>[5]Feuil1!$E$34</f>
        <v>157.33333333333334</v>
      </c>
      <c r="P476" s="569">
        <v>1</v>
      </c>
      <c r="Q476" s="488">
        <f>+O476*P476</f>
        <v>157.33333333333334</v>
      </c>
      <c r="R476" s="299"/>
      <c r="S476" s="298"/>
      <c r="T476" s="298"/>
      <c r="U476" s="298"/>
      <c r="V476" s="298"/>
      <c r="W476" s="355"/>
      <c r="X476" s="1137"/>
      <c r="Y476" s="1126"/>
      <c r="Z476" s="1126"/>
      <c r="AA476" s="1126"/>
      <c r="AB476" s="1126"/>
      <c r="AC476" s="1126"/>
      <c r="AD476" s="1126"/>
      <c r="AE476" s="1126"/>
      <c r="AF476" s="1126"/>
      <c r="AG476" s="1126"/>
    </row>
    <row r="477" spans="1:33" s="280" customFormat="1">
      <c r="A477" s="1534">
        <v>3241</v>
      </c>
      <c r="B477" s="291" t="s">
        <v>599</v>
      </c>
      <c r="C477" s="824" t="s">
        <v>560</v>
      </c>
      <c r="D477" s="1391"/>
      <c r="E477" s="294">
        <v>5</v>
      </c>
      <c r="F477" s="829">
        <v>43332</v>
      </c>
      <c r="G477" s="829">
        <f t="shared" si="121"/>
        <v>43337</v>
      </c>
      <c r="H477" s="1391"/>
      <c r="I477" s="294"/>
      <c r="J477" s="307"/>
      <c r="K477" s="326" t="s">
        <v>596</v>
      </c>
      <c r="L477" s="1241">
        <v>23174</v>
      </c>
      <c r="M477" s="296"/>
      <c r="N477" s="294"/>
      <c r="O477" s="355">
        <f>[5]Feuil1!$E$30</f>
        <v>3870</v>
      </c>
      <c r="P477" s="569">
        <v>1</v>
      </c>
      <c r="Q477" s="488">
        <f>+O477*P477</f>
        <v>3870</v>
      </c>
      <c r="R477" s="299"/>
      <c r="S477" s="298"/>
      <c r="T477" s="298"/>
      <c r="U477" s="298"/>
      <c r="V477" s="298"/>
      <c r="W477" s="355"/>
      <c r="X477" s="1137"/>
      <c r="Y477" s="1126"/>
      <c r="Z477" s="1126"/>
      <c r="AA477" s="1126"/>
      <c r="AB477" s="1126"/>
      <c r="AC477" s="1126"/>
      <c r="AD477" s="1126"/>
      <c r="AE477" s="1126"/>
      <c r="AF477" s="1126"/>
      <c r="AG477" s="1126"/>
    </row>
    <row r="478" spans="1:33" s="280" customFormat="1">
      <c r="A478" s="1534">
        <v>3241</v>
      </c>
      <c r="B478" s="291" t="s">
        <v>599</v>
      </c>
      <c r="C478" s="824" t="s">
        <v>562</v>
      </c>
      <c r="D478" s="1391"/>
      <c r="E478" s="294">
        <v>5</v>
      </c>
      <c r="F478" s="829">
        <v>43332</v>
      </c>
      <c r="G478" s="829">
        <f t="shared" si="121"/>
        <v>43337</v>
      </c>
      <c r="H478" s="1391"/>
      <c r="I478" s="294"/>
      <c r="J478" s="307"/>
      <c r="K478" s="326" t="s">
        <v>565</v>
      </c>
      <c r="L478" s="1241">
        <v>23174</v>
      </c>
      <c r="M478" s="296"/>
      <c r="N478" s="294"/>
      <c r="O478" s="355">
        <f>[5]Feuil1!$E$32</f>
        <v>1580</v>
      </c>
      <c r="P478" s="569">
        <v>1</v>
      </c>
      <c r="Q478" s="488">
        <f>+O478*P478</f>
        <v>1580</v>
      </c>
      <c r="R478" s="299"/>
      <c r="S478" s="298"/>
      <c r="T478" s="298"/>
      <c r="U478" s="298"/>
      <c r="V478" s="298"/>
      <c r="W478" s="355"/>
      <c r="X478" s="1137"/>
      <c r="Y478" s="1126"/>
      <c r="Z478" s="1126"/>
      <c r="AA478" s="1126"/>
      <c r="AB478" s="1126"/>
      <c r="AC478" s="1126"/>
      <c r="AD478" s="1126"/>
      <c r="AE478" s="1126"/>
      <c r="AF478" s="1126"/>
      <c r="AG478" s="1126"/>
    </row>
    <row r="479" spans="1:33" s="280" customFormat="1">
      <c r="A479" s="1534">
        <v>3241</v>
      </c>
      <c r="B479" s="291" t="s">
        <v>599</v>
      </c>
      <c r="C479" s="824" t="s">
        <v>564</v>
      </c>
      <c r="D479" s="1391"/>
      <c r="E479" s="294">
        <v>5</v>
      </c>
      <c r="F479" s="829">
        <v>43332</v>
      </c>
      <c r="G479" s="829">
        <f t="shared" si="121"/>
        <v>43337</v>
      </c>
      <c r="H479" s="1391"/>
      <c r="I479" s="294"/>
      <c r="J479" s="307"/>
      <c r="K479" s="326" t="s">
        <v>597</v>
      </c>
      <c r="L479" s="1241">
        <v>23174</v>
      </c>
      <c r="M479" s="296"/>
      <c r="N479" s="294"/>
      <c r="O479" s="355">
        <f>[5]Feuil1!$E$31</f>
        <v>3840</v>
      </c>
      <c r="P479" s="569">
        <v>1</v>
      </c>
      <c r="Q479" s="488">
        <f>+O479*P479</f>
        <v>3840</v>
      </c>
      <c r="R479" s="299"/>
      <c r="S479" s="298"/>
      <c r="T479" s="298"/>
      <c r="U479" s="298"/>
      <c r="V479" s="298"/>
      <c r="W479" s="355"/>
      <c r="X479" s="1137"/>
      <c r="Y479" s="1126"/>
      <c r="Z479" s="1126"/>
      <c r="AA479" s="1126"/>
      <c r="AB479" s="1126"/>
      <c r="AC479" s="1126"/>
      <c r="AD479" s="1126"/>
      <c r="AE479" s="1126"/>
      <c r="AF479" s="1126"/>
      <c r="AG479" s="1126"/>
    </row>
    <row r="480" spans="1:33" s="280" customFormat="1">
      <c r="A480" s="1534">
        <v>3241</v>
      </c>
      <c r="B480" s="291" t="s">
        <v>599</v>
      </c>
      <c r="C480" s="824" t="s">
        <v>566</v>
      </c>
      <c r="D480" s="1391"/>
      <c r="E480" s="294">
        <v>5</v>
      </c>
      <c r="F480" s="829">
        <v>43332</v>
      </c>
      <c r="G480" s="829">
        <f t="shared" si="121"/>
        <v>43337</v>
      </c>
      <c r="H480" s="1391"/>
      <c r="I480" s="294"/>
      <c r="J480" s="307"/>
      <c r="K480" s="326" t="s">
        <v>486</v>
      </c>
      <c r="L480" s="1241">
        <v>23173</v>
      </c>
      <c r="M480" s="296"/>
      <c r="N480" s="294"/>
      <c r="O480" s="355">
        <f>[5]Feuil1!$E$33</f>
        <v>233.33333333333334</v>
      </c>
      <c r="P480" s="569">
        <v>1</v>
      </c>
      <c r="Q480" s="488">
        <f>+O480*P480</f>
        <v>233.33333333333334</v>
      </c>
      <c r="R480" s="299"/>
      <c r="S480" s="298"/>
      <c r="T480" s="298"/>
      <c r="U480" s="298"/>
      <c r="V480" s="298"/>
      <c r="W480" s="355"/>
      <c r="X480" s="1137"/>
      <c r="Y480" s="1126"/>
      <c r="Z480" s="1126"/>
      <c r="AA480" s="1126"/>
      <c r="AB480" s="1126"/>
      <c r="AC480" s="1126"/>
      <c r="AD480" s="1126"/>
      <c r="AE480" s="1126"/>
      <c r="AF480" s="1126"/>
      <c r="AG480" s="1126"/>
    </row>
    <row r="481" spans="1:33" s="280" customFormat="1" ht="31.5">
      <c r="A481" s="1398">
        <v>3242</v>
      </c>
      <c r="B481" s="291" t="s">
        <v>602</v>
      </c>
      <c r="C481" s="824" t="s">
        <v>603</v>
      </c>
      <c r="D481" s="1391"/>
      <c r="E481" s="294">
        <v>3</v>
      </c>
      <c r="F481" s="829">
        <v>43339</v>
      </c>
      <c r="G481" s="829">
        <f t="shared" si="121"/>
        <v>43342</v>
      </c>
      <c r="H481" s="1391"/>
      <c r="I481" s="294" t="s">
        <v>177</v>
      </c>
      <c r="J481" s="307" t="s">
        <v>604</v>
      </c>
      <c r="K481" s="326"/>
      <c r="L481" s="1677">
        <v>23174</v>
      </c>
      <c r="M481" s="296"/>
      <c r="N481" s="294"/>
      <c r="O481" s="487">
        <v>2300</v>
      </c>
      <c r="P481" s="294">
        <v>1</v>
      </c>
      <c r="Q481" s="487">
        <f>O481*P481</f>
        <v>2300</v>
      </c>
      <c r="R481" s="518"/>
      <c r="S481" s="493"/>
      <c r="T481" s="493"/>
      <c r="U481" s="493"/>
      <c r="V481" s="493"/>
      <c r="W481" s="555"/>
      <c r="X481" s="1140">
        <v>2300</v>
      </c>
      <c r="Y481" s="1152"/>
      <c r="Z481" s="1152"/>
      <c r="AA481" s="1152"/>
      <c r="AB481" s="1152"/>
      <c r="AC481" s="1152"/>
      <c r="AD481" s="1152"/>
      <c r="AE481" s="1152"/>
      <c r="AF481" s="1152"/>
      <c r="AG481" s="1156"/>
    </row>
    <row r="482" spans="1:33" s="550" customFormat="1" ht="16.5" customHeight="1">
      <c r="A482" s="1275">
        <v>325</v>
      </c>
      <c r="B482" s="523" t="s">
        <v>605</v>
      </c>
      <c r="C482" s="1504"/>
      <c r="D482" s="1358"/>
      <c r="E482" s="1358"/>
      <c r="F482" s="1358"/>
      <c r="G482" s="1358"/>
      <c r="H482" s="1358"/>
      <c r="I482" s="1358"/>
      <c r="J482" s="543"/>
      <c r="K482" s="1545"/>
      <c r="L482" s="1389"/>
      <c r="M482" s="1390"/>
      <c r="N482" s="1388"/>
      <c r="O482" s="1282"/>
      <c r="P482" s="1388"/>
      <c r="Q482" s="1282">
        <f>+Q483</f>
        <v>13243.000000000002</v>
      </c>
      <c r="R482" s="547"/>
      <c r="S482" s="1282">
        <f t="shared" ref="S482:AF482" si="122">+S483</f>
        <v>0</v>
      </c>
      <c r="T482" s="1282">
        <f t="shared" si="122"/>
        <v>0</v>
      </c>
      <c r="U482" s="1282">
        <f t="shared" si="122"/>
        <v>0</v>
      </c>
      <c r="V482" s="1282">
        <f t="shared" si="122"/>
        <v>0</v>
      </c>
      <c r="W482" s="1282">
        <f t="shared" si="122"/>
        <v>13243</v>
      </c>
      <c r="X482" s="1282">
        <f t="shared" si="122"/>
        <v>0</v>
      </c>
      <c r="Y482" s="1282">
        <f t="shared" si="122"/>
        <v>0</v>
      </c>
      <c r="Z482" s="546">
        <f t="shared" si="122"/>
        <v>0</v>
      </c>
      <c r="AA482" s="546">
        <f t="shared" si="122"/>
        <v>0</v>
      </c>
      <c r="AB482" s="546">
        <f t="shared" si="122"/>
        <v>0</v>
      </c>
      <c r="AC482" s="546">
        <f t="shared" si="122"/>
        <v>0</v>
      </c>
      <c r="AD482" s="546">
        <f t="shared" si="122"/>
        <v>0</v>
      </c>
      <c r="AE482" s="546">
        <f t="shared" si="122"/>
        <v>0</v>
      </c>
      <c r="AF482" s="546">
        <f t="shared" si="122"/>
        <v>0</v>
      </c>
      <c r="AG482" s="807">
        <f>SUM(S482:AF482)</f>
        <v>13243</v>
      </c>
    </row>
    <row r="483" spans="1:33" s="280" customFormat="1" ht="47.25">
      <c r="A483" s="1398">
        <v>3251</v>
      </c>
      <c r="B483" s="291" t="s">
        <v>606</v>
      </c>
      <c r="C483" s="824" t="s">
        <v>607</v>
      </c>
      <c r="D483" s="1391"/>
      <c r="E483" s="1391"/>
      <c r="F483" s="1391"/>
      <c r="G483" s="1391"/>
      <c r="H483" s="1391"/>
      <c r="I483" s="294" t="s">
        <v>177</v>
      </c>
      <c r="J483" s="307" t="s">
        <v>170</v>
      </c>
      <c r="K483" s="326"/>
      <c r="L483" s="1241"/>
      <c r="M483" s="296"/>
      <c r="N483" s="294"/>
      <c r="O483" s="487">
        <v>13243</v>
      </c>
      <c r="P483" s="294">
        <v>1</v>
      </c>
      <c r="Q483" s="555">
        <f>SUM(Q484:Q488)</f>
        <v>13243.000000000002</v>
      </c>
      <c r="R483" s="518"/>
      <c r="S483" s="493"/>
      <c r="T483" s="493"/>
      <c r="U483" s="493"/>
      <c r="V483" s="493"/>
      <c r="W483" s="555">
        <v>13243</v>
      </c>
      <c r="X483" s="1138"/>
      <c r="Y483" s="1152"/>
      <c r="Z483" s="1152"/>
      <c r="AA483" s="1152"/>
      <c r="AB483" s="1152"/>
      <c r="AC483" s="1152"/>
      <c r="AD483" s="1152"/>
      <c r="AE483" s="1152"/>
      <c r="AF483" s="1152"/>
      <c r="AG483" s="1158"/>
    </row>
    <row r="484" spans="1:33" s="280" customFormat="1">
      <c r="A484" s="1398">
        <v>3251</v>
      </c>
      <c r="B484" s="291" t="s">
        <v>606</v>
      </c>
      <c r="C484" s="824" t="s">
        <v>579</v>
      </c>
      <c r="D484" s="294" t="s">
        <v>514</v>
      </c>
      <c r="E484" s="294">
        <v>45</v>
      </c>
      <c r="F484" s="1399">
        <v>43194</v>
      </c>
      <c r="G484" s="1399">
        <f>+F484+E484</f>
        <v>43239</v>
      </c>
      <c r="H484" s="1391"/>
      <c r="I484" s="294"/>
      <c r="J484" s="307"/>
      <c r="K484" s="326" t="s">
        <v>302</v>
      </c>
      <c r="L484" s="1241">
        <v>23173</v>
      </c>
      <c r="M484" s="296"/>
      <c r="N484" s="294"/>
      <c r="O484" s="1120">
        <f>[6]Feuil3!$H$11</f>
        <v>155.66666666666666</v>
      </c>
      <c r="P484" s="294">
        <v>1</v>
      </c>
      <c r="Q484" s="355">
        <f>+O484*P484</f>
        <v>155.66666666666666</v>
      </c>
      <c r="R484" s="299"/>
      <c r="S484" s="298"/>
      <c r="T484" s="298"/>
      <c r="U484" s="298"/>
      <c r="V484" s="298"/>
      <c r="W484" s="355"/>
      <c r="X484" s="1137"/>
      <c r="Y484" s="1126"/>
      <c r="Z484" s="1126"/>
      <c r="AA484" s="1126"/>
      <c r="AB484" s="1126"/>
      <c r="AC484" s="1126"/>
      <c r="AD484" s="1126"/>
      <c r="AE484" s="1126"/>
      <c r="AF484" s="1126"/>
      <c r="AG484" s="1126"/>
    </row>
    <row r="485" spans="1:33" s="280" customFormat="1">
      <c r="A485" s="1398">
        <v>3251</v>
      </c>
      <c r="B485" s="291" t="s">
        <v>606</v>
      </c>
      <c r="C485" s="824" t="s">
        <v>560</v>
      </c>
      <c r="D485" s="1391"/>
      <c r="E485" s="294">
        <v>10</v>
      </c>
      <c r="F485" s="1399">
        <v>43299</v>
      </c>
      <c r="G485" s="1399">
        <f>+E485+F485</f>
        <v>43309</v>
      </c>
      <c r="H485" s="1391"/>
      <c r="I485" s="294"/>
      <c r="J485" s="307"/>
      <c r="K485" s="326" t="s">
        <v>596</v>
      </c>
      <c r="L485" s="1241">
        <v>23174</v>
      </c>
      <c r="M485" s="296"/>
      <c r="N485" s="294"/>
      <c r="O485" s="355">
        <f>[6]Feuil3!$H$8</f>
        <v>6048</v>
      </c>
      <c r="P485" s="294">
        <v>1</v>
      </c>
      <c r="Q485" s="355">
        <f>+O485*P485</f>
        <v>6048</v>
      </c>
      <c r="R485" s="299"/>
      <c r="S485" s="298"/>
      <c r="T485" s="298"/>
      <c r="U485" s="298"/>
      <c r="V485" s="298"/>
      <c r="W485" s="355"/>
      <c r="X485" s="1137"/>
      <c r="Y485" s="1126"/>
      <c r="Z485" s="1126"/>
      <c r="AA485" s="1126"/>
      <c r="AB485" s="1126"/>
      <c r="AC485" s="1126"/>
      <c r="AD485" s="1126"/>
      <c r="AE485" s="1126"/>
      <c r="AF485" s="1126"/>
      <c r="AG485" s="1126"/>
    </row>
    <row r="486" spans="1:33" s="280" customFormat="1">
      <c r="A486" s="1398">
        <v>3251</v>
      </c>
      <c r="B486" s="291" t="s">
        <v>606</v>
      </c>
      <c r="C486" s="824" t="s">
        <v>562</v>
      </c>
      <c r="D486" s="1391"/>
      <c r="E486" s="294">
        <v>10</v>
      </c>
      <c r="F486" s="1399">
        <v>43299</v>
      </c>
      <c r="G486" s="1399">
        <f>+E486+F486</f>
        <v>43309</v>
      </c>
      <c r="H486" s="1391"/>
      <c r="I486" s="294"/>
      <c r="J486" s="307"/>
      <c r="K486" s="326" t="s">
        <v>565</v>
      </c>
      <c r="L486" s="1241">
        <v>23174</v>
      </c>
      <c r="M486" s="296"/>
      <c r="N486" s="294"/>
      <c r="O486" s="355">
        <f>[6]Feuil3!$H$10</f>
        <v>546</v>
      </c>
      <c r="P486" s="294">
        <v>1</v>
      </c>
      <c r="Q486" s="355">
        <f>+O486*P486</f>
        <v>546</v>
      </c>
      <c r="R486" s="299"/>
      <c r="S486" s="298"/>
      <c r="T486" s="298"/>
      <c r="U486" s="298"/>
      <c r="V486" s="298"/>
      <c r="W486" s="355"/>
      <c r="X486" s="1137"/>
      <c r="Y486" s="1126"/>
      <c r="Z486" s="1126"/>
      <c r="AA486" s="1126"/>
      <c r="AB486" s="1126"/>
      <c r="AC486" s="1126"/>
      <c r="AD486" s="1126"/>
      <c r="AE486" s="1126"/>
      <c r="AF486" s="1126"/>
      <c r="AG486" s="1126"/>
    </row>
    <row r="487" spans="1:33" s="280" customFormat="1">
      <c r="A487" s="1398">
        <v>3251</v>
      </c>
      <c r="B487" s="291" t="s">
        <v>606</v>
      </c>
      <c r="C487" s="824" t="s">
        <v>564</v>
      </c>
      <c r="D487" s="1391"/>
      <c r="E487" s="294">
        <v>10</v>
      </c>
      <c r="F487" s="1399">
        <v>43299</v>
      </c>
      <c r="G487" s="1399">
        <f>+E487+F487</f>
        <v>43309</v>
      </c>
      <c r="H487" s="1391"/>
      <c r="I487" s="294"/>
      <c r="J487" s="307"/>
      <c r="K487" s="326" t="s">
        <v>597</v>
      </c>
      <c r="L487" s="1241">
        <v>23174</v>
      </c>
      <c r="M487" s="296"/>
      <c r="N487" s="294"/>
      <c r="O487" s="355">
        <f>[6]Feuil3!$H$9</f>
        <v>6160</v>
      </c>
      <c r="P487" s="294">
        <v>1</v>
      </c>
      <c r="Q487" s="355">
        <f>+O487*P487</f>
        <v>6160</v>
      </c>
      <c r="R487" s="299"/>
      <c r="S487" s="298"/>
      <c r="T487" s="298"/>
      <c r="U487" s="298"/>
      <c r="V487" s="298"/>
      <c r="W487" s="355"/>
      <c r="X487" s="1137"/>
      <c r="Y487" s="1126"/>
      <c r="Z487" s="1126"/>
      <c r="AA487" s="1126"/>
      <c r="AB487" s="1126"/>
      <c r="AC487" s="1126"/>
      <c r="AD487" s="1126"/>
      <c r="AE487" s="1126"/>
      <c r="AF487" s="1126"/>
      <c r="AG487" s="1126"/>
    </row>
    <row r="488" spans="1:33" s="280" customFormat="1">
      <c r="A488" s="1398">
        <v>3251</v>
      </c>
      <c r="B488" s="291" t="s">
        <v>606</v>
      </c>
      <c r="C488" s="824" t="s">
        <v>566</v>
      </c>
      <c r="D488" s="1391"/>
      <c r="E488" s="294">
        <v>10</v>
      </c>
      <c r="F488" s="1399">
        <v>43299</v>
      </c>
      <c r="G488" s="1399">
        <f>+E488+F488</f>
        <v>43309</v>
      </c>
      <c r="H488" s="1391"/>
      <c r="I488" s="294"/>
      <c r="J488" s="307"/>
      <c r="K488" s="326" t="s">
        <v>486</v>
      </c>
      <c r="L488" s="1241">
        <v>23173</v>
      </c>
      <c r="M488" s="296"/>
      <c r="N488" s="294"/>
      <c r="O488" s="355">
        <f>[6]Feuil3!$H$12</f>
        <v>333.33333333333331</v>
      </c>
      <c r="P488" s="294">
        <v>1</v>
      </c>
      <c r="Q488" s="355">
        <f>+O488*P488</f>
        <v>333.33333333333331</v>
      </c>
      <c r="R488" s="299"/>
      <c r="S488" s="298"/>
      <c r="T488" s="298"/>
      <c r="U488" s="298"/>
      <c r="V488" s="298"/>
      <c r="W488" s="355"/>
      <c r="X488" s="1137"/>
      <c r="Y488" s="1126"/>
      <c r="Z488" s="1126"/>
      <c r="AA488" s="1126"/>
      <c r="AB488" s="1126"/>
      <c r="AC488" s="1126"/>
      <c r="AD488" s="1126"/>
      <c r="AE488" s="1126"/>
      <c r="AF488" s="1126"/>
      <c r="AG488" s="1126"/>
    </row>
    <row r="489" spans="1:33" s="280" customFormat="1" ht="16.5" customHeight="1">
      <c r="A489" s="1275">
        <v>326</v>
      </c>
      <c r="B489" s="523" t="s">
        <v>608</v>
      </c>
      <c r="C489" s="1504"/>
      <c r="D489" s="1358"/>
      <c r="E489" s="1358"/>
      <c r="F489" s="1358"/>
      <c r="G489" s="1358"/>
      <c r="H489" s="1358"/>
      <c r="I489" s="1358"/>
      <c r="J489" s="283"/>
      <c r="K489" s="1278"/>
      <c r="L489" s="1394"/>
      <c r="M489" s="495"/>
      <c r="N489" s="1277"/>
      <c r="O489" s="1395"/>
      <c r="P489" s="1277"/>
      <c r="Q489" s="1282">
        <f>+Q490+Q491</f>
        <v>30000</v>
      </c>
      <c r="R489" s="287"/>
      <c r="S489" s="1282">
        <f t="shared" ref="S489:AF489" si="123">+S490+S491</f>
        <v>0</v>
      </c>
      <c r="T489" s="1282">
        <f t="shared" si="123"/>
        <v>0</v>
      </c>
      <c r="U489" s="1282">
        <f t="shared" si="123"/>
        <v>0</v>
      </c>
      <c r="V489" s="1282">
        <f t="shared" si="123"/>
        <v>0</v>
      </c>
      <c r="W489" s="1282">
        <f t="shared" si="123"/>
        <v>15000</v>
      </c>
      <c r="X489" s="1282">
        <f t="shared" si="123"/>
        <v>0</v>
      </c>
      <c r="Y489" s="1282">
        <f t="shared" si="123"/>
        <v>0</v>
      </c>
      <c r="Z489" s="546">
        <f t="shared" si="123"/>
        <v>15000</v>
      </c>
      <c r="AA489" s="546">
        <f t="shared" si="123"/>
        <v>0</v>
      </c>
      <c r="AB489" s="546">
        <f t="shared" si="123"/>
        <v>0</v>
      </c>
      <c r="AC489" s="546">
        <f t="shared" si="123"/>
        <v>0</v>
      </c>
      <c r="AD489" s="546">
        <f t="shared" si="123"/>
        <v>0</v>
      </c>
      <c r="AE489" s="546">
        <f t="shared" si="123"/>
        <v>0</v>
      </c>
      <c r="AF489" s="546">
        <f t="shared" si="123"/>
        <v>0</v>
      </c>
      <c r="AG489" s="807">
        <f>SUM(S489:AF489)</f>
        <v>30000</v>
      </c>
    </row>
    <row r="490" spans="1:33" s="280" customFormat="1" ht="31.5">
      <c r="A490" s="294">
        <v>3261</v>
      </c>
      <c r="B490" s="291" t="s">
        <v>609</v>
      </c>
      <c r="C490" s="824" t="s">
        <v>610</v>
      </c>
      <c r="D490" s="294" t="s">
        <v>246</v>
      </c>
      <c r="E490" s="1393">
        <f>70+30</f>
        <v>100</v>
      </c>
      <c r="F490" s="1399">
        <v>43192</v>
      </c>
      <c r="G490" s="1399">
        <f>+E490+F490</f>
        <v>43292</v>
      </c>
      <c r="H490" s="1391"/>
      <c r="I490" s="294" t="s">
        <v>611</v>
      </c>
      <c r="J490" s="307"/>
      <c r="K490" s="326"/>
      <c r="L490" s="1711">
        <v>23173</v>
      </c>
      <c r="M490" s="296"/>
      <c r="N490" s="294"/>
      <c r="O490" s="487">
        <v>10000</v>
      </c>
      <c r="P490" s="294">
        <v>1</v>
      </c>
      <c r="Q490" s="487">
        <v>10000</v>
      </c>
      <c r="R490" s="518"/>
      <c r="S490" s="493"/>
      <c r="T490" s="555"/>
      <c r="U490" s="493"/>
      <c r="V490" s="493"/>
      <c r="W490" s="487">
        <f>Q490/2</f>
        <v>5000</v>
      </c>
      <c r="X490" s="574"/>
      <c r="Y490" s="1156"/>
      <c r="Z490" s="487">
        <v>5000</v>
      </c>
      <c r="AA490" s="1156"/>
      <c r="AB490" s="1156"/>
      <c r="AC490" s="1156"/>
      <c r="AD490" s="1156"/>
      <c r="AE490" s="1156"/>
      <c r="AF490" s="1156"/>
      <c r="AG490" s="1156"/>
    </row>
    <row r="491" spans="1:33" s="280" customFormat="1" ht="31.5">
      <c r="A491" s="1398">
        <v>3262</v>
      </c>
      <c r="B491" s="291" t="s">
        <v>612</v>
      </c>
      <c r="C491" s="824" t="s">
        <v>610</v>
      </c>
      <c r="D491" s="294" t="s">
        <v>246</v>
      </c>
      <c r="E491" s="294">
        <f>70+30</f>
        <v>100</v>
      </c>
      <c r="F491" s="1399">
        <v>43192</v>
      </c>
      <c r="G491" s="1399">
        <f>+E491+F491</f>
        <v>43292</v>
      </c>
      <c r="H491" s="1391"/>
      <c r="I491" s="294" t="s">
        <v>611</v>
      </c>
      <c r="J491" s="307"/>
      <c r="K491" s="326"/>
      <c r="L491" s="1711">
        <v>23173</v>
      </c>
      <c r="M491" s="296"/>
      <c r="N491" s="294"/>
      <c r="O491" s="487">
        <v>20000</v>
      </c>
      <c r="P491" s="294">
        <v>1</v>
      </c>
      <c r="Q491" s="487">
        <f>+O491*P491</f>
        <v>20000</v>
      </c>
      <c r="R491" s="518"/>
      <c r="S491" s="493"/>
      <c r="T491" s="555"/>
      <c r="U491" s="493"/>
      <c r="V491" s="493"/>
      <c r="W491" s="487">
        <v>10000</v>
      </c>
      <c r="X491" s="1138"/>
      <c r="Y491" s="1156"/>
      <c r="Z491" s="487">
        <v>10000</v>
      </c>
      <c r="AA491" s="1156"/>
      <c r="AB491" s="1156"/>
      <c r="AC491" s="1156"/>
      <c r="AD491" s="1156"/>
      <c r="AE491" s="1156"/>
      <c r="AF491" s="1156"/>
      <c r="AG491" s="1156"/>
    </row>
    <row r="492" spans="1:33" s="992" customFormat="1" ht="33.75" customHeight="1">
      <c r="A492" s="1247" t="s">
        <v>275</v>
      </c>
      <c r="B492" s="266"/>
      <c r="C492" s="1022"/>
      <c r="D492" s="1263"/>
      <c r="E492" s="1263"/>
      <c r="F492" s="1263"/>
      <c r="G492" s="1263"/>
      <c r="H492" s="1263"/>
      <c r="I492" s="1263"/>
      <c r="J492" s="265"/>
      <c r="K492" s="1247"/>
      <c r="L492" s="1262"/>
      <c r="M492" s="1263"/>
      <c r="N492" s="1261"/>
      <c r="O492" s="1264"/>
      <c r="P492" s="1261"/>
      <c r="Q492" s="1265">
        <f>+Q493+Q539+Q582+Q599+Q604</f>
        <v>1602692.0064583332</v>
      </c>
      <c r="R492" s="1266">
        <f>+R493+R539+R548</f>
        <v>1499105.0395833335</v>
      </c>
      <c r="S492" s="1265">
        <f t="shared" ref="S492:AG492" si="124">+S493+S539+S582+S599+S604</f>
        <v>0</v>
      </c>
      <c r="T492" s="1265">
        <f t="shared" si="124"/>
        <v>102890.66666666667</v>
      </c>
      <c r="U492" s="1265">
        <f t="shared" si="124"/>
        <v>340696.3510416667</v>
      </c>
      <c r="V492" s="1265">
        <f t="shared" si="124"/>
        <v>222982.9375</v>
      </c>
      <c r="W492" s="1265">
        <f t="shared" si="124"/>
        <v>107842.219125</v>
      </c>
      <c r="X492" s="1265">
        <f t="shared" si="124"/>
        <v>8859.7348750000001</v>
      </c>
      <c r="Y492" s="1265">
        <f t="shared" si="124"/>
        <v>30029.927250000001</v>
      </c>
      <c r="Z492" s="268">
        <f t="shared" si="124"/>
        <v>0</v>
      </c>
      <c r="AA492" s="268">
        <f t="shared" si="124"/>
        <v>0</v>
      </c>
      <c r="AB492" s="268">
        <f t="shared" si="124"/>
        <v>0</v>
      </c>
      <c r="AC492" s="268">
        <f t="shared" si="124"/>
        <v>0</v>
      </c>
      <c r="AD492" s="268">
        <f t="shared" si="124"/>
        <v>0</v>
      </c>
      <c r="AE492" s="268">
        <f t="shared" si="124"/>
        <v>0</v>
      </c>
      <c r="AF492" s="268">
        <f t="shared" si="124"/>
        <v>0</v>
      </c>
      <c r="AG492" s="268">
        <f t="shared" si="124"/>
        <v>1602691.6764583332</v>
      </c>
    </row>
    <row r="493" spans="1:33" ht="15.75" customHeight="1">
      <c r="A493" s="1248" t="s">
        <v>276</v>
      </c>
      <c r="B493" s="274"/>
      <c r="C493" s="278"/>
      <c r="D493" s="1270"/>
      <c r="E493" s="1270"/>
      <c r="F493" s="1270"/>
      <c r="G493" s="1270"/>
      <c r="H493" s="1270"/>
      <c r="I493" s="1270"/>
      <c r="J493" s="273"/>
      <c r="K493" s="1248"/>
      <c r="L493" s="1269"/>
      <c r="M493" s="1270"/>
      <c r="N493" s="1268"/>
      <c r="O493" s="1271"/>
      <c r="P493" s="1268"/>
      <c r="Q493" s="1272">
        <f>+Q494+Q509+Q515</f>
        <v>356290.50312499999</v>
      </c>
      <c r="R493" s="1273">
        <f>+'[2]Compil Costing PPA 3 millions'!F15</f>
        <v>356290.70624999999</v>
      </c>
      <c r="S493" s="1272">
        <f t="shared" ref="S493:AG493" si="125">+S494+S509+S515</f>
        <v>0</v>
      </c>
      <c r="T493" s="1272">
        <f t="shared" si="125"/>
        <v>0</v>
      </c>
      <c r="U493" s="1272">
        <f t="shared" si="125"/>
        <v>223990.18437500001</v>
      </c>
      <c r="V493" s="1272">
        <f t="shared" si="125"/>
        <v>13573.4375</v>
      </c>
      <c r="W493" s="1272">
        <f t="shared" si="125"/>
        <v>80924.719125000003</v>
      </c>
      <c r="X493" s="1272">
        <f t="shared" si="125"/>
        <v>7772.2348750000001</v>
      </c>
      <c r="Y493" s="1272">
        <f t="shared" si="125"/>
        <v>30029.927250000001</v>
      </c>
      <c r="Z493" s="276">
        <f t="shared" si="125"/>
        <v>0</v>
      </c>
      <c r="AA493" s="276">
        <f t="shared" si="125"/>
        <v>0</v>
      </c>
      <c r="AB493" s="276">
        <f t="shared" si="125"/>
        <v>0</v>
      </c>
      <c r="AC493" s="276">
        <f t="shared" si="125"/>
        <v>0</v>
      </c>
      <c r="AD493" s="276">
        <f t="shared" si="125"/>
        <v>0</v>
      </c>
      <c r="AE493" s="276">
        <f t="shared" si="125"/>
        <v>0</v>
      </c>
      <c r="AF493" s="276">
        <f t="shared" si="125"/>
        <v>0</v>
      </c>
      <c r="AG493" s="276">
        <f t="shared" si="125"/>
        <v>356290.50312499999</v>
      </c>
    </row>
    <row r="494" spans="1:33" ht="16.5" customHeight="1">
      <c r="A494" s="1275">
        <v>411</v>
      </c>
      <c r="B494" s="545" t="s">
        <v>911</v>
      </c>
      <c r="C494" s="1510"/>
      <c r="D494" s="1390"/>
      <c r="E494" s="1390"/>
      <c r="F494" s="1390"/>
      <c r="G494" s="1390"/>
      <c r="H494" s="1390"/>
      <c r="I494" s="1390"/>
      <c r="J494" s="283"/>
      <c r="K494" s="1278"/>
      <c r="L494" s="1279"/>
      <c r="M494" s="1280"/>
      <c r="N494" s="1277"/>
      <c r="O494" s="1281"/>
      <c r="P494" s="1277"/>
      <c r="Q494" s="1395">
        <f>SUM(Q495:Q508)</f>
        <v>63605.746874999997</v>
      </c>
      <c r="R494" s="287"/>
      <c r="S494" s="1395">
        <f t="shared" ref="S494:AF494" si="126">SUM(S495:S508)</f>
        <v>0</v>
      </c>
      <c r="T494" s="1395">
        <f t="shared" si="126"/>
        <v>0</v>
      </c>
      <c r="U494" s="1395">
        <f t="shared" si="126"/>
        <v>43754.809374999997</v>
      </c>
      <c r="V494" s="1395">
        <f t="shared" si="126"/>
        <v>13573.4375</v>
      </c>
      <c r="W494" s="1395">
        <f t="shared" si="126"/>
        <v>6277.5</v>
      </c>
      <c r="X494" s="1395">
        <f t="shared" si="126"/>
        <v>0</v>
      </c>
      <c r="Y494" s="1395">
        <f t="shared" si="126"/>
        <v>0</v>
      </c>
      <c r="Z494" s="361">
        <f t="shared" si="126"/>
        <v>0</v>
      </c>
      <c r="AA494" s="361">
        <f t="shared" si="126"/>
        <v>0</v>
      </c>
      <c r="AB494" s="361">
        <f t="shared" si="126"/>
        <v>0</v>
      </c>
      <c r="AC494" s="361">
        <f t="shared" si="126"/>
        <v>0</v>
      </c>
      <c r="AD494" s="361">
        <f t="shared" si="126"/>
        <v>0</v>
      </c>
      <c r="AE494" s="361">
        <f t="shared" si="126"/>
        <v>0</v>
      </c>
      <c r="AF494" s="361">
        <f t="shared" si="126"/>
        <v>0</v>
      </c>
      <c r="AG494" s="361">
        <f>SUM(S494:AF494)</f>
        <v>63605.746874999997</v>
      </c>
    </row>
    <row r="495" spans="1:33" ht="47.25" customHeight="1">
      <c r="A495" s="1442">
        <v>4111</v>
      </c>
      <c r="B495" s="824" t="s">
        <v>912</v>
      </c>
      <c r="C495" s="824" t="s">
        <v>913</v>
      </c>
      <c r="D495" s="1396"/>
      <c r="E495" s="1391">
        <f>45+21+5</f>
        <v>71</v>
      </c>
      <c r="F495" s="1400">
        <v>43192</v>
      </c>
      <c r="G495" s="1400">
        <f>F495+E495</f>
        <v>43263</v>
      </c>
      <c r="H495" s="293" t="s">
        <v>914</v>
      </c>
      <c r="I495" s="845" t="s">
        <v>178</v>
      </c>
      <c r="J495" s="866" t="s">
        <v>169</v>
      </c>
      <c r="K495" s="1094" t="s">
        <v>915</v>
      </c>
      <c r="L495" s="1238">
        <v>23174</v>
      </c>
      <c r="M495" s="1543"/>
      <c r="N495" s="845"/>
      <c r="O495" s="1583">
        <v>1582.090625</v>
      </c>
      <c r="P495" s="845">
        <v>1</v>
      </c>
      <c r="Q495" s="1110">
        <f t="shared" ref="Q495:Q508" si="127">O495*P495</f>
        <v>1582.090625</v>
      </c>
      <c r="R495" s="299"/>
      <c r="S495" s="299"/>
      <c r="T495" s="299"/>
      <c r="U495" s="299">
        <f>Q495</f>
        <v>1582.090625</v>
      </c>
      <c r="V495" s="299"/>
      <c r="W495" s="299"/>
      <c r="X495" s="1142"/>
      <c r="Y495" s="1124"/>
      <c r="Z495" s="1124"/>
      <c r="AA495" s="1124"/>
      <c r="AB495" s="1124"/>
      <c r="AC495" s="1124"/>
      <c r="AD495" s="1124"/>
      <c r="AE495" s="1124"/>
      <c r="AF495" s="1124"/>
      <c r="AG495" s="1124"/>
    </row>
    <row r="496" spans="1:33" ht="31.5">
      <c r="A496" s="1442">
        <v>4111</v>
      </c>
      <c r="B496" s="824" t="s">
        <v>912</v>
      </c>
      <c r="C496" s="824" t="s">
        <v>913</v>
      </c>
      <c r="D496" s="1401"/>
      <c r="E496" s="1391">
        <f>45+21+5</f>
        <v>71</v>
      </c>
      <c r="F496" s="1400">
        <v>43192</v>
      </c>
      <c r="G496" s="1400">
        <f>F496+E496</f>
        <v>43263</v>
      </c>
      <c r="H496" s="293" t="s">
        <v>914</v>
      </c>
      <c r="I496" s="845" t="s">
        <v>169</v>
      </c>
      <c r="J496" s="866" t="s">
        <v>178</v>
      </c>
      <c r="K496" s="1094" t="s">
        <v>320</v>
      </c>
      <c r="L496" s="1238">
        <v>23173</v>
      </c>
      <c r="M496" s="1543"/>
      <c r="N496" s="845"/>
      <c r="O496" s="1583">
        <v>164.0625</v>
      </c>
      <c r="P496" s="845">
        <v>1</v>
      </c>
      <c r="Q496" s="1110">
        <f t="shared" si="127"/>
        <v>164.0625</v>
      </c>
      <c r="R496" s="299"/>
      <c r="S496" s="299"/>
      <c r="T496" s="299"/>
      <c r="U496" s="299">
        <f t="shared" ref="U496:U502" si="128">Q496</f>
        <v>164.0625</v>
      </c>
      <c r="V496" s="299"/>
      <c r="W496" s="299"/>
      <c r="X496" s="1142"/>
      <c r="Y496" s="1124"/>
      <c r="Z496" s="1124"/>
      <c r="AA496" s="1124"/>
      <c r="AB496" s="1124"/>
      <c r="AC496" s="1124"/>
      <c r="AD496" s="1124"/>
      <c r="AE496" s="1124"/>
      <c r="AF496" s="1124"/>
      <c r="AG496" s="1124"/>
    </row>
    <row r="497" spans="1:33" ht="31.5">
      <c r="A497" s="1442">
        <v>4111</v>
      </c>
      <c r="B497" s="824" t="s">
        <v>912</v>
      </c>
      <c r="C497" s="824" t="s">
        <v>913</v>
      </c>
      <c r="D497" s="1401"/>
      <c r="E497" s="1391">
        <f>45+21+5</f>
        <v>71</v>
      </c>
      <c r="F497" s="1400">
        <v>43192</v>
      </c>
      <c r="G497" s="1400">
        <f>F497+E497</f>
        <v>43263</v>
      </c>
      <c r="H497" s="293" t="s">
        <v>914</v>
      </c>
      <c r="I497" s="845" t="s">
        <v>169</v>
      </c>
      <c r="J497" s="866" t="s">
        <v>178</v>
      </c>
      <c r="K497" s="1094" t="s">
        <v>916</v>
      </c>
      <c r="L497" s="1238">
        <v>23173</v>
      </c>
      <c r="M497" s="1543"/>
      <c r="N497" s="845"/>
      <c r="O497" s="1583">
        <v>31.25</v>
      </c>
      <c r="P497" s="845">
        <v>5</v>
      </c>
      <c r="Q497" s="1110">
        <f t="shared" si="127"/>
        <v>156.25</v>
      </c>
      <c r="R497" s="299"/>
      <c r="S497" s="299"/>
      <c r="T497" s="299"/>
      <c r="U497" s="299">
        <f t="shared" si="128"/>
        <v>156.25</v>
      </c>
      <c r="V497" s="299"/>
      <c r="W497" s="299"/>
      <c r="X497" s="1142"/>
      <c r="Y497" s="1124"/>
      <c r="Z497" s="1124"/>
      <c r="AA497" s="1124"/>
      <c r="AB497" s="1124"/>
      <c r="AC497" s="1124"/>
      <c r="AD497" s="1124"/>
      <c r="AE497" s="1124"/>
      <c r="AF497" s="1124"/>
      <c r="AG497" s="1124"/>
    </row>
    <row r="498" spans="1:33">
      <c r="A498" s="1615">
        <v>4112</v>
      </c>
      <c r="B498" s="1616" t="s">
        <v>917</v>
      </c>
      <c r="C498" s="1616" t="s">
        <v>918</v>
      </c>
      <c r="D498" s="1617"/>
      <c r="E498" s="1618">
        <f>3</f>
        <v>3</v>
      </c>
      <c r="F498" s="1619">
        <v>43265</v>
      </c>
      <c r="G498" s="1619">
        <f t="shared" ref="G498:G508" si="129">F498+E498-1</f>
        <v>43267</v>
      </c>
      <c r="H498" s="1620" t="s">
        <v>914</v>
      </c>
      <c r="I498" s="1621" t="s">
        <v>169</v>
      </c>
      <c r="J498" s="1622" t="s">
        <v>178</v>
      </c>
      <c r="K498" s="1678" t="s">
        <v>320</v>
      </c>
      <c r="L498" s="1623">
        <v>23173</v>
      </c>
      <c r="M498" s="1680"/>
      <c r="N498" s="1621"/>
      <c r="O498" s="1681">
        <v>523.125</v>
      </c>
      <c r="P498" s="1621">
        <v>1</v>
      </c>
      <c r="Q498" s="1624">
        <f t="shared" si="127"/>
        <v>523.125</v>
      </c>
      <c r="R498" s="1682"/>
      <c r="S498" s="1682"/>
      <c r="T498" s="1682"/>
      <c r="U498" s="1682">
        <f t="shared" si="128"/>
        <v>523.125</v>
      </c>
      <c r="V498" s="1682"/>
      <c r="W498" s="1682"/>
      <c r="X498" s="1683"/>
      <c r="Y498" s="1680"/>
      <c r="Z498" s="1680"/>
      <c r="AA498" s="1680"/>
      <c r="AB498" s="1680"/>
      <c r="AC498" s="1680"/>
      <c r="AD498" s="1680"/>
      <c r="AE498" s="1680"/>
      <c r="AF498" s="1680"/>
      <c r="AG498" s="1680"/>
    </row>
    <row r="499" spans="1:33" ht="47.25" customHeight="1">
      <c r="A499" s="1625">
        <v>4113</v>
      </c>
      <c r="B499" s="1626" t="s">
        <v>919</v>
      </c>
      <c r="C499" s="1626" t="s">
        <v>920</v>
      </c>
      <c r="D499" s="1627"/>
      <c r="E499" s="1628">
        <f>2</f>
        <v>2</v>
      </c>
      <c r="F499" s="1629">
        <v>43271</v>
      </c>
      <c r="G499" s="1629">
        <f t="shared" si="129"/>
        <v>43272</v>
      </c>
      <c r="H499" s="1630" t="s">
        <v>914</v>
      </c>
      <c r="I499" s="1631" t="s">
        <v>178</v>
      </c>
      <c r="J499" s="1632" t="s">
        <v>169</v>
      </c>
      <c r="K499" s="1679" t="s">
        <v>888</v>
      </c>
      <c r="L499" s="1633">
        <v>23174</v>
      </c>
      <c r="M499" s="1636"/>
      <c r="N499" s="1631"/>
      <c r="O499" s="1676">
        <v>34491.78125</v>
      </c>
      <c r="P499" s="1631">
        <v>1</v>
      </c>
      <c r="Q499" s="1634">
        <f t="shared" si="127"/>
        <v>34491.78125</v>
      </c>
      <c r="R499" s="1671"/>
      <c r="S499" s="1671"/>
      <c r="T499" s="1671"/>
      <c r="U499" s="1671">
        <f t="shared" si="128"/>
        <v>34491.78125</v>
      </c>
      <c r="V499" s="1671"/>
      <c r="W499" s="1671"/>
      <c r="X499" s="1671"/>
      <c r="Y499" s="1636"/>
      <c r="Z499" s="1636"/>
      <c r="AA499" s="1636"/>
      <c r="AB499" s="1636"/>
      <c r="AC499" s="1636"/>
      <c r="AD499" s="1636"/>
      <c r="AE499" s="1636"/>
      <c r="AF499" s="1636"/>
      <c r="AG499" s="1636"/>
    </row>
    <row r="500" spans="1:33" ht="31.5">
      <c r="A500" s="1625">
        <v>4113</v>
      </c>
      <c r="B500" s="1626" t="s">
        <v>919</v>
      </c>
      <c r="C500" s="1626" t="s">
        <v>920</v>
      </c>
      <c r="D500" s="1627"/>
      <c r="E500" s="1628">
        <f>2</f>
        <v>2</v>
      </c>
      <c r="F500" s="1629">
        <v>43271</v>
      </c>
      <c r="G500" s="1629">
        <f t="shared" si="129"/>
        <v>43272</v>
      </c>
      <c r="H500" s="1630" t="s">
        <v>914</v>
      </c>
      <c r="I500" s="1631" t="s">
        <v>169</v>
      </c>
      <c r="J500" s="1632" t="s">
        <v>178</v>
      </c>
      <c r="K500" s="1679" t="s">
        <v>320</v>
      </c>
      <c r="L500" s="1633">
        <v>23173</v>
      </c>
      <c r="M500" s="1636"/>
      <c r="N500" s="1631"/>
      <c r="O500" s="1676">
        <v>5156.25</v>
      </c>
      <c r="P500" s="1631">
        <v>1</v>
      </c>
      <c r="Q500" s="1634">
        <f t="shared" si="127"/>
        <v>5156.25</v>
      </c>
      <c r="R500" s="1671"/>
      <c r="S500" s="1671"/>
      <c r="T500" s="1671"/>
      <c r="U500" s="1671">
        <f t="shared" si="128"/>
        <v>5156.25</v>
      </c>
      <c r="V500" s="1671"/>
      <c r="W500" s="1671"/>
      <c r="X500" s="1671"/>
      <c r="Y500" s="1636"/>
      <c r="Z500" s="1636"/>
      <c r="AA500" s="1636"/>
      <c r="AB500" s="1636"/>
      <c r="AC500" s="1636"/>
      <c r="AD500" s="1636"/>
      <c r="AE500" s="1636"/>
      <c r="AF500" s="1636"/>
      <c r="AG500" s="1636"/>
    </row>
    <row r="501" spans="1:33" ht="31.5">
      <c r="A501" s="1625">
        <v>4113</v>
      </c>
      <c r="B501" s="1626" t="s">
        <v>919</v>
      </c>
      <c r="C501" s="1626" t="s">
        <v>920</v>
      </c>
      <c r="D501" s="1627"/>
      <c r="E501" s="1628">
        <f>2</f>
        <v>2</v>
      </c>
      <c r="F501" s="1629">
        <v>43271</v>
      </c>
      <c r="G501" s="1629">
        <f t="shared" si="129"/>
        <v>43272</v>
      </c>
      <c r="H501" s="1630" t="s">
        <v>914</v>
      </c>
      <c r="I501" s="1631" t="s">
        <v>169</v>
      </c>
      <c r="J501" s="1632" t="s">
        <v>178</v>
      </c>
      <c r="K501" s="1679" t="s">
        <v>916</v>
      </c>
      <c r="L501" s="1633">
        <v>23173</v>
      </c>
      <c r="M501" s="1636"/>
      <c r="N501" s="1631"/>
      <c r="O501" s="1676">
        <v>31.25</v>
      </c>
      <c r="P501" s="1631">
        <f>2*22</f>
        <v>44</v>
      </c>
      <c r="Q501" s="1634">
        <f t="shared" si="127"/>
        <v>1375</v>
      </c>
      <c r="R501" s="1671"/>
      <c r="S501" s="1671"/>
      <c r="T501" s="1671"/>
      <c r="U501" s="1671">
        <f t="shared" si="128"/>
        <v>1375</v>
      </c>
      <c r="V501" s="1671"/>
      <c r="W501" s="1671"/>
      <c r="X501" s="1671"/>
      <c r="Y501" s="1636"/>
      <c r="Z501" s="1636"/>
      <c r="AA501" s="1636"/>
      <c r="AB501" s="1636"/>
      <c r="AC501" s="1636"/>
      <c r="AD501" s="1636"/>
      <c r="AE501" s="1636"/>
      <c r="AF501" s="1636"/>
      <c r="AG501" s="1636"/>
    </row>
    <row r="502" spans="1:33" ht="31.5">
      <c r="A502" s="1625">
        <v>4114</v>
      </c>
      <c r="B502" s="1626" t="s">
        <v>921</v>
      </c>
      <c r="C502" s="1626" t="s">
        <v>922</v>
      </c>
      <c r="D502" s="1627"/>
      <c r="E502" s="1628">
        <f>3</f>
        <v>3</v>
      </c>
      <c r="F502" s="1635">
        <v>43279</v>
      </c>
      <c r="G502" s="1629">
        <f t="shared" si="129"/>
        <v>43281</v>
      </c>
      <c r="H502" s="1630" t="s">
        <v>914</v>
      </c>
      <c r="I502" s="1631" t="s">
        <v>169</v>
      </c>
      <c r="J502" s="1632" t="s">
        <v>178</v>
      </c>
      <c r="K502" s="1679" t="s">
        <v>670</v>
      </c>
      <c r="L502" s="1633">
        <v>23173</v>
      </c>
      <c r="M502" s="1636"/>
      <c r="N502" s="1631"/>
      <c r="O502" s="1676">
        <v>153.125</v>
      </c>
      <c r="P502" s="1631">
        <v>2</v>
      </c>
      <c r="Q502" s="1634">
        <f t="shared" si="127"/>
        <v>306.25</v>
      </c>
      <c r="R502" s="1671"/>
      <c r="S502" s="1671"/>
      <c r="T502" s="1671"/>
      <c r="U502" s="1671">
        <f t="shared" si="128"/>
        <v>306.25</v>
      </c>
      <c r="V502" s="1671"/>
      <c r="W502" s="1671"/>
      <c r="X502" s="1671"/>
      <c r="Y502" s="1636"/>
      <c r="Z502" s="1636"/>
      <c r="AA502" s="1636"/>
      <c r="AB502" s="1636"/>
      <c r="AC502" s="1636"/>
      <c r="AD502" s="1636"/>
      <c r="AE502" s="1636"/>
      <c r="AF502" s="1636"/>
      <c r="AG502" s="1636"/>
    </row>
    <row r="503" spans="1:33" ht="48.75" customHeight="1">
      <c r="A503" s="1625">
        <v>4115</v>
      </c>
      <c r="B503" s="1684" t="s">
        <v>923</v>
      </c>
      <c r="C503" s="1626" t="s">
        <v>924</v>
      </c>
      <c r="D503" s="1636"/>
      <c r="E503" s="1628">
        <f>5</f>
        <v>5</v>
      </c>
      <c r="F503" s="1629">
        <v>43283</v>
      </c>
      <c r="G503" s="1629">
        <f t="shared" si="129"/>
        <v>43287</v>
      </c>
      <c r="H503" s="1630" t="s">
        <v>914</v>
      </c>
      <c r="I503" s="1631" t="s">
        <v>178</v>
      </c>
      <c r="J503" s="1632" t="s">
        <v>925</v>
      </c>
      <c r="K503" s="1636"/>
      <c r="L503" s="1668"/>
      <c r="M503" s="1636"/>
      <c r="N503" s="1631"/>
      <c r="O503" s="1676">
        <v>0</v>
      </c>
      <c r="P503" s="1631">
        <v>0</v>
      </c>
      <c r="Q503" s="1634">
        <f t="shared" si="127"/>
        <v>0</v>
      </c>
      <c r="R503" s="1671"/>
      <c r="S503" s="1671"/>
      <c r="T503" s="1671"/>
      <c r="U503" s="1671"/>
      <c r="V503" s="1671">
        <f>Q503</f>
        <v>0</v>
      </c>
      <c r="W503" s="1671"/>
      <c r="X503" s="1671"/>
      <c r="Y503" s="1636"/>
      <c r="Z503" s="1636"/>
      <c r="AA503" s="1636"/>
      <c r="AB503" s="1636"/>
      <c r="AC503" s="1636"/>
      <c r="AD503" s="1636"/>
      <c r="AE503" s="1636"/>
      <c r="AF503" s="1636"/>
      <c r="AG503" s="1636"/>
    </row>
    <row r="504" spans="1:33" ht="36.75" customHeight="1">
      <c r="A504" s="1625">
        <v>4116</v>
      </c>
      <c r="B504" s="1637" t="s">
        <v>926</v>
      </c>
      <c r="C504" s="1626" t="s">
        <v>927</v>
      </c>
      <c r="D504" s="1636"/>
      <c r="E504" s="1628">
        <f>30</f>
        <v>30</v>
      </c>
      <c r="F504" s="1629">
        <v>43290</v>
      </c>
      <c r="G504" s="1629">
        <f t="shared" si="129"/>
        <v>43319</v>
      </c>
      <c r="H504" s="1630" t="s">
        <v>914</v>
      </c>
      <c r="I504" s="1631" t="s">
        <v>169</v>
      </c>
      <c r="J504" s="1632" t="s">
        <v>178</v>
      </c>
      <c r="K504" s="1679" t="s">
        <v>320</v>
      </c>
      <c r="L504" s="1633">
        <v>23173</v>
      </c>
      <c r="M504" s="1636"/>
      <c r="N504" s="1631"/>
      <c r="O504" s="1676">
        <v>12270.9375</v>
      </c>
      <c r="P504" s="1631">
        <v>1</v>
      </c>
      <c r="Q504" s="1634">
        <f t="shared" si="127"/>
        <v>12270.9375</v>
      </c>
      <c r="R504" s="1671"/>
      <c r="S504" s="1671"/>
      <c r="T504" s="1671"/>
      <c r="U504" s="1671"/>
      <c r="V504" s="1671">
        <f>Q504</f>
        <v>12270.9375</v>
      </c>
      <c r="W504" s="1671"/>
      <c r="X504" s="1671"/>
      <c r="Y504" s="1636"/>
      <c r="Z504" s="1636"/>
      <c r="AA504" s="1636"/>
      <c r="AB504" s="1636"/>
      <c r="AC504" s="1636"/>
      <c r="AD504" s="1636"/>
      <c r="AE504" s="1636"/>
      <c r="AF504" s="1636"/>
      <c r="AG504" s="1636"/>
    </row>
    <row r="505" spans="1:33">
      <c r="A505" s="1625">
        <v>4117</v>
      </c>
      <c r="B505" s="1637" t="s">
        <v>928</v>
      </c>
      <c r="C505" s="1638" t="s">
        <v>929</v>
      </c>
      <c r="D505" s="1636"/>
      <c r="E505" s="1628">
        <f>6</f>
        <v>6</v>
      </c>
      <c r="F505" s="1629">
        <v>43290</v>
      </c>
      <c r="G505" s="1629">
        <f t="shared" si="129"/>
        <v>43295</v>
      </c>
      <c r="H505" s="1630" t="s">
        <v>914</v>
      </c>
      <c r="I505" s="1631" t="s">
        <v>169</v>
      </c>
      <c r="J505" s="1632" t="s">
        <v>178</v>
      </c>
      <c r="K505" s="1679" t="s">
        <v>320</v>
      </c>
      <c r="L505" s="1633">
        <v>23173</v>
      </c>
      <c r="M505" s="1636"/>
      <c r="N505" s="1631"/>
      <c r="O505" s="1676">
        <v>599.375</v>
      </c>
      <c r="P505" s="1631">
        <v>1</v>
      </c>
      <c r="Q505" s="1634">
        <f t="shared" si="127"/>
        <v>599.375</v>
      </c>
      <c r="R505" s="1671"/>
      <c r="S505" s="1671"/>
      <c r="T505" s="1671"/>
      <c r="U505" s="1671"/>
      <c r="V505" s="1671">
        <f>Q505</f>
        <v>599.375</v>
      </c>
      <c r="W505" s="1671"/>
      <c r="X505" s="1671"/>
      <c r="Y505" s="1636"/>
      <c r="Z505" s="1636"/>
      <c r="AA505" s="1636"/>
      <c r="AB505" s="1636"/>
      <c r="AC505" s="1636"/>
      <c r="AD505" s="1636"/>
      <c r="AE505" s="1636"/>
      <c r="AF505" s="1636"/>
      <c r="AG505" s="1636"/>
    </row>
    <row r="506" spans="1:33" ht="38.25">
      <c r="A506" s="1625">
        <v>4118</v>
      </c>
      <c r="B506" s="1637" t="s">
        <v>930</v>
      </c>
      <c r="C506" s="1638" t="s">
        <v>931</v>
      </c>
      <c r="D506" s="1636"/>
      <c r="E506" s="1628">
        <f>3</f>
        <v>3</v>
      </c>
      <c r="F506" s="1629">
        <v>43304</v>
      </c>
      <c r="G506" s="1629">
        <f t="shared" si="129"/>
        <v>43306</v>
      </c>
      <c r="H506" s="1630" t="s">
        <v>914</v>
      </c>
      <c r="I506" s="1631" t="s">
        <v>178</v>
      </c>
      <c r="J506" s="1632" t="s">
        <v>932</v>
      </c>
      <c r="K506" s="1639" t="s">
        <v>933</v>
      </c>
      <c r="L506" s="1633">
        <v>23172</v>
      </c>
      <c r="M506" s="1636"/>
      <c r="N506" s="1631"/>
      <c r="O506" s="1676">
        <v>15.625</v>
      </c>
      <c r="P506" s="1631">
        <f>45</f>
        <v>45</v>
      </c>
      <c r="Q506" s="1634">
        <f t="shared" si="127"/>
        <v>703.125</v>
      </c>
      <c r="R506" s="1671"/>
      <c r="S506" s="1671"/>
      <c r="T506" s="1671"/>
      <c r="U506" s="1671"/>
      <c r="V506" s="1671">
        <f>Q506</f>
        <v>703.125</v>
      </c>
      <c r="W506" s="1671"/>
      <c r="X506" s="1671"/>
      <c r="Y506" s="1636"/>
      <c r="Z506" s="1636"/>
      <c r="AA506" s="1636"/>
      <c r="AB506" s="1636"/>
      <c r="AC506" s="1636"/>
      <c r="AD506" s="1636"/>
      <c r="AE506" s="1636"/>
      <c r="AF506" s="1636"/>
      <c r="AG506" s="1636"/>
    </row>
    <row r="507" spans="1:33" ht="25.5">
      <c r="A507" s="1625">
        <v>4119</v>
      </c>
      <c r="B507" s="1637" t="s">
        <v>934</v>
      </c>
      <c r="C507" s="1638" t="s">
        <v>935</v>
      </c>
      <c r="D507" s="1636"/>
      <c r="E507" s="1628">
        <f>5</f>
        <v>5</v>
      </c>
      <c r="F507" s="1629">
        <v>43325</v>
      </c>
      <c r="G507" s="1629">
        <f t="shared" si="129"/>
        <v>43329</v>
      </c>
      <c r="H507" s="1630" t="s">
        <v>914</v>
      </c>
      <c r="I507" s="1631" t="s">
        <v>178</v>
      </c>
      <c r="J507" s="1632" t="s">
        <v>169</v>
      </c>
      <c r="K507" s="1679" t="s">
        <v>888</v>
      </c>
      <c r="L507" s="1633">
        <v>23174</v>
      </c>
      <c r="M507" s="1636"/>
      <c r="N507" s="1631"/>
      <c r="O507" s="1676">
        <v>5277.5</v>
      </c>
      <c r="P507" s="1631">
        <v>1</v>
      </c>
      <c r="Q507" s="1634">
        <f t="shared" si="127"/>
        <v>5277.5</v>
      </c>
      <c r="R507" s="1671"/>
      <c r="S507" s="1671"/>
      <c r="T507" s="1671"/>
      <c r="U507" s="1671"/>
      <c r="V507" s="1671"/>
      <c r="W507" s="1671">
        <f>Q507</f>
        <v>5277.5</v>
      </c>
      <c r="X507" s="1671"/>
      <c r="Y507" s="1636"/>
      <c r="Z507" s="1636"/>
      <c r="AA507" s="1636"/>
      <c r="AB507" s="1636"/>
      <c r="AC507" s="1636"/>
      <c r="AD507" s="1636"/>
      <c r="AE507" s="1636"/>
      <c r="AF507" s="1636"/>
      <c r="AG507" s="1636"/>
    </row>
    <row r="508" spans="1:33" ht="25.5">
      <c r="A508" s="1625">
        <v>4119</v>
      </c>
      <c r="B508" s="1637" t="s">
        <v>934</v>
      </c>
      <c r="C508" s="1638" t="s">
        <v>935</v>
      </c>
      <c r="D508" s="1636"/>
      <c r="E508" s="1628">
        <f>5</f>
        <v>5</v>
      </c>
      <c r="F508" s="1629">
        <v>43325</v>
      </c>
      <c r="G508" s="1629">
        <f t="shared" si="129"/>
        <v>43329</v>
      </c>
      <c r="H508" s="1630" t="s">
        <v>914</v>
      </c>
      <c r="I508" s="1631" t="s">
        <v>169</v>
      </c>
      <c r="J508" s="1632" t="s">
        <v>178</v>
      </c>
      <c r="K508" s="1679" t="s">
        <v>320</v>
      </c>
      <c r="L508" s="1633">
        <v>23173</v>
      </c>
      <c r="M508" s="1636"/>
      <c r="N508" s="1631"/>
      <c r="O508" s="1676">
        <v>1000</v>
      </c>
      <c r="P508" s="1631">
        <v>1</v>
      </c>
      <c r="Q508" s="1634">
        <f t="shared" si="127"/>
        <v>1000</v>
      </c>
      <c r="R508" s="1671"/>
      <c r="S508" s="1671"/>
      <c r="T508" s="1671"/>
      <c r="U508" s="1671"/>
      <c r="V508" s="1671"/>
      <c r="W508" s="1671">
        <f>Q508</f>
        <v>1000</v>
      </c>
      <c r="X508" s="1671"/>
      <c r="Y508" s="1636"/>
      <c r="Z508" s="1636"/>
      <c r="AA508" s="1636"/>
      <c r="AB508" s="1636"/>
      <c r="AC508" s="1636"/>
      <c r="AD508" s="1636"/>
      <c r="AE508" s="1636"/>
      <c r="AF508" s="1636"/>
      <c r="AG508" s="1636"/>
    </row>
    <row r="509" spans="1:33" ht="31.5">
      <c r="A509" s="1640">
        <v>412</v>
      </c>
      <c r="B509" s="1685" t="s">
        <v>936</v>
      </c>
      <c r="C509" s="1686"/>
      <c r="D509" s="1687"/>
      <c r="E509" s="1687"/>
      <c r="F509" s="1687"/>
      <c r="G509" s="1687"/>
      <c r="H509" s="1687"/>
      <c r="I509" s="1687"/>
      <c r="J509" s="1221"/>
      <c r="K509" s="1641"/>
      <c r="L509" s="1642"/>
      <c r="M509" s="1643"/>
      <c r="N509" s="1644"/>
      <c r="O509" s="1645"/>
      <c r="P509" s="1644"/>
      <c r="Q509" s="1646">
        <f>SUM(Q510:Q514)</f>
        <v>9103.5</v>
      </c>
      <c r="R509" s="1225"/>
      <c r="S509" s="1646">
        <f t="shared" ref="S509:AF509" si="130">SUM(S510:S514)</f>
        <v>0</v>
      </c>
      <c r="T509" s="1646">
        <f t="shared" si="130"/>
        <v>0</v>
      </c>
      <c r="U509" s="1646">
        <f t="shared" si="130"/>
        <v>0</v>
      </c>
      <c r="V509" s="1646">
        <f t="shared" si="130"/>
        <v>0</v>
      </c>
      <c r="W509" s="1646">
        <f t="shared" si="130"/>
        <v>9103.5</v>
      </c>
      <c r="X509" s="1646">
        <f t="shared" si="130"/>
        <v>0</v>
      </c>
      <c r="Y509" s="1646">
        <f t="shared" si="130"/>
        <v>0</v>
      </c>
      <c r="Z509" s="1224">
        <f t="shared" si="130"/>
        <v>0</v>
      </c>
      <c r="AA509" s="1224">
        <f t="shared" si="130"/>
        <v>0</v>
      </c>
      <c r="AB509" s="1224">
        <f t="shared" si="130"/>
        <v>0</v>
      </c>
      <c r="AC509" s="1224">
        <f t="shared" si="130"/>
        <v>0</v>
      </c>
      <c r="AD509" s="1224">
        <f t="shared" si="130"/>
        <v>0</v>
      </c>
      <c r="AE509" s="1224">
        <f t="shared" si="130"/>
        <v>0</v>
      </c>
      <c r="AF509" s="1224">
        <f t="shared" si="130"/>
        <v>0</v>
      </c>
      <c r="AG509" s="1224">
        <f>SUM(S509:AF509)</f>
        <v>9103.5</v>
      </c>
    </row>
    <row r="510" spans="1:33" s="1570" customFormat="1" ht="57" customHeight="1">
      <c r="A510" s="1647">
        <v>4121</v>
      </c>
      <c r="B510" s="1648" t="s">
        <v>937</v>
      </c>
      <c r="C510" s="1648" t="s">
        <v>938</v>
      </c>
      <c r="D510" s="1649"/>
      <c r="E510" s="1650">
        <f>2</f>
        <v>2</v>
      </c>
      <c r="F510" s="1629">
        <v>43297</v>
      </c>
      <c r="G510" s="1629">
        <f>F510+E510-1</f>
        <v>43298</v>
      </c>
      <c r="H510" s="1651" t="s">
        <v>178</v>
      </c>
      <c r="I510" s="1651" t="s">
        <v>178</v>
      </c>
      <c r="J510" s="1652" t="s">
        <v>169</v>
      </c>
      <c r="K510" s="1679" t="s">
        <v>888</v>
      </c>
      <c r="L510" s="1633">
        <v>23174</v>
      </c>
      <c r="M510" s="1688"/>
      <c r="N510" s="1653"/>
      <c r="O510" s="1689">
        <v>3106.9156250000001</v>
      </c>
      <c r="P510" s="1653">
        <v>1</v>
      </c>
      <c r="Q510" s="1654">
        <f>O510*P510</f>
        <v>3106.9156250000001</v>
      </c>
      <c r="R510" s="1655"/>
      <c r="S510" s="1690"/>
      <c r="T510" s="1690"/>
      <c r="U510" s="1690"/>
      <c r="V510" s="1690"/>
      <c r="W510" s="1690">
        <f>Q510</f>
        <v>3106.9156250000001</v>
      </c>
      <c r="X510" s="1690"/>
      <c r="Y510" s="1690"/>
      <c r="Z510" s="1691"/>
      <c r="AA510" s="1691"/>
      <c r="AB510" s="1691"/>
      <c r="AC510" s="1691"/>
      <c r="AD510" s="1691"/>
      <c r="AE510" s="1691"/>
      <c r="AF510" s="1691"/>
      <c r="AG510" s="1691"/>
    </row>
    <row r="511" spans="1:33" s="1570" customFormat="1" ht="33" customHeight="1">
      <c r="A511" s="1647">
        <v>4121</v>
      </c>
      <c r="B511" s="1648" t="s">
        <v>937</v>
      </c>
      <c r="C511" s="1648" t="s">
        <v>939</v>
      </c>
      <c r="D511" s="1649"/>
      <c r="E511" s="1650">
        <f>2</f>
        <v>2</v>
      </c>
      <c r="F511" s="1629">
        <v>43297</v>
      </c>
      <c r="G511" s="1629">
        <f>F511+E511-1</f>
        <v>43298</v>
      </c>
      <c r="H511" s="1651" t="s">
        <v>178</v>
      </c>
      <c r="I511" s="1651" t="s">
        <v>169</v>
      </c>
      <c r="J511" s="1632" t="s">
        <v>178</v>
      </c>
      <c r="K511" s="1679" t="s">
        <v>486</v>
      </c>
      <c r="L511" s="1633">
        <v>23173</v>
      </c>
      <c r="M511" s="1688"/>
      <c r="N511" s="1653"/>
      <c r="O511" s="1689">
        <v>46.875</v>
      </c>
      <c r="P511" s="1653">
        <v>2</v>
      </c>
      <c r="Q511" s="1654">
        <f>O511*P511</f>
        <v>93.75</v>
      </c>
      <c r="R511" s="1655"/>
      <c r="S511" s="1690"/>
      <c r="T511" s="1690"/>
      <c r="U511" s="1690"/>
      <c r="V511" s="1690"/>
      <c r="W511" s="1690">
        <f>Q511</f>
        <v>93.75</v>
      </c>
      <c r="X511" s="1690"/>
      <c r="Y511" s="1690"/>
      <c r="Z511" s="1691"/>
      <c r="AA511" s="1691"/>
      <c r="AB511" s="1691"/>
      <c r="AC511" s="1691"/>
      <c r="AD511" s="1691"/>
      <c r="AE511" s="1691"/>
      <c r="AF511" s="1691"/>
      <c r="AG511" s="1691"/>
    </row>
    <row r="512" spans="1:33" s="1570" customFormat="1" ht="44.25" customHeight="1">
      <c r="A512" s="1647">
        <v>4122</v>
      </c>
      <c r="B512" s="1648" t="s">
        <v>23</v>
      </c>
      <c r="C512" s="1648" t="s">
        <v>939</v>
      </c>
      <c r="D512" s="1649"/>
      <c r="E512" s="1650">
        <f>3</f>
        <v>3</v>
      </c>
      <c r="F512" s="1629">
        <v>43300</v>
      </c>
      <c r="G512" s="1629">
        <f>F512+E512-1</f>
        <v>43302</v>
      </c>
      <c r="H512" s="1651" t="s">
        <v>178</v>
      </c>
      <c r="I512" s="1651" t="s">
        <v>178</v>
      </c>
      <c r="J512" s="1652" t="s">
        <v>169</v>
      </c>
      <c r="K512" s="1679" t="s">
        <v>888</v>
      </c>
      <c r="L512" s="1633">
        <v>23174</v>
      </c>
      <c r="M512" s="1688"/>
      <c r="N512" s="1653"/>
      <c r="O512" s="1689">
        <v>5645.0218750000004</v>
      </c>
      <c r="P512" s="1653">
        <v>1</v>
      </c>
      <c r="Q512" s="1654">
        <f>O512*P512</f>
        <v>5645.0218750000004</v>
      </c>
      <c r="R512" s="1655"/>
      <c r="S512" s="1690"/>
      <c r="T512" s="1690"/>
      <c r="U512" s="1690"/>
      <c r="V512" s="1690"/>
      <c r="W512" s="1690">
        <f>Q512</f>
        <v>5645.0218750000004</v>
      </c>
      <c r="X512" s="1690"/>
      <c r="Y512" s="1690"/>
      <c r="Z512" s="1691"/>
      <c r="AA512" s="1691"/>
      <c r="AB512" s="1691"/>
      <c r="AC512" s="1691"/>
      <c r="AD512" s="1691"/>
      <c r="AE512" s="1691"/>
      <c r="AF512" s="1691"/>
      <c r="AG512" s="1691"/>
    </row>
    <row r="513" spans="1:33" s="1570" customFormat="1" ht="37.5" customHeight="1">
      <c r="A513" s="1647">
        <v>4122</v>
      </c>
      <c r="B513" s="1648" t="s">
        <v>23</v>
      </c>
      <c r="C513" s="1648" t="s">
        <v>940</v>
      </c>
      <c r="D513" s="1649"/>
      <c r="E513" s="1650">
        <f>3</f>
        <v>3</v>
      </c>
      <c r="F513" s="1629">
        <v>43300</v>
      </c>
      <c r="G513" s="1629">
        <f>F513+E513-1</f>
        <v>43302</v>
      </c>
      <c r="H513" s="1651" t="s">
        <v>178</v>
      </c>
      <c r="I513" s="1651" t="s">
        <v>169</v>
      </c>
      <c r="J513" s="1632" t="s">
        <v>178</v>
      </c>
      <c r="K513" s="1679" t="s">
        <v>486</v>
      </c>
      <c r="L513" s="1633">
        <v>23173</v>
      </c>
      <c r="M513" s="1688"/>
      <c r="N513" s="1653"/>
      <c r="O513" s="1689">
        <v>31.25</v>
      </c>
      <c r="P513" s="1653">
        <v>3</v>
      </c>
      <c r="Q513" s="1654">
        <f>O513*P513</f>
        <v>93.75</v>
      </c>
      <c r="R513" s="1655"/>
      <c r="S513" s="1690"/>
      <c r="T513" s="1690"/>
      <c r="U513" s="1690"/>
      <c r="V513" s="1690"/>
      <c r="W513" s="1690">
        <f>Q513</f>
        <v>93.75</v>
      </c>
      <c r="X513" s="1690"/>
      <c r="Y513" s="1690"/>
      <c r="Z513" s="1691"/>
      <c r="AA513" s="1691"/>
      <c r="AB513" s="1691"/>
      <c r="AC513" s="1691"/>
      <c r="AD513" s="1691"/>
      <c r="AE513" s="1691"/>
      <c r="AF513" s="1691"/>
      <c r="AG513" s="1691"/>
    </row>
    <row r="514" spans="1:33" s="1570" customFormat="1" ht="37.5" customHeight="1">
      <c r="A514" s="1647">
        <v>4122</v>
      </c>
      <c r="B514" s="1648" t="s">
        <v>23</v>
      </c>
      <c r="C514" s="1648" t="s">
        <v>940</v>
      </c>
      <c r="D514" s="1649"/>
      <c r="E514" s="1650">
        <f>3</f>
        <v>3</v>
      </c>
      <c r="F514" s="1629">
        <v>43300</v>
      </c>
      <c r="G514" s="1629">
        <f>F514+E514-1</f>
        <v>43302</v>
      </c>
      <c r="H514" s="1651" t="s">
        <v>178</v>
      </c>
      <c r="I514" s="1651" t="s">
        <v>169</v>
      </c>
      <c r="J514" s="1632" t="s">
        <v>178</v>
      </c>
      <c r="K514" s="1679" t="s">
        <v>320</v>
      </c>
      <c r="L514" s="1633">
        <v>23173</v>
      </c>
      <c r="M514" s="1688"/>
      <c r="N514" s="1653"/>
      <c r="O514" s="1689">
        <v>164.0625</v>
      </c>
      <c r="P514" s="1653">
        <v>1</v>
      </c>
      <c r="Q514" s="1654">
        <f>O514*P514</f>
        <v>164.0625</v>
      </c>
      <c r="R514" s="1655"/>
      <c r="S514" s="1690"/>
      <c r="T514" s="1690"/>
      <c r="U514" s="1690"/>
      <c r="V514" s="1690"/>
      <c r="W514" s="1690">
        <f>Q514</f>
        <v>164.0625</v>
      </c>
      <c r="X514" s="1690"/>
      <c r="Y514" s="1690"/>
      <c r="Z514" s="1691"/>
      <c r="AA514" s="1691"/>
      <c r="AB514" s="1691"/>
      <c r="AC514" s="1691"/>
      <c r="AD514" s="1691"/>
      <c r="AE514" s="1691"/>
      <c r="AF514" s="1691"/>
      <c r="AG514" s="1691"/>
    </row>
    <row r="515" spans="1:33" ht="31.5">
      <c r="A515" s="1640">
        <v>413</v>
      </c>
      <c r="B515" s="1685" t="s">
        <v>941</v>
      </c>
      <c r="C515" s="1686"/>
      <c r="D515" s="1687"/>
      <c r="E515" s="1687"/>
      <c r="F515" s="1687"/>
      <c r="G515" s="1687"/>
      <c r="H515" s="1687"/>
      <c r="I515" s="1687"/>
      <c r="J515" s="1221"/>
      <c r="K515" s="1641"/>
      <c r="L515" s="1642"/>
      <c r="M515" s="1643"/>
      <c r="N515" s="1644"/>
      <c r="O515" s="1645"/>
      <c r="P515" s="1644"/>
      <c r="Q515" s="1646">
        <f>Q516+Q530</f>
        <v>283581.25624999998</v>
      </c>
      <c r="R515" s="1225"/>
      <c r="S515" s="1646">
        <f t="shared" ref="S515:AF515" si="131">S516+S530</f>
        <v>0</v>
      </c>
      <c r="T515" s="1646">
        <f t="shared" si="131"/>
        <v>0</v>
      </c>
      <c r="U515" s="1646">
        <f t="shared" si="131"/>
        <v>180235.375</v>
      </c>
      <c r="V515" s="1646">
        <f t="shared" si="131"/>
        <v>0</v>
      </c>
      <c r="W515" s="1646">
        <f t="shared" si="131"/>
        <v>65543.719125000003</v>
      </c>
      <c r="X515" s="1692">
        <f t="shared" si="131"/>
        <v>7772.2348750000001</v>
      </c>
      <c r="Y515" s="1692">
        <f t="shared" si="131"/>
        <v>30029.927250000001</v>
      </c>
      <c r="Z515" s="1456">
        <f t="shared" si="131"/>
        <v>0</v>
      </c>
      <c r="AA515" s="1456">
        <f t="shared" si="131"/>
        <v>0</v>
      </c>
      <c r="AB515" s="1456">
        <f t="shared" si="131"/>
        <v>0</v>
      </c>
      <c r="AC515" s="1456">
        <f t="shared" si="131"/>
        <v>0</v>
      </c>
      <c r="AD515" s="1456">
        <f t="shared" si="131"/>
        <v>0</v>
      </c>
      <c r="AE515" s="1456">
        <f t="shared" si="131"/>
        <v>0</v>
      </c>
      <c r="AF515" s="1456">
        <f t="shared" si="131"/>
        <v>0</v>
      </c>
      <c r="AG515" s="1456">
        <f>SUM(S515:AF515)</f>
        <v>283581.25624999998</v>
      </c>
    </row>
    <row r="516" spans="1:33" ht="31.5">
      <c r="A516" s="1625">
        <v>4131</v>
      </c>
      <c r="B516" s="1693" t="s">
        <v>942</v>
      </c>
      <c r="C516" s="1626"/>
      <c r="D516" s="1636"/>
      <c r="E516" s="1628"/>
      <c r="F516" s="1629"/>
      <c r="G516" s="1629"/>
      <c r="H516" s="1630"/>
      <c r="I516" s="1631"/>
      <c r="J516" s="1632"/>
      <c r="K516" s="1636"/>
      <c r="L516" s="1668"/>
      <c r="M516" s="1636"/>
      <c r="N516" s="1631"/>
      <c r="O516" s="1694"/>
      <c r="P516" s="1631"/>
      <c r="Q516" s="1710">
        <f>SUM(Q517:Q529)</f>
        <v>243638.828125</v>
      </c>
      <c r="R516" s="1655"/>
      <c r="S516" s="1695">
        <f t="shared" ref="S516:AF516" si="132">SUM(S517:S529)</f>
        <v>0</v>
      </c>
      <c r="T516" s="1695">
        <f t="shared" si="132"/>
        <v>0</v>
      </c>
      <c r="U516" s="1695">
        <f t="shared" si="132"/>
        <v>180235.375</v>
      </c>
      <c r="V516" s="1695">
        <f t="shared" si="132"/>
        <v>0</v>
      </c>
      <c r="W516" s="1695">
        <f t="shared" si="132"/>
        <v>63403.453125</v>
      </c>
      <c r="X516" s="1695">
        <f t="shared" si="132"/>
        <v>0</v>
      </c>
      <c r="Y516" s="1695">
        <f t="shared" si="132"/>
        <v>0</v>
      </c>
      <c r="Z516" s="1695">
        <f t="shared" si="132"/>
        <v>0</v>
      </c>
      <c r="AA516" s="1695">
        <f t="shared" si="132"/>
        <v>0</v>
      </c>
      <c r="AB516" s="1695">
        <f t="shared" si="132"/>
        <v>0</v>
      </c>
      <c r="AC516" s="1695">
        <f t="shared" si="132"/>
        <v>0</v>
      </c>
      <c r="AD516" s="1695">
        <f t="shared" si="132"/>
        <v>0</v>
      </c>
      <c r="AE516" s="1695">
        <f t="shared" si="132"/>
        <v>0</v>
      </c>
      <c r="AF516" s="1695">
        <f t="shared" si="132"/>
        <v>0</v>
      </c>
      <c r="AG516" s="1636"/>
    </row>
    <row r="517" spans="1:33" ht="51.75" customHeight="1">
      <c r="A517" s="1535">
        <v>4131</v>
      </c>
      <c r="B517" s="857" t="s">
        <v>943</v>
      </c>
      <c r="C517" s="1598" t="s">
        <v>944</v>
      </c>
      <c r="D517" s="1599"/>
      <c r="E517" s="1391">
        <f>45+21</f>
        <v>66</v>
      </c>
      <c r="F517" s="1400">
        <v>43192</v>
      </c>
      <c r="G517" s="1400">
        <f>E517+F517-1</f>
        <v>43257</v>
      </c>
      <c r="H517" s="845" t="s">
        <v>178</v>
      </c>
      <c r="I517" s="845" t="s">
        <v>169</v>
      </c>
      <c r="J517" s="866" t="s">
        <v>178</v>
      </c>
      <c r="K517" s="311" t="s">
        <v>945</v>
      </c>
      <c r="L517" s="1238">
        <v>2461</v>
      </c>
      <c r="M517" s="326"/>
      <c r="N517" s="294"/>
      <c r="O517" s="354">
        <v>3356.25</v>
      </c>
      <c r="P517" s="294">
        <v>1</v>
      </c>
      <c r="Q517" s="1111">
        <f t="shared" ref="Q517:Q529" si="133">O517*P517</f>
        <v>3356.25</v>
      </c>
      <c r="R517" s="1412"/>
      <c r="S517" s="913"/>
      <c r="T517" s="913"/>
      <c r="U517" s="913">
        <f>Q517</f>
        <v>3356.25</v>
      </c>
      <c r="V517" s="913"/>
      <c r="W517" s="913"/>
      <c r="X517" s="1600"/>
      <c r="Y517" s="1127"/>
      <c r="Z517" s="1124"/>
      <c r="AA517" s="1124"/>
      <c r="AB517" s="1124"/>
      <c r="AC517" s="1124"/>
      <c r="AD517" s="1124"/>
      <c r="AE517" s="1124"/>
      <c r="AF517" s="1124"/>
      <c r="AG517" s="1124"/>
    </row>
    <row r="518" spans="1:33" ht="31.5">
      <c r="A518" s="1535">
        <v>4131</v>
      </c>
      <c r="B518" s="857" t="s">
        <v>943</v>
      </c>
      <c r="C518" s="1598" t="s">
        <v>944</v>
      </c>
      <c r="D518" s="1599"/>
      <c r="E518" s="1391">
        <f>45+21</f>
        <v>66</v>
      </c>
      <c r="F518" s="1400">
        <v>43192</v>
      </c>
      <c r="G518" s="1400">
        <f t="shared" ref="G518:G529" si="134">E518+F518-1</f>
        <v>43257</v>
      </c>
      <c r="H518" s="845" t="s">
        <v>178</v>
      </c>
      <c r="I518" s="845" t="s">
        <v>169</v>
      </c>
      <c r="J518" s="866" t="s">
        <v>178</v>
      </c>
      <c r="K518" s="311" t="s">
        <v>946</v>
      </c>
      <c r="L518" s="1238">
        <v>2314</v>
      </c>
      <c r="M518" s="326"/>
      <c r="N518" s="294"/>
      <c r="O518" s="354">
        <v>125</v>
      </c>
      <c r="P518" s="294">
        <v>1</v>
      </c>
      <c r="Q518" s="1111">
        <f t="shared" si="133"/>
        <v>125</v>
      </c>
      <c r="R518" s="1412"/>
      <c r="S518" s="913"/>
      <c r="T518" s="913"/>
      <c r="U518" s="913">
        <f>Q518</f>
        <v>125</v>
      </c>
      <c r="V518" s="913"/>
      <c r="W518" s="913"/>
      <c r="X518" s="1600"/>
      <c r="Y518" s="1127"/>
      <c r="Z518" s="1124"/>
      <c r="AA518" s="1124"/>
      <c r="AB518" s="1124"/>
      <c r="AC518" s="1124"/>
      <c r="AD518" s="1124"/>
      <c r="AE518" s="1124"/>
      <c r="AF518" s="1124"/>
      <c r="AG518" s="1124"/>
    </row>
    <row r="519" spans="1:33" ht="31.5">
      <c r="A519" s="1535">
        <v>4131</v>
      </c>
      <c r="B519" s="857" t="s">
        <v>943</v>
      </c>
      <c r="C519" s="1598" t="s">
        <v>944</v>
      </c>
      <c r="D519" s="1599"/>
      <c r="E519" s="1391">
        <f>45+21</f>
        <v>66</v>
      </c>
      <c r="F519" s="1400">
        <v>43192</v>
      </c>
      <c r="G519" s="1400">
        <f t="shared" si="134"/>
        <v>43257</v>
      </c>
      <c r="H519" s="845" t="s">
        <v>178</v>
      </c>
      <c r="I519" s="845" t="s">
        <v>169</v>
      </c>
      <c r="J519" s="866" t="s">
        <v>178</v>
      </c>
      <c r="K519" s="311" t="s">
        <v>320</v>
      </c>
      <c r="L519" s="1238">
        <v>23173</v>
      </c>
      <c r="M519" s="326"/>
      <c r="N519" s="294"/>
      <c r="O519" s="354">
        <v>4340.625</v>
      </c>
      <c r="P519" s="294">
        <v>1</v>
      </c>
      <c r="Q519" s="1111">
        <f t="shared" si="133"/>
        <v>4340.625</v>
      </c>
      <c r="R519" s="1412"/>
      <c r="S519" s="913"/>
      <c r="T519" s="913"/>
      <c r="U519" s="913">
        <f>Q519</f>
        <v>4340.625</v>
      </c>
      <c r="V519" s="913"/>
      <c r="W519" s="913"/>
      <c r="X519" s="1600"/>
      <c r="Y519" s="1127"/>
      <c r="Z519" s="1124"/>
      <c r="AA519" s="1124"/>
      <c r="AB519" s="1124"/>
      <c r="AC519" s="1124"/>
      <c r="AD519" s="1124"/>
      <c r="AE519" s="1124"/>
      <c r="AF519" s="1124"/>
      <c r="AG519" s="1124"/>
    </row>
    <row r="520" spans="1:33" ht="49.5" customHeight="1">
      <c r="A520" s="1535">
        <v>4131</v>
      </c>
      <c r="B520" s="857" t="s">
        <v>943</v>
      </c>
      <c r="C520" s="1598" t="s">
        <v>944</v>
      </c>
      <c r="D520" s="1599"/>
      <c r="E520" s="1391">
        <f>45+21</f>
        <v>66</v>
      </c>
      <c r="F520" s="1400">
        <v>43192</v>
      </c>
      <c r="G520" s="1400">
        <f t="shared" si="134"/>
        <v>43257</v>
      </c>
      <c r="H520" s="845" t="s">
        <v>178</v>
      </c>
      <c r="I520" s="845" t="s">
        <v>169</v>
      </c>
      <c r="J520" s="866" t="s">
        <v>178</v>
      </c>
      <c r="K520" s="311" t="s">
        <v>947</v>
      </c>
      <c r="L520" s="1238">
        <v>2463</v>
      </c>
      <c r="M520" s="326"/>
      <c r="N520" s="294"/>
      <c r="O520" s="354">
        <v>23062.5</v>
      </c>
      <c r="P520" s="294">
        <v>1</v>
      </c>
      <c r="Q520" s="1111">
        <f t="shared" si="133"/>
        <v>23062.5</v>
      </c>
      <c r="R520" s="1412"/>
      <c r="S520" s="913"/>
      <c r="T520" s="913"/>
      <c r="U520" s="913">
        <f>Q520</f>
        <v>23062.5</v>
      </c>
      <c r="V520" s="913"/>
      <c r="W520" s="913"/>
      <c r="X520" s="1600"/>
      <c r="Y520" s="1127"/>
      <c r="Z520" s="1124"/>
      <c r="AA520" s="1124"/>
      <c r="AB520" s="1124"/>
      <c r="AC520" s="1124"/>
      <c r="AD520" s="1124"/>
      <c r="AE520" s="1124"/>
      <c r="AF520" s="1124"/>
      <c r="AG520" s="1124"/>
    </row>
    <row r="521" spans="1:33" ht="31.5">
      <c r="A521" s="1535">
        <v>4131</v>
      </c>
      <c r="B521" s="857" t="s">
        <v>943</v>
      </c>
      <c r="C521" s="1598" t="s">
        <v>944</v>
      </c>
      <c r="D521" s="1599"/>
      <c r="E521" s="1391">
        <f>45+21</f>
        <v>66</v>
      </c>
      <c r="F521" s="1400">
        <v>43192</v>
      </c>
      <c r="G521" s="1400">
        <f t="shared" si="134"/>
        <v>43257</v>
      </c>
      <c r="H521" s="845" t="s">
        <v>178</v>
      </c>
      <c r="I521" s="845" t="s">
        <v>169</v>
      </c>
      <c r="J521" s="866" t="s">
        <v>178</v>
      </c>
      <c r="K521" s="311" t="s">
        <v>948</v>
      </c>
      <c r="L521" s="1238">
        <v>2431</v>
      </c>
      <c r="M521" s="326"/>
      <c r="N521" s="294"/>
      <c r="O521" s="354">
        <v>7375</v>
      </c>
      <c r="P521" s="294">
        <v>1</v>
      </c>
      <c r="Q521" s="1111">
        <f t="shared" si="133"/>
        <v>7375</v>
      </c>
      <c r="R521" s="1412"/>
      <c r="S521" s="913"/>
      <c r="T521" s="913"/>
      <c r="U521" s="913">
        <f>Q521</f>
        <v>7375</v>
      </c>
      <c r="V521" s="913"/>
      <c r="W521" s="913"/>
      <c r="X521" s="1600"/>
      <c r="Y521" s="1127"/>
      <c r="Z521" s="1124"/>
      <c r="AA521" s="1124"/>
      <c r="AB521" s="1124"/>
      <c r="AC521" s="1124"/>
      <c r="AD521" s="1124"/>
      <c r="AE521" s="1124"/>
      <c r="AF521" s="1124"/>
      <c r="AG521" s="1124"/>
    </row>
    <row r="522" spans="1:33" ht="60.75" customHeight="1">
      <c r="A522" s="1535">
        <v>4131</v>
      </c>
      <c r="B522" s="908" t="s">
        <v>949</v>
      </c>
      <c r="C522" s="1089" t="s">
        <v>950</v>
      </c>
      <c r="D522" s="1543"/>
      <c r="E522" s="1403">
        <f>9</f>
        <v>9</v>
      </c>
      <c r="F522" s="1404">
        <v>43283</v>
      </c>
      <c r="G522" s="1400">
        <f t="shared" si="134"/>
        <v>43291</v>
      </c>
      <c r="H522" s="293" t="s">
        <v>914</v>
      </c>
      <c r="I522" s="845" t="s">
        <v>178</v>
      </c>
      <c r="J522" s="866" t="s">
        <v>169</v>
      </c>
      <c r="K522" s="1094" t="s">
        <v>888</v>
      </c>
      <c r="L522" s="1238">
        <v>23174</v>
      </c>
      <c r="M522" s="1543"/>
      <c r="N522" s="845"/>
      <c r="O522" s="354">
        <v>7333.0281249999998</v>
      </c>
      <c r="P522" s="845">
        <v>1</v>
      </c>
      <c r="Q522" s="1111">
        <f t="shared" si="133"/>
        <v>7333.0281249999998</v>
      </c>
      <c r="R522" s="1412"/>
      <c r="S522" s="913"/>
      <c r="T522" s="913"/>
      <c r="U522" s="913"/>
      <c r="V522" s="913"/>
      <c r="W522" s="913">
        <f t="shared" ref="W522:W528" si="135">Q522</f>
        <v>7333.0281249999998</v>
      </c>
      <c r="X522" s="1600"/>
      <c r="Y522" s="1127"/>
      <c r="Z522" s="1124"/>
      <c r="AA522" s="1124"/>
      <c r="AB522" s="1124"/>
      <c r="AC522" s="1124"/>
      <c r="AD522" s="1124"/>
      <c r="AE522" s="1124"/>
      <c r="AF522" s="1124"/>
      <c r="AG522" s="1124"/>
    </row>
    <row r="523" spans="1:33" ht="60.75" customHeight="1">
      <c r="A523" s="1535">
        <v>4131</v>
      </c>
      <c r="B523" s="908" t="s">
        <v>949</v>
      </c>
      <c r="C523" s="1089" t="s">
        <v>950</v>
      </c>
      <c r="D523" s="1543"/>
      <c r="E523" s="1403">
        <f>9</f>
        <v>9</v>
      </c>
      <c r="F523" s="1404">
        <v>43283</v>
      </c>
      <c r="G523" s="1400">
        <f t="shared" si="134"/>
        <v>43291</v>
      </c>
      <c r="H523" s="293" t="s">
        <v>914</v>
      </c>
      <c r="I523" s="845" t="s">
        <v>169</v>
      </c>
      <c r="J523" s="866" t="s">
        <v>178</v>
      </c>
      <c r="K523" s="1094" t="s">
        <v>320</v>
      </c>
      <c r="L523" s="1238">
        <v>23173</v>
      </c>
      <c r="M523" s="1543"/>
      <c r="N523" s="845"/>
      <c r="O523" s="354">
        <v>941.5625</v>
      </c>
      <c r="P523" s="845">
        <v>1</v>
      </c>
      <c r="Q523" s="1111">
        <f t="shared" si="133"/>
        <v>941.5625</v>
      </c>
      <c r="R523" s="1412"/>
      <c r="S523" s="913"/>
      <c r="T523" s="913"/>
      <c r="U523" s="913"/>
      <c r="V523" s="913"/>
      <c r="W523" s="913">
        <f t="shared" si="135"/>
        <v>941.5625</v>
      </c>
      <c r="X523" s="1600"/>
      <c r="Y523" s="1127"/>
      <c r="Z523" s="1124"/>
      <c r="AA523" s="1124"/>
      <c r="AB523" s="1124"/>
      <c r="AC523" s="1124"/>
      <c r="AD523" s="1124"/>
      <c r="AE523" s="1124"/>
      <c r="AF523" s="1124"/>
      <c r="AG523" s="1124"/>
    </row>
    <row r="524" spans="1:33" ht="60.75" customHeight="1">
      <c r="A524" s="1535">
        <v>4131</v>
      </c>
      <c r="B524" s="908" t="s">
        <v>949</v>
      </c>
      <c r="C524" s="1089" t="s">
        <v>950</v>
      </c>
      <c r="D524" s="1543"/>
      <c r="E524" s="1403">
        <f>9</f>
        <v>9</v>
      </c>
      <c r="F524" s="1404">
        <v>43283</v>
      </c>
      <c r="G524" s="1400">
        <f t="shared" si="134"/>
        <v>43291</v>
      </c>
      <c r="H524" s="293" t="s">
        <v>914</v>
      </c>
      <c r="I524" s="845" t="s">
        <v>169</v>
      </c>
      <c r="J524" s="866" t="s">
        <v>178</v>
      </c>
      <c r="K524" s="1094" t="s">
        <v>916</v>
      </c>
      <c r="L524" s="1238">
        <v>23173</v>
      </c>
      <c r="M524" s="1543"/>
      <c r="N524" s="845"/>
      <c r="O524" s="354">
        <v>31.25</v>
      </c>
      <c r="P524" s="845">
        <v>8</v>
      </c>
      <c r="Q524" s="1111">
        <f t="shared" si="133"/>
        <v>250</v>
      </c>
      <c r="R524" s="1412"/>
      <c r="S524" s="913"/>
      <c r="T524" s="913"/>
      <c r="U524" s="913"/>
      <c r="V524" s="913"/>
      <c r="W524" s="913">
        <f t="shared" si="135"/>
        <v>250</v>
      </c>
      <c r="X524" s="1600"/>
      <c r="Y524" s="1127"/>
      <c r="Z524" s="1124"/>
      <c r="AA524" s="1124"/>
      <c r="AB524" s="1124"/>
      <c r="AC524" s="1124"/>
      <c r="AD524" s="1124"/>
      <c r="AE524" s="1124"/>
      <c r="AF524" s="1124"/>
      <c r="AG524" s="1124"/>
    </row>
    <row r="525" spans="1:33" ht="60.75" customHeight="1">
      <c r="A525" s="1535">
        <v>4131</v>
      </c>
      <c r="B525" s="908" t="s">
        <v>949</v>
      </c>
      <c r="C525" s="1089" t="s">
        <v>950</v>
      </c>
      <c r="D525" s="1543"/>
      <c r="E525" s="1403">
        <f>9</f>
        <v>9</v>
      </c>
      <c r="F525" s="1404">
        <v>43283</v>
      </c>
      <c r="G525" s="1400">
        <f t="shared" si="134"/>
        <v>43291</v>
      </c>
      <c r="H525" s="293" t="s">
        <v>914</v>
      </c>
      <c r="I525" s="845" t="s">
        <v>169</v>
      </c>
      <c r="J525" s="866" t="s">
        <v>178</v>
      </c>
      <c r="K525" s="311" t="s">
        <v>951</v>
      </c>
      <c r="L525" s="1238">
        <v>23172</v>
      </c>
      <c r="M525" s="1543"/>
      <c r="N525" s="845"/>
      <c r="O525" s="354">
        <v>312.5</v>
      </c>
      <c r="P525" s="845">
        <v>1</v>
      </c>
      <c r="Q525" s="1111">
        <f t="shared" si="133"/>
        <v>312.5</v>
      </c>
      <c r="R525" s="1412"/>
      <c r="S525" s="913"/>
      <c r="T525" s="913"/>
      <c r="U525" s="913"/>
      <c r="V525" s="913"/>
      <c r="W525" s="913">
        <f t="shared" si="135"/>
        <v>312.5</v>
      </c>
      <c r="X525" s="1600"/>
      <c r="Y525" s="1127"/>
      <c r="Z525" s="1124"/>
      <c r="AA525" s="1124"/>
      <c r="AB525" s="1124"/>
      <c r="AC525" s="1124"/>
      <c r="AD525" s="1124"/>
      <c r="AE525" s="1124"/>
      <c r="AF525" s="1124"/>
      <c r="AG525" s="1124"/>
    </row>
    <row r="526" spans="1:33" ht="31.5">
      <c r="A526" s="1535">
        <v>4131</v>
      </c>
      <c r="B526" s="868" t="s">
        <v>952</v>
      </c>
      <c r="C526" s="857" t="s">
        <v>953</v>
      </c>
      <c r="D526" s="1543"/>
      <c r="E526" s="1403">
        <f>2</f>
        <v>2</v>
      </c>
      <c r="F526" s="1400">
        <v>43306</v>
      </c>
      <c r="G526" s="1400">
        <f t="shared" si="134"/>
        <v>43307</v>
      </c>
      <c r="H526" s="293" t="s">
        <v>914</v>
      </c>
      <c r="I526" s="845" t="s">
        <v>178</v>
      </c>
      <c r="J526" s="866" t="s">
        <v>169</v>
      </c>
      <c r="K526" s="1094" t="s">
        <v>888</v>
      </c>
      <c r="L526" s="1238">
        <v>23174</v>
      </c>
      <c r="M526" s="1543"/>
      <c r="N526" s="845"/>
      <c r="O526" s="354">
        <v>41183.768750000003</v>
      </c>
      <c r="P526" s="845">
        <v>1</v>
      </c>
      <c r="Q526" s="1111">
        <f t="shared" si="133"/>
        <v>41183.768750000003</v>
      </c>
      <c r="R526" s="1412"/>
      <c r="S526" s="1601"/>
      <c r="T526" s="1601"/>
      <c r="U526" s="1601"/>
      <c r="V526" s="1601"/>
      <c r="W526" s="913">
        <f t="shared" si="135"/>
        <v>41183.768750000003</v>
      </c>
      <c r="X526" s="1602"/>
      <c r="Y526" s="1164"/>
      <c r="Z526" s="1124"/>
      <c r="AA526" s="1124"/>
      <c r="AB526" s="1124"/>
      <c r="AC526" s="1124"/>
      <c r="AD526" s="1124"/>
      <c r="AE526" s="1124"/>
      <c r="AF526" s="1124"/>
      <c r="AG526" s="1124"/>
    </row>
    <row r="527" spans="1:33" ht="31.5">
      <c r="A527" s="1535">
        <v>4131</v>
      </c>
      <c r="B527" s="868" t="s">
        <v>952</v>
      </c>
      <c r="C527" s="857" t="s">
        <v>953</v>
      </c>
      <c r="D527" s="1543"/>
      <c r="E527" s="1403">
        <f>2</f>
        <v>2</v>
      </c>
      <c r="F527" s="1400">
        <v>43306</v>
      </c>
      <c r="G527" s="1400">
        <f t="shared" si="134"/>
        <v>43307</v>
      </c>
      <c r="H527" s="293" t="s">
        <v>914</v>
      </c>
      <c r="I527" s="845" t="s">
        <v>169</v>
      </c>
      <c r="J527" s="866" t="s">
        <v>178</v>
      </c>
      <c r="K527" s="1094" t="s">
        <v>320</v>
      </c>
      <c r="L527" s="1238">
        <v>23173</v>
      </c>
      <c r="M527" s="1543"/>
      <c r="N527" s="845"/>
      <c r="O527" s="354">
        <v>11320.09375</v>
      </c>
      <c r="P527" s="845">
        <v>1</v>
      </c>
      <c r="Q527" s="1111">
        <f t="shared" si="133"/>
        <v>11320.09375</v>
      </c>
      <c r="R527" s="1415"/>
      <c r="S527" s="913"/>
      <c r="T527" s="913"/>
      <c r="U527" s="913"/>
      <c r="V527" s="913"/>
      <c r="W527" s="913">
        <f t="shared" si="135"/>
        <v>11320.09375</v>
      </c>
      <c r="X527" s="1600"/>
      <c r="Y527" s="1127"/>
      <c r="Z527" s="1124"/>
      <c r="AA527" s="1124"/>
      <c r="AB527" s="1124"/>
      <c r="AC527" s="1124"/>
      <c r="AD527" s="1124"/>
      <c r="AE527" s="1124"/>
      <c r="AF527" s="1124"/>
      <c r="AG527" s="1124"/>
    </row>
    <row r="528" spans="1:33" ht="47.25">
      <c r="A528" s="1535">
        <v>4131</v>
      </c>
      <c r="B528" s="858" t="s">
        <v>952</v>
      </c>
      <c r="C528" s="857" t="s">
        <v>953</v>
      </c>
      <c r="D528" s="1543"/>
      <c r="E528" s="1403">
        <f>2</f>
        <v>2</v>
      </c>
      <c r="F528" s="1400">
        <v>43306</v>
      </c>
      <c r="G528" s="1400">
        <f t="shared" si="134"/>
        <v>43307</v>
      </c>
      <c r="H528" s="293" t="s">
        <v>914</v>
      </c>
      <c r="I528" s="845" t="s">
        <v>169</v>
      </c>
      <c r="J528" s="866" t="s">
        <v>178</v>
      </c>
      <c r="K528" s="1094" t="s">
        <v>916</v>
      </c>
      <c r="L528" s="1238">
        <v>23173</v>
      </c>
      <c r="M528" s="1543"/>
      <c r="N528" s="845"/>
      <c r="O528" s="354">
        <v>46.875</v>
      </c>
      <c r="P528" s="845">
        <f>2*22</f>
        <v>44</v>
      </c>
      <c r="Q528" s="1111">
        <f t="shared" si="133"/>
        <v>2062.5</v>
      </c>
      <c r="R528" s="1415"/>
      <c r="S528" s="913"/>
      <c r="T528" s="913"/>
      <c r="U528" s="913"/>
      <c r="V528" s="913"/>
      <c r="W528" s="913">
        <f t="shared" si="135"/>
        <v>2062.5</v>
      </c>
      <c r="X528" s="1600"/>
      <c r="Y528" s="1127"/>
      <c r="Z528" s="1124"/>
      <c r="AA528" s="1124"/>
      <c r="AB528" s="1124"/>
      <c r="AC528" s="1124"/>
      <c r="AD528" s="1124"/>
      <c r="AE528" s="1124"/>
      <c r="AF528" s="1124"/>
      <c r="AG528" s="1124"/>
    </row>
    <row r="529" spans="1:33" ht="39.75" customHeight="1">
      <c r="A529" s="1535">
        <v>4131</v>
      </c>
      <c r="B529" s="858" t="s">
        <v>954</v>
      </c>
      <c r="C529" s="857" t="s">
        <v>955</v>
      </c>
      <c r="D529" s="1543"/>
      <c r="E529" s="1403">
        <f>15</f>
        <v>15</v>
      </c>
      <c r="F529" s="1400">
        <v>43241</v>
      </c>
      <c r="G529" s="1400">
        <f t="shared" si="134"/>
        <v>43255</v>
      </c>
      <c r="H529" s="293" t="s">
        <v>914</v>
      </c>
      <c r="I529" s="845" t="s">
        <v>178</v>
      </c>
      <c r="J529" s="866" t="s">
        <v>169</v>
      </c>
      <c r="K529" s="1094" t="s">
        <v>888</v>
      </c>
      <c r="L529" s="1238">
        <v>23174</v>
      </c>
      <c r="M529" s="1543"/>
      <c r="N529" s="845"/>
      <c r="O529" s="354">
        <v>141976</v>
      </c>
      <c r="P529" s="845">
        <v>1</v>
      </c>
      <c r="Q529" s="1111">
        <f t="shared" si="133"/>
        <v>141976</v>
      </c>
      <c r="R529" s="853"/>
      <c r="S529" s="913"/>
      <c r="T529" s="913"/>
      <c r="U529" s="913">
        <f>Q529</f>
        <v>141976</v>
      </c>
      <c r="V529" s="913"/>
      <c r="W529" s="913"/>
      <c r="X529" s="1600"/>
      <c r="Y529" s="1127"/>
      <c r="Z529" s="1124"/>
      <c r="AA529" s="1124"/>
      <c r="AB529" s="1124"/>
      <c r="AC529" s="1124"/>
      <c r="AD529" s="1124"/>
      <c r="AE529" s="1124"/>
      <c r="AF529" s="1124"/>
      <c r="AG529" s="1124"/>
    </row>
    <row r="530" spans="1:33">
      <c r="A530" s="1535">
        <v>4132</v>
      </c>
      <c r="B530" s="1696" t="s">
        <v>956</v>
      </c>
      <c r="C530" s="857"/>
      <c r="D530" s="1543"/>
      <c r="E530" s="1403"/>
      <c r="F530" s="1404"/>
      <c r="G530" s="1404"/>
      <c r="H530" s="933"/>
      <c r="I530" s="845"/>
      <c r="J530" s="866"/>
      <c r="K530" s="1543"/>
      <c r="L530" s="1697"/>
      <c r="M530" s="1543"/>
      <c r="N530" s="845"/>
      <c r="O530" s="1698"/>
      <c r="P530" s="845"/>
      <c r="Q530" s="1709">
        <f>SUM(Q531:Q538)</f>
        <v>39942.428125000006</v>
      </c>
      <c r="R530" s="1659"/>
      <c r="S530" s="1699">
        <f t="shared" ref="S530:AF530" si="136">SUM(S531:S538)</f>
        <v>0</v>
      </c>
      <c r="T530" s="1699">
        <f t="shared" si="136"/>
        <v>0</v>
      </c>
      <c r="U530" s="1699">
        <f t="shared" si="136"/>
        <v>0</v>
      </c>
      <c r="V530" s="1699">
        <f t="shared" si="136"/>
        <v>0</v>
      </c>
      <c r="W530" s="1699">
        <f t="shared" si="136"/>
        <v>2140.2660000000001</v>
      </c>
      <c r="X530" s="1699">
        <f t="shared" si="136"/>
        <v>7772.2348750000001</v>
      </c>
      <c r="Y530" s="1699">
        <f t="shared" si="136"/>
        <v>30029.927250000001</v>
      </c>
      <c r="Z530" s="1699">
        <f t="shared" si="136"/>
        <v>0</v>
      </c>
      <c r="AA530" s="1699">
        <f t="shared" si="136"/>
        <v>0</v>
      </c>
      <c r="AB530" s="1699">
        <f t="shared" si="136"/>
        <v>0</v>
      </c>
      <c r="AC530" s="1699">
        <f t="shared" si="136"/>
        <v>0</v>
      </c>
      <c r="AD530" s="1699">
        <f t="shared" si="136"/>
        <v>0</v>
      </c>
      <c r="AE530" s="1699">
        <f t="shared" si="136"/>
        <v>0</v>
      </c>
      <c r="AF530" s="1699">
        <f t="shared" si="136"/>
        <v>0</v>
      </c>
      <c r="AG530" s="1124"/>
    </row>
    <row r="531" spans="1:33" ht="54" customHeight="1">
      <c r="A531" s="1442">
        <v>4132</v>
      </c>
      <c r="B531" s="927" t="s">
        <v>957</v>
      </c>
      <c r="C531" s="1090" t="s">
        <v>958</v>
      </c>
      <c r="D531" s="1543"/>
      <c r="E531" s="1403">
        <f>4+30+4+4+4+2+5+4+6+4</f>
        <v>67</v>
      </c>
      <c r="F531" s="1404">
        <v>43311</v>
      </c>
      <c r="G531" s="1400">
        <f>E531+F531-1</f>
        <v>43377</v>
      </c>
      <c r="H531" s="293" t="s">
        <v>914</v>
      </c>
      <c r="I531" s="845" t="s">
        <v>178</v>
      </c>
      <c r="J531" s="866" t="s">
        <v>169</v>
      </c>
      <c r="K531" s="1094" t="s">
        <v>888</v>
      </c>
      <c r="L531" s="1238">
        <v>23174</v>
      </c>
      <c r="M531" s="1543"/>
      <c r="N531" s="845"/>
      <c r="O531" s="1111">
        <v>20498.981250000001</v>
      </c>
      <c r="P531" s="845">
        <v>1</v>
      </c>
      <c r="Q531" s="1111">
        <f t="shared" ref="Q531:Q538" si="137">O531*P531</f>
        <v>20498.981250000001</v>
      </c>
      <c r="R531" s="936"/>
      <c r="S531" s="913"/>
      <c r="T531" s="913"/>
      <c r="U531" s="913"/>
      <c r="V531" s="913"/>
      <c r="W531" s="913">
        <f>0.08*Q531</f>
        <v>1639.9185</v>
      </c>
      <c r="X531" s="1600">
        <f>0.19*Q531</f>
        <v>3894.8064375000004</v>
      </c>
      <c r="Y531" s="1127">
        <f>(0.16+0.49+0.08)*Q531</f>
        <v>14964.2563125</v>
      </c>
      <c r="Z531" s="1124"/>
      <c r="AA531" s="1124"/>
      <c r="AB531" s="1124"/>
      <c r="AC531" s="1124"/>
      <c r="AD531" s="1124"/>
      <c r="AE531" s="1124"/>
      <c r="AF531" s="1124"/>
      <c r="AG531" s="1124"/>
    </row>
    <row r="532" spans="1:33" ht="45" customHeight="1">
      <c r="A532" s="1442">
        <v>4132</v>
      </c>
      <c r="B532" s="927" t="s">
        <v>957</v>
      </c>
      <c r="C532" s="1090" t="s">
        <v>958</v>
      </c>
      <c r="D532" s="1543"/>
      <c r="E532" s="1403">
        <f>4+30+4+4+4+2+5+4+6+4</f>
        <v>67</v>
      </c>
      <c r="F532" s="1404">
        <v>43311</v>
      </c>
      <c r="G532" s="1400">
        <f t="shared" ref="G532:G538" si="138">E532+F532-1</f>
        <v>43377</v>
      </c>
      <c r="H532" s="293" t="s">
        <v>914</v>
      </c>
      <c r="I532" s="1418" t="s">
        <v>169</v>
      </c>
      <c r="J532" s="1491" t="s">
        <v>178</v>
      </c>
      <c r="K532" s="1094" t="s">
        <v>320</v>
      </c>
      <c r="L532" s="1238">
        <v>23173</v>
      </c>
      <c r="M532" s="1543"/>
      <c r="N532" s="845"/>
      <c r="O532" s="1111">
        <v>5254.34375</v>
      </c>
      <c r="P532" s="845">
        <v>1</v>
      </c>
      <c r="Q532" s="1111">
        <f t="shared" si="137"/>
        <v>5254.34375</v>
      </c>
      <c r="R532" s="936"/>
      <c r="S532" s="913"/>
      <c r="T532" s="913"/>
      <c r="U532" s="913"/>
      <c r="V532" s="913"/>
      <c r="W532" s="913">
        <f>0.08*Q532</f>
        <v>420.34750000000003</v>
      </c>
      <c r="X532" s="1600">
        <f>0.19*Q532</f>
        <v>998.3253125</v>
      </c>
      <c r="Y532" s="1127">
        <f>(0.16+0.49+0.08)*Q532</f>
        <v>3835.6709375</v>
      </c>
      <c r="Z532" s="1124"/>
      <c r="AA532" s="1124"/>
      <c r="AB532" s="1124"/>
      <c r="AC532" s="1124"/>
      <c r="AD532" s="1124"/>
      <c r="AE532" s="1124"/>
      <c r="AF532" s="1124"/>
      <c r="AG532" s="1124"/>
    </row>
    <row r="533" spans="1:33" ht="45" customHeight="1">
      <c r="A533" s="1442">
        <v>4132</v>
      </c>
      <c r="B533" s="927" t="s">
        <v>957</v>
      </c>
      <c r="C533" s="1090" t="s">
        <v>958</v>
      </c>
      <c r="D533" s="1543"/>
      <c r="E533" s="1403">
        <f>4+30+4+4+4+2+5+4+6+4</f>
        <v>67</v>
      </c>
      <c r="F533" s="1404">
        <v>43311</v>
      </c>
      <c r="G533" s="1400">
        <f t="shared" si="138"/>
        <v>43377</v>
      </c>
      <c r="H533" s="293" t="s">
        <v>914</v>
      </c>
      <c r="I533" s="1418" t="s">
        <v>169</v>
      </c>
      <c r="J533" s="1491" t="s">
        <v>178</v>
      </c>
      <c r="K533" s="1094" t="s">
        <v>486</v>
      </c>
      <c r="L533" s="1238">
        <v>23173</v>
      </c>
      <c r="M533" s="1543"/>
      <c r="N533" s="845"/>
      <c r="O533" s="1111">
        <v>31.25</v>
      </c>
      <c r="P533" s="845">
        <f>(4+4+5+4+5)</f>
        <v>22</v>
      </c>
      <c r="Q533" s="1111">
        <f t="shared" si="137"/>
        <v>687.5</v>
      </c>
      <c r="R533" s="936"/>
      <c r="S533" s="913"/>
      <c r="T533" s="913"/>
      <c r="U533" s="913"/>
      <c r="V533" s="913"/>
      <c r="W533" s="913">
        <f>0.08*Q533</f>
        <v>55</v>
      </c>
      <c r="X533" s="1600">
        <f>0.19*Q533</f>
        <v>130.625</v>
      </c>
      <c r="Y533" s="1127">
        <f>(0.16+0.49+0.08)*Q533</f>
        <v>501.875</v>
      </c>
      <c r="Z533" s="1124"/>
      <c r="AA533" s="1124"/>
      <c r="AB533" s="1124"/>
      <c r="AC533" s="1124"/>
      <c r="AD533" s="1124"/>
      <c r="AE533" s="1124"/>
      <c r="AF533" s="1124"/>
      <c r="AG533" s="1124"/>
    </row>
    <row r="534" spans="1:33" ht="45" customHeight="1">
      <c r="A534" s="1442">
        <v>4132</v>
      </c>
      <c r="B534" s="927" t="s">
        <v>957</v>
      </c>
      <c r="C534" s="1090" t="s">
        <v>958</v>
      </c>
      <c r="D534" s="1543"/>
      <c r="E534" s="1403">
        <f>4+30+4+4+4+2+5+4+6+4</f>
        <v>67</v>
      </c>
      <c r="F534" s="1404">
        <v>43311</v>
      </c>
      <c r="G534" s="1400">
        <f t="shared" si="138"/>
        <v>43377</v>
      </c>
      <c r="H534" s="293" t="s">
        <v>914</v>
      </c>
      <c r="I534" s="1418" t="s">
        <v>169</v>
      </c>
      <c r="J534" s="1491" t="s">
        <v>178</v>
      </c>
      <c r="K534" s="311" t="s">
        <v>951</v>
      </c>
      <c r="L534" s="1238">
        <v>23172</v>
      </c>
      <c r="M534" s="1543"/>
      <c r="N534" s="845"/>
      <c r="O534" s="1111">
        <v>312.5</v>
      </c>
      <c r="P534" s="845">
        <v>1</v>
      </c>
      <c r="Q534" s="1111">
        <f t="shared" si="137"/>
        <v>312.5</v>
      </c>
      <c r="R534" s="936"/>
      <c r="S534" s="913"/>
      <c r="T534" s="913"/>
      <c r="U534" s="913"/>
      <c r="V534" s="913"/>
      <c r="W534" s="913">
        <f>0.08*Q534</f>
        <v>25</v>
      </c>
      <c r="X534" s="1600">
        <f>0.19*Q534</f>
        <v>59.375</v>
      </c>
      <c r="Y534" s="1127">
        <f>(0.16+0.49+0.08)*Q534</f>
        <v>228.125</v>
      </c>
      <c r="Z534" s="1124"/>
      <c r="AA534" s="1124"/>
      <c r="AB534" s="1124"/>
      <c r="AC534" s="1124"/>
      <c r="AD534" s="1124"/>
      <c r="AE534" s="1124"/>
      <c r="AF534" s="1124"/>
      <c r="AG534" s="1124"/>
    </row>
    <row r="535" spans="1:33" ht="45" customHeight="1">
      <c r="A535" s="1442">
        <v>4132</v>
      </c>
      <c r="B535" s="927" t="s">
        <v>959</v>
      </c>
      <c r="C535" s="1090" t="s">
        <v>960</v>
      </c>
      <c r="D535" s="1543"/>
      <c r="E535" s="1403">
        <f>5</f>
        <v>5</v>
      </c>
      <c r="F535" s="1404">
        <v>43318</v>
      </c>
      <c r="G535" s="1400">
        <f t="shared" si="138"/>
        <v>43322</v>
      </c>
      <c r="H535" s="293" t="s">
        <v>914</v>
      </c>
      <c r="I535" s="887" t="s">
        <v>178</v>
      </c>
      <c r="J535" s="914" t="s">
        <v>169</v>
      </c>
      <c r="K535" s="1094" t="s">
        <v>888</v>
      </c>
      <c r="L535" s="1238">
        <v>23174</v>
      </c>
      <c r="M535" s="1543"/>
      <c r="N535" s="845"/>
      <c r="O535" s="1111">
        <v>2368.7906250000001</v>
      </c>
      <c r="P535" s="845">
        <v>1</v>
      </c>
      <c r="Q535" s="1111">
        <f t="shared" si="137"/>
        <v>2368.7906250000001</v>
      </c>
      <c r="R535" s="936"/>
      <c r="S535" s="913"/>
      <c r="T535" s="913"/>
      <c r="U535" s="913"/>
      <c r="V535" s="913"/>
      <c r="W535" s="913"/>
      <c r="X535" s="1600">
        <f>Q535</f>
        <v>2368.7906250000001</v>
      </c>
      <c r="Y535" s="1127"/>
      <c r="Z535" s="1124"/>
      <c r="AA535" s="1124"/>
      <c r="AB535" s="1124"/>
      <c r="AC535" s="1124"/>
      <c r="AD535" s="1124"/>
      <c r="AE535" s="1124"/>
      <c r="AF535" s="1124"/>
      <c r="AG535" s="1124"/>
    </row>
    <row r="536" spans="1:33" ht="45" customHeight="1">
      <c r="A536" s="1442">
        <v>4132</v>
      </c>
      <c r="B536" s="927" t="s">
        <v>959</v>
      </c>
      <c r="C536" s="1090" t="s">
        <v>960</v>
      </c>
      <c r="D536" s="1543"/>
      <c r="E536" s="1403">
        <f>5</f>
        <v>5</v>
      </c>
      <c r="F536" s="1404">
        <v>43318</v>
      </c>
      <c r="G536" s="1400">
        <f t="shared" si="138"/>
        <v>43322</v>
      </c>
      <c r="H536" s="293" t="s">
        <v>914</v>
      </c>
      <c r="I536" s="1418" t="s">
        <v>169</v>
      </c>
      <c r="J536" s="1491" t="s">
        <v>178</v>
      </c>
      <c r="K536" s="1094" t="s">
        <v>320</v>
      </c>
      <c r="L536" s="1238">
        <v>23173</v>
      </c>
      <c r="M536" s="1543"/>
      <c r="N536" s="845"/>
      <c r="O536" s="1111">
        <v>164.0625</v>
      </c>
      <c r="P536" s="845">
        <v>1</v>
      </c>
      <c r="Q536" s="1111">
        <f t="shared" si="137"/>
        <v>164.0625</v>
      </c>
      <c r="R536" s="936"/>
      <c r="S536" s="913"/>
      <c r="T536" s="913"/>
      <c r="U536" s="913"/>
      <c r="V536" s="913"/>
      <c r="W536" s="913"/>
      <c r="X536" s="1600">
        <f>Q536</f>
        <v>164.0625</v>
      </c>
      <c r="Y536" s="1127"/>
      <c r="Z536" s="1124"/>
      <c r="AA536" s="1124"/>
      <c r="AB536" s="1124"/>
      <c r="AC536" s="1124"/>
      <c r="AD536" s="1124"/>
      <c r="AE536" s="1124"/>
      <c r="AF536" s="1124"/>
      <c r="AG536" s="1124"/>
    </row>
    <row r="537" spans="1:33" ht="45" customHeight="1">
      <c r="A537" s="1442">
        <v>4132</v>
      </c>
      <c r="B537" s="927" t="s">
        <v>959</v>
      </c>
      <c r="C537" s="1090" t="s">
        <v>960</v>
      </c>
      <c r="D537" s="1543"/>
      <c r="E537" s="1403">
        <f>5</f>
        <v>5</v>
      </c>
      <c r="F537" s="1404">
        <v>43318</v>
      </c>
      <c r="G537" s="1400">
        <f t="shared" si="138"/>
        <v>43322</v>
      </c>
      <c r="H537" s="293" t="s">
        <v>914</v>
      </c>
      <c r="I537" s="1418" t="s">
        <v>169</v>
      </c>
      <c r="J537" s="1491" t="s">
        <v>178</v>
      </c>
      <c r="K537" s="1094" t="s">
        <v>486</v>
      </c>
      <c r="L537" s="1238">
        <v>23173</v>
      </c>
      <c r="M537" s="1543"/>
      <c r="N537" s="845"/>
      <c r="O537" s="1111">
        <v>31.25</v>
      </c>
      <c r="P537" s="845">
        <v>5</v>
      </c>
      <c r="Q537" s="1111">
        <f t="shared" si="137"/>
        <v>156.25</v>
      </c>
      <c r="R537" s="936"/>
      <c r="S537" s="913"/>
      <c r="T537" s="913"/>
      <c r="U537" s="913"/>
      <c r="V537" s="913"/>
      <c r="W537" s="913"/>
      <c r="X537" s="1600">
        <f>Q537</f>
        <v>156.25</v>
      </c>
      <c r="Y537" s="1127"/>
      <c r="Z537" s="1124"/>
      <c r="AA537" s="1124"/>
      <c r="AB537" s="1124"/>
      <c r="AC537" s="1124"/>
      <c r="AD537" s="1124"/>
      <c r="AE537" s="1124"/>
      <c r="AF537" s="1124"/>
      <c r="AG537" s="1124"/>
    </row>
    <row r="538" spans="1:33" ht="55.5" customHeight="1">
      <c r="A538" s="1442">
        <v>4132</v>
      </c>
      <c r="B538" s="908" t="s">
        <v>961</v>
      </c>
      <c r="C538" s="1091" t="s">
        <v>962</v>
      </c>
      <c r="D538" s="1543"/>
      <c r="E538" s="1403">
        <f>10</f>
        <v>10</v>
      </c>
      <c r="F538" s="1400">
        <v>43360</v>
      </c>
      <c r="G538" s="1400">
        <f t="shared" si="138"/>
        <v>43369</v>
      </c>
      <c r="H538" s="293" t="s">
        <v>914</v>
      </c>
      <c r="I538" s="1418" t="s">
        <v>169</v>
      </c>
      <c r="J538" s="1491" t="s">
        <v>178</v>
      </c>
      <c r="K538" s="311" t="s">
        <v>963</v>
      </c>
      <c r="L538" s="1238">
        <v>2313</v>
      </c>
      <c r="M538" s="1543"/>
      <c r="N538" s="845"/>
      <c r="O538" s="1111">
        <v>750</v>
      </c>
      <c r="P538" s="845">
        <v>14</v>
      </c>
      <c r="Q538" s="1111">
        <f t="shared" si="137"/>
        <v>10500</v>
      </c>
      <c r="R538" s="853"/>
      <c r="S538" s="913"/>
      <c r="T538" s="913"/>
      <c r="U538" s="913"/>
      <c r="V538" s="913"/>
      <c r="W538" s="913"/>
      <c r="X538" s="1600"/>
      <c r="Y538" s="1127">
        <f>Q538</f>
        <v>10500</v>
      </c>
      <c r="Z538" s="1124"/>
      <c r="AA538" s="1124"/>
      <c r="AB538" s="1124"/>
      <c r="AC538" s="1124"/>
      <c r="AD538" s="1124"/>
      <c r="AE538" s="1124"/>
      <c r="AF538" s="1124"/>
      <c r="AG538" s="1124"/>
    </row>
    <row r="539" spans="1:33" ht="15.75" customHeight="1">
      <c r="A539" s="1248" t="s">
        <v>277</v>
      </c>
      <c r="B539" s="274"/>
      <c r="C539" s="278"/>
      <c r="D539" s="1270"/>
      <c r="E539" s="1270"/>
      <c r="F539" s="1270"/>
      <c r="G539" s="1270"/>
      <c r="H539" s="1270"/>
      <c r="I539" s="1270"/>
      <c r="J539" s="273"/>
      <c r="K539" s="1248"/>
      <c r="L539" s="1269"/>
      <c r="M539" s="1270"/>
      <c r="N539" s="1268"/>
      <c r="O539" s="1271"/>
      <c r="P539" s="1268"/>
      <c r="Q539" s="1272">
        <f>+Q540+Q547+Q552+Q554+Q556+Q561+Q571+Q574</f>
        <v>348173.33333333337</v>
      </c>
      <c r="R539" s="1273">
        <f>+'[7]Compil Costing PPA 3 millions'!F16+'[7]Compil Costing PPA 3 millions'!F18+'[7]Compil Costing PPA 3 millions'!F19</f>
        <v>1137594.3333333335</v>
      </c>
      <c r="S539" s="1272">
        <f t="shared" ref="S539:AF539" si="139">+S540+S547+S552+S554+S556+S561+S571+S574</f>
        <v>0</v>
      </c>
      <c r="T539" s="1272">
        <f t="shared" si="139"/>
        <v>93216.666666666672</v>
      </c>
      <c r="U539" s="1272">
        <f t="shared" si="139"/>
        <v>114456.16666666666</v>
      </c>
      <c r="V539" s="1272">
        <f t="shared" si="139"/>
        <v>138325.5</v>
      </c>
      <c r="W539" s="1272">
        <f t="shared" si="139"/>
        <v>1087.5</v>
      </c>
      <c r="X539" s="1272">
        <f t="shared" si="139"/>
        <v>1087.5</v>
      </c>
      <c r="Y539" s="1272">
        <f t="shared" si="139"/>
        <v>0</v>
      </c>
      <c r="Z539" s="276">
        <f t="shared" si="139"/>
        <v>0</v>
      </c>
      <c r="AA539" s="276">
        <f t="shared" si="139"/>
        <v>0</v>
      </c>
      <c r="AB539" s="276">
        <f t="shared" si="139"/>
        <v>0</v>
      </c>
      <c r="AC539" s="276">
        <f t="shared" si="139"/>
        <v>0</v>
      </c>
      <c r="AD539" s="276">
        <f t="shared" si="139"/>
        <v>0</v>
      </c>
      <c r="AE539" s="276">
        <f t="shared" si="139"/>
        <v>0</v>
      </c>
      <c r="AF539" s="276">
        <f t="shared" si="139"/>
        <v>0</v>
      </c>
      <c r="AG539" s="276">
        <f>+AG540+AG547+AG552+AG554+AG556+AG561+AG571+AG574</f>
        <v>348173.33333333331</v>
      </c>
    </row>
    <row r="540" spans="1:33" ht="32.25" thickBot="1">
      <c r="A540" s="1275">
        <v>421</v>
      </c>
      <c r="B540" s="359" t="s">
        <v>439</v>
      </c>
      <c r="C540" s="1021"/>
      <c r="D540" s="1280"/>
      <c r="E540" s="1280"/>
      <c r="F540" s="1280"/>
      <c r="G540" s="1280"/>
      <c r="H540" s="1280"/>
      <c r="I540" s="1280"/>
      <c r="J540" s="283"/>
      <c r="K540" s="1278"/>
      <c r="L540" s="1279"/>
      <c r="M540" s="1280"/>
      <c r="N540" s="1277"/>
      <c r="O540" s="1281"/>
      <c r="P540" s="1277"/>
      <c r="Q540" s="1395">
        <f>SUM(Q541:Q546)</f>
        <v>5437.5</v>
      </c>
      <c r="R540" s="287"/>
      <c r="S540" s="1395">
        <f t="shared" ref="S540:AF540" si="140">SUM(S541:S546)</f>
        <v>0</v>
      </c>
      <c r="T540" s="1395">
        <f t="shared" si="140"/>
        <v>0</v>
      </c>
      <c r="U540" s="1395">
        <f t="shared" si="140"/>
        <v>0</v>
      </c>
      <c r="V540" s="1395">
        <f t="shared" si="140"/>
        <v>3262.5</v>
      </c>
      <c r="W540" s="1395">
        <f t="shared" si="140"/>
        <v>1087.5</v>
      </c>
      <c r="X540" s="1395">
        <f t="shared" si="140"/>
        <v>1087.5</v>
      </c>
      <c r="Y540" s="1395">
        <f t="shared" si="140"/>
        <v>0</v>
      </c>
      <c r="Z540" s="361">
        <f t="shared" si="140"/>
        <v>0</v>
      </c>
      <c r="AA540" s="361">
        <f t="shared" si="140"/>
        <v>0</v>
      </c>
      <c r="AB540" s="361">
        <f t="shared" si="140"/>
        <v>0</v>
      </c>
      <c r="AC540" s="361">
        <f t="shared" si="140"/>
        <v>0</v>
      </c>
      <c r="AD540" s="361">
        <f t="shared" si="140"/>
        <v>0</v>
      </c>
      <c r="AE540" s="361">
        <f t="shared" si="140"/>
        <v>0</v>
      </c>
      <c r="AF540" s="361">
        <f t="shared" si="140"/>
        <v>0</v>
      </c>
      <c r="AG540" s="361">
        <f>SUM(S540:AF540)</f>
        <v>5437.5</v>
      </c>
    </row>
    <row r="541" spans="1:33" ht="66" customHeight="1" thickTop="1" thickBot="1">
      <c r="A541" s="1442">
        <v>4211</v>
      </c>
      <c r="B541" s="973" t="s">
        <v>440</v>
      </c>
      <c r="C541" s="824" t="s">
        <v>441</v>
      </c>
      <c r="D541" s="326"/>
      <c r="E541" s="294">
        <f>50</f>
        <v>50</v>
      </c>
      <c r="F541" s="460">
        <v>43186</v>
      </c>
      <c r="G541" s="461">
        <f t="shared" ref="G541:G546" si="141">+F541+E541</f>
        <v>43236</v>
      </c>
      <c r="H541" s="293" t="s">
        <v>368</v>
      </c>
      <c r="I541" s="294" t="s">
        <v>169</v>
      </c>
      <c r="J541" s="307" t="s">
        <v>442</v>
      </c>
      <c r="K541" s="326" t="s">
        <v>443</v>
      </c>
      <c r="L541" s="1238">
        <v>2313</v>
      </c>
      <c r="M541" s="326"/>
      <c r="N541" s="294"/>
      <c r="O541" s="1419">
        <v>217.5</v>
      </c>
      <c r="P541" s="463">
        <v>15</v>
      </c>
      <c r="Q541" s="1419">
        <v>3262.5</v>
      </c>
      <c r="R541" s="1420">
        <f>+Q541</f>
        <v>3262.5</v>
      </c>
      <c r="S541" s="463"/>
      <c r="T541" s="463"/>
      <c r="U541" s="463"/>
      <c r="V541" s="463">
        <v>3262.5</v>
      </c>
      <c r="W541" s="463"/>
      <c r="X541" s="1141"/>
      <c r="Y541" s="1162"/>
      <c r="Z541" s="1124"/>
      <c r="AA541" s="1199"/>
      <c r="AB541" s="1124"/>
      <c r="AC541" s="1124"/>
      <c r="AD541" s="1124"/>
      <c r="AE541" s="1425"/>
      <c r="AF541" s="1124"/>
      <c r="AG541" s="1162"/>
    </row>
    <row r="542" spans="1:33" ht="17.25" thickTop="1" thickBot="1">
      <c r="A542" s="1442"/>
      <c r="B542" s="973"/>
      <c r="C542" s="824" t="s">
        <v>444</v>
      </c>
      <c r="D542" s="326"/>
      <c r="E542" s="294">
        <v>15</v>
      </c>
      <c r="F542" s="460">
        <v>43241</v>
      </c>
      <c r="G542" s="461">
        <f t="shared" si="141"/>
        <v>43256</v>
      </c>
      <c r="H542" s="293" t="s">
        <v>368</v>
      </c>
      <c r="I542" s="294" t="s">
        <v>442</v>
      </c>
      <c r="J542" s="307"/>
      <c r="K542" s="326" t="s">
        <v>445</v>
      </c>
      <c r="L542" s="1238"/>
      <c r="M542" s="326"/>
      <c r="N542" s="294"/>
      <c r="O542" s="1112"/>
      <c r="P542" s="464"/>
      <c r="Q542" s="1112"/>
      <c r="R542" s="1420">
        <f t="shared" ref="R542:R579" si="142">+Q542</f>
        <v>0</v>
      </c>
      <c r="S542" s="463"/>
      <c r="T542" s="463"/>
      <c r="U542" s="463"/>
      <c r="V542" s="463"/>
      <c r="W542" s="463"/>
      <c r="X542" s="1141"/>
      <c r="Y542" s="1162"/>
      <c r="Z542" s="1124"/>
      <c r="AA542" s="1124"/>
      <c r="AB542" s="1124"/>
      <c r="AC542" s="1124"/>
      <c r="AD542" s="1124"/>
      <c r="AE542" s="1425"/>
      <c r="AF542" s="1124"/>
      <c r="AG542" s="1162"/>
    </row>
    <row r="543" spans="1:33" ht="33" thickTop="1" thickBot="1">
      <c r="A543" s="1442">
        <v>4212</v>
      </c>
      <c r="B543" s="973" t="s">
        <v>446</v>
      </c>
      <c r="C543" s="824" t="s">
        <v>441</v>
      </c>
      <c r="D543" s="326"/>
      <c r="E543" s="294">
        <v>70</v>
      </c>
      <c r="F543" s="460">
        <v>43186</v>
      </c>
      <c r="G543" s="461">
        <f t="shared" si="141"/>
        <v>43256</v>
      </c>
      <c r="H543" s="293" t="s">
        <v>368</v>
      </c>
      <c r="I543" s="294" t="s">
        <v>169</v>
      </c>
      <c r="J543" s="307" t="s">
        <v>442</v>
      </c>
      <c r="K543" s="326" t="s">
        <v>443</v>
      </c>
      <c r="L543" s="1238">
        <v>2313</v>
      </c>
      <c r="M543" s="326"/>
      <c r="N543" s="294"/>
      <c r="O543" s="1419">
        <v>217.5</v>
      </c>
      <c r="P543" s="463">
        <v>5</v>
      </c>
      <c r="Q543" s="1113">
        <f>O543*P543</f>
        <v>1087.5</v>
      </c>
      <c r="R543" s="1420">
        <f t="shared" si="142"/>
        <v>1087.5</v>
      </c>
      <c r="S543" s="463"/>
      <c r="T543" s="463"/>
      <c r="U543" s="463"/>
      <c r="V543" s="463"/>
      <c r="W543" s="463">
        <v>1087.5</v>
      </c>
      <c r="X543" s="1141"/>
      <c r="Y543" s="1162"/>
      <c r="Z543" s="1124"/>
      <c r="AA543" s="1124"/>
      <c r="AB543" s="1124"/>
      <c r="AC543" s="1124"/>
      <c r="AD543" s="1124"/>
      <c r="AE543" s="1425"/>
      <c r="AF543" s="1124"/>
      <c r="AG543" s="1162"/>
    </row>
    <row r="544" spans="1:33" ht="41.25" customHeight="1" thickTop="1" thickBot="1">
      <c r="A544" s="1442"/>
      <c r="B544" s="973"/>
      <c r="C544" s="824" t="s">
        <v>447</v>
      </c>
      <c r="D544" s="326"/>
      <c r="E544" s="294">
        <v>5</v>
      </c>
      <c r="F544" s="460">
        <v>43283</v>
      </c>
      <c r="G544" s="461">
        <f t="shared" si="141"/>
        <v>43288</v>
      </c>
      <c r="H544" s="293" t="s">
        <v>368</v>
      </c>
      <c r="I544" s="294" t="s">
        <v>442</v>
      </c>
      <c r="J544" s="307"/>
      <c r="K544" s="326" t="s">
        <v>445</v>
      </c>
      <c r="L544" s="1238"/>
      <c r="M544" s="326"/>
      <c r="N544" s="294"/>
      <c r="O544" s="1112"/>
      <c r="P544" s="464"/>
      <c r="Q544" s="1112"/>
      <c r="R544" s="1420">
        <f t="shared" si="142"/>
        <v>0</v>
      </c>
      <c r="S544" s="463"/>
      <c r="T544" s="463"/>
      <c r="U544" s="463"/>
      <c r="V544" s="463"/>
      <c r="W544" s="463"/>
      <c r="X544" s="1141"/>
      <c r="Y544" s="1162"/>
      <c r="Z544" s="1124"/>
      <c r="AA544" s="1124"/>
      <c r="AB544" s="1124"/>
      <c r="AC544" s="1124"/>
      <c r="AD544" s="1124"/>
      <c r="AE544" s="1425"/>
      <c r="AF544" s="1124"/>
      <c r="AG544" s="1162"/>
    </row>
    <row r="545" spans="1:33" ht="33" thickTop="1" thickBot="1">
      <c r="A545" s="1442">
        <v>4213</v>
      </c>
      <c r="B545" s="973" t="s">
        <v>448</v>
      </c>
      <c r="C545" s="824" t="s">
        <v>441</v>
      </c>
      <c r="D545" s="326"/>
      <c r="E545" s="294">
        <v>70</v>
      </c>
      <c r="F545" s="460">
        <v>43186</v>
      </c>
      <c r="G545" s="461">
        <f t="shared" si="141"/>
        <v>43256</v>
      </c>
      <c r="H545" s="293" t="s">
        <v>368</v>
      </c>
      <c r="I545" s="294" t="s">
        <v>169</v>
      </c>
      <c r="J545" s="307" t="s">
        <v>442</v>
      </c>
      <c r="K545" s="326" t="s">
        <v>443</v>
      </c>
      <c r="L545" s="1238">
        <v>2313</v>
      </c>
      <c r="M545" s="326"/>
      <c r="N545" s="294"/>
      <c r="O545" s="1419">
        <v>217.5</v>
      </c>
      <c r="P545" s="463">
        <v>5</v>
      </c>
      <c r="Q545" s="1113">
        <f>O545*P545</f>
        <v>1087.5</v>
      </c>
      <c r="R545" s="1420">
        <f t="shared" si="142"/>
        <v>1087.5</v>
      </c>
      <c r="S545" s="463"/>
      <c r="T545" s="463"/>
      <c r="U545" s="463"/>
      <c r="V545" s="463"/>
      <c r="W545" s="463"/>
      <c r="X545" s="1141">
        <v>1087.5</v>
      </c>
      <c r="Y545" s="1162"/>
      <c r="Z545" s="1124"/>
      <c r="AA545" s="1124"/>
      <c r="AB545" s="1124"/>
      <c r="AC545" s="1124"/>
      <c r="AD545" s="1124"/>
      <c r="AE545" s="1425"/>
      <c r="AF545" s="1124"/>
      <c r="AG545" s="1162"/>
    </row>
    <row r="546" spans="1:33" ht="32.25" thickTop="1">
      <c r="A546" s="1442"/>
      <c r="B546" s="973"/>
      <c r="C546" s="824" t="s">
        <v>449</v>
      </c>
      <c r="D546" s="326"/>
      <c r="E546" s="294">
        <v>5</v>
      </c>
      <c r="F546" s="460">
        <v>43318</v>
      </c>
      <c r="G546" s="461">
        <f t="shared" si="141"/>
        <v>43323</v>
      </c>
      <c r="H546" s="293" t="s">
        <v>368</v>
      </c>
      <c r="I546" s="294" t="s">
        <v>442</v>
      </c>
      <c r="J546" s="307"/>
      <c r="K546" s="326" t="s">
        <v>445</v>
      </c>
      <c r="L546" s="1238"/>
      <c r="M546" s="326"/>
      <c r="N546" s="294"/>
      <c r="O546" s="1112"/>
      <c r="P546" s="464"/>
      <c r="Q546" s="1112"/>
      <c r="R546" s="1420">
        <f t="shared" si="142"/>
        <v>0</v>
      </c>
      <c r="S546" s="463"/>
      <c r="T546" s="463"/>
      <c r="U546" s="463"/>
      <c r="V546" s="463"/>
      <c r="W546" s="463"/>
      <c r="X546" s="1141"/>
      <c r="Y546" s="1162"/>
      <c r="Z546" s="1124"/>
      <c r="AA546" s="1124"/>
      <c r="AB546" s="1124"/>
      <c r="AC546" s="1124"/>
      <c r="AD546" s="1124"/>
      <c r="AE546" s="1425"/>
      <c r="AF546" s="1124"/>
      <c r="AG546" s="1162"/>
    </row>
    <row r="547" spans="1:33" ht="16.5" customHeight="1" thickBot="1">
      <c r="A547" s="1275">
        <v>422</v>
      </c>
      <c r="B547" s="359" t="s">
        <v>450</v>
      </c>
      <c r="C547" s="1021"/>
      <c r="D547" s="1280"/>
      <c r="E547" s="1280"/>
      <c r="F547" s="1280"/>
      <c r="G547" s="1280"/>
      <c r="H547" s="1280"/>
      <c r="I547" s="1280"/>
      <c r="J547" s="283"/>
      <c r="K547" s="1278"/>
      <c r="L547" s="1279"/>
      <c r="M547" s="1280"/>
      <c r="N547" s="1277"/>
      <c r="O547" s="1281"/>
      <c r="P547" s="1277"/>
      <c r="Q547" s="1395">
        <f>SUM(Q548:Q551)</f>
        <v>15217.333333333334</v>
      </c>
      <c r="R547" s="1420">
        <f t="shared" si="142"/>
        <v>15217.333333333334</v>
      </c>
      <c r="S547" s="1395">
        <f t="shared" ref="S547:AF547" si="143">SUM(S548:S551)</f>
        <v>0</v>
      </c>
      <c r="T547" s="1395">
        <f t="shared" si="143"/>
        <v>0</v>
      </c>
      <c r="U547" s="1395">
        <f t="shared" si="143"/>
        <v>9997.3333333333321</v>
      </c>
      <c r="V547" s="1395">
        <f t="shared" si="143"/>
        <v>5220</v>
      </c>
      <c r="W547" s="1395">
        <f t="shared" si="143"/>
        <v>0</v>
      </c>
      <c r="X547" s="1395">
        <f t="shared" si="143"/>
        <v>0</v>
      </c>
      <c r="Y547" s="1395">
        <f t="shared" si="143"/>
        <v>0</v>
      </c>
      <c r="Z547" s="361">
        <f t="shared" si="143"/>
        <v>0</v>
      </c>
      <c r="AA547" s="361">
        <f t="shared" si="143"/>
        <v>0</v>
      </c>
      <c r="AB547" s="361">
        <f t="shared" si="143"/>
        <v>0</v>
      </c>
      <c r="AC547" s="361">
        <f t="shared" si="143"/>
        <v>0</v>
      </c>
      <c r="AD547" s="361">
        <f t="shared" si="143"/>
        <v>0</v>
      </c>
      <c r="AE547" s="361">
        <f t="shared" si="143"/>
        <v>0</v>
      </c>
      <c r="AF547" s="361">
        <f t="shared" si="143"/>
        <v>0</v>
      </c>
      <c r="AG547" s="361">
        <f>SUM(S547:AF547)</f>
        <v>15217.333333333332</v>
      </c>
    </row>
    <row r="548" spans="1:33" ht="31.5" thickTop="1" thickBot="1">
      <c r="A548" s="1442">
        <v>4221</v>
      </c>
      <c r="B548" s="985" t="s">
        <v>451</v>
      </c>
      <c r="C548" s="824" t="s">
        <v>452</v>
      </c>
      <c r="D548" s="326"/>
      <c r="E548" s="294">
        <f>50</f>
        <v>50</v>
      </c>
      <c r="F548" s="460">
        <v>43186</v>
      </c>
      <c r="G548" s="461">
        <f>+F548+E548</f>
        <v>43236</v>
      </c>
      <c r="H548" s="293" t="s">
        <v>368</v>
      </c>
      <c r="I548" s="294" t="s">
        <v>169</v>
      </c>
      <c r="J548" s="307" t="s">
        <v>179</v>
      </c>
      <c r="K548" s="326" t="s">
        <v>365</v>
      </c>
      <c r="L548" s="1238">
        <v>2313</v>
      </c>
      <c r="M548" s="326"/>
      <c r="N548" s="294"/>
      <c r="O548" s="1419">
        <v>174</v>
      </c>
      <c r="P548" s="466">
        <v>30</v>
      </c>
      <c r="Q548" s="1113">
        <f>O548*P548</f>
        <v>5220</v>
      </c>
      <c r="R548" s="1420">
        <f t="shared" si="142"/>
        <v>5220</v>
      </c>
      <c r="S548" s="463"/>
      <c r="T548" s="463"/>
      <c r="U548" s="463"/>
      <c r="V548" s="463">
        <v>5220</v>
      </c>
      <c r="W548" s="355"/>
      <c r="X548" s="1137"/>
      <c r="Y548" s="1126"/>
      <c r="Z548" s="1124"/>
      <c r="AA548" s="1124"/>
      <c r="AB548" s="1124"/>
      <c r="AC548" s="1124"/>
      <c r="AD548" s="1124"/>
      <c r="AE548" s="1425"/>
      <c r="AF548" s="1124"/>
      <c r="AG548" s="1156"/>
    </row>
    <row r="549" spans="1:33" ht="33" thickTop="1" thickBot="1">
      <c r="A549" s="1442">
        <v>4222</v>
      </c>
      <c r="B549" s="985" t="s">
        <v>453</v>
      </c>
      <c r="C549" s="824" t="s">
        <v>454</v>
      </c>
      <c r="D549" s="326"/>
      <c r="E549" s="1421">
        <v>5</v>
      </c>
      <c r="F549" s="460">
        <v>43241</v>
      </c>
      <c r="G549" s="461">
        <f>+F549+E549-1</f>
        <v>43245</v>
      </c>
      <c r="H549" s="293" t="s">
        <v>455</v>
      </c>
      <c r="I549" s="294" t="s">
        <v>179</v>
      </c>
      <c r="J549" s="307" t="s">
        <v>456</v>
      </c>
      <c r="K549" s="326" t="s">
        <v>457</v>
      </c>
      <c r="L549" s="1238">
        <v>23174</v>
      </c>
      <c r="M549" s="326"/>
      <c r="N549" s="294"/>
      <c r="O549" s="1419">
        <v>160</v>
      </c>
      <c r="P549" s="463">
        <v>40</v>
      </c>
      <c r="Q549" s="1113">
        <f>O549*P549</f>
        <v>6400</v>
      </c>
      <c r="R549" s="1420">
        <f t="shared" si="142"/>
        <v>6400</v>
      </c>
      <c r="S549" s="463"/>
      <c r="T549" s="463"/>
      <c r="U549" s="463">
        <v>6400</v>
      </c>
      <c r="V549" s="463"/>
      <c r="W549" s="355"/>
      <c r="X549" s="1137"/>
      <c r="Y549" s="1126"/>
      <c r="Z549" s="1124"/>
      <c r="AA549" s="1124"/>
      <c r="AB549" s="1124"/>
      <c r="AC549" s="1124"/>
      <c r="AD549" s="1124"/>
      <c r="AE549" s="1425"/>
      <c r="AF549" s="1124"/>
      <c r="AG549" s="1156"/>
    </row>
    <row r="550" spans="1:33" ht="33" thickTop="1" thickBot="1">
      <c r="A550" s="1442">
        <v>4223</v>
      </c>
      <c r="B550" s="985" t="s">
        <v>458</v>
      </c>
      <c r="C550" s="1092" t="s">
        <v>459</v>
      </c>
      <c r="D550" s="326"/>
      <c r="E550" s="1421">
        <v>3</v>
      </c>
      <c r="F550" s="460">
        <v>43248</v>
      </c>
      <c r="G550" s="461">
        <f>+F550+E550-1</f>
        <v>43250</v>
      </c>
      <c r="H550" s="293" t="s">
        <v>460</v>
      </c>
      <c r="I550" s="294" t="s">
        <v>179</v>
      </c>
      <c r="J550" s="306" t="s">
        <v>461</v>
      </c>
      <c r="K550" s="326" t="s">
        <v>457</v>
      </c>
      <c r="L550" s="1238">
        <v>23174</v>
      </c>
      <c r="M550" s="326"/>
      <c r="N550" s="294"/>
      <c r="O550" s="1419">
        <v>134.66666666666666</v>
      </c>
      <c r="P550" s="463">
        <v>8</v>
      </c>
      <c r="Q550" s="1113">
        <f>O550*P550</f>
        <v>1077.3333333333333</v>
      </c>
      <c r="R550" s="1420">
        <f t="shared" si="142"/>
        <v>1077.3333333333333</v>
      </c>
      <c r="S550" s="355"/>
      <c r="T550" s="355"/>
      <c r="U550" s="463">
        <v>1077.3333333333333</v>
      </c>
      <c r="V550" s="355"/>
      <c r="W550" s="355"/>
      <c r="X550" s="1137"/>
      <c r="Y550" s="1126"/>
      <c r="Z550" s="1124"/>
      <c r="AA550" s="1124"/>
      <c r="AB550" s="1124"/>
      <c r="AC550" s="1124"/>
      <c r="AD550" s="1124"/>
      <c r="AE550" s="1425"/>
      <c r="AF550" s="1124"/>
      <c r="AG550" s="1156"/>
    </row>
    <row r="551" spans="1:33" ht="32.25" thickTop="1">
      <c r="A551" s="1442">
        <v>4224</v>
      </c>
      <c r="B551" s="985" t="s">
        <v>462</v>
      </c>
      <c r="C551" s="1092" t="s">
        <v>463</v>
      </c>
      <c r="D551" s="326"/>
      <c r="E551" s="1421">
        <v>5</v>
      </c>
      <c r="F551" s="460">
        <v>43255</v>
      </c>
      <c r="G551" s="461">
        <f>+F551+E551-1</f>
        <v>43259</v>
      </c>
      <c r="H551" s="293" t="s">
        <v>455</v>
      </c>
      <c r="I551" s="294" t="s">
        <v>179</v>
      </c>
      <c r="J551" s="306" t="s">
        <v>461</v>
      </c>
      <c r="K551" s="326" t="s">
        <v>457</v>
      </c>
      <c r="L551" s="1238">
        <v>23174</v>
      </c>
      <c r="M551" s="326"/>
      <c r="N551" s="294"/>
      <c r="O551" s="1419">
        <v>84</v>
      </c>
      <c r="P551" s="463">
        <v>30</v>
      </c>
      <c r="Q551" s="1113">
        <f>O551*P551</f>
        <v>2520</v>
      </c>
      <c r="R551" s="1420">
        <f t="shared" si="142"/>
        <v>2520</v>
      </c>
      <c r="S551" s="463"/>
      <c r="T551" s="463"/>
      <c r="U551" s="463">
        <v>2520</v>
      </c>
      <c r="V551" s="463"/>
      <c r="W551" s="463"/>
      <c r="X551" s="1137"/>
      <c r="Y551" s="1126"/>
      <c r="Z551" s="1124"/>
      <c r="AA551" s="1124"/>
      <c r="AB551" s="1124"/>
      <c r="AC551" s="1124"/>
      <c r="AD551" s="1124"/>
      <c r="AE551" s="1425"/>
      <c r="AF551" s="1124"/>
      <c r="AG551" s="1156"/>
    </row>
    <row r="552" spans="1:33" ht="16.5" customHeight="1" thickBot="1">
      <c r="A552" s="1275">
        <v>423</v>
      </c>
      <c r="B552" s="1466" t="s">
        <v>464</v>
      </c>
      <c r="C552" s="1511"/>
      <c r="D552" s="1422"/>
      <c r="E552" s="1422"/>
      <c r="F552" s="1422"/>
      <c r="G552" s="1422"/>
      <c r="H552" s="1422"/>
      <c r="I552" s="1423"/>
      <c r="J552" s="283"/>
      <c r="K552" s="1278"/>
      <c r="L552" s="1279"/>
      <c r="M552" s="1280"/>
      <c r="N552" s="1277"/>
      <c r="O552" s="1281"/>
      <c r="P552" s="1277"/>
      <c r="Q552" s="1395">
        <f>SUM(Q553)</f>
        <v>6400</v>
      </c>
      <c r="R552" s="1420">
        <f t="shared" si="142"/>
        <v>6400</v>
      </c>
      <c r="S552" s="1395">
        <f t="shared" ref="S552:AF552" si="144">SUM(S553)</f>
        <v>0</v>
      </c>
      <c r="T552" s="1395">
        <f t="shared" si="144"/>
        <v>0</v>
      </c>
      <c r="U552" s="1395">
        <f t="shared" si="144"/>
        <v>0</v>
      </c>
      <c r="V552" s="1395">
        <f t="shared" si="144"/>
        <v>6400</v>
      </c>
      <c r="W552" s="1395">
        <f t="shared" si="144"/>
        <v>0</v>
      </c>
      <c r="X552" s="1395">
        <f t="shared" si="144"/>
        <v>0</v>
      </c>
      <c r="Y552" s="1395">
        <f t="shared" si="144"/>
        <v>0</v>
      </c>
      <c r="Z552" s="361">
        <f t="shared" si="144"/>
        <v>0</v>
      </c>
      <c r="AA552" s="361">
        <f t="shared" si="144"/>
        <v>0</v>
      </c>
      <c r="AB552" s="361">
        <f t="shared" si="144"/>
        <v>0</v>
      </c>
      <c r="AC552" s="361">
        <f t="shared" si="144"/>
        <v>0</v>
      </c>
      <c r="AD552" s="361">
        <f t="shared" si="144"/>
        <v>0</v>
      </c>
      <c r="AE552" s="361">
        <f t="shared" si="144"/>
        <v>0</v>
      </c>
      <c r="AF552" s="361">
        <f t="shared" si="144"/>
        <v>0</v>
      </c>
      <c r="AG552" s="361">
        <f>SUM(S552:AF552)</f>
        <v>6400</v>
      </c>
    </row>
    <row r="553" spans="1:33" ht="51" customHeight="1" thickTop="1">
      <c r="A553" s="1442">
        <v>4231</v>
      </c>
      <c r="B553" s="985" t="s">
        <v>465</v>
      </c>
      <c r="C553" s="1092" t="s">
        <v>466</v>
      </c>
      <c r="D553" s="466"/>
      <c r="E553" s="1421">
        <v>5</v>
      </c>
      <c r="F553" s="460">
        <v>43269</v>
      </c>
      <c r="G553" s="461">
        <f>+F553+E553-1</f>
        <v>43273</v>
      </c>
      <c r="H553" s="466" t="s">
        <v>368</v>
      </c>
      <c r="I553" s="1421" t="s">
        <v>179</v>
      </c>
      <c r="J553" s="306" t="s">
        <v>461</v>
      </c>
      <c r="K553" s="326" t="s">
        <v>457</v>
      </c>
      <c r="L553" s="1237">
        <v>23174</v>
      </c>
      <c r="M553" s="466"/>
      <c r="N553" s="466"/>
      <c r="O553" s="1419">
        <v>160</v>
      </c>
      <c r="P553" s="1420">
        <v>40</v>
      </c>
      <c r="Q553" s="1419">
        <f>O553*P553</f>
        <v>6400</v>
      </c>
      <c r="R553" s="1420">
        <f t="shared" si="142"/>
        <v>6400</v>
      </c>
      <c r="S553" s="463"/>
      <c r="T553" s="463"/>
      <c r="U553" s="463"/>
      <c r="V553" s="463">
        <v>6400</v>
      </c>
      <c r="W553" s="463"/>
      <c r="X553" s="1424"/>
      <c r="Y553" s="1425"/>
      <c r="Z553" s="1163"/>
      <c r="AA553" s="1163"/>
      <c r="AB553" s="1163"/>
      <c r="AC553" s="1163"/>
      <c r="AD553" s="1163"/>
      <c r="AE553" s="1163"/>
      <c r="AF553" s="1163"/>
      <c r="AG553" s="1163"/>
    </row>
    <row r="554" spans="1:33" ht="18.75" customHeight="1" thickBot="1">
      <c r="A554" s="1275">
        <v>424</v>
      </c>
      <c r="B554" s="1466" t="s">
        <v>467</v>
      </c>
      <c r="C554" s="1511"/>
      <c r="D554" s="1422"/>
      <c r="E554" s="1422"/>
      <c r="F554" s="1422"/>
      <c r="G554" s="1422"/>
      <c r="H554" s="1422"/>
      <c r="I554" s="1423"/>
      <c r="J554" s="283"/>
      <c r="K554" s="1278"/>
      <c r="L554" s="1279"/>
      <c r="M554" s="1280"/>
      <c r="N554" s="1277"/>
      <c r="O554" s="1281"/>
      <c r="P554" s="1277"/>
      <c r="Q554" s="1395">
        <f>SUM(Q555)</f>
        <v>66990</v>
      </c>
      <c r="R554" s="1420">
        <f t="shared" si="142"/>
        <v>66990</v>
      </c>
      <c r="S554" s="1395">
        <f t="shared" ref="S554:AF554" si="145">SUM(S555)</f>
        <v>0</v>
      </c>
      <c r="T554" s="1395">
        <f t="shared" si="145"/>
        <v>0</v>
      </c>
      <c r="U554" s="1395">
        <f t="shared" si="145"/>
        <v>0</v>
      </c>
      <c r="V554" s="1395">
        <f t="shared" si="145"/>
        <v>66990</v>
      </c>
      <c r="W554" s="1395">
        <f t="shared" si="145"/>
        <v>0</v>
      </c>
      <c r="X554" s="1395">
        <f t="shared" si="145"/>
        <v>0</v>
      </c>
      <c r="Y554" s="1395">
        <f t="shared" si="145"/>
        <v>0</v>
      </c>
      <c r="Z554" s="361">
        <f t="shared" si="145"/>
        <v>0</v>
      </c>
      <c r="AA554" s="361">
        <f t="shared" si="145"/>
        <v>0</v>
      </c>
      <c r="AB554" s="361">
        <f t="shared" si="145"/>
        <v>0</v>
      </c>
      <c r="AC554" s="361">
        <f t="shared" si="145"/>
        <v>0</v>
      </c>
      <c r="AD554" s="361">
        <f t="shared" si="145"/>
        <v>0</v>
      </c>
      <c r="AE554" s="361">
        <f t="shared" si="145"/>
        <v>0</v>
      </c>
      <c r="AF554" s="361">
        <f t="shared" si="145"/>
        <v>0</v>
      </c>
      <c r="AG554" s="361">
        <f>SUM(S554:AF554)</f>
        <v>66990</v>
      </c>
    </row>
    <row r="555" spans="1:33" ht="60.75" thickTop="1">
      <c r="A555" s="1442">
        <v>4241</v>
      </c>
      <c r="B555" s="985" t="s">
        <v>468</v>
      </c>
      <c r="C555" s="1092" t="s">
        <v>469</v>
      </c>
      <c r="D555" s="326"/>
      <c r="E555" s="1421">
        <v>2</v>
      </c>
      <c r="F555" s="460">
        <v>43283</v>
      </c>
      <c r="G555" s="461">
        <f>+F555+E555-1</f>
        <v>43284</v>
      </c>
      <c r="H555" s="293" t="s">
        <v>470</v>
      </c>
      <c r="I555" s="294" t="s">
        <v>179</v>
      </c>
      <c r="J555" s="306" t="s">
        <v>461</v>
      </c>
      <c r="K555" s="326" t="s">
        <v>457</v>
      </c>
      <c r="L555" s="1237">
        <v>23174</v>
      </c>
      <c r="M555" s="326"/>
      <c r="N555" s="294"/>
      <c r="O555" s="1419">
        <v>3045</v>
      </c>
      <c r="P555" s="1420">
        <v>22</v>
      </c>
      <c r="Q555" s="1419">
        <f>O555*P555</f>
        <v>66990</v>
      </c>
      <c r="R555" s="1420">
        <f t="shared" si="142"/>
        <v>66990</v>
      </c>
      <c r="S555" s="463"/>
      <c r="T555" s="463"/>
      <c r="U555" s="463"/>
      <c r="V555" s="463">
        <v>66990</v>
      </c>
      <c r="W555" s="463"/>
      <c r="X555" s="1137"/>
      <c r="Y555" s="1126"/>
      <c r="Z555" s="1126"/>
      <c r="AA555" s="1126"/>
      <c r="AB555" s="1126"/>
      <c r="AC555" s="1126"/>
      <c r="AD555" s="1126"/>
      <c r="AE555" s="1126"/>
      <c r="AF555" s="1126"/>
      <c r="AG555" s="1126"/>
    </row>
    <row r="556" spans="1:33" ht="16.5" customHeight="1" thickBot="1">
      <c r="A556" s="1275">
        <v>425</v>
      </c>
      <c r="B556" s="1466" t="s">
        <v>471</v>
      </c>
      <c r="C556" s="1511"/>
      <c r="D556" s="1422"/>
      <c r="E556" s="1422"/>
      <c r="F556" s="1422"/>
      <c r="G556" s="1422"/>
      <c r="H556" s="1422"/>
      <c r="I556" s="1423"/>
      <c r="J556" s="283"/>
      <c r="K556" s="1278"/>
      <c r="L556" s="1279"/>
      <c r="M556" s="1280"/>
      <c r="N556" s="1277"/>
      <c r="O556" s="1281"/>
      <c r="P556" s="1277"/>
      <c r="Q556" s="1395">
        <f>SUM(Q557:Q560)</f>
        <v>104413.66666666667</v>
      </c>
      <c r="R556" s="1420">
        <f t="shared" si="142"/>
        <v>104413.66666666667</v>
      </c>
      <c r="S556" s="1395">
        <f t="shared" ref="S556:AF556" si="146">SUM(S557:S560)</f>
        <v>0</v>
      </c>
      <c r="T556" s="1395">
        <f t="shared" si="146"/>
        <v>93216.666666666672</v>
      </c>
      <c r="U556" s="1395">
        <f t="shared" si="146"/>
        <v>6760</v>
      </c>
      <c r="V556" s="1395">
        <f t="shared" si="146"/>
        <v>4437</v>
      </c>
      <c r="W556" s="1395">
        <f t="shared" si="146"/>
        <v>0</v>
      </c>
      <c r="X556" s="1395">
        <f t="shared" si="146"/>
        <v>0</v>
      </c>
      <c r="Y556" s="1395">
        <f t="shared" si="146"/>
        <v>0</v>
      </c>
      <c r="Z556" s="361">
        <f t="shared" si="146"/>
        <v>0</v>
      </c>
      <c r="AA556" s="361">
        <f t="shared" si="146"/>
        <v>0</v>
      </c>
      <c r="AB556" s="361">
        <f t="shared" si="146"/>
        <v>0</v>
      </c>
      <c r="AC556" s="361">
        <f t="shared" si="146"/>
        <v>0</v>
      </c>
      <c r="AD556" s="361">
        <f t="shared" si="146"/>
        <v>0</v>
      </c>
      <c r="AE556" s="361">
        <f t="shared" si="146"/>
        <v>0</v>
      </c>
      <c r="AF556" s="361">
        <f t="shared" si="146"/>
        <v>0</v>
      </c>
      <c r="AG556" s="361">
        <f>SUM(S556:AF556)</f>
        <v>104413.66666666667</v>
      </c>
    </row>
    <row r="557" spans="1:33" ht="17.25" thickTop="1" thickBot="1">
      <c r="A557" s="1442">
        <v>4251</v>
      </c>
      <c r="B557" s="986" t="s">
        <v>472</v>
      </c>
      <c r="C557" s="1092" t="s">
        <v>473</v>
      </c>
      <c r="D557" s="326"/>
      <c r="E557" s="294">
        <v>15</v>
      </c>
      <c r="F557" s="460">
        <v>43201</v>
      </c>
      <c r="G557" s="461">
        <f>+F557+E557-1</f>
        <v>43215</v>
      </c>
      <c r="H557" s="293" t="s">
        <v>474</v>
      </c>
      <c r="I557" s="294" t="s">
        <v>179</v>
      </c>
      <c r="J557" s="307" t="s">
        <v>169</v>
      </c>
      <c r="K557" s="326" t="s">
        <v>252</v>
      </c>
      <c r="L557" s="1237">
        <v>23174</v>
      </c>
      <c r="M557" s="326"/>
      <c r="N557" s="294"/>
      <c r="O557" s="1419">
        <v>0.23333333333333334</v>
      </c>
      <c r="P557" s="1420">
        <v>57500</v>
      </c>
      <c r="Q557" s="1419">
        <f>O557*P557</f>
        <v>13416.666666666666</v>
      </c>
      <c r="R557" s="1420">
        <f t="shared" si="142"/>
        <v>13416.666666666666</v>
      </c>
      <c r="S557" s="355"/>
      <c r="T557" s="463">
        <v>13416.666666666666</v>
      </c>
      <c r="U557" s="463"/>
      <c r="V557" s="463"/>
      <c r="W557" s="355"/>
      <c r="X557" s="1137"/>
      <c r="Y557" s="1126"/>
      <c r="Z557" s="1126"/>
      <c r="AA557" s="1126"/>
      <c r="AB557" s="1126"/>
      <c r="AC557" s="1126"/>
      <c r="AD557" s="1126"/>
      <c r="AE557" s="1126"/>
      <c r="AF557" s="1126"/>
      <c r="AG557" s="1126"/>
    </row>
    <row r="558" spans="1:33" ht="31.5" thickTop="1" thickBot="1">
      <c r="A558" s="1442">
        <v>4252</v>
      </c>
      <c r="B558" s="986" t="s">
        <v>475</v>
      </c>
      <c r="C558" s="1092" t="s">
        <v>476</v>
      </c>
      <c r="D558" s="326"/>
      <c r="E558" s="294">
        <v>10</v>
      </c>
      <c r="F558" s="460">
        <v>43213</v>
      </c>
      <c r="G558" s="461">
        <f>+F558+E558-1</f>
        <v>43222</v>
      </c>
      <c r="H558" s="293" t="s">
        <v>474</v>
      </c>
      <c r="I558" s="294" t="s">
        <v>179</v>
      </c>
      <c r="J558" s="307" t="s">
        <v>180</v>
      </c>
      <c r="K558" s="326" t="s">
        <v>457</v>
      </c>
      <c r="L558" s="1237">
        <v>23174</v>
      </c>
      <c r="M558" s="326"/>
      <c r="N558" s="294"/>
      <c r="O558" s="1419">
        <v>350</v>
      </c>
      <c r="P558" s="1420">
        <v>228</v>
      </c>
      <c r="Q558" s="1419">
        <f>O558*P558</f>
        <v>79800</v>
      </c>
      <c r="R558" s="1420">
        <f t="shared" si="142"/>
        <v>79800</v>
      </c>
      <c r="S558" s="355"/>
      <c r="T558" s="463">
        <v>79800</v>
      </c>
      <c r="U558" s="463"/>
      <c r="V558" s="463"/>
      <c r="W558" s="355"/>
      <c r="X558" s="1137"/>
      <c r="Y558" s="1126"/>
      <c r="Z558" s="1126"/>
      <c r="AA558" s="1126"/>
      <c r="AB558" s="1126"/>
      <c r="AC558" s="1126"/>
      <c r="AD558" s="1126"/>
      <c r="AE558" s="1126"/>
      <c r="AF558" s="1126"/>
      <c r="AG558" s="1126"/>
    </row>
    <row r="559" spans="1:33" ht="17.25" thickTop="1" thickBot="1">
      <c r="A559" s="1442">
        <v>4253</v>
      </c>
      <c r="B559" s="986" t="s">
        <v>477</v>
      </c>
      <c r="C559" s="1092" t="s">
        <v>478</v>
      </c>
      <c r="D559" s="326"/>
      <c r="E559" s="294">
        <v>10</v>
      </c>
      <c r="F559" s="460">
        <v>43227</v>
      </c>
      <c r="G559" s="461">
        <f t="shared" ref="G559:G570" si="147">+F559+E559-1</f>
        <v>43236</v>
      </c>
      <c r="H559" s="293" t="s">
        <v>368</v>
      </c>
      <c r="I559" s="294" t="s">
        <v>179</v>
      </c>
      <c r="J559" s="307" t="s">
        <v>180</v>
      </c>
      <c r="K559" s="326" t="s">
        <v>457</v>
      </c>
      <c r="L559" s="1237">
        <v>23174</v>
      </c>
      <c r="M559" s="326"/>
      <c r="N559" s="294"/>
      <c r="O559" s="1419">
        <v>260</v>
      </c>
      <c r="P559" s="1420">
        <v>26</v>
      </c>
      <c r="Q559" s="1419">
        <f>O559*P559</f>
        <v>6760</v>
      </c>
      <c r="R559" s="1420">
        <f t="shared" si="142"/>
        <v>6760</v>
      </c>
      <c r="S559" s="463"/>
      <c r="T559" s="463"/>
      <c r="U559" s="463">
        <v>6760</v>
      </c>
      <c r="V559" s="463"/>
      <c r="W559" s="355"/>
      <c r="X559" s="1137"/>
      <c r="Y559" s="1126"/>
      <c r="Z559" s="1126"/>
      <c r="AA559" s="1126"/>
      <c r="AB559" s="1126"/>
      <c r="AC559" s="1126"/>
      <c r="AD559" s="1126"/>
      <c r="AE559" s="1126"/>
      <c r="AF559" s="1126"/>
      <c r="AG559" s="1126"/>
    </row>
    <row r="560" spans="1:33" ht="30.75" thickTop="1">
      <c r="A560" s="1442">
        <v>4254</v>
      </c>
      <c r="B560" s="987" t="s">
        <v>479</v>
      </c>
      <c r="C560" s="1092" t="s">
        <v>480</v>
      </c>
      <c r="D560" s="326"/>
      <c r="E560" s="294">
        <v>6</v>
      </c>
      <c r="F560" s="460">
        <v>43269</v>
      </c>
      <c r="G560" s="461">
        <f t="shared" si="147"/>
        <v>43274</v>
      </c>
      <c r="H560" s="293" t="s">
        <v>368</v>
      </c>
      <c r="I560" s="294" t="s">
        <v>179</v>
      </c>
      <c r="J560" s="307" t="s">
        <v>180</v>
      </c>
      <c r="K560" s="326" t="s">
        <v>457</v>
      </c>
      <c r="L560" s="1237">
        <v>23174</v>
      </c>
      <c r="M560" s="326"/>
      <c r="N560" s="294"/>
      <c r="O560" s="1419">
        <v>177.48</v>
      </c>
      <c r="P560" s="1420">
        <v>25</v>
      </c>
      <c r="Q560" s="1419">
        <f>O560*P560</f>
        <v>4437</v>
      </c>
      <c r="R560" s="1420">
        <f t="shared" si="142"/>
        <v>4437</v>
      </c>
      <c r="S560" s="463"/>
      <c r="T560" s="463"/>
      <c r="U560" s="463"/>
      <c r="V560" s="463">
        <v>4437</v>
      </c>
      <c r="W560" s="355"/>
      <c r="X560" s="1137"/>
      <c r="Y560" s="1126"/>
      <c r="Z560" s="1126"/>
      <c r="AA560" s="1126"/>
      <c r="AB560" s="1126"/>
      <c r="AC560" s="1126"/>
      <c r="AD560" s="1126"/>
      <c r="AE560" s="1126"/>
      <c r="AF560" s="1126"/>
      <c r="AG560" s="1126"/>
    </row>
    <row r="561" spans="1:33" ht="16.5" thickBot="1">
      <c r="A561" s="1275">
        <v>426</v>
      </c>
      <c r="B561" s="1466" t="s">
        <v>481</v>
      </c>
      <c r="C561" s="1511"/>
      <c r="D561" s="1422"/>
      <c r="E561" s="1422"/>
      <c r="F561" s="1422"/>
      <c r="G561" s="1422"/>
      <c r="H561" s="1422"/>
      <c r="I561" s="1423"/>
      <c r="J561" s="283"/>
      <c r="K561" s="1278"/>
      <c r="L561" s="1279"/>
      <c r="M561" s="1277"/>
      <c r="N561" s="1277"/>
      <c r="O561" s="1395"/>
      <c r="P561" s="1277"/>
      <c r="Q561" s="1395">
        <f>SUM(Q562:Q570)</f>
        <v>41478.833333333336</v>
      </c>
      <c r="R561" s="1277">
        <f t="shared" si="142"/>
        <v>41478.833333333336</v>
      </c>
      <c r="S561" s="1395">
        <f t="shared" ref="S561:AF561" si="148">SUM(S562:S570)</f>
        <v>0</v>
      </c>
      <c r="T561" s="1395">
        <f t="shared" si="148"/>
        <v>0</v>
      </c>
      <c r="U561" s="1395">
        <f t="shared" si="148"/>
        <v>33648.833333333328</v>
      </c>
      <c r="V561" s="1395">
        <f t="shared" si="148"/>
        <v>7830</v>
      </c>
      <c r="W561" s="1395">
        <f t="shared" si="148"/>
        <v>0</v>
      </c>
      <c r="X561" s="1395">
        <f t="shared" si="148"/>
        <v>0</v>
      </c>
      <c r="Y561" s="1395">
        <f t="shared" si="148"/>
        <v>0</v>
      </c>
      <c r="Z561" s="361">
        <f t="shared" si="148"/>
        <v>0</v>
      </c>
      <c r="AA561" s="361">
        <f t="shared" si="148"/>
        <v>0</v>
      </c>
      <c r="AB561" s="361">
        <f t="shared" si="148"/>
        <v>0</v>
      </c>
      <c r="AC561" s="361">
        <f t="shared" si="148"/>
        <v>0</v>
      </c>
      <c r="AD561" s="361">
        <f t="shared" si="148"/>
        <v>0</v>
      </c>
      <c r="AE561" s="361">
        <f t="shared" si="148"/>
        <v>0</v>
      </c>
      <c r="AF561" s="361">
        <f t="shared" si="148"/>
        <v>0</v>
      </c>
      <c r="AG561" s="361">
        <f>SUM(S561:AF561)</f>
        <v>41478.833333333328</v>
      </c>
    </row>
    <row r="562" spans="1:33" ht="31.5" thickTop="1" thickBot="1">
      <c r="A562" s="1442">
        <v>4261</v>
      </c>
      <c r="B562" s="986" t="s">
        <v>482</v>
      </c>
      <c r="C562" s="1092" t="s">
        <v>483</v>
      </c>
      <c r="D562" s="326"/>
      <c r="E562" s="294">
        <v>50</v>
      </c>
      <c r="F562" s="460">
        <v>43186</v>
      </c>
      <c r="G562" s="461">
        <f>+F562+E562-3</f>
        <v>43233</v>
      </c>
      <c r="H562" s="293" t="s">
        <v>368</v>
      </c>
      <c r="I562" s="294" t="s">
        <v>169</v>
      </c>
      <c r="J562" s="307" t="s">
        <v>179</v>
      </c>
      <c r="K562" s="311" t="s">
        <v>365</v>
      </c>
      <c r="L562" s="1238">
        <v>2313</v>
      </c>
      <c r="M562" s="326"/>
      <c r="N562" s="294"/>
      <c r="O562" s="1419">
        <v>174</v>
      </c>
      <c r="P562" s="1420">
        <v>45</v>
      </c>
      <c r="Q562" s="1419">
        <f t="shared" ref="Q562:Q568" si="149">O562*P562</f>
        <v>7830</v>
      </c>
      <c r="R562" s="1420">
        <f t="shared" si="142"/>
        <v>7830</v>
      </c>
      <c r="S562" s="1420"/>
      <c r="T562" s="1420"/>
      <c r="U562" s="1420"/>
      <c r="V562" s="1420">
        <v>7830</v>
      </c>
      <c r="W562" s="1420"/>
      <c r="X562" s="1137"/>
      <c r="Y562" s="1126"/>
      <c r="Z562" s="1126"/>
      <c r="AA562" s="1126"/>
      <c r="AB562" s="1126"/>
      <c r="AC562" s="1126"/>
      <c r="AD562" s="1126"/>
      <c r="AE562" s="1126"/>
      <c r="AF562" s="1126"/>
      <c r="AG562" s="1126"/>
    </row>
    <row r="563" spans="1:33" ht="31.5" thickTop="1" thickBot="1">
      <c r="A563" s="1442">
        <v>4262</v>
      </c>
      <c r="B563" s="986" t="s">
        <v>484</v>
      </c>
      <c r="C563" s="1092" t="s">
        <v>485</v>
      </c>
      <c r="D563" s="326"/>
      <c r="E563" s="294">
        <v>6</v>
      </c>
      <c r="F563" s="460">
        <v>43234</v>
      </c>
      <c r="G563" s="461">
        <f t="shared" si="147"/>
        <v>43239</v>
      </c>
      <c r="H563" s="293" t="s">
        <v>368</v>
      </c>
      <c r="I563" s="294" t="s">
        <v>179</v>
      </c>
      <c r="J563" s="307"/>
      <c r="K563" s="326" t="s">
        <v>457</v>
      </c>
      <c r="L563" s="1238">
        <v>23174</v>
      </c>
      <c r="M563" s="326"/>
      <c r="N563" s="294"/>
      <c r="O563" s="1419">
        <v>5076.666666666667</v>
      </c>
      <c r="P563" s="1420">
        <v>1</v>
      </c>
      <c r="Q563" s="1419">
        <f t="shared" si="149"/>
        <v>5076.666666666667</v>
      </c>
      <c r="R563" s="1420">
        <f t="shared" si="142"/>
        <v>5076.666666666667</v>
      </c>
      <c r="S563" s="1420"/>
      <c r="T563" s="1420"/>
      <c r="U563" s="1420">
        <v>5076.666666666667</v>
      </c>
      <c r="V563" s="1420"/>
      <c r="W563" s="1420"/>
      <c r="X563" s="1137"/>
      <c r="Y563" s="1126"/>
      <c r="Z563" s="1126"/>
      <c r="AA563" s="1126"/>
      <c r="AB563" s="1126"/>
      <c r="AC563" s="1126"/>
      <c r="AD563" s="1126"/>
      <c r="AE563" s="1126"/>
      <c r="AF563" s="1126"/>
      <c r="AG563" s="1126"/>
    </row>
    <row r="564" spans="1:33" ht="17.25" thickTop="1" thickBot="1">
      <c r="A564" s="1442"/>
      <c r="B564" s="986"/>
      <c r="C564" s="1092"/>
      <c r="D564" s="326"/>
      <c r="E564" s="294">
        <v>6</v>
      </c>
      <c r="F564" s="460">
        <v>43234</v>
      </c>
      <c r="G564" s="461">
        <f t="shared" si="147"/>
        <v>43239</v>
      </c>
      <c r="H564" s="293" t="s">
        <v>368</v>
      </c>
      <c r="I564" s="294" t="s">
        <v>179</v>
      </c>
      <c r="J564" s="307"/>
      <c r="K564" s="326" t="s">
        <v>320</v>
      </c>
      <c r="L564" s="1238">
        <v>23173</v>
      </c>
      <c r="M564" s="326"/>
      <c r="N564" s="294"/>
      <c r="O564" s="1419">
        <v>165.83333333333334</v>
      </c>
      <c r="P564" s="1420">
        <v>1</v>
      </c>
      <c r="Q564" s="1419">
        <f t="shared" si="149"/>
        <v>165.83333333333334</v>
      </c>
      <c r="R564" s="1420">
        <f t="shared" si="142"/>
        <v>165.83333333333334</v>
      </c>
      <c r="S564" s="1420"/>
      <c r="T564" s="1420"/>
      <c r="U564" s="1420">
        <v>165.83333333333334</v>
      </c>
      <c r="V564" s="1420"/>
      <c r="W564" s="1420"/>
      <c r="X564" s="1137"/>
      <c r="Y564" s="1126"/>
      <c r="Z564" s="1126"/>
      <c r="AA564" s="1126"/>
      <c r="AB564" s="1126"/>
      <c r="AC564" s="1126"/>
      <c r="AD564" s="1126"/>
      <c r="AE564" s="1126"/>
      <c r="AF564" s="1126"/>
      <c r="AG564" s="1126"/>
    </row>
    <row r="565" spans="1:33" ht="17.25" thickTop="1" thickBot="1">
      <c r="A565" s="1442"/>
      <c r="B565" s="986"/>
      <c r="C565" s="1092"/>
      <c r="D565" s="326"/>
      <c r="E565" s="294">
        <v>6</v>
      </c>
      <c r="F565" s="460">
        <v>43234</v>
      </c>
      <c r="G565" s="461">
        <f t="shared" si="147"/>
        <v>43239</v>
      </c>
      <c r="H565" s="293" t="s">
        <v>368</v>
      </c>
      <c r="I565" s="294" t="s">
        <v>179</v>
      </c>
      <c r="J565" s="307"/>
      <c r="K565" s="326" t="s">
        <v>486</v>
      </c>
      <c r="L565" s="1238">
        <v>23172</v>
      </c>
      <c r="M565" s="326"/>
      <c r="N565" s="294"/>
      <c r="O565" s="1419">
        <v>10</v>
      </c>
      <c r="P565" s="1420">
        <v>5</v>
      </c>
      <c r="Q565" s="1419">
        <f t="shared" si="149"/>
        <v>50</v>
      </c>
      <c r="R565" s="1420">
        <f t="shared" si="142"/>
        <v>50</v>
      </c>
      <c r="S565" s="1420"/>
      <c r="T565" s="1420"/>
      <c r="U565" s="1420">
        <v>50</v>
      </c>
      <c r="V565" s="1420"/>
      <c r="W565" s="1420"/>
      <c r="X565" s="1137"/>
      <c r="Y565" s="1126"/>
      <c r="Z565" s="1126"/>
      <c r="AA565" s="1126"/>
      <c r="AB565" s="1126"/>
      <c r="AC565" s="1126"/>
      <c r="AD565" s="1126"/>
      <c r="AE565" s="1126"/>
      <c r="AF565" s="1126"/>
      <c r="AG565" s="1126"/>
    </row>
    <row r="566" spans="1:33" ht="17.25" thickTop="1" thickBot="1">
      <c r="A566" s="1442">
        <v>4263</v>
      </c>
      <c r="B566" s="986" t="s">
        <v>487</v>
      </c>
      <c r="C566" s="1092" t="s">
        <v>488</v>
      </c>
      <c r="D566" s="326"/>
      <c r="E566" s="294">
        <v>10</v>
      </c>
      <c r="F566" s="460">
        <v>43241</v>
      </c>
      <c r="G566" s="461">
        <f t="shared" si="147"/>
        <v>43250</v>
      </c>
      <c r="H566" s="294" t="s">
        <v>372</v>
      </c>
      <c r="I566" s="294" t="s">
        <v>179</v>
      </c>
      <c r="J566" s="307"/>
      <c r="K566" s="326" t="s">
        <v>457</v>
      </c>
      <c r="L566" s="1238">
        <v>23174</v>
      </c>
      <c r="M566" s="326"/>
      <c r="N566" s="294"/>
      <c r="O566" s="1419">
        <v>20400</v>
      </c>
      <c r="P566" s="1420">
        <v>1</v>
      </c>
      <c r="Q566" s="1419">
        <f t="shared" si="149"/>
        <v>20400</v>
      </c>
      <c r="R566" s="1420">
        <f t="shared" si="142"/>
        <v>20400</v>
      </c>
      <c r="S566" s="1420"/>
      <c r="T566" s="1420"/>
      <c r="U566" s="1420">
        <v>20400</v>
      </c>
      <c r="V566" s="1420"/>
      <c r="W566" s="1420"/>
      <c r="X566" s="1137"/>
      <c r="Y566" s="1126"/>
      <c r="Z566" s="1126"/>
      <c r="AA566" s="1126"/>
      <c r="AB566" s="1126"/>
      <c r="AC566" s="1126"/>
      <c r="AD566" s="1126"/>
      <c r="AE566" s="1126"/>
      <c r="AF566" s="1126"/>
      <c r="AG566" s="1126"/>
    </row>
    <row r="567" spans="1:33" ht="17.25" thickTop="1" thickBot="1">
      <c r="A567" s="1442"/>
      <c r="B567" s="986"/>
      <c r="C567" s="1092"/>
      <c r="D567" s="326"/>
      <c r="E567" s="294">
        <v>10</v>
      </c>
      <c r="F567" s="460">
        <v>43241</v>
      </c>
      <c r="G567" s="461">
        <f t="shared" si="147"/>
        <v>43250</v>
      </c>
      <c r="H567" s="294" t="s">
        <v>372</v>
      </c>
      <c r="I567" s="294" t="s">
        <v>179</v>
      </c>
      <c r="J567" s="307"/>
      <c r="K567" s="326" t="s">
        <v>320</v>
      </c>
      <c r="L567" s="1238">
        <v>23173</v>
      </c>
      <c r="M567" s="326"/>
      <c r="N567" s="294"/>
      <c r="O567" s="1419">
        <v>356.33333333333331</v>
      </c>
      <c r="P567" s="1426">
        <v>1</v>
      </c>
      <c r="Q567" s="1427">
        <f t="shared" si="149"/>
        <v>356.33333333333331</v>
      </c>
      <c r="R567" s="1420">
        <f t="shared" si="142"/>
        <v>356.33333333333331</v>
      </c>
      <c r="S567" s="355"/>
      <c r="T567" s="355"/>
      <c r="U567" s="1420">
        <v>356.33333333333331</v>
      </c>
      <c r="V567" s="355"/>
      <c r="W567" s="355"/>
      <c r="X567" s="1137"/>
      <c r="Y567" s="1126"/>
      <c r="Z567" s="1126"/>
      <c r="AA567" s="1126"/>
      <c r="AB567" s="1126"/>
      <c r="AC567" s="1126"/>
      <c r="AD567" s="1126"/>
      <c r="AE567" s="1126"/>
      <c r="AF567" s="1126"/>
      <c r="AG567" s="1126"/>
    </row>
    <row r="568" spans="1:33" ht="17.25" thickTop="1" thickBot="1">
      <c r="A568" s="1442"/>
      <c r="B568" s="986"/>
      <c r="C568" s="1092"/>
      <c r="D568" s="326"/>
      <c r="E568" s="294">
        <v>10</v>
      </c>
      <c r="F568" s="460">
        <v>43241</v>
      </c>
      <c r="G568" s="461">
        <f t="shared" si="147"/>
        <v>43250</v>
      </c>
      <c r="H568" s="294" t="s">
        <v>372</v>
      </c>
      <c r="I568" s="294" t="s">
        <v>179</v>
      </c>
      <c r="J568" s="307"/>
      <c r="K568" s="326" t="s">
        <v>486</v>
      </c>
      <c r="L568" s="1238">
        <v>23172</v>
      </c>
      <c r="M568" s="326"/>
      <c r="N568" s="294"/>
      <c r="O568" s="1419">
        <v>10</v>
      </c>
      <c r="P568" s="1426">
        <v>10</v>
      </c>
      <c r="Q568" s="1427">
        <f t="shared" si="149"/>
        <v>100</v>
      </c>
      <c r="R568" s="1420">
        <f t="shared" si="142"/>
        <v>100</v>
      </c>
      <c r="S568" s="355"/>
      <c r="T568" s="355"/>
      <c r="U568" s="1420">
        <v>100</v>
      </c>
      <c r="V568" s="355"/>
      <c r="W568" s="355"/>
      <c r="X568" s="1137"/>
      <c r="Y568" s="1126"/>
      <c r="Z568" s="1126"/>
      <c r="AA568" s="1126"/>
      <c r="AB568" s="1126"/>
      <c r="AC568" s="1126"/>
      <c r="AD568" s="1126"/>
      <c r="AE568" s="1126"/>
      <c r="AF568" s="1126"/>
      <c r="AG568" s="1126"/>
    </row>
    <row r="569" spans="1:33" ht="17.25" thickTop="1" thickBot="1">
      <c r="A569" s="1442">
        <v>4264</v>
      </c>
      <c r="B569" s="986" t="s">
        <v>458</v>
      </c>
      <c r="C569" s="1092" t="s">
        <v>489</v>
      </c>
      <c r="D569" s="326"/>
      <c r="E569" s="294">
        <v>2</v>
      </c>
      <c r="F569" s="460">
        <v>43255</v>
      </c>
      <c r="G569" s="461">
        <f t="shared" si="147"/>
        <v>43256</v>
      </c>
      <c r="H569" s="294" t="s">
        <v>490</v>
      </c>
      <c r="I569" s="294" t="s">
        <v>179</v>
      </c>
      <c r="J569" s="307"/>
      <c r="K569" s="326" t="s">
        <v>457</v>
      </c>
      <c r="L569" s="1238">
        <v>23174</v>
      </c>
      <c r="M569" s="326"/>
      <c r="N569" s="294"/>
      <c r="O569" s="1419">
        <v>0</v>
      </c>
      <c r="P569" s="1426"/>
      <c r="Q569" s="1427"/>
      <c r="R569" s="1420">
        <f t="shared" si="142"/>
        <v>0</v>
      </c>
      <c r="S569" s="355"/>
      <c r="T569" s="355"/>
      <c r="U569" s="1420"/>
      <c r="V569" s="355"/>
      <c r="W569" s="355"/>
      <c r="X569" s="1137"/>
      <c r="Y569" s="1126"/>
      <c r="Z569" s="1126"/>
      <c r="AA569" s="1126"/>
      <c r="AB569" s="1126"/>
      <c r="AC569" s="1126"/>
      <c r="AD569" s="1126"/>
      <c r="AE569" s="1126"/>
      <c r="AF569" s="1126"/>
      <c r="AG569" s="1126"/>
    </row>
    <row r="570" spans="1:33" ht="66" customHeight="1" thickTop="1">
      <c r="A570" s="1442">
        <v>4265</v>
      </c>
      <c r="B570" s="986" t="s">
        <v>491</v>
      </c>
      <c r="C570" s="1092" t="s">
        <v>492</v>
      </c>
      <c r="D570" s="326"/>
      <c r="E570" s="294">
        <v>5</v>
      </c>
      <c r="F570" s="460">
        <v>43261</v>
      </c>
      <c r="G570" s="461">
        <f t="shared" si="147"/>
        <v>43265</v>
      </c>
      <c r="H570" s="294" t="s">
        <v>493</v>
      </c>
      <c r="I570" s="294" t="s">
        <v>179</v>
      </c>
      <c r="J570" s="307"/>
      <c r="K570" s="326" t="s">
        <v>457</v>
      </c>
      <c r="L570" s="1238">
        <v>23174</v>
      </c>
      <c r="M570" s="326"/>
      <c r="N570" s="294"/>
      <c r="O570" s="1419">
        <v>750</v>
      </c>
      <c r="P570" s="1426">
        <v>10</v>
      </c>
      <c r="Q570" s="1427">
        <f>O570*P570</f>
        <v>7500</v>
      </c>
      <c r="R570" s="1420">
        <f t="shared" si="142"/>
        <v>7500</v>
      </c>
      <c r="S570" s="355"/>
      <c r="T570" s="355"/>
      <c r="U570" s="1420">
        <v>7500</v>
      </c>
      <c r="V570" s="355"/>
      <c r="W570" s="355"/>
      <c r="X570" s="1137"/>
      <c r="Y570" s="1126"/>
      <c r="Z570" s="1126"/>
      <c r="AA570" s="1126"/>
      <c r="AB570" s="1126"/>
      <c r="AC570" s="1126"/>
      <c r="AD570" s="1126"/>
      <c r="AE570" s="1126"/>
      <c r="AF570" s="1126"/>
      <c r="AG570" s="1126"/>
    </row>
    <row r="571" spans="1:33" ht="18.75" customHeight="1" thickBot="1">
      <c r="A571" s="1275">
        <v>427</v>
      </c>
      <c r="B571" s="1466" t="s">
        <v>494</v>
      </c>
      <c r="C571" s="1511"/>
      <c r="D571" s="1422"/>
      <c r="E571" s="1422"/>
      <c r="F571" s="1422"/>
      <c r="G571" s="1422"/>
      <c r="H571" s="1422"/>
      <c r="I571" s="1423"/>
      <c r="J571" s="283"/>
      <c r="K571" s="1278"/>
      <c r="L571" s="1279"/>
      <c r="M571" s="1280"/>
      <c r="N571" s="1277"/>
      <c r="O571" s="1281"/>
      <c r="P571" s="1277"/>
      <c r="Q571" s="1395">
        <f>SUM(Q572:Q573)</f>
        <v>10762.5</v>
      </c>
      <c r="R571" s="1420">
        <f t="shared" si="142"/>
        <v>10762.5</v>
      </c>
      <c r="S571" s="1395">
        <f t="shared" ref="S571:AF571" si="150">SUM(S572:S573)</f>
        <v>0</v>
      </c>
      <c r="T571" s="1395">
        <f t="shared" si="150"/>
        <v>0</v>
      </c>
      <c r="U571" s="1395">
        <f t="shared" si="150"/>
        <v>7500</v>
      </c>
      <c r="V571" s="1395">
        <f t="shared" si="150"/>
        <v>3262.5</v>
      </c>
      <c r="W571" s="1395">
        <f t="shared" si="150"/>
        <v>0</v>
      </c>
      <c r="X571" s="1395">
        <f t="shared" si="150"/>
        <v>0</v>
      </c>
      <c r="Y571" s="1395">
        <f t="shared" si="150"/>
        <v>0</v>
      </c>
      <c r="Z571" s="361">
        <f t="shared" si="150"/>
        <v>0</v>
      </c>
      <c r="AA571" s="361">
        <f t="shared" si="150"/>
        <v>0</v>
      </c>
      <c r="AB571" s="361">
        <f t="shared" si="150"/>
        <v>0</v>
      </c>
      <c r="AC571" s="361">
        <f t="shared" si="150"/>
        <v>0</v>
      </c>
      <c r="AD571" s="361">
        <f t="shared" si="150"/>
        <v>0</v>
      </c>
      <c r="AE571" s="361">
        <f t="shared" si="150"/>
        <v>0</v>
      </c>
      <c r="AF571" s="361">
        <f t="shared" si="150"/>
        <v>0</v>
      </c>
      <c r="AG571" s="361">
        <f>SUM(S571:AF571)</f>
        <v>10762.5</v>
      </c>
    </row>
    <row r="572" spans="1:33" ht="48.75" thickTop="1" thickBot="1">
      <c r="A572" s="1442">
        <v>4271</v>
      </c>
      <c r="B572" s="988" t="s">
        <v>495</v>
      </c>
      <c r="C572" s="1512" t="s">
        <v>496</v>
      </c>
      <c r="D572" s="326"/>
      <c r="E572" s="294">
        <v>50</v>
      </c>
      <c r="F572" s="460">
        <v>43186</v>
      </c>
      <c r="G572" s="461">
        <f>+F572+E572-1</f>
        <v>43235</v>
      </c>
      <c r="H572" s="293"/>
      <c r="I572" s="294" t="s">
        <v>169</v>
      </c>
      <c r="J572" s="307" t="s">
        <v>179</v>
      </c>
      <c r="K572" s="326" t="s">
        <v>365</v>
      </c>
      <c r="L572" s="1238">
        <v>2313</v>
      </c>
      <c r="M572" s="326"/>
      <c r="N572" s="294"/>
      <c r="O572" s="1419">
        <v>217.5</v>
      </c>
      <c r="P572" s="1420">
        <v>15</v>
      </c>
      <c r="Q572" s="1419">
        <f>O572*P572</f>
        <v>3262.5</v>
      </c>
      <c r="R572" s="1420">
        <f t="shared" si="142"/>
        <v>3262.5</v>
      </c>
      <c r="S572" s="355"/>
      <c r="T572" s="355"/>
      <c r="U572" s="355"/>
      <c r="V572" s="299">
        <v>3262.5</v>
      </c>
      <c r="W572" s="355"/>
      <c r="X572" s="1137"/>
      <c r="Y572" s="1126"/>
      <c r="Z572" s="1126"/>
      <c r="AA572" s="1126"/>
      <c r="AB572" s="1126"/>
      <c r="AC572" s="1126"/>
      <c r="AD572" s="1126"/>
      <c r="AE572" s="1126"/>
      <c r="AF572" s="1126"/>
      <c r="AG572" s="1126"/>
    </row>
    <row r="573" spans="1:33" ht="30.75" thickTop="1">
      <c r="A573" s="1442">
        <v>4272</v>
      </c>
      <c r="B573" s="988" t="s">
        <v>497</v>
      </c>
      <c r="C573" s="1512"/>
      <c r="D573" s="326"/>
      <c r="E573" s="294">
        <v>3</v>
      </c>
      <c r="F573" s="460">
        <v>43240</v>
      </c>
      <c r="G573" s="461">
        <f>+F573+E573-1</f>
        <v>43242</v>
      </c>
      <c r="H573" s="294" t="s">
        <v>493</v>
      </c>
      <c r="I573" s="294" t="s">
        <v>179</v>
      </c>
      <c r="K573" s="326" t="s">
        <v>457</v>
      </c>
      <c r="L573" s="1238">
        <v>23174</v>
      </c>
      <c r="M573" s="326"/>
      <c r="N573" s="294"/>
      <c r="O573" s="1419">
        <v>750</v>
      </c>
      <c r="P573" s="1420">
        <v>10</v>
      </c>
      <c r="Q573" s="1419">
        <f>O573*P573</f>
        <v>7500</v>
      </c>
      <c r="R573" s="1420">
        <f t="shared" si="142"/>
        <v>7500</v>
      </c>
      <c r="S573" s="355"/>
      <c r="T573" s="355"/>
      <c r="U573" s="299">
        <v>7500</v>
      </c>
      <c r="V573" s="355"/>
      <c r="W573" s="355"/>
      <c r="X573" s="1137"/>
      <c r="Y573" s="1126"/>
      <c r="Z573" s="1126"/>
      <c r="AA573" s="1126"/>
      <c r="AB573" s="1126"/>
      <c r="AC573" s="1126"/>
      <c r="AD573" s="1126"/>
      <c r="AE573" s="1126"/>
      <c r="AF573" s="1126"/>
      <c r="AG573" s="1126"/>
    </row>
    <row r="574" spans="1:33" ht="18.75" customHeight="1" thickBot="1">
      <c r="A574" s="1275">
        <v>428</v>
      </c>
      <c r="B574" s="1466" t="s">
        <v>498</v>
      </c>
      <c r="C574" s="1511"/>
      <c r="D574" s="1422"/>
      <c r="E574" s="1422"/>
      <c r="F574" s="1422"/>
      <c r="G574" s="1422"/>
      <c r="H574" s="1422"/>
      <c r="I574" s="1423"/>
      <c r="J574" s="283"/>
      <c r="K574" s="1278"/>
      <c r="L574" s="1279"/>
      <c r="M574" s="1280"/>
      <c r="N574" s="1277"/>
      <c r="O574" s="1281"/>
      <c r="P574" s="1277"/>
      <c r="Q574" s="1395">
        <f>SUM(Q575:Q581)</f>
        <v>97473.5</v>
      </c>
      <c r="R574" s="1420">
        <f t="shared" si="142"/>
        <v>97473.5</v>
      </c>
      <c r="S574" s="1395">
        <f t="shared" ref="S574:AF574" si="151">SUM(S575:S581)</f>
        <v>0</v>
      </c>
      <c r="T574" s="1395">
        <f t="shared" si="151"/>
        <v>0</v>
      </c>
      <c r="U574" s="1395">
        <f t="shared" si="151"/>
        <v>56550</v>
      </c>
      <c r="V574" s="1395">
        <f t="shared" si="151"/>
        <v>40923.5</v>
      </c>
      <c r="W574" s="1395">
        <f t="shared" si="151"/>
        <v>0</v>
      </c>
      <c r="X574" s="1395">
        <f t="shared" si="151"/>
        <v>0</v>
      </c>
      <c r="Y574" s="1395">
        <f t="shared" si="151"/>
        <v>0</v>
      </c>
      <c r="Z574" s="361">
        <f t="shared" si="151"/>
        <v>0</v>
      </c>
      <c r="AA574" s="361">
        <f t="shared" si="151"/>
        <v>0</v>
      </c>
      <c r="AB574" s="361">
        <f t="shared" si="151"/>
        <v>0</v>
      </c>
      <c r="AC574" s="361">
        <f t="shared" si="151"/>
        <v>0</v>
      </c>
      <c r="AD574" s="361">
        <f t="shared" si="151"/>
        <v>0</v>
      </c>
      <c r="AE574" s="361">
        <f t="shared" si="151"/>
        <v>0</v>
      </c>
      <c r="AF574" s="361">
        <f t="shared" si="151"/>
        <v>0</v>
      </c>
      <c r="AG574" s="361">
        <f>SUM(S574:AF574)</f>
        <v>97473.5</v>
      </c>
    </row>
    <row r="575" spans="1:33" ht="17.25" thickTop="1" thickBot="1">
      <c r="A575" s="1442">
        <v>4281</v>
      </c>
      <c r="B575" s="989" t="s">
        <v>499</v>
      </c>
      <c r="C575" s="1513" t="s">
        <v>500</v>
      </c>
      <c r="D575" s="326"/>
      <c r="E575" s="294">
        <v>50</v>
      </c>
      <c r="F575" s="460">
        <v>43186</v>
      </c>
      <c r="G575" s="461">
        <f>+F575+E575-1</f>
        <v>43235</v>
      </c>
      <c r="H575" s="293" t="s">
        <v>501</v>
      </c>
      <c r="I575" s="294" t="s">
        <v>169</v>
      </c>
      <c r="J575" s="307" t="s">
        <v>179</v>
      </c>
      <c r="K575" s="326" t="s">
        <v>502</v>
      </c>
      <c r="L575" s="1238">
        <v>2313</v>
      </c>
      <c r="M575" s="326"/>
      <c r="N575" s="1420"/>
      <c r="O575" s="1419">
        <v>907.67376190476193</v>
      </c>
      <c r="P575" s="1420">
        <v>14</v>
      </c>
      <c r="Q575" s="1419">
        <f>+O575*P575</f>
        <v>12707.432666666668</v>
      </c>
      <c r="R575" s="1420">
        <f t="shared" si="142"/>
        <v>12707.432666666668</v>
      </c>
      <c r="S575" s="1420"/>
      <c r="T575" s="355"/>
      <c r="U575" s="1420"/>
      <c r="V575" s="1420">
        <v>12707.432666666668</v>
      </c>
      <c r="W575" s="355"/>
      <c r="X575" s="1137"/>
      <c r="Y575" s="1126"/>
      <c r="Z575" s="1124"/>
      <c r="AA575" s="1124"/>
      <c r="AB575" s="1124"/>
      <c r="AC575" s="1124"/>
      <c r="AD575" s="1124"/>
      <c r="AE575" s="1425"/>
      <c r="AF575" s="1124"/>
      <c r="AG575" s="1156"/>
    </row>
    <row r="576" spans="1:33" ht="17.25" thickTop="1" thickBot="1">
      <c r="A576" s="1442">
        <v>4282</v>
      </c>
      <c r="B576" s="989" t="s">
        <v>503</v>
      </c>
      <c r="C576" s="1513" t="s">
        <v>504</v>
      </c>
      <c r="D576" s="326"/>
      <c r="E576" s="294">
        <v>50</v>
      </c>
      <c r="F576" s="460">
        <v>43186</v>
      </c>
      <c r="G576" s="461">
        <f>+F576+E576-1</f>
        <v>43235</v>
      </c>
      <c r="H576" s="293" t="s">
        <v>501</v>
      </c>
      <c r="I576" s="294" t="s">
        <v>169</v>
      </c>
      <c r="J576" s="307" t="s">
        <v>179</v>
      </c>
      <c r="K576" s="326" t="s">
        <v>502</v>
      </c>
      <c r="L576" s="1238">
        <v>2313</v>
      </c>
      <c r="M576" s="326"/>
      <c r="N576" s="294"/>
      <c r="O576" s="1419">
        <v>208.73557142857143</v>
      </c>
      <c r="P576" s="1420">
        <f>14*3</f>
        <v>42</v>
      </c>
      <c r="Q576" s="1419">
        <f>+O576*P576</f>
        <v>8766.8940000000002</v>
      </c>
      <c r="R576" s="1420">
        <f t="shared" si="142"/>
        <v>8766.8940000000002</v>
      </c>
      <c r="S576" s="1420"/>
      <c r="T576" s="355"/>
      <c r="U576" s="1420"/>
      <c r="V576" s="1420">
        <v>8766.8940000000002</v>
      </c>
      <c r="W576" s="355"/>
      <c r="X576" s="1137"/>
      <c r="Y576" s="1126"/>
      <c r="Z576" s="1124"/>
      <c r="AA576" s="1124"/>
      <c r="AB576" s="1124"/>
      <c r="AC576" s="1124"/>
      <c r="AD576" s="1124"/>
      <c r="AE576" s="1425"/>
      <c r="AF576" s="1124"/>
      <c r="AG576" s="1156"/>
    </row>
    <row r="577" spans="1:33" ht="31.5" thickTop="1" thickBot="1">
      <c r="A577" s="1442">
        <v>4283</v>
      </c>
      <c r="B577" s="989" t="s">
        <v>505</v>
      </c>
      <c r="C577" s="1513" t="s">
        <v>506</v>
      </c>
      <c r="D577" s="326"/>
      <c r="E577" s="887">
        <v>15</v>
      </c>
      <c r="F577" s="460">
        <v>43255</v>
      </c>
      <c r="G577" s="461">
        <f>+F577+E577-1</f>
        <v>43269</v>
      </c>
      <c r="H577" s="293" t="s">
        <v>501</v>
      </c>
      <c r="I577" s="294" t="s">
        <v>179</v>
      </c>
      <c r="J577" s="307" t="s">
        <v>507</v>
      </c>
      <c r="K577" s="326" t="s">
        <v>457</v>
      </c>
      <c r="L577" s="1238">
        <v>23174</v>
      </c>
      <c r="M577" s="326"/>
      <c r="N577" s="294"/>
      <c r="O577" s="1419">
        <v>17989.099333333332</v>
      </c>
      <c r="P577" s="1420">
        <v>1</v>
      </c>
      <c r="Q577" s="1419">
        <f>O577*P577</f>
        <v>17989.099333333332</v>
      </c>
      <c r="R577" s="1420">
        <f t="shared" si="142"/>
        <v>17989.099333333332</v>
      </c>
      <c r="S577" s="1426"/>
      <c r="T577" s="355"/>
      <c r="U577" s="1420"/>
      <c r="V577" s="1420">
        <v>17989.099333333332</v>
      </c>
      <c r="W577" s="355"/>
      <c r="X577" s="1137"/>
      <c r="Y577" s="1126"/>
      <c r="Z577" s="1124"/>
      <c r="AA577" s="1124"/>
      <c r="AB577" s="1124"/>
      <c r="AC577" s="1124"/>
      <c r="AD577" s="1124"/>
      <c r="AE577" s="1425"/>
      <c r="AF577" s="1124"/>
      <c r="AG577" s="1156"/>
    </row>
    <row r="578" spans="1:33" ht="17.25" thickTop="1" thickBot="1">
      <c r="A578" s="1442"/>
      <c r="B578" s="989"/>
      <c r="C578" s="1513"/>
      <c r="D578" s="326"/>
      <c r="E578" s="887"/>
      <c r="F578" s="460"/>
      <c r="G578" s="461"/>
      <c r="H578" s="293"/>
      <c r="I578" s="294"/>
      <c r="J578" s="307"/>
      <c r="K578" s="326" t="s">
        <v>320</v>
      </c>
      <c r="L578" s="1238">
        <v>23173</v>
      </c>
      <c r="M578" s="326"/>
      <c r="N578" s="294"/>
      <c r="O578" s="1419">
        <v>1060.0740000000001</v>
      </c>
      <c r="P578" s="1420">
        <v>1</v>
      </c>
      <c r="Q578" s="1419">
        <f>O578*P578</f>
        <v>1060.0740000000001</v>
      </c>
      <c r="R578" s="1420">
        <f t="shared" si="142"/>
        <v>1060.0740000000001</v>
      </c>
      <c r="S578" s="1428"/>
      <c r="T578" s="355"/>
      <c r="U578" s="1420"/>
      <c r="V578" s="1420">
        <f>R578</f>
        <v>1060.0740000000001</v>
      </c>
      <c r="W578" s="355"/>
      <c r="X578" s="1137"/>
      <c r="Y578" s="1126"/>
      <c r="Z578" s="1124"/>
      <c r="AA578" s="1124"/>
      <c r="AB578" s="1124"/>
      <c r="AC578" s="1124"/>
      <c r="AD578" s="1124"/>
      <c r="AE578" s="1425"/>
      <c r="AF578" s="1124"/>
      <c r="AG578" s="1156"/>
    </row>
    <row r="579" spans="1:33" ht="17.25" thickTop="1" thickBot="1">
      <c r="A579" s="1442"/>
      <c r="B579" s="989"/>
      <c r="C579" s="1513"/>
      <c r="D579" s="326"/>
      <c r="E579" s="887"/>
      <c r="F579" s="460"/>
      <c r="G579" s="461"/>
      <c r="H579" s="293"/>
      <c r="I579" s="294"/>
      <c r="J579" s="307"/>
      <c r="K579" s="326" t="s">
        <v>486</v>
      </c>
      <c r="L579" s="1238">
        <v>23172</v>
      </c>
      <c r="M579" s="326"/>
      <c r="N579" s="294"/>
      <c r="O579" s="1419">
        <v>33.333333333333336</v>
      </c>
      <c r="P579" s="1420">
        <v>12</v>
      </c>
      <c r="Q579" s="1419">
        <f>O579*P579</f>
        <v>400</v>
      </c>
      <c r="R579" s="1420">
        <f t="shared" si="142"/>
        <v>400</v>
      </c>
      <c r="S579" s="1429"/>
      <c r="T579" s="355"/>
      <c r="U579" s="1420"/>
      <c r="V579" s="1420">
        <f>R579</f>
        <v>400</v>
      </c>
      <c r="W579" s="355"/>
      <c r="X579" s="1137"/>
      <c r="Y579" s="1126"/>
      <c r="Z579" s="1124"/>
      <c r="AA579" s="1124"/>
      <c r="AB579" s="1124"/>
      <c r="AC579" s="1124"/>
      <c r="AD579" s="1124"/>
      <c r="AE579" s="1425"/>
      <c r="AF579" s="1124"/>
      <c r="AG579" s="1156"/>
    </row>
    <row r="580" spans="1:33" ht="16.5" thickTop="1">
      <c r="A580" s="1442">
        <v>4284</v>
      </c>
      <c r="B580" s="986" t="s">
        <v>508</v>
      </c>
      <c r="C580" s="1092" t="s">
        <v>509</v>
      </c>
      <c r="D580" s="326"/>
      <c r="E580" s="294">
        <v>50</v>
      </c>
      <c r="F580" s="460">
        <v>43186</v>
      </c>
      <c r="G580" s="461">
        <f>+F580+E580-1</f>
        <v>43235</v>
      </c>
      <c r="H580" s="293" t="s">
        <v>179</v>
      </c>
      <c r="I580" s="294" t="s">
        <v>169</v>
      </c>
      <c r="J580" s="307"/>
      <c r="K580" s="326" t="s">
        <v>510</v>
      </c>
      <c r="L580" s="1238">
        <v>2472</v>
      </c>
      <c r="M580" s="326"/>
      <c r="N580" s="294"/>
      <c r="O580" s="1419">
        <v>28275</v>
      </c>
      <c r="P580" s="1420">
        <v>2</v>
      </c>
      <c r="Q580" s="1419">
        <f>O580*P580</f>
        <v>56550</v>
      </c>
      <c r="R580" s="1420">
        <f>+Q580</f>
        <v>56550</v>
      </c>
      <c r="S580" s="355"/>
      <c r="T580" s="355"/>
      <c r="U580" s="1420">
        <v>56550</v>
      </c>
      <c r="V580" s="1420"/>
      <c r="W580" s="355"/>
      <c r="X580" s="1137"/>
      <c r="Y580" s="1126"/>
      <c r="Z580" s="1124"/>
      <c r="AA580" s="1124"/>
      <c r="AB580" s="1124"/>
      <c r="AC580" s="1124"/>
      <c r="AD580" s="1124"/>
      <c r="AE580" s="1425"/>
      <c r="AF580" s="1124"/>
      <c r="AG580" s="1156"/>
    </row>
    <row r="581" spans="1:33">
      <c r="A581" s="1398" t="s">
        <v>233</v>
      </c>
      <c r="B581" s="973"/>
      <c r="C581" s="824"/>
      <c r="D581" s="326"/>
      <c r="E581" s="294"/>
      <c r="F581" s="293"/>
      <c r="G581" s="293"/>
      <c r="H581" s="293"/>
      <c r="I581" s="294"/>
      <c r="J581" s="307"/>
      <c r="K581" s="326"/>
      <c r="L581" s="1237"/>
      <c r="M581" s="326"/>
      <c r="N581" s="294"/>
      <c r="O581" s="354"/>
      <c r="P581" s="294"/>
      <c r="Q581" s="355"/>
      <c r="R581" s="299"/>
      <c r="S581" s="355"/>
      <c r="T581" s="355"/>
      <c r="U581" s="355"/>
      <c r="V581" s="355"/>
      <c r="W581" s="355"/>
      <c r="X581" s="1137"/>
      <c r="Y581" s="1126"/>
      <c r="Z581" s="1124"/>
      <c r="AA581" s="1124"/>
      <c r="AB581" s="1124"/>
      <c r="AC581" s="1124"/>
      <c r="AD581" s="1124"/>
      <c r="AE581" s="1425"/>
      <c r="AF581" s="1124"/>
      <c r="AG581" s="1156"/>
    </row>
    <row r="582" spans="1:33" ht="18.75" customHeight="1">
      <c r="A582" s="1248" t="s">
        <v>278</v>
      </c>
      <c r="B582" s="274"/>
      <c r="C582" s="278"/>
      <c r="D582" s="1270"/>
      <c r="E582" s="1270"/>
      <c r="F582" s="1270"/>
      <c r="G582" s="1270"/>
      <c r="H582" s="1270"/>
      <c r="I582" s="1270"/>
      <c r="J582" s="273"/>
      <c r="K582" s="1248"/>
      <c r="L582" s="1269"/>
      <c r="M582" s="1270"/>
      <c r="N582" s="1268"/>
      <c r="O582" s="1271"/>
      <c r="P582" s="1268"/>
      <c r="Q582" s="1272">
        <f>Q583+Q587</f>
        <v>108838</v>
      </c>
      <c r="R582" s="1273">
        <f>+'[7]Compil Costing PPA 3 millions'!F17</f>
        <v>108845.33</v>
      </c>
      <c r="S582" s="1272">
        <f t="shared" ref="S582:AF582" si="152">S583+S587</f>
        <v>0</v>
      </c>
      <c r="T582" s="1272">
        <f t="shared" si="152"/>
        <v>9674</v>
      </c>
      <c r="U582" s="1272">
        <f t="shared" si="152"/>
        <v>2250</v>
      </c>
      <c r="V582" s="1272">
        <f t="shared" si="152"/>
        <v>71084</v>
      </c>
      <c r="W582" s="1272">
        <f t="shared" si="152"/>
        <v>25830</v>
      </c>
      <c r="X582" s="1272">
        <f t="shared" si="152"/>
        <v>0</v>
      </c>
      <c r="Y582" s="1272">
        <f t="shared" si="152"/>
        <v>0</v>
      </c>
      <c r="Z582" s="276">
        <f t="shared" si="152"/>
        <v>0</v>
      </c>
      <c r="AA582" s="276">
        <f t="shared" si="152"/>
        <v>0</v>
      </c>
      <c r="AB582" s="276">
        <f t="shared" si="152"/>
        <v>0</v>
      </c>
      <c r="AC582" s="276">
        <f t="shared" si="152"/>
        <v>0</v>
      </c>
      <c r="AD582" s="276">
        <f t="shared" si="152"/>
        <v>0</v>
      </c>
      <c r="AE582" s="276">
        <f t="shared" si="152"/>
        <v>0</v>
      </c>
      <c r="AF582" s="276">
        <f t="shared" si="152"/>
        <v>0</v>
      </c>
      <c r="AG582" s="276">
        <f>AG583+AG587</f>
        <v>108838</v>
      </c>
    </row>
    <row r="583" spans="1:33">
      <c r="A583" s="1275">
        <v>431</v>
      </c>
      <c r="B583" s="359" t="s">
        <v>369</v>
      </c>
      <c r="C583" s="1021"/>
      <c r="D583" s="1280"/>
      <c r="E583" s="1280"/>
      <c r="F583" s="1280"/>
      <c r="G583" s="1280"/>
      <c r="H583" s="1280"/>
      <c r="I583" s="1280"/>
      <c r="J583" s="283"/>
      <c r="K583" s="1278"/>
      <c r="L583" s="1279"/>
      <c r="M583" s="1280"/>
      <c r="N583" s="1277"/>
      <c r="O583" s="1281"/>
      <c r="P583" s="1277"/>
      <c r="Q583" s="1395">
        <f>SUM(Q584:Q586)</f>
        <v>9674</v>
      </c>
      <c r="R583" s="287"/>
      <c r="S583" s="1395">
        <f t="shared" ref="S583:AF583" si="153">SUM(S584:S586)</f>
        <v>0</v>
      </c>
      <c r="T583" s="1395">
        <f t="shared" si="153"/>
        <v>9674</v>
      </c>
      <c r="U583" s="1395">
        <f t="shared" si="153"/>
        <v>0</v>
      </c>
      <c r="V583" s="1395">
        <f t="shared" si="153"/>
        <v>0</v>
      </c>
      <c r="W583" s="1395">
        <f t="shared" si="153"/>
        <v>0</v>
      </c>
      <c r="X583" s="1395">
        <f t="shared" si="153"/>
        <v>0</v>
      </c>
      <c r="Y583" s="1395">
        <f t="shared" si="153"/>
        <v>0</v>
      </c>
      <c r="Z583" s="361">
        <f t="shared" si="153"/>
        <v>0</v>
      </c>
      <c r="AA583" s="361">
        <f t="shared" si="153"/>
        <v>0</v>
      </c>
      <c r="AB583" s="361">
        <f t="shared" si="153"/>
        <v>0</v>
      </c>
      <c r="AC583" s="361">
        <f t="shared" si="153"/>
        <v>0</v>
      </c>
      <c r="AD583" s="361">
        <f t="shared" si="153"/>
        <v>0</v>
      </c>
      <c r="AE583" s="361">
        <f t="shared" si="153"/>
        <v>0</v>
      </c>
      <c r="AF583" s="361">
        <f t="shared" si="153"/>
        <v>0</v>
      </c>
      <c r="AG583" s="361">
        <f>SUM(S583:AF583)</f>
        <v>9674</v>
      </c>
    </row>
    <row r="584" spans="1:33" ht="63">
      <c r="A584" s="1442">
        <v>4311</v>
      </c>
      <c r="B584" s="990" t="s">
        <v>370</v>
      </c>
      <c r="C584" s="824" t="s">
        <v>371</v>
      </c>
      <c r="D584" s="326"/>
      <c r="E584" s="294">
        <f>3+30</f>
        <v>33</v>
      </c>
      <c r="F584" s="293">
        <f>G584-E584</f>
        <v>43184</v>
      </c>
      <c r="G584" s="293">
        <v>43217</v>
      </c>
      <c r="H584" s="293" t="s">
        <v>372</v>
      </c>
      <c r="I584" s="294" t="s">
        <v>169</v>
      </c>
      <c r="J584" s="307" t="s">
        <v>373</v>
      </c>
      <c r="K584" s="326" t="s">
        <v>374</v>
      </c>
      <c r="L584" s="1237">
        <v>23173</v>
      </c>
      <c r="M584" s="326"/>
      <c r="N584" s="294"/>
      <c r="O584" s="354">
        <v>214</v>
      </c>
      <c r="P584" s="294">
        <v>1</v>
      </c>
      <c r="Q584" s="355">
        <f>O584*P584</f>
        <v>214</v>
      </c>
      <c r="R584" s="299"/>
      <c r="S584" s="355"/>
      <c r="T584" s="299">
        <f>100%*Q584</f>
        <v>214</v>
      </c>
      <c r="U584" s="355"/>
      <c r="V584" s="355"/>
      <c r="W584" s="355"/>
      <c r="X584" s="1137"/>
      <c r="Y584" s="1126"/>
      <c r="Z584" s="1199"/>
      <c r="AA584" s="1124"/>
      <c r="AB584" s="1124"/>
      <c r="AC584" s="1124"/>
      <c r="AD584" s="1124"/>
      <c r="AE584" s="1425"/>
      <c r="AF584" s="1124"/>
      <c r="AG584" s="1156"/>
    </row>
    <row r="585" spans="1:33" ht="63">
      <c r="A585" s="1442">
        <v>4311</v>
      </c>
      <c r="B585" s="990" t="s">
        <v>370</v>
      </c>
      <c r="C585" s="824" t="s">
        <v>371</v>
      </c>
      <c r="D585" s="326"/>
      <c r="E585" s="294">
        <v>3</v>
      </c>
      <c r="F585" s="293">
        <f>G585-E585</f>
        <v>43214</v>
      </c>
      <c r="G585" s="293">
        <v>43217</v>
      </c>
      <c r="H585" s="293" t="s">
        <v>372</v>
      </c>
      <c r="I585" s="294" t="s">
        <v>180</v>
      </c>
      <c r="J585" s="307" t="s">
        <v>373</v>
      </c>
      <c r="K585" s="326" t="s">
        <v>375</v>
      </c>
      <c r="L585" s="1237">
        <v>23174</v>
      </c>
      <c r="M585" s="326"/>
      <c r="N585" s="294"/>
      <c r="O585" s="354">
        <v>215</v>
      </c>
      <c r="P585" s="294">
        <v>44</v>
      </c>
      <c r="Q585" s="355">
        <f>O585*P585</f>
        <v>9460</v>
      </c>
      <c r="R585" s="299"/>
      <c r="S585" s="355"/>
      <c r="T585" s="299">
        <f>100%*Q585</f>
        <v>9460</v>
      </c>
      <c r="U585" s="355"/>
      <c r="V585" s="355"/>
      <c r="W585" s="355"/>
      <c r="X585" s="1137"/>
      <c r="Y585" s="1126"/>
      <c r="Z585" s="1199"/>
      <c r="AA585" s="1124"/>
      <c r="AB585" s="1124"/>
      <c r="AC585" s="1124"/>
      <c r="AD585" s="1124"/>
      <c r="AE585" s="1425"/>
      <c r="AF585" s="1124"/>
      <c r="AG585" s="1156"/>
    </row>
    <row r="586" spans="1:33">
      <c r="A586" s="1442">
        <v>4312</v>
      </c>
      <c r="B586" s="973"/>
      <c r="C586" s="824"/>
      <c r="D586" s="326"/>
      <c r="E586" s="294"/>
      <c r="F586" s="293"/>
      <c r="G586" s="293"/>
      <c r="H586" s="293"/>
      <c r="I586" s="294"/>
      <c r="J586" s="307"/>
      <c r="K586" s="326"/>
      <c r="L586" s="1237"/>
      <c r="M586" s="326"/>
      <c r="N586" s="294"/>
      <c r="O586" s="354"/>
      <c r="P586" s="294"/>
      <c r="Q586" s="355"/>
      <c r="R586" s="299"/>
      <c r="S586" s="355"/>
      <c r="T586" s="355"/>
      <c r="U586" s="355"/>
      <c r="V586" s="355"/>
      <c r="W586" s="355"/>
      <c r="X586" s="1137"/>
      <c r="Y586" s="1126"/>
      <c r="Z586" s="1199">
        <f>SUM(S586:Y586)</f>
        <v>0</v>
      </c>
      <c r="AA586" s="1124"/>
      <c r="AB586" s="1124"/>
      <c r="AC586" s="1124"/>
      <c r="AD586" s="1124"/>
      <c r="AE586" s="1425"/>
      <c r="AF586" s="1124"/>
      <c r="AG586" s="1156"/>
    </row>
    <row r="587" spans="1:33">
      <c r="A587" s="1275">
        <v>432</v>
      </c>
      <c r="B587" s="359" t="s">
        <v>376</v>
      </c>
      <c r="C587" s="1021"/>
      <c r="D587" s="1280"/>
      <c r="E587" s="1280"/>
      <c r="F587" s="1280"/>
      <c r="G587" s="1280"/>
      <c r="H587" s="1280"/>
      <c r="I587" s="1280"/>
      <c r="J587" s="283"/>
      <c r="K587" s="1278"/>
      <c r="L587" s="1279"/>
      <c r="M587" s="1280"/>
      <c r="N587" s="1277"/>
      <c r="O587" s="1281"/>
      <c r="P587" s="1277"/>
      <c r="Q587" s="1395">
        <f>SUM(Q588:Q598)</f>
        <v>99164</v>
      </c>
      <c r="R587" s="287"/>
      <c r="S587" s="1395">
        <f t="shared" ref="S587:AF587" si="154">SUM(S588:S598)</f>
        <v>0</v>
      </c>
      <c r="T587" s="1395">
        <f t="shared" si="154"/>
        <v>0</v>
      </c>
      <c r="U587" s="1395">
        <f t="shared" si="154"/>
        <v>2250</v>
      </c>
      <c r="V587" s="1395">
        <f t="shared" si="154"/>
        <v>71084</v>
      </c>
      <c r="W587" s="1395">
        <f t="shared" si="154"/>
        <v>25830</v>
      </c>
      <c r="X587" s="1395">
        <f t="shared" si="154"/>
        <v>0</v>
      </c>
      <c r="Y587" s="1395">
        <f t="shared" si="154"/>
        <v>0</v>
      </c>
      <c r="Z587" s="361">
        <f t="shared" si="154"/>
        <v>0</v>
      </c>
      <c r="AA587" s="361">
        <f t="shared" si="154"/>
        <v>0</v>
      </c>
      <c r="AB587" s="361">
        <f t="shared" si="154"/>
        <v>0</v>
      </c>
      <c r="AC587" s="361">
        <f t="shared" si="154"/>
        <v>0</v>
      </c>
      <c r="AD587" s="361">
        <f t="shared" si="154"/>
        <v>0</v>
      </c>
      <c r="AE587" s="361">
        <f t="shared" si="154"/>
        <v>0</v>
      </c>
      <c r="AF587" s="361">
        <f t="shared" si="154"/>
        <v>0</v>
      </c>
      <c r="AG587" s="361">
        <f>SUM(S587:AF587)</f>
        <v>99164</v>
      </c>
    </row>
    <row r="588" spans="1:33" ht="31.5">
      <c r="A588" s="1442">
        <v>4321</v>
      </c>
      <c r="B588" s="990" t="s">
        <v>377</v>
      </c>
      <c r="C588" s="1514" t="s">
        <v>965</v>
      </c>
      <c r="D588" s="326"/>
      <c r="E588" s="294">
        <f>60+15</f>
        <v>75</v>
      </c>
      <c r="F588" s="293">
        <f t="shared" ref="F588:F598" si="155">G588-E588</f>
        <v>43188</v>
      </c>
      <c r="G588" s="293">
        <v>43263</v>
      </c>
      <c r="H588" s="293"/>
      <c r="I588" s="294" t="s">
        <v>169</v>
      </c>
      <c r="J588" s="307" t="s">
        <v>180</v>
      </c>
      <c r="K588" s="326" t="s">
        <v>365</v>
      </c>
      <c r="L588" s="1237">
        <v>2313</v>
      </c>
      <c r="M588" s="326"/>
      <c r="N588" s="294"/>
      <c r="O588" s="354">
        <v>11250</v>
      </c>
      <c r="P588" s="294">
        <v>1</v>
      </c>
      <c r="Q588" s="355">
        <f t="shared" ref="Q588:Q598" si="156">O588*P588</f>
        <v>11250</v>
      </c>
      <c r="R588" s="299"/>
      <c r="S588" s="299"/>
      <c r="T588" s="299"/>
      <c r="U588" s="299">
        <f>20%*Q588</f>
        <v>2250</v>
      </c>
      <c r="V588" s="299">
        <f>40%*Q588</f>
        <v>4500</v>
      </c>
      <c r="W588" s="299">
        <f>40%*Q588</f>
        <v>4500</v>
      </c>
      <c r="X588" s="1142"/>
      <c r="Y588" s="1127"/>
      <c r="Z588" s="1199"/>
      <c r="AA588" s="1124"/>
      <c r="AB588" s="1124"/>
      <c r="AC588" s="1124"/>
      <c r="AD588" s="1124"/>
      <c r="AE588" s="1425"/>
      <c r="AF588" s="1124"/>
      <c r="AG588" s="1164"/>
    </row>
    <row r="589" spans="1:33" ht="31.5">
      <c r="A589" s="1442">
        <v>4322</v>
      </c>
      <c r="B589" s="990" t="s">
        <v>379</v>
      </c>
      <c r="C589" s="1514" t="s">
        <v>966</v>
      </c>
      <c r="D589" s="326"/>
      <c r="E589" s="294">
        <v>20</v>
      </c>
      <c r="F589" s="293">
        <f t="shared" si="155"/>
        <v>43266</v>
      </c>
      <c r="G589" s="293">
        <v>43286</v>
      </c>
      <c r="H589" s="293" t="s">
        <v>372</v>
      </c>
      <c r="I589" s="294" t="s">
        <v>169</v>
      </c>
      <c r="J589" s="307" t="s">
        <v>180</v>
      </c>
      <c r="K589" s="326" t="s">
        <v>365</v>
      </c>
      <c r="L589" s="1237">
        <v>2313</v>
      </c>
      <c r="M589" s="326"/>
      <c r="N589" s="294"/>
      <c r="O589" s="354">
        <v>94</v>
      </c>
      <c r="P589" s="294">
        <v>60</v>
      </c>
      <c r="Q589" s="355">
        <f t="shared" si="156"/>
        <v>5640</v>
      </c>
      <c r="R589" s="299"/>
      <c r="S589" s="299"/>
      <c r="T589" s="299"/>
      <c r="U589" s="299"/>
      <c r="V589" s="299">
        <f>100%*Q589</f>
        <v>5640</v>
      </c>
      <c r="W589" s="299"/>
      <c r="X589" s="1142"/>
      <c r="Y589" s="1127"/>
      <c r="Z589" s="1199"/>
      <c r="AA589" s="1124"/>
      <c r="AB589" s="1124"/>
      <c r="AC589" s="1124"/>
      <c r="AD589" s="1124"/>
      <c r="AE589" s="1425"/>
      <c r="AF589" s="1124"/>
      <c r="AG589" s="1164"/>
    </row>
    <row r="590" spans="1:33">
      <c r="A590" s="1442">
        <v>4323</v>
      </c>
      <c r="B590" s="990" t="s">
        <v>1007</v>
      </c>
      <c r="C590" s="1514" t="s">
        <v>382</v>
      </c>
      <c r="D590" s="326"/>
      <c r="E590" s="294">
        <v>3</v>
      </c>
      <c r="F590" s="293">
        <f t="shared" si="155"/>
        <v>43293</v>
      </c>
      <c r="G590" s="293">
        <v>43296</v>
      </c>
      <c r="H590" s="293" t="s">
        <v>372</v>
      </c>
      <c r="I590" s="294" t="s">
        <v>180</v>
      </c>
      <c r="J590" s="307"/>
      <c r="K590" s="326" t="s">
        <v>383</v>
      </c>
      <c r="L590" s="1237">
        <v>23174</v>
      </c>
      <c r="M590" s="326"/>
      <c r="N590" s="294"/>
      <c r="O590" s="354">
        <v>142</v>
      </c>
      <c r="P590" s="294">
        <v>144</v>
      </c>
      <c r="Q590" s="355">
        <f t="shared" si="156"/>
        <v>20448</v>
      </c>
      <c r="R590" s="299"/>
      <c r="S590" s="299"/>
      <c r="T590" s="299"/>
      <c r="U590" s="299"/>
      <c r="V590" s="299"/>
      <c r="W590" s="299">
        <f>100%*Q590</f>
        <v>20448</v>
      </c>
      <c r="X590" s="1142"/>
      <c r="Y590" s="1127"/>
      <c r="Z590" s="1199"/>
      <c r="AA590" s="1124"/>
      <c r="AB590" s="1124"/>
      <c r="AC590" s="1124"/>
      <c r="AD590" s="1124"/>
      <c r="AE590" s="1425"/>
      <c r="AF590" s="1124"/>
      <c r="AG590" s="1164"/>
    </row>
    <row r="591" spans="1:33">
      <c r="A591" s="1442">
        <v>4323</v>
      </c>
      <c r="B591" s="990" t="s">
        <v>1007</v>
      </c>
      <c r="C591" s="1514" t="s">
        <v>382</v>
      </c>
      <c r="D591" s="326"/>
      <c r="E591" s="294">
        <f>3+30</f>
        <v>33</v>
      </c>
      <c r="F591" s="293">
        <f t="shared" si="155"/>
        <v>43263</v>
      </c>
      <c r="G591" s="293">
        <v>43296</v>
      </c>
      <c r="H591" s="293" t="s">
        <v>372</v>
      </c>
      <c r="I591" s="294" t="s">
        <v>169</v>
      </c>
      <c r="J591" s="307"/>
      <c r="K591" s="326" t="s">
        <v>384</v>
      </c>
      <c r="L591" s="1237">
        <v>23173</v>
      </c>
      <c r="M591" s="326"/>
      <c r="N591" s="294"/>
      <c r="O591" s="354">
        <v>147</v>
      </c>
      <c r="P591" s="294">
        <v>6</v>
      </c>
      <c r="Q591" s="355">
        <f t="shared" si="156"/>
        <v>882</v>
      </c>
      <c r="R591" s="299"/>
      <c r="S591" s="299"/>
      <c r="T591" s="299"/>
      <c r="U591" s="299"/>
      <c r="V591" s="299"/>
      <c r="W591" s="299">
        <f>100%*Q591</f>
        <v>882</v>
      </c>
      <c r="X591" s="1142"/>
      <c r="Y591" s="1127"/>
      <c r="Z591" s="1199"/>
      <c r="AA591" s="1124"/>
      <c r="AB591" s="1124"/>
      <c r="AC591" s="1124"/>
      <c r="AD591" s="1124"/>
      <c r="AE591" s="1425"/>
      <c r="AF591" s="1124"/>
      <c r="AG591" s="1164"/>
    </row>
    <row r="592" spans="1:33" ht="47.25">
      <c r="A592" s="1442">
        <v>4324</v>
      </c>
      <c r="B592" s="990" t="s">
        <v>385</v>
      </c>
      <c r="C592" s="1093" t="s">
        <v>386</v>
      </c>
      <c r="D592" s="326"/>
      <c r="E592" s="294">
        <v>10</v>
      </c>
      <c r="F592" s="293">
        <f t="shared" si="155"/>
        <v>43256</v>
      </c>
      <c r="G592" s="293">
        <v>43266</v>
      </c>
      <c r="H592" s="293" t="s">
        <v>372</v>
      </c>
      <c r="I592" s="294" t="s">
        <v>180</v>
      </c>
      <c r="J592" s="307" t="s">
        <v>387</v>
      </c>
      <c r="K592" s="326"/>
      <c r="L592" s="1237"/>
      <c r="M592" s="326"/>
      <c r="N592" s="294"/>
      <c r="O592" s="354"/>
      <c r="P592" s="294"/>
      <c r="Q592" s="355">
        <f t="shared" si="156"/>
        <v>0</v>
      </c>
      <c r="R592" s="299"/>
      <c r="S592" s="299"/>
      <c r="T592" s="299"/>
      <c r="U592" s="299"/>
      <c r="V592" s="299"/>
      <c r="W592" s="299"/>
      <c r="X592" s="1142"/>
      <c r="Y592" s="1127"/>
      <c r="Z592" s="1199"/>
      <c r="AA592" s="1124"/>
      <c r="AB592" s="1124"/>
      <c r="AC592" s="1124"/>
      <c r="AD592" s="1124"/>
      <c r="AE592" s="1425"/>
      <c r="AF592" s="1124"/>
      <c r="AG592" s="1164"/>
    </row>
    <row r="593" spans="1:33">
      <c r="A593" s="1442">
        <v>4324</v>
      </c>
      <c r="B593" s="990" t="s">
        <v>388</v>
      </c>
      <c r="C593" s="824" t="s">
        <v>389</v>
      </c>
      <c r="D593" s="326"/>
      <c r="E593" s="294">
        <f>10+45</f>
        <v>55</v>
      </c>
      <c r="F593" s="293">
        <f t="shared" si="155"/>
        <v>43211</v>
      </c>
      <c r="G593" s="293">
        <v>43266</v>
      </c>
      <c r="H593" s="293" t="s">
        <v>390</v>
      </c>
      <c r="I593" s="294" t="s">
        <v>169</v>
      </c>
      <c r="J593" s="307"/>
      <c r="K593" s="990" t="s">
        <v>388</v>
      </c>
      <c r="L593" s="1237">
        <v>23173</v>
      </c>
      <c r="M593" s="326"/>
      <c r="N593" s="294"/>
      <c r="O593" s="354">
        <v>469</v>
      </c>
      <c r="P593" s="294">
        <v>22</v>
      </c>
      <c r="Q593" s="355">
        <f t="shared" si="156"/>
        <v>10318</v>
      </c>
      <c r="R593" s="299"/>
      <c r="S593" s="299"/>
      <c r="T593" s="299"/>
      <c r="U593" s="299"/>
      <c r="V593" s="299">
        <f t="shared" ref="V593:V598" si="157">100%*Q593</f>
        <v>10318</v>
      </c>
      <c r="W593" s="299"/>
      <c r="X593" s="1142"/>
      <c r="Y593" s="1127"/>
      <c r="Z593" s="1199"/>
      <c r="AA593" s="1124"/>
      <c r="AB593" s="1124"/>
      <c r="AC593" s="1124"/>
      <c r="AD593" s="1124"/>
      <c r="AE593" s="1425"/>
      <c r="AF593" s="1124"/>
      <c r="AG593" s="1164"/>
    </row>
    <row r="594" spans="1:33">
      <c r="A594" s="1442">
        <v>4324</v>
      </c>
      <c r="B594" s="990" t="s">
        <v>392</v>
      </c>
      <c r="C594" s="1093" t="s">
        <v>393</v>
      </c>
      <c r="D594" s="326"/>
      <c r="E594" s="294">
        <f>10+45</f>
        <v>55</v>
      </c>
      <c r="F594" s="293">
        <f t="shared" si="155"/>
        <v>43211</v>
      </c>
      <c r="G594" s="293">
        <v>43266</v>
      </c>
      <c r="H594" s="293" t="s">
        <v>390</v>
      </c>
      <c r="I594" s="294" t="s">
        <v>169</v>
      </c>
      <c r="J594" s="307"/>
      <c r="K594" s="326" t="s">
        <v>391</v>
      </c>
      <c r="L594" s="1237">
        <v>23174</v>
      </c>
      <c r="M594" s="326"/>
      <c r="N594" s="294"/>
      <c r="O594" s="354">
        <v>313</v>
      </c>
      <c r="P594" s="294">
        <v>22</v>
      </c>
      <c r="Q594" s="355">
        <f t="shared" si="156"/>
        <v>6886</v>
      </c>
      <c r="R594" s="299"/>
      <c r="S594" s="299"/>
      <c r="T594" s="299"/>
      <c r="U594" s="299"/>
      <c r="V594" s="299">
        <f t="shared" si="157"/>
        <v>6886</v>
      </c>
      <c r="W594" s="299"/>
      <c r="X594" s="1142"/>
      <c r="Y594" s="1127"/>
      <c r="Z594" s="1199"/>
      <c r="AA594" s="1124"/>
      <c r="AB594" s="1124"/>
      <c r="AC594" s="1124"/>
      <c r="AD594" s="1124"/>
      <c r="AE594" s="1425"/>
      <c r="AF594" s="1124"/>
      <c r="AG594" s="1164"/>
    </row>
    <row r="595" spans="1:33">
      <c r="A595" s="1442">
        <v>4324</v>
      </c>
      <c r="B595" s="990" t="s">
        <v>394</v>
      </c>
      <c r="C595" s="824" t="s">
        <v>395</v>
      </c>
      <c r="D595" s="326"/>
      <c r="E595" s="294">
        <v>10</v>
      </c>
      <c r="F595" s="293">
        <f t="shared" si="155"/>
        <v>43256</v>
      </c>
      <c r="G595" s="293">
        <v>43266</v>
      </c>
      <c r="H595" s="293" t="s">
        <v>396</v>
      </c>
      <c r="I595" s="294" t="s">
        <v>180</v>
      </c>
      <c r="J595" s="307"/>
      <c r="K595" s="326" t="s">
        <v>397</v>
      </c>
      <c r="L595" s="1237">
        <v>23174</v>
      </c>
      <c r="M595" s="326"/>
      <c r="N595" s="294"/>
      <c r="O595" s="354">
        <v>240</v>
      </c>
      <c r="P595" s="294">
        <v>88</v>
      </c>
      <c r="Q595" s="355">
        <f t="shared" si="156"/>
        <v>21120</v>
      </c>
      <c r="R595" s="299"/>
      <c r="S595" s="299"/>
      <c r="T595" s="299"/>
      <c r="U595" s="299"/>
      <c r="V595" s="299">
        <f t="shared" si="157"/>
        <v>21120</v>
      </c>
      <c r="W595" s="299"/>
      <c r="X595" s="1142"/>
      <c r="Y595" s="1127"/>
      <c r="Z595" s="1199"/>
      <c r="AA595" s="1124"/>
      <c r="AB595" s="1124"/>
      <c r="AC595" s="1124"/>
      <c r="AD595" s="1124"/>
      <c r="AE595" s="1425"/>
      <c r="AF595" s="1124"/>
      <c r="AG595" s="1164"/>
    </row>
    <row r="596" spans="1:33" ht="31.5">
      <c r="A596" s="1442">
        <v>4324</v>
      </c>
      <c r="B596" s="990" t="s">
        <v>398</v>
      </c>
      <c r="C596" s="824" t="s">
        <v>399</v>
      </c>
      <c r="D596" s="326"/>
      <c r="E596" s="294">
        <f>10+45</f>
        <v>55</v>
      </c>
      <c r="F596" s="293">
        <f t="shared" si="155"/>
        <v>43211</v>
      </c>
      <c r="G596" s="293">
        <v>43266</v>
      </c>
      <c r="H596" s="293" t="s">
        <v>390</v>
      </c>
      <c r="I596" s="294" t="s">
        <v>169</v>
      </c>
      <c r="J596" s="307"/>
      <c r="K596" s="824" t="s">
        <v>399</v>
      </c>
      <c r="L596" s="1237">
        <v>23173</v>
      </c>
      <c r="M596" s="326"/>
      <c r="N596" s="294"/>
      <c r="O596" s="354">
        <v>313</v>
      </c>
      <c r="P596" s="294">
        <v>22</v>
      </c>
      <c r="Q596" s="355">
        <f t="shared" si="156"/>
        <v>6886</v>
      </c>
      <c r="R596" s="299"/>
      <c r="S596" s="299"/>
      <c r="T596" s="299"/>
      <c r="U596" s="299"/>
      <c r="V596" s="299">
        <f t="shared" si="157"/>
        <v>6886</v>
      </c>
      <c r="W596" s="299"/>
      <c r="X596" s="1142"/>
      <c r="Y596" s="1127"/>
      <c r="Z596" s="1199"/>
      <c r="AA596" s="1124"/>
      <c r="AB596" s="1124"/>
      <c r="AC596" s="1124"/>
      <c r="AD596" s="1124"/>
      <c r="AE596" s="1425"/>
      <c r="AF596" s="1124"/>
      <c r="AG596" s="1164"/>
    </row>
    <row r="597" spans="1:33" ht="63">
      <c r="A597" s="1442">
        <v>4324</v>
      </c>
      <c r="B597" s="990" t="s">
        <v>400</v>
      </c>
      <c r="C597" s="824" t="s">
        <v>401</v>
      </c>
      <c r="D597" s="326"/>
      <c r="E597" s="294">
        <f>45+10</f>
        <v>55</v>
      </c>
      <c r="F597" s="293">
        <f t="shared" si="155"/>
        <v>43211</v>
      </c>
      <c r="G597" s="293">
        <v>43266</v>
      </c>
      <c r="H597" s="293" t="s">
        <v>390</v>
      </c>
      <c r="I597" s="294" t="s">
        <v>169</v>
      </c>
      <c r="J597" s="307"/>
      <c r="K597" s="326" t="s">
        <v>384</v>
      </c>
      <c r="L597" s="1237">
        <v>23173</v>
      </c>
      <c r="M597" s="326"/>
      <c r="N597" s="294"/>
      <c r="O597" s="354">
        <v>577</v>
      </c>
      <c r="P597" s="294">
        <v>22</v>
      </c>
      <c r="Q597" s="355">
        <f t="shared" si="156"/>
        <v>12694</v>
      </c>
      <c r="R597" s="299"/>
      <c r="S597" s="299"/>
      <c r="T597" s="299"/>
      <c r="U597" s="299"/>
      <c r="V597" s="299">
        <f t="shared" si="157"/>
        <v>12694</v>
      </c>
      <c r="W597" s="299"/>
      <c r="X597" s="1142"/>
      <c r="Y597" s="1127"/>
      <c r="Z597" s="1199"/>
      <c r="AA597" s="1124"/>
      <c r="AB597" s="1124"/>
      <c r="AC597" s="1124"/>
      <c r="AD597" s="1124"/>
      <c r="AE597" s="1425"/>
      <c r="AF597" s="1124"/>
      <c r="AG597" s="1164"/>
    </row>
    <row r="598" spans="1:33">
      <c r="A598" s="1442">
        <v>4324</v>
      </c>
      <c r="B598" s="973" t="s">
        <v>402</v>
      </c>
      <c r="C598" s="1093" t="s">
        <v>403</v>
      </c>
      <c r="D598" s="326"/>
      <c r="E598" s="294">
        <f>3+30</f>
        <v>33</v>
      </c>
      <c r="F598" s="293">
        <f t="shared" si="155"/>
        <v>43233</v>
      </c>
      <c r="G598" s="293">
        <v>43266</v>
      </c>
      <c r="H598" s="293" t="s">
        <v>372</v>
      </c>
      <c r="I598" s="294" t="s">
        <v>180</v>
      </c>
      <c r="J598" s="307"/>
      <c r="K598" s="326" t="s">
        <v>384</v>
      </c>
      <c r="L598" s="1237">
        <v>23173</v>
      </c>
      <c r="M598" s="326"/>
      <c r="N598" s="294"/>
      <c r="O598" s="354">
        <v>47.5</v>
      </c>
      <c r="P598" s="294">
        <v>64</v>
      </c>
      <c r="Q598" s="355">
        <f t="shared" si="156"/>
        <v>3040</v>
      </c>
      <c r="R598" s="299"/>
      <c r="S598" s="299"/>
      <c r="T598" s="299"/>
      <c r="U598" s="299"/>
      <c r="V598" s="299">
        <f t="shared" si="157"/>
        <v>3040</v>
      </c>
      <c r="W598" s="299"/>
      <c r="X598" s="1142"/>
      <c r="Y598" s="1127"/>
      <c r="Z598" s="1199"/>
      <c r="AA598" s="1124"/>
      <c r="AB598" s="1124"/>
      <c r="AC598" s="1124"/>
      <c r="AD598" s="1124"/>
      <c r="AE598" s="1425"/>
      <c r="AF598" s="1124"/>
      <c r="AG598" s="1164"/>
    </row>
    <row r="599" spans="1:33" ht="15.75" customHeight="1">
      <c r="A599" s="1248" t="s">
        <v>968</v>
      </c>
      <c r="B599" s="274"/>
      <c r="C599" s="278"/>
      <c r="D599" s="1270"/>
      <c r="E599" s="1270"/>
      <c r="F599" s="1270"/>
      <c r="G599" s="1270"/>
      <c r="H599" s="1270"/>
      <c r="I599" s="1270"/>
      <c r="J599" s="273"/>
      <c r="K599" s="1248"/>
      <c r="L599" s="1269"/>
      <c r="M599" s="1270"/>
      <c r="N599" s="1268"/>
      <c r="O599" s="1271"/>
      <c r="P599" s="1268"/>
      <c r="Q599" s="1272">
        <f>SUM(Q600:Q603)</f>
        <v>466696.17</v>
      </c>
      <c r="R599" s="1273"/>
      <c r="S599" s="1272">
        <f t="shared" ref="S599:AF599" si="158">SUM(S600:S603)</f>
        <v>0</v>
      </c>
      <c r="T599" s="1272">
        <f t="shared" si="158"/>
        <v>0</v>
      </c>
      <c r="U599" s="1272">
        <f t="shared" si="158"/>
        <v>0</v>
      </c>
      <c r="V599" s="1272">
        <f t="shared" si="158"/>
        <v>0</v>
      </c>
      <c r="W599" s="1272">
        <f t="shared" si="158"/>
        <v>0</v>
      </c>
      <c r="X599" s="1272">
        <f t="shared" si="158"/>
        <v>0</v>
      </c>
      <c r="Y599" s="1272">
        <f t="shared" si="158"/>
        <v>0</v>
      </c>
      <c r="Z599" s="276">
        <f t="shared" si="158"/>
        <v>0</v>
      </c>
      <c r="AA599" s="276">
        <f t="shared" si="158"/>
        <v>0</v>
      </c>
      <c r="AB599" s="276">
        <f t="shared" si="158"/>
        <v>0</v>
      </c>
      <c r="AC599" s="276">
        <f t="shared" si="158"/>
        <v>0</v>
      </c>
      <c r="AD599" s="276">
        <f t="shared" si="158"/>
        <v>0</v>
      </c>
      <c r="AE599" s="276">
        <f t="shared" si="158"/>
        <v>0</v>
      </c>
      <c r="AF599" s="276">
        <f t="shared" si="158"/>
        <v>0</v>
      </c>
      <c r="AG599" s="276">
        <f>SUM(AG600:AG603)</f>
        <v>466695.83999999997</v>
      </c>
    </row>
    <row r="600" spans="1:33">
      <c r="A600" s="1275">
        <v>441</v>
      </c>
      <c r="B600" s="1021" t="s">
        <v>186</v>
      </c>
      <c r="C600" s="1021" t="s">
        <v>971</v>
      </c>
      <c r="D600" s="1278"/>
      <c r="E600" s="1278"/>
      <c r="F600" s="1278"/>
      <c r="G600" s="1278"/>
      <c r="H600" s="1278"/>
      <c r="I600" s="1277" t="s">
        <v>169</v>
      </c>
      <c r="J600" s="283"/>
      <c r="K600" s="1278"/>
      <c r="L600" s="1279"/>
      <c r="M600" s="1280"/>
      <c r="N600" s="1277"/>
      <c r="O600" s="1281"/>
      <c r="P600" s="1277"/>
      <c r="Q600" s="1395">
        <v>16000</v>
      </c>
      <c r="R600" s="287"/>
      <c r="S600" s="362"/>
      <c r="T600" s="362"/>
      <c r="U600" s="362"/>
      <c r="V600" s="362"/>
      <c r="W600" s="362"/>
      <c r="X600" s="1139"/>
      <c r="Y600" s="1134"/>
      <c r="Z600" s="1134"/>
      <c r="AA600" s="1134"/>
      <c r="AB600" s="1134"/>
      <c r="AC600" s="1134"/>
      <c r="AD600" s="1134"/>
      <c r="AE600" s="1134"/>
      <c r="AF600" s="1134"/>
      <c r="AG600" s="361">
        <v>16000</v>
      </c>
    </row>
    <row r="601" spans="1:33" ht="31.5">
      <c r="A601" s="1275">
        <v>442</v>
      </c>
      <c r="B601" s="1128" t="s">
        <v>44</v>
      </c>
      <c r="C601" s="1130" t="s">
        <v>972</v>
      </c>
      <c r="D601" s="1430"/>
      <c r="E601" s="1430"/>
      <c r="F601" s="1430"/>
      <c r="G601" s="1430"/>
      <c r="H601" s="1430"/>
      <c r="I601" s="1277" t="s">
        <v>169</v>
      </c>
      <c r="J601" s="1129"/>
      <c r="K601" s="1432"/>
      <c r="L601" s="1433"/>
      <c r="M601" s="1430"/>
      <c r="N601" s="1431"/>
      <c r="O601" s="1434"/>
      <c r="P601" s="1431"/>
      <c r="Q601" s="1435">
        <v>92060</v>
      </c>
      <c r="R601" s="1133"/>
      <c r="S601" s="1134"/>
      <c r="T601" s="1134"/>
      <c r="U601" s="1134"/>
      <c r="V601" s="1134"/>
      <c r="W601" s="1134"/>
      <c r="X601" s="1139"/>
      <c r="Y601" s="1134"/>
      <c r="Z601" s="1134"/>
      <c r="AA601" s="1134"/>
      <c r="AB601" s="1134"/>
      <c r="AC601" s="1134"/>
      <c r="AD601" s="1134"/>
      <c r="AE601" s="1134"/>
      <c r="AF601" s="1134"/>
      <c r="AG601" s="1132">
        <v>92060</v>
      </c>
    </row>
    <row r="602" spans="1:33" ht="31.5">
      <c r="A602" s="1275">
        <v>443</v>
      </c>
      <c r="B602" s="1128" t="s">
        <v>43</v>
      </c>
      <c r="C602" s="1130" t="s">
        <v>973</v>
      </c>
      <c r="D602" s="1430"/>
      <c r="E602" s="1430"/>
      <c r="F602" s="1430"/>
      <c r="G602" s="1430"/>
      <c r="H602" s="1430"/>
      <c r="I602" s="1277" t="s">
        <v>169</v>
      </c>
      <c r="J602" s="1129"/>
      <c r="K602" s="1432"/>
      <c r="L602" s="1433"/>
      <c r="M602" s="1430"/>
      <c r="N602" s="1431"/>
      <c r="O602" s="1434"/>
      <c r="P602" s="1431"/>
      <c r="Q602" s="1435">
        <v>10636.17</v>
      </c>
      <c r="R602" s="1133"/>
      <c r="S602" s="1134"/>
      <c r="T602" s="1134"/>
      <c r="U602" s="1134"/>
      <c r="V602" s="1134"/>
      <c r="W602" s="1134"/>
      <c r="X602" s="1139"/>
      <c r="Y602" s="1134"/>
      <c r="Z602" s="1134"/>
      <c r="AA602" s="1134"/>
      <c r="AB602" s="1134"/>
      <c r="AC602" s="1134"/>
      <c r="AD602" s="1134"/>
      <c r="AE602" s="1134"/>
      <c r="AF602" s="1134"/>
      <c r="AG602" s="1132">
        <f>10667-31.16</f>
        <v>10635.84</v>
      </c>
    </row>
    <row r="603" spans="1:33" ht="31.5">
      <c r="A603" s="1275">
        <v>444</v>
      </c>
      <c r="B603" s="1128" t="s">
        <v>46</v>
      </c>
      <c r="C603" s="1130" t="s">
        <v>974</v>
      </c>
      <c r="D603" s="1430"/>
      <c r="E603" s="1430"/>
      <c r="F603" s="1430"/>
      <c r="G603" s="1430"/>
      <c r="H603" s="1430"/>
      <c r="I603" s="1277" t="s">
        <v>169</v>
      </c>
      <c r="J603" s="1129"/>
      <c r="K603" s="1432"/>
      <c r="L603" s="1433"/>
      <c r="M603" s="1430"/>
      <c r="N603" s="1431"/>
      <c r="O603" s="1434"/>
      <c r="P603" s="1431"/>
      <c r="Q603" s="1435">
        <v>348000</v>
      </c>
      <c r="R603" s="1133"/>
      <c r="S603" s="1134"/>
      <c r="T603" s="1134"/>
      <c r="U603" s="1134"/>
      <c r="V603" s="1134"/>
      <c r="W603" s="1134"/>
      <c r="X603" s="1139"/>
      <c r="Y603" s="1134"/>
      <c r="Z603" s="1134"/>
      <c r="AA603" s="1134"/>
      <c r="AB603" s="1134"/>
      <c r="AC603" s="1134"/>
      <c r="AD603" s="1134"/>
      <c r="AE603" s="1134"/>
      <c r="AF603" s="1134"/>
      <c r="AG603" s="1132">
        <v>348000</v>
      </c>
    </row>
    <row r="604" spans="1:33" ht="15.75" customHeight="1">
      <c r="A604" s="1248" t="s">
        <v>969</v>
      </c>
      <c r="B604" s="274"/>
      <c r="C604" s="278"/>
      <c r="D604" s="1270"/>
      <c r="E604" s="1270"/>
      <c r="F604" s="1270"/>
      <c r="G604" s="1270"/>
      <c r="H604" s="1270"/>
      <c r="I604" s="1270"/>
      <c r="J604" s="273"/>
      <c r="K604" s="1248"/>
      <c r="L604" s="1269"/>
      <c r="M604" s="1270"/>
      <c r="N604" s="1268"/>
      <c r="O604" s="1271"/>
      <c r="P604" s="1268"/>
      <c r="Q604" s="1272">
        <f>Q605+Q613</f>
        <v>322694</v>
      </c>
      <c r="R604" s="1273"/>
      <c r="S604" s="1436"/>
      <c r="T604" s="1248"/>
      <c r="U604" s="1248"/>
      <c r="V604" s="1270"/>
      <c r="W604" s="1270"/>
      <c r="X604" s="1437"/>
      <c r="Y604" s="1438"/>
      <c r="Z604" s="1070"/>
      <c r="AA604" s="1070"/>
      <c r="AB604" s="1070"/>
      <c r="AC604" s="1070"/>
      <c r="AD604" s="1070"/>
      <c r="AE604" s="1070"/>
      <c r="AF604" s="1070"/>
      <c r="AG604" s="276">
        <f>AG605+AG613</f>
        <v>322694</v>
      </c>
    </row>
    <row r="605" spans="1:33">
      <c r="A605" s="1275">
        <v>451</v>
      </c>
      <c r="B605" s="1128" t="s">
        <v>970</v>
      </c>
      <c r="C605" s="1130"/>
      <c r="D605" s="1430"/>
      <c r="E605" s="1430"/>
      <c r="F605" s="1430"/>
      <c r="G605" s="1430"/>
      <c r="H605" s="1430"/>
      <c r="I605" s="1277" t="s">
        <v>169</v>
      </c>
      <c r="J605" s="1129"/>
      <c r="K605" s="1432"/>
      <c r="L605" s="1433"/>
      <c r="M605" s="1430"/>
      <c r="N605" s="1431"/>
      <c r="O605" s="1434"/>
      <c r="P605" s="1431"/>
      <c r="Q605" s="1435">
        <v>322694</v>
      </c>
      <c r="R605" s="1133"/>
      <c r="S605" s="1134"/>
      <c r="T605" s="1134"/>
      <c r="U605" s="1134"/>
      <c r="V605" s="1134"/>
      <c r="W605" s="1134"/>
      <c r="X605" s="1139"/>
      <c r="Y605" s="1134"/>
      <c r="Z605" s="1134"/>
      <c r="AA605" s="1134"/>
      <c r="AB605" s="1134"/>
      <c r="AC605" s="1134"/>
      <c r="AD605" s="1134"/>
      <c r="AE605" s="1134"/>
      <c r="AF605" s="1134"/>
      <c r="AG605" s="1132">
        <v>322694</v>
      </c>
    </row>
    <row r="606" spans="1:33" s="992" customFormat="1" ht="33.75" customHeight="1">
      <c r="A606" s="1247" t="s">
        <v>279</v>
      </c>
      <c r="B606" s="266"/>
      <c r="C606" s="1022"/>
      <c r="D606" s="1263"/>
      <c r="E606" s="1263"/>
      <c r="F606" s="1263"/>
      <c r="G606" s="1263"/>
      <c r="H606" s="1263"/>
      <c r="I606" s="1263"/>
      <c r="J606" s="265"/>
      <c r="K606" s="1247"/>
      <c r="L606" s="1262"/>
      <c r="M606" s="1263"/>
      <c r="N606" s="1261"/>
      <c r="O606" s="1264"/>
      <c r="P606" s="1261"/>
      <c r="Q606" s="1265"/>
      <c r="R606" s="1266"/>
      <c r="S606" s="1439"/>
      <c r="T606" s="1439"/>
      <c r="U606" s="1439"/>
      <c r="V606" s="1439"/>
      <c r="W606" s="1439"/>
      <c r="X606" s="1440"/>
      <c r="Y606" s="1441"/>
      <c r="Z606" s="1150"/>
      <c r="AA606" s="1150"/>
      <c r="AB606" s="1150"/>
      <c r="AC606" s="1150"/>
      <c r="AD606" s="1150"/>
      <c r="AE606" s="1150"/>
      <c r="AF606" s="1150"/>
      <c r="AG606" s="1150"/>
    </row>
    <row r="607" spans="1:33" ht="30" customHeight="1">
      <c r="A607" s="1248" t="s">
        <v>280</v>
      </c>
      <c r="B607" s="274"/>
      <c r="C607" s="278"/>
      <c r="D607" s="1270"/>
      <c r="E607" s="1270"/>
      <c r="F607" s="1270"/>
      <c r="G607" s="1270"/>
      <c r="H607" s="1270"/>
      <c r="I607" s="1270"/>
      <c r="J607" s="273"/>
      <c r="K607" s="1248"/>
      <c r="L607" s="1269"/>
      <c r="M607" s="1270"/>
      <c r="N607" s="1268"/>
      <c r="O607" s="1271"/>
      <c r="P607" s="1268"/>
      <c r="Q607" s="1272"/>
      <c r="R607" s="1273"/>
      <c r="S607" s="1248"/>
      <c r="T607" s="1248"/>
      <c r="U607" s="1248"/>
      <c r="V607" s="1270"/>
      <c r="W607" s="1270"/>
      <c r="X607" s="1437"/>
      <c r="Y607" s="1438"/>
      <c r="Z607" s="1070"/>
      <c r="AA607" s="1070"/>
      <c r="AB607" s="1070"/>
      <c r="AC607" s="1070"/>
      <c r="AD607" s="1070"/>
      <c r="AE607" s="1070"/>
      <c r="AF607" s="1070"/>
      <c r="AG607" s="1070"/>
    </row>
    <row r="608" spans="1:33" ht="16.5" customHeight="1">
      <c r="A608" s="1275">
        <v>511</v>
      </c>
      <c r="B608" s="359"/>
      <c r="C608" s="1021"/>
      <c r="D608" s="1280"/>
      <c r="E608" s="1280"/>
      <c r="F608" s="1280"/>
      <c r="G608" s="1280"/>
      <c r="H608" s="1280"/>
      <c r="I608" s="1280"/>
      <c r="J608" s="283"/>
      <c r="K608" s="1278"/>
      <c r="L608" s="1279"/>
      <c r="M608" s="1280"/>
      <c r="N608" s="1277"/>
      <c r="O608" s="1281"/>
      <c r="P608" s="1277"/>
      <c r="Q608" s="1395"/>
      <c r="R608" s="287"/>
      <c r="S608" s="362"/>
      <c r="T608" s="362"/>
      <c r="U608" s="362"/>
      <c r="V608" s="362"/>
      <c r="W608" s="362"/>
      <c r="X608" s="1139"/>
      <c r="Y608" s="1134"/>
      <c r="Z608" s="1134"/>
      <c r="AA608" s="1134"/>
      <c r="AB608" s="1134"/>
      <c r="AC608" s="1134"/>
      <c r="AD608" s="1134"/>
      <c r="AE608" s="1134"/>
      <c r="AF608" s="1134"/>
      <c r="AG608" s="1134"/>
    </row>
    <row r="609" spans="1:33">
      <c r="A609" s="1442" t="s">
        <v>233</v>
      </c>
      <c r="B609" s="973"/>
      <c r="C609" s="824"/>
      <c r="D609" s="326"/>
      <c r="E609" s="294"/>
      <c r="F609" s="293"/>
      <c r="G609" s="293"/>
      <c r="H609" s="293"/>
      <c r="I609" s="294"/>
      <c r="J609" s="307"/>
      <c r="K609" s="326"/>
      <c r="L609" s="1237"/>
      <c r="M609" s="326"/>
      <c r="N609" s="294"/>
      <c r="O609" s="354"/>
      <c r="P609" s="294"/>
      <c r="Q609" s="355"/>
      <c r="R609" s="299"/>
      <c r="S609" s="355"/>
      <c r="T609" s="355"/>
      <c r="U609" s="355"/>
      <c r="V609" s="355"/>
      <c r="W609" s="355"/>
      <c r="X609" s="1137"/>
      <c r="Y609" s="1126"/>
      <c r="Z609" s="1126"/>
      <c r="AA609" s="1126"/>
      <c r="AB609" s="1126"/>
      <c r="AC609" s="1126"/>
      <c r="AD609" s="1126"/>
      <c r="AE609" s="1126"/>
      <c r="AF609" s="1126"/>
      <c r="AG609" s="1126"/>
    </row>
    <row r="610" spans="1:33" s="992" customFormat="1" ht="33.75" customHeight="1">
      <c r="A610" s="1552" t="s">
        <v>964</v>
      </c>
      <c r="B610" s="1459"/>
      <c r="C610" s="1515"/>
      <c r="D610" s="1443"/>
      <c r="E610" s="1443"/>
      <c r="F610" s="1443"/>
      <c r="G610" s="1443"/>
      <c r="H610" s="1443"/>
      <c r="I610" s="1444"/>
      <c r="J610" s="333"/>
      <c r="K610" s="1446"/>
      <c r="L610" s="1447"/>
      <c r="M610" s="1445"/>
      <c r="N610" s="1445"/>
      <c r="O610" s="1448"/>
      <c r="P610" s="1445"/>
      <c r="Q610" s="1448">
        <f>Q611+Q620+Q629</f>
        <v>129744.98</v>
      </c>
      <c r="R610" s="1449">
        <f>+R611+R620+R629</f>
        <v>129747.66</v>
      </c>
      <c r="S610" s="1448">
        <f t="shared" ref="S610:AF610" si="159">S611+S620+S629</f>
        <v>0</v>
      </c>
      <c r="T610" s="1448">
        <f t="shared" si="159"/>
        <v>10350</v>
      </c>
      <c r="U610" s="1448">
        <f t="shared" si="159"/>
        <v>27783</v>
      </c>
      <c r="V610" s="1448">
        <f t="shared" si="159"/>
        <v>30319.986666666664</v>
      </c>
      <c r="W610" s="1448">
        <f t="shared" si="159"/>
        <v>35925.993333333332</v>
      </c>
      <c r="X610" s="1448">
        <f t="shared" si="159"/>
        <v>25366</v>
      </c>
      <c r="Y610" s="1448">
        <f t="shared" si="159"/>
        <v>0</v>
      </c>
      <c r="Z610" s="334">
        <f t="shared" si="159"/>
        <v>0</v>
      </c>
      <c r="AA610" s="334">
        <f t="shared" si="159"/>
        <v>0</v>
      </c>
      <c r="AB610" s="334">
        <f t="shared" si="159"/>
        <v>0</v>
      </c>
      <c r="AC610" s="334">
        <f t="shared" si="159"/>
        <v>0</v>
      </c>
      <c r="AD610" s="334">
        <f t="shared" si="159"/>
        <v>0</v>
      </c>
      <c r="AE610" s="334">
        <f t="shared" si="159"/>
        <v>0</v>
      </c>
      <c r="AF610" s="334">
        <f t="shared" si="159"/>
        <v>0</v>
      </c>
      <c r="AG610" s="334">
        <f>AG611+AG620+AG629</f>
        <v>129744.98</v>
      </c>
    </row>
    <row r="611" spans="1:33" ht="33" customHeight="1">
      <c r="A611" s="1248" t="s">
        <v>282</v>
      </c>
      <c r="B611" s="274"/>
      <c r="C611" s="278"/>
      <c r="D611" s="1270"/>
      <c r="E611" s="1270"/>
      <c r="F611" s="1270"/>
      <c r="G611" s="1270"/>
      <c r="H611" s="1270"/>
      <c r="I611" s="1270"/>
      <c r="J611" s="273"/>
      <c r="K611" s="1248"/>
      <c r="L611" s="1269"/>
      <c r="M611" s="1270"/>
      <c r="N611" s="1268"/>
      <c r="O611" s="1271"/>
      <c r="P611" s="1268"/>
      <c r="Q611" s="1272">
        <f>+Q612+Q616</f>
        <v>0</v>
      </c>
      <c r="R611" s="1273"/>
      <c r="S611" s="1272">
        <f t="shared" ref="S611:AF611" si="160">+S612+S616</f>
        <v>0</v>
      </c>
      <c r="T611" s="1272">
        <f t="shared" si="160"/>
        <v>0</v>
      </c>
      <c r="U611" s="1272">
        <f t="shared" si="160"/>
        <v>0</v>
      </c>
      <c r="V611" s="1272">
        <f t="shared" si="160"/>
        <v>0</v>
      </c>
      <c r="W611" s="1272">
        <f t="shared" si="160"/>
        <v>0</v>
      </c>
      <c r="X611" s="1272">
        <f t="shared" si="160"/>
        <v>0</v>
      </c>
      <c r="Y611" s="1272">
        <f t="shared" si="160"/>
        <v>0</v>
      </c>
      <c r="Z611" s="276">
        <f t="shared" si="160"/>
        <v>0</v>
      </c>
      <c r="AA611" s="276">
        <f t="shared" si="160"/>
        <v>0</v>
      </c>
      <c r="AB611" s="276">
        <f t="shared" si="160"/>
        <v>0</v>
      </c>
      <c r="AC611" s="276">
        <f t="shared" si="160"/>
        <v>0</v>
      </c>
      <c r="AD611" s="276">
        <f t="shared" si="160"/>
        <v>0</v>
      </c>
      <c r="AE611" s="276">
        <f t="shared" si="160"/>
        <v>0</v>
      </c>
      <c r="AF611" s="276">
        <f t="shared" si="160"/>
        <v>0</v>
      </c>
      <c r="AG611" s="276">
        <f>+AG612+AG616</f>
        <v>0</v>
      </c>
    </row>
    <row r="612" spans="1:33" ht="16.5" customHeight="1">
      <c r="A612" s="1275">
        <v>611</v>
      </c>
      <c r="B612" s="359"/>
      <c r="C612" s="1021"/>
      <c r="D612" s="1280"/>
      <c r="E612" s="1280"/>
      <c r="F612" s="1280"/>
      <c r="G612" s="1280"/>
      <c r="H612" s="1280"/>
      <c r="I612" s="1280"/>
      <c r="J612" s="283"/>
      <c r="K612" s="1278"/>
      <c r="L612" s="1279"/>
      <c r="M612" s="1280"/>
      <c r="N612" s="1277"/>
      <c r="O612" s="1281"/>
      <c r="P612" s="1277"/>
      <c r="Q612" s="1395">
        <f>SUM(Q613:Q615)</f>
        <v>0</v>
      </c>
      <c r="R612" s="287"/>
      <c r="S612" s="1395">
        <f t="shared" ref="S612:AF612" si="161">SUM(S613:S615)</f>
        <v>0</v>
      </c>
      <c r="T612" s="1395">
        <f t="shared" si="161"/>
        <v>0</v>
      </c>
      <c r="U612" s="1395">
        <f t="shared" si="161"/>
        <v>0</v>
      </c>
      <c r="V612" s="1395">
        <f t="shared" si="161"/>
        <v>0</v>
      </c>
      <c r="W612" s="1395">
        <f t="shared" si="161"/>
        <v>0</v>
      </c>
      <c r="X612" s="1395">
        <f t="shared" si="161"/>
        <v>0</v>
      </c>
      <c r="Y612" s="1395">
        <f t="shared" si="161"/>
        <v>0</v>
      </c>
      <c r="Z612" s="361">
        <f t="shared" si="161"/>
        <v>0</v>
      </c>
      <c r="AA612" s="361">
        <f t="shared" si="161"/>
        <v>0</v>
      </c>
      <c r="AB612" s="361">
        <f t="shared" si="161"/>
        <v>0</v>
      </c>
      <c r="AC612" s="361">
        <f t="shared" si="161"/>
        <v>0</v>
      </c>
      <c r="AD612" s="361">
        <f t="shared" si="161"/>
        <v>0</v>
      </c>
      <c r="AE612" s="361">
        <f t="shared" si="161"/>
        <v>0</v>
      </c>
      <c r="AF612" s="361">
        <f t="shared" si="161"/>
        <v>0</v>
      </c>
      <c r="AG612" s="1134">
        <f>SUM(S612:AF612)</f>
        <v>0</v>
      </c>
    </row>
    <row r="613" spans="1:33">
      <c r="A613" s="1442">
        <v>6111</v>
      </c>
      <c r="B613" s="973"/>
      <c r="C613" s="824"/>
      <c r="D613" s="326"/>
      <c r="E613" s="294"/>
      <c r="F613" s="293"/>
      <c r="G613" s="293"/>
      <c r="H613" s="293"/>
      <c r="I613" s="294"/>
      <c r="J613" s="307"/>
      <c r="K613" s="326"/>
      <c r="L613" s="1237"/>
      <c r="M613" s="326"/>
      <c r="N613" s="294"/>
      <c r="O613" s="354"/>
      <c r="P613" s="294"/>
      <c r="Q613" s="355"/>
      <c r="R613" s="299"/>
      <c r="S613" s="355"/>
      <c r="T613" s="355"/>
      <c r="U613" s="355"/>
      <c r="V613" s="355"/>
      <c r="W613" s="355"/>
      <c r="X613" s="1137"/>
      <c r="Y613" s="1126"/>
      <c r="Z613" s="1126"/>
      <c r="AA613" s="1126"/>
      <c r="AB613" s="1126"/>
      <c r="AC613" s="1126"/>
      <c r="AD613" s="1126"/>
      <c r="AE613" s="1126"/>
      <c r="AF613" s="1126"/>
      <c r="AG613" s="1126"/>
    </row>
    <row r="614" spans="1:33">
      <c r="A614" s="1442">
        <v>6112</v>
      </c>
      <c r="B614" s="973"/>
      <c r="C614" s="824"/>
      <c r="D614" s="326"/>
      <c r="E614" s="294"/>
      <c r="F614" s="293"/>
      <c r="G614" s="293"/>
      <c r="H614" s="293"/>
      <c r="I614" s="294"/>
      <c r="J614" s="307"/>
      <c r="K614" s="326"/>
      <c r="L614" s="1237"/>
      <c r="M614" s="326"/>
      <c r="N614" s="294"/>
      <c r="O614" s="354"/>
      <c r="P614" s="294"/>
      <c r="Q614" s="355"/>
      <c r="R614" s="299"/>
      <c r="S614" s="355"/>
      <c r="T614" s="355"/>
      <c r="U614" s="355"/>
      <c r="V614" s="355"/>
      <c r="W614" s="355"/>
      <c r="X614" s="1137"/>
      <c r="Y614" s="1126"/>
      <c r="Z614" s="1126"/>
      <c r="AA614" s="1126"/>
      <c r="AB614" s="1126"/>
      <c r="AC614" s="1126"/>
      <c r="AD614" s="1126"/>
      <c r="AE614" s="1126"/>
      <c r="AF614" s="1126"/>
      <c r="AG614" s="1126"/>
    </row>
    <row r="615" spans="1:33">
      <c r="A615" s="1442">
        <v>6113</v>
      </c>
      <c r="B615" s="973"/>
      <c r="C615" s="824"/>
      <c r="D615" s="326"/>
      <c r="E615" s="294"/>
      <c r="F615" s="293"/>
      <c r="G615" s="293"/>
      <c r="H615" s="293"/>
      <c r="I615" s="294"/>
      <c r="J615" s="307"/>
      <c r="K615" s="326"/>
      <c r="L615" s="1237"/>
      <c r="M615" s="326"/>
      <c r="N615" s="294"/>
      <c r="O615" s="354"/>
      <c r="P615" s="294"/>
      <c r="Q615" s="355"/>
      <c r="R615" s="299"/>
      <c r="S615" s="355"/>
      <c r="T615" s="355"/>
      <c r="U615" s="355"/>
      <c r="V615" s="355"/>
      <c r="W615" s="355"/>
      <c r="X615" s="1137"/>
      <c r="Y615" s="1126"/>
      <c r="Z615" s="1126"/>
      <c r="AA615" s="1126"/>
      <c r="AB615" s="1126"/>
      <c r="AC615" s="1126"/>
      <c r="AD615" s="1126"/>
      <c r="AE615" s="1126"/>
      <c r="AF615" s="1126"/>
      <c r="AG615" s="1126"/>
    </row>
    <row r="616" spans="1:33" ht="16.5" customHeight="1">
      <c r="A616" s="1275">
        <v>612</v>
      </c>
      <c r="B616" s="359"/>
      <c r="C616" s="1021"/>
      <c r="D616" s="1280"/>
      <c r="E616" s="1280"/>
      <c r="F616" s="1280"/>
      <c r="G616" s="1280"/>
      <c r="H616" s="1280"/>
      <c r="I616" s="1280"/>
      <c r="J616" s="283"/>
      <c r="K616" s="1278"/>
      <c r="L616" s="1279"/>
      <c r="M616" s="1280"/>
      <c r="N616" s="1277"/>
      <c r="O616" s="1281"/>
      <c r="P616" s="1277"/>
      <c r="Q616" s="1395">
        <f>SUM(Q617:Q619)</f>
        <v>0</v>
      </c>
      <c r="R616" s="287"/>
      <c r="S616" s="1395">
        <f t="shared" ref="S616:AF616" si="162">SUM(S617:S619)</f>
        <v>0</v>
      </c>
      <c r="T616" s="1395">
        <f t="shared" si="162"/>
        <v>0</v>
      </c>
      <c r="U616" s="1395">
        <f t="shared" si="162"/>
        <v>0</v>
      </c>
      <c r="V616" s="1395">
        <f t="shared" si="162"/>
        <v>0</v>
      </c>
      <c r="W616" s="1395">
        <f t="shared" si="162"/>
        <v>0</v>
      </c>
      <c r="X616" s="1395">
        <f t="shared" si="162"/>
        <v>0</v>
      </c>
      <c r="Y616" s="1395">
        <f t="shared" si="162"/>
        <v>0</v>
      </c>
      <c r="Z616" s="361">
        <f t="shared" si="162"/>
        <v>0</v>
      </c>
      <c r="AA616" s="361">
        <f t="shared" si="162"/>
        <v>0</v>
      </c>
      <c r="AB616" s="361">
        <f t="shared" si="162"/>
        <v>0</v>
      </c>
      <c r="AC616" s="361">
        <f t="shared" si="162"/>
        <v>0</v>
      </c>
      <c r="AD616" s="361">
        <f t="shared" si="162"/>
        <v>0</v>
      </c>
      <c r="AE616" s="361">
        <f t="shared" si="162"/>
        <v>0</v>
      </c>
      <c r="AF616" s="361">
        <f t="shared" si="162"/>
        <v>0</v>
      </c>
      <c r="AG616" s="1134">
        <f>SUM(S616:AF616)</f>
        <v>0</v>
      </c>
    </row>
    <row r="617" spans="1:33">
      <c r="A617" s="1442">
        <v>6121</v>
      </c>
      <c r="B617" s="973"/>
      <c r="C617" s="824"/>
      <c r="D617" s="326"/>
      <c r="E617" s="294"/>
      <c r="F617" s="293"/>
      <c r="G617" s="293"/>
      <c r="H617" s="293"/>
      <c r="I617" s="294"/>
      <c r="J617" s="307"/>
      <c r="K617" s="326"/>
      <c r="L617" s="1237"/>
      <c r="M617" s="326"/>
      <c r="N617" s="294"/>
      <c r="O617" s="354"/>
      <c r="P617" s="294"/>
      <c r="Q617" s="355"/>
      <c r="R617" s="299"/>
      <c r="S617" s="355"/>
      <c r="T617" s="355"/>
      <c r="U617" s="355"/>
      <c r="V617" s="355"/>
      <c r="W617" s="355"/>
      <c r="X617" s="1137"/>
      <c r="Y617" s="1126"/>
      <c r="Z617" s="1126"/>
      <c r="AA617" s="1126"/>
      <c r="AB617" s="1126"/>
      <c r="AC617" s="1126"/>
      <c r="AD617" s="1126"/>
      <c r="AE617" s="1126"/>
      <c r="AF617" s="1126"/>
      <c r="AG617" s="1126"/>
    </row>
    <row r="618" spans="1:33">
      <c r="A618" s="1442">
        <v>6122</v>
      </c>
      <c r="B618" s="973"/>
      <c r="C618" s="824"/>
      <c r="D618" s="326"/>
      <c r="E618" s="294"/>
      <c r="F618" s="293"/>
      <c r="G618" s="293"/>
      <c r="H618" s="293"/>
      <c r="I618" s="294"/>
      <c r="J618" s="307"/>
      <c r="K618" s="326"/>
      <c r="L618" s="1237"/>
      <c r="M618" s="326"/>
      <c r="N618" s="294"/>
      <c r="O618" s="354"/>
      <c r="P618" s="294"/>
      <c r="Q618" s="355"/>
      <c r="R618" s="299"/>
      <c r="S618" s="355"/>
      <c r="T618" s="355"/>
      <c r="U618" s="355"/>
      <c r="V618" s="355"/>
      <c r="W618" s="355"/>
      <c r="X618" s="1137"/>
      <c r="Y618" s="1126"/>
      <c r="Z618" s="1126"/>
      <c r="AA618" s="1126"/>
      <c r="AB618" s="1126"/>
      <c r="AC618" s="1126"/>
      <c r="AD618" s="1126"/>
      <c r="AE618" s="1126"/>
      <c r="AF618" s="1126"/>
      <c r="AG618" s="1126"/>
    </row>
    <row r="619" spans="1:33">
      <c r="A619" s="1398" t="s">
        <v>233</v>
      </c>
      <c r="B619" s="973"/>
      <c r="C619" s="824"/>
      <c r="D619" s="326"/>
      <c r="E619" s="294"/>
      <c r="F619" s="293"/>
      <c r="G619" s="293"/>
      <c r="H619" s="293"/>
      <c r="I619" s="294"/>
      <c r="J619" s="307"/>
      <c r="K619" s="326"/>
      <c r="L619" s="1237"/>
      <c r="M619" s="326"/>
      <c r="N619" s="294"/>
      <c r="O619" s="354"/>
      <c r="P619" s="294"/>
      <c r="Q619" s="355"/>
      <c r="R619" s="299"/>
      <c r="S619" s="355"/>
      <c r="T619" s="355"/>
      <c r="U619" s="355"/>
      <c r="V619" s="355"/>
      <c r="W619" s="355"/>
      <c r="X619" s="1137"/>
      <c r="Y619" s="1126"/>
      <c r="Z619" s="1126"/>
      <c r="AA619" s="1126"/>
      <c r="AB619" s="1126"/>
      <c r="AC619" s="1126"/>
      <c r="AD619" s="1126"/>
      <c r="AE619" s="1126"/>
      <c r="AF619" s="1126"/>
      <c r="AG619" s="1126"/>
    </row>
    <row r="620" spans="1:33" ht="38.25" customHeight="1">
      <c r="A620" s="1553" t="s">
        <v>283</v>
      </c>
      <c r="B620" s="1542"/>
      <c r="C620" s="1500"/>
      <c r="D620" s="1450"/>
      <c r="E620" s="1450"/>
      <c r="F620" s="1450"/>
      <c r="G620" s="1450"/>
      <c r="H620" s="1450"/>
      <c r="I620" s="1451"/>
      <c r="J620" s="273"/>
      <c r="K620" s="1248"/>
      <c r="L620" s="1269"/>
      <c r="M620" s="1270"/>
      <c r="N620" s="1268"/>
      <c r="O620" s="1271"/>
      <c r="P620" s="1268"/>
      <c r="Q620" s="1272">
        <f>+Q621+Q625</f>
        <v>0</v>
      </c>
      <c r="R620" s="1273"/>
      <c r="S620" s="1272">
        <f t="shared" ref="S620:AF620" si="163">+S621+S625</f>
        <v>0</v>
      </c>
      <c r="T620" s="1272">
        <f t="shared" si="163"/>
        <v>0</v>
      </c>
      <c r="U620" s="1272">
        <f t="shared" si="163"/>
        <v>0</v>
      </c>
      <c r="V620" s="1272">
        <f t="shared" si="163"/>
        <v>0</v>
      </c>
      <c r="W620" s="1272">
        <f t="shared" si="163"/>
        <v>0</v>
      </c>
      <c r="X620" s="1272">
        <f t="shared" si="163"/>
        <v>0</v>
      </c>
      <c r="Y620" s="1272">
        <f t="shared" si="163"/>
        <v>0</v>
      </c>
      <c r="Z620" s="276">
        <f t="shared" si="163"/>
        <v>0</v>
      </c>
      <c r="AA620" s="276">
        <f t="shared" si="163"/>
        <v>0</v>
      </c>
      <c r="AB620" s="276">
        <f t="shared" si="163"/>
        <v>0</v>
      </c>
      <c r="AC620" s="276">
        <f t="shared" si="163"/>
        <v>0</v>
      </c>
      <c r="AD620" s="276">
        <f t="shared" si="163"/>
        <v>0</v>
      </c>
      <c r="AE620" s="276">
        <f t="shared" si="163"/>
        <v>0</v>
      </c>
      <c r="AF620" s="276">
        <f t="shared" si="163"/>
        <v>0</v>
      </c>
      <c r="AG620" s="276">
        <f>+AG621+AG625</f>
        <v>0</v>
      </c>
    </row>
    <row r="621" spans="1:33" ht="16.5" customHeight="1">
      <c r="A621" s="1275">
        <v>621</v>
      </c>
      <c r="B621" s="359"/>
      <c r="C621" s="1021"/>
      <c r="D621" s="1280"/>
      <c r="E621" s="1280"/>
      <c r="F621" s="1280"/>
      <c r="G621" s="1280"/>
      <c r="H621" s="1280"/>
      <c r="I621" s="1280"/>
      <c r="J621" s="283"/>
      <c r="K621" s="1278"/>
      <c r="L621" s="1279"/>
      <c r="M621" s="1280"/>
      <c r="N621" s="1277"/>
      <c r="O621" s="1281"/>
      <c r="P621" s="1277"/>
      <c r="Q621" s="1395">
        <f>SUM(Q622:Q624)</f>
        <v>0</v>
      </c>
      <c r="R621" s="287"/>
      <c r="S621" s="1395">
        <f t="shared" ref="S621:AF621" si="164">SUM(S622:S624)</f>
        <v>0</v>
      </c>
      <c r="T621" s="1395">
        <f t="shared" si="164"/>
        <v>0</v>
      </c>
      <c r="U621" s="1395">
        <f t="shared" si="164"/>
        <v>0</v>
      </c>
      <c r="V621" s="1395">
        <f t="shared" si="164"/>
        <v>0</v>
      </c>
      <c r="W621" s="1395">
        <f t="shared" si="164"/>
        <v>0</v>
      </c>
      <c r="X621" s="1395">
        <f t="shared" si="164"/>
        <v>0</v>
      </c>
      <c r="Y621" s="1395">
        <f t="shared" si="164"/>
        <v>0</v>
      </c>
      <c r="Z621" s="361">
        <f t="shared" si="164"/>
        <v>0</v>
      </c>
      <c r="AA621" s="361">
        <f t="shared" si="164"/>
        <v>0</v>
      </c>
      <c r="AB621" s="361">
        <f t="shared" si="164"/>
        <v>0</v>
      </c>
      <c r="AC621" s="361">
        <f t="shared" si="164"/>
        <v>0</v>
      </c>
      <c r="AD621" s="361">
        <f t="shared" si="164"/>
        <v>0</v>
      </c>
      <c r="AE621" s="361">
        <f t="shared" si="164"/>
        <v>0</v>
      </c>
      <c r="AF621" s="361">
        <f t="shared" si="164"/>
        <v>0</v>
      </c>
      <c r="AG621" s="1134">
        <f>SUM(S621:AF621)</f>
        <v>0</v>
      </c>
    </row>
    <row r="622" spans="1:33">
      <c r="A622" s="1442">
        <v>6211</v>
      </c>
      <c r="B622" s="973"/>
      <c r="C622" s="824"/>
      <c r="D622" s="326"/>
      <c r="E622" s="294"/>
      <c r="F622" s="293"/>
      <c r="G622" s="293"/>
      <c r="H622" s="293"/>
      <c r="I622" s="294"/>
      <c r="J622" s="307"/>
      <c r="K622" s="326"/>
      <c r="L622" s="1237"/>
      <c r="M622" s="326"/>
      <c r="N622" s="294"/>
      <c r="O622" s="354"/>
      <c r="P622" s="294"/>
      <c r="Q622" s="355"/>
      <c r="R622" s="299"/>
      <c r="S622" s="355"/>
      <c r="T622" s="355"/>
      <c r="U622" s="355"/>
      <c r="V622" s="355"/>
      <c r="W622" s="355"/>
      <c r="X622" s="1137"/>
      <c r="Y622" s="1126"/>
      <c r="Z622" s="1126"/>
      <c r="AA622" s="1126"/>
      <c r="AB622" s="1126"/>
      <c r="AC622" s="1126"/>
      <c r="AD622" s="1126"/>
      <c r="AE622" s="1126"/>
      <c r="AF622" s="1126"/>
      <c r="AG622" s="1126"/>
    </row>
    <row r="623" spans="1:33">
      <c r="A623" s="1442">
        <v>6212</v>
      </c>
      <c r="B623" s="973"/>
      <c r="C623" s="824"/>
      <c r="D623" s="326"/>
      <c r="E623" s="294"/>
      <c r="F623" s="293"/>
      <c r="G623" s="293"/>
      <c r="H623" s="293"/>
      <c r="I623" s="294"/>
      <c r="J623" s="307"/>
      <c r="K623" s="326"/>
      <c r="L623" s="1237"/>
      <c r="M623" s="326"/>
      <c r="N623" s="294"/>
      <c r="O623" s="354"/>
      <c r="P623" s="294"/>
      <c r="Q623" s="355"/>
      <c r="R623" s="299"/>
      <c r="S623" s="355"/>
      <c r="T623" s="355"/>
      <c r="U623" s="355"/>
      <c r="V623" s="355"/>
      <c r="W623" s="355"/>
      <c r="X623" s="1137"/>
      <c r="Y623" s="1126"/>
      <c r="Z623" s="1126"/>
      <c r="AA623" s="1126"/>
      <c r="AB623" s="1126"/>
      <c r="AC623" s="1126"/>
      <c r="AD623" s="1126"/>
      <c r="AE623" s="1126"/>
      <c r="AF623" s="1126"/>
      <c r="AG623" s="1126"/>
    </row>
    <row r="624" spans="1:33">
      <c r="A624" s="1442">
        <v>6213</v>
      </c>
      <c r="B624" s="973"/>
      <c r="C624" s="824"/>
      <c r="D624" s="326"/>
      <c r="E624" s="294"/>
      <c r="F624" s="293"/>
      <c r="G624" s="293"/>
      <c r="H624" s="293"/>
      <c r="I624" s="294"/>
      <c r="J624" s="307"/>
      <c r="K624" s="326"/>
      <c r="L624" s="1237"/>
      <c r="M624" s="326"/>
      <c r="N624" s="294"/>
      <c r="O624" s="354"/>
      <c r="P624" s="294"/>
      <c r="Q624" s="355"/>
      <c r="R624" s="299"/>
      <c r="S624" s="355"/>
      <c r="T624" s="355"/>
      <c r="U624" s="355"/>
      <c r="V624" s="355"/>
      <c r="W624" s="355"/>
      <c r="X624" s="1137"/>
      <c r="Y624" s="1126"/>
      <c r="Z624" s="1126"/>
      <c r="AA624" s="1126"/>
      <c r="AB624" s="1126"/>
      <c r="AC624" s="1126"/>
      <c r="AD624" s="1126"/>
      <c r="AE624" s="1126"/>
      <c r="AF624" s="1126"/>
      <c r="AG624" s="1126"/>
    </row>
    <row r="625" spans="1:33" ht="16.5" customHeight="1">
      <c r="A625" s="1275">
        <v>622</v>
      </c>
      <c r="B625" s="359"/>
      <c r="C625" s="1021"/>
      <c r="D625" s="1280"/>
      <c r="E625" s="1280"/>
      <c r="F625" s="1280"/>
      <c r="G625" s="1280"/>
      <c r="H625" s="1280"/>
      <c r="I625" s="1280"/>
      <c r="J625" s="283"/>
      <c r="K625" s="1278"/>
      <c r="L625" s="1279"/>
      <c r="M625" s="1280"/>
      <c r="N625" s="1277"/>
      <c r="O625" s="1281"/>
      <c r="P625" s="1277"/>
      <c r="Q625" s="1395">
        <f>SUM(Q626:Q628)</f>
        <v>0</v>
      </c>
      <c r="R625" s="287"/>
      <c r="S625" s="1395">
        <f t="shared" ref="S625:AF625" si="165">SUM(S626:S628)</f>
        <v>0</v>
      </c>
      <c r="T625" s="1395">
        <f t="shared" si="165"/>
        <v>0</v>
      </c>
      <c r="U625" s="1395">
        <f t="shared" si="165"/>
        <v>0</v>
      </c>
      <c r="V625" s="1395">
        <f t="shared" si="165"/>
        <v>0</v>
      </c>
      <c r="W625" s="1395">
        <f t="shared" si="165"/>
        <v>0</v>
      </c>
      <c r="X625" s="1395">
        <f t="shared" si="165"/>
        <v>0</v>
      </c>
      <c r="Y625" s="1395">
        <f t="shared" si="165"/>
        <v>0</v>
      </c>
      <c r="Z625" s="361">
        <f t="shared" si="165"/>
        <v>0</v>
      </c>
      <c r="AA625" s="361">
        <f t="shared" si="165"/>
        <v>0</v>
      </c>
      <c r="AB625" s="361">
        <f t="shared" si="165"/>
        <v>0</v>
      </c>
      <c r="AC625" s="361">
        <f t="shared" si="165"/>
        <v>0</v>
      </c>
      <c r="AD625" s="361">
        <f t="shared" si="165"/>
        <v>0</v>
      </c>
      <c r="AE625" s="361">
        <f t="shared" si="165"/>
        <v>0</v>
      </c>
      <c r="AF625" s="361">
        <f t="shared" si="165"/>
        <v>0</v>
      </c>
      <c r="AG625" s="1134">
        <f>SUM(S625:AF625)</f>
        <v>0</v>
      </c>
    </row>
    <row r="626" spans="1:33">
      <c r="A626" s="1442">
        <v>6221</v>
      </c>
      <c r="B626" s="973"/>
      <c r="C626" s="824"/>
      <c r="D626" s="326"/>
      <c r="E626" s="294"/>
      <c r="F626" s="293"/>
      <c r="G626" s="293"/>
      <c r="H626" s="293"/>
      <c r="I626" s="294"/>
      <c r="J626" s="307"/>
      <c r="K626" s="326"/>
      <c r="L626" s="1237"/>
      <c r="M626" s="326"/>
      <c r="N626" s="294"/>
      <c r="O626" s="354"/>
      <c r="P626" s="294"/>
      <c r="Q626" s="355"/>
      <c r="R626" s="299"/>
      <c r="S626" s="355"/>
      <c r="T626" s="355"/>
      <c r="U626" s="355"/>
      <c r="V626" s="355"/>
      <c r="W626" s="355"/>
      <c r="X626" s="1137"/>
      <c r="Y626" s="1126"/>
      <c r="Z626" s="1126"/>
      <c r="AA626" s="1126"/>
      <c r="AB626" s="1126"/>
      <c r="AC626" s="1126"/>
      <c r="AD626" s="1126"/>
      <c r="AE626" s="1126"/>
      <c r="AF626" s="1126"/>
      <c r="AG626" s="1126"/>
    </row>
    <row r="627" spans="1:33">
      <c r="A627" s="1442">
        <v>6222</v>
      </c>
      <c r="B627" s="973"/>
      <c r="C627" s="824"/>
      <c r="D627" s="326"/>
      <c r="E627" s="294"/>
      <c r="F627" s="293"/>
      <c r="G627" s="293"/>
      <c r="H627" s="293"/>
      <c r="I627" s="294"/>
      <c r="J627" s="307"/>
      <c r="K627" s="326"/>
      <c r="L627" s="1237"/>
      <c r="M627" s="326"/>
      <c r="N627" s="294"/>
      <c r="O627" s="354"/>
      <c r="P627" s="294"/>
      <c r="Q627" s="355"/>
      <c r="R627" s="299"/>
      <c r="S627" s="355"/>
      <c r="T627" s="355"/>
      <c r="U627" s="355"/>
      <c r="V627" s="355"/>
      <c r="W627" s="355"/>
      <c r="X627" s="1137"/>
      <c r="Y627" s="1126"/>
      <c r="Z627" s="1126"/>
      <c r="AA627" s="1126"/>
      <c r="AB627" s="1126"/>
      <c r="AC627" s="1126"/>
      <c r="AD627" s="1126"/>
      <c r="AE627" s="1126"/>
      <c r="AF627" s="1126"/>
      <c r="AG627" s="1126"/>
    </row>
    <row r="628" spans="1:33">
      <c r="A628" s="1398" t="s">
        <v>233</v>
      </c>
      <c r="B628" s="973"/>
      <c r="C628" s="824"/>
      <c r="D628" s="326"/>
      <c r="E628" s="294"/>
      <c r="F628" s="293"/>
      <c r="G628" s="293"/>
      <c r="H628" s="293"/>
      <c r="I628" s="294"/>
      <c r="J628" s="307"/>
      <c r="K628" s="326"/>
      <c r="L628" s="1237"/>
      <c r="M628" s="326"/>
      <c r="N628" s="294"/>
      <c r="O628" s="354"/>
      <c r="P628" s="294"/>
      <c r="Q628" s="355"/>
      <c r="R628" s="299"/>
      <c r="S628" s="355"/>
      <c r="T628" s="355"/>
      <c r="U628" s="355"/>
      <c r="V628" s="355"/>
      <c r="W628" s="355"/>
      <c r="X628" s="1137"/>
      <c r="Y628" s="1126"/>
      <c r="Z628" s="1126"/>
      <c r="AA628" s="1126"/>
      <c r="AB628" s="1126"/>
      <c r="AC628" s="1126"/>
      <c r="AD628" s="1126"/>
      <c r="AE628" s="1126"/>
      <c r="AF628" s="1126"/>
      <c r="AG628" s="1126"/>
    </row>
    <row r="629" spans="1:33" ht="38.25" customHeight="1">
      <c r="A629" s="1248" t="s">
        <v>284</v>
      </c>
      <c r="B629" s="274"/>
      <c r="C629" s="278"/>
      <c r="D629" s="1270"/>
      <c r="E629" s="1270"/>
      <c r="F629" s="1270"/>
      <c r="G629" s="1270"/>
      <c r="H629" s="1270"/>
      <c r="I629" s="1270"/>
      <c r="J629" s="273"/>
      <c r="K629" s="1248"/>
      <c r="L629" s="1269"/>
      <c r="M629" s="1270"/>
      <c r="N629" s="1268"/>
      <c r="O629" s="1271"/>
      <c r="P629" s="1268"/>
      <c r="Q629" s="1272">
        <f>Q630+Q640</f>
        <v>129744.98</v>
      </c>
      <c r="R629" s="1273">
        <f>+'[7]Compil Costing PPA 3 millions'!F20</f>
        <v>129747.66</v>
      </c>
      <c r="S629" s="1272">
        <f t="shared" ref="S629:AF629" si="166">S630+S640</f>
        <v>0</v>
      </c>
      <c r="T629" s="1272">
        <f t="shared" si="166"/>
        <v>10350</v>
      </c>
      <c r="U629" s="1272">
        <f t="shared" si="166"/>
        <v>27783</v>
      </c>
      <c r="V629" s="1272">
        <f t="shared" si="166"/>
        <v>30319.986666666664</v>
      </c>
      <c r="W629" s="1272">
        <f t="shared" si="166"/>
        <v>35925.993333333332</v>
      </c>
      <c r="X629" s="1272">
        <f t="shared" si="166"/>
        <v>25366</v>
      </c>
      <c r="Y629" s="1272">
        <f t="shared" si="166"/>
        <v>0</v>
      </c>
      <c r="Z629" s="276">
        <f t="shared" si="166"/>
        <v>0</v>
      </c>
      <c r="AA629" s="276">
        <f t="shared" si="166"/>
        <v>0</v>
      </c>
      <c r="AB629" s="276">
        <f t="shared" si="166"/>
        <v>0</v>
      </c>
      <c r="AC629" s="276">
        <f t="shared" si="166"/>
        <v>0</v>
      </c>
      <c r="AD629" s="276">
        <f t="shared" si="166"/>
        <v>0</v>
      </c>
      <c r="AE629" s="276">
        <f t="shared" si="166"/>
        <v>0</v>
      </c>
      <c r="AF629" s="276">
        <f t="shared" si="166"/>
        <v>0</v>
      </c>
      <c r="AG629" s="276">
        <f>AG630+AG640</f>
        <v>129744.98</v>
      </c>
    </row>
    <row r="630" spans="1:33" ht="47.25">
      <c r="A630" s="1275">
        <v>631</v>
      </c>
      <c r="B630" s="359" t="s">
        <v>140</v>
      </c>
      <c r="C630" s="1021"/>
      <c r="D630" s="1280"/>
      <c r="E630" s="1280"/>
      <c r="F630" s="1280"/>
      <c r="G630" s="1280"/>
      <c r="H630" s="1280"/>
      <c r="I630" s="1280"/>
      <c r="J630" s="283"/>
      <c r="K630" s="1278"/>
      <c r="L630" s="1279"/>
      <c r="M630" s="1280"/>
      <c r="N630" s="1277"/>
      <c r="O630" s="1281"/>
      <c r="P630" s="1277"/>
      <c r="Q630" s="1395">
        <f>+Q631+Q632+Q637</f>
        <v>39400</v>
      </c>
      <c r="R630" s="287"/>
      <c r="S630" s="1395">
        <f t="shared" ref="S630:AF630" si="167">+S631+S632+S637</f>
        <v>0</v>
      </c>
      <c r="T630" s="1395">
        <f t="shared" si="167"/>
        <v>3600</v>
      </c>
      <c r="U630" s="1395">
        <f t="shared" si="167"/>
        <v>10200</v>
      </c>
      <c r="V630" s="1395">
        <f t="shared" si="167"/>
        <v>10200</v>
      </c>
      <c r="W630" s="1395">
        <f t="shared" si="167"/>
        <v>8200.0000000000018</v>
      </c>
      <c r="X630" s="1395">
        <f t="shared" si="167"/>
        <v>7200</v>
      </c>
      <c r="Y630" s="1395">
        <f t="shared" si="167"/>
        <v>0</v>
      </c>
      <c r="Z630" s="361">
        <f t="shared" si="167"/>
        <v>0</v>
      </c>
      <c r="AA630" s="361">
        <f t="shared" si="167"/>
        <v>0</v>
      </c>
      <c r="AB630" s="361">
        <f t="shared" si="167"/>
        <v>0</v>
      </c>
      <c r="AC630" s="361">
        <f t="shared" si="167"/>
        <v>0</v>
      </c>
      <c r="AD630" s="361">
        <f t="shared" si="167"/>
        <v>0</v>
      </c>
      <c r="AE630" s="361">
        <f t="shared" si="167"/>
        <v>0</v>
      </c>
      <c r="AF630" s="361">
        <f t="shared" si="167"/>
        <v>0</v>
      </c>
      <c r="AG630" s="1134">
        <f>SUM(S630:AF630)</f>
        <v>39400</v>
      </c>
    </row>
    <row r="631" spans="1:33">
      <c r="A631" s="1442">
        <v>6311</v>
      </c>
      <c r="B631" s="973" t="s">
        <v>404</v>
      </c>
      <c r="C631" s="824" t="s">
        <v>405</v>
      </c>
      <c r="D631" s="326"/>
      <c r="E631" s="294"/>
      <c r="F631" s="1012">
        <v>43205</v>
      </c>
      <c r="G631" s="1012">
        <v>43342</v>
      </c>
      <c r="H631" s="1013" t="s">
        <v>406</v>
      </c>
      <c r="I631" s="294" t="s">
        <v>181</v>
      </c>
      <c r="J631" s="307" t="s">
        <v>407</v>
      </c>
      <c r="K631" s="326" t="s">
        <v>408</v>
      </c>
      <c r="L631" s="1237">
        <v>2313</v>
      </c>
      <c r="M631" s="326"/>
      <c r="N631" s="294"/>
      <c r="O631" s="354">
        <v>18000</v>
      </c>
      <c r="P631" s="1014">
        <v>1</v>
      </c>
      <c r="Q631" s="355">
        <f>O631*P631</f>
        <v>18000</v>
      </c>
      <c r="R631" s="299"/>
      <c r="S631" s="299"/>
      <c r="T631" s="299">
        <v>3600</v>
      </c>
      <c r="U631" s="299"/>
      <c r="V631" s="299"/>
      <c r="W631" s="299">
        <v>7200</v>
      </c>
      <c r="X631" s="1142">
        <v>7200</v>
      </c>
      <c r="Y631" s="1127"/>
      <c r="Z631" s="1127"/>
      <c r="AA631" s="1127"/>
      <c r="AB631" s="1127"/>
      <c r="AC631" s="1127"/>
      <c r="AD631" s="1127"/>
      <c r="AE631" s="1127"/>
      <c r="AF631" s="1127"/>
      <c r="AG631" s="1127"/>
    </row>
    <row r="632" spans="1:33" ht="60.6" customHeight="1">
      <c r="A632" s="1442">
        <v>6312</v>
      </c>
      <c r="B632" s="973" t="s">
        <v>409</v>
      </c>
      <c r="C632" s="824" t="s">
        <v>410</v>
      </c>
      <c r="D632" s="326"/>
      <c r="E632" s="294"/>
      <c r="F632" s="293">
        <v>43241</v>
      </c>
      <c r="G632" s="293">
        <v>43273</v>
      </c>
      <c r="H632" s="1015" t="s">
        <v>406</v>
      </c>
      <c r="I632" s="294" t="s">
        <v>181</v>
      </c>
      <c r="J632" s="307" t="s">
        <v>411</v>
      </c>
      <c r="K632" s="326"/>
      <c r="L632" s="1237"/>
      <c r="M632" s="326"/>
      <c r="N632" s="294"/>
      <c r="O632" s="354"/>
      <c r="P632" s="1014"/>
      <c r="Q632" s="1700">
        <f>SUM(Q633:Q636)</f>
        <v>20400</v>
      </c>
      <c r="R632" s="299"/>
      <c r="S632" s="299"/>
      <c r="T632" s="299"/>
      <c r="U632" s="299">
        <v>10200</v>
      </c>
      <c r="V632" s="299">
        <v>10200</v>
      </c>
      <c r="W632" s="299"/>
      <c r="X632" s="1142"/>
      <c r="Y632" s="1127"/>
      <c r="Z632" s="1127"/>
      <c r="AA632" s="1127"/>
      <c r="AB632" s="1127"/>
      <c r="AC632" s="1127"/>
      <c r="AD632" s="1127"/>
      <c r="AE632" s="1127"/>
      <c r="AF632" s="1127"/>
      <c r="AG632" s="1127"/>
    </row>
    <row r="633" spans="1:33" ht="94.5">
      <c r="A633" s="1442">
        <v>6312</v>
      </c>
      <c r="B633" s="291" t="s">
        <v>409</v>
      </c>
      <c r="C633" s="824" t="s">
        <v>410</v>
      </c>
      <c r="D633" s="326"/>
      <c r="E633" s="294"/>
      <c r="F633" s="293">
        <v>43241</v>
      </c>
      <c r="G633" s="293">
        <v>43273</v>
      </c>
      <c r="H633" s="1015" t="s">
        <v>406</v>
      </c>
      <c r="I633" s="294" t="s">
        <v>181</v>
      </c>
      <c r="J633" s="307" t="s">
        <v>411</v>
      </c>
      <c r="K633" s="326" t="s">
        <v>412</v>
      </c>
      <c r="L633" s="1237">
        <v>23174</v>
      </c>
      <c r="M633" s="326"/>
      <c r="N633" s="294"/>
      <c r="O633" s="354">
        <v>2100</v>
      </c>
      <c r="P633" s="1014">
        <v>4</v>
      </c>
      <c r="Q633" s="355">
        <f>O633*P633</f>
        <v>8400</v>
      </c>
      <c r="R633" s="299"/>
      <c r="S633" s="299"/>
      <c r="T633" s="299"/>
      <c r="U633" s="299"/>
      <c r="V633" s="299"/>
      <c r="W633" s="299"/>
      <c r="X633" s="1142"/>
      <c r="Y633" s="1127"/>
      <c r="Z633" s="1127"/>
      <c r="AA633" s="1127"/>
      <c r="AB633" s="1127"/>
      <c r="AC633" s="1127"/>
      <c r="AD633" s="1127"/>
      <c r="AE633" s="1127"/>
      <c r="AF633" s="1127"/>
      <c r="AG633" s="1127"/>
    </row>
    <row r="634" spans="1:33" ht="94.5">
      <c r="A634" s="1442">
        <v>6312</v>
      </c>
      <c r="B634" s="291" t="s">
        <v>409</v>
      </c>
      <c r="C634" s="824" t="s">
        <v>410</v>
      </c>
      <c r="D634" s="326"/>
      <c r="E634" s="294"/>
      <c r="F634" s="293">
        <v>43241</v>
      </c>
      <c r="G634" s="293">
        <v>43273</v>
      </c>
      <c r="H634" s="1015" t="s">
        <v>406</v>
      </c>
      <c r="I634" s="294" t="s">
        <v>181</v>
      </c>
      <c r="J634" s="307" t="s">
        <v>411</v>
      </c>
      <c r="K634" s="326" t="s">
        <v>413</v>
      </c>
      <c r="L634" s="1237">
        <v>23174</v>
      </c>
      <c r="M634" s="326"/>
      <c r="N634" s="294"/>
      <c r="O634" s="354">
        <v>2000</v>
      </c>
      <c r="P634" s="1014">
        <v>4</v>
      </c>
      <c r="Q634" s="355">
        <f>O634*P634</f>
        <v>8000</v>
      </c>
      <c r="R634" s="299"/>
      <c r="S634" s="299"/>
      <c r="T634" s="299"/>
      <c r="U634" s="299"/>
      <c r="V634" s="299"/>
      <c r="W634" s="299"/>
      <c r="X634" s="1142"/>
      <c r="Y634" s="1127"/>
      <c r="Z634" s="1127"/>
      <c r="AA634" s="1127"/>
      <c r="AB634" s="1127"/>
      <c r="AC634" s="1127"/>
      <c r="AD634" s="1127"/>
      <c r="AE634" s="1127"/>
      <c r="AF634" s="1127"/>
      <c r="AG634" s="1127"/>
    </row>
    <row r="635" spans="1:33" ht="94.5">
      <c r="A635" s="1442">
        <v>6312</v>
      </c>
      <c r="B635" s="291" t="s">
        <v>409</v>
      </c>
      <c r="C635" s="824" t="s">
        <v>410</v>
      </c>
      <c r="D635" s="326"/>
      <c r="E635" s="294"/>
      <c r="F635" s="293">
        <v>43241</v>
      </c>
      <c r="G635" s="293">
        <v>43273</v>
      </c>
      <c r="H635" s="1015" t="s">
        <v>406</v>
      </c>
      <c r="I635" s="294" t="s">
        <v>181</v>
      </c>
      <c r="J635" s="307" t="s">
        <v>411</v>
      </c>
      <c r="K635" s="326" t="s">
        <v>414</v>
      </c>
      <c r="L635" s="1237">
        <v>23174</v>
      </c>
      <c r="M635" s="326"/>
      <c r="N635" s="294"/>
      <c r="O635" s="354">
        <v>833.25</v>
      </c>
      <c r="P635" s="1014">
        <v>4</v>
      </c>
      <c r="Q635" s="355">
        <f>O635*P635</f>
        <v>3333</v>
      </c>
      <c r="R635" s="299"/>
      <c r="S635" s="299"/>
      <c r="T635" s="299"/>
      <c r="U635" s="299"/>
      <c r="V635" s="299"/>
      <c r="W635" s="299"/>
      <c r="X635" s="1142"/>
      <c r="Y635" s="1127"/>
      <c r="Z635" s="1127"/>
      <c r="AA635" s="1127"/>
      <c r="AB635" s="1127"/>
      <c r="AC635" s="1127"/>
      <c r="AD635" s="1127"/>
      <c r="AE635" s="1127"/>
      <c r="AF635" s="1127"/>
      <c r="AG635" s="1127"/>
    </row>
    <row r="636" spans="1:33" ht="94.5">
      <c r="A636" s="1442">
        <v>6312</v>
      </c>
      <c r="B636" s="291" t="s">
        <v>409</v>
      </c>
      <c r="C636" s="824" t="s">
        <v>410</v>
      </c>
      <c r="D636" s="326"/>
      <c r="E636" s="294"/>
      <c r="F636" s="293">
        <v>43241</v>
      </c>
      <c r="G636" s="293">
        <v>43273</v>
      </c>
      <c r="H636" s="1015" t="s">
        <v>406</v>
      </c>
      <c r="I636" s="294" t="s">
        <v>181</v>
      </c>
      <c r="J636" s="307" t="s">
        <v>411</v>
      </c>
      <c r="K636" s="326" t="s">
        <v>415</v>
      </c>
      <c r="L636" s="1237">
        <v>23173</v>
      </c>
      <c r="M636" s="326"/>
      <c r="N636" s="294"/>
      <c r="O636" s="354">
        <v>166.75</v>
      </c>
      <c r="P636" s="1014">
        <v>4</v>
      </c>
      <c r="Q636" s="355">
        <f>O636*P636</f>
        <v>667</v>
      </c>
      <c r="R636" s="299"/>
      <c r="S636" s="299"/>
      <c r="T636" s="299"/>
      <c r="U636" s="299"/>
      <c r="V636" s="299"/>
      <c r="W636" s="299"/>
      <c r="X636" s="1142"/>
      <c r="Y636" s="1127"/>
      <c r="Z636" s="1127"/>
      <c r="AA636" s="1127"/>
      <c r="AB636" s="1127"/>
      <c r="AC636" s="1127"/>
      <c r="AD636" s="1127"/>
      <c r="AE636" s="1127"/>
      <c r="AF636" s="1127"/>
      <c r="AG636" s="1127"/>
    </row>
    <row r="637" spans="1:33" ht="46.15" customHeight="1">
      <c r="A637" s="1442">
        <v>6313</v>
      </c>
      <c r="B637" s="973" t="s">
        <v>416</v>
      </c>
      <c r="C637" s="824" t="s">
        <v>417</v>
      </c>
      <c r="D637" s="326"/>
      <c r="E637" s="294"/>
      <c r="F637" s="293">
        <v>43294</v>
      </c>
      <c r="G637" s="293">
        <v>43294</v>
      </c>
      <c r="H637" s="1015" t="s">
        <v>406</v>
      </c>
      <c r="I637" s="294" t="s">
        <v>181</v>
      </c>
      <c r="J637" s="307" t="s">
        <v>411</v>
      </c>
      <c r="K637" s="326"/>
      <c r="L637" s="1237"/>
      <c r="M637" s="326"/>
      <c r="N637" s="294"/>
      <c r="O637" s="354"/>
      <c r="P637" s="1014"/>
      <c r="Q637" s="1700">
        <f>Q638+Q639</f>
        <v>1000.0000000000014</v>
      </c>
      <c r="R637" s="299"/>
      <c r="S637" s="299"/>
      <c r="T637" s="299"/>
      <c r="U637" s="299"/>
      <c r="V637" s="299"/>
      <c r="W637" s="299">
        <v>1000.0000000000014</v>
      </c>
      <c r="X637" s="1142"/>
      <c r="Y637" s="1127"/>
      <c r="Z637" s="1127"/>
      <c r="AA637" s="1127"/>
      <c r="AB637" s="1127"/>
      <c r="AC637" s="1127"/>
      <c r="AD637" s="1127"/>
      <c r="AE637" s="1127"/>
      <c r="AF637" s="1127"/>
      <c r="AG637" s="1127"/>
    </row>
    <row r="638" spans="1:33" ht="94.5">
      <c r="A638" s="1442">
        <v>6313</v>
      </c>
      <c r="B638" s="291" t="s">
        <v>416</v>
      </c>
      <c r="C638" s="824" t="s">
        <v>417</v>
      </c>
      <c r="D638" s="326"/>
      <c r="E638" s="294"/>
      <c r="F638" s="293">
        <v>43294</v>
      </c>
      <c r="G638" s="293">
        <v>43294</v>
      </c>
      <c r="H638" s="1015" t="s">
        <v>406</v>
      </c>
      <c r="I638" s="294" t="s">
        <v>181</v>
      </c>
      <c r="J638" s="307" t="s">
        <v>411</v>
      </c>
      <c r="K638" s="326" t="s">
        <v>418</v>
      </c>
      <c r="L638" s="1237">
        <v>23173</v>
      </c>
      <c r="M638" s="326"/>
      <c r="N638" s="294"/>
      <c r="O638" s="354">
        <v>666.66666666666799</v>
      </c>
      <c r="P638" s="1014">
        <v>1</v>
      </c>
      <c r="Q638" s="355">
        <f>O638*P638</f>
        <v>666.66666666666799</v>
      </c>
      <c r="R638" s="299"/>
      <c r="S638" s="299"/>
      <c r="T638" s="299"/>
      <c r="U638" s="299"/>
      <c r="V638" s="299"/>
      <c r="W638" s="299"/>
      <c r="X638" s="1142"/>
      <c r="Y638" s="1127"/>
      <c r="Z638" s="1127"/>
      <c r="AA638" s="1127"/>
      <c r="AB638" s="1127"/>
      <c r="AC638" s="1127"/>
      <c r="AD638" s="1127"/>
      <c r="AE638" s="1127"/>
      <c r="AF638" s="1127"/>
      <c r="AG638" s="1127"/>
    </row>
    <row r="639" spans="1:33" ht="94.5">
      <c r="A639" s="1442">
        <v>6313</v>
      </c>
      <c r="B639" s="291" t="s">
        <v>416</v>
      </c>
      <c r="C639" s="824" t="s">
        <v>417</v>
      </c>
      <c r="D639" s="326"/>
      <c r="E639" s="294"/>
      <c r="F639" s="293">
        <v>43294</v>
      </c>
      <c r="G639" s="293">
        <v>43294</v>
      </c>
      <c r="H639" s="1015" t="s">
        <v>406</v>
      </c>
      <c r="I639" s="294" t="s">
        <v>181</v>
      </c>
      <c r="J639" s="307" t="s">
        <v>411</v>
      </c>
      <c r="K639" s="326" t="s">
        <v>415</v>
      </c>
      <c r="L639" s="1237">
        <v>23173</v>
      </c>
      <c r="M639" s="326"/>
      <c r="N639" s="294"/>
      <c r="O639" s="354">
        <v>333.33333333333331</v>
      </c>
      <c r="P639" s="1014">
        <v>1</v>
      </c>
      <c r="Q639" s="355">
        <f>O639*P639</f>
        <v>333.33333333333331</v>
      </c>
      <c r="R639" s="299"/>
      <c r="S639" s="299"/>
      <c r="T639" s="299"/>
      <c r="U639" s="299"/>
      <c r="V639" s="299"/>
      <c r="W639" s="299"/>
      <c r="X639" s="1142"/>
      <c r="Y639" s="1127"/>
      <c r="Z639" s="1127"/>
      <c r="AA639" s="1127"/>
      <c r="AB639" s="1127"/>
      <c r="AC639" s="1127"/>
      <c r="AD639" s="1127"/>
      <c r="AE639" s="1127"/>
      <c r="AF639" s="1127"/>
      <c r="AG639" s="1127"/>
    </row>
    <row r="640" spans="1:33" ht="16.5" customHeight="1">
      <c r="A640" s="1275">
        <v>632</v>
      </c>
      <c r="B640" s="359" t="s">
        <v>141</v>
      </c>
      <c r="C640" s="1021"/>
      <c r="D640" s="1280"/>
      <c r="E640" s="1280"/>
      <c r="F640" s="1280"/>
      <c r="G640" s="1280"/>
      <c r="H640" s="1280"/>
      <c r="I640" s="1280"/>
      <c r="J640" s="283"/>
      <c r="K640" s="1278"/>
      <c r="L640" s="1279"/>
      <c r="M640" s="1280"/>
      <c r="N640" s="1277"/>
      <c r="O640" s="1281"/>
      <c r="P640" s="1452"/>
      <c r="Q640" s="1395">
        <f>+Q641+Q642+Q648+Q652</f>
        <v>90344.98</v>
      </c>
      <c r="R640" s="287"/>
      <c r="S640" s="1395">
        <f t="shared" ref="S640:AF640" si="168">+S641+S642+S648+S652</f>
        <v>0</v>
      </c>
      <c r="T640" s="1395">
        <f t="shared" si="168"/>
        <v>6750</v>
      </c>
      <c r="U640" s="1395">
        <f t="shared" si="168"/>
        <v>17583</v>
      </c>
      <c r="V640" s="1395">
        <f t="shared" si="168"/>
        <v>20119.986666666664</v>
      </c>
      <c r="W640" s="1395">
        <f t="shared" si="168"/>
        <v>27725.993333333332</v>
      </c>
      <c r="X640" s="1395">
        <f t="shared" si="168"/>
        <v>18166</v>
      </c>
      <c r="Y640" s="1395">
        <f t="shared" si="168"/>
        <v>0</v>
      </c>
      <c r="Z640" s="361">
        <f t="shared" si="168"/>
        <v>0</v>
      </c>
      <c r="AA640" s="361">
        <f t="shared" si="168"/>
        <v>0</v>
      </c>
      <c r="AB640" s="361">
        <f t="shared" si="168"/>
        <v>0</v>
      </c>
      <c r="AC640" s="361">
        <f t="shared" si="168"/>
        <v>0</v>
      </c>
      <c r="AD640" s="361">
        <f t="shared" si="168"/>
        <v>0</v>
      </c>
      <c r="AE640" s="361">
        <f t="shared" si="168"/>
        <v>0</v>
      </c>
      <c r="AF640" s="361">
        <f t="shared" si="168"/>
        <v>0</v>
      </c>
      <c r="AG640" s="1134">
        <f>SUM(S640:AF640)</f>
        <v>90344.98</v>
      </c>
    </row>
    <row r="641" spans="1:33" ht="62.45" customHeight="1">
      <c r="A641" s="1442">
        <v>6321</v>
      </c>
      <c r="B641" s="973" t="s">
        <v>419</v>
      </c>
      <c r="C641" s="824" t="s">
        <v>420</v>
      </c>
      <c r="D641" s="326"/>
      <c r="E641" s="294"/>
      <c r="F641" s="1016">
        <v>43205</v>
      </c>
      <c r="G641" s="1016">
        <v>43311</v>
      </c>
      <c r="H641" s="1015" t="s">
        <v>421</v>
      </c>
      <c r="I641" s="294" t="s">
        <v>181</v>
      </c>
      <c r="J641" s="307" t="s">
        <v>407</v>
      </c>
      <c r="K641" s="326" t="s">
        <v>408</v>
      </c>
      <c r="L641" s="1237">
        <v>2313</v>
      </c>
      <c r="M641" s="326"/>
      <c r="N641" s="294"/>
      <c r="O641" s="354">
        <v>33750</v>
      </c>
      <c r="P641" s="1014">
        <v>1</v>
      </c>
      <c r="Q641" s="355">
        <f>O641*P641</f>
        <v>33750</v>
      </c>
      <c r="R641" s="299"/>
      <c r="S641" s="299"/>
      <c r="T641" s="299">
        <v>6750</v>
      </c>
      <c r="U641" s="299"/>
      <c r="V641" s="299"/>
      <c r="W641" s="299">
        <v>13500</v>
      </c>
      <c r="X641" s="1142">
        <v>13500</v>
      </c>
      <c r="Y641" s="1127"/>
      <c r="Z641" s="1127"/>
      <c r="AA641" s="1127"/>
      <c r="AB641" s="1127"/>
      <c r="AC641" s="1127"/>
      <c r="AD641" s="1127"/>
      <c r="AE641" s="1127"/>
      <c r="AF641" s="1127"/>
      <c r="AG641" s="1127"/>
    </row>
    <row r="642" spans="1:33" ht="62.45" customHeight="1">
      <c r="A642" s="1442">
        <v>6322</v>
      </c>
      <c r="B642" s="973" t="s">
        <v>422</v>
      </c>
      <c r="C642" s="824"/>
      <c r="D642" s="326"/>
      <c r="E642" s="294"/>
      <c r="F642" s="1017">
        <v>43227</v>
      </c>
      <c r="G642" s="1017">
        <v>43238</v>
      </c>
      <c r="H642" s="1015" t="s">
        <v>421</v>
      </c>
      <c r="I642" s="294" t="s">
        <v>181</v>
      </c>
      <c r="J642" s="307" t="s">
        <v>423</v>
      </c>
      <c r="K642" s="326"/>
      <c r="L642" s="1237"/>
      <c r="M642" s="326"/>
      <c r="N642" s="294"/>
      <c r="O642" s="354"/>
      <c r="P642" s="1014"/>
      <c r="Q642" s="1700">
        <f>Q643+Q644+Q645+Q646+Q647</f>
        <v>17583</v>
      </c>
      <c r="R642" s="299"/>
      <c r="S642" s="355"/>
      <c r="T642" s="355"/>
      <c r="U642" s="299">
        <v>17583</v>
      </c>
      <c r="V642" s="355"/>
      <c r="W642" s="355"/>
      <c r="X642" s="1137"/>
      <c r="Y642" s="1126"/>
      <c r="Z642" s="1126"/>
      <c r="AA642" s="1126"/>
      <c r="AB642" s="1126"/>
      <c r="AC642" s="1126"/>
      <c r="AD642" s="1126"/>
      <c r="AE642" s="1126"/>
      <c r="AF642" s="1126"/>
      <c r="AG642" s="1126"/>
    </row>
    <row r="643" spans="1:33" ht="141.75">
      <c r="A643" s="1442">
        <v>6322</v>
      </c>
      <c r="B643" s="291" t="s">
        <v>422</v>
      </c>
      <c r="C643" s="824"/>
      <c r="D643" s="326"/>
      <c r="E643" s="294"/>
      <c r="F643" s="1017">
        <v>43227</v>
      </c>
      <c r="G643" s="1017">
        <v>43238</v>
      </c>
      <c r="H643" s="1015" t="s">
        <v>421</v>
      </c>
      <c r="I643" s="294" t="s">
        <v>181</v>
      </c>
      <c r="J643" s="307" t="s">
        <v>423</v>
      </c>
      <c r="K643" s="326" t="s">
        <v>424</v>
      </c>
      <c r="L643" s="1237">
        <v>23174</v>
      </c>
      <c r="M643" s="326"/>
      <c r="N643" s="294"/>
      <c r="O643" s="354">
        <v>3360</v>
      </c>
      <c r="P643" s="1014">
        <v>2</v>
      </c>
      <c r="Q643" s="355">
        <f>O643*P643</f>
        <v>6720</v>
      </c>
      <c r="R643" s="299"/>
      <c r="S643" s="355"/>
      <c r="T643" s="355"/>
      <c r="U643" s="355"/>
      <c r="V643" s="355"/>
      <c r="W643" s="355"/>
      <c r="X643" s="1137"/>
      <c r="Y643" s="1126"/>
      <c r="Z643" s="1126"/>
      <c r="AA643" s="1126"/>
      <c r="AB643" s="1126"/>
      <c r="AC643" s="1126"/>
      <c r="AD643" s="1126"/>
      <c r="AE643" s="1126"/>
      <c r="AF643" s="1126"/>
      <c r="AG643" s="1126"/>
    </row>
    <row r="644" spans="1:33" ht="141.75">
      <c r="A644" s="1442">
        <v>6322</v>
      </c>
      <c r="B644" s="291" t="s">
        <v>422</v>
      </c>
      <c r="C644" s="824"/>
      <c r="D644" s="326"/>
      <c r="E644" s="294"/>
      <c r="F644" s="1017">
        <v>43227</v>
      </c>
      <c r="G644" s="1017">
        <v>43238</v>
      </c>
      <c r="H644" s="1015" t="s">
        <v>421</v>
      </c>
      <c r="I644" s="294" t="s">
        <v>181</v>
      </c>
      <c r="J644" s="307" t="s">
        <v>423</v>
      </c>
      <c r="K644" s="326" t="s">
        <v>425</v>
      </c>
      <c r="L644" s="1237">
        <v>23174</v>
      </c>
      <c r="M644" s="326"/>
      <c r="N644" s="294"/>
      <c r="O644" s="354">
        <v>3200</v>
      </c>
      <c r="P644" s="1014">
        <v>2</v>
      </c>
      <c r="Q644" s="355">
        <f>O644*P644</f>
        <v>6400</v>
      </c>
      <c r="R644" s="299"/>
      <c r="S644" s="355"/>
      <c r="T644" s="355"/>
      <c r="U644" s="355"/>
      <c r="V644" s="355"/>
      <c r="W644" s="355"/>
      <c r="X644" s="1137"/>
      <c r="Y644" s="1126"/>
      <c r="Z644" s="1126"/>
      <c r="AA644" s="1126"/>
      <c r="AB644" s="1126"/>
      <c r="AC644" s="1126"/>
      <c r="AD644" s="1126"/>
      <c r="AE644" s="1126"/>
      <c r="AF644" s="1126"/>
      <c r="AG644" s="1126"/>
    </row>
    <row r="645" spans="1:33" ht="141.75">
      <c r="A645" s="1442">
        <v>6322</v>
      </c>
      <c r="B645" s="291" t="s">
        <v>422</v>
      </c>
      <c r="C645" s="824"/>
      <c r="D645" s="326"/>
      <c r="E645" s="294"/>
      <c r="F645" s="1017">
        <v>43227</v>
      </c>
      <c r="G645" s="1017">
        <v>43238</v>
      </c>
      <c r="H645" s="1015" t="s">
        <v>421</v>
      </c>
      <c r="I645" s="294" t="s">
        <v>181</v>
      </c>
      <c r="J645" s="307" t="s">
        <v>423</v>
      </c>
      <c r="K645" s="326" t="s">
        <v>426</v>
      </c>
      <c r="L645" s="1237">
        <v>23174</v>
      </c>
      <c r="M645" s="326"/>
      <c r="N645" s="294"/>
      <c r="O645" s="354">
        <v>1333.3333333333333</v>
      </c>
      <c r="P645" s="1014">
        <v>2</v>
      </c>
      <c r="Q645" s="355">
        <f>O645*P645</f>
        <v>2666.6666666666665</v>
      </c>
      <c r="R645" s="299"/>
      <c r="S645" s="355"/>
      <c r="T645" s="355"/>
      <c r="U645" s="355"/>
      <c r="V645" s="355"/>
      <c r="W645" s="355"/>
      <c r="X645" s="1137"/>
      <c r="Y645" s="1126"/>
      <c r="Z645" s="1126"/>
      <c r="AA645" s="1126"/>
      <c r="AB645" s="1126"/>
      <c r="AC645" s="1126"/>
      <c r="AD645" s="1126"/>
      <c r="AE645" s="1126"/>
      <c r="AF645" s="1126"/>
      <c r="AG645" s="1126"/>
    </row>
    <row r="646" spans="1:33" ht="141.75">
      <c r="A646" s="1442">
        <v>6322</v>
      </c>
      <c r="B646" s="291" t="s">
        <v>422</v>
      </c>
      <c r="C646" s="824"/>
      <c r="D646" s="326"/>
      <c r="E646" s="294"/>
      <c r="F646" s="1017">
        <v>43227</v>
      </c>
      <c r="G646" s="1017">
        <v>43238</v>
      </c>
      <c r="H646" s="1015" t="s">
        <v>421</v>
      </c>
      <c r="I646" s="294" t="s">
        <v>181</v>
      </c>
      <c r="J646" s="307" t="s">
        <v>423</v>
      </c>
      <c r="K646" s="326" t="s">
        <v>415</v>
      </c>
      <c r="L646" s="1237">
        <v>23173</v>
      </c>
      <c r="M646" s="326"/>
      <c r="N646" s="294"/>
      <c r="O646" s="354">
        <v>166.66666666666666</v>
      </c>
      <c r="P646" s="1014">
        <v>2</v>
      </c>
      <c r="Q646" s="355">
        <f>O646*P646</f>
        <v>333.33333333333331</v>
      </c>
      <c r="R646" s="299"/>
      <c r="S646" s="355"/>
      <c r="T646" s="355"/>
      <c r="U646" s="355"/>
      <c r="V646" s="355"/>
      <c r="W646" s="355"/>
      <c r="X646" s="1137"/>
      <c r="Y646" s="1126"/>
      <c r="Z646" s="1126"/>
      <c r="AA646" s="1126"/>
      <c r="AB646" s="1126"/>
      <c r="AC646" s="1126"/>
      <c r="AD646" s="1126"/>
      <c r="AE646" s="1126"/>
      <c r="AF646" s="1126"/>
      <c r="AG646" s="1126"/>
    </row>
    <row r="647" spans="1:33" ht="141.75">
      <c r="A647" s="1442">
        <v>6322</v>
      </c>
      <c r="B647" s="291" t="s">
        <v>422</v>
      </c>
      <c r="C647" s="824"/>
      <c r="D647" s="326"/>
      <c r="E647" s="294"/>
      <c r="F647" s="1017">
        <v>43227</v>
      </c>
      <c r="G647" s="1017">
        <v>43238</v>
      </c>
      <c r="H647" s="1015" t="s">
        <v>421</v>
      </c>
      <c r="I647" s="294" t="s">
        <v>181</v>
      </c>
      <c r="J647" s="307" t="s">
        <v>423</v>
      </c>
      <c r="K647" s="326" t="s">
        <v>427</v>
      </c>
      <c r="L647" s="1237">
        <v>23173</v>
      </c>
      <c r="M647" s="326"/>
      <c r="N647" s="294"/>
      <c r="O647" s="354">
        <v>1463</v>
      </c>
      <c r="P647" s="1014">
        <v>1</v>
      </c>
      <c r="Q647" s="355">
        <f>O647*P647</f>
        <v>1463</v>
      </c>
      <c r="R647" s="299"/>
      <c r="S647" s="355"/>
      <c r="T647" s="355"/>
      <c r="U647" s="355"/>
      <c r="V647" s="355"/>
      <c r="W647" s="355"/>
      <c r="X647" s="1137"/>
      <c r="Y647" s="1126"/>
      <c r="Z647" s="1126"/>
      <c r="AA647" s="1126"/>
      <c r="AB647" s="1126"/>
      <c r="AC647" s="1126"/>
      <c r="AD647" s="1126"/>
      <c r="AE647" s="1126"/>
      <c r="AF647" s="1126"/>
      <c r="AG647" s="1126"/>
    </row>
    <row r="648" spans="1:33" ht="141.75">
      <c r="A648" s="1398">
        <v>6323</v>
      </c>
      <c r="B648" s="973" t="s">
        <v>428</v>
      </c>
      <c r="C648" s="824" t="s">
        <v>429</v>
      </c>
      <c r="D648" s="326"/>
      <c r="E648" s="294"/>
      <c r="F648" s="1017">
        <v>43264</v>
      </c>
      <c r="G648" s="1017">
        <v>43264</v>
      </c>
      <c r="H648" s="1015" t="s">
        <v>421</v>
      </c>
      <c r="I648" s="294" t="s">
        <v>181</v>
      </c>
      <c r="J648" s="307" t="s">
        <v>423</v>
      </c>
      <c r="K648" s="326"/>
      <c r="L648" s="1237"/>
      <c r="M648" s="326"/>
      <c r="N648" s="294"/>
      <c r="O648" s="354"/>
      <c r="P648" s="1014"/>
      <c r="Q648" s="1700">
        <f>Q649+Q650+Q651</f>
        <v>5666</v>
      </c>
      <c r="R648" s="299"/>
      <c r="S648" s="355"/>
      <c r="T648" s="355"/>
      <c r="U648" s="355"/>
      <c r="V648" s="299">
        <v>1000</v>
      </c>
      <c r="W648" s="299">
        <v>4666</v>
      </c>
      <c r="X648" s="1137"/>
      <c r="Y648" s="1126"/>
      <c r="Z648" s="1126"/>
      <c r="AA648" s="1126"/>
      <c r="AB648" s="1126"/>
      <c r="AC648" s="1126"/>
      <c r="AD648" s="1126"/>
      <c r="AE648" s="1126"/>
      <c r="AF648" s="1126"/>
      <c r="AG648" s="1126"/>
    </row>
    <row r="649" spans="1:33" ht="141.75">
      <c r="A649" s="1398">
        <v>6323</v>
      </c>
      <c r="B649" s="291" t="s">
        <v>428</v>
      </c>
      <c r="C649" s="824" t="s">
        <v>429</v>
      </c>
      <c r="D649" s="326"/>
      <c r="E649" s="294"/>
      <c r="F649" s="1017">
        <v>43264</v>
      </c>
      <c r="G649" s="1017">
        <v>43264</v>
      </c>
      <c r="H649" s="1015" t="s">
        <v>421</v>
      </c>
      <c r="I649" s="294" t="s">
        <v>181</v>
      </c>
      <c r="J649" s="307" t="s">
        <v>423</v>
      </c>
      <c r="K649" s="326" t="s">
        <v>418</v>
      </c>
      <c r="L649" s="1237">
        <v>23173</v>
      </c>
      <c r="M649" s="326"/>
      <c r="N649" s="294"/>
      <c r="O649" s="354">
        <v>666.66666666666663</v>
      </c>
      <c r="P649" s="1014">
        <v>1</v>
      </c>
      <c r="Q649" s="355">
        <f>O649*P649</f>
        <v>666.66666666666663</v>
      </c>
      <c r="R649" s="299"/>
      <c r="S649" s="355"/>
      <c r="T649" s="355"/>
      <c r="U649" s="355"/>
      <c r="V649" s="355"/>
      <c r="W649" s="355"/>
      <c r="X649" s="1137"/>
      <c r="Y649" s="1126"/>
      <c r="Z649" s="1126"/>
      <c r="AA649" s="1126"/>
      <c r="AB649" s="1126"/>
      <c r="AC649" s="1126"/>
      <c r="AD649" s="1126"/>
      <c r="AE649" s="1126"/>
      <c r="AF649" s="1126"/>
      <c r="AG649" s="1126"/>
    </row>
    <row r="650" spans="1:33" ht="141.75">
      <c r="A650" s="1398">
        <v>6323</v>
      </c>
      <c r="B650" s="291" t="s">
        <v>428</v>
      </c>
      <c r="C650" s="824" t="s">
        <v>429</v>
      </c>
      <c r="D650" s="326"/>
      <c r="E650" s="294"/>
      <c r="F650" s="1017">
        <v>43264</v>
      </c>
      <c r="G650" s="1017">
        <v>43264</v>
      </c>
      <c r="H650" s="1015" t="s">
        <v>421</v>
      </c>
      <c r="I650" s="294" t="s">
        <v>181</v>
      </c>
      <c r="J650" s="307" t="s">
        <v>423</v>
      </c>
      <c r="K650" s="326" t="s">
        <v>415</v>
      </c>
      <c r="L650" s="1237">
        <v>23173</v>
      </c>
      <c r="M650" s="326"/>
      <c r="N650" s="294"/>
      <c r="O650" s="354">
        <v>333.33333333333331</v>
      </c>
      <c r="P650" s="1014">
        <v>1</v>
      </c>
      <c r="Q650" s="355">
        <f>O650*P650</f>
        <v>333.33333333333331</v>
      </c>
      <c r="R650" s="299"/>
      <c r="S650" s="355"/>
      <c r="T650" s="355"/>
      <c r="U650" s="355"/>
      <c r="V650" s="355"/>
      <c r="W650" s="355"/>
      <c r="X650" s="1137"/>
      <c r="Y650" s="1126"/>
      <c r="Z650" s="1126"/>
      <c r="AA650" s="1126"/>
      <c r="AB650" s="1126"/>
      <c r="AC650" s="1126"/>
      <c r="AD650" s="1126"/>
      <c r="AE650" s="1126"/>
      <c r="AF650" s="1126"/>
      <c r="AG650" s="1126"/>
    </row>
    <row r="651" spans="1:33" ht="141.75">
      <c r="A651" s="1398">
        <v>6323</v>
      </c>
      <c r="B651" s="291" t="s">
        <v>428</v>
      </c>
      <c r="C651" s="824" t="s">
        <v>429</v>
      </c>
      <c r="D651" s="326"/>
      <c r="E651" s="294"/>
      <c r="F651" s="1017">
        <v>43264</v>
      </c>
      <c r="G651" s="1017">
        <v>43264</v>
      </c>
      <c r="H651" s="1015" t="s">
        <v>421</v>
      </c>
      <c r="I651" s="294" t="s">
        <v>181</v>
      </c>
      <c r="J651" s="307" t="s">
        <v>423</v>
      </c>
      <c r="K651" s="326" t="s">
        <v>430</v>
      </c>
      <c r="L651" s="1237">
        <v>23173</v>
      </c>
      <c r="M651" s="326"/>
      <c r="N651" s="294"/>
      <c r="O651" s="354">
        <v>23.33</v>
      </c>
      <c r="P651" s="1014">
        <v>200</v>
      </c>
      <c r="Q651" s="355">
        <f>O651*P651</f>
        <v>4666</v>
      </c>
      <c r="R651" s="299"/>
      <c r="S651" s="355"/>
      <c r="T651" s="355"/>
      <c r="U651" s="355"/>
      <c r="V651" s="355"/>
      <c r="W651" s="355"/>
      <c r="X651" s="1137"/>
      <c r="Y651" s="1126"/>
      <c r="Z651" s="1126"/>
      <c r="AA651" s="1126"/>
      <c r="AB651" s="1126"/>
      <c r="AC651" s="1126"/>
      <c r="AD651" s="1126"/>
      <c r="AE651" s="1126"/>
      <c r="AF651" s="1126"/>
      <c r="AG651" s="1126"/>
    </row>
    <row r="652" spans="1:33" ht="141.75">
      <c r="A652" s="294">
        <v>6324</v>
      </c>
      <c r="B652" s="973" t="s">
        <v>431</v>
      </c>
      <c r="C652" s="824" t="s">
        <v>432</v>
      </c>
      <c r="D652" s="326"/>
      <c r="E652" s="294"/>
      <c r="F652" s="1017">
        <v>43255</v>
      </c>
      <c r="G652" s="1017">
        <v>43287</v>
      </c>
      <c r="H652" s="1015" t="s">
        <v>421</v>
      </c>
      <c r="I652" s="294" t="s">
        <v>181</v>
      </c>
      <c r="J652" s="307" t="s">
        <v>423</v>
      </c>
      <c r="K652" s="326"/>
      <c r="L652" s="1237"/>
      <c r="M652" s="326"/>
      <c r="N652" s="294"/>
      <c r="O652" s="354"/>
      <c r="P652" s="1014"/>
      <c r="Q652" s="1700">
        <f>Q653+Q654+Q655+Q656+Q657</f>
        <v>33345.979999999996</v>
      </c>
      <c r="R652" s="299"/>
      <c r="S652" s="355"/>
      <c r="T652" s="355"/>
      <c r="U652" s="299"/>
      <c r="V652" s="299">
        <v>19119.986666666664</v>
      </c>
      <c r="W652" s="299">
        <v>9559.993333333332</v>
      </c>
      <c r="X652" s="1142">
        <v>4666</v>
      </c>
      <c r="Y652" s="1126"/>
      <c r="Z652" s="1126"/>
      <c r="AA652" s="1126"/>
      <c r="AB652" s="1126"/>
      <c r="AC652" s="1126"/>
      <c r="AD652" s="1126"/>
      <c r="AE652" s="1126"/>
      <c r="AF652" s="1126"/>
      <c r="AG652" s="1126"/>
    </row>
    <row r="653" spans="1:33" ht="141.75">
      <c r="A653" s="294">
        <v>6324</v>
      </c>
      <c r="B653" s="291" t="s">
        <v>431</v>
      </c>
      <c r="C653" s="824" t="s">
        <v>432</v>
      </c>
      <c r="D653" s="326"/>
      <c r="E653" s="294"/>
      <c r="F653" s="1017">
        <v>43255</v>
      </c>
      <c r="G653" s="1017">
        <v>43287</v>
      </c>
      <c r="H653" s="1015" t="s">
        <v>421</v>
      </c>
      <c r="I653" s="294" t="s">
        <v>181</v>
      </c>
      <c r="J653" s="307" t="s">
        <v>423</v>
      </c>
      <c r="K653" s="326" t="s">
        <v>433</v>
      </c>
      <c r="L653" s="1237">
        <v>23174</v>
      </c>
      <c r="M653" s="326"/>
      <c r="N653" s="294"/>
      <c r="O653" s="354">
        <v>3360</v>
      </c>
      <c r="P653" s="1014">
        <v>3</v>
      </c>
      <c r="Q653" s="355">
        <f>O653*P653</f>
        <v>10080</v>
      </c>
      <c r="R653" s="299"/>
      <c r="S653" s="355"/>
      <c r="T653" s="355"/>
      <c r="U653" s="355"/>
      <c r="V653" s="355"/>
      <c r="W653" s="355"/>
      <c r="X653" s="1137"/>
      <c r="Y653" s="1126"/>
      <c r="Z653" s="1126"/>
      <c r="AA653" s="1126"/>
      <c r="AB653" s="1126"/>
      <c r="AC653" s="1126"/>
      <c r="AD653" s="1126"/>
      <c r="AE653" s="1126"/>
      <c r="AF653" s="1126"/>
      <c r="AG653" s="1126"/>
    </row>
    <row r="654" spans="1:33" ht="141.75">
      <c r="A654" s="294">
        <v>6324</v>
      </c>
      <c r="B654" s="291" t="s">
        <v>431</v>
      </c>
      <c r="C654" s="824" t="s">
        <v>432</v>
      </c>
      <c r="D654" s="326"/>
      <c r="E654" s="294"/>
      <c r="F654" s="1017">
        <v>43255</v>
      </c>
      <c r="G654" s="1017">
        <v>43287</v>
      </c>
      <c r="H654" s="1015" t="s">
        <v>421</v>
      </c>
      <c r="I654" s="294" t="s">
        <v>181</v>
      </c>
      <c r="J654" s="307" t="s">
        <v>423</v>
      </c>
      <c r="K654" s="326" t="s">
        <v>434</v>
      </c>
      <c r="L654" s="1237">
        <v>23174</v>
      </c>
      <c r="M654" s="326"/>
      <c r="N654" s="294"/>
      <c r="O654" s="354">
        <v>3200</v>
      </c>
      <c r="P654" s="1014">
        <v>3</v>
      </c>
      <c r="Q654" s="355">
        <f>O654*P654</f>
        <v>9600</v>
      </c>
      <c r="R654" s="299"/>
      <c r="S654" s="355"/>
      <c r="T654" s="355"/>
      <c r="U654" s="355"/>
      <c r="V654" s="355"/>
      <c r="W654" s="355"/>
      <c r="X654" s="1137"/>
      <c r="Y654" s="1126"/>
      <c r="Z654" s="1126"/>
      <c r="AA654" s="1126"/>
      <c r="AB654" s="1126"/>
      <c r="AC654" s="1126"/>
      <c r="AD654" s="1126"/>
      <c r="AE654" s="1126"/>
      <c r="AF654" s="1126"/>
      <c r="AG654" s="1126"/>
    </row>
    <row r="655" spans="1:33" ht="141.75">
      <c r="A655" s="294">
        <v>6324</v>
      </c>
      <c r="B655" s="291" t="s">
        <v>431</v>
      </c>
      <c r="C655" s="824" t="s">
        <v>432</v>
      </c>
      <c r="D655" s="326"/>
      <c r="E655" s="294"/>
      <c r="F655" s="1017">
        <v>43255</v>
      </c>
      <c r="G655" s="1017">
        <v>43287</v>
      </c>
      <c r="H655" s="1015" t="s">
        <v>421</v>
      </c>
      <c r="I655" s="294" t="s">
        <v>181</v>
      </c>
      <c r="J655" s="307" t="s">
        <v>423</v>
      </c>
      <c r="K655" s="326" t="s">
        <v>435</v>
      </c>
      <c r="L655" s="1237">
        <v>23174</v>
      </c>
      <c r="M655" s="326"/>
      <c r="N655" s="294"/>
      <c r="O655" s="354">
        <v>1333.3333333333333</v>
      </c>
      <c r="P655" s="1014">
        <v>3</v>
      </c>
      <c r="Q655" s="355">
        <f>O655*P655</f>
        <v>4000</v>
      </c>
      <c r="R655" s="299"/>
      <c r="S655" s="355"/>
      <c r="T655" s="355"/>
      <c r="U655" s="355"/>
      <c r="V655" s="355"/>
      <c r="W655" s="355"/>
      <c r="X655" s="1137"/>
      <c r="Y655" s="1126"/>
      <c r="Z655" s="1126"/>
      <c r="AA655" s="1126"/>
      <c r="AB655" s="1126"/>
      <c r="AC655" s="1126"/>
      <c r="AD655" s="1126"/>
      <c r="AE655" s="1126"/>
      <c r="AF655" s="1126"/>
      <c r="AG655" s="1126"/>
    </row>
    <row r="656" spans="1:33" ht="141.75">
      <c r="A656" s="294">
        <v>6324</v>
      </c>
      <c r="B656" s="291" t="s">
        <v>431</v>
      </c>
      <c r="C656" s="824" t="s">
        <v>432</v>
      </c>
      <c r="D656" s="326"/>
      <c r="E656" s="294"/>
      <c r="F656" s="1017">
        <v>43255</v>
      </c>
      <c r="G656" s="1017">
        <v>43287</v>
      </c>
      <c r="H656" s="1015" t="s">
        <v>421</v>
      </c>
      <c r="I656" s="294" t="s">
        <v>181</v>
      </c>
      <c r="J656" s="307" t="s">
        <v>423</v>
      </c>
      <c r="K656" s="326" t="s">
        <v>415</v>
      </c>
      <c r="L656" s="1237">
        <v>23173</v>
      </c>
      <c r="M656" s="326"/>
      <c r="N656" s="294"/>
      <c r="O656" s="354">
        <v>1666.66</v>
      </c>
      <c r="P656" s="1014">
        <v>3</v>
      </c>
      <c r="Q656" s="355">
        <f>O656*P656</f>
        <v>4999.9800000000005</v>
      </c>
      <c r="R656" s="299"/>
      <c r="S656" s="355"/>
      <c r="T656" s="355"/>
      <c r="U656" s="355"/>
      <c r="V656" s="355"/>
      <c r="W656" s="355"/>
      <c r="X656" s="1137"/>
      <c r="Y656" s="1126"/>
      <c r="Z656" s="1126"/>
      <c r="AA656" s="1126"/>
      <c r="AB656" s="1126"/>
      <c r="AC656" s="1126"/>
      <c r="AD656" s="1126"/>
      <c r="AE656" s="1126"/>
      <c r="AF656" s="1126"/>
      <c r="AG656" s="1126"/>
    </row>
    <row r="657" spans="1:33" ht="141.75">
      <c r="A657" s="294">
        <v>6324</v>
      </c>
      <c r="B657" s="291" t="s">
        <v>431</v>
      </c>
      <c r="C657" s="824" t="s">
        <v>432</v>
      </c>
      <c r="D657" s="326"/>
      <c r="E657" s="294"/>
      <c r="F657" s="1017">
        <v>43255</v>
      </c>
      <c r="G657" s="1017">
        <v>43287</v>
      </c>
      <c r="H657" s="1015" t="s">
        <v>421</v>
      </c>
      <c r="I657" s="294" t="s">
        <v>181</v>
      </c>
      <c r="J657" s="307" t="s">
        <v>423</v>
      </c>
      <c r="K657" s="326" t="s">
        <v>436</v>
      </c>
      <c r="L657" s="1237">
        <v>23173</v>
      </c>
      <c r="M657" s="326"/>
      <c r="N657" s="294"/>
      <c r="O657" s="354">
        <v>23.33</v>
      </c>
      <c r="P657" s="1014">
        <v>200</v>
      </c>
      <c r="Q657" s="355">
        <f>O657*P657</f>
        <v>4666</v>
      </c>
      <c r="R657" s="913"/>
      <c r="S657" s="1111"/>
      <c r="T657" s="1111"/>
      <c r="U657" s="1111"/>
      <c r="V657" s="1111"/>
      <c r="W657" s="1111"/>
      <c r="X657" s="1143"/>
      <c r="Y657" s="1126"/>
      <c r="Z657" s="1126"/>
      <c r="AA657" s="1126"/>
      <c r="AB657" s="1126"/>
      <c r="AC657" s="1126"/>
      <c r="AD657" s="1126"/>
      <c r="AE657" s="1126"/>
      <c r="AF657" s="1126"/>
      <c r="AG657" s="1126"/>
    </row>
    <row r="658" spans="1:33" ht="20.25">
      <c r="A658" s="1554" t="s">
        <v>967</v>
      </c>
      <c r="B658" s="1492"/>
      <c r="C658" s="1516"/>
      <c r="D658" s="1467"/>
      <c r="E658" s="1467"/>
      <c r="F658" s="1467"/>
      <c r="G658" s="1467"/>
      <c r="H658" s="1467"/>
      <c r="I658" s="1467"/>
      <c r="J658" s="1492"/>
      <c r="K658" s="1551"/>
      <c r="L658" s="1467"/>
      <c r="M658" s="1467"/>
      <c r="N658" s="1467"/>
      <c r="O658" s="1467"/>
      <c r="P658" s="1468"/>
      <c r="Q658" s="1135">
        <f>Q7+Q247+Q397+Q492+Q606+Q610</f>
        <v>3000000.219885</v>
      </c>
      <c r="R658" s="1136"/>
      <c r="S658" s="1135">
        <f t="shared" ref="S658:AG658" si="169">S7+S247+S397+S492+S606+S610</f>
        <v>0</v>
      </c>
      <c r="T658" s="1135">
        <f t="shared" si="169"/>
        <v>205393.73300000001</v>
      </c>
      <c r="U658" s="1135">
        <f t="shared" si="169"/>
        <v>604711.52746833337</v>
      </c>
      <c r="V658" s="1135">
        <f t="shared" si="169"/>
        <v>567999.98250000004</v>
      </c>
      <c r="W658" s="1135">
        <f t="shared" si="169"/>
        <v>346343.06145833334</v>
      </c>
      <c r="X658" s="1135">
        <f t="shared" si="169"/>
        <v>184616.73820833332</v>
      </c>
      <c r="Y658" s="1135">
        <f t="shared" si="169"/>
        <v>250105.34058333334</v>
      </c>
      <c r="Z658" s="1135">
        <f t="shared" si="169"/>
        <v>27600</v>
      </c>
      <c r="AA658" s="1135">
        <f t="shared" si="169"/>
        <v>11640</v>
      </c>
      <c r="AB658" s="1135">
        <f t="shared" si="169"/>
        <v>500</v>
      </c>
      <c r="AC658" s="1135">
        <f t="shared" si="169"/>
        <v>500</v>
      </c>
      <c r="AD658" s="1135">
        <f t="shared" si="169"/>
        <v>10200</v>
      </c>
      <c r="AE658" s="1135">
        <f t="shared" si="169"/>
        <v>500</v>
      </c>
      <c r="AF658" s="1207">
        <f t="shared" si="169"/>
        <v>500</v>
      </c>
      <c r="AG658" s="1135">
        <f t="shared" si="169"/>
        <v>3000000.2232183334</v>
      </c>
    </row>
    <row r="659" spans="1:33">
      <c r="AE659" s="357"/>
      <c r="AG659" s="357"/>
    </row>
    <row r="660" spans="1:33">
      <c r="AE660" s="357"/>
      <c r="AG660" s="357"/>
    </row>
    <row r="661" spans="1:33">
      <c r="AE661" s="357"/>
      <c r="AG661" s="357"/>
    </row>
    <row r="662" spans="1:33">
      <c r="AG662" s="574"/>
    </row>
    <row r="663" spans="1:33">
      <c r="AG663" s="574"/>
    </row>
    <row r="664" spans="1:33">
      <c r="AG664" s="574"/>
    </row>
    <row r="665" spans="1:33">
      <c r="AG665" s="574"/>
    </row>
    <row r="666" spans="1:33">
      <c r="AG666" s="574"/>
    </row>
    <row r="667" spans="1:33">
      <c r="AG667" s="574"/>
    </row>
    <row r="668" spans="1:33">
      <c r="AG668" s="574"/>
    </row>
    <row r="669" spans="1:33">
      <c r="AG669" s="574"/>
    </row>
    <row r="670" spans="1:33">
      <c r="AG670" s="574"/>
    </row>
    <row r="671" spans="1:33">
      <c r="AG671" s="574"/>
    </row>
    <row r="672" spans="1:33">
      <c r="AG672" s="574"/>
    </row>
    <row r="673" spans="33:33">
      <c r="AG673" s="574"/>
    </row>
    <row r="674" spans="33:33">
      <c r="AG674" s="574"/>
    </row>
    <row r="675" spans="33:33">
      <c r="AG675" s="574"/>
    </row>
    <row r="676" spans="33:33">
      <c r="AG676" s="574"/>
    </row>
    <row r="677" spans="33:33">
      <c r="AG677" s="574"/>
    </row>
    <row r="678" spans="33:33">
      <c r="AG678" s="574"/>
    </row>
    <row r="679" spans="33:33">
      <c r="AG679" s="574"/>
    </row>
    <row r="680" spans="33:33">
      <c r="AG680" s="574"/>
    </row>
    <row r="681" spans="33:33">
      <c r="AG681" s="574"/>
    </row>
    <row r="682" spans="33:33">
      <c r="AG682" s="574"/>
    </row>
    <row r="683" spans="33:33">
      <c r="AG683" s="574"/>
    </row>
    <row r="684" spans="33:33">
      <c r="AG684" s="574"/>
    </row>
    <row r="685" spans="33:33">
      <c r="AG685" s="574"/>
    </row>
    <row r="686" spans="33:33">
      <c r="AG686" s="574"/>
    </row>
    <row r="687" spans="33:33">
      <c r="AG687" s="574"/>
    </row>
    <row r="688" spans="33:33">
      <c r="AG688" s="574"/>
    </row>
    <row r="689" spans="33:33">
      <c r="AG689" s="574"/>
    </row>
    <row r="690" spans="33:33">
      <c r="AG690" s="574"/>
    </row>
    <row r="691" spans="33:33">
      <c r="AG691" s="574"/>
    </row>
    <row r="692" spans="33:33">
      <c r="AG692" s="574"/>
    </row>
    <row r="693" spans="33:33">
      <c r="AG693" s="574"/>
    </row>
    <row r="694" spans="33:33">
      <c r="AG694" s="574"/>
    </row>
    <row r="695" spans="33:33">
      <c r="AG695" s="574"/>
    </row>
    <row r="696" spans="33:33">
      <c r="AG696" s="574"/>
    </row>
    <row r="697" spans="33:33">
      <c r="AG697" s="574"/>
    </row>
    <row r="698" spans="33:33">
      <c r="AG698" s="574"/>
    </row>
    <row r="699" spans="33:33">
      <c r="AG699" s="574"/>
    </row>
    <row r="700" spans="33:33">
      <c r="AG700" s="574"/>
    </row>
    <row r="701" spans="33:33">
      <c r="AG701" s="574"/>
    </row>
    <row r="702" spans="33:33">
      <c r="AG702" s="574"/>
    </row>
    <row r="703" spans="33:33">
      <c r="AG703" s="574"/>
    </row>
    <row r="704" spans="33:33">
      <c r="AG704" s="574"/>
    </row>
    <row r="705" spans="33:33">
      <c r="AG705" s="574"/>
    </row>
    <row r="706" spans="33:33">
      <c r="AG706" s="574"/>
    </row>
    <row r="707" spans="33:33">
      <c r="AG707" s="574"/>
    </row>
    <row r="708" spans="33:33">
      <c r="AG708" s="574"/>
    </row>
    <row r="709" spans="33:33">
      <c r="AG709" s="574"/>
    </row>
    <row r="710" spans="33:33">
      <c r="AG710" s="574"/>
    </row>
    <row r="711" spans="33:33">
      <c r="AG711" s="574"/>
    </row>
    <row r="712" spans="33:33">
      <c r="AG712" s="574"/>
    </row>
    <row r="713" spans="33:33">
      <c r="AG713" s="574"/>
    </row>
    <row r="714" spans="33:33">
      <c r="AG714" s="574"/>
    </row>
    <row r="715" spans="33:33">
      <c r="AG715" s="574"/>
    </row>
    <row r="716" spans="33:33">
      <c r="AG716" s="574"/>
    </row>
    <row r="717" spans="33:33">
      <c r="AG717" s="574"/>
    </row>
    <row r="718" spans="33:33">
      <c r="AG718" s="574"/>
    </row>
    <row r="719" spans="33:33">
      <c r="AG719" s="574"/>
    </row>
    <row r="720" spans="33:33">
      <c r="AG720" s="574"/>
    </row>
    <row r="721" spans="33:33">
      <c r="AG721" s="574"/>
    </row>
    <row r="722" spans="33:33">
      <c r="AG722" s="574"/>
    </row>
    <row r="723" spans="33:33">
      <c r="AG723" s="574"/>
    </row>
    <row r="724" spans="33:33">
      <c r="AG724" s="574"/>
    </row>
    <row r="725" spans="33:33">
      <c r="AG725" s="574"/>
    </row>
    <row r="726" spans="33:33">
      <c r="AG726" s="574"/>
    </row>
  </sheetData>
  <mergeCells count="4">
    <mergeCell ref="A2:AG2"/>
    <mergeCell ref="F5:G5"/>
    <mergeCell ref="I5:J5"/>
    <mergeCell ref="S5:Y5"/>
  </mergeCells>
  <conditionalFormatting sqref="F541 G557:G560">
    <cfRule type="cellIs" dxfId="438" priority="68" operator="lessThanOrEqual">
      <formula>0</formula>
    </cfRule>
  </conditionalFormatting>
  <conditionalFormatting sqref="G541">
    <cfRule type="cellIs" dxfId="437" priority="67" operator="lessThanOrEqual">
      <formula>0</formula>
    </cfRule>
  </conditionalFormatting>
  <conditionalFormatting sqref="G541">
    <cfRule type="cellIs" dxfId="436" priority="66" operator="lessThanOrEqual">
      <formula>0</formula>
    </cfRule>
  </conditionalFormatting>
  <conditionalFormatting sqref="F557">
    <cfRule type="cellIs" dxfId="435" priority="59" operator="lessThanOrEqual">
      <formula>0</formula>
    </cfRule>
  </conditionalFormatting>
  <conditionalFormatting sqref="F559">
    <cfRule type="cellIs" dxfId="434" priority="58" operator="lessThanOrEqual">
      <formula>0</formula>
    </cfRule>
  </conditionalFormatting>
  <conditionalFormatting sqref="F549">
    <cfRule type="cellIs" dxfId="433" priority="65" operator="lessThanOrEqual">
      <formula>0</formula>
    </cfRule>
  </conditionalFormatting>
  <conditionalFormatting sqref="F551">
    <cfRule type="cellIs" dxfId="432" priority="64" operator="lessThanOrEqual">
      <formula>0</formula>
    </cfRule>
  </conditionalFormatting>
  <conditionalFormatting sqref="F553">
    <cfRule type="cellIs" dxfId="431" priority="63" operator="lessThanOrEqual">
      <formula>0</formula>
    </cfRule>
  </conditionalFormatting>
  <conditionalFormatting sqref="F555">
    <cfRule type="cellIs" dxfId="430" priority="62" operator="lessThanOrEqual">
      <formula>0</formula>
    </cfRule>
  </conditionalFormatting>
  <conditionalFormatting sqref="F560">
    <cfRule type="cellIs" dxfId="429" priority="61" operator="lessThanOrEqual">
      <formula>0</formula>
    </cfRule>
  </conditionalFormatting>
  <conditionalFormatting sqref="F558">
    <cfRule type="cellIs" dxfId="428" priority="60" operator="lessThanOrEqual">
      <formula>0</formula>
    </cfRule>
  </conditionalFormatting>
  <conditionalFormatting sqref="F563">
    <cfRule type="cellIs" dxfId="427" priority="57" operator="lessThanOrEqual">
      <formula>0</formula>
    </cfRule>
  </conditionalFormatting>
  <conditionalFormatting sqref="F572">
    <cfRule type="cellIs" dxfId="426" priority="55" operator="lessThanOrEqual">
      <formula>0</formula>
    </cfRule>
  </conditionalFormatting>
  <conditionalFormatting sqref="F566">
    <cfRule type="cellIs" dxfId="425" priority="56" operator="lessThanOrEqual">
      <formula>0</formula>
    </cfRule>
  </conditionalFormatting>
  <conditionalFormatting sqref="F573">
    <cfRule type="cellIs" dxfId="424" priority="54" operator="lessThanOrEqual">
      <formula>0</formula>
    </cfRule>
  </conditionalFormatting>
  <conditionalFormatting sqref="F575">
    <cfRule type="cellIs" dxfId="423" priority="53" operator="lessThanOrEqual">
      <formula>0</formula>
    </cfRule>
  </conditionalFormatting>
  <conditionalFormatting sqref="G542">
    <cfRule type="cellIs" dxfId="422" priority="50" operator="lessThanOrEqual">
      <formula>0</formula>
    </cfRule>
  </conditionalFormatting>
  <conditionalFormatting sqref="G542">
    <cfRule type="cellIs" dxfId="421" priority="49" operator="lessThanOrEqual">
      <formula>0</formula>
    </cfRule>
  </conditionalFormatting>
  <conditionalFormatting sqref="F548">
    <cfRule type="cellIs" dxfId="420" priority="48" operator="lessThanOrEqual">
      <formula>0</formula>
    </cfRule>
  </conditionalFormatting>
  <conditionalFormatting sqref="F570">
    <cfRule type="cellIs" dxfId="419" priority="52" operator="lessThanOrEqual">
      <formula>0</formula>
    </cfRule>
  </conditionalFormatting>
  <conditionalFormatting sqref="G549">
    <cfRule type="cellIs" dxfId="418" priority="45" operator="lessThanOrEqual">
      <formula>0</formula>
    </cfRule>
  </conditionalFormatting>
  <conditionalFormatting sqref="G548">
    <cfRule type="cellIs" dxfId="417" priority="47" operator="lessThanOrEqual">
      <formula>0</formula>
    </cfRule>
  </conditionalFormatting>
  <conditionalFormatting sqref="G548">
    <cfRule type="cellIs" dxfId="416" priority="46" operator="lessThanOrEqual">
      <formula>0</formula>
    </cfRule>
  </conditionalFormatting>
  <conditionalFormatting sqref="F542">
    <cfRule type="cellIs" dxfId="415" priority="51" operator="lessThanOrEqual">
      <formula>0</formula>
    </cfRule>
  </conditionalFormatting>
  <conditionalFormatting sqref="G549">
    <cfRule type="cellIs" dxfId="414" priority="44" operator="lessThanOrEqual">
      <formula>0</formula>
    </cfRule>
  </conditionalFormatting>
  <conditionalFormatting sqref="F550">
    <cfRule type="cellIs" dxfId="413" priority="43" operator="lessThanOrEqual">
      <formula>0</formula>
    </cfRule>
  </conditionalFormatting>
  <conditionalFormatting sqref="G550">
    <cfRule type="cellIs" dxfId="412" priority="42" operator="lessThanOrEqual">
      <formula>0</formula>
    </cfRule>
  </conditionalFormatting>
  <conditionalFormatting sqref="G550">
    <cfRule type="cellIs" dxfId="411" priority="41" operator="lessThanOrEqual">
      <formula>0</formula>
    </cfRule>
  </conditionalFormatting>
  <conditionalFormatting sqref="G551">
    <cfRule type="cellIs" dxfId="410" priority="40" operator="lessThanOrEqual">
      <formula>0</formula>
    </cfRule>
  </conditionalFormatting>
  <conditionalFormatting sqref="G551">
    <cfRule type="cellIs" dxfId="409" priority="39" operator="lessThanOrEqual">
      <formula>0</formula>
    </cfRule>
  </conditionalFormatting>
  <conditionalFormatting sqref="G553">
    <cfRule type="cellIs" dxfId="408" priority="38" operator="lessThanOrEqual">
      <formula>0</formula>
    </cfRule>
  </conditionalFormatting>
  <conditionalFormatting sqref="G553">
    <cfRule type="cellIs" dxfId="407" priority="37" operator="lessThanOrEqual">
      <formula>0</formula>
    </cfRule>
  </conditionalFormatting>
  <conditionalFormatting sqref="G555">
    <cfRule type="cellIs" dxfId="406" priority="36" operator="lessThanOrEqual">
      <formula>0</formula>
    </cfRule>
  </conditionalFormatting>
  <conditionalFormatting sqref="G555">
    <cfRule type="cellIs" dxfId="405" priority="35" operator="lessThanOrEqual">
      <formula>0</formula>
    </cfRule>
  </conditionalFormatting>
  <conditionalFormatting sqref="F562">
    <cfRule type="cellIs" dxfId="404" priority="34" operator="lessThanOrEqual">
      <formula>0</formula>
    </cfRule>
  </conditionalFormatting>
  <conditionalFormatting sqref="G570">
    <cfRule type="cellIs" dxfId="403" priority="26" operator="lessThanOrEqual">
      <formula>0</formula>
    </cfRule>
  </conditionalFormatting>
  <conditionalFormatting sqref="G562">
    <cfRule type="cellIs" dxfId="402" priority="33" operator="lessThanOrEqual">
      <formula>0</formula>
    </cfRule>
  </conditionalFormatting>
  <conditionalFormatting sqref="G563">
    <cfRule type="cellIs" dxfId="401" priority="32" operator="lessThanOrEqual">
      <formula>0</formula>
    </cfRule>
  </conditionalFormatting>
  <conditionalFormatting sqref="F564:F565">
    <cfRule type="cellIs" dxfId="400" priority="31" operator="lessThanOrEqual">
      <formula>0</formula>
    </cfRule>
  </conditionalFormatting>
  <conditionalFormatting sqref="G564:G565">
    <cfRule type="cellIs" dxfId="399" priority="30" operator="lessThanOrEqual">
      <formula>0</formula>
    </cfRule>
  </conditionalFormatting>
  <conditionalFormatting sqref="G566">
    <cfRule type="cellIs" dxfId="398" priority="29" operator="lessThanOrEqual">
      <formula>0</formula>
    </cfRule>
  </conditionalFormatting>
  <conditionalFormatting sqref="F567:F568">
    <cfRule type="cellIs" dxfId="397" priority="28" operator="lessThanOrEqual">
      <formula>0</formula>
    </cfRule>
  </conditionalFormatting>
  <conditionalFormatting sqref="G567:G568">
    <cfRule type="cellIs" dxfId="396" priority="27" operator="lessThanOrEqual">
      <formula>0</formula>
    </cfRule>
  </conditionalFormatting>
  <conditionalFormatting sqref="G572:G573">
    <cfRule type="cellIs" dxfId="395" priority="25" operator="lessThanOrEqual">
      <formula>0</formula>
    </cfRule>
  </conditionalFormatting>
  <conditionalFormatting sqref="F576">
    <cfRule type="cellIs" dxfId="394" priority="23" operator="lessThanOrEqual">
      <formula>0</formula>
    </cfRule>
  </conditionalFormatting>
  <conditionalFormatting sqref="G575:G576">
    <cfRule type="cellIs" dxfId="393" priority="24" operator="lessThanOrEqual">
      <formula>0</formula>
    </cfRule>
  </conditionalFormatting>
  <conditionalFormatting sqref="F580">
    <cfRule type="cellIs" dxfId="392" priority="19" operator="lessThanOrEqual">
      <formula>0</formula>
    </cfRule>
  </conditionalFormatting>
  <conditionalFormatting sqref="F577:F579">
    <cfRule type="cellIs" dxfId="391" priority="22" operator="lessThanOrEqual">
      <formula>0</formula>
    </cfRule>
  </conditionalFormatting>
  <conditionalFormatting sqref="G580">
    <cfRule type="cellIs" dxfId="390" priority="20" operator="lessThanOrEqual">
      <formula>0</formula>
    </cfRule>
  </conditionalFormatting>
  <conditionalFormatting sqref="F543">
    <cfRule type="cellIs" dxfId="389" priority="16" operator="lessThanOrEqual">
      <formula>0</formula>
    </cfRule>
  </conditionalFormatting>
  <conditionalFormatting sqref="G577:G579">
    <cfRule type="cellIs" dxfId="388" priority="21" operator="lessThanOrEqual">
      <formula>0</formula>
    </cfRule>
  </conditionalFormatting>
  <conditionalFormatting sqref="F569">
    <cfRule type="cellIs" dxfId="387" priority="18" operator="lessThanOrEqual">
      <formula>0</formula>
    </cfRule>
  </conditionalFormatting>
  <conditionalFormatting sqref="G569">
    <cfRule type="cellIs" dxfId="386" priority="17" operator="lessThanOrEqual">
      <formula>0</formula>
    </cfRule>
  </conditionalFormatting>
  <conditionalFormatting sqref="G543">
    <cfRule type="cellIs" dxfId="385" priority="15" operator="lessThanOrEqual">
      <formula>0</formula>
    </cfRule>
  </conditionalFormatting>
  <conditionalFormatting sqref="G543">
    <cfRule type="cellIs" dxfId="384" priority="14" operator="lessThanOrEqual">
      <formula>0</formula>
    </cfRule>
  </conditionalFormatting>
  <conditionalFormatting sqref="F545">
    <cfRule type="cellIs" dxfId="383" priority="13" operator="lessThanOrEqual">
      <formula>0</formula>
    </cfRule>
  </conditionalFormatting>
  <conditionalFormatting sqref="G545">
    <cfRule type="cellIs" dxfId="382" priority="12" operator="lessThanOrEqual">
      <formula>0</formula>
    </cfRule>
  </conditionalFormatting>
  <conditionalFormatting sqref="G545">
    <cfRule type="cellIs" dxfId="381" priority="11" operator="lessThanOrEqual">
      <formula>0</formula>
    </cfRule>
  </conditionalFormatting>
  <conditionalFormatting sqref="G544">
    <cfRule type="cellIs" dxfId="380" priority="9" operator="lessThanOrEqual">
      <formula>0</formula>
    </cfRule>
  </conditionalFormatting>
  <conditionalFormatting sqref="G544">
    <cfRule type="cellIs" dxfId="379" priority="8" operator="lessThanOrEqual">
      <formula>0</formula>
    </cfRule>
  </conditionalFormatting>
  <conditionalFormatting sqref="G546">
    <cfRule type="cellIs" dxfId="378" priority="6" operator="lessThanOrEqual">
      <formula>0</formula>
    </cfRule>
  </conditionalFormatting>
  <conditionalFormatting sqref="G546">
    <cfRule type="cellIs" dxfId="377" priority="5" operator="lessThanOrEqual">
      <formula>0</formula>
    </cfRule>
  </conditionalFormatting>
  <conditionalFormatting sqref="F544">
    <cfRule type="cellIs" dxfId="376" priority="10" operator="lessThanOrEqual">
      <formula>0</formula>
    </cfRule>
  </conditionalFormatting>
  <conditionalFormatting sqref="F546">
    <cfRule type="cellIs" dxfId="375" priority="7" operator="lessThanOrEqual">
      <formula>0</formula>
    </cfRule>
  </conditionalFormatting>
  <conditionalFormatting sqref="F169:G169">
    <cfRule type="timePeriod" dxfId="374" priority="3" timePeriod="lastWeek">
      <formula>AND(TODAY()-ROUNDDOWN(F169,0)&gt;=(WEEKDAY(TODAY())),TODAY()-ROUNDDOWN(F169,0)&lt;(WEEKDAY(TODAY())+7))</formula>
    </cfRule>
    <cfRule type="timePeriod" dxfId="373" priority="4" timePeriod="lastWeek">
      <formula>AND(TODAY()-ROUNDDOWN(F169,0)&gt;=(WEEKDAY(TODAY())),TODAY()-ROUNDDOWN(F169,0)&lt;(WEEKDAY(TODAY())+7))</formula>
    </cfRule>
  </conditionalFormatting>
  <conditionalFormatting sqref="F168:G168">
    <cfRule type="timePeriod" dxfId="372" priority="1" timePeriod="lastWeek">
      <formula>AND(TODAY()-ROUNDDOWN(F168,0)&gt;=(WEEKDAY(TODAY())),TODAY()-ROUNDDOWN(F168,0)&lt;(WEEKDAY(TODAY())+7))</formula>
    </cfRule>
    <cfRule type="timePeriod" dxfId="371" priority="2" timePeriod="lastWeek">
      <formula>AND(TODAY()-ROUNDDOWN(F168,0)&gt;=(WEEKDAY(TODAY())),TODAY()-ROUNDDOWN(F168,0)&lt;(WEEKDAY(TODAY())+7))</formula>
    </cfRule>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AH603"/>
  <sheetViews>
    <sheetView topLeftCell="A495" zoomScale="85" zoomScaleNormal="85" workbookViewId="0">
      <selection activeCell="C91" sqref="C91"/>
    </sheetView>
  </sheetViews>
  <sheetFormatPr baseColWidth="10" defaultColWidth="11.42578125" defaultRowHeight="15.75"/>
  <cols>
    <col min="1" max="1" width="9" style="341" bestFit="1" customWidth="1"/>
    <col min="2" max="2" width="57.28515625" style="991" customWidth="1"/>
    <col min="3" max="3" width="60.5703125" style="1095" customWidth="1"/>
    <col min="4" max="4" width="13.28515625" style="357" hidden="1" customWidth="1"/>
    <col min="5" max="5" width="18.7109375" style="341" hidden="1" customWidth="1"/>
    <col min="6" max="6" width="14.7109375" style="340" hidden="1" customWidth="1"/>
    <col min="7" max="7" width="14.140625" style="340" hidden="1" customWidth="1"/>
    <col min="8" max="8" width="39" style="340" hidden="1" customWidth="1"/>
    <col min="9" max="9" width="22.28515625" style="341" bestFit="1" customWidth="1"/>
    <col min="10" max="10" width="28.28515625" style="336" customWidth="1"/>
    <col min="11" max="11" width="44.7109375" style="357" customWidth="1"/>
    <col min="12" max="12" width="9.85546875" style="1246" bestFit="1" customWidth="1"/>
    <col min="13" max="13" width="19" style="357" hidden="1" customWidth="1"/>
    <col min="14" max="14" width="33" style="341" hidden="1" customWidth="1"/>
    <col min="15" max="15" width="19.42578125" style="1018" bestFit="1" customWidth="1"/>
    <col min="16" max="16" width="14.140625" style="341" bestFit="1" customWidth="1"/>
    <col min="17" max="17" width="23.28515625" style="577" customWidth="1"/>
    <col min="18" max="18" width="18.85546875" style="344" customWidth="1"/>
    <col min="19" max="19" width="17.5703125" style="577" customWidth="1"/>
    <col min="20" max="20" width="19.85546875" style="577" bestFit="1" customWidth="1"/>
    <col min="21" max="24" width="20.5703125" style="577" bestFit="1" customWidth="1"/>
    <col min="25" max="25" width="18.42578125" style="577" customWidth="1"/>
    <col min="26" max="26" width="18" style="1019" customWidth="1"/>
    <col min="27" max="27" width="17.7109375" style="1019" customWidth="1"/>
    <col min="28" max="28" width="16.5703125" style="1019" bestFit="1" customWidth="1"/>
    <col min="29" max="29" width="14.28515625" style="357" bestFit="1" customWidth="1"/>
    <col min="30" max="30" width="18.28515625" style="357" customWidth="1"/>
    <col min="31" max="31" width="14.28515625" bestFit="1" customWidth="1"/>
    <col min="32" max="32" width="14.28515625" style="357" bestFit="1" customWidth="1"/>
    <col min="33" max="33" width="22.28515625" style="574" bestFit="1" customWidth="1"/>
    <col min="34" max="34" width="15.85546875" style="357" customWidth="1"/>
    <col min="35" max="16384" width="11.42578125" style="357"/>
  </cols>
  <sheetData>
    <row r="1" spans="1:33" s="238" customFormat="1">
      <c r="A1" s="1249"/>
      <c r="B1" s="235"/>
      <c r="C1" s="235"/>
      <c r="D1" s="1250"/>
      <c r="E1" s="1249"/>
      <c r="F1" s="237"/>
      <c r="G1" s="237"/>
      <c r="H1" s="237"/>
      <c r="I1" s="237"/>
      <c r="J1" s="1486"/>
      <c r="L1" s="1228"/>
      <c r="N1" s="237"/>
      <c r="O1" s="239"/>
      <c r="P1" s="237"/>
      <c r="Q1" s="240"/>
      <c r="R1" s="241"/>
      <c r="S1" s="239"/>
      <c r="T1" s="239"/>
      <c r="U1" s="239"/>
      <c r="V1" s="239"/>
      <c r="W1" s="239"/>
      <c r="X1" s="239"/>
      <c r="Y1" s="239"/>
      <c r="Z1" s="242"/>
      <c r="AA1" s="242"/>
      <c r="AB1" s="242"/>
      <c r="AG1" s="239"/>
    </row>
    <row r="2" spans="1:33" s="238" customFormat="1" ht="31.5" customHeight="1">
      <c r="A2" s="3395" t="s">
        <v>202</v>
      </c>
      <c r="B2" s="3395"/>
      <c r="C2" s="3395"/>
      <c r="D2" s="3395"/>
      <c r="E2" s="3395"/>
      <c r="F2" s="3395"/>
      <c r="G2" s="3395"/>
      <c r="H2" s="3395"/>
      <c r="I2" s="3395"/>
      <c r="J2" s="3395"/>
      <c r="K2" s="3395"/>
      <c r="L2" s="3395"/>
      <c r="M2" s="3395"/>
      <c r="N2" s="3395"/>
      <c r="O2" s="3395"/>
      <c r="P2" s="3395"/>
      <c r="Q2" s="3395"/>
      <c r="R2" s="3395"/>
      <c r="S2" s="3395"/>
      <c r="T2" s="3395"/>
      <c r="U2" s="3395"/>
      <c r="V2" s="3395"/>
      <c r="W2" s="3395"/>
      <c r="X2" s="3395"/>
      <c r="Y2" s="3395"/>
      <c r="Z2" s="3395"/>
      <c r="AA2" s="3395"/>
      <c r="AB2" s="3395"/>
      <c r="AC2" s="3395"/>
      <c r="AD2" s="3395"/>
      <c r="AE2" s="3395"/>
      <c r="AF2" s="3395"/>
      <c r="AG2" s="3395"/>
    </row>
    <row r="3" spans="1:33" s="249" customFormat="1" ht="15.75" customHeight="1">
      <c r="A3" s="1252"/>
      <c r="B3" s="244"/>
      <c r="C3" s="1020"/>
      <c r="D3" s="1251"/>
      <c r="E3" s="1252"/>
      <c r="F3" s="1252"/>
      <c r="G3" s="1252"/>
      <c r="H3" s="1251"/>
      <c r="I3" s="1252"/>
      <c r="J3" s="245"/>
      <c r="K3" s="1253"/>
      <c r="L3" s="1254"/>
      <c r="M3" s="1251"/>
      <c r="N3" s="1252"/>
      <c r="O3" s="1255"/>
      <c r="P3" s="1252"/>
      <c r="Q3" s="1256"/>
      <c r="R3" s="1257"/>
      <c r="S3" s="1251"/>
      <c r="T3" s="1251"/>
      <c r="U3" s="1251"/>
      <c r="V3" s="1251"/>
      <c r="Z3" s="250"/>
      <c r="AA3" s="250"/>
      <c r="AB3" s="250"/>
    </row>
    <row r="4" spans="1:33" s="255" customFormat="1" ht="15">
      <c r="A4" s="1258"/>
      <c r="B4" s="252"/>
      <c r="C4" s="252"/>
      <c r="D4" s="1259"/>
      <c r="E4" s="1258"/>
      <c r="F4" s="254"/>
      <c r="G4" s="254"/>
      <c r="H4" s="254"/>
      <c r="I4" s="254"/>
      <c r="J4" s="1487"/>
      <c r="L4" s="1229"/>
      <c r="N4" s="254"/>
      <c r="O4" s="256"/>
      <c r="P4" s="254"/>
      <c r="Q4" s="257"/>
      <c r="R4" s="258"/>
      <c r="S4" s="256"/>
      <c r="T4" s="256"/>
      <c r="U4" s="256"/>
      <c r="V4" s="256"/>
      <c r="W4" s="256"/>
      <c r="X4" s="256"/>
      <c r="Y4" s="256"/>
      <c r="Z4" s="259"/>
      <c r="AA4" s="259"/>
      <c r="AB4" s="259"/>
    </row>
    <row r="5" spans="1:33" s="238" customFormat="1" ht="34.5" customHeight="1">
      <c r="A5" s="1523"/>
      <c r="B5" s="1494"/>
      <c r="C5" s="1494"/>
      <c r="D5" s="1259"/>
      <c r="E5" s="1258"/>
      <c r="F5" s="3396" t="s">
        <v>208</v>
      </c>
      <c r="G5" s="3396"/>
      <c r="H5" s="1483"/>
      <c r="I5" s="3397" t="s">
        <v>210</v>
      </c>
      <c r="J5" s="3398"/>
      <c r="S5" s="3392" t="s">
        <v>219</v>
      </c>
      <c r="T5" s="3393"/>
      <c r="U5" s="3393"/>
      <c r="V5" s="3393"/>
      <c r="W5" s="3393"/>
      <c r="X5" s="3393"/>
      <c r="Y5" s="3394"/>
      <c r="Z5" s="243"/>
      <c r="AA5" s="243"/>
      <c r="AB5" s="243"/>
    </row>
    <row r="6" spans="1:33" s="237" customFormat="1" ht="60" customHeight="1">
      <c r="A6" s="1453" t="s">
        <v>203</v>
      </c>
      <c r="B6" s="1458" t="s">
        <v>204</v>
      </c>
      <c r="C6" s="1458" t="s">
        <v>205</v>
      </c>
      <c r="D6" s="1610" t="s">
        <v>206</v>
      </c>
      <c r="E6" s="1611" t="s">
        <v>207</v>
      </c>
      <c r="F6" s="1260" t="s">
        <v>220</v>
      </c>
      <c r="G6" s="261" t="s">
        <v>221</v>
      </c>
      <c r="H6" s="1612" t="s">
        <v>209</v>
      </c>
      <c r="I6" s="262" t="s">
        <v>222</v>
      </c>
      <c r="J6" s="262" t="s">
        <v>288</v>
      </c>
      <c r="K6" s="1454" t="s">
        <v>211</v>
      </c>
      <c r="L6" s="1453" t="s">
        <v>212</v>
      </c>
      <c r="M6" s="1457" t="s">
        <v>213</v>
      </c>
      <c r="N6" s="1457" t="s">
        <v>214</v>
      </c>
      <c r="O6" s="1613" t="s">
        <v>215</v>
      </c>
      <c r="P6" s="1454" t="s">
        <v>216</v>
      </c>
      <c r="Q6" s="1613" t="s">
        <v>286</v>
      </c>
      <c r="R6" s="1485" t="s">
        <v>287</v>
      </c>
      <c r="S6" s="263" t="s">
        <v>224</v>
      </c>
      <c r="T6" s="263" t="s">
        <v>225</v>
      </c>
      <c r="U6" s="263" t="s">
        <v>226</v>
      </c>
      <c r="V6" s="263" t="s">
        <v>227</v>
      </c>
      <c r="W6" s="263" t="s">
        <v>228</v>
      </c>
      <c r="X6" s="263" t="s">
        <v>229</v>
      </c>
      <c r="Y6" s="263" t="s">
        <v>230</v>
      </c>
      <c r="Z6" s="264" t="s">
        <v>289</v>
      </c>
      <c r="AA6" s="264" t="s">
        <v>290</v>
      </c>
      <c r="AB6" s="264" t="s">
        <v>291</v>
      </c>
      <c r="AC6" s="264" t="s">
        <v>975</v>
      </c>
      <c r="AD6" s="264" t="s">
        <v>976</v>
      </c>
      <c r="AE6" s="264" t="s">
        <v>224</v>
      </c>
      <c r="AF6" s="264" t="s">
        <v>225</v>
      </c>
      <c r="AG6" s="264" t="s">
        <v>41</v>
      </c>
    </row>
    <row r="7" spans="1:33" ht="33.75" customHeight="1">
      <c r="A7" s="1815" t="s">
        <v>231</v>
      </c>
      <c r="B7" s="1816"/>
      <c r="C7" s="1816"/>
      <c r="D7" s="1815"/>
      <c r="E7" s="1815"/>
      <c r="F7" s="1815"/>
      <c r="G7" s="1815"/>
      <c r="H7" s="1815"/>
      <c r="I7" s="1815"/>
      <c r="J7" s="835"/>
      <c r="K7" s="1815"/>
      <c r="L7" s="1817"/>
      <c r="M7" s="1818"/>
      <c r="N7" s="1819"/>
      <c r="O7" s="1820"/>
      <c r="P7" s="1819"/>
      <c r="Q7" s="1821">
        <f>+Q8+Q89</f>
        <v>449060.34300000005</v>
      </c>
      <c r="R7" s="1822">
        <f>+'[2]Compil Costing PPA 3 millions'!F5</f>
        <v>449500</v>
      </c>
      <c r="S7" s="1821">
        <f t="shared" ref="S7:AF7" si="0">+S8+S89</f>
        <v>0</v>
      </c>
      <c r="T7" s="1821">
        <f t="shared" si="0"/>
        <v>90453.066333333336</v>
      </c>
      <c r="U7" s="1821">
        <f t="shared" si="0"/>
        <v>77449.332666666669</v>
      </c>
      <c r="V7" s="1821">
        <f t="shared" si="0"/>
        <v>162495.72499999998</v>
      </c>
      <c r="W7" s="1821">
        <f t="shared" si="0"/>
        <v>83069.552333333326</v>
      </c>
      <c r="X7" s="1821">
        <f t="shared" si="0"/>
        <v>11161.666666666668</v>
      </c>
      <c r="Y7" s="1821">
        <f t="shared" si="0"/>
        <v>24431</v>
      </c>
      <c r="Z7" s="1821">
        <f t="shared" si="0"/>
        <v>0</v>
      </c>
      <c r="AA7" s="1821">
        <f t="shared" si="0"/>
        <v>0</v>
      </c>
      <c r="AB7" s="1821">
        <f t="shared" si="0"/>
        <v>0</v>
      </c>
      <c r="AC7" s="1821">
        <f t="shared" si="0"/>
        <v>0</v>
      </c>
      <c r="AD7" s="1821">
        <f t="shared" si="0"/>
        <v>0</v>
      </c>
      <c r="AE7" s="1821">
        <f t="shared" si="0"/>
        <v>0</v>
      </c>
      <c r="AF7" s="1821">
        <f t="shared" si="0"/>
        <v>0</v>
      </c>
      <c r="AG7" s="1821">
        <f>+AG8+AG89</f>
        <v>449060.34299999999</v>
      </c>
    </row>
    <row r="8" spans="1:33" ht="37.5" customHeight="1">
      <c r="A8" s="1248" t="s">
        <v>232</v>
      </c>
      <c r="B8" s="278"/>
      <c r="C8" s="278"/>
      <c r="D8" s="1248"/>
      <c r="E8" s="1248"/>
      <c r="F8" s="1248"/>
      <c r="G8" s="1248"/>
      <c r="H8" s="1248"/>
      <c r="I8" s="1248"/>
      <c r="J8" s="273"/>
      <c r="K8" s="1248"/>
      <c r="L8" s="1269"/>
      <c r="M8" s="1270"/>
      <c r="N8" s="1268"/>
      <c r="O8" s="1271"/>
      <c r="P8" s="1268"/>
      <c r="Q8" s="1272">
        <f>Q9</f>
        <v>134501.66666666669</v>
      </c>
      <c r="R8" s="1273">
        <f>R9</f>
        <v>0</v>
      </c>
      <c r="S8" s="1272">
        <f t="shared" ref="S8:AF8" si="1">S9</f>
        <v>0</v>
      </c>
      <c r="T8" s="1272">
        <f t="shared" si="1"/>
        <v>12036.666666666666</v>
      </c>
      <c r="U8" s="1272">
        <f t="shared" si="1"/>
        <v>30715.333333333332</v>
      </c>
      <c r="V8" s="1272">
        <f t="shared" si="1"/>
        <v>50562</v>
      </c>
      <c r="W8" s="1272">
        <f t="shared" si="1"/>
        <v>37168</v>
      </c>
      <c r="X8" s="1272">
        <f t="shared" si="1"/>
        <v>4019.666666666667</v>
      </c>
      <c r="Y8" s="1272">
        <f t="shared" si="1"/>
        <v>0</v>
      </c>
      <c r="Z8" s="1272">
        <f t="shared" si="1"/>
        <v>0</v>
      </c>
      <c r="AA8" s="1272">
        <f t="shared" si="1"/>
        <v>0</v>
      </c>
      <c r="AB8" s="1272">
        <f t="shared" si="1"/>
        <v>0</v>
      </c>
      <c r="AC8" s="1272">
        <f t="shared" si="1"/>
        <v>0</v>
      </c>
      <c r="AD8" s="1272">
        <f t="shared" si="1"/>
        <v>0</v>
      </c>
      <c r="AE8" s="1272">
        <f t="shared" si="1"/>
        <v>0</v>
      </c>
      <c r="AF8" s="1272">
        <f t="shared" si="1"/>
        <v>0</v>
      </c>
      <c r="AG8" s="1272">
        <f>AG9</f>
        <v>134501.66666666666</v>
      </c>
    </row>
    <row r="9" spans="1:33" ht="31.5">
      <c r="A9" s="1275">
        <v>111</v>
      </c>
      <c r="B9" s="1465" t="s">
        <v>619</v>
      </c>
      <c r="C9" s="1496"/>
      <c r="D9" s="1276"/>
      <c r="E9" s="1276"/>
      <c r="F9" s="1276"/>
      <c r="G9" s="1276"/>
      <c r="H9" s="1276"/>
      <c r="I9" s="1276"/>
      <c r="J9" s="283"/>
      <c r="K9" s="1278"/>
      <c r="L9" s="1279"/>
      <c r="M9" s="1280"/>
      <c r="N9" s="1277"/>
      <c r="O9" s="1281"/>
      <c r="P9" s="1277"/>
      <c r="Q9" s="1282">
        <f>SUM(Q10:Q88)</f>
        <v>134501.66666666669</v>
      </c>
      <c r="R9" s="287"/>
      <c r="S9" s="1282">
        <f t="shared" ref="S9:AF9" si="2">SUM(S10:S88)</f>
        <v>0</v>
      </c>
      <c r="T9" s="1282">
        <f>SUM(T10:T88)</f>
        <v>12036.666666666666</v>
      </c>
      <c r="U9" s="1282">
        <f>SUM(U10:U88)</f>
        <v>30715.333333333332</v>
      </c>
      <c r="V9" s="1282">
        <f t="shared" si="2"/>
        <v>50562</v>
      </c>
      <c r="W9" s="1282">
        <f t="shared" si="2"/>
        <v>37168</v>
      </c>
      <c r="X9" s="1282">
        <f t="shared" si="2"/>
        <v>4019.666666666667</v>
      </c>
      <c r="Y9" s="1282">
        <f t="shared" si="2"/>
        <v>0</v>
      </c>
      <c r="Z9" s="1282">
        <f t="shared" si="2"/>
        <v>0</v>
      </c>
      <c r="AA9" s="1282">
        <f t="shared" si="2"/>
        <v>0</v>
      </c>
      <c r="AB9" s="1282">
        <f t="shared" si="2"/>
        <v>0</v>
      </c>
      <c r="AC9" s="1282">
        <f t="shared" si="2"/>
        <v>0</v>
      </c>
      <c r="AD9" s="1282">
        <f t="shared" si="2"/>
        <v>0</v>
      </c>
      <c r="AE9" s="1282">
        <f t="shared" si="2"/>
        <v>0</v>
      </c>
      <c r="AF9" s="1282">
        <f t="shared" si="2"/>
        <v>0</v>
      </c>
      <c r="AG9" s="1282">
        <f>SUM(S9:AF9)</f>
        <v>134501.66666666666</v>
      </c>
    </row>
    <row r="10" spans="1:33" ht="116.25" customHeight="1">
      <c r="A10" s="796">
        <v>1111</v>
      </c>
      <c r="B10" s="1723" t="s">
        <v>620</v>
      </c>
      <c r="C10" s="1073" t="s">
        <v>621</v>
      </c>
      <c r="D10" s="1292"/>
      <c r="E10" s="1293">
        <v>5</v>
      </c>
      <c r="F10" s="1294">
        <v>43206</v>
      </c>
      <c r="G10" s="1294">
        <f t="shared" ref="G10:G69" si="3">F10+E10-1</f>
        <v>43210</v>
      </c>
      <c r="H10" s="1292" t="s">
        <v>622</v>
      </c>
      <c r="I10" s="1293" t="s">
        <v>170</v>
      </c>
      <c r="J10" s="643" t="s">
        <v>623</v>
      </c>
      <c r="K10" s="1292" t="s">
        <v>624</v>
      </c>
      <c r="L10" s="1231">
        <v>23174</v>
      </c>
      <c r="M10" s="1292"/>
      <c r="N10" s="1292"/>
      <c r="O10" s="647">
        <v>84</v>
      </c>
      <c r="P10" s="1292">
        <v>1</v>
      </c>
      <c r="Q10" s="1295">
        <f>O10*P10</f>
        <v>84</v>
      </c>
      <c r="R10" s="956"/>
      <c r="S10" s="954"/>
      <c r="T10" s="1823">
        <v>84</v>
      </c>
      <c r="U10" s="954"/>
      <c r="V10" s="954"/>
      <c r="W10" s="954"/>
      <c r="X10" s="1166"/>
      <c r="Y10" s="1144"/>
      <c r="Z10" s="1124"/>
      <c r="AA10" s="1124"/>
      <c r="AB10" s="1124"/>
      <c r="AC10" s="1124"/>
      <c r="AD10" s="1124"/>
      <c r="AE10" s="1124"/>
      <c r="AF10" s="1124"/>
      <c r="AG10" s="1282">
        <f t="shared" ref="AG10:AG73" si="4">SUM(S10:AF10)</f>
        <v>84</v>
      </c>
    </row>
    <row r="11" spans="1:33" ht="116.25" customHeight="1">
      <c r="A11" s="796">
        <v>1111</v>
      </c>
      <c r="B11" s="1723" t="s">
        <v>620</v>
      </c>
      <c r="C11" s="1073" t="s">
        <v>621</v>
      </c>
      <c r="D11" s="1292"/>
      <c r="E11" s="1293">
        <v>5</v>
      </c>
      <c r="F11" s="1294">
        <v>43206</v>
      </c>
      <c r="G11" s="1294">
        <f t="shared" si="3"/>
        <v>43210</v>
      </c>
      <c r="H11" s="1292" t="s">
        <v>622</v>
      </c>
      <c r="I11" s="1293" t="s">
        <v>170</v>
      </c>
      <c r="J11" s="643" t="s">
        <v>623</v>
      </c>
      <c r="K11" s="1292" t="s">
        <v>626</v>
      </c>
      <c r="L11" s="1231">
        <v>23174</v>
      </c>
      <c r="M11" s="1292"/>
      <c r="N11" s="1292"/>
      <c r="O11" s="647">
        <v>93.333333333333343</v>
      </c>
      <c r="P11" s="1292">
        <v>1</v>
      </c>
      <c r="Q11" s="1295">
        <f t="shared" ref="Q11:Q70" si="5">O11*P11</f>
        <v>93.333333333333343</v>
      </c>
      <c r="R11" s="956"/>
      <c r="S11" s="954"/>
      <c r="T11" s="1823">
        <v>93.333333333333343</v>
      </c>
      <c r="U11" s="954"/>
      <c r="V11" s="954"/>
      <c r="W11" s="954"/>
      <c r="X11" s="1166"/>
      <c r="Y11" s="1144"/>
      <c r="Z11" s="1124"/>
      <c r="AA11" s="1124"/>
      <c r="AB11" s="1124"/>
      <c r="AC11" s="1124"/>
      <c r="AD11" s="1124"/>
      <c r="AE11" s="1124"/>
      <c r="AF11" s="1124"/>
      <c r="AG11" s="1282">
        <f t="shared" si="4"/>
        <v>93.333333333333343</v>
      </c>
    </row>
    <row r="12" spans="1:33" ht="116.25" customHeight="1">
      <c r="A12" s="796">
        <v>1111</v>
      </c>
      <c r="B12" s="1723" t="s">
        <v>620</v>
      </c>
      <c r="C12" s="1073" t="s">
        <v>621</v>
      </c>
      <c r="D12" s="1292"/>
      <c r="E12" s="1293">
        <v>5</v>
      </c>
      <c r="F12" s="1294">
        <v>43206</v>
      </c>
      <c r="G12" s="1294">
        <f t="shared" si="3"/>
        <v>43210</v>
      </c>
      <c r="H12" s="1292" t="s">
        <v>622</v>
      </c>
      <c r="I12" s="1293" t="s">
        <v>170</v>
      </c>
      <c r="J12" s="643" t="s">
        <v>623</v>
      </c>
      <c r="K12" s="1292" t="s">
        <v>627</v>
      </c>
      <c r="L12" s="1231">
        <v>23174</v>
      </c>
      <c r="M12" s="1292"/>
      <c r="N12" s="1292"/>
      <c r="O12" s="647">
        <v>70</v>
      </c>
      <c r="P12" s="1292">
        <v>1</v>
      </c>
      <c r="Q12" s="1295">
        <f t="shared" si="5"/>
        <v>70</v>
      </c>
      <c r="R12" s="956"/>
      <c r="S12" s="954"/>
      <c r="T12" s="1823">
        <v>70</v>
      </c>
      <c r="U12" s="954"/>
      <c r="V12" s="954"/>
      <c r="W12" s="954"/>
      <c r="X12" s="1166"/>
      <c r="Y12" s="1144"/>
      <c r="Z12" s="1124"/>
      <c r="AA12" s="1124"/>
      <c r="AB12" s="1124"/>
      <c r="AC12" s="1124"/>
      <c r="AD12" s="1124"/>
      <c r="AE12" s="1124"/>
      <c r="AF12" s="1124"/>
      <c r="AG12" s="1282">
        <f t="shared" si="4"/>
        <v>70</v>
      </c>
    </row>
    <row r="13" spans="1:33" ht="116.25" customHeight="1">
      <c r="A13" s="796">
        <v>1111</v>
      </c>
      <c r="B13" s="1723" t="s">
        <v>620</v>
      </c>
      <c r="C13" s="1073" t="s">
        <v>621</v>
      </c>
      <c r="D13" s="1292"/>
      <c r="E13" s="1293">
        <v>5</v>
      </c>
      <c r="F13" s="1294">
        <v>43206</v>
      </c>
      <c r="G13" s="1294">
        <f t="shared" si="3"/>
        <v>43210</v>
      </c>
      <c r="H13" s="1292" t="s">
        <v>622</v>
      </c>
      <c r="I13" s="1293" t="s">
        <v>170</v>
      </c>
      <c r="J13" s="643" t="s">
        <v>623</v>
      </c>
      <c r="K13" s="1292" t="s">
        <v>628</v>
      </c>
      <c r="L13" s="1231">
        <v>23174</v>
      </c>
      <c r="M13" s="1292"/>
      <c r="N13" s="1292"/>
      <c r="O13" s="647">
        <v>46.666666666666671</v>
      </c>
      <c r="P13" s="1292">
        <v>1</v>
      </c>
      <c r="Q13" s="1295">
        <f t="shared" si="5"/>
        <v>46.666666666666671</v>
      </c>
      <c r="R13" s="956"/>
      <c r="S13" s="954"/>
      <c r="T13" s="1823">
        <v>46.666666666666671</v>
      </c>
      <c r="U13" s="954"/>
      <c r="V13" s="954"/>
      <c r="W13" s="954"/>
      <c r="X13" s="1166"/>
      <c r="Y13" s="1144"/>
      <c r="Z13" s="1124"/>
      <c r="AA13" s="1124"/>
      <c r="AB13" s="1124"/>
      <c r="AC13" s="1124"/>
      <c r="AD13" s="1124"/>
      <c r="AE13" s="1124"/>
      <c r="AF13" s="1124"/>
      <c r="AG13" s="1282">
        <f t="shared" si="4"/>
        <v>46.666666666666671</v>
      </c>
    </row>
    <row r="14" spans="1:33" ht="116.25" customHeight="1">
      <c r="A14" s="796">
        <v>1111</v>
      </c>
      <c r="B14" s="1723" t="s">
        <v>620</v>
      </c>
      <c r="C14" s="1073" t="s">
        <v>621</v>
      </c>
      <c r="D14" s="1292"/>
      <c r="E14" s="1293">
        <v>5</v>
      </c>
      <c r="F14" s="1294">
        <v>43206</v>
      </c>
      <c r="G14" s="1294">
        <f t="shared" si="3"/>
        <v>43210</v>
      </c>
      <c r="H14" s="1292" t="s">
        <v>622</v>
      </c>
      <c r="I14" s="1293" t="s">
        <v>170</v>
      </c>
      <c r="J14" s="643" t="s">
        <v>623</v>
      </c>
      <c r="K14" s="1292" t="s">
        <v>629</v>
      </c>
      <c r="L14" s="1231">
        <v>23174</v>
      </c>
      <c r="M14" s="1292"/>
      <c r="N14" s="1292"/>
      <c r="O14" s="647">
        <v>336</v>
      </c>
      <c r="P14" s="1292">
        <v>1</v>
      </c>
      <c r="Q14" s="1295">
        <f t="shared" si="5"/>
        <v>336</v>
      </c>
      <c r="R14" s="956"/>
      <c r="S14" s="954"/>
      <c r="T14" s="1823">
        <v>336</v>
      </c>
      <c r="U14" s="954"/>
      <c r="V14" s="954"/>
      <c r="W14" s="954"/>
      <c r="X14" s="1166"/>
      <c r="Y14" s="1144"/>
      <c r="Z14" s="1124"/>
      <c r="AA14" s="1124"/>
      <c r="AB14" s="1124"/>
      <c r="AC14" s="1124"/>
      <c r="AD14" s="1124"/>
      <c r="AE14" s="1124"/>
      <c r="AF14" s="1124"/>
      <c r="AG14" s="1282">
        <f t="shared" si="4"/>
        <v>336</v>
      </c>
    </row>
    <row r="15" spans="1:33" ht="116.25" customHeight="1">
      <c r="A15" s="796">
        <v>1111</v>
      </c>
      <c r="B15" s="1723" t="s">
        <v>620</v>
      </c>
      <c r="C15" s="1073" t="s">
        <v>621</v>
      </c>
      <c r="D15" s="1292"/>
      <c r="E15" s="1293">
        <v>5</v>
      </c>
      <c r="F15" s="1294">
        <v>43206</v>
      </c>
      <c r="G15" s="1294">
        <f t="shared" si="3"/>
        <v>43210</v>
      </c>
      <c r="H15" s="1292" t="s">
        <v>622</v>
      </c>
      <c r="I15" s="1293" t="s">
        <v>170</v>
      </c>
      <c r="J15" s="643" t="s">
        <v>623</v>
      </c>
      <c r="K15" s="1292" t="s">
        <v>630</v>
      </c>
      <c r="L15" s="1231">
        <v>23174</v>
      </c>
      <c r="M15" s="1292"/>
      <c r="N15" s="1292"/>
      <c r="O15" s="647">
        <v>373.33333333333337</v>
      </c>
      <c r="P15" s="1292">
        <v>1</v>
      </c>
      <c r="Q15" s="1295">
        <f t="shared" si="5"/>
        <v>373.33333333333337</v>
      </c>
      <c r="R15" s="956"/>
      <c r="S15" s="954"/>
      <c r="T15" s="1823">
        <v>373.33333333333337</v>
      </c>
      <c r="U15" s="954"/>
      <c r="V15" s="954"/>
      <c r="W15" s="954"/>
      <c r="X15" s="1166"/>
      <c r="Y15" s="1144"/>
      <c r="Z15" s="1124"/>
      <c r="AA15" s="1124"/>
      <c r="AB15" s="1124"/>
      <c r="AC15" s="1124"/>
      <c r="AD15" s="1124"/>
      <c r="AE15" s="1124"/>
      <c r="AF15" s="1124"/>
      <c r="AG15" s="1282">
        <f t="shared" si="4"/>
        <v>373.33333333333337</v>
      </c>
    </row>
    <row r="16" spans="1:33" ht="116.25" customHeight="1">
      <c r="A16" s="796">
        <v>1111</v>
      </c>
      <c r="B16" s="1723" t="s">
        <v>620</v>
      </c>
      <c r="C16" s="1073" t="s">
        <v>621</v>
      </c>
      <c r="D16" s="1292"/>
      <c r="E16" s="1293">
        <v>5</v>
      </c>
      <c r="F16" s="1294">
        <v>43206</v>
      </c>
      <c r="G16" s="1294">
        <f t="shared" si="3"/>
        <v>43210</v>
      </c>
      <c r="H16" s="1292" t="s">
        <v>622</v>
      </c>
      <c r="I16" s="1293" t="s">
        <v>170</v>
      </c>
      <c r="J16" s="643" t="s">
        <v>623</v>
      </c>
      <c r="K16" s="1292" t="s">
        <v>631</v>
      </c>
      <c r="L16" s="1231">
        <v>23174</v>
      </c>
      <c r="M16" s="1292"/>
      <c r="N16" s="1292"/>
      <c r="O16" s="647">
        <v>107</v>
      </c>
      <c r="P16" s="1292">
        <v>1</v>
      </c>
      <c r="Q16" s="1295">
        <f t="shared" si="5"/>
        <v>107</v>
      </c>
      <c r="R16" s="956"/>
      <c r="S16" s="954"/>
      <c r="T16" s="1823">
        <v>107</v>
      </c>
      <c r="U16" s="954"/>
      <c r="V16" s="954"/>
      <c r="W16" s="954"/>
      <c r="X16" s="1166"/>
      <c r="Y16" s="1144"/>
      <c r="Z16" s="1124"/>
      <c r="AA16" s="1124"/>
      <c r="AB16" s="1124"/>
      <c r="AC16" s="1124"/>
      <c r="AD16" s="1124"/>
      <c r="AE16" s="1124"/>
      <c r="AF16" s="1124"/>
      <c r="AG16" s="1282">
        <f t="shared" si="4"/>
        <v>107</v>
      </c>
    </row>
    <row r="17" spans="1:33" ht="116.25" customHeight="1">
      <c r="A17" s="796">
        <v>1111</v>
      </c>
      <c r="B17" s="1723" t="s">
        <v>620</v>
      </c>
      <c r="C17" s="1073" t="s">
        <v>621</v>
      </c>
      <c r="D17" s="1292"/>
      <c r="E17" s="1293">
        <v>5</v>
      </c>
      <c r="F17" s="1294">
        <v>43206</v>
      </c>
      <c r="G17" s="1294">
        <f t="shared" si="3"/>
        <v>43210</v>
      </c>
      <c r="H17" s="1292" t="s">
        <v>622</v>
      </c>
      <c r="I17" s="1293" t="s">
        <v>170</v>
      </c>
      <c r="J17" s="643" t="s">
        <v>623</v>
      </c>
      <c r="K17" s="1292" t="s">
        <v>633</v>
      </c>
      <c r="L17" s="1231">
        <v>23174</v>
      </c>
      <c r="M17" s="1292"/>
      <c r="N17" s="1292"/>
      <c r="O17" s="647">
        <v>91</v>
      </c>
      <c r="P17" s="1292">
        <v>1</v>
      </c>
      <c r="Q17" s="1295">
        <f t="shared" si="5"/>
        <v>91</v>
      </c>
      <c r="R17" s="956"/>
      <c r="S17" s="954"/>
      <c r="T17" s="1823">
        <v>91</v>
      </c>
      <c r="U17" s="954"/>
      <c r="V17" s="954"/>
      <c r="W17" s="954"/>
      <c r="X17" s="1166"/>
      <c r="Y17" s="1144"/>
      <c r="Z17" s="1124"/>
      <c r="AA17" s="1124"/>
      <c r="AB17" s="1124"/>
      <c r="AC17" s="1124"/>
      <c r="AD17" s="1124"/>
      <c r="AE17" s="1124"/>
      <c r="AF17" s="1124"/>
      <c r="AG17" s="1282">
        <f t="shared" si="4"/>
        <v>91</v>
      </c>
    </row>
    <row r="18" spans="1:33" ht="116.25" customHeight="1">
      <c r="A18" s="796">
        <v>1111</v>
      </c>
      <c r="B18" s="1723" t="s">
        <v>620</v>
      </c>
      <c r="C18" s="1073" t="s">
        <v>621</v>
      </c>
      <c r="D18" s="1292"/>
      <c r="E18" s="1293">
        <v>5</v>
      </c>
      <c r="F18" s="1294">
        <v>43206</v>
      </c>
      <c r="G18" s="1294">
        <f t="shared" si="3"/>
        <v>43210</v>
      </c>
      <c r="H18" s="1292" t="s">
        <v>622</v>
      </c>
      <c r="I18" s="1293" t="s">
        <v>170</v>
      </c>
      <c r="J18" s="643" t="s">
        <v>623</v>
      </c>
      <c r="K18" s="1292" t="s">
        <v>635</v>
      </c>
      <c r="L18" s="1231">
        <v>23174</v>
      </c>
      <c r="M18" s="1292"/>
      <c r="N18" s="1292"/>
      <c r="O18" s="647">
        <v>1092</v>
      </c>
      <c r="P18" s="1292">
        <v>1</v>
      </c>
      <c r="Q18" s="1295">
        <f t="shared" si="5"/>
        <v>1092</v>
      </c>
      <c r="R18" s="956"/>
      <c r="S18" s="954"/>
      <c r="T18" s="1823">
        <v>1092</v>
      </c>
      <c r="U18" s="954"/>
      <c r="V18" s="954"/>
      <c r="W18" s="954"/>
      <c r="X18" s="1166"/>
      <c r="Y18" s="1144"/>
      <c r="Z18" s="1124"/>
      <c r="AA18" s="1124"/>
      <c r="AB18" s="1124"/>
      <c r="AC18" s="1124"/>
      <c r="AD18" s="1124"/>
      <c r="AE18" s="1124"/>
      <c r="AF18" s="1124"/>
      <c r="AG18" s="1282">
        <f t="shared" si="4"/>
        <v>1092</v>
      </c>
    </row>
    <row r="19" spans="1:33" ht="116.25" customHeight="1">
      <c r="A19" s="796">
        <v>1111</v>
      </c>
      <c r="B19" s="1723" t="s">
        <v>620</v>
      </c>
      <c r="C19" s="1073" t="s">
        <v>621</v>
      </c>
      <c r="D19" s="1292"/>
      <c r="E19" s="1293">
        <v>5</v>
      </c>
      <c r="F19" s="1294">
        <v>43206</v>
      </c>
      <c r="G19" s="1294">
        <f t="shared" si="3"/>
        <v>43210</v>
      </c>
      <c r="H19" s="1292" t="s">
        <v>622</v>
      </c>
      <c r="I19" s="1293" t="s">
        <v>170</v>
      </c>
      <c r="J19" s="643" t="s">
        <v>623</v>
      </c>
      <c r="K19" s="1292" t="s">
        <v>636</v>
      </c>
      <c r="L19" s="1231">
        <v>23174</v>
      </c>
      <c r="M19" s="1292"/>
      <c r="N19" s="1292"/>
      <c r="O19" s="647">
        <v>1213</v>
      </c>
      <c r="P19" s="1292">
        <v>1</v>
      </c>
      <c r="Q19" s="1295">
        <f t="shared" si="5"/>
        <v>1213</v>
      </c>
      <c r="R19" s="956"/>
      <c r="S19" s="954"/>
      <c r="T19" s="1823">
        <v>1213</v>
      </c>
      <c r="U19" s="954"/>
      <c r="V19" s="954"/>
      <c r="W19" s="954"/>
      <c r="X19" s="1166"/>
      <c r="Y19" s="1144"/>
      <c r="Z19" s="1124"/>
      <c r="AA19" s="1124"/>
      <c r="AB19" s="1124"/>
      <c r="AC19" s="1124"/>
      <c r="AD19" s="1124"/>
      <c r="AE19" s="1124"/>
      <c r="AF19" s="1124"/>
      <c r="AG19" s="1282">
        <f t="shared" si="4"/>
        <v>1213</v>
      </c>
    </row>
    <row r="20" spans="1:33" ht="116.25" customHeight="1">
      <c r="A20" s="796">
        <v>1111</v>
      </c>
      <c r="B20" s="1723" t="s">
        <v>620</v>
      </c>
      <c r="C20" s="1073" t="s">
        <v>621</v>
      </c>
      <c r="D20" s="1292"/>
      <c r="E20" s="1293">
        <v>5</v>
      </c>
      <c r="F20" s="1294">
        <v>43206</v>
      </c>
      <c r="G20" s="1294">
        <f t="shared" si="3"/>
        <v>43210</v>
      </c>
      <c r="H20" s="1292" t="s">
        <v>622</v>
      </c>
      <c r="I20" s="1293" t="s">
        <v>170</v>
      </c>
      <c r="J20" s="643" t="s">
        <v>623</v>
      </c>
      <c r="K20" s="1292" t="s">
        <v>637</v>
      </c>
      <c r="L20" s="1231">
        <v>23174</v>
      </c>
      <c r="M20" s="1292"/>
      <c r="N20" s="1292"/>
      <c r="O20" s="647">
        <v>173</v>
      </c>
      <c r="P20" s="1292">
        <v>1</v>
      </c>
      <c r="Q20" s="1295">
        <f t="shared" si="5"/>
        <v>173</v>
      </c>
      <c r="R20" s="956"/>
      <c r="S20" s="954"/>
      <c r="T20" s="1823">
        <v>173</v>
      </c>
      <c r="U20" s="954"/>
      <c r="V20" s="954"/>
      <c r="W20" s="954"/>
      <c r="X20" s="1166"/>
      <c r="Y20" s="1144"/>
      <c r="Z20" s="1124"/>
      <c r="AA20" s="1124"/>
      <c r="AB20" s="1124"/>
      <c r="AC20" s="1124"/>
      <c r="AD20" s="1124"/>
      <c r="AE20" s="1124"/>
      <c r="AF20" s="1124"/>
      <c r="AG20" s="1282">
        <f t="shared" si="4"/>
        <v>173</v>
      </c>
    </row>
    <row r="21" spans="1:33" ht="116.25" customHeight="1">
      <c r="A21" s="796">
        <v>1111</v>
      </c>
      <c r="B21" s="1723" t="s">
        <v>620</v>
      </c>
      <c r="C21" s="1073" t="s">
        <v>621</v>
      </c>
      <c r="D21" s="1292"/>
      <c r="E21" s="1293">
        <v>5</v>
      </c>
      <c r="F21" s="1294">
        <v>43206</v>
      </c>
      <c r="G21" s="1294">
        <f t="shared" si="3"/>
        <v>43210</v>
      </c>
      <c r="H21" s="1292" t="s">
        <v>622</v>
      </c>
      <c r="I21" s="1293" t="s">
        <v>170</v>
      </c>
      <c r="J21" s="643" t="s">
        <v>623</v>
      </c>
      <c r="K21" s="1292" t="s">
        <v>638</v>
      </c>
      <c r="L21" s="1231">
        <v>23173</v>
      </c>
      <c r="M21" s="1292"/>
      <c r="N21" s="1292"/>
      <c r="O21" s="647">
        <v>300</v>
      </c>
      <c r="P21" s="1292">
        <v>1</v>
      </c>
      <c r="Q21" s="1295">
        <f t="shared" si="5"/>
        <v>300</v>
      </c>
      <c r="R21" s="956"/>
      <c r="S21" s="954"/>
      <c r="T21" s="1823">
        <v>300</v>
      </c>
      <c r="U21" s="954"/>
      <c r="V21" s="954"/>
      <c r="W21" s="954"/>
      <c r="X21" s="1166"/>
      <c r="Y21" s="1144"/>
      <c r="Z21" s="1124"/>
      <c r="AA21" s="1124"/>
      <c r="AB21" s="1124"/>
      <c r="AC21" s="1124"/>
      <c r="AD21" s="1124"/>
      <c r="AE21" s="1124"/>
      <c r="AF21" s="1124"/>
      <c r="AG21" s="1282">
        <f t="shared" si="4"/>
        <v>300</v>
      </c>
    </row>
    <row r="22" spans="1:33" ht="116.25" customHeight="1">
      <c r="A22" s="796">
        <v>1112</v>
      </c>
      <c r="B22" s="793" t="s">
        <v>640</v>
      </c>
      <c r="C22" s="1073" t="s">
        <v>641</v>
      </c>
      <c r="D22" s="1292"/>
      <c r="E22" s="1293">
        <v>5</v>
      </c>
      <c r="F22" s="1294">
        <v>43220</v>
      </c>
      <c r="G22" s="1294">
        <f t="shared" si="3"/>
        <v>43224</v>
      </c>
      <c r="H22" s="1292" t="s">
        <v>622</v>
      </c>
      <c r="I22" s="1293" t="s">
        <v>170</v>
      </c>
      <c r="J22" s="643" t="s">
        <v>642</v>
      </c>
      <c r="K22" s="1292" t="s">
        <v>643</v>
      </c>
      <c r="L22" s="1231">
        <v>23174</v>
      </c>
      <c r="M22" s="1292"/>
      <c r="N22" s="1292"/>
      <c r="O22" s="647">
        <v>60</v>
      </c>
      <c r="P22" s="1292">
        <v>1</v>
      </c>
      <c r="Q22" s="1295">
        <f t="shared" si="5"/>
        <v>60</v>
      </c>
      <c r="R22" s="956"/>
      <c r="S22" s="954"/>
      <c r="T22" s="1823">
        <v>60</v>
      </c>
      <c r="U22" s="805"/>
      <c r="V22" s="954"/>
      <c r="W22" s="954"/>
      <c r="X22" s="1166"/>
      <c r="Y22" s="1144"/>
      <c r="Z22" s="1124"/>
      <c r="AA22" s="1124"/>
      <c r="AB22" s="1124"/>
      <c r="AC22" s="1124"/>
      <c r="AD22" s="1124"/>
      <c r="AE22" s="1124"/>
      <c r="AF22" s="1124"/>
      <c r="AG22" s="1282">
        <f t="shared" si="4"/>
        <v>60</v>
      </c>
    </row>
    <row r="23" spans="1:33" ht="116.25" customHeight="1">
      <c r="A23" s="796">
        <v>1112</v>
      </c>
      <c r="B23" s="793" t="s">
        <v>640</v>
      </c>
      <c r="C23" s="1073" t="s">
        <v>641</v>
      </c>
      <c r="D23" s="1292"/>
      <c r="E23" s="1293">
        <v>5</v>
      </c>
      <c r="F23" s="1294">
        <v>43220</v>
      </c>
      <c r="G23" s="1294">
        <f t="shared" si="3"/>
        <v>43224</v>
      </c>
      <c r="H23" s="1292" t="s">
        <v>622</v>
      </c>
      <c r="I23" s="1293" t="s">
        <v>170</v>
      </c>
      <c r="J23" s="643" t="s">
        <v>642</v>
      </c>
      <c r="K23" s="1292" t="s">
        <v>644</v>
      </c>
      <c r="L23" s="1231">
        <v>23174</v>
      </c>
      <c r="M23" s="1292"/>
      <c r="N23" s="1292"/>
      <c r="O23" s="647">
        <v>66.666666666666671</v>
      </c>
      <c r="P23" s="1292">
        <v>1</v>
      </c>
      <c r="Q23" s="1295">
        <f t="shared" si="5"/>
        <v>66.666666666666671</v>
      </c>
      <c r="R23" s="956"/>
      <c r="S23" s="954"/>
      <c r="T23" s="1823">
        <v>66.666666666666671</v>
      </c>
      <c r="U23" s="805"/>
      <c r="V23" s="954"/>
      <c r="W23" s="954"/>
      <c r="X23" s="1166"/>
      <c r="Y23" s="1144"/>
      <c r="Z23" s="1124"/>
      <c r="AA23" s="1124"/>
      <c r="AB23" s="1124"/>
      <c r="AC23" s="1124"/>
      <c r="AD23" s="1124"/>
      <c r="AE23" s="1124"/>
      <c r="AF23" s="1124"/>
      <c r="AG23" s="1282">
        <f t="shared" si="4"/>
        <v>66.666666666666671</v>
      </c>
    </row>
    <row r="24" spans="1:33" ht="116.25" customHeight="1">
      <c r="A24" s="796">
        <v>1112</v>
      </c>
      <c r="B24" s="793" t="s">
        <v>640</v>
      </c>
      <c r="C24" s="1073" t="s">
        <v>641</v>
      </c>
      <c r="D24" s="1292"/>
      <c r="E24" s="1293">
        <v>5</v>
      </c>
      <c r="F24" s="1294">
        <v>43220</v>
      </c>
      <c r="G24" s="1294">
        <f t="shared" si="3"/>
        <v>43224</v>
      </c>
      <c r="H24" s="1292" t="s">
        <v>622</v>
      </c>
      <c r="I24" s="1293" t="s">
        <v>170</v>
      </c>
      <c r="J24" s="643" t="s">
        <v>642</v>
      </c>
      <c r="K24" s="1292" t="s">
        <v>645</v>
      </c>
      <c r="L24" s="1231">
        <v>23174</v>
      </c>
      <c r="M24" s="1292"/>
      <c r="N24" s="1292"/>
      <c r="O24" s="647">
        <v>50</v>
      </c>
      <c r="P24" s="1292">
        <v>1</v>
      </c>
      <c r="Q24" s="1295">
        <f t="shared" si="5"/>
        <v>50</v>
      </c>
      <c r="R24" s="956"/>
      <c r="S24" s="954"/>
      <c r="T24" s="1823">
        <v>50</v>
      </c>
      <c r="U24" s="805"/>
      <c r="V24" s="954"/>
      <c r="W24" s="954"/>
      <c r="X24" s="1166"/>
      <c r="Y24" s="1144"/>
      <c r="Z24" s="1124"/>
      <c r="AA24" s="1124"/>
      <c r="AB24" s="1124"/>
      <c r="AC24" s="1124"/>
      <c r="AD24" s="1124"/>
      <c r="AE24" s="1124"/>
      <c r="AF24" s="1124"/>
      <c r="AG24" s="1282">
        <f t="shared" si="4"/>
        <v>50</v>
      </c>
    </row>
    <row r="25" spans="1:33" ht="116.25" customHeight="1">
      <c r="A25" s="796">
        <v>1112</v>
      </c>
      <c r="B25" s="793" t="s">
        <v>640</v>
      </c>
      <c r="C25" s="1073" t="s">
        <v>641</v>
      </c>
      <c r="D25" s="1292"/>
      <c r="E25" s="1293">
        <v>5</v>
      </c>
      <c r="F25" s="1294">
        <v>43220</v>
      </c>
      <c r="G25" s="1294">
        <f t="shared" si="3"/>
        <v>43224</v>
      </c>
      <c r="H25" s="1292" t="s">
        <v>622</v>
      </c>
      <c r="I25" s="1293" t="s">
        <v>170</v>
      </c>
      <c r="J25" s="643" t="s">
        <v>642</v>
      </c>
      <c r="K25" s="1292" t="s">
        <v>646</v>
      </c>
      <c r="L25" s="1231">
        <v>23174</v>
      </c>
      <c r="M25" s="1292"/>
      <c r="N25" s="1292"/>
      <c r="O25" s="647">
        <v>33.333333333333336</v>
      </c>
      <c r="P25" s="1292">
        <v>1</v>
      </c>
      <c r="Q25" s="1295">
        <f t="shared" si="5"/>
        <v>33.333333333333336</v>
      </c>
      <c r="R25" s="956"/>
      <c r="S25" s="954"/>
      <c r="T25" s="1823">
        <v>33.333333333333336</v>
      </c>
      <c r="U25" s="805"/>
      <c r="V25" s="954"/>
      <c r="W25" s="954"/>
      <c r="X25" s="1166"/>
      <c r="Y25" s="1144"/>
      <c r="Z25" s="1124"/>
      <c r="AA25" s="1124"/>
      <c r="AB25" s="1124"/>
      <c r="AC25" s="1124"/>
      <c r="AD25" s="1124"/>
      <c r="AE25" s="1124"/>
      <c r="AF25" s="1124"/>
      <c r="AG25" s="1282">
        <f t="shared" si="4"/>
        <v>33.333333333333336</v>
      </c>
    </row>
    <row r="26" spans="1:33" ht="116.25" customHeight="1">
      <c r="A26" s="796">
        <v>1112</v>
      </c>
      <c r="B26" s="793" t="s">
        <v>640</v>
      </c>
      <c r="C26" s="1073" t="s">
        <v>641</v>
      </c>
      <c r="D26" s="1292"/>
      <c r="E26" s="1293">
        <v>5</v>
      </c>
      <c r="F26" s="1294">
        <v>43220</v>
      </c>
      <c r="G26" s="1294">
        <f t="shared" si="3"/>
        <v>43224</v>
      </c>
      <c r="H26" s="1292" t="s">
        <v>622</v>
      </c>
      <c r="I26" s="1293" t="s">
        <v>170</v>
      </c>
      <c r="J26" s="643" t="s">
        <v>642</v>
      </c>
      <c r="K26" s="1292" t="s">
        <v>647</v>
      </c>
      <c r="L26" s="1231">
        <v>23174</v>
      </c>
      <c r="M26" s="1292"/>
      <c r="N26" s="1292"/>
      <c r="O26" s="647">
        <v>588</v>
      </c>
      <c r="P26" s="1292">
        <v>1</v>
      </c>
      <c r="Q26" s="1295">
        <f t="shared" si="5"/>
        <v>588</v>
      </c>
      <c r="R26" s="956"/>
      <c r="S26" s="954"/>
      <c r="T26" s="805"/>
      <c r="U26" s="1823">
        <v>588</v>
      </c>
      <c r="V26" s="954"/>
      <c r="W26" s="954"/>
      <c r="X26" s="1166"/>
      <c r="Y26" s="1144"/>
      <c r="Z26" s="1124"/>
      <c r="AA26" s="1124"/>
      <c r="AB26" s="1124"/>
      <c r="AC26" s="1124"/>
      <c r="AD26" s="1124"/>
      <c r="AE26" s="1124"/>
      <c r="AF26" s="1124"/>
      <c r="AG26" s="1282">
        <f t="shared" si="4"/>
        <v>588</v>
      </c>
    </row>
    <row r="27" spans="1:33" ht="116.25" customHeight="1">
      <c r="A27" s="796">
        <v>1112</v>
      </c>
      <c r="B27" s="793" t="s">
        <v>640</v>
      </c>
      <c r="C27" s="1073" t="s">
        <v>641</v>
      </c>
      <c r="D27" s="1292"/>
      <c r="E27" s="1293">
        <v>5</v>
      </c>
      <c r="F27" s="1294">
        <v>43220</v>
      </c>
      <c r="G27" s="1294">
        <f t="shared" si="3"/>
        <v>43224</v>
      </c>
      <c r="H27" s="1292" t="s">
        <v>622</v>
      </c>
      <c r="I27" s="1293" t="s">
        <v>170</v>
      </c>
      <c r="J27" s="643" t="s">
        <v>642</v>
      </c>
      <c r="K27" s="1292" t="s">
        <v>648</v>
      </c>
      <c r="L27" s="1231">
        <v>23174</v>
      </c>
      <c r="M27" s="1292"/>
      <c r="N27" s="1292"/>
      <c r="O27" s="647">
        <v>653.33333333333337</v>
      </c>
      <c r="P27" s="1292">
        <v>1</v>
      </c>
      <c r="Q27" s="1295">
        <f t="shared" si="5"/>
        <v>653.33333333333337</v>
      </c>
      <c r="R27" s="956"/>
      <c r="S27" s="954"/>
      <c r="T27" s="805"/>
      <c r="U27" s="1823">
        <v>653.33333333333337</v>
      </c>
      <c r="V27" s="954"/>
      <c r="W27" s="954"/>
      <c r="X27" s="1166"/>
      <c r="Y27" s="1144"/>
      <c r="Z27" s="1124"/>
      <c r="AA27" s="1124"/>
      <c r="AB27" s="1124"/>
      <c r="AC27" s="1124"/>
      <c r="AD27" s="1124"/>
      <c r="AE27" s="1124"/>
      <c r="AF27" s="1124"/>
      <c r="AG27" s="1282">
        <f t="shared" si="4"/>
        <v>653.33333333333337</v>
      </c>
    </row>
    <row r="28" spans="1:33" ht="116.25" customHeight="1">
      <c r="A28" s="796">
        <v>1112</v>
      </c>
      <c r="B28" s="793" t="s">
        <v>640</v>
      </c>
      <c r="C28" s="1073" t="s">
        <v>641</v>
      </c>
      <c r="D28" s="1292"/>
      <c r="E28" s="1293">
        <v>5</v>
      </c>
      <c r="F28" s="1294">
        <v>43220</v>
      </c>
      <c r="G28" s="1294">
        <f t="shared" si="3"/>
        <v>43224</v>
      </c>
      <c r="H28" s="1292" t="s">
        <v>622</v>
      </c>
      <c r="I28" s="1293" t="s">
        <v>170</v>
      </c>
      <c r="J28" s="643" t="s">
        <v>642</v>
      </c>
      <c r="K28" s="1292" t="s">
        <v>649</v>
      </c>
      <c r="L28" s="1231">
        <v>23174</v>
      </c>
      <c r="M28" s="1292"/>
      <c r="N28" s="1292"/>
      <c r="O28" s="647">
        <v>490</v>
      </c>
      <c r="P28" s="1292">
        <v>1</v>
      </c>
      <c r="Q28" s="1295">
        <f t="shared" si="5"/>
        <v>490</v>
      </c>
      <c r="R28" s="956"/>
      <c r="S28" s="954"/>
      <c r="T28" s="805"/>
      <c r="U28" s="1823">
        <v>490</v>
      </c>
      <c r="V28" s="954"/>
      <c r="W28" s="954"/>
      <c r="X28" s="1166"/>
      <c r="Y28" s="1144"/>
      <c r="Z28" s="1124"/>
      <c r="AA28" s="1124"/>
      <c r="AB28" s="1124"/>
      <c r="AC28" s="1124"/>
      <c r="AD28" s="1124"/>
      <c r="AE28" s="1124"/>
      <c r="AF28" s="1124"/>
      <c r="AG28" s="1282">
        <f t="shared" si="4"/>
        <v>490</v>
      </c>
    </row>
    <row r="29" spans="1:33" ht="116.25" customHeight="1">
      <c r="A29" s="796">
        <v>1112</v>
      </c>
      <c r="B29" s="793" t="s">
        <v>640</v>
      </c>
      <c r="C29" s="1073" t="s">
        <v>641</v>
      </c>
      <c r="D29" s="1292"/>
      <c r="E29" s="1293">
        <v>5</v>
      </c>
      <c r="F29" s="1294">
        <v>43220</v>
      </c>
      <c r="G29" s="1294">
        <f t="shared" si="3"/>
        <v>43224</v>
      </c>
      <c r="H29" s="1292" t="s">
        <v>622</v>
      </c>
      <c r="I29" s="1293" t="s">
        <v>170</v>
      </c>
      <c r="J29" s="643" t="s">
        <v>642</v>
      </c>
      <c r="K29" s="1292" t="s">
        <v>650</v>
      </c>
      <c r="L29" s="1231">
        <v>23174</v>
      </c>
      <c r="M29" s="1292"/>
      <c r="N29" s="1292"/>
      <c r="O29" s="647">
        <v>326.66666666666669</v>
      </c>
      <c r="P29" s="1292">
        <v>1</v>
      </c>
      <c r="Q29" s="1295">
        <f t="shared" si="5"/>
        <v>326.66666666666669</v>
      </c>
      <c r="R29" s="956"/>
      <c r="S29" s="954"/>
      <c r="T29" s="805"/>
      <c r="U29" s="1823">
        <v>326.66666666666669</v>
      </c>
      <c r="V29" s="954"/>
      <c r="W29" s="954"/>
      <c r="X29" s="1166"/>
      <c r="Y29" s="1144"/>
      <c r="Z29" s="1124"/>
      <c r="AA29" s="1124"/>
      <c r="AB29" s="1124"/>
      <c r="AC29" s="1124"/>
      <c r="AD29" s="1124"/>
      <c r="AE29" s="1124"/>
      <c r="AF29" s="1124"/>
      <c r="AG29" s="1282">
        <f t="shared" si="4"/>
        <v>326.66666666666669</v>
      </c>
    </row>
    <row r="30" spans="1:33" ht="116.25" customHeight="1">
      <c r="A30" s="796">
        <v>1112</v>
      </c>
      <c r="B30" s="793" t="s">
        <v>640</v>
      </c>
      <c r="C30" s="1073" t="s">
        <v>641</v>
      </c>
      <c r="D30" s="1292"/>
      <c r="E30" s="1293">
        <v>5</v>
      </c>
      <c r="F30" s="1294">
        <v>43220</v>
      </c>
      <c r="G30" s="1294">
        <f t="shared" si="3"/>
        <v>43224</v>
      </c>
      <c r="H30" s="1292" t="s">
        <v>622</v>
      </c>
      <c r="I30" s="1293" t="s">
        <v>170</v>
      </c>
      <c r="J30" s="643" t="s">
        <v>642</v>
      </c>
      <c r="K30" s="1292" t="s">
        <v>651</v>
      </c>
      <c r="L30" s="1231">
        <v>23174</v>
      </c>
      <c r="M30" s="1292"/>
      <c r="N30" s="1292"/>
      <c r="O30" s="647">
        <v>6347</v>
      </c>
      <c r="P30" s="1292">
        <v>1</v>
      </c>
      <c r="Q30" s="1295">
        <f t="shared" si="5"/>
        <v>6347</v>
      </c>
      <c r="R30" s="956"/>
      <c r="S30" s="954"/>
      <c r="T30" s="1823">
        <v>6347</v>
      </c>
      <c r="U30" s="805"/>
      <c r="V30" s="954"/>
      <c r="W30" s="954"/>
      <c r="X30" s="1166"/>
      <c r="Y30" s="1144"/>
      <c r="Z30" s="1124"/>
      <c r="AA30" s="1124"/>
      <c r="AB30" s="1124"/>
      <c r="AC30" s="1124"/>
      <c r="AD30" s="1124"/>
      <c r="AE30" s="1124"/>
      <c r="AF30" s="1124"/>
      <c r="AG30" s="1282">
        <f t="shared" si="4"/>
        <v>6347</v>
      </c>
    </row>
    <row r="31" spans="1:33" ht="116.25" customHeight="1">
      <c r="A31" s="796">
        <v>1112</v>
      </c>
      <c r="B31" s="793" t="s">
        <v>640</v>
      </c>
      <c r="C31" s="1073" t="s">
        <v>641</v>
      </c>
      <c r="D31" s="1292"/>
      <c r="E31" s="1293">
        <v>5</v>
      </c>
      <c r="F31" s="1294">
        <v>43220</v>
      </c>
      <c r="G31" s="1294">
        <f t="shared" si="3"/>
        <v>43224</v>
      </c>
      <c r="H31" s="1292" t="s">
        <v>622</v>
      </c>
      <c r="I31" s="1293" t="s">
        <v>170</v>
      </c>
      <c r="J31" s="643" t="s">
        <v>642</v>
      </c>
      <c r="K31" s="1292" t="s">
        <v>652</v>
      </c>
      <c r="L31" s="1231">
        <v>23174</v>
      </c>
      <c r="M31" s="1292"/>
      <c r="N31" s="1292"/>
      <c r="O31" s="647">
        <v>924</v>
      </c>
      <c r="P31" s="1292">
        <v>1</v>
      </c>
      <c r="Q31" s="1295">
        <f t="shared" si="5"/>
        <v>924</v>
      </c>
      <c r="R31" s="956"/>
      <c r="S31" s="954"/>
      <c r="T31" s="805"/>
      <c r="U31" s="1823">
        <v>924</v>
      </c>
      <c r="V31" s="954"/>
      <c r="W31" s="954"/>
      <c r="X31" s="1166"/>
      <c r="Y31" s="1144"/>
      <c r="Z31" s="1124"/>
      <c r="AA31" s="1124"/>
      <c r="AB31" s="1124"/>
      <c r="AC31" s="1124"/>
      <c r="AD31" s="1124"/>
      <c r="AE31" s="1124"/>
      <c r="AF31" s="1124"/>
      <c r="AG31" s="1282">
        <f t="shared" si="4"/>
        <v>924</v>
      </c>
    </row>
    <row r="32" spans="1:33" ht="116.25" customHeight="1">
      <c r="A32" s="796">
        <v>1112</v>
      </c>
      <c r="B32" s="793" t="s">
        <v>640</v>
      </c>
      <c r="C32" s="1073" t="s">
        <v>641</v>
      </c>
      <c r="D32" s="1292"/>
      <c r="E32" s="1293">
        <v>5</v>
      </c>
      <c r="F32" s="1294">
        <v>43220</v>
      </c>
      <c r="G32" s="1294">
        <f t="shared" si="3"/>
        <v>43224</v>
      </c>
      <c r="H32" s="1292" t="s">
        <v>622</v>
      </c>
      <c r="I32" s="1293" t="s">
        <v>170</v>
      </c>
      <c r="J32" s="643" t="s">
        <v>642</v>
      </c>
      <c r="K32" s="1292" t="s">
        <v>653</v>
      </c>
      <c r="L32" s="1231">
        <v>23174</v>
      </c>
      <c r="M32" s="1292"/>
      <c r="N32" s="1292"/>
      <c r="O32" s="647">
        <v>1026.6666666666665</v>
      </c>
      <c r="P32" s="1292">
        <v>1</v>
      </c>
      <c r="Q32" s="1295">
        <f t="shared" si="5"/>
        <v>1026.6666666666665</v>
      </c>
      <c r="R32" s="956"/>
      <c r="S32" s="954"/>
      <c r="T32" s="805"/>
      <c r="U32" s="1823">
        <v>1026.6666666666665</v>
      </c>
      <c r="V32" s="954"/>
      <c r="W32" s="954"/>
      <c r="X32" s="1166"/>
      <c r="Y32" s="1144"/>
      <c r="Z32" s="1124"/>
      <c r="AA32" s="1124"/>
      <c r="AB32" s="1124"/>
      <c r="AC32" s="1124"/>
      <c r="AD32" s="1124"/>
      <c r="AE32" s="1124"/>
      <c r="AF32" s="1124"/>
      <c r="AG32" s="1282">
        <f t="shared" si="4"/>
        <v>1026.6666666666665</v>
      </c>
    </row>
    <row r="33" spans="1:33" ht="116.25" customHeight="1">
      <c r="A33" s="796">
        <v>1112</v>
      </c>
      <c r="B33" s="793" t="s">
        <v>640</v>
      </c>
      <c r="C33" s="1073" t="s">
        <v>641</v>
      </c>
      <c r="D33" s="1292"/>
      <c r="E33" s="1293">
        <v>5</v>
      </c>
      <c r="F33" s="1294">
        <v>43220</v>
      </c>
      <c r="G33" s="1294">
        <f t="shared" si="3"/>
        <v>43224</v>
      </c>
      <c r="H33" s="1292" t="s">
        <v>622</v>
      </c>
      <c r="I33" s="1293"/>
      <c r="J33" s="643"/>
      <c r="K33" s="1292" t="s">
        <v>654</v>
      </c>
      <c r="L33" s="1231">
        <v>23174</v>
      </c>
      <c r="M33" s="1292"/>
      <c r="N33" s="1292"/>
      <c r="O33" s="647">
        <v>770</v>
      </c>
      <c r="P33" s="1292">
        <v>1</v>
      </c>
      <c r="Q33" s="1295">
        <f t="shared" si="5"/>
        <v>770</v>
      </c>
      <c r="R33" s="956"/>
      <c r="S33" s="954"/>
      <c r="T33" s="805"/>
      <c r="U33" s="1823">
        <v>770</v>
      </c>
      <c r="V33" s="954"/>
      <c r="W33" s="954"/>
      <c r="X33" s="1166"/>
      <c r="Y33" s="1144"/>
      <c r="Z33" s="1124"/>
      <c r="AA33" s="1124"/>
      <c r="AB33" s="1124"/>
      <c r="AC33" s="1124"/>
      <c r="AD33" s="1124"/>
      <c r="AE33" s="1124"/>
      <c r="AF33" s="1124"/>
      <c r="AG33" s="1282">
        <f t="shared" si="4"/>
        <v>770</v>
      </c>
    </row>
    <row r="34" spans="1:33" ht="116.25" customHeight="1">
      <c r="A34" s="796">
        <v>1112</v>
      </c>
      <c r="B34" s="793" t="s">
        <v>640</v>
      </c>
      <c r="C34" s="1073" t="s">
        <v>641</v>
      </c>
      <c r="D34" s="1292"/>
      <c r="E34" s="1293">
        <v>5</v>
      </c>
      <c r="F34" s="1294">
        <v>43220</v>
      </c>
      <c r="G34" s="1294">
        <f t="shared" si="3"/>
        <v>43224</v>
      </c>
      <c r="H34" s="1292" t="s">
        <v>622</v>
      </c>
      <c r="I34" s="1293"/>
      <c r="J34" s="643"/>
      <c r="K34" s="1292" t="s">
        <v>655</v>
      </c>
      <c r="L34" s="1231">
        <v>23174</v>
      </c>
      <c r="M34" s="1292"/>
      <c r="N34" s="1292"/>
      <c r="O34" s="647">
        <v>513</v>
      </c>
      <c r="P34" s="1292">
        <v>1</v>
      </c>
      <c r="Q34" s="1295">
        <f t="shared" si="5"/>
        <v>513</v>
      </c>
      <c r="R34" s="956"/>
      <c r="S34" s="954"/>
      <c r="T34" s="805"/>
      <c r="U34" s="1823">
        <v>513</v>
      </c>
      <c r="V34" s="954"/>
      <c r="W34" s="954"/>
      <c r="X34" s="1166"/>
      <c r="Y34" s="1144"/>
      <c r="Z34" s="1124"/>
      <c r="AA34" s="1124"/>
      <c r="AB34" s="1124"/>
      <c r="AC34" s="1124"/>
      <c r="AD34" s="1124"/>
      <c r="AE34" s="1124"/>
      <c r="AF34" s="1124"/>
      <c r="AG34" s="1282">
        <f t="shared" si="4"/>
        <v>513</v>
      </c>
    </row>
    <row r="35" spans="1:33" ht="116.25" customHeight="1">
      <c r="A35" s="796">
        <v>1112</v>
      </c>
      <c r="B35" s="793" t="s">
        <v>640</v>
      </c>
      <c r="C35" s="1073" t="s">
        <v>641</v>
      </c>
      <c r="D35" s="1292"/>
      <c r="E35" s="1293">
        <v>5</v>
      </c>
      <c r="F35" s="1294">
        <v>43220</v>
      </c>
      <c r="G35" s="1294">
        <f t="shared" si="3"/>
        <v>43224</v>
      </c>
      <c r="H35" s="1292" t="s">
        <v>622</v>
      </c>
      <c r="I35" s="1293" t="s">
        <v>170</v>
      </c>
      <c r="J35" s="643" t="s">
        <v>642</v>
      </c>
      <c r="K35" s="1292" t="s">
        <v>656</v>
      </c>
      <c r="L35" s="1231">
        <v>23174</v>
      </c>
      <c r="M35" s="1292"/>
      <c r="N35" s="1292"/>
      <c r="O35" s="647">
        <v>1764</v>
      </c>
      <c r="P35" s="1292">
        <v>1</v>
      </c>
      <c r="Q35" s="1295">
        <f t="shared" si="5"/>
        <v>1764</v>
      </c>
      <c r="R35" s="956"/>
      <c r="S35" s="954"/>
      <c r="T35" s="805"/>
      <c r="U35" s="1823">
        <v>1764</v>
      </c>
      <c r="V35" s="954"/>
      <c r="W35" s="954"/>
      <c r="X35" s="1166"/>
      <c r="Y35" s="1144"/>
      <c r="Z35" s="1124"/>
      <c r="AA35" s="1124"/>
      <c r="AB35" s="1124"/>
      <c r="AC35" s="1124"/>
      <c r="AD35" s="1124"/>
      <c r="AE35" s="1124"/>
      <c r="AF35" s="1124"/>
      <c r="AG35" s="1282">
        <f t="shared" si="4"/>
        <v>1764</v>
      </c>
    </row>
    <row r="36" spans="1:33" ht="116.25" customHeight="1">
      <c r="A36" s="796">
        <v>1112</v>
      </c>
      <c r="B36" s="793" t="s">
        <v>640</v>
      </c>
      <c r="C36" s="1073" t="s">
        <v>641</v>
      </c>
      <c r="D36" s="1292"/>
      <c r="E36" s="1293">
        <v>5</v>
      </c>
      <c r="F36" s="1294">
        <v>43220</v>
      </c>
      <c r="G36" s="1294">
        <f t="shared" si="3"/>
        <v>43224</v>
      </c>
      <c r="H36" s="1292" t="s">
        <v>622</v>
      </c>
      <c r="I36" s="1293" t="s">
        <v>170</v>
      </c>
      <c r="J36" s="643" t="s">
        <v>642</v>
      </c>
      <c r="K36" s="1292" t="s">
        <v>657</v>
      </c>
      <c r="L36" s="1231">
        <v>23174</v>
      </c>
      <c r="M36" s="1292"/>
      <c r="N36" s="1292"/>
      <c r="O36" s="647">
        <v>1960</v>
      </c>
      <c r="P36" s="1292">
        <v>1</v>
      </c>
      <c r="Q36" s="1295">
        <f t="shared" si="5"/>
        <v>1960</v>
      </c>
      <c r="R36" s="956"/>
      <c r="S36" s="954"/>
      <c r="T36" s="805"/>
      <c r="U36" s="1823">
        <v>1960</v>
      </c>
      <c r="V36" s="954"/>
      <c r="W36" s="954"/>
      <c r="X36" s="1166"/>
      <c r="Y36" s="1144"/>
      <c r="Z36" s="1124"/>
      <c r="AA36" s="1124"/>
      <c r="AB36" s="1124"/>
      <c r="AC36" s="1124"/>
      <c r="AD36" s="1124"/>
      <c r="AE36" s="1124"/>
      <c r="AF36" s="1124"/>
      <c r="AG36" s="1282">
        <f t="shared" si="4"/>
        <v>1960</v>
      </c>
    </row>
    <row r="37" spans="1:33" ht="116.25" customHeight="1">
      <c r="A37" s="796">
        <v>1112</v>
      </c>
      <c r="B37" s="793" t="s">
        <v>640</v>
      </c>
      <c r="C37" s="1073" t="s">
        <v>641</v>
      </c>
      <c r="D37" s="1292"/>
      <c r="E37" s="1293">
        <v>5</v>
      </c>
      <c r="F37" s="1294">
        <v>43220</v>
      </c>
      <c r="G37" s="1294">
        <f t="shared" si="3"/>
        <v>43224</v>
      </c>
      <c r="H37" s="1292" t="s">
        <v>622</v>
      </c>
      <c r="I37" s="1293"/>
      <c r="J37" s="643"/>
      <c r="K37" s="1292" t="s">
        <v>658</v>
      </c>
      <c r="L37" s="1231">
        <v>23174</v>
      </c>
      <c r="M37" s="1292"/>
      <c r="N37" s="1292"/>
      <c r="O37" s="647">
        <v>1960</v>
      </c>
      <c r="P37" s="1292">
        <v>1</v>
      </c>
      <c r="Q37" s="1295">
        <f t="shared" si="5"/>
        <v>1960</v>
      </c>
      <c r="R37" s="956"/>
      <c r="S37" s="954"/>
      <c r="T37" s="805"/>
      <c r="U37" s="1823">
        <v>1960</v>
      </c>
      <c r="V37" s="954"/>
      <c r="W37" s="954"/>
      <c r="X37" s="1166"/>
      <c r="Y37" s="1144"/>
      <c r="Z37" s="1124"/>
      <c r="AA37" s="1124"/>
      <c r="AB37" s="1124"/>
      <c r="AC37" s="1124"/>
      <c r="AD37" s="1124"/>
      <c r="AE37" s="1124"/>
      <c r="AF37" s="1124"/>
      <c r="AG37" s="1282">
        <f t="shared" si="4"/>
        <v>1960</v>
      </c>
    </row>
    <row r="38" spans="1:33" ht="116.25" customHeight="1">
      <c r="A38" s="796">
        <v>1112</v>
      </c>
      <c r="B38" s="793" t="s">
        <v>640</v>
      </c>
      <c r="C38" s="1073" t="s">
        <v>641</v>
      </c>
      <c r="D38" s="1292"/>
      <c r="E38" s="1293">
        <v>5</v>
      </c>
      <c r="F38" s="1294">
        <v>43220</v>
      </c>
      <c r="G38" s="1294">
        <f t="shared" si="3"/>
        <v>43224</v>
      </c>
      <c r="H38" s="1292" t="s">
        <v>622</v>
      </c>
      <c r="I38" s="1293" t="s">
        <v>170</v>
      </c>
      <c r="J38" s="643" t="s">
        <v>642</v>
      </c>
      <c r="K38" s="1292" t="s">
        <v>659</v>
      </c>
      <c r="L38" s="1231">
        <v>23174</v>
      </c>
      <c r="M38" s="1292"/>
      <c r="N38" s="1292"/>
      <c r="O38" s="647">
        <v>84</v>
      </c>
      <c r="P38" s="1292">
        <v>1</v>
      </c>
      <c r="Q38" s="1295">
        <f t="shared" si="5"/>
        <v>84</v>
      </c>
      <c r="R38" s="956"/>
      <c r="S38" s="954"/>
      <c r="T38" s="1823">
        <v>84</v>
      </c>
      <c r="U38" s="805"/>
      <c r="V38" s="954"/>
      <c r="W38" s="954"/>
      <c r="X38" s="1166"/>
      <c r="Y38" s="1144"/>
      <c r="Z38" s="1124"/>
      <c r="AA38" s="1124"/>
      <c r="AB38" s="1124"/>
      <c r="AC38" s="1124"/>
      <c r="AD38" s="1124"/>
      <c r="AE38" s="1124"/>
      <c r="AF38" s="1124"/>
      <c r="AG38" s="1282">
        <f t="shared" si="4"/>
        <v>84</v>
      </c>
    </row>
    <row r="39" spans="1:33" ht="116.25" customHeight="1">
      <c r="A39" s="796">
        <v>1112</v>
      </c>
      <c r="B39" s="793" t="s">
        <v>640</v>
      </c>
      <c r="C39" s="1073" t="s">
        <v>641</v>
      </c>
      <c r="D39" s="1292"/>
      <c r="E39" s="1293">
        <v>5</v>
      </c>
      <c r="F39" s="1294">
        <v>43220</v>
      </c>
      <c r="G39" s="1294">
        <f t="shared" si="3"/>
        <v>43224</v>
      </c>
      <c r="H39" s="1292" t="s">
        <v>622</v>
      </c>
      <c r="I39" s="1293" t="s">
        <v>170</v>
      </c>
      <c r="J39" s="643" t="s">
        <v>642</v>
      </c>
      <c r="K39" s="1292" t="s">
        <v>660</v>
      </c>
      <c r="L39" s="1231">
        <v>23174</v>
      </c>
      <c r="M39" s="1292"/>
      <c r="N39" s="1292"/>
      <c r="O39" s="647">
        <v>93.333333333333343</v>
      </c>
      <c r="P39" s="1292">
        <v>1</v>
      </c>
      <c r="Q39" s="1295">
        <f t="shared" si="5"/>
        <v>93.333333333333343</v>
      </c>
      <c r="R39" s="956"/>
      <c r="S39" s="954"/>
      <c r="T39" s="1823">
        <v>93.333333333333343</v>
      </c>
      <c r="U39" s="805"/>
      <c r="V39" s="954"/>
      <c r="W39" s="954"/>
      <c r="X39" s="1166"/>
      <c r="Y39" s="1144"/>
      <c r="Z39" s="1124"/>
      <c r="AA39" s="1124"/>
      <c r="AB39" s="1124"/>
      <c r="AC39" s="1124"/>
      <c r="AD39" s="1124"/>
      <c r="AE39" s="1124"/>
      <c r="AF39" s="1124"/>
      <c r="AG39" s="1282">
        <f t="shared" si="4"/>
        <v>93.333333333333343</v>
      </c>
    </row>
    <row r="40" spans="1:33" ht="116.25" customHeight="1">
      <c r="A40" s="796">
        <v>1112</v>
      </c>
      <c r="B40" s="793" t="s">
        <v>640</v>
      </c>
      <c r="C40" s="1073" t="s">
        <v>641</v>
      </c>
      <c r="D40" s="1292"/>
      <c r="E40" s="1293">
        <v>5</v>
      </c>
      <c r="F40" s="1294">
        <v>43220</v>
      </c>
      <c r="G40" s="1294">
        <f t="shared" si="3"/>
        <v>43224</v>
      </c>
      <c r="H40" s="1292" t="s">
        <v>622</v>
      </c>
      <c r="I40" s="1293" t="s">
        <v>170</v>
      </c>
      <c r="J40" s="643" t="s">
        <v>642</v>
      </c>
      <c r="K40" s="1292" t="s">
        <v>661</v>
      </c>
      <c r="L40" s="1231">
        <v>23174</v>
      </c>
      <c r="M40" s="1292"/>
      <c r="N40" s="1292"/>
      <c r="O40" s="647">
        <v>70</v>
      </c>
      <c r="P40" s="1292">
        <v>1</v>
      </c>
      <c r="Q40" s="1295">
        <f t="shared" si="5"/>
        <v>70</v>
      </c>
      <c r="R40" s="956"/>
      <c r="S40" s="954"/>
      <c r="T40" s="1823">
        <v>70</v>
      </c>
      <c r="U40" s="805"/>
      <c r="V40" s="954"/>
      <c r="W40" s="954"/>
      <c r="X40" s="1166"/>
      <c r="Y40" s="1144"/>
      <c r="Z40" s="1124"/>
      <c r="AA40" s="1124"/>
      <c r="AB40" s="1124"/>
      <c r="AC40" s="1124"/>
      <c r="AD40" s="1124"/>
      <c r="AE40" s="1124"/>
      <c r="AF40" s="1124"/>
      <c r="AG40" s="1282">
        <f t="shared" si="4"/>
        <v>70</v>
      </c>
    </row>
    <row r="41" spans="1:33" ht="116.25" customHeight="1">
      <c r="A41" s="796">
        <v>1112</v>
      </c>
      <c r="B41" s="793" t="s">
        <v>640</v>
      </c>
      <c r="C41" s="1073" t="s">
        <v>641</v>
      </c>
      <c r="D41" s="1292"/>
      <c r="E41" s="1293">
        <v>5</v>
      </c>
      <c r="F41" s="1294">
        <v>43220</v>
      </c>
      <c r="G41" s="1294">
        <f t="shared" si="3"/>
        <v>43224</v>
      </c>
      <c r="H41" s="1292" t="s">
        <v>622</v>
      </c>
      <c r="I41" s="1293" t="s">
        <v>170</v>
      </c>
      <c r="J41" s="643" t="s">
        <v>642</v>
      </c>
      <c r="K41" s="1292" t="s">
        <v>662</v>
      </c>
      <c r="L41" s="1231">
        <v>23174</v>
      </c>
      <c r="M41" s="1292"/>
      <c r="N41" s="1292"/>
      <c r="O41" s="647">
        <v>46.666666666666671</v>
      </c>
      <c r="P41" s="1292">
        <v>1</v>
      </c>
      <c r="Q41" s="1295">
        <f t="shared" si="5"/>
        <v>46.666666666666671</v>
      </c>
      <c r="R41" s="956"/>
      <c r="S41" s="954"/>
      <c r="T41" s="1823">
        <v>46.666666666666671</v>
      </c>
      <c r="U41" s="805"/>
      <c r="V41" s="954"/>
      <c r="W41" s="954"/>
      <c r="X41" s="1166"/>
      <c r="Y41" s="1144"/>
      <c r="Z41" s="1124"/>
      <c r="AA41" s="1124"/>
      <c r="AB41" s="1124"/>
      <c r="AC41" s="1124"/>
      <c r="AD41" s="1124"/>
      <c r="AE41" s="1124"/>
      <c r="AF41" s="1124"/>
      <c r="AG41" s="1282">
        <f t="shared" si="4"/>
        <v>46.666666666666671</v>
      </c>
    </row>
    <row r="42" spans="1:33" ht="116.25" customHeight="1">
      <c r="A42" s="796">
        <v>1112</v>
      </c>
      <c r="B42" s="793" t="s">
        <v>640</v>
      </c>
      <c r="C42" s="1073" t="s">
        <v>641</v>
      </c>
      <c r="D42" s="1292"/>
      <c r="E42" s="1293">
        <v>5</v>
      </c>
      <c r="F42" s="1294">
        <v>43220</v>
      </c>
      <c r="G42" s="1294">
        <f t="shared" si="3"/>
        <v>43224</v>
      </c>
      <c r="H42" s="1292" t="s">
        <v>622</v>
      </c>
      <c r="I42" s="1293" t="s">
        <v>170</v>
      </c>
      <c r="J42" s="643" t="s">
        <v>642</v>
      </c>
      <c r="K42" s="1292" t="s">
        <v>663</v>
      </c>
      <c r="L42" s="1231">
        <v>23174</v>
      </c>
      <c r="M42" s="1292"/>
      <c r="N42" s="1292"/>
      <c r="O42" s="647">
        <v>1176</v>
      </c>
      <c r="P42" s="1292">
        <v>1</v>
      </c>
      <c r="Q42" s="1295">
        <f t="shared" si="5"/>
        <v>1176</v>
      </c>
      <c r="R42" s="956"/>
      <c r="S42" s="954"/>
      <c r="T42" s="805"/>
      <c r="U42" s="1823">
        <v>1176</v>
      </c>
      <c r="V42" s="954"/>
      <c r="W42" s="954"/>
      <c r="X42" s="1166"/>
      <c r="Y42" s="1144"/>
      <c r="Z42" s="1124"/>
      <c r="AA42" s="1124"/>
      <c r="AB42" s="1124"/>
      <c r="AC42" s="1124"/>
      <c r="AD42" s="1124"/>
      <c r="AE42" s="1124"/>
      <c r="AF42" s="1124"/>
      <c r="AG42" s="1282">
        <f t="shared" si="4"/>
        <v>1176</v>
      </c>
    </row>
    <row r="43" spans="1:33" ht="116.25" customHeight="1">
      <c r="A43" s="796">
        <v>1112</v>
      </c>
      <c r="B43" s="793" t="s">
        <v>640</v>
      </c>
      <c r="C43" s="1073" t="s">
        <v>641</v>
      </c>
      <c r="D43" s="1292"/>
      <c r="E43" s="1293">
        <v>5</v>
      </c>
      <c r="F43" s="1294">
        <v>43220</v>
      </c>
      <c r="G43" s="1294">
        <f t="shared" si="3"/>
        <v>43224</v>
      </c>
      <c r="H43" s="1292" t="s">
        <v>622</v>
      </c>
      <c r="I43" s="1293" t="s">
        <v>170</v>
      </c>
      <c r="J43" s="643" t="s">
        <v>642</v>
      </c>
      <c r="K43" s="1292" t="s">
        <v>664</v>
      </c>
      <c r="L43" s="1231">
        <v>23174</v>
      </c>
      <c r="M43" s="1292"/>
      <c r="N43" s="1292"/>
      <c r="O43" s="647">
        <v>1306.6666666666667</v>
      </c>
      <c r="P43" s="1292">
        <v>1</v>
      </c>
      <c r="Q43" s="1295">
        <f t="shared" si="5"/>
        <v>1306.6666666666667</v>
      </c>
      <c r="R43" s="956"/>
      <c r="S43" s="954"/>
      <c r="T43" s="805"/>
      <c r="U43" s="1823">
        <v>1306.6666666666667</v>
      </c>
      <c r="V43" s="954"/>
      <c r="W43" s="954"/>
      <c r="X43" s="1166"/>
      <c r="Y43" s="1144"/>
      <c r="Z43" s="1124"/>
      <c r="AA43" s="1124"/>
      <c r="AB43" s="1124"/>
      <c r="AC43" s="1124"/>
      <c r="AD43" s="1124"/>
      <c r="AE43" s="1124"/>
      <c r="AF43" s="1124"/>
      <c r="AG43" s="1282">
        <f t="shared" si="4"/>
        <v>1306.6666666666667</v>
      </c>
    </row>
    <row r="44" spans="1:33" ht="116.25" customHeight="1">
      <c r="A44" s="796">
        <v>1112</v>
      </c>
      <c r="B44" s="793" t="s">
        <v>640</v>
      </c>
      <c r="C44" s="1073" t="s">
        <v>641</v>
      </c>
      <c r="D44" s="1292"/>
      <c r="E44" s="1293">
        <v>5</v>
      </c>
      <c r="F44" s="1294">
        <v>43220</v>
      </c>
      <c r="G44" s="1294">
        <f t="shared" si="3"/>
        <v>43224</v>
      </c>
      <c r="H44" s="1292" t="s">
        <v>622</v>
      </c>
      <c r="I44" s="1293" t="s">
        <v>170</v>
      </c>
      <c r="J44" s="643" t="s">
        <v>642</v>
      </c>
      <c r="K44" s="1292" t="s">
        <v>665</v>
      </c>
      <c r="L44" s="1231">
        <v>23174</v>
      </c>
      <c r="M44" s="1292"/>
      <c r="N44" s="1292"/>
      <c r="O44" s="647">
        <v>373</v>
      </c>
      <c r="P44" s="1292">
        <v>1</v>
      </c>
      <c r="Q44" s="1295">
        <f t="shared" si="5"/>
        <v>373</v>
      </c>
      <c r="R44" s="956"/>
      <c r="S44" s="954"/>
      <c r="T44" s="1823">
        <v>373</v>
      </c>
      <c r="U44" s="805"/>
      <c r="V44" s="954"/>
      <c r="W44" s="954"/>
      <c r="X44" s="1166"/>
      <c r="Y44" s="1144"/>
      <c r="Z44" s="1124"/>
      <c r="AA44" s="1124"/>
      <c r="AB44" s="1124"/>
      <c r="AC44" s="1124"/>
      <c r="AD44" s="1124"/>
      <c r="AE44" s="1124"/>
      <c r="AF44" s="1124"/>
      <c r="AG44" s="1282">
        <f t="shared" si="4"/>
        <v>373</v>
      </c>
    </row>
    <row r="45" spans="1:33" ht="116.25" customHeight="1">
      <c r="A45" s="796">
        <v>1112</v>
      </c>
      <c r="B45" s="793" t="s">
        <v>640</v>
      </c>
      <c r="C45" s="1073" t="s">
        <v>641</v>
      </c>
      <c r="D45" s="1292"/>
      <c r="E45" s="1293">
        <v>5</v>
      </c>
      <c r="F45" s="1294">
        <v>43220</v>
      </c>
      <c r="G45" s="1294">
        <f t="shared" si="3"/>
        <v>43224</v>
      </c>
      <c r="H45" s="1292" t="s">
        <v>622</v>
      </c>
      <c r="I45" s="1293" t="s">
        <v>170</v>
      </c>
      <c r="J45" s="643" t="s">
        <v>642</v>
      </c>
      <c r="K45" s="1292" t="s">
        <v>638</v>
      </c>
      <c r="L45" s="1231">
        <v>23173</v>
      </c>
      <c r="M45" s="1292"/>
      <c r="N45" s="1292"/>
      <c r="O45" s="647">
        <v>833.33333333333337</v>
      </c>
      <c r="P45" s="1292">
        <v>1</v>
      </c>
      <c r="Q45" s="1295">
        <f t="shared" si="5"/>
        <v>833.33333333333337</v>
      </c>
      <c r="R45" s="956"/>
      <c r="S45" s="954"/>
      <c r="T45" s="1823">
        <v>833.33333333333337</v>
      </c>
      <c r="U45" s="805"/>
      <c r="V45" s="954"/>
      <c r="W45" s="954"/>
      <c r="X45" s="1166"/>
      <c r="Y45" s="1144"/>
      <c r="Z45" s="1124"/>
      <c r="AA45" s="1124"/>
      <c r="AB45" s="1124"/>
      <c r="AC45" s="1124"/>
      <c r="AD45" s="1124"/>
      <c r="AE45" s="1124"/>
      <c r="AF45" s="1124"/>
      <c r="AG45" s="1282">
        <f t="shared" si="4"/>
        <v>833.33333333333337</v>
      </c>
    </row>
    <row r="46" spans="1:33" ht="116.25" customHeight="1">
      <c r="A46" s="796">
        <v>1112</v>
      </c>
      <c r="B46" s="793" t="s">
        <v>640</v>
      </c>
      <c r="C46" s="1073" t="s">
        <v>666</v>
      </c>
      <c r="D46" s="1292"/>
      <c r="E46" s="1293">
        <v>1</v>
      </c>
      <c r="F46" s="1294">
        <v>43225</v>
      </c>
      <c r="G46" s="1294">
        <f t="shared" si="3"/>
        <v>43225</v>
      </c>
      <c r="H46" s="1292" t="s">
        <v>667</v>
      </c>
      <c r="I46" s="1293" t="s">
        <v>170</v>
      </c>
      <c r="J46" s="643" t="s">
        <v>642</v>
      </c>
      <c r="K46" s="1292" t="s">
        <v>668</v>
      </c>
      <c r="L46" s="1231">
        <v>23173</v>
      </c>
      <c r="M46" s="1292"/>
      <c r="N46" s="1292"/>
      <c r="O46" s="647">
        <v>333.33333333333331</v>
      </c>
      <c r="P46" s="1292">
        <v>1</v>
      </c>
      <c r="Q46" s="1295">
        <f t="shared" si="5"/>
        <v>333.33333333333331</v>
      </c>
      <c r="R46" s="956"/>
      <c r="S46" s="954"/>
      <c r="T46" s="805"/>
      <c r="U46" s="1823">
        <v>333.33333333333331</v>
      </c>
      <c r="V46" s="954"/>
      <c r="W46" s="954"/>
      <c r="X46" s="1166"/>
      <c r="Y46" s="1144"/>
      <c r="Z46" s="1124"/>
      <c r="AA46" s="1124"/>
      <c r="AB46" s="1124"/>
      <c r="AC46" s="1124"/>
      <c r="AD46" s="1124"/>
      <c r="AE46" s="1124"/>
      <c r="AF46" s="1124"/>
      <c r="AG46" s="1282">
        <f t="shared" si="4"/>
        <v>333.33333333333331</v>
      </c>
    </row>
    <row r="47" spans="1:33" ht="116.25" customHeight="1">
      <c r="A47" s="796">
        <v>1112</v>
      </c>
      <c r="B47" s="793" t="s">
        <v>640</v>
      </c>
      <c r="C47" s="1073" t="s">
        <v>666</v>
      </c>
      <c r="D47" s="1292"/>
      <c r="E47" s="1293">
        <v>1</v>
      </c>
      <c r="F47" s="1294">
        <v>43225</v>
      </c>
      <c r="G47" s="1294">
        <f t="shared" si="3"/>
        <v>43225</v>
      </c>
      <c r="H47" s="1292" t="s">
        <v>667</v>
      </c>
      <c r="I47" s="1293" t="s">
        <v>170</v>
      </c>
      <c r="J47" s="643" t="s">
        <v>642</v>
      </c>
      <c r="K47" s="1292" t="s">
        <v>670</v>
      </c>
      <c r="L47" s="1231">
        <v>23173</v>
      </c>
      <c r="M47" s="1292"/>
      <c r="N47" s="1292"/>
      <c r="O47" s="647">
        <v>466.66666666666669</v>
      </c>
      <c r="P47" s="1292">
        <v>1</v>
      </c>
      <c r="Q47" s="1295">
        <f t="shared" si="5"/>
        <v>466.66666666666669</v>
      </c>
      <c r="R47" s="956"/>
      <c r="S47" s="954"/>
      <c r="T47" s="805"/>
      <c r="U47" s="1823">
        <v>466.66666666666669</v>
      </c>
      <c r="V47" s="954"/>
      <c r="W47" s="954"/>
      <c r="X47" s="1166"/>
      <c r="Y47" s="1144"/>
      <c r="Z47" s="1124"/>
      <c r="AA47" s="1124"/>
      <c r="AB47" s="1124"/>
      <c r="AC47" s="1124"/>
      <c r="AD47" s="1124"/>
      <c r="AE47" s="1124"/>
      <c r="AF47" s="1124"/>
      <c r="AG47" s="1282">
        <f t="shared" si="4"/>
        <v>466.66666666666669</v>
      </c>
    </row>
    <row r="48" spans="1:33" ht="73.900000000000006" customHeight="1">
      <c r="A48" s="796">
        <v>1113</v>
      </c>
      <c r="B48" s="793" t="s">
        <v>671</v>
      </c>
      <c r="C48" s="1073" t="s">
        <v>672</v>
      </c>
      <c r="D48" s="1292"/>
      <c r="E48" s="1293">
        <v>5</v>
      </c>
      <c r="F48" s="1294">
        <v>43227</v>
      </c>
      <c r="G48" s="1294">
        <f t="shared" si="3"/>
        <v>43231</v>
      </c>
      <c r="H48" s="1292" t="s">
        <v>667</v>
      </c>
      <c r="I48" s="1293" t="s">
        <v>170</v>
      </c>
      <c r="J48" s="643" t="s">
        <v>673</v>
      </c>
      <c r="K48" s="1292" t="s">
        <v>674</v>
      </c>
      <c r="L48" s="1231">
        <v>23174</v>
      </c>
      <c r="M48" s="1292"/>
      <c r="N48" s="1292"/>
      <c r="O48" s="647">
        <v>588</v>
      </c>
      <c r="P48" s="1292">
        <v>1</v>
      </c>
      <c r="Q48" s="1295">
        <f t="shared" si="5"/>
        <v>588</v>
      </c>
      <c r="R48" s="956"/>
      <c r="S48" s="954"/>
      <c r="T48" s="954"/>
      <c r="U48" s="1823">
        <v>588</v>
      </c>
      <c r="V48" s="954"/>
      <c r="W48" s="954"/>
      <c r="X48" s="1166"/>
      <c r="Y48" s="1144"/>
      <c r="Z48" s="1124"/>
      <c r="AA48" s="1124"/>
      <c r="AB48" s="1124"/>
      <c r="AC48" s="1124"/>
      <c r="AD48" s="1124"/>
      <c r="AE48" s="1124"/>
      <c r="AF48" s="1124"/>
      <c r="AG48" s="1282">
        <f t="shared" si="4"/>
        <v>588</v>
      </c>
    </row>
    <row r="49" spans="1:33" ht="73.900000000000006" customHeight="1">
      <c r="A49" s="796">
        <v>1113</v>
      </c>
      <c r="B49" s="793" t="s">
        <v>671</v>
      </c>
      <c r="C49" s="1073" t="s">
        <v>672</v>
      </c>
      <c r="D49" s="1292"/>
      <c r="E49" s="1293">
        <v>5</v>
      </c>
      <c r="F49" s="1294">
        <v>43227</v>
      </c>
      <c r="G49" s="1294">
        <f t="shared" si="3"/>
        <v>43231</v>
      </c>
      <c r="H49" s="1292" t="s">
        <v>667</v>
      </c>
      <c r="I49" s="1293" t="s">
        <v>170</v>
      </c>
      <c r="J49" s="643" t="s">
        <v>673</v>
      </c>
      <c r="K49" s="1292" t="s">
        <v>675</v>
      </c>
      <c r="L49" s="1231">
        <v>23174</v>
      </c>
      <c r="M49" s="1292"/>
      <c r="N49" s="1292"/>
      <c r="O49" s="647">
        <v>653.33333333333337</v>
      </c>
      <c r="P49" s="1292">
        <v>1</v>
      </c>
      <c r="Q49" s="1295">
        <f t="shared" si="5"/>
        <v>653.33333333333337</v>
      </c>
      <c r="R49" s="956"/>
      <c r="S49" s="954"/>
      <c r="T49" s="954"/>
      <c r="U49" s="1823">
        <v>653.33333333333337</v>
      </c>
      <c r="V49" s="954"/>
      <c r="W49" s="954"/>
      <c r="X49" s="1166"/>
      <c r="Y49" s="1144"/>
      <c r="Z49" s="1124"/>
      <c r="AA49" s="1124"/>
      <c r="AB49" s="1124"/>
      <c r="AC49" s="1124"/>
      <c r="AD49" s="1124"/>
      <c r="AE49" s="1124"/>
      <c r="AF49" s="1124"/>
      <c r="AG49" s="1282">
        <f t="shared" si="4"/>
        <v>653.33333333333337</v>
      </c>
    </row>
    <row r="50" spans="1:33" ht="73.900000000000006" customHeight="1">
      <c r="A50" s="796">
        <v>1113</v>
      </c>
      <c r="B50" s="793" t="s">
        <v>671</v>
      </c>
      <c r="C50" s="1073" t="s">
        <v>672</v>
      </c>
      <c r="D50" s="1292"/>
      <c r="E50" s="1293">
        <v>5</v>
      </c>
      <c r="F50" s="1294">
        <v>43227</v>
      </c>
      <c r="G50" s="1294">
        <f t="shared" si="3"/>
        <v>43231</v>
      </c>
      <c r="H50" s="1292" t="s">
        <v>667</v>
      </c>
      <c r="I50" s="1293" t="s">
        <v>170</v>
      </c>
      <c r="J50" s="643" t="s">
        <v>673</v>
      </c>
      <c r="K50" s="1292" t="s">
        <v>676</v>
      </c>
      <c r="L50" s="1231">
        <v>23174</v>
      </c>
      <c r="M50" s="1292"/>
      <c r="N50" s="1292"/>
      <c r="O50" s="647">
        <v>653</v>
      </c>
      <c r="P50" s="1292">
        <v>1</v>
      </c>
      <c r="Q50" s="1295">
        <f t="shared" si="5"/>
        <v>653</v>
      </c>
      <c r="R50" s="956"/>
      <c r="S50" s="954"/>
      <c r="T50" s="954"/>
      <c r="U50" s="1823">
        <v>653</v>
      </c>
      <c r="V50" s="954"/>
      <c r="W50" s="954"/>
      <c r="X50" s="1166"/>
      <c r="Y50" s="1144"/>
      <c r="Z50" s="1124"/>
      <c r="AA50" s="1124"/>
      <c r="AB50" s="1124"/>
      <c r="AC50" s="1124"/>
      <c r="AD50" s="1124"/>
      <c r="AE50" s="1124"/>
      <c r="AF50" s="1124"/>
      <c r="AG50" s="1282">
        <f t="shared" si="4"/>
        <v>653</v>
      </c>
    </row>
    <row r="51" spans="1:33" ht="73.900000000000006" customHeight="1">
      <c r="A51" s="796">
        <v>1113</v>
      </c>
      <c r="B51" s="793" t="s">
        <v>671</v>
      </c>
      <c r="C51" s="1073" t="s">
        <v>672</v>
      </c>
      <c r="D51" s="1292"/>
      <c r="E51" s="1293">
        <v>5</v>
      </c>
      <c r="F51" s="1294">
        <v>43227</v>
      </c>
      <c r="G51" s="1294">
        <f t="shared" si="3"/>
        <v>43231</v>
      </c>
      <c r="H51" s="1292" t="s">
        <v>667</v>
      </c>
      <c r="I51" s="1293" t="s">
        <v>170</v>
      </c>
      <c r="J51" s="643" t="s">
        <v>673</v>
      </c>
      <c r="K51" s="1292" t="s">
        <v>677</v>
      </c>
      <c r="L51" s="1231">
        <v>23173</v>
      </c>
      <c r="M51" s="1292"/>
      <c r="N51" s="1292"/>
      <c r="O51" s="647">
        <v>3833</v>
      </c>
      <c r="P51" s="1292">
        <v>1</v>
      </c>
      <c r="Q51" s="1295">
        <f t="shared" si="5"/>
        <v>3833</v>
      </c>
      <c r="R51" s="956"/>
      <c r="S51" s="954"/>
      <c r="T51" s="954"/>
      <c r="U51" s="1823">
        <v>3833</v>
      </c>
      <c r="V51" s="954"/>
      <c r="W51" s="954"/>
      <c r="X51" s="1166"/>
      <c r="Y51" s="1144"/>
      <c r="Z51" s="1124"/>
      <c r="AA51" s="1124"/>
      <c r="AB51" s="1124"/>
      <c r="AC51" s="1124"/>
      <c r="AD51" s="1124"/>
      <c r="AE51" s="1124"/>
      <c r="AF51" s="1124"/>
      <c r="AG51" s="1282">
        <f t="shared" si="4"/>
        <v>3833</v>
      </c>
    </row>
    <row r="52" spans="1:33" ht="73.900000000000006" customHeight="1">
      <c r="A52" s="796">
        <v>1113</v>
      </c>
      <c r="B52" s="793" t="s">
        <v>671</v>
      </c>
      <c r="C52" s="1073" t="s">
        <v>672</v>
      </c>
      <c r="D52" s="1292"/>
      <c r="E52" s="1293">
        <v>5</v>
      </c>
      <c r="F52" s="1294">
        <v>43227</v>
      </c>
      <c r="G52" s="1294">
        <f t="shared" si="3"/>
        <v>43231</v>
      </c>
      <c r="H52" s="1292" t="s">
        <v>667</v>
      </c>
      <c r="I52" s="1293" t="s">
        <v>170</v>
      </c>
      <c r="J52" s="643" t="s">
        <v>673</v>
      </c>
      <c r="K52" s="1292" t="s">
        <v>678</v>
      </c>
      <c r="L52" s="1231">
        <v>23173</v>
      </c>
      <c r="M52" s="1292"/>
      <c r="N52" s="1292"/>
      <c r="O52" s="647">
        <v>766.66666666666674</v>
      </c>
      <c r="P52" s="1292">
        <v>1</v>
      </c>
      <c r="Q52" s="1295">
        <f t="shared" si="5"/>
        <v>766.66666666666674</v>
      </c>
      <c r="R52" s="956"/>
      <c r="S52" s="954"/>
      <c r="T52" s="954"/>
      <c r="U52" s="1823">
        <v>766.66666666666674</v>
      </c>
      <c r="V52" s="954"/>
      <c r="W52" s="954"/>
      <c r="X52" s="1166"/>
      <c r="Y52" s="1144"/>
      <c r="Z52" s="1124"/>
      <c r="AA52" s="1124"/>
      <c r="AB52" s="1124"/>
      <c r="AC52" s="1124"/>
      <c r="AD52" s="1124"/>
      <c r="AE52" s="1124"/>
      <c r="AF52" s="1124"/>
      <c r="AG52" s="1282">
        <f t="shared" si="4"/>
        <v>766.66666666666674</v>
      </c>
    </row>
    <row r="53" spans="1:33" ht="73.900000000000006" customHeight="1">
      <c r="A53" s="796">
        <v>1114</v>
      </c>
      <c r="B53" s="793" t="s">
        <v>679</v>
      </c>
      <c r="C53" s="1073" t="s">
        <v>680</v>
      </c>
      <c r="D53" s="1292"/>
      <c r="E53" s="1293">
        <v>5</v>
      </c>
      <c r="F53" s="1294">
        <v>43248</v>
      </c>
      <c r="G53" s="1294">
        <f t="shared" si="3"/>
        <v>43252</v>
      </c>
      <c r="H53" s="1292" t="s">
        <v>681</v>
      </c>
      <c r="I53" s="1293" t="s">
        <v>170</v>
      </c>
      <c r="J53" s="643" t="s">
        <v>682</v>
      </c>
      <c r="K53" s="1292" t="s">
        <v>683</v>
      </c>
      <c r="L53" s="1231">
        <v>23174</v>
      </c>
      <c r="M53" s="1292"/>
      <c r="N53" s="1292"/>
      <c r="O53" s="647">
        <v>588</v>
      </c>
      <c r="P53" s="1292">
        <v>1</v>
      </c>
      <c r="Q53" s="1295">
        <f t="shared" si="5"/>
        <v>588</v>
      </c>
      <c r="R53" s="956"/>
      <c r="S53" s="954"/>
      <c r="T53" s="954"/>
      <c r="U53" s="1823">
        <v>588</v>
      </c>
      <c r="V53" s="805"/>
      <c r="W53" s="954"/>
      <c r="X53" s="1166"/>
      <c r="Y53" s="1144"/>
      <c r="Z53" s="1124"/>
      <c r="AA53" s="1124"/>
      <c r="AB53" s="1124"/>
      <c r="AC53" s="1124"/>
      <c r="AD53" s="1124"/>
      <c r="AE53" s="1124"/>
      <c r="AF53" s="1124"/>
      <c r="AG53" s="1282">
        <f t="shared" si="4"/>
        <v>588</v>
      </c>
    </row>
    <row r="54" spans="1:33" ht="73.900000000000006" customHeight="1">
      <c r="A54" s="796">
        <v>1114</v>
      </c>
      <c r="B54" s="793" t="s">
        <v>679</v>
      </c>
      <c r="C54" s="1073" t="s">
        <v>680</v>
      </c>
      <c r="D54" s="1292"/>
      <c r="E54" s="1293">
        <v>5</v>
      </c>
      <c r="F54" s="1294">
        <v>43248</v>
      </c>
      <c r="G54" s="1294">
        <f t="shared" si="3"/>
        <v>43252</v>
      </c>
      <c r="H54" s="1292" t="s">
        <v>681</v>
      </c>
      <c r="I54" s="1293" t="s">
        <v>170</v>
      </c>
      <c r="J54" s="643" t="s">
        <v>682</v>
      </c>
      <c r="K54" s="1292" t="s">
        <v>684</v>
      </c>
      <c r="L54" s="1231">
        <v>23174</v>
      </c>
      <c r="M54" s="1292"/>
      <c r="N54" s="1292"/>
      <c r="O54" s="647">
        <v>653.33333333333337</v>
      </c>
      <c r="P54" s="1292">
        <v>1</v>
      </c>
      <c r="Q54" s="1295">
        <f t="shared" si="5"/>
        <v>653.33333333333337</v>
      </c>
      <c r="R54" s="956"/>
      <c r="S54" s="954"/>
      <c r="T54" s="954"/>
      <c r="U54" s="1823">
        <v>653.33333333333337</v>
      </c>
      <c r="V54" s="805"/>
      <c r="W54" s="954"/>
      <c r="X54" s="1166"/>
      <c r="Y54" s="1144"/>
      <c r="Z54" s="1124"/>
      <c r="AA54" s="1124"/>
      <c r="AB54" s="1124"/>
      <c r="AC54" s="1124"/>
      <c r="AD54" s="1124"/>
      <c r="AE54" s="1124"/>
      <c r="AF54" s="1124"/>
      <c r="AG54" s="1282">
        <f t="shared" si="4"/>
        <v>653.33333333333337</v>
      </c>
    </row>
    <row r="55" spans="1:33" ht="73.900000000000006" customHeight="1">
      <c r="A55" s="796">
        <v>1114</v>
      </c>
      <c r="B55" s="793" t="s">
        <v>679</v>
      </c>
      <c r="C55" s="1073" t="s">
        <v>680</v>
      </c>
      <c r="D55" s="1292"/>
      <c r="E55" s="1293">
        <v>5</v>
      </c>
      <c r="F55" s="1294">
        <v>43248</v>
      </c>
      <c r="G55" s="1294">
        <f t="shared" si="3"/>
        <v>43252</v>
      </c>
      <c r="H55" s="1292" t="s">
        <v>681</v>
      </c>
      <c r="I55" s="1293" t="s">
        <v>170</v>
      </c>
      <c r="J55" s="643" t="s">
        <v>682</v>
      </c>
      <c r="K55" s="1292" t="s">
        <v>685</v>
      </c>
      <c r="L55" s="1231">
        <v>23174</v>
      </c>
      <c r="M55" s="1292"/>
      <c r="N55" s="1292"/>
      <c r="O55" s="647">
        <v>490</v>
      </c>
      <c r="P55" s="1292">
        <v>1</v>
      </c>
      <c r="Q55" s="1295">
        <f t="shared" si="5"/>
        <v>490</v>
      </c>
      <c r="R55" s="956"/>
      <c r="S55" s="954"/>
      <c r="T55" s="954"/>
      <c r="U55" s="1823">
        <v>490</v>
      </c>
      <c r="V55" s="805"/>
      <c r="W55" s="954"/>
      <c r="X55" s="1166"/>
      <c r="Y55" s="1144"/>
      <c r="Z55" s="1124"/>
      <c r="AA55" s="1124"/>
      <c r="AB55" s="1124"/>
      <c r="AC55" s="1124"/>
      <c r="AD55" s="1124"/>
      <c r="AE55" s="1124"/>
      <c r="AF55" s="1124"/>
      <c r="AG55" s="1282">
        <f t="shared" si="4"/>
        <v>490</v>
      </c>
    </row>
    <row r="56" spans="1:33" ht="73.900000000000006" customHeight="1">
      <c r="A56" s="796">
        <v>1114</v>
      </c>
      <c r="B56" s="793" t="s">
        <v>679</v>
      </c>
      <c r="C56" s="1073" t="s">
        <v>680</v>
      </c>
      <c r="D56" s="1292"/>
      <c r="E56" s="1293">
        <v>5</v>
      </c>
      <c r="F56" s="1294">
        <v>43248</v>
      </c>
      <c r="G56" s="1294">
        <f t="shared" si="3"/>
        <v>43252</v>
      </c>
      <c r="H56" s="1292" t="s">
        <v>681</v>
      </c>
      <c r="I56" s="1293" t="s">
        <v>170</v>
      </c>
      <c r="J56" s="643" t="s">
        <v>682</v>
      </c>
      <c r="K56" s="1292" t="s">
        <v>686</v>
      </c>
      <c r="L56" s="1231">
        <v>23174</v>
      </c>
      <c r="M56" s="1292"/>
      <c r="N56" s="1292"/>
      <c r="O56" s="647">
        <v>326.66666666666669</v>
      </c>
      <c r="P56" s="1292">
        <v>1</v>
      </c>
      <c r="Q56" s="1295">
        <f t="shared" si="5"/>
        <v>326.66666666666669</v>
      </c>
      <c r="R56" s="956"/>
      <c r="S56" s="954"/>
      <c r="T56" s="954"/>
      <c r="U56" s="1823">
        <v>326.66666666666669</v>
      </c>
      <c r="V56" s="805"/>
      <c r="W56" s="954"/>
      <c r="X56" s="1166"/>
      <c r="Y56" s="1144"/>
      <c r="Z56" s="1124"/>
      <c r="AA56" s="1124"/>
      <c r="AB56" s="1124"/>
      <c r="AC56" s="1124"/>
      <c r="AD56" s="1124"/>
      <c r="AE56" s="1124"/>
      <c r="AF56" s="1124"/>
      <c r="AG56" s="1282">
        <f t="shared" si="4"/>
        <v>326.66666666666669</v>
      </c>
    </row>
    <row r="57" spans="1:33" ht="73.900000000000006" customHeight="1">
      <c r="A57" s="796">
        <v>1114</v>
      </c>
      <c r="B57" s="793" t="s">
        <v>679</v>
      </c>
      <c r="C57" s="1073" t="s">
        <v>680</v>
      </c>
      <c r="D57" s="1292"/>
      <c r="E57" s="1293">
        <v>5</v>
      </c>
      <c r="F57" s="1294">
        <v>43248</v>
      </c>
      <c r="G57" s="1294">
        <f t="shared" si="3"/>
        <v>43252</v>
      </c>
      <c r="H57" s="1292" t="s">
        <v>681</v>
      </c>
      <c r="I57" s="1293" t="s">
        <v>170</v>
      </c>
      <c r="J57" s="643" t="s">
        <v>682</v>
      </c>
      <c r="K57" s="1292" t="s">
        <v>687</v>
      </c>
      <c r="L57" s="1231">
        <v>23174</v>
      </c>
      <c r="M57" s="1292"/>
      <c r="N57" s="1292"/>
      <c r="O57" s="647">
        <v>2221</v>
      </c>
      <c r="P57" s="1292">
        <v>1</v>
      </c>
      <c r="Q57" s="1295">
        <f t="shared" si="5"/>
        <v>2221</v>
      </c>
      <c r="R57" s="956"/>
      <c r="S57" s="954"/>
      <c r="T57" s="954"/>
      <c r="U57" s="1823">
        <v>2221</v>
      </c>
      <c r="V57" s="805"/>
      <c r="W57" s="954"/>
      <c r="X57" s="1166"/>
      <c r="Y57" s="1144"/>
      <c r="Z57" s="1124"/>
      <c r="AA57" s="1124"/>
      <c r="AB57" s="1124"/>
      <c r="AC57" s="1124"/>
      <c r="AD57" s="1124"/>
      <c r="AE57" s="1124"/>
      <c r="AF57" s="1124"/>
      <c r="AG57" s="1282">
        <f t="shared" si="4"/>
        <v>2221</v>
      </c>
    </row>
    <row r="58" spans="1:33" ht="73.900000000000006" customHeight="1">
      <c r="A58" s="796">
        <v>1114</v>
      </c>
      <c r="B58" s="793" t="s">
        <v>679</v>
      </c>
      <c r="C58" s="1073" t="s">
        <v>680</v>
      </c>
      <c r="D58" s="1292"/>
      <c r="E58" s="1293">
        <v>5</v>
      </c>
      <c r="F58" s="1294">
        <v>43248</v>
      </c>
      <c r="G58" s="1294">
        <f t="shared" si="3"/>
        <v>43252</v>
      </c>
      <c r="H58" s="1292" t="s">
        <v>681</v>
      </c>
      <c r="I58" s="1293" t="s">
        <v>170</v>
      </c>
      <c r="J58" s="643" t="s">
        <v>682</v>
      </c>
      <c r="K58" s="1292" t="s">
        <v>688</v>
      </c>
      <c r="L58" s="1231">
        <v>23174</v>
      </c>
      <c r="M58" s="1292"/>
      <c r="N58" s="1292"/>
      <c r="O58" s="647">
        <v>1764</v>
      </c>
      <c r="P58" s="1292">
        <v>1</v>
      </c>
      <c r="Q58" s="1295">
        <f t="shared" si="5"/>
        <v>1764</v>
      </c>
      <c r="R58" s="956"/>
      <c r="S58" s="954"/>
      <c r="T58" s="954"/>
      <c r="U58" s="1823">
        <v>1764</v>
      </c>
      <c r="V58" s="805"/>
      <c r="W58" s="954"/>
      <c r="X58" s="1166"/>
      <c r="Y58" s="1144"/>
      <c r="Z58" s="1124"/>
      <c r="AA58" s="1124"/>
      <c r="AB58" s="1124"/>
      <c r="AC58" s="1124"/>
      <c r="AD58" s="1124"/>
      <c r="AE58" s="1124"/>
      <c r="AF58" s="1124"/>
      <c r="AG58" s="1282">
        <f t="shared" si="4"/>
        <v>1764</v>
      </c>
    </row>
    <row r="59" spans="1:33" ht="73.900000000000006" customHeight="1">
      <c r="A59" s="796">
        <v>1114</v>
      </c>
      <c r="B59" s="793" t="s">
        <v>679</v>
      </c>
      <c r="C59" s="1073" t="s">
        <v>680</v>
      </c>
      <c r="D59" s="1292"/>
      <c r="E59" s="1293">
        <v>5</v>
      </c>
      <c r="F59" s="1294">
        <v>43248</v>
      </c>
      <c r="G59" s="1294">
        <f t="shared" si="3"/>
        <v>43252</v>
      </c>
      <c r="H59" s="1292" t="s">
        <v>681</v>
      </c>
      <c r="I59" s="1293" t="s">
        <v>170</v>
      </c>
      <c r="J59" s="643" t="s">
        <v>682</v>
      </c>
      <c r="K59" s="1292" t="s">
        <v>689</v>
      </c>
      <c r="L59" s="1231">
        <v>23174</v>
      </c>
      <c r="M59" s="1292"/>
      <c r="N59" s="1292"/>
      <c r="O59" s="647">
        <v>1960</v>
      </c>
      <c r="P59" s="1292">
        <v>1</v>
      </c>
      <c r="Q59" s="1295">
        <f t="shared" si="5"/>
        <v>1960</v>
      </c>
      <c r="R59" s="956"/>
      <c r="S59" s="954"/>
      <c r="T59" s="954"/>
      <c r="U59" s="1823">
        <v>1960</v>
      </c>
      <c r="V59" s="805"/>
      <c r="W59" s="954"/>
      <c r="X59" s="1166"/>
      <c r="Y59" s="1144"/>
      <c r="Z59" s="1124"/>
      <c r="AA59" s="1124"/>
      <c r="AB59" s="1124"/>
      <c r="AC59" s="1124"/>
      <c r="AD59" s="1124"/>
      <c r="AE59" s="1124"/>
      <c r="AF59" s="1124"/>
      <c r="AG59" s="1282">
        <f t="shared" si="4"/>
        <v>1960</v>
      </c>
    </row>
    <row r="60" spans="1:33" ht="73.900000000000006" customHeight="1">
      <c r="A60" s="796">
        <v>1114</v>
      </c>
      <c r="B60" s="793" t="s">
        <v>679</v>
      </c>
      <c r="C60" s="1073" t="s">
        <v>680</v>
      </c>
      <c r="D60" s="1292"/>
      <c r="E60" s="1293">
        <v>5</v>
      </c>
      <c r="F60" s="1294">
        <v>43248</v>
      </c>
      <c r="G60" s="1294">
        <f t="shared" si="3"/>
        <v>43252</v>
      </c>
      <c r="H60" s="1292" t="s">
        <v>681</v>
      </c>
      <c r="I60" s="1293" t="s">
        <v>170</v>
      </c>
      <c r="J60" s="643" t="s">
        <v>682</v>
      </c>
      <c r="K60" s="1292" t="s">
        <v>690</v>
      </c>
      <c r="L60" s="1231">
        <v>23174</v>
      </c>
      <c r="M60" s="1292"/>
      <c r="N60" s="1292"/>
      <c r="O60" s="647">
        <v>1960</v>
      </c>
      <c r="P60" s="1292">
        <v>1</v>
      </c>
      <c r="Q60" s="1295">
        <f t="shared" si="5"/>
        <v>1960</v>
      </c>
      <c r="R60" s="956"/>
      <c r="S60" s="954"/>
      <c r="T60" s="954"/>
      <c r="U60" s="1823">
        <v>1960</v>
      </c>
      <c r="V60" s="805"/>
      <c r="W60" s="954"/>
      <c r="X60" s="1166"/>
      <c r="Y60" s="1144"/>
      <c r="Z60" s="1124"/>
      <c r="AA60" s="1124"/>
      <c r="AB60" s="1124"/>
      <c r="AC60" s="1124"/>
      <c r="AD60" s="1124"/>
      <c r="AE60" s="1124"/>
      <c r="AF60" s="1124"/>
      <c r="AG60" s="1282">
        <f t="shared" si="4"/>
        <v>1960</v>
      </c>
    </row>
    <row r="61" spans="1:33" ht="73.900000000000006" customHeight="1">
      <c r="A61" s="796">
        <v>1114</v>
      </c>
      <c r="B61" s="793" t="s">
        <v>679</v>
      </c>
      <c r="C61" s="1073" t="s">
        <v>680</v>
      </c>
      <c r="D61" s="1292"/>
      <c r="E61" s="1293">
        <v>5</v>
      </c>
      <c r="F61" s="1294">
        <v>43248</v>
      </c>
      <c r="G61" s="1294">
        <f t="shared" si="3"/>
        <v>43252</v>
      </c>
      <c r="H61" s="1292" t="s">
        <v>681</v>
      </c>
      <c r="I61" s="1293" t="s">
        <v>170</v>
      </c>
      <c r="J61" s="643" t="s">
        <v>682</v>
      </c>
      <c r="K61" s="1292" t="s">
        <v>691</v>
      </c>
      <c r="L61" s="1231">
        <v>23174</v>
      </c>
      <c r="M61" s="1292"/>
      <c r="N61" s="1292"/>
      <c r="O61" s="647">
        <v>8484</v>
      </c>
      <c r="P61" s="1292">
        <v>1</v>
      </c>
      <c r="Q61" s="1295">
        <f t="shared" si="5"/>
        <v>8484</v>
      </c>
      <c r="R61" s="956"/>
      <c r="S61" s="954"/>
      <c r="T61" s="954"/>
      <c r="U61" s="805"/>
      <c r="V61" s="1823">
        <v>8484</v>
      </c>
      <c r="W61" s="954"/>
      <c r="X61" s="1166"/>
      <c r="Y61" s="1144"/>
      <c r="Z61" s="1124"/>
      <c r="AA61" s="1124"/>
      <c r="AB61" s="1124"/>
      <c r="AC61" s="1124"/>
      <c r="AD61" s="1124"/>
      <c r="AE61" s="1124"/>
      <c r="AF61" s="1124"/>
      <c r="AG61" s="1282">
        <f t="shared" si="4"/>
        <v>8484</v>
      </c>
    </row>
    <row r="62" spans="1:33" ht="73.900000000000006" customHeight="1">
      <c r="A62" s="796">
        <v>1114</v>
      </c>
      <c r="B62" s="793" t="s">
        <v>679</v>
      </c>
      <c r="C62" s="1073" t="s">
        <v>680</v>
      </c>
      <c r="D62" s="1292"/>
      <c r="E62" s="1293">
        <v>5</v>
      </c>
      <c r="F62" s="1294">
        <v>43248</v>
      </c>
      <c r="G62" s="1294">
        <f t="shared" si="3"/>
        <v>43252</v>
      </c>
      <c r="H62" s="1292" t="s">
        <v>681</v>
      </c>
      <c r="I62" s="1293" t="s">
        <v>170</v>
      </c>
      <c r="J62" s="643" t="s">
        <v>682</v>
      </c>
      <c r="K62" s="1292" t="s">
        <v>692</v>
      </c>
      <c r="L62" s="1231">
        <v>23174</v>
      </c>
      <c r="M62" s="1292"/>
      <c r="N62" s="1292"/>
      <c r="O62" s="647">
        <v>9427</v>
      </c>
      <c r="P62" s="1292">
        <v>1</v>
      </c>
      <c r="Q62" s="1295">
        <f t="shared" si="5"/>
        <v>9427</v>
      </c>
      <c r="R62" s="956"/>
      <c r="S62" s="954"/>
      <c r="T62" s="954"/>
      <c r="U62" s="805"/>
      <c r="V62" s="1823">
        <v>9427</v>
      </c>
      <c r="W62" s="954"/>
      <c r="X62" s="1166"/>
      <c r="Y62" s="1144"/>
      <c r="Z62" s="1124"/>
      <c r="AA62" s="1124"/>
      <c r="AB62" s="1124"/>
      <c r="AC62" s="1124"/>
      <c r="AD62" s="1124"/>
      <c r="AE62" s="1124"/>
      <c r="AF62" s="1124"/>
      <c r="AG62" s="1282">
        <f t="shared" si="4"/>
        <v>9427</v>
      </c>
    </row>
    <row r="63" spans="1:33" ht="73.900000000000006" customHeight="1">
      <c r="A63" s="796">
        <v>1114</v>
      </c>
      <c r="B63" s="793" t="s">
        <v>679</v>
      </c>
      <c r="C63" s="1073" t="s">
        <v>680</v>
      </c>
      <c r="D63" s="1292"/>
      <c r="E63" s="1293">
        <v>5</v>
      </c>
      <c r="F63" s="1294">
        <v>43248</v>
      </c>
      <c r="G63" s="1294">
        <f t="shared" si="3"/>
        <v>43252</v>
      </c>
      <c r="H63" s="1292" t="s">
        <v>681</v>
      </c>
      <c r="I63" s="1293" t="s">
        <v>170</v>
      </c>
      <c r="J63" s="643" t="s">
        <v>682</v>
      </c>
      <c r="K63" s="1292" t="s">
        <v>693</v>
      </c>
      <c r="L63" s="1231">
        <v>23174</v>
      </c>
      <c r="M63" s="1292"/>
      <c r="N63" s="1292"/>
      <c r="O63" s="647">
        <v>1347</v>
      </c>
      <c r="P63" s="1292">
        <v>1</v>
      </c>
      <c r="Q63" s="1295">
        <f t="shared" si="5"/>
        <v>1347</v>
      </c>
      <c r="R63" s="956"/>
      <c r="S63" s="954"/>
      <c r="T63" s="954"/>
      <c r="U63" s="805"/>
      <c r="V63" s="1823">
        <v>1347</v>
      </c>
      <c r="W63" s="954"/>
      <c r="X63" s="1166"/>
      <c r="Y63" s="1144"/>
      <c r="Z63" s="1124"/>
      <c r="AA63" s="1124"/>
      <c r="AB63" s="1124"/>
      <c r="AC63" s="1124"/>
      <c r="AD63" s="1124"/>
      <c r="AE63" s="1124"/>
      <c r="AF63" s="1124"/>
      <c r="AG63" s="1282">
        <f t="shared" si="4"/>
        <v>1347</v>
      </c>
    </row>
    <row r="64" spans="1:33" ht="97.5" customHeight="1">
      <c r="A64" s="796">
        <v>1115</v>
      </c>
      <c r="B64" s="793" t="s">
        <v>694</v>
      </c>
      <c r="C64" s="1073" t="s">
        <v>695</v>
      </c>
      <c r="D64" s="1292"/>
      <c r="E64" s="1293">
        <v>10</v>
      </c>
      <c r="F64" s="1294">
        <v>43257</v>
      </c>
      <c r="G64" s="1294">
        <f t="shared" si="3"/>
        <v>43266</v>
      </c>
      <c r="H64" s="1292" t="s">
        <v>681</v>
      </c>
      <c r="I64" s="1293" t="s">
        <v>170</v>
      </c>
      <c r="J64" s="643" t="s">
        <v>696</v>
      </c>
      <c r="K64" s="1292" t="s">
        <v>697</v>
      </c>
      <c r="L64" s="1231">
        <v>23174</v>
      </c>
      <c r="M64" s="1292"/>
      <c r="N64" s="1292"/>
      <c r="O64" s="647">
        <v>420</v>
      </c>
      <c r="P64" s="1292">
        <v>1</v>
      </c>
      <c r="Q64" s="1295">
        <f t="shared" si="5"/>
        <v>420</v>
      </c>
      <c r="R64" s="956"/>
      <c r="S64" s="954"/>
      <c r="T64" s="954"/>
      <c r="U64" s="954"/>
      <c r="V64" s="1823">
        <v>420</v>
      </c>
      <c r="W64" s="805"/>
      <c r="X64" s="1166"/>
      <c r="Y64" s="1144"/>
      <c r="Z64" s="1124"/>
      <c r="AA64" s="1124"/>
      <c r="AB64" s="1124"/>
      <c r="AC64" s="1124"/>
      <c r="AD64" s="1124"/>
      <c r="AE64" s="1124"/>
      <c r="AF64" s="1124"/>
      <c r="AG64" s="1282">
        <f t="shared" si="4"/>
        <v>420</v>
      </c>
    </row>
    <row r="65" spans="1:33" ht="97.5" customHeight="1">
      <c r="A65" s="796">
        <v>1115</v>
      </c>
      <c r="B65" s="793" t="s">
        <v>694</v>
      </c>
      <c r="C65" s="1073" t="s">
        <v>695</v>
      </c>
      <c r="D65" s="1292"/>
      <c r="E65" s="1293">
        <v>10</v>
      </c>
      <c r="F65" s="1294">
        <v>43257</v>
      </c>
      <c r="G65" s="1294">
        <f t="shared" si="3"/>
        <v>43266</v>
      </c>
      <c r="H65" s="1292" t="s">
        <v>681</v>
      </c>
      <c r="I65" s="1293" t="s">
        <v>170</v>
      </c>
      <c r="J65" s="643" t="s">
        <v>696</v>
      </c>
      <c r="K65" s="1292" t="s">
        <v>698</v>
      </c>
      <c r="L65" s="1231">
        <v>23174</v>
      </c>
      <c r="M65" s="1292"/>
      <c r="N65" s="1292"/>
      <c r="O65" s="647">
        <v>466.66666666666669</v>
      </c>
      <c r="P65" s="1292">
        <v>1</v>
      </c>
      <c r="Q65" s="1295">
        <f t="shared" si="5"/>
        <v>466.66666666666669</v>
      </c>
      <c r="R65" s="956"/>
      <c r="S65" s="954"/>
      <c r="T65" s="954"/>
      <c r="U65" s="954"/>
      <c r="V65" s="1823">
        <v>466.66666666666669</v>
      </c>
      <c r="W65" s="805"/>
      <c r="X65" s="1166"/>
      <c r="Y65" s="1144"/>
      <c r="Z65" s="1124"/>
      <c r="AA65" s="1124"/>
      <c r="AB65" s="1124"/>
      <c r="AC65" s="1124"/>
      <c r="AD65" s="1124"/>
      <c r="AE65" s="1124"/>
      <c r="AF65" s="1124"/>
      <c r="AG65" s="1282">
        <f t="shared" si="4"/>
        <v>466.66666666666669</v>
      </c>
    </row>
    <row r="66" spans="1:33" ht="97.5" customHeight="1">
      <c r="A66" s="796">
        <v>1115</v>
      </c>
      <c r="B66" s="793" t="s">
        <v>694</v>
      </c>
      <c r="C66" s="1073" t="s">
        <v>695</v>
      </c>
      <c r="D66" s="1292"/>
      <c r="E66" s="1293">
        <v>10</v>
      </c>
      <c r="F66" s="1294">
        <v>43257</v>
      </c>
      <c r="G66" s="1294">
        <f t="shared" si="3"/>
        <v>43266</v>
      </c>
      <c r="H66" s="1292" t="s">
        <v>681</v>
      </c>
      <c r="I66" s="1293" t="s">
        <v>170</v>
      </c>
      <c r="J66" s="643" t="s">
        <v>696</v>
      </c>
      <c r="K66" s="1292" t="s">
        <v>699</v>
      </c>
      <c r="L66" s="1231">
        <v>23174</v>
      </c>
      <c r="M66" s="1292"/>
      <c r="N66" s="1292"/>
      <c r="O66" s="647">
        <v>350</v>
      </c>
      <c r="P66" s="1292">
        <v>1</v>
      </c>
      <c r="Q66" s="1295">
        <f t="shared" si="5"/>
        <v>350</v>
      </c>
      <c r="R66" s="956"/>
      <c r="S66" s="954"/>
      <c r="T66" s="954"/>
      <c r="U66" s="954"/>
      <c r="V66" s="1823">
        <v>350</v>
      </c>
      <c r="W66" s="805"/>
      <c r="X66" s="1166"/>
      <c r="Y66" s="1144"/>
      <c r="Z66" s="1124"/>
      <c r="AA66" s="1124"/>
      <c r="AB66" s="1124"/>
      <c r="AC66" s="1124"/>
      <c r="AD66" s="1124"/>
      <c r="AE66" s="1124"/>
      <c r="AF66" s="1124"/>
      <c r="AG66" s="1282">
        <f t="shared" si="4"/>
        <v>350</v>
      </c>
    </row>
    <row r="67" spans="1:33" ht="97.5" customHeight="1">
      <c r="A67" s="796">
        <v>1115</v>
      </c>
      <c r="B67" s="793" t="s">
        <v>694</v>
      </c>
      <c r="C67" s="1073" t="s">
        <v>695</v>
      </c>
      <c r="D67" s="1292"/>
      <c r="E67" s="1293">
        <v>10</v>
      </c>
      <c r="F67" s="1294">
        <v>43257</v>
      </c>
      <c r="G67" s="1294">
        <f t="shared" si="3"/>
        <v>43266</v>
      </c>
      <c r="H67" s="1292" t="s">
        <v>681</v>
      </c>
      <c r="I67" s="1293" t="s">
        <v>170</v>
      </c>
      <c r="J67" s="643" t="s">
        <v>696</v>
      </c>
      <c r="K67" s="1292" t="s">
        <v>700</v>
      </c>
      <c r="L67" s="1231">
        <v>23174</v>
      </c>
      <c r="M67" s="1292"/>
      <c r="N67" s="1292"/>
      <c r="O67" s="647">
        <v>233.33333333333334</v>
      </c>
      <c r="P67" s="1292">
        <v>1</v>
      </c>
      <c r="Q67" s="1295">
        <f t="shared" si="5"/>
        <v>233.33333333333334</v>
      </c>
      <c r="R67" s="956"/>
      <c r="S67" s="954"/>
      <c r="T67" s="954"/>
      <c r="U67" s="954"/>
      <c r="V67" s="1823">
        <v>233.33333333333334</v>
      </c>
      <c r="W67" s="805"/>
      <c r="X67" s="1166"/>
      <c r="Y67" s="1144"/>
      <c r="Z67" s="1124"/>
      <c r="AA67" s="1124"/>
      <c r="AB67" s="1124"/>
      <c r="AC67" s="1124"/>
      <c r="AD67" s="1124"/>
      <c r="AE67" s="1124"/>
      <c r="AF67" s="1124"/>
      <c r="AG67" s="1282">
        <f t="shared" si="4"/>
        <v>233.33333333333334</v>
      </c>
    </row>
    <row r="68" spans="1:33" ht="97.5" customHeight="1">
      <c r="A68" s="796">
        <v>1115</v>
      </c>
      <c r="B68" s="793" t="s">
        <v>694</v>
      </c>
      <c r="C68" s="1073" t="s">
        <v>695</v>
      </c>
      <c r="D68" s="1292"/>
      <c r="E68" s="1293">
        <v>10</v>
      </c>
      <c r="F68" s="1294">
        <v>43257</v>
      </c>
      <c r="G68" s="1294">
        <f t="shared" si="3"/>
        <v>43266</v>
      </c>
      <c r="H68" s="1292" t="s">
        <v>681</v>
      </c>
      <c r="I68" s="1293" t="s">
        <v>170</v>
      </c>
      <c r="J68" s="643" t="s">
        <v>696</v>
      </c>
      <c r="K68" s="1292" t="s">
        <v>683</v>
      </c>
      <c r="L68" s="1231">
        <v>23174</v>
      </c>
      <c r="M68" s="1292"/>
      <c r="N68" s="1292"/>
      <c r="O68" s="647">
        <v>1176</v>
      </c>
      <c r="P68" s="1292">
        <v>1</v>
      </c>
      <c r="Q68" s="1295">
        <f t="shared" si="5"/>
        <v>1176</v>
      </c>
      <c r="R68" s="956"/>
      <c r="S68" s="954"/>
      <c r="T68" s="954"/>
      <c r="U68" s="954"/>
      <c r="V68" s="1823">
        <v>1176</v>
      </c>
      <c r="W68" s="805"/>
      <c r="X68" s="1166"/>
      <c r="Y68" s="1144"/>
      <c r="Z68" s="1124"/>
      <c r="AA68" s="1124"/>
      <c r="AB68" s="1124"/>
      <c r="AC68" s="1124"/>
      <c r="AD68" s="1124"/>
      <c r="AE68" s="1124"/>
      <c r="AF68" s="1124"/>
      <c r="AG68" s="1282">
        <f t="shared" si="4"/>
        <v>1176</v>
      </c>
    </row>
    <row r="69" spans="1:33" ht="97.5" customHeight="1">
      <c r="A69" s="796">
        <v>1115</v>
      </c>
      <c r="B69" s="793" t="s">
        <v>694</v>
      </c>
      <c r="C69" s="1073" t="s">
        <v>695</v>
      </c>
      <c r="D69" s="1292"/>
      <c r="E69" s="1293">
        <v>10</v>
      </c>
      <c r="F69" s="1294">
        <v>43257</v>
      </c>
      <c r="G69" s="1294">
        <f t="shared" si="3"/>
        <v>43266</v>
      </c>
      <c r="H69" s="1292" t="s">
        <v>681</v>
      </c>
      <c r="I69" s="1293" t="s">
        <v>170</v>
      </c>
      <c r="J69" s="643" t="s">
        <v>696</v>
      </c>
      <c r="K69" s="1292" t="s">
        <v>684</v>
      </c>
      <c r="L69" s="1231">
        <v>23174</v>
      </c>
      <c r="M69" s="1292"/>
      <c r="N69" s="1292"/>
      <c r="O69" s="647">
        <v>1307</v>
      </c>
      <c r="P69" s="1292">
        <v>1</v>
      </c>
      <c r="Q69" s="1295">
        <f t="shared" si="5"/>
        <v>1307</v>
      </c>
      <c r="R69" s="956"/>
      <c r="S69" s="954"/>
      <c r="T69" s="954"/>
      <c r="U69" s="954"/>
      <c r="V69" s="1823">
        <v>1307</v>
      </c>
      <c r="W69" s="805"/>
      <c r="X69" s="1166"/>
      <c r="Y69" s="1144"/>
      <c r="Z69" s="1124"/>
      <c r="AA69" s="1124"/>
      <c r="AB69" s="1124"/>
      <c r="AC69" s="1124"/>
      <c r="AD69" s="1124"/>
      <c r="AE69" s="1124"/>
      <c r="AF69" s="1124"/>
      <c r="AG69" s="1282">
        <f t="shared" si="4"/>
        <v>1307</v>
      </c>
    </row>
    <row r="70" spans="1:33" ht="97.5" customHeight="1">
      <c r="A70" s="796">
        <v>1115</v>
      </c>
      <c r="B70" s="793" t="s">
        <v>694</v>
      </c>
      <c r="C70" s="1073" t="s">
        <v>695</v>
      </c>
      <c r="D70" s="1292"/>
      <c r="E70" s="1293">
        <v>10</v>
      </c>
      <c r="F70" s="1294">
        <v>43257</v>
      </c>
      <c r="G70" s="1294">
        <f t="shared" ref="G70:G88" si="6">F70+E70-1</f>
        <v>43266</v>
      </c>
      <c r="H70" s="1292" t="s">
        <v>681</v>
      </c>
      <c r="I70" s="1293" t="s">
        <v>170</v>
      </c>
      <c r="J70" s="643" t="s">
        <v>696</v>
      </c>
      <c r="K70" s="1292" t="s">
        <v>685</v>
      </c>
      <c r="L70" s="1231">
        <v>23174</v>
      </c>
      <c r="M70" s="1292"/>
      <c r="N70" s="1292"/>
      <c r="O70" s="647">
        <v>980</v>
      </c>
      <c r="P70" s="1292">
        <v>1</v>
      </c>
      <c r="Q70" s="1295">
        <f t="shared" si="5"/>
        <v>980</v>
      </c>
      <c r="R70" s="956"/>
      <c r="S70" s="954"/>
      <c r="T70" s="954"/>
      <c r="U70" s="954"/>
      <c r="V70" s="1823">
        <v>980</v>
      </c>
      <c r="W70" s="805"/>
      <c r="X70" s="1166"/>
      <c r="Y70" s="1144"/>
      <c r="Z70" s="1124"/>
      <c r="AA70" s="1124"/>
      <c r="AB70" s="1124"/>
      <c r="AC70" s="1124"/>
      <c r="AD70" s="1124"/>
      <c r="AE70" s="1124"/>
      <c r="AF70" s="1124"/>
      <c r="AG70" s="1282">
        <f t="shared" si="4"/>
        <v>980</v>
      </c>
    </row>
    <row r="71" spans="1:33" ht="97.5" customHeight="1">
      <c r="A71" s="796">
        <v>1115</v>
      </c>
      <c r="B71" s="793" t="s">
        <v>694</v>
      </c>
      <c r="C71" s="1073" t="s">
        <v>695</v>
      </c>
      <c r="D71" s="1292"/>
      <c r="E71" s="1293">
        <v>10</v>
      </c>
      <c r="F71" s="1294">
        <v>43257</v>
      </c>
      <c r="G71" s="1294">
        <f t="shared" si="6"/>
        <v>43266</v>
      </c>
      <c r="H71" s="1292" t="s">
        <v>681</v>
      </c>
      <c r="I71" s="1293" t="s">
        <v>170</v>
      </c>
      <c r="J71" s="643" t="s">
        <v>696</v>
      </c>
      <c r="K71" s="1292" t="s">
        <v>686</v>
      </c>
      <c r="L71" s="1231">
        <v>23174</v>
      </c>
      <c r="M71" s="1292"/>
      <c r="N71" s="1292"/>
      <c r="O71" s="647">
        <v>653</v>
      </c>
      <c r="P71" s="1292">
        <v>1</v>
      </c>
      <c r="Q71" s="1295">
        <f t="shared" ref="Q71:Q81" si="7">O71*P71</f>
        <v>653</v>
      </c>
      <c r="R71" s="956"/>
      <c r="S71" s="954"/>
      <c r="T71" s="954"/>
      <c r="U71" s="954"/>
      <c r="V71" s="1823">
        <v>653</v>
      </c>
      <c r="W71" s="805"/>
      <c r="X71" s="1166"/>
      <c r="Y71" s="1144"/>
      <c r="Z71" s="1124"/>
      <c r="AA71" s="1124"/>
      <c r="AB71" s="1124"/>
      <c r="AC71" s="1124"/>
      <c r="AD71" s="1124"/>
      <c r="AE71" s="1124"/>
      <c r="AF71" s="1124"/>
      <c r="AG71" s="1282">
        <f t="shared" si="4"/>
        <v>653</v>
      </c>
    </row>
    <row r="72" spans="1:33" ht="97.5" customHeight="1">
      <c r="A72" s="796">
        <v>1115</v>
      </c>
      <c r="B72" s="793" t="s">
        <v>694</v>
      </c>
      <c r="C72" s="1073" t="s">
        <v>695</v>
      </c>
      <c r="D72" s="1292"/>
      <c r="E72" s="1293">
        <v>10</v>
      </c>
      <c r="F72" s="1294">
        <v>43257</v>
      </c>
      <c r="G72" s="1294">
        <f t="shared" si="6"/>
        <v>43266</v>
      </c>
      <c r="H72" s="1292" t="s">
        <v>681</v>
      </c>
      <c r="I72" s="1293" t="s">
        <v>170</v>
      </c>
      <c r="J72" s="643" t="s">
        <v>696</v>
      </c>
      <c r="K72" s="1292" t="s">
        <v>701</v>
      </c>
      <c r="L72" s="1231">
        <v>23174</v>
      </c>
      <c r="M72" s="1292"/>
      <c r="N72" s="1292"/>
      <c r="O72" s="647">
        <v>4443</v>
      </c>
      <c r="P72" s="1292">
        <v>1</v>
      </c>
      <c r="Q72" s="1295">
        <f t="shared" si="7"/>
        <v>4443</v>
      </c>
      <c r="R72" s="956"/>
      <c r="S72" s="954"/>
      <c r="T72" s="954"/>
      <c r="U72" s="954"/>
      <c r="V72" s="1823">
        <v>4443</v>
      </c>
      <c r="W72" s="805"/>
      <c r="X72" s="1166"/>
      <c r="Y72" s="1144"/>
      <c r="Z72" s="1124"/>
      <c r="AA72" s="1124"/>
      <c r="AB72" s="1124"/>
      <c r="AC72" s="1124"/>
      <c r="AD72" s="1124"/>
      <c r="AE72" s="1124"/>
      <c r="AF72" s="1124"/>
      <c r="AG72" s="1282">
        <f t="shared" si="4"/>
        <v>4443</v>
      </c>
    </row>
    <row r="73" spans="1:33" ht="97.5" customHeight="1">
      <c r="A73" s="796">
        <v>1115</v>
      </c>
      <c r="B73" s="793" t="s">
        <v>694</v>
      </c>
      <c r="C73" s="1073" t="s">
        <v>695</v>
      </c>
      <c r="D73" s="1292"/>
      <c r="E73" s="1293">
        <v>10</v>
      </c>
      <c r="F73" s="1294">
        <v>43257</v>
      </c>
      <c r="G73" s="1294">
        <f t="shared" si="6"/>
        <v>43266</v>
      </c>
      <c r="H73" s="1292" t="s">
        <v>681</v>
      </c>
      <c r="I73" s="1293" t="s">
        <v>170</v>
      </c>
      <c r="J73" s="643" t="s">
        <v>696</v>
      </c>
      <c r="K73" s="1292" t="s">
        <v>702</v>
      </c>
      <c r="L73" s="1231">
        <v>23174</v>
      </c>
      <c r="M73" s="1292"/>
      <c r="N73" s="1292"/>
      <c r="O73" s="647">
        <v>3528</v>
      </c>
      <c r="P73" s="1292">
        <v>1</v>
      </c>
      <c r="Q73" s="1295">
        <f t="shared" si="7"/>
        <v>3528</v>
      </c>
      <c r="R73" s="956"/>
      <c r="S73" s="954"/>
      <c r="T73" s="954"/>
      <c r="U73" s="954"/>
      <c r="V73" s="1823">
        <v>3528</v>
      </c>
      <c r="W73" s="805"/>
      <c r="X73" s="1166"/>
      <c r="Y73" s="1144"/>
      <c r="Z73" s="1124"/>
      <c r="AA73" s="1124"/>
      <c r="AB73" s="1124"/>
      <c r="AC73" s="1124"/>
      <c r="AD73" s="1124"/>
      <c r="AE73" s="1124"/>
      <c r="AF73" s="1124"/>
      <c r="AG73" s="1282">
        <f t="shared" si="4"/>
        <v>3528</v>
      </c>
    </row>
    <row r="74" spans="1:33" ht="97.5" customHeight="1">
      <c r="A74" s="796">
        <v>1115</v>
      </c>
      <c r="B74" s="793" t="s">
        <v>694</v>
      </c>
      <c r="C74" s="1073" t="s">
        <v>695</v>
      </c>
      <c r="D74" s="1292"/>
      <c r="E74" s="1293">
        <v>10</v>
      </c>
      <c r="F74" s="1294">
        <v>43257</v>
      </c>
      <c r="G74" s="1294">
        <f t="shared" si="6"/>
        <v>43266</v>
      </c>
      <c r="H74" s="1292" t="s">
        <v>681</v>
      </c>
      <c r="I74" s="1293" t="s">
        <v>170</v>
      </c>
      <c r="J74" s="643" t="s">
        <v>696</v>
      </c>
      <c r="K74" s="1292" t="s">
        <v>689</v>
      </c>
      <c r="L74" s="1231">
        <v>23174</v>
      </c>
      <c r="M74" s="1292"/>
      <c r="N74" s="1292"/>
      <c r="O74" s="647">
        <v>3920</v>
      </c>
      <c r="P74" s="1292">
        <v>1</v>
      </c>
      <c r="Q74" s="1295">
        <f t="shared" si="7"/>
        <v>3920</v>
      </c>
      <c r="R74" s="956"/>
      <c r="S74" s="954"/>
      <c r="T74" s="954"/>
      <c r="U74" s="954"/>
      <c r="V74" s="1823">
        <v>3920</v>
      </c>
      <c r="W74" s="805"/>
      <c r="X74" s="1166"/>
      <c r="Y74" s="1144"/>
      <c r="Z74" s="1124"/>
      <c r="AA74" s="1124"/>
      <c r="AB74" s="1124"/>
      <c r="AC74" s="1124"/>
      <c r="AD74" s="1124"/>
      <c r="AE74" s="1124"/>
      <c r="AF74" s="1124"/>
      <c r="AG74" s="1282">
        <f t="shared" ref="AG74:AG88" si="8">SUM(S74:AF74)</f>
        <v>3920</v>
      </c>
    </row>
    <row r="75" spans="1:33" ht="97.5" customHeight="1">
      <c r="A75" s="796">
        <v>1115</v>
      </c>
      <c r="B75" s="793" t="s">
        <v>694</v>
      </c>
      <c r="C75" s="1073" t="s">
        <v>695</v>
      </c>
      <c r="D75" s="1292"/>
      <c r="E75" s="1293">
        <v>10</v>
      </c>
      <c r="F75" s="1294">
        <v>43257</v>
      </c>
      <c r="G75" s="1294">
        <f t="shared" si="6"/>
        <v>43266</v>
      </c>
      <c r="H75" s="1292" t="s">
        <v>681</v>
      </c>
      <c r="I75" s="1293" t="s">
        <v>170</v>
      </c>
      <c r="J75" s="643" t="s">
        <v>696</v>
      </c>
      <c r="K75" s="1292" t="s">
        <v>690</v>
      </c>
      <c r="L75" s="1231">
        <v>23174</v>
      </c>
      <c r="M75" s="1292"/>
      <c r="N75" s="1292"/>
      <c r="O75" s="647">
        <v>1960</v>
      </c>
      <c r="P75" s="1292">
        <v>1</v>
      </c>
      <c r="Q75" s="1295">
        <f t="shared" si="7"/>
        <v>1960</v>
      </c>
      <c r="R75" s="956"/>
      <c r="S75" s="954"/>
      <c r="T75" s="954"/>
      <c r="U75" s="954"/>
      <c r="V75" s="1823">
        <v>1960</v>
      </c>
      <c r="W75" s="805"/>
      <c r="X75" s="1166"/>
      <c r="Y75" s="1144"/>
      <c r="Z75" s="1124"/>
      <c r="AA75" s="1124"/>
      <c r="AB75" s="1124"/>
      <c r="AC75" s="1124"/>
      <c r="AD75" s="1124"/>
      <c r="AE75" s="1124"/>
      <c r="AF75" s="1124"/>
      <c r="AG75" s="1282">
        <f t="shared" si="8"/>
        <v>1960</v>
      </c>
    </row>
    <row r="76" spans="1:33" ht="97.5" customHeight="1">
      <c r="A76" s="796">
        <v>1115</v>
      </c>
      <c r="B76" s="793" t="s">
        <v>694</v>
      </c>
      <c r="C76" s="1073" t="s">
        <v>695</v>
      </c>
      <c r="D76" s="1292"/>
      <c r="E76" s="1293">
        <v>10</v>
      </c>
      <c r="F76" s="1294">
        <v>43257</v>
      </c>
      <c r="G76" s="1294">
        <f t="shared" si="6"/>
        <v>43266</v>
      </c>
      <c r="H76" s="1292" t="s">
        <v>681</v>
      </c>
      <c r="I76" s="1293" t="s">
        <v>170</v>
      </c>
      <c r="J76" s="643" t="s">
        <v>696</v>
      </c>
      <c r="K76" s="1292" t="s">
        <v>703</v>
      </c>
      <c r="L76" s="1231">
        <v>23174</v>
      </c>
      <c r="M76" s="1292"/>
      <c r="N76" s="1292"/>
      <c r="O76" s="647">
        <v>16968</v>
      </c>
      <c r="P76" s="1292">
        <v>1</v>
      </c>
      <c r="Q76" s="1295">
        <f t="shared" si="7"/>
        <v>16968</v>
      </c>
      <c r="R76" s="956"/>
      <c r="S76" s="954"/>
      <c r="T76" s="954"/>
      <c r="U76" s="954"/>
      <c r="V76" s="805"/>
      <c r="W76" s="1823">
        <v>16968</v>
      </c>
      <c r="X76" s="1166"/>
      <c r="Y76" s="1144"/>
      <c r="Z76" s="1124"/>
      <c r="AA76" s="1124"/>
      <c r="AB76" s="1124"/>
      <c r="AC76" s="1124"/>
      <c r="AD76" s="1124"/>
      <c r="AE76" s="1124"/>
      <c r="AF76" s="1124"/>
      <c r="AG76" s="1282">
        <f t="shared" si="8"/>
        <v>16968</v>
      </c>
    </row>
    <row r="77" spans="1:33" ht="97.5" customHeight="1">
      <c r="A77" s="796">
        <v>1115</v>
      </c>
      <c r="B77" s="793" t="s">
        <v>694</v>
      </c>
      <c r="C77" s="1073" t="s">
        <v>695</v>
      </c>
      <c r="D77" s="1292"/>
      <c r="E77" s="1293">
        <v>10</v>
      </c>
      <c r="F77" s="1294">
        <v>43257</v>
      </c>
      <c r="G77" s="1294">
        <f t="shared" si="6"/>
        <v>43266</v>
      </c>
      <c r="H77" s="1292" t="s">
        <v>681</v>
      </c>
      <c r="I77" s="1293" t="s">
        <v>170</v>
      </c>
      <c r="J77" s="643" t="s">
        <v>696</v>
      </c>
      <c r="K77" s="1292" t="s">
        <v>692</v>
      </c>
      <c r="L77" s="1231">
        <v>23174</v>
      </c>
      <c r="M77" s="1292"/>
      <c r="N77" s="1292"/>
      <c r="O77" s="647">
        <v>18853</v>
      </c>
      <c r="P77" s="1292">
        <v>1</v>
      </c>
      <c r="Q77" s="1295">
        <f t="shared" si="7"/>
        <v>18853</v>
      </c>
      <c r="R77" s="956"/>
      <c r="S77" s="954"/>
      <c r="T77" s="954"/>
      <c r="U77" s="954"/>
      <c r="V77" s="805"/>
      <c r="W77" s="1823">
        <v>18853</v>
      </c>
      <c r="X77" s="1166"/>
      <c r="Y77" s="1144"/>
      <c r="Z77" s="1124"/>
      <c r="AA77" s="1124"/>
      <c r="AB77" s="1124"/>
      <c r="AC77" s="1124"/>
      <c r="AD77" s="1124"/>
      <c r="AE77" s="1124"/>
      <c r="AF77" s="1124"/>
      <c r="AG77" s="1282">
        <f t="shared" si="8"/>
        <v>18853</v>
      </c>
    </row>
    <row r="78" spans="1:33" ht="97.5" customHeight="1">
      <c r="A78" s="796">
        <v>1115</v>
      </c>
      <c r="B78" s="793" t="s">
        <v>694</v>
      </c>
      <c r="C78" s="1073" t="s">
        <v>695</v>
      </c>
      <c r="D78" s="1292"/>
      <c r="E78" s="1293">
        <v>10</v>
      </c>
      <c r="F78" s="1294">
        <v>43257</v>
      </c>
      <c r="G78" s="1294">
        <f t="shared" si="6"/>
        <v>43266</v>
      </c>
      <c r="H78" s="1292" t="s">
        <v>681</v>
      </c>
      <c r="I78" s="1293" t="s">
        <v>170</v>
      </c>
      <c r="J78" s="643" t="s">
        <v>696</v>
      </c>
      <c r="K78" s="1292" t="s">
        <v>693</v>
      </c>
      <c r="L78" s="1231">
        <v>23174</v>
      </c>
      <c r="M78" s="1292"/>
      <c r="N78" s="1292"/>
      <c r="O78" s="647">
        <v>1347</v>
      </c>
      <c r="P78" s="1292">
        <v>1</v>
      </c>
      <c r="Q78" s="1295">
        <f t="shared" si="7"/>
        <v>1347</v>
      </c>
      <c r="R78" s="956"/>
      <c r="S78" s="954"/>
      <c r="T78" s="954"/>
      <c r="U78" s="954"/>
      <c r="V78" s="805"/>
      <c r="W78" s="1823">
        <v>1347</v>
      </c>
      <c r="X78" s="1166"/>
      <c r="Y78" s="1144"/>
      <c r="Z78" s="1124"/>
      <c r="AA78" s="1124"/>
      <c r="AB78" s="1124"/>
      <c r="AC78" s="1124"/>
      <c r="AD78" s="1124"/>
      <c r="AE78" s="1124"/>
      <c r="AF78" s="1124"/>
      <c r="AG78" s="1282">
        <f t="shared" si="8"/>
        <v>1347</v>
      </c>
    </row>
    <row r="79" spans="1:33" ht="97.5" customHeight="1">
      <c r="A79" s="796">
        <v>1115</v>
      </c>
      <c r="B79" s="793" t="s">
        <v>694</v>
      </c>
      <c r="C79" s="1073" t="s">
        <v>695</v>
      </c>
      <c r="D79" s="1292"/>
      <c r="E79" s="1293">
        <v>10</v>
      </c>
      <c r="F79" s="1294">
        <v>43257</v>
      </c>
      <c r="G79" s="1294">
        <f t="shared" si="6"/>
        <v>43266</v>
      </c>
      <c r="H79" s="1292" t="s">
        <v>681</v>
      </c>
      <c r="I79" s="1293" t="s">
        <v>170</v>
      </c>
      <c r="J79" s="643" t="s">
        <v>696</v>
      </c>
      <c r="K79" s="1292" t="s">
        <v>704</v>
      </c>
      <c r="L79" s="1231">
        <v>23173</v>
      </c>
      <c r="M79" s="1292"/>
      <c r="N79" s="1292"/>
      <c r="O79" s="647">
        <v>1117</v>
      </c>
      <c r="P79" s="1292">
        <v>1</v>
      </c>
      <c r="Q79" s="1295">
        <f t="shared" si="7"/>
        <v>1117</v>
      </c>
      <c r="R79" s="956"/>
      <c r="S79" s="954"/>
      <c r="T79" s="954"/>
      <c r="U79" s="954"/>
      <c r="V79" s="1823">
        <v>1117</v>
      </c>
      <c r="W79" s="805"/>
      <c r="X79" s="1166"/>
      <c r="Y79" s="1144"/>
      <c r="Z79" s="1124"/>
      <c r="AA79" s="1124"/>
      <c r="AB79" s="1124"/>
      <c r="AC79" s="1124"/>
      <c r="AD79" s="1124"/>
      <c r="AE79" s="1124"/>
      <c r="AF79" s="1124"/>
      <c r="AG79" s="1282">
        <f t="shared" si="8"/>
        <v>1117</v>
      </c>
    </row>
    <row r="80" spans="1:33" ht="97.5" customHeight="1">
      <c r="A80" s="796">
        <v>1115</v>
      </c>
      <c r="B80" s="793" t="s">
        <v>694</v>
      </c>
      <c r="C80" s="1073" t="s">
        <v>695</v>
      </c>
      <c r="D80" s="1292"/>
      <c r="E80" s="1293">
        <v>10</v>
      </c>
      <c r="F80" s="1294">
        <v>43257</v>
      </c>
      <c r="G80" s="1294">
        <f t="shared" si="6"/>
        <v>43266</v>
      </c>
      <c r="H80" s="1292" t="s">
        <v>681</v>
      </c>
      <c r="I80" s="1293" t="s">
        <v>170</v>
      </c>
      <c r="J80" s="643" t="s">
        <v>696</v>
      </c>
      <c r="K80" s="1292" t="s">
        <v>706</v>
      </c>
      <c r="L80" s="1231">
        <v>23173</v>
      </c>
      <c r="M80" s="1292"/>
      <c r="N80" s="1292"/>
      <c r="O80" s="647">
        <v>6450</v>
      </c>
      <c r="P80" s="1292">
        <v>1</v>
      </c>
      <c r="Q80" s="1295">
        <f t="shared" si="7"/>
        <v>6450</v>
      </c>
      <c r="R80" s="956"/>
      <c r="S80" s="954"/>
      <c r="T80" s="954"/>
      <c r="U80" s="954"/>
      <c r="V80" s="1823">
        <v>6450</v>
      </c>
      <c r="W80" s="805"/>
      <c r="X80" s="1166"/>
      <c r="Y80" s="1144"/>
      <c r="Z80" s="1124"/>
      <c r="AA80" s="1124"/>
      <c r="AB80" s="1124"/>
      <c r="AC80" s="1124"/>
      <c r="AD80" s="1124"/>
      <c r="AE80" s="1124"/>
      <c r="AF80" s="1124"/>
      <c r="AG80" s="1282">
        <f t="shared" si="8"/>
        <v>6450</v>
      </c>
    </row>
    <row r="81" spans="1:34" ht="97.5" customHeight="1">
      <c r="A81" s="796">
        <v>1115</v>
      </c>
      <c r="B81" s="793" t="s">
        <v>694</v>
      </c>
      <c r="C81" s="1073" t="s">
        <v>695</v>
      </c>
      <c r="D81" s="1292"/>
      <c r="E81" s="1293">
        <v>10</v>
      </c>
      <c r="F81" s="1294">
        <v>43257</v>
      </c>
      <c r="G81" s="1294">
        <f t="shared" si="6"/>
        <v>43266</v>
      </c>
      <c r="H81" s="1292" t="s">
        <v>681</v>
      </c>
      <c r="I81" s="1293" t="s">
        <v>170</v>
      </c>
      <c r="J81" s="643" t="s">
        <v>696</v>
      </c>
      <c r="K81" s="1292" t="s">
        <v>638</v>
      </c>
      <c r="L81" s="1231">
        <v>23173</v>
      </c>
      <c r="M81" s="1292"/>
      <c r="N81" s="1292"/>
      <c r="O81" s="647">
        <v>4300</v>
      </c>
      <c r="P81" s="1292">
        <v>1</v>
      </c>
      <c r="Q81" s="1295">
        <f t="shared" si="7"/>
        <v>4300</v>
      </c>
      <c r="R81" s="956"/>
      <c r="S81" s="954"/>
      <c r="T81" s="954"/>
      <c r="U81" s="954"/>
      <c r="V81" s="1823">
        <v>4300</v>
      </c>
      <c r="W81" s="805"/>
      <c r="X81" s="1166"/>
      <c r="Y81" s="1144"/>
      <c r="Z81" s="1124"/>
      <c r="AA81" s="1124"/>
      <c r="AB81" s="1124"/>
      <c r="AC81" s="1124"/>
      <c r="AD81" s="1124"/>
      <c r="AE81" s="1124"/>
      <c r="AF81" s="1124"/>
      <c r="AG81" s="1282">
        <f t="shared" si="8"/>
        <v>4300</v>
      </c>
    </row>
    <row r="82" spans="1:34" ht="73.900000000000006" customHeight="1">
      <c r="A82" s="796">
        <v>1116</v>
      </c>
      <c r="B82" s="793" t="s">
        <v>707</v>
      </c>
      <c r="C82" s="1073" t="s">
        <v>708</v>
      </c>
      <c r="D82" s="1292"/>
      <c r="E82" s="1293">
        <v>1</v>
      </c>
      <c r="F82" s="1294">
        <v>43315</v>
      </c>
      <c r="G82" s="1294">
        <f t="shared" si="6"/>
        <v>43315</v>
      </c>
      <c r="H82" s="1292" t="s">
        <v>667</v>
      </c>
      <c r="I82" s="1293" t="s">
        <v>170</v>
      </c>
      <c r="J82" s="643" t="s">
        <v>696</v>
      </c>
      <c r="K82" s="1292" t="s">
        <v>709</v>
      </c>
      <c r="L82" s="1231">
        <v>23174</v>
      </c>
      <c r="M82" s="1292"/>
      <c r="N82" s="1292"/>
      <c r="O82" s="647">
        <v>252</v>
      </c>
      <c r="P82" s="1292">
        <v>1</v>
      </c>
      <c r="Q82" s="1295">
        <f t="shared" ref="Q82:Q88" si="9">O82*P82</f>
        <v>252</v>
      </c>
      <c r="R82" s="956"/>
      <c r="S82" s="954"/>
      <c r="T82" s="954"/>
      <c r="U82" s="954"/>
      <c r="V82" s="954"/>
      <c r="W82" s="954"/>
      <c r="X82" s="1824">
        <v>252</v>
      </c>
      <c r="Y82" s="1144"/>
      <c r="Z82" s="1124"/>
      <c r="AA82" s="1124"/>
      <c r="AB82" s="1124"/>
      <c r="AC82" s="1124"/>
      <c r="AD82" s="1124"/>
      <c r="AE82" s="1124"/>
      <c r="AF82" s="1124"/>
      <c r="AG82" s="1282">
        <f t="shared" si="8"/>
        <v>252</v>
      </c>
    </row>
    <row r="83" spans="1:34" ht="73.900000000000006" customHeight="1">
      <c r="A83" s="796">
        <v>1116</v>
      </c>
      <c r="B83" s="793" t="s">
        <v>707</v>
      </c>
      <c r="C83" s="1073" t="s">
        <v>708</v>
      </c>
      <c r="D83" s="1292"/>
      <c r="E83" s="1293">
        <v>1</v>
      </c>
      <c r="F83" s="1294">
        <v>43315</v>
      </c>
      <c r="G83" s="1294">
        <f t="shared" si="6"/>
        <v>43315</v>
      </c>
      <c r="H83" s="1292" t="s">
        <v>667</v>
      </c>
      <c r="I83" s="1293" t="s">
        <v>170</v>
      </c>
      <c r="J83" s="643" t="s">
        <v>696</v>
      </c>
      <c r="K83" s="1292" t="s">
        <v>710</v>
      </c>
      <c r="L83" s="1231">
        <v>23174</v>
      </c>
      <c r="M83" s="1292"/>
      <c r="N83" s="1292"/>
      <c r="O83" s="647">
        <v>280</v>
      </c>
      <c r="P83" s="1292">
        <v>1</v>
      </c>
      <c r="Q83" s="1295">
        <f t="shared" si="9"/>
        <v>280</v>
      </c>
      <c r="R83" s="956"/>
      <c r="S83" s="954"/>
      <c r="T83" s="954"/>
      <c r="U83" s="954"/>
      <c r="V83" s="954"/>
      <c r="W83" s="954"/>
      <c r="X83" s="1824">
        <v>280</v>
      </c>
      <c r="Y83" s="1144"/>
      <c r="Z83" s="1124"/>
      <c r="AA83" s="1124"/>
      <c r="AB83" s="1124"/>
      <c r="AC83" s="1124"/>
      <c r="AD83" s="1124"/>
      <c r="AE83" s="1124"/>
      <c r="AF83" s="1124"/>
      <c r="AG83" s="1282">
        <f t="shared" si="8"/>
        <v>280</v>
      </c>
    </row>
    <row r="84" spans="1:34" ht="73.900000000000006" customHeight="1">
      <c r="A84" s="796">
        <v>1116</v>
      </c>
      <c r="B84" s="793" t="s">
        <v>707</v>
      </c>
      <c r="C84" s="1073" t="s">
        <v>708</v>
      </c>
      <c r="D84" s="1292"/>
      <c r="E84" s="1293">
        <v>1</v>
      </c>
      <c r="F84" s="1294">
        <v>43315</v>
      </c>
      <c r="G84" s="1294">
        <f t="shared" si="6"/>
        <v>43315</v>
      </c>
      <c r="H84" s="1292" t="s">
        <v>667</v>
      </c>
      <c r="I84" s="1293" t="s">
        <v>170</v>
      </c>
      <c r="J84" s="643" t="s">
        <v>696</v>
      </c>
      <c r="K84" s="1292" t="s">
        <v>711</v>
      </c>
      <c r="L84" s="1231">
        <v>23174</v>
      </c>
      <c r="M84" s="1292"/>
      <c r="N84" s="1292"/>
      <c r="O84" s="647">
        <v>210</v>
      </c>
      <c r="P84" s="1292">
        <v>1</v>
      </c>
      <c r="Q84" s="1295">
        <f t="shared" si="9"/>
        <v>210</v>
      </c>
      <c r="R84" s="956"/>
      <c r="S84" s="954"/>
      <c r="T84" s="954"/>
      <c r="U84" s="954"/>
      <c r="V84" s="954"/>
      <c r="W84" s="954"/>
      <c r="X84" s="1824">
        <v>210</v>
      </c>
      <c r="Y84" s="1144"/>
      <c r="Z84" s="1124"/>
      <c r="AA84" s="1124"/>
      <c r="AB84" s="1124"/>
      <c r="AC84" s="1124"/>
      <c r="AD84" s="1124"/>
      <c r="AE84" s="1124"/>
      <c r="AF84" s="1124"/>
      <c r="AG84" s="1282">
        <f t="shared" si="8"/>
        <v>210</v>
      </c>
    </row>
    <row r="85" spans="1:34" ht="73.900000000000006" customHeight="1">
      <c r="A85" s="796">
        <v>1116</v>
      </c>
      <c r="B85" s="793" t="s">
        <v>707</v>
      </c>
      <c r="C85" s="1073" t="s">
        <v>708</v>
      </c>
      <c r="D85" s="1292"/>
      <c r="E85" s="1293">
        <v>1</v>
      </c>
      <c r="F85" s="1294">
        <v>43315</v>
      </c>
      <c r="G85" s="1294">
        <f t="shared" si="6"/>
        <v>43315</v>
      </c>
      <c r="H85" s="1292" t="s">
        <v>667</v>
      </c>
      <c r="I85" s="1293" t="s">
        <v>170</v>
      </c>
      <c r="J85" s="643" t="s">
        <v>696</v>
      </c>
      <c r="K85" s="1292" t="s">
        <v>712</v>
      </c>
      <c r="L85" s="1231">
        <v>23174</v>
      </c>
      <c r="M85" s="1292"/>
      <c r="N85" s="1292"/>
      <c r="O85" s="647">
        <v>140</v>
      </c>
      <c r="P85" s="1292">
        <v>1</v>
      </c>
      <c r="Q85" s="1295">
        <f t="shared" si="9"/>
        <v>140</v>
      </c>
      <c r="R85" s="956"/>
      <c r="S85" s="954"/>
      <c r="T85" s="954"/>
      <c r="U85" s="954"/>
      <c r="V85" s="954"/>
      <c r="W85" s="954"/>
      <c r="X85" s="1824">
        <v>140</v>
      </c>
      <c r="Y85" s="1144"/>
      <c r="Z85" s="1124"/>
      <c r="AA85" s="1124"/>
      <c r="AB85" s="1124"/>
      <c r="AC85" s="1124"/>
      <c r="AD85" s="1124"/>
      <c r="AE85" s="1124"/>
      <c r="AF85" s="1124"/>
      <c r="AG85" s="1282">
        <f t="shared" si="8"/>
        <v>140</v>
      </c>
    </row>
    <row r="86" spans="1:34" ht="73.900000000000006" customHeight="1">
      <c r="A86" s="796">
        <v>1116</v>
      </c>
      <c r="B86" s="793" t="s">
        <v>707</v>
      </c>
      <c r="C86" s="1073" t="s">
        <v>708</v>
      </c>
      <c r="D86" s="1292"/>
      <c r="E86" s="1293">
        <v>1</v>
      </c>
      <c r="F86" s="1294">
        <v>43315</v>
      </c>
      <c r="G86" s="1294">
        <f t="shared" si="6"/>
        <v>43315</v>
      </c>
      <c r="H86" s="1292" t="s">
        <v>667</v>
      </c>
      <c r="I86" s="1293" t="s">
        <v>170</v>
      </c>
      <c r="J86" s="643" t="s">
        <v>696</v>
      </c>
      <c r="K86" s="1292" t="s">
        <v>713</v>
      </c>
      <c r="L86" s="1231">
        <v>23174</v>
      </c>
      <c r="M86" s="1292"/>
      <c r="N86" s="1292"/>
      <c r="O86" s="647">
        <v>2221</v>
      </c>
      <c r="P86" s="1292">
        <v>1</v>
      </c>
      <c r="Q86" s="1295">
        <f t="shared" si="9"/>
        <v>2221</v>
      </c>
      <c r="R86" s="956"/>
      <c r="S86" s="954"/>
      <c r="T86" s="954"/>
      <c r="U86" s="954"/>
      <c r="V86" s="954"/>
      <c r="W86" s="954"/>
      <c r="X86" s="1824">
        <v>2221</v>
      </c>
      <c r="Y86" s="1144"/>
      <c r="Z86" s="1124"/>
      <c r="AA86" s="1124"/>
      <c r="AB86" s="1124"/>
      <c r="AC86" s="1124"/>
      <c r="AD86" s="1124"/>
      <c r="AE86" s="1124"/>
      <c r="AF86" s="1124"/>
      <c r="AG86" s="1282">
        <f t="shared" si="8"/>
        <v>2221</v>
      </c>
    </row>
    <row r="87" spans="1:34" ht="73.900000000000006" customHeight="1">
      <c r="A87" s="796">
        <v>1116</v>
      </c>
      <c r="B87" s="793" t="s">
        <v>707</v>
      </c>
      <c r="C87" s="1073" t="s">
        <v>708</v>
      </c>
      <c r="D87" s="1292"/>
      <c r="E87" s="1293">
        <v>1</v>
      </c>
      <c r="F87" s="1294">
        <v>43315</v>
      </c>
      <c r="G87" s="1294">
        <f t="shared" si="6"/>
        <v>43315</v>
      </c>
      <c r="H87" s="1292" t="s">
        <v>667</v>
      </c>
      <c r="I87" s="1293" t="s">
        <v>170</v>
      </c>
      <c r="J87" s="643" t="s">
        <v>696</v>
      </c>
      <c r="K87" s="1292" t="s">
        <v>714</v>
      </c>
      <c r="L87" s="1231">
        <v>23173</v>
      </c>
      <c r="M87" s="1292"/>
      <c r="N87" s="1292"/>
      <c r="O87" s="647">
        <v>333.33333333333331</v>
      </c>
      <c r="P87" s="1292">
        <v>1</v>
      </c>
      <c r="Q87" s="1295">
        <f t="shared" si="9"/>
        <v>333.33333333333331</v>
      </c>
      <c r="R87" s="956"/>
      <c r="S87" s="954"/>
      <c r="T87" s="954"/>
      <c r="U87" s="954"/>
      <c r="V87" s="954"/>
      <c r="W87" s="954"/>
      <c r="X87" s="1824">
        <v>333.33333333333331</v>
      </c>
      <c r="Y87" s="1144"/>
      <c r="Z87" s="1124"/>
      <c r="AA87" s="1124"/>
      <c r="AB87" s="1124"/>
      <c r="AC87" s="1124"/>
      <c r="AD87" s="1124"/>
      <c r="AE87" s="1124"/>
      <c r="AF87" s="1124"/>
      <c r="AG87" s="1282">
        <f t="shared" si="8"/>
        <v>333.33333333333331</v>
      </c>
    </row>
    <row r="88" spans="1:34" ht="73.900000000000006" customHeight="1">
      <c r="A88" s="796">
        <v>1116</v>
      </c>
      <c r="B88" s="793" t="s">
        <v>707</v>
      </c>
      <c r="C88" s="1073" t="s">
        <v>708</v>
      </c>
      <c r="D88" s="1292"/>
      <c r="E88" s="1293">
        <v>1</v>
      </c>
      <c r="F88" s="1294">
        <v>43315</v>
      </c>
      <c r="G88" s="1294">
        <f t="shared" si="6"/>
        <v>43315</v>
      </c>
      <c r="H88" s="1292" t="s">
        <v>667</v>
      </c>
      <c r="I88" s="1293" t="s">
        <v>170</v>
      </c>
      <c r="J88" s="643" t="s">
        <v>696</v>
      </c>
      <c r="K88" s="1292" t="s">
        <v>670</v>
      </c>
      <c r="L88" s="1231">
        <v>23173</v>
      </c>
      <c r="M88" s="1292"/>
      <c r="N88" s="1292"/>
      <c r="O88" s="647">
        <v>583.33333333333337</v>
      </c>
      <c r="P88" s="1292">
        <v>1</v>
      </c>
      <c r="Q88" s="1295">
        <f t="shared" si="9"/>
        <v>583.33333333333337</v>
      </c>
      <c r="R88" s="956"/>
      <c r="S88" s="954"/>
      <c r="T88" s="954"/>
      <c r="U88" s="954"/>
      <c r="V88" s="954"/>
      <c r="W88" s="954"/>
      <c r="X88" s="1824">
        <v>583.33333333333337</v>
      </c>
      <c r="Y88" s="1144"/>
      <c r="Z88" s="1124"/>
      <c r="AA88" s="1124"/>
      <c r="AB88" s="1124"/>
      <c r="AC88" s="1124"/>
      <c r="AD88" s="1124"/>
      <c r="AE88" s="1124"/>
      <c r="AF88" s="1124"/>
      <c r="AG88" s="1282">
        <f t="shared" si="8"/>
        <v>583.33333333333337</v>
      </c>
    </row>
    <row r="89" spans="1:34" ht="37.5" customHeight="1">
      <c r="A89" s="1300" t="s">
        <v>234</v>
      </c>
      <c r="B89" s="786"/>
      <c r="C89" s="786"/>
      <c r="D89" s="1300"/>
      <c r="E89" s="1300"/>
      <c r="F89" s="1300"/>
      <c r="G89" s="1300"/>
      <c r="H89" s="1300"/>
      <c r="I89" s="1300"/>
      <c r="J89" s="781"/>
      <c r="K89" s="1300"/>
      <c r="L89" s="1301"/>
      <c r="M89" s="1300"/>
      <c r="N89" s="1300"/>
      <c r="O89" s="1302"/>
      <c r="P89" s="1300"/>
      <c r="Q89" s="1302">
        <f>Q90+Q154</f>
        <v>314558.67633333337</v>
      </c>
      <c r="R89" s="1303"/>
      <c r="S89" s="1302">
        <f t="shared" ref="S89:AF89" si="10">S90+S154</f>
        <v>0</v>
      </c>
      <c r="T89" s="1302">
        <f t="shared" si="10"/>
        <v>78416.399666666664</v>
      </c>
      <c r="U89" s="1302">
        <f t="shared" si="10"/>
        <v>46733.999333333333</v>
      </c>
      <c r="V89" s="1302">
        <f t="shared" si="10"/>
        <v>111933.72499999999</v>
      </c>
      <c r="W89" s="1302">
        <f t="shared" si="10"/>
        <v>45901.552333333326</v>
      </c>
      <c r="X89" s="1302">
        <f t="shared" si="10"/>
        <v>7142</v>
      </c>
      <c r="Y89" s="1302">
        <f t="shared" si="10"/>
        <v>24431</v>
      </c>
      <c r="Z89" s="1302">
        <f t="shared" si="10"/>
        <v>0</v>
      </c>
      <c r="AA89" s="1302">
        <f t="shared" si="10"/>
        <v>0</v>
      </c>
      <c r="AB89" s="1302">
        <f t="shared" si="10"/>
        <v>0</v>
      </c>
      <c r="AC89" s="1302">
        <f t="shared" si="10"/>
        <v>0</v>
      </c>
      <c r="AD89" s="1302">
        <f t="shared" si="10"/>
        <v>0</v>
      </c>
      <c r="AE89" s="1302">
        <f t="shared" si="10"/>
        <v>0</v>
      </c>
      <c r="AF89" s="1302">
        <f t="shared" si="10"/>
        <v>0</v>
      </c>
      <c r="AG89" s="1302">
        <f>AG90+AG154</f>
        <v>314558.67633333331</v>
      </c>
      <c r="AH89" s="1018"/>
    </row>
    <row r="90" spans="1:34" ht="16.5" customHeight="1">
      <c r="A90" s="1324">
        <v>121</v>
      </c>
      <c r="B90" s="1462" t="s">
        <v>715</v>
      </c>
      <c r="C90" s="1497"/>
      <c r="D90" s="1306"/>
      <c r="E90" s="1306"/>
      <c r="F90" s="1306"/>
      <c r="G90" s="1306"/>
      <c r="H90" s="1306"/>
      <c r="I90" s="1306"/>
      <c r="J90" s="636"/>
      <c r="K90" s="1296"/>
      <c r="L90" s="1298"/>
      <c r="M90" s="1296"/>
      <c r="N90" s="1296"/>
      <c r="O90" s="1299"/>
      <c r="P90" s="1296"/>
      <c r="Q90" s="1307">
        <f>SUM(Q91:Q153)</f>
        <v>163711</v>
      </c>
      <c r="R90" s="960"/>
      <c r="S90" s="1307">
        <f t="shared" ref="S90:AF90" si="11">SUM(S91:S153)</f>
        <v>0</v>
      </c>
      <c r="T90" s="1307">
        <f t="shared" si="11"/>
        <v>65000</v>
      </c>
      <c r="U90" s="1307">
        <f t="shared" si="11"/>
        <v>14002</v>
      </c>
      <c r="V90" s="1307">
        <f t="shared" si="11"/>
        <v>31374</v>
      </c>
      <c r="W90" s="1307">
        <f t="shared" si="11"/>
        <v>21762</v>
      </c>
      <c r="X90" s="1307">
        <f t="shared" si="11"/>
        <v>7142</v>
      </c>
      <c r="Y90" s="1307">
        <f t="shared" si="11"/>
        <v>24431</v>
      </c>
      <c r="Z90" s="1307">
        <f t="shared" si="11"/>
        <v>0</v>
      </c>
      <c r="AA90" s="1307">
        <f t="shared" si="11"/>
        <v>0</v>
      </c>
      <c r="AB90" s="1307">
        <f t="shared" si="11"/>
        <v>0</v>
      </c>
      <c r="AC90" s="1307">
        <f t="shared" si="11"/>
        <v>0</v>
      </c>
      <c r="AD90" s="1307">
        <f t="shared" si="11"/>
        <v>0</v>
      </c>
      <c r="AE90" s="1307">
        <f t="shared" si="11"/>
        <v>0</v>
      </c>
      <c r="AF90" s="1307">
        <f t="shared" si="11"/>
        <v>0</v>
      </c>
      <c r="AG90" s="1307">
        <f>SUM(S90:AF90)</f>
        <v>163711</v>
      </c>
      <c r="AH90" s="1614"/>
    </row>
    <row r="91" spans="1:34" s="1826" customFormat="1" ht="72.75" customHeight="1">
      <c r="A91" s="683">
        <v>1211</v>
      </c>
      <c r="B91" s="1760" t="s">
        <v>716</v>
      </c>
      <c r="C91" s="1076" t="s">
        <v>717</v>
      </c>
      <c r="D91" s="1761"/>
      <c r="E91" s="1762">
        <f t="shared" ref="E91:E122" si="12">+G91-F91+1</f>
        <v>12</v>
      </c>
      <c r="F91" s="1763">
        <v>43220</v>
      </c>
      <c r="G91" s="1763">
        <v>43231</v>
      </c>
      <c r="H91" s="1764" t="s">
        <v>718</v>
      </c>
      <c r="I91" s="1762" t="s">
        <v>170</v>
      </c>
      <c r="J91" s="667" t="s">
        <v>719</v>
      </c>
      <c r="K91" s="1292" t="s">
        <v>720</v>
      </c>
      <c r="L91" s="1233">
        <v>23174</v>
      </c>
      <c r="M91" s="1761"/>
      <c r="N91" s="1761"/>
      <c r="O91" s="1765">
        <v>157</v>
      </c>
      <c r="P91" s="1761">
        <v>28</v>
      </c>
      <c r="Q91" s="1765">
        <f t="shared" ref="Q91:Q102" si="13">+O91*P91</f>
        <v>4396</v>
      </c>
      <c r="R91" s="1766"/>
      <c r="S91" s="1766"/>
      <c r="T91" s="1766"/>
      <c r="U91" s="1765">
        <v>4396</v>
      </c>
      <c r="V91" s="1766"/>
      <c r="W91" s="1766"/>
      <c r="X91" s="1767"/>
      <c r="Y91" s="1768"/>
      <c r="Z91" s="1825"/>
      <c r="AA91" s="1825"/>
      <c r="AB91" s="1825"/>
      <c r="AC91" s="1825"/>
      <c r="AD91" s="1825"/>
      <c r="AE91" s="1825"/>
      <c r="AF91" s="1825"/>
      <c r="AG91" s="1282">
        <f t="shared" ref="AG91:AG153" si="14">SUM(S91:AF91)</f>
        <v>4396</v>
      </c>
    </row>
    <row r="92" spans="1:34" s="1826" customFormat="1" ht="72.75" customHeight="1">
      <c r="A92" s="683">
        <v>1211</v>
      </c>
      <c r="B92" s="1760" t="s">
        <v>716</v>
      </c>
      <c r="C92" s="1076" t="s">
        <v>717</v>
      </c>
      <c r="D92" s="1761"/>
      <c r="E92" s="1762">
        <f t="shared" si="12"/>
        <v>12</v>
      </c>
      <c r="F92" s="1763">
        <f t="shared" ref="F92:F102" si="15">+F91</f>
        <v>43220</v>
      </c>
      <c r="G92" s="1763">
        <v>43231</v>
      </c>
      <c r="H92" s="1764" t="s">
        <v>718</v>
      </c>
      <c r="I92" s="1762" t="s">
        <v>170</v>
      </c>
      <c r="J92" s="667" t="s">
        <v>719</v>
      </c>
      <c r="K92" s="1769" t="s">
        <v>721</v>
      </c>
      <c r="L92" s="1233">
        <v>23174</v>
      </c>
      <c r="M92" s="1761"/>
      <c r="N92" s="1761"/>
      <c r="O92" s="1765">
        <v>162</v>
      </c>
      <c r="P92" s="1761">
        <v>28</v>
      </c>
      <c r="Q92" s="1765">
        <f t="shared" si="13"/>
        <v>4536</v>
      </c>
      <c r="R92" s="1766"/>
      <c r="S92" s="1766"/>
      <c r="T92" s="1766"/>
      <c r="U92" s="1765">
        <v>4536</v>
      </c>
      <c r="V92" s="1766"/>
      <c r="W92" s="1766"/>
      <c r="X92" s="1767"/>
      <c r="Y92" s="1768"/>
      <c r="Z92" s="1825"/>
      <c r="AA92" s="1825"/>
      <c r="AB92" s="1825"/>
      <c r="AC92" s="1825"/>
      <c r="AD92" s="1825"/>
      <c r="AE92" s="1825"/>
      <c r="AF92" s="1825"/>
      <c r="AG92" s="1282">
        <f t="shared" si="14"/>
        <v>4536</v>
      </c>
    </row>
    <row r="93" spans="1:34" s="1826" customFormat="1" ht="72.75" customHeight="1">
      <c r="A93" s="683">
        <v>1211</v>
      </c>
      <c r="B93" s="1760" t="s">
        <v>716</v>
      </c>
      <c r="C93" s="1076" t="s">
        <v>717</v>
      </c>
      <c r="D93" s="1761"/>
      <c r="E93" s="1762">
        <f t="shared" si="12"/>
        <v>12</v>
      </c>
      <c r="F93" s="1763">
        <f t="shared" si="15"/>
        <v>43220</v>
      </c>
      <c r="G93" s="1763">
        <v>43231</v>
      </c>
      <c r="H93" s="1764" t="s">
        <v>718</v>
      </c>
      <c r="I93" s="1762" t="s">
        <v>170</v>
      </c>
      <c r="J93" s="667" t="s">
        <v>719</v>
      </c>
      <c r="K93" s="1769" t="s">
        <v>722</v>
      </c>
      <c r="L93" s="1233">
        <v>23174</v>
      </c>
      <c r="M93" s="1761"/>
      <c r="N93" s="1761"/>
      <c r="O93" s="1765">
        <v>22</v>
      </c>
      <c r="P93" s="1761">
        <v>28</v>
      </c>
      <c r="Q93" s="1765">
        <f t="shared" si="13"/>
        <v>616</v>
      </c>
      <c r="R93" s="1766"/>
      <c r="S93" s="1766"/>
      <c r="T93" s="1766"/>
      <c r="U93" s="1765">
        <v>616</v>
      </c>
      <c r="V93" s="1766"/>
      <c r="W93" s="1766"/>
      <c r="X93" s="1767"/>
      <c r="Y93" s="1768"/>
      <c r="Z93" s="1825"/>
      <c r="AA93" s="1825"/>
      <c r="AB93" s="1825"/>
      <c r="AC93" s="1825"/>
      <c r="AD93" s="1825"/>
      <c r="AE93" s="1825"/>
      <c r="AF93" s="1825"/>
      <c r="AG93" s="1282">
        <f t="shared" si="14"/>
        <v>616</v>
      </c>
    </row>
    <row r="94" spans="1:34" s="1826" customFormat="1" ht="72.75" customHeight="1">
      <c r="A94" s="683">
        <v>1211</v>
      </c>
      <c r="B94" s="1760" t="s">
        <v>716</v>
      </c>
      <c r="C94" s="1076" t="s">
        <v>717</v>
      </c>
      <c r="D94" s="1761"/>
      <c r="E94" s="1762">
        <f t="shared" si="12"/>
        <v>12</v>
      </c>
      <c r="F94" s="1763">
        <f t="shared" si="15"/>
        <v>43220</v>
      </c>
      <c r="G94" s="1763">
        <v>43231</v>
      </c>
      <c r="H94" s="1764" t="s">
        <v>718</v>
      </c>
      <c r="I94" s="1762" t="s">
        <v>170</v>
      </c>
      <c r="J94" s="667" t="s">
        <v>719</v>
      </c>
      <c r="K94" s="1769" t="s">
        <v>415</v>
      </c>
      <c r="L94" s="1231">
        <v>23173</v>
      </c>
      <c r="M94" s="1761"/>
      <c r="N94" s="1761"/>
      <c r="O94" s="1765">
        <v>156</v>
      </c>
      <c r="P94" s="1761">
        <v>10</v>
      </c>
      <c r="Q94" s="1765">
        <f t="shared" si="13"/>
        <v>1560</v>
      </c>
      <c r="R94" s="1766"/>
      <c r="S94" s="1766"/>
      <c r="T94" s="1766"/>
      <c r="U94" s="1765">
        <v>1560</v>
      </c>
      <c r="V94" s="1766"/>
      <c r="W94" s="1766"/>
      <c r="X94" s="1767"/>
      <c r="Y94" s="1768"/>
      <c r="Z94" s="1825"/>
      <c r="AA94" s="1825"/>
      <c r="AB94" s="1825"/>
      <c r="AC94" s="1825"/>
      <c r="AD94" s="1825"/>
      <c r="AE94" s="1825"/>
      <c r="AF94" s="1825"/>
      <c r="AG94" s="1282">
        <f t="shared" si="14"/>
        <v>1560</v>
      </c>
    </row>
    <row r="95" spans="1:34" s="1826" customFormat="1" ht="72.75" customHeight="1">
      <c r="A95" s="683">
        <v>1211</v>
      </c>
      <c r="B95" s="1760" t="s">
        <v>716</v>
      </c>
      <c r="C95" s="1076" t="s">
        <v>717</v>
      </c>
      <c r="D95" s="1761"/>
      <c r="E95" s="1762">
        <f t="shared" si="12"/>
        <v>12</v>
      </c>
      <c r="F95" s="1763">
        <f t="shared" si="15"/>
        <v>43220</v>
      </c>
      <c r="G95" s="1763">
        <v>43231</v>
      </c>
      <c r="H95" s="1764" t="s">
        <v>718</v>
      </c>
      <c r="I95" s="1762" t="s">
        <v>170</v>
      </c>
      <c r="J95" s="667" t="s">
        <v>719</v>
      </c>
      <c r="K95" s="1769" t="s">
        <v>638</v>
      </c>
      <c r="L95" s="1233">
        <v>23173</v>
      </c>
      <c r="M95" s="1761"/>
      <c r="N95" s="1761"/>
      <c r="O95" s="1765">
        <v>10</v>
      </c>
      <c r="P95" s="1761">
        <v>28</v>
      </c>
      <c r="Q95" s="1765">
        <f t="shared" si="13"/>
        <v>280</v>
      </c>
      <c r="R95" s="1766"/>
      <c r="S95" s="1766"/>
      <c r="T95" s="1766"/>
      <c r="U95" s="1765">
        <v>280</v>
      </c>
      <c r="V95" s="1766"/>
      <c r="W95" s="1766"/>
      <c r="X95" s="1767"/>
      <c r="Y95" s="1768"/>
      <c r="Z95" s="1825"/>
      <c r="AA95" s="1825"/>
      <c r="AB95" s="1825"/>
      <c r="AC95" s="1825"/>
      <c r="AD95" s="1825"/>
      <c r="AE95" s="1825"/>
      <c r="AF95" s="1825"/>
      <c r="AG95" s="1282">
        <f t="shared" si="14"/>
        <v>280</v>
      </c>
    </row>
    <row r="96" spans="1:34" s="1826" customFormat="1" ht="72.75" customHeight="1">
      <c r="A96" s="683">
        <v>1211</v>
      </c>
      <c r="B96" s="1760" t="s">
        <v>716</v>
      </c>
      <c r="C96" s="1076" t="s">
        <v>717</v>
      </c>
      <c r="D96" s="1761"/>
      <c r="E96" s="1762">
        <f t="shared" si="12"/>
        <v>12</v>
      </c>
      <c r="F96" s="1763">
        <f t="shared" si="15"/>
        <v>43220</v>
      </c>
      <c r="G96" s="1763">
        <v>43231</v>
      </c>
      <c r="H96" s="1764" t="s">
        <v>718</v>
      </c>
      <c r="I96" s="1762" t="s">
        <v>170</v>
      </c>
      <c r="J96" s="667" t="s">
        <v>719</v>
      </c>
      <c r="K96" s="1769" t="s">
        <v>723</v>
      </c>
      <c r="L96" s="1233">
        <v>23174</v>
      </c>
      <c r="M96" s="1761"/>
      <c r="N96" s="1761"/>
      <c r="O96" s="1765">
        <v>281</v>
      </c>
      <c r="P96" s="1761">
        <v>4</v>
      </c>
      <c r="Q96" s="1765">
        <f t="shared" si="13"/>
        <v>1124</v>
      </c>
      <c r="R96" s="1766"/>
      <c r="S96" s="1766"/>
      <c r="T96" s="1766"/>
      <c r="U96" s="1765">
        <v>1124</v>
      </c>
      <c r="V96" s="1766"/>
      <c r="W96" s="1766"/>
      <c r="X96" s="1767"/>
      <c r="Y96" s="1768"/>
      <c r="Z96" s="1825"/>
      <c r="AA96" s="1825"/>
      <c r="AB96" s="1825"/>
      <c r="AC96" s="1825"/>
      <c r="AD96" s="1825"/>
      <c r="AE96" s="1825"/>
      <c r="AF96" s="1825"/>
      <c r="AG96" s="1282">
        <f t="shared" si="14"/>
        <v>1124</v>
      </c>
    </row>
    <row r="97" spans="1:33" s="1826" customFormat="1" ht="72.75" customHeight="1">
      <c r="A97" s="683">
        <v>1211</v>
      </c>
      <c r="B97" s="1760" t="s">
        <v>716</v>
      </c>
      <c r="C97" s="1076" t="s">
        <v>717</v>
      </c>
      <c r="D97" s="1761"/>
      <c r="E97" s="1762">
        <f t="shared" si="12"/>
        <v>12</v>
      </c>
      <c r="F97" s="1763">
        <f t="shared" si="15"/>
        <v>43220</v>
      </c>
      <c r="G97" s="1763">
        <v>43231</v>
      </c>
      <c r="H97" s="1764" t="s">
        <v>718</v>
      </c>
      <c r="I97" s="1762" t="s">
        <v>170</v>
      </c>
      <c r="J97" s="667" t="s">
        <v>719</v>
      </c>
      <c r="K97" s="1769" t="s">
        <v>724</v>
      </c>
      <c r="L97" s="1233">
        <v>23173</v>
      </c>
      <c r="M97" s="1761"/>
      <c r="N97" s="1761"/>
      <c r="O97" s="1765">
        <v>10</v>
      </c>
      <c r="P97" s="1761">
        <v>28</v>
      </c>
      <c r="Q97" s="1765">
        <f t="shared" si="13"/>
        <v>280</v>
      </c>
      <c r="R97" s="1766"/>
      <c r="S97" s="1766"/>
      <c r="T97" s="1766"/>
      <c r="U97" s="1765">
        <v>280</v>
      </c>
      <c r="V97" s="1766"/>
      <c r="W97" s="1766"/>
      <c r="X97" s="1767"/>
      <c r="Y97" s="1768"/>
      <c r="Z97" s="1825"/>
      <c r="AA97" s="1825"/>
      <c r="AB97" s="1825"/>
      <c r="AC97" s="1825"/>
      <c r="AD97" s="1825"/>
      <c r="AE97" s="1825"/>
      <c r="AF97" s="1825"/>
      <c r="AG97" s="1282">
        <f t="shared" si="14"/>
        <v>280</v>
      </c>
    </row>
    <row r="98" spans="1:33" s="1826" customFormat="1" ht="72.75" customHeight="1">
      <c r="A98" s="683">
        <v>1211</v>
      </c>
      <c r="B98" s="1760" t="s">
        <v>716</v>
      </c>
      <c r="C98" s="1076" t="s">
        <v>717</v>
      </c>
      <c r="D98" s="1761"/>
      <c r="E98" s="1762">
        <f t="shared" si="12"/>
        <v>12</v>
      </c>
      <c r="F98" s="1763">
        <f t="shared" si="15"/>
        <v>43220</v>
      </c>
      <c r="G98" s="1763">
        <v>43231</v>
      </c>
      <c r="H98" s="1764" t="s">
        <v>718</v>
      </c>
      <c r="I98" s="1762" t="s">
        <v>170</v>
      </c>
      <c r="J98" s="667" t="s">
        <v>719</v>
      </c>
      <c r="K98" s="1769" t="s">
        <v>725</v>
      </c>
      <c r="L98" s="1233">
        <v>23174</v>
      </c>
      <c r="M98" s="1761"/>
      <c r="N98" s="1761"/>
      <c r="O98" s="1765">
        <v>157</v>
      </c>
      <c r="P98" s="1761">
        <v>2</v>
      </c>
      <c r="Q98" s="1765">
        <f t="shared" si="13"/>
        <v>314</v>
      </c>
      <c r="R98" s="1766"/>
      <c r="S98" s="1766"/>
      <c r="T98" s="1766"/>
      <c r="U98" s="1765">
        <v>314</v>
      </c>
      <c r="V98" s="1766"/>
      <c r="W98" s="1766"/>
      <c r="X98" s="1767"/>
      <c r="Y98" s="1768"/>
      <c r="Z98" s="1825"/>
      <c r="AA98" s="1825"/>
      <c r="AB98" s="1825"/>
      <c r="AC98" s="1825"/>
      <c r="AD98" s="1825"/>
      <c r="AE98" s="1825"/>
      <c r="AF98" s="1825"/>
      <c r="AG98" s="1282">
        <f t="shared" si="14"/>
        <v>314</v>
      </c>
    </row>
    <row r="99" spans="1:33" s="1826" customFormat="1" ht="72.75" customHeight="1">
      <c r="A99" s="683">
        <v>1211</v>
      </c>
      <c r="B99" s="1760" t="s">
        <v>716</v>
      </c>
      <c r="C99" s="1076" t="s">
        <v>717</v>
      </c>
      <c r="D99" s="1761"/>
      <c r="E99" s="1762">
        <f t="shared" si="12"/>
        <v>12</v>
      </c>
      <c r="F99" s="1763">
        <f t="shared" si="15"/>
        <v>43220</v>
      </c>
      <c r="G99" s="1763">
        <v>43231</v>
      </c>
      <c r="H99" s="1764" t="s">
        <v>718</v>
      </c>
      <c r="I99" s="1762" t="s">
        <v>170</v>
      </c>
      <c r="J99" s="667" t="s">
        <v>719</v>
      </c>
      <c r="K99" s="1769" t="s">
        <v>726</v>
      </c>
      <c r="L99" s="1233">
        <v>23174</v>
      </c>
      <c r="M99" s="1761"/>
      <c r="N99" s="1761"/>
      <c r="O99" s="1765">
        <v>162</v>
      </c>
      <c r="P99" s="1761">
        <v>2</v>
      </c>
      <c r="Q99" s="1765">
        <f t="shared" si="13"/>
        <v>324</v>
      </c>
      <c r="R99" s="1766"/>
      <c r="S99" s="1766"/>
      <c r="T99" s="1766"/>
      <c r="U99" s="1765">
        <v>324</v>
      </c>
      <c r="V99" s="1766"/>
      <c r="W99" s="1766"/>
      <c r="X99" s="1767"/>
      <c r="Y99" s="1768"/>
      <c r="Z99" s="1825"/>
      <c r="AA99" s="1825"/>
      <c r="AB99" s="1825"/>
      <c r="AC99" s="1825"/>
      <c r="AD99" s="1825"/>
      <c r="AE99" s="1825"/>
      <c r="AF99" s="1825"/>
      <c r="AG99" s="1282">
        <f t="shared" si="14"/>
        <v>324</v>
      </c>
    </row>
    <row r="100" spans="1:33" s="1826" customFormat="1" ht="72.75" customHeight="1">
      <c r="A100" s="683">
        <v>1211</v>
      </c>
      <c r="B100" s="1760" t="s">
        <v>716</v>
      </c>
      <c r="C100" s="1076" t="s">
        <v>717</v>
      </c>
      <c r="D100" s="1761"/>
      <c r="E100" s="1762">
        <f t="shared" si="12"/>
        <v>12</v>
      </c>
      <c r="F100" s="1763">
        <f t="shared" si="15"/>
        <v>43220</v>
      </c>
      <c r="G100" s="1763">
        <v>43231</v>
      </c>
      <c r="H100" s="1764" t="s">
        <v>718</v>
      </c>
      <c r="I100" s="1762" t="s">
        <v>170</v>
      </c>
      <c r="J100" s="667" t="s">
        <v>719</v>
      </c>
      <c r="K100" s="1769" t="s">
        <v>727</v>
      </c>
      <c r="L100" s="1233">
        <v>23174</v>
      </c>
      <c r="M100" s="1761"/>
      <c r="N100" s="1761"/>
      <c r="O100" s="1765">
        <v>131</v>
      </c>
      <c r="P100" s="1761">
        <v>2</v>
      </c>
      <c r="Q100" s="1765">
        <f t="shared" si="13"/>
        <v>262</v>
      </c>
      <c r="R100" s="1766"/>
      <c r="S100" s="1766"/>
      <c r="T100" s="1766"/>
      <c r="U100" s="1765">
        <v>262</v>
      </c>
      <c r="V100" s="1766"/>
      <c r="W100" s="1766"/>
      <c r="X100" s="1767"/>
      <c r="Y100" s="1768"/>
      <c r="Z100" s="1825"/>
      <c r="AA100" s="1825"/>
      <c r="AB100" s="1825"/>
      <c r="AC100" s="1825"/>
      <c r="AD100" s="1825"/>
      <c r="AE100" s="1825"/>
      <c r="AF100" s="1825"/>
      <c r="AG100" s="1282">
        <f t="shared" si="14"/>
        <v>262</v>
      </c>
    </row>
    <row r="101" spans="1:33" s="1826" customFormat="1" ht="72.75" customHeight="1">
      <c r="A101" s="683">
        <v>1211</v>
      </c>
      <c r="B101" s="1760" t="s">
        <v>716</v>
      </c>
      <c r="C101" s="1076" t="s">
        <v>717</v>
      </c>
      <c r="D101" s="1761"/>
      <c r="E101" s="1762">
        <f t="shared" si="12"/>
        <v>12</v>
      </c>
      <c r="F101" s="1763">
        <f t="shared" si="15"/>
        <v>43220</v>
      </c>
      <c r="G101" s="1763">
        <v>43231</v>
      </c>
      <c r="H101" s="1764" t="s">
        <v>718</v>
      </c>
      <c r="I101" s="1762" t="s">
        <v>170</v>
      </c>
      <c r="J101" s="667" t="s">
        <v>719</v>
      </c>
      <c r="K101" s="1769" t="s">
        <v>728</v>
      </c>
      <c r="L101" s="1233">
        <v>23174</v>
      </c>
      <c r="M101" s="1761"/>
      <c r="N101" s="1761"/>
      <c r="O101" s="1765">
        <v>81</v>
      </c>
      <c r="P101" s="1761">
        <v>2</v>
      </c>
      <c r="Q101" s="1765">
        <f t="shared" si="13"/>
        <v>162</v>
      </c>
      <c r="R101" s="1766"/>
      <c r="S101" s="1766"/>
      <c r="T101" s="1766"/>
      <c r="U101" s="1765">
        <v>162</v>
      </c>
      <c r="V101" s="1766"/>
      <c r="W101" s="1766"/>
      <c r="X101" s="1767"/>
      <c r="Y101" s="1768"/>
      <c r="Z101" s="1825"/>
      <c r="AA101" s="1825"/>
      <c r="AB101" s="1825"/>
      <c r="AC101" s="1825"/>
      <c r="AD101" s="1825"/>
      <c r="AE101" s="1825"/>
      <c r="AF101" s="1825"/>
      <c r="AG101" s="1282">
        <f t="shared" si="14"/>
        <v>162</v>
      </c>
    </row>
    <row r="102" spans="1:33" s="1826" customFormat="1" ht="72.75" customHeight="1">
      <c r="A102" s="683">
        <v>1211</v>
      </c>
      <c r="B102" s="1760" t="s">
        <v>716</v>
      </c>
      <c r="C102" s="1076" t="s">
        <v>717</v>
      </c>
      <c r="D102" s="1761"/>
      <c r="E102" s="1762">
        <f t="shared" si="12"/>
        <v>12</v>
      </c>
      <c r="F102" s="1763">
        <f t="shared" si="15"/>
        <v>43220</v>
      </c>
      <c r="G102" s="1763">
        <v>43231</v>
      </c>
      <c r="H102" s="1764" t="s">
        <v>718</v>
      </c>
      <c r="I102" s="1762" t="s">
        <v>170</v>
      </c>
      <c r="J102" s="667" t="s">
        <v>719</v>
      </c>
      <c r="K102" s="1769" t="s">
        <v>729</v>
      </c>
      <c r="L102" s="1233">
        <v>23174</v>
      </c>
      <c r="M102" s="1761"/>
      <c r="N102" s="1761"/>
      <c r="O102" s="1765">
        <v>74</v>
      </c>
      <c r="P102" s="1761">
        <v>2</v>
      </c>
      <c r="Q102" s="1765">
        <f t="shared" si="13"/>
        <v>148</v>
      </c>
      <c r="R102" s="1766"/>
      <c r="S102" s="1766"/>
      <c r="T102" s="1766"/>
      <c r="U102" s="1765">
        <v>148</v>
      </c>
      <c r="V102" s="1766"/>
      <c r="W102" s="1766"/>
      <c r="X102" s="1767"/>
      <c r="Y102" s="1768"/>
      <c r="Z102" s="1825"/>
      <c r="AA102" s="1825"/>
      <c r="AB102" s="1825"/>
      <c r="AC102" s="1825"/>
      <c r="AD102" s="1825"/>
      <c r="AE102" s="1825"/>
      <c r="AF102" s="1825"/>
      <c r="AG102" s="1282">
        <f t="shared" si="14"/>
        <v>148</v>
      </c>
    </row>
    <row r="103" spans="1:33" s="1826" customFormat="1" ht="72" customHeight="1">
      <c r="A103" s="683">
        <v>1212</v>
      </c>
      <c r="B103" s="1770" t="s">
        <v>730</v>
      </c>
      <c r="C103" s="1076" t="s">
        <v>731</v>
      </c>
      <c r="D103" s="1761"/>
      <c r="E103" s="1762">
        <f t="shared" si="12"/>
        <v>5</v>
      </c>
      <c r="F103" s="1763">
        <v>43248</v>
      </c>
      <c r="G103" s="1763">
        <f t="shared" ref="G103:G111" si="16">+F103+5-1</f>
        <v>43252</v>
      </c>
      <c r="H103" s="1764" t="s">
        <v>732</v>
      </c>
      <c r="I103" s="1762" t="s">
        <v>170</v>
      </c>
      <c r="J103" s="667" t="s">
        <v>719</v>
      </c>
      <c r="K103" s="1769" t="s">
        <v>733</v>
      </c>
      <c r="L103" s="1233">
        <v>23174</v>
      </c>
      <c r="M103" s="1761"/>
      <c r="N103" s="1761"/>
      <c r="O103" s="1765">
        <v>101</v>
      </c>
      <c r="P103" s="1761">
        <v>49</v>
      </c>
      <c r="Q103" s="1765">
        <f t="shared" ref="Q103:Q111" si="17">+O103*P103</f>
        <v>4949</v>
      </c>
      <c r="R103" s="1766"/>
      <c r="S103" s="1766"/>
      <c r="T103" s="1766"/>
      <c r="U103" s="1766"/>
      <c r="V103" s="1765">
        <v>4949</v>
      </c>
      <c r="W103" s="1766"/>
      <c r="X103" s="1767"/>
      <c r="Y103" s="1768"/>
      <c r="Z103" s="1825"/>
      <c r="AA103" s="1825"/>
      <c r="AB103" s="1825"/>
      <c r="AC103" s="1825"/>
      <c r="AD103" s="1825"/>
      <c r="AE103" s="1825"/>
      <c r="AF103" s="1825"/>
      <c r="AG103" s="1282">
        <f t="shared" si="14"/>
        <v>4949</v>
      </c>
    </row>
    <row r="104" spans="1:33" s="1826" customFormat="1" ht="72" customHeight="1">
      <c r="A104" s="683">
        <v>1212</v>
      </c>
      <c r="B104" s="1770" t="s">
        <v>730</v>
      </c>
      <c r="C104" s="1076" t="s">
        <v>731</v>
      </c>
      <c r="D104" s="1761"/>
      <c r="E104" s="1762">
        <f t="shared" si="12"/>
        <v>5</v>
      </c>
      <c r="F104" s="1763">
        <v>43248</v>
      </c>
      <c r="G104" s="1763">
        <f t="shared" si="16"/>
        <v>43252</v>
      </c>
      <c r="H104" s="1764" t="s">
        <v>732</v>
      </c>
      <c r="I104" s="1762" t="s">
        <v>170</v>
      </c>
      <c r="J104" s="667" t="s">
        <v>719</v>
      </c>
      <c r="K104" s="1769" t="s">
        <v>721</v>
      </c>
      <c r="L104" s="1233">
        <v>23174</v>
      </c>
      <c r="M104" s="1761"/>
      <c r="N104" s="1761"/>
      <c r="O104" s="1765">
        <v>100</v>
      </c>
      <c r="P104" s="1761">
        <v>49</v>
      </c>
      <c r="Q104" s="1765">
        <f t="shared" si="17"/>
        <v>4900</v>
      </c>
      <c r="R104" s="1766"/>
      <c r="S104" s="1766"/>
      <c r="T104" s="1766"/>
      <c r="U104" s="1766"/>
      <c r="V104" s="1765">
        <v>4900</v>
      </c>
      <c r="W104" s="1766"/>
      <c r="X104" s="1767"/>
      <c r="Y104" s="1768"/>
      <c r="Z104" s="1825"/>
      <c r="AA104" s="1825"/>
      <c r="AB104" s="1825"/>
      <c r="AC104" s="1825"/>
      <c r="AD104" s="1825"/>
      <c r="AE104" s="1825"/>
      <c r="AF104" s="1825"/>
      <c r="AG104" s="1282">
        <f t="shared" si="14"/>
        <v>4900</v>
      </c>
    </row>
    <row r="105" spans="1:33" s="1826" customFormat="1" ht="72" customHeight="1">
      <c r="A105" s="683">
        <v>1212</v>
      </c>
      <c r="B105" s="1770" t="s">
        <v>730</v>
      </c>
      <c r="C105" s="1076" t="s">
        <v>731</v>
      </c>
      <c r="D105" s="1761"/>
      <c r="E105" s="1762">
        <f t="shared" si="12"/>
        <v>5</v>
      </c>
      <c r="F105" s="1763">
        <v>43248</v>
      </c>
      <c r="G105" s="1763">
        <f t="shared" si="16"/>
        <v>43252</v>
      </c>
      <c r="H105" s="1764" t="s">
        <v>732</v>
      </c>
      <c r="I105" s="1762" t="s">
        <v>170</v>
      </c>
      <c r="J105" s="667" t="s">
        <v>719</v>
      </c>
      <c r="K105" s="1769" t="s">
        <v>734</v>
      </c>
      <c r="L105" s="1231">
        <v>23173</v>
      </c>
      <c r="M105" s="1761"/>
      <c r="N105" s="1761"/>
      <c r="O105" s="1765">
        <v>875</v>
      </c>
      <c r="P105" s="1761">
        <v>7</v>
      </c>
      <c r="Q105" s="1765">
        <f t="shared" si="17"/>
        <v>6125</v>
      </c>
      <c r="R105" s="1766"/>
      <c r="S105" s="1766"/>
      <c r="T105" s="1766"/>
      <c r="U105" s="1766"/>
      <c r="V105" s="1765">
        <v>6125</v>
      </c>
      <c r="W105" s="1766"/>
      <c r="X105" s="1767"/>
      <c r="Y105" s="1768"/>
      <c r="Z105" s="1825"/>
      <c r="AA105" s="1825"/>
      <c r="AB105" s="1825"/>
      <c r="AC105" s="1825"/>
      <c r="AD105" s="1825"/>
      <c r="AE105" s="1825"/>
      <c r="AF105" s="1825"/>
      <c r="AG105" s="1282">
        <f t="shared" si="14"/>
        <v>6125</v>
      </c>
    </row>
    <row r="106" spans="1:33" s="1826" customFormat="1" ht="72" customHeight="1">
      <c r="A106" s="683">
        <v>1212</v>
      </c>
      <c r="B106" s="1770" t="s">
        <v>730</v>
      </c>
      <c r="C106" s="1076" t="s">
        <v>731</v>
      </c>
      <c r="D106" s="1761"/>
      <c r="E106" s="1762">
        <f t="shared" si="12"/>
        <v>5</v>
      </c>
      <c r="F106" s="1763">
        <v>43248</v>
      </c>
      <c r="G106" s="1763">
        <f t="shared" si="16"/>
        <v>43252</v>
      </c>
      <c r="H106" s="1764" t="s">
        <v>732</v>
      </c>
      <c r="I106" s="1762" t="s">
        <v>170</v>
      </c>
      <c r="J106" s="667" t="s">
        <v>719</v>
      </c>
      <c r="K106" s="1769" t="s">
        <v>735</v>
      </c>
      <c r="L106" s="1233">
        <v>23174</v>
      </c>
      <c r="M106" s="1761"/>
      <c r="N106" s="1761"/>
      <c r="O106" s="1765">
        <v>510</v>
      </c>
      <c r="P106" s="1761">
        <v>7</v>
      </c>
      <c r="Q106" s="1765">
        <f t="shared" si="17"/>
        <v>3570</v>
      </c>
      <c r="R106" s="1766"/>
      <c r="S106" s="1766"/>
      <c r="T106" s="1766"/>
      <c r="U106" s="1766"/>
      <c r="V106" s="1765">
        <v>3570</v>
      </c>
      <c r="W106" s="1766"/>
      <c r="X106" s="1767"/>
      <c r="Y106" s="1768"/>
      <c r="Z106" s="1825"/>
      <c r="AA106" s="1825"/>
      <c r="AB106" s="1825"/>
      <c r="AC106" s="1825"/>
      <c r="AD106" s="1825"/>
      <c r="AE106" s="1825"/>
      <c r="AF106" s="1825"/>
      <c r="AG106" s="1282">
        <f t="shared" si="14"/>
        <v>3570</v>
      </c>
    </row>
    <row r="107" spans="1:33" s="1826" customFormat="1" ht="72" customHeight="1">
      <c r="A107" s="683">
        <v>1212</v>
      </c>
      <c r="B107" s="1770" t="s">
        <v>730</v>
      </c>
      <c r="C107" s="1076" t="s">
        <v>731</v>
      </c>
      <c r="D107" s="1761"/>
      <c r="E107" s="1762">
        <f t="shared" si="12"/>
        <v>5</v>
      </c>
      <c r="F107" s="1763">
        <v>43248</v>
      </c>
      <c r="G107" s="1763">
        <f t="shared" si="16"/>
        <v>43252</v>
      </c>
      <c r="H107" s="1764" t="s">
        <v>732</v>
      </c>
      <c r="I107" s="1762" t="s">
        <v>170</v>
      </c>
      <c r="J107" s="667" t="s">
        <v>719</v>
      </c>
      <c r="K107" s="1769" t="s">
        <v>725</v>
      </c>
      <c r="L107" s="1233">
        <v>23174</v>
      </c>
      <c r="M107" s="1761"/>
      <c r="N107" s="1761"/>
      <c r="O107" s="1765">
        <v>101</v>
      </c>
      <c r="P107" s="1761">
        <v>14</v>
      </c>
      <c r="Q107" s="1765">
        <f t="shared" si="17"/>
        <v>1414</v>
      </c>
      <c r="R107" s="1766"/>
      <c r="S107" s="1766"/>
      <c r="T107" s="1766"/>
      <c r="U107" s="1766"/>
      <c r="V107" s="1765">
        <v>1414</v>
      </c>
      <c r="W107" s="1766"/>
      <c r="X107" s="1767"/>
      <c r="Y107" s="1768"/>
      <c r="Z107" s="1825"/>
      <c r="AA107" s="1825"/>
      <c r="AB107" s="1825"/>
      <c r="AC107" s="1825"/>
      <c r="AD107" s="1825"/>
      <c r="AE107" s="1825"/>
      <c r="AF107" s="1825"/>
      <c r="AG107" s="1282">
        <f t="shared" si="14"/>
        <v>1414</v>
      </c>
    </row>
    <row r="108" spans="1:33" s="1826" customFormat="1" ht="72" customHeight="1">
      <c r="A108" s="683">
        <v>1212</v>
      </c>
      <c r="B108" s="1770" t="s">
        <v>730</v>
      </c>
      <c r="C108" s="1076" t="s">
        <v>731</v>
      </c>
      <c r="D108" s="1761"/>
      <c r="E108" s="1762">
        <f t="shared" si="12"/>
        <v>5</v>
      </c>
      <c r="F108" s="1763">
        <v>43248</v>
      </c>
      <c r="G108" s="1763">
        <f t="shared" si="16"/>
        <v>43252</v>
      </c>
      <c r="H108" s="1764" t="s">
        <v>732</v>
      </c>
      <c r="I108" s="1762" t="s">
        <v>170</v>
      </c>
      <c r="J108" s="667" t="s">
        <v>719</v>
      </c>
      <c r="K108" s="1769" t="s">
        <v>726</v>
      </c>
      <c r="L108" s="1233">
        <v>23174</v>
      </c>
      <c r="M108" s="1761"/>
      <c r="N108" s="1761"/>
      <c r="O108" s="1765">
        <v>100</v>
      </c>
      <c r="P108" s="1761">
        <v>14</v>
      </c>
      <c r="Q108" s="1765">
        <f t="shared" si="17"/>
        <v>1400</v>
      </c>
      <c r="R108" s="1766"/>
      <c r="S108" s="1766"/>
      <c r="T108" s="1766"/>
      <c r="U108" s="1766"/>
      <c r="V108" s="1765">
        <v>1400</v>
      </c>
      <c r="W108" s="1766"/>
      <c r="X108" s="1767"/>
      <c r="Y108" s="1768"/>
      <c r="Z108" s="1825"/>
      <c r="AA108" s="1825"/>
      <c r="AB108" s="1825"/>
      <c r="AC108" s="1825"/>
      <c r="AD108" s="1825"/>
      <c r="AE108" s="1825"/>
      <c r="AF108" s="1825"/>
      <c r="AG108" s="1282">
        <f t="shared" si="14"/>
        <v>1400</v>
      </c>
    </row>
    <row r="109" spans="1:33" s="1826" customFormat="1" ht="72" customHeight="1">
      <c r="A109" s="683">
        <v>1212</v>
      </c>
      <c r="B109" s="1770" t="s">
        <v>730</v>
      </c>
      <c r="C109" s="1076" t="s">
        <v>731</v>
      </c>
      <c r="D109" s="1761"/>
      <c r="E109" s="1762">
        <f t="shared" si="12"/>
        <v>5</v>
      </c>
      <c r="F109" s="1763">
        <v>43248</v>
      </c>
      <c r="G109" s="1763">
        <f t="shared" si="16"/>
        <v>43252</v>
      </c>
      <c r="H109" s="1764" t="s">
        <v>732</v>
      </c>
      <c r="I109" s="1762" t="s">
        <v>170</v>
      </c>
      <c r="J109" s="667" t="s">
        <v>719</v>
      </c>
      <c r="K109" s="1769" t="s">
        <v>727</v>
      </c>
      <c r="L109" s="1233">
        <v>23174</v>
      </c>
      <c r="M109" s="1761"/>
      <c r="N109" s="1761"/>
      <c r="O109" s="1765">
        <v>84</v>
      </c>
      <c r="P109" s="1761">
        <v>14</v>
      </c>
      <c r="Q109" s="1765">
        <f t="shared" si="17"/>
        <v>1176</v>
      </c>
      <c r="R109" s="1766"/>
      <c r="S109" s="1766"/>
      <c r="T109" s="1766"/>
      <c r="U109" s="1766"/>
      <c r="V109" s="1765">
        <v>1176</v>
      </c>
      <c r="W109" s="1766"/>
      <c r="X109" s="1767"/>
      <c r="Y109" s="1768"/>
      <c r="Z109" s="1825"/>
      <c r="AA109" s="1825"/>
      <c r="AB109" s="1825"/>
      <c r="AC109" s="1825"/>
      <c r="AD109" s="1825"/>
      <c r="AE109" s="1825"/>
      <c r="AF109" s="1825"/>
      <c r="AG109" s="1282">
        <f t="shared" si="14"/>
        <v>1176</v>
      </c>
    </row>
    <row r="110" spans="1:33" s="1826" customFormat="1" ht="72" customHeight="1">
      <c r="A110" s="683">
        <v>1212</v>
      </c>
      <c r="B110" s="1770" t="s">
        <v>730</v>
      </c>
      <c r="C110" s="1076" t="s">
        <v>731</v>
      </c>
      <c r="D110" s="1761"/>
      <c r="E110" s="1762">
        <f t="shared" si="12"/>
        <v>5</v>
      </c>
      <c r="F110" s="1763">
        <v>43248</v>
      </c>
      <c r="G110" s="1763">
        <f t="shared" si="16"/>
        <v>43252</v>
      </c>
      <c r="H110" s="1764" t="s">
        <v>732</v>
      </c>
      <c r="I110" s="1762" t="s">
        <v>170</v>
      </c>
      <c r="J110" s="667" t="s">
        <v>719</v>
      </c>
      <c r="K110" s="1769" t="s">
        <v>736</v>
      </c>
      <c r="L110" s="1233">
        <v>23174</v>
      </c>
      <c r="M110" s="1761"/>
      <c r="N110" s="1761"/>
      <c r="O110" s="1765">
        <v>50</v>
      </c>
      <c r="P110" s="1761">
        <v>14</v>
      </c>
      <c r="Q110" s="1765">
        <f t="shared" si="17"/>
        <v>700</v>
      </c>
      <c r="R110" s="1766"/>
      <c r="S110" s="1766"/>
      <c r="T110" s="1766"/>
      <c r="U110" s="1766"/>
      <c r="V110" s="1765">
        <v>700</v>
      </c>
      <c r="W110" s="1766"/>
      <c r="X110" s="1767"/>
      <c r="Y110" s="1768"/>
      <c r="Z110" s="1825"/>
      <c r="AA110" s="1825"/>
      <c r="AB110" s="1825"/>
      <c r="AC110" s="1825"/>
      <c r="AD110" s="1825"/>
      <c r="AE110" s="1825"/>
      <c r="AF110" s="1825"/>
      <c r="AG110" s="1282">
        <f t="shared" si="14"/>
        <v>700</v>
      </c>
    </row>
    <row r="111" spans="1:33" s="1826" customFormat="1" ht="72" customHeight="1">
      <c r="A111" s="683">
        <v>1212</v>
      </c>
      <c r="B111" s="1770" t="s">
        <v>730</v>
      </c>
      <c r="C111" s="1076" t="s">
        <v>731</v>
      </c>
      <c r="D111" s="1761"/>
      <c r="E111" s="1762">
        <f t="shared" si="12"/>
        <v>5</v>
      </c>
      <c r="F111" s="1763">
        <v>43248</v>
      </c>
      <c r="G111" s="1763">
        <f t="shared" si="16"/>
        <v>43252</v>
      </c>
      <c r="H111" s="1764" t="s">
        <v>732</v>
      </c>
      <c r="I111" s="1762" t="s">
        <v>170</v>
      </c>
      <c r="J111" s="667" t="s">
        <v>719</v>
      </c>
      <c r="K111" s="1769" t="s">
        <v>737</v>
      </c>
      <c r="L111" s="1233">
        <v>23174</v>
      </c>
      <c r="M111" s="1761"/>
      <c r="N111" s="1761"/>
      <c r="O111" s="1765">
        <v>510</v>
      </c>
      <c r="P111" s="1761">
        <v>14</v>
      </c>
      <c r="Q111" s="1765">
        <f t="shared" si="17"/>
        <v>7140</v>
      </c>
      <c r="R111" s="1766"/>
      <c r="S111" s="1766"/>
      <c r="T111" s="1766"/>
      <c r="U111" s="1766"/>
      <c r="V111" s="1765">
        <v>7140</v>
      </c>
      <c r="W111" s="1766"/>
      <c r="X111" s="1767"/>
      <c r="Y111" s="1768"/>
      <c r="Z111" s="1825"/>
      <c r="AA111" s="1825"/>
      <c r="AB111" s="1825"/>
      <c r="AC111" s="1825"/>
      <c r="AD111" s="1825"/>
      <c r="AE111" s="1825"/>
      <c r="AF111" s="1825"/>
      <c r="AG111" s="1282">
        <f t="shared" si="14"/>
        <v>7140</v>
      </c>
    </row>
    <row r="112" spans="1:33" s="1826" customFormat="1" ht="72" customHeight="1">
      <c r="A112" s="683">
        <v>1213</v>
      </c>
      <c r="B112" s="1770" t="s">
        <v>738</v>
      </c>
      <c r="C112" s="1076" t="s">
        <v>739</v>
      </c>
      <c r="D112" s="1761"/>
      <c r="E112" s="1762">
        <f t="shared" si="12"/>
        <v>26</v>
      </c>
      <c r="F112" s="1763">
        <v>43262</v>
      </c>
      <c r="G112" s="1763">
        <v>43287</v>
      </c>
      <c r="H112" s="1764"/>
      <c r="I112" s="1762" t="s">
        <v>170</v>
      </c>
      <c r="J112" s="667" t="s">
        <v>719</v>
      </c>
      <c r="K112" s="1769" t="s">
        <v>740</v>
      </c>
      <c r="L112" s="1233">
        <v>23174</v>
      </c>
      <c r="M112" s="1761"/>
      <c r="N112" s="1761"/>
      <c r="O112" s="1765">
        <v>214</v>
      </c>
      <c r="P112" s="1761">
        <v>28</v>
      </c>
      <c r="Q112" s="1765">
        <f t="shared" ref="Q112:Q123" si="18">+O112*P112</f>
        <v>5992</v>
      </c>
      <c r="R112" s="1766"/>
      <c r="S112" s="1766"/>
      <c r="T112" s="1766"/>
      <c r="U112" s="1766"/>
      <c r="V112" s="1766"/>
      <c r="W112" s="1765">
        <v>5992</v>
      </c>
      <c r="X112" s="1767"/>
      <c r="Y112" s="1768"/>
      <c r="Z112" s="1825"/>
      <c r="AA112" s="1825"/>
      <c r="AB112" s="1825"/>
      <c r="AC112" s="1825"/>
      <c r="AD112" s="1825"/>
      <c r="AE112" s="1825"/>
      <c r="AF112" s="1825"/>
      <c r="AG112" s="1282">
        <f t="shared" si="14"/>
        <v>5992</v>
      </c>
    </row>
    <row r="113" spans="1:33" s="1826" customFormat="1" ht="72" customHeight="1">
      <c r="A113" s="683">
        <v>1213</v>
      </c>
      <c r="B113" s="1770" t="s">
        <v>738</v>
      </c>
      <c r="C113" s="1076" t="s">
        <v>739</v>
      </c>
      <c r="D113" s="1761"/>
      <c r="E113" s="1762">
        <f t="shared" si="12"/>
        <v>26</v>
      </c>
      <c r="F113" s="1763">
        <v>43262</v>
      </c>
      <c r="G113" s="1763">
        <v>43287</v>
      </c>
      <c r="H113" s="1764"/>
      <c r="I113" s="1762" t="s">
        <v>170</v>
      </c>
      <c r="J113" s="667" t="s">
        <v>719</v>
      </c>
      <c r="K113" s="1769" t="s">
        <v>741</v>
      </c>
      <c r="L113" s="1233">
        <v>23174</v>
      </c>
      <c r="M113" s="1761"/>
      <c r="N113" s="1761"/>
      <c r="O113" s="1765">
        <v>225</v>
      </c>
      <c r="P113" s="1761">
        <v>28</v>
      </c>
      <c r="Q113" s="1765">
        <f t="shared" si="18"/>
        <v>6300</v>
      </c>
      <c r="R113" s="1766"/>
      <c r="S113" s="1766"/>
      <c r="T113" s="1766"/>
      <c r="U113" s="1766"/>
      <c r="V113" s="1766"/>
      <c r="W113" s="1765">
        <v>6300</v>
      </c>
      <c r="X113" s="1767"/>
      <c r="Y113" s="1768"/>
      <c r="Z113" s="1825"/>
      <c r="AA113" s="1825"/>
      <c r="AB113" s="1825"/>
      <c r="AC113" s="1825"/>
      <c r="AD113" s="1825"/>
      <c r="AE113" s="1825"/>
      <c r="AF113" s="1825"/>
      <c r="AG113" s="1282">
        <f t="shared" si="14"/>
        <v>6300</v>
      </c>
    </row>
    <row r="114" spans="1:33" s="1826" customFormat="1" ht="72" customHeight="1">
      <c r="A114" s="683">
        <v>1213</v>
      </c>
      <c r="B114" s="1770" t="s">
        <v>738</v>
      </c>
      <c r="C114" s="1076" t="s">
        <v>739</v>
      </c>
      <c r="D114" s="1761"/>
      <c r="E114" s="1762">
        <f t="shared" si="12"/>
        <v>26</v>
      </c>
      <c r="F114" s="1763">
        <v>43262</v>
      </c>
      <c r="G114" s="1763">
        <v>43287</v>
      </c>
      <c r="H114" s="1764"/>
      <c r="I114" s="1762" t="s">
        <v>170</v>
      </c>
      <c r="J114" s="667" t="s">
        <v>719</v>
      </c>
      <c r="K114" s="1769" t="s">
        <v>742</v>
      </c>
      <c r="L114" s="1233">
        <v>23174</v>
      </c>
      <c r="M114" s="1761"/>
      <c r="N114" s="1761"/>
      <c r="O114" s="1765">
        <v>38</v>
      </c>
      <c r="P114" s="1761">
        <v>28</v>
      </c>
      <c r="Q114" s="1765">
        <f t="shared" si="18"/>
        <v>1064</v>
      </c>
      <c r="R114" s="1766"/>
      <c r="S114" s="1766"/>
      <c r="T114" s="1766"/>
      <c r="U114" s="1766"/>
      <c r="V114" s="1766"/>
      <c r="W114" s="1765">
        <v>1064</v>
      </c>
      <c r="X114" s="1767"/>
      <c r="Y114" s="1768"/>
      <c r="Z114" s="1825"/>
      <c r="AA114" s="1825"/>
      <c r="AB114" s="1825"/>
      <c r="AC114" s="1825"/>
      <c r="AD114" s="1825"/>
      <c r="AE114" s="1825"/>
      <c r="AF114" s="1825"/>
      <c r="AG114" s="1282">
        <f t="shared" si="14"/>
        <v>1064</v>
      </c>
    </row>
    <row r="115" spans="1:33" s="1826" customFormat="1" ht="72" customHeight="1">
      <c r="A115" s="683">
        <v>1213</v>
      </c>
      <c r="B115" s="1770" t="s">
        <v>738</v>
      </c>
      <c r="C115" s="1076" t="s">
        <v>739</v>
      </c>
      <c r="D115" s="1761"/>
      <c r="E115" s="1762">
        <f t="shared" si="12"/>
        <v>26</v>
      </c>
      <c r="F115" s="1763">
        <v>43262</v>
      </c>
      <c r="G115" s="1763">
        <v>43287</v>
      </c>
      <c r="H115" s="1764"/>
      <c r="I115" s="1762" t="s">
        <v>170</v>
      </c>
      <c r="J115" s="667" t="s">
        <v>719</v>
      </c>
      <c r="K115" s="1769" t="s">
        <v>743</v>
      </c>
      <c r="L115" s="1233">
        <v>23174</v>
      </c>
      <c r="M115" s="1761"/>
      <c r="N115" s="1761"/>
      <c r="O115" s="1765">
        <v>214</v>
      </c>
      <c r="P115" s="1761">
        <v>2</v>
      </c>
      <c r="Q115" s="1765">
        <f t="shared" si="18"/>
        <v>428</v>
      </c>
      <c r="R115" s="1766"/>
      <c r="S115" s="1766"/>
      <c r="T115" s="1766"/>
      <c r="U115" s="1766"/>
      <c r="V115" s="1766"/>
      <c r="W115" s="1765">
        <v>428</v>
      </c>
      <c r="X115" s="1767"/>
      <c r="Y115" s="1768"/>
      <c r="Z115" s="1825"/>
      <c r="AA115" s="1825"/>
      <c r="AB115" s="1825"/>
      <c r="AC115" s="1825"/>
      <c r="AD115" s="1825"/>
      <c r="AE115" s="1825"/>
      <c r="AF115" s="1825"/>
      <c r="AG115" s="1282">
        <f t="shared" si="14"/>
        <v>428</v>
      </c>
    </row>
    <row r="116" spans="1:33" s="1826" customFormat="1" ht="72" customHeight="1">
      <c r="A116" s="683">
        <v>1213</v>
      </c>
      <c r="B116" s="1770" t="s">
        <v>738</v>
      </c>
      <c r="C116" s="1076" t="s">
        <v>739</v>
      </c>
      <c r="D116" s="1761"/>
      <c r="E116" s="1762">
        <f t="shared" si="12"/>
        <v>26</v>
      </c>
      <c r="F116" s="1763">
        <v>43262</v>
      </c>
      <c r="G116" s="1763">
        <v>43287</v>
      </c>
      <c r="H116" s="1764"/>
      <c r="I116" s="1762" t="s">
        <v>170</v>
      </c>
      <c r="J116" s="667" t="s">
        <v>719</v>
      </c>
      <c r="K116" s="1769" t="s">
        <v>744</v>
      </c>
      <c r="L116" s="1233">
        <v>23174</v>
      </c>
      <c r="M116" s="1761"/>
      <c r="N116" s="1761"/>
      <c r="O116" s="1765">
        <v>225</v>
      </c>
      <c r="P116" s="1761">
        <v>2</v>
      </c>
      <c r="Q116" s="1765">
        <f t="shared" si="18"/>
        <v>450</v>
      </c>
      <c r="R116" s="1766"/>
      <c r="S116" s="1766"/>
      <c r="T116" s="1766"/>
      <c r="U116" s="1766"/>
      <c r="V116" s="1766"/>
      <c r="W116" s="1765">
        <v>450</v>
      </c>
      <c r="X116" s="1767"/>
      <c r="Y116" s="1768"/>
      <c r="Z116" s="1825"/>
      <c r="AA116" s="1825"/>
      <c r="AB116" s="1825"/>
      <c r="AC116" s="1825"/>
      <c r="AD116" s="1825"/>
      <c r="AE116" s="1825"/>
      <c r="AF116" s="1825"/>
      <c r="AG116" s="1282">
        <f t="shared" si="14"/>
        <v>450</v>
      </c>
    </row>
    <row r="117" spans="1:33" s="1826" customFormat="1" ht="72" customHeight="1">
      <c r="A117" s="683">
        <v>1213</v>
      </c>
      <c r="B117" s="1770" t="s">
        <v>738</v>
      </c>
      <c r="C117" s="1076" t="s">
        <v>739</v>
      </c>
      <c r="D117" s="1761"/>
      <c r="E117" s="1762">
        <f t="shared" si="12"/>
        <v>26</v>
      </c>
      <c r="F117" s="1763">
        <v>43262</v>
      </c>
      <c r="G117" s="1763">
        <v>43287</v>
      </c>
      <c r="H117" s="1764"/>
      <c r="I117" s="1762" t="s">
        <v>170</v>
      </c>
      <c r="J117" s="667" t="s">
        <v>719</v>
      </c>
      <c r="K117" s="1769" t="s">
        <v>745</v>
      </c>
      <c r="L117" s="1233">
        <v>23174</v>
      </c>
      <c r="M117" s="1761"/>
      <c r="N117" s="1761"/>
      <c r="O117" s="1765">
        <v>255</v>
      </c>
      <c r="P117" s="1761">
        <v>2</v>
      </c>
      <c r="Q117" s="1765">
        <f t="shared" si="18"/>
        <v>510</v>
      </c>
      <c r="R117" s="1766"/>
      <c r="S117" s="1766"/>
      <c r="T117" s="1766"/>
      <c r="U117" s="1766"/>
      <c r="V117" s="1766"/>
      <c r="W117" s="1765">
        <v>510</v>
      </c>
      <c r="X117" s="1767"/>
      <c r="Y117" s="1768"/>
      <c r="Z117" s="1825"/>
      <c r="AA117" s="1825"/>
      <c r="AB117" s="1825"/>
      <c r="AC117" s="1825"/>
      <c r="AD117" s="1825"/>
      <c r="AE117" s="1825"/>
      <c r="AF117" s="1825"/>
      <c r="AG117" s="1282">
        <f t="shared" si="14"/>
        <v>510</v>
      </c>
    </row>
    <row r="118" spans="1:33" s="1826" customFormat="1" ht="72" customHeight="1">
      <c r="A118" s="683">
        <v>1213</v>
      </c>
      <c r="B118" s="1770" t="s">
        <v>738</v>
      </c>
      <c r="C118" s="1076" t="s">
        <v>739</v>
      </c>
      <c r="D118" s="1761"/>
      <c r="E118" s="1762">
        <f t="shared" si="12"/>
        <v>26</v>
      </c>
      <c r="F118" s="1763">
        <v>43262</v>
      </c>
      <c r="G118" s="1763">
        <v>43287</v>
      </c>
      <c r="H118" s="1764"/>
      <c r="I118" s="1762" t="s">
        <v>170</v>
      </c>
      <c r="J118" s="667" t="s">
        <v>719</v>
      </c>
      <c r="K118" s="1769" t="s">
        <v>727</v>
      </c>
      <c r="L118" s="1233">
        <v>23174</v>
      </c>
      <c r="M118" s="1761"/>
      <c r="N118" s="1761"/>
      <c r="O118" s="1765">
        <v>178</v>
      </c>
      <c r="P118" s="1761">
        <v>2</v>
      </c>
      <c r="Q118" s="1765">
        <f t="shared" si="18"/>
        <v>356</v>
      </c>
      <c r="R118" s="1766"/>
      <c r="S118" s="1766"/>
      <c r="T118" s="1766"/>
      <c r="U118" s="1766"/>
      <c r="V118" s="1766"/>
      <c r="W118" s="1765">
        <v>356</v>
      </c>
      <c r="X118" s="1767"/>
      <c r="Y118" s="1768"/>
      <c r="Z118" s="1825"/>
      <c r="AA118" s="1825"/>
      <c r="AB118" s="1825"/>
      <c r="AC118" s="1825"/>
      <c r="AD118" s="1825"/>
      <c r="AE118" s="1825"/>
      <c r="AF118" s="1825"/>
      <c r="AG118" s="1282">
        <f t="shared" si="14"/>
        <v>356</v>
      </c>
    </row>
    <row r="119" spans="1:33" s="1826" customFormat="1" ht="72" customHeight="1">
      <c r="A119" s="683">
        <v>1213</v>
      </c>
      <c r="B119" s="1770" t="s">
        <v>738</v>
      </c>
      <c r="C119" s="1076" t="s">
        <v>739</v>
      </c>
      <c r="D119" s="1761"/>
      <c r="E119" s="1762">
        <f t="shared" si="12"/>
        <v>26</v>
      </c>
      <c r="F119" s="1763">
        <v>43262</v>
      </c>
      <c r="G119" s="1763">
        <v>43287</v>
      </c>
      <c r="H119" s="1764"/>
      <c r="I119" s="1762" t="s">
        <v>170</v>
      </c>
      <c r="J119" s="667" t="s">
        <v>719</v>
      </c>
      <c r="K119" s="1769" t="s">
        <v>736</v>
      </c>
      <c r="L119" s="1233">
        <v>23174</v>
      </c>
      <c r="M119" s="1761"/>
      <c r="N119" s="1761"/>
      <c r="O119" s="1765">
        <v>112</v>
      </c>
      <c r="P119" s="1761">
        <v>2</v>
      </c>
      <c r="Q119" s="1765">
        <f t="shared" si="18"/>
        <v>224</v>
      </c>
      <c r="R119" s="1766"/>
      <c r="S119" s="1766"/>
      <c r="T119" s="1766"/>
      <c r="U119" s="1766"/>
      <c r="V119" s="1766"/>
      <c r="W119" s="1765">
        <v>224</v>
      </c>
      <c r="X119" s="1767"/>
      <c r="Y119" s="1768"/>
      <c r="Z119" s="1825"/>
      <c r="AA119" s="1825"/>
      <c r="AB119" s="1825"/>
      <c r="AC119" s="1825"/>
      <c r="AD119" s="1825"/>
      <c r="AE119" s="1825"/>
      <c r="AF119" s="1825"/>
      <c r="AG119" s="1282">
        <f t="shared" si="14"/>
        <v>224</v>
      </c>
    </row>
    <row r="120" spans="1:33" s="1826" customFormat="1" ht="72" customHeight="1">
      <c r="A120" s="683">
        <v>1213</v>
      </c>
      <c r="B120" s="1770" t="s">
        <v>738</v>
      </c>
      <c r="C120" s="1076" t="s">
        <v>739</v>
      </c>
      <c r="D120" s="1761"/>
      <c r="E120" s="1762">
        <f t="shared" si="12"/>
        <v>26</v>
      </c>
      <c r="F120" s="1763">
        <v>43262</v>
      </c>
      <c r="G120" s="1763">
        <v>43287</v>
      </c>
      <c r="H120" s="1764"/>
      <c r="I120" s="1762" t="s">
        <v>170</v>
      </c>
      <c r="J120" s="667" t="s">
        <v>719</v>
      </c>
      <c r="K120" s="1769" t="s">
        <v>302</v>
      </c>
      <c r="L120" s="1233">
        <v>23173</v>
      </c>
      <c r="M120" s="1761"/>
      <c r="N120" s="1761"/>
      <c r="O120" s="1765">
        <v>15</v>
      </c>
      <c r="P120" s="1761">
        <v>28</v>
      </c>
      <c r="Q120" s="1765">
        <f t="shared" si="18"/>
        <v>420</v>
      </c>
      <c r="R120" s="1766"/>
      <c r="S120" s="1766"/>
      <c r="T120" s="1766"/>
      <c r="U120" s="1766"/>
      <c r="V120" s="1766"/>
      <c r="W120" s="1765">
        <v>420</v>
      </c>
      <c r="X120" s="1767"/>
      <c r="Y120" s="1768"/>
      <c r="Z120" s="1825"/>
      <c r="AA120" s="1825"/>
      <c r="AB120" s="1825"/>
      <c r="AC120" s="1825"/>
      <c r="AD120" s="1825"/>
      <c r="AE120" s="1825"/>
      <c r="AF120" s="1825"/>
      <c r="AG120" s="1282">
        <f t="shared" si="14"/>
        <v>420</v>
      </c>
    </row>
    <row r="121" spans="1:33" s="1826" customFormat="1" ht="63.75" customHeight="1">
      <c r="A121" s="683">
        <v>1213</v>
      </c>
      <c r="B121" s="1770" t="s">
        <v>738</v>
      </c>
      <c r="C121" s="1076" t="s">
        <v>739</v>
      </c>
      <c r="D121" s="1761"/>
      <c r="E121" s="1762">
        <f t="shared" si="12"/>
        <v>26</v>
      </c>
      <c r="F121" s="1763">
        <v>43262</v>
      </c>
      <c r="G121" s="1763">
        <v>43287</v>
      </c>
      <c r="H121" s="1764"/>
      <c r="I121" s="1762" t="s">
        <v>170</v>
      </c>
      <c r="J121" s="667" t="s">
        <v>719</v>
      </c>
      <c r="K121" s="1771" t="s">
        <v>486</v>
      </c>
      <c r="L121" s="1231">
        <v>23173</v>
      </c>
      <c r="M121" s="1761"/>
      <c r="N121" s="1761"/>
      <c r="O121" s="1765">
        <v>156</v>
      </c>
      <c r="P121" s="1761">
        <v>15</v>
      </c>
      <c r="Q121" s="1765">
        <f t="shared" si="18"/>
        <v>2340</v>
      </c>
      <c r="R121" s="1766"/>
      <c r="S121" s="1766"/>
      <c r="T121" s="1766"/>
      <c r="U121" s="1766"/>
      <c r="V121" s="1766"/>
      <c r="W121" s="1765">
        <v>2340</v>
      </c>
      <c r="X121" s="1767"/>
      <c r="Y121" s="1768"/>
      <c r="Z121" s="1825"/>
      <c r="AA121" s="1825"/>
      <c r="AB121" s="1825"/>
      <c r="AC121" s="1825"/>
      <c r="AD121" s="1825"/>
      <c r="AE121" s="1825"/>
      <c r="AF121" s="1825"/>
      <c r="AG121" s="1282">
        <f t="shared" si="14"/>
        <v>2340</v>
      </c>
    </row>
    <row r="122" spans="1:33" s="1826" customFormat="1" ht="63.75" customHeight="1">
      <c r="A122" s="683">
        <v>1213</v>
      </c>
      <c r="B122" s="1770" t="s">
        <v>738</v>
      </c>
      <c r="C122" s="1076" t="s">
        <v>739</v>
      </c>
      <c r="D122" s="1761"/>
      <c r="E122" s="1762">
        <f t="shared" si="12"/>
        <v>26</v>
      </c>
      <c r="F122" s="1763">
        <v>43262</v>
      </c>
      <c r="G122" s="1763">
        <v>43287</v>
      </c>
      <c r="H122" s="1764"/>
      <c r="I122" s="1762" t="s">
        <v>170</v>
      </c>
      <c r="J122" s="667" t="s">
        <v>719</v>
      </c>
      <c r="K122" s="1738" t="s">
        <v>723</v>
      </c>
      <c r="L122" s="1233">
        <v>23174</v>
      </c>
      <c r="M122" s="1761"/>
      <c r="N122" s="1761"/>
      <c r="O122" s="1765">
        <v>281</v>
      </c>
      <c r="P122" s="1761">
        <v>2</v>
      </c>
      <c r="Q122" s="1765">
        <f t="shared" si="18"/>
        <v>562</v>
      </c>
      <c r="R122" s="1766"/>
      <c r="S122" s="1766"/>
      <c r="T122" s="1766"/>
      <c r="U122" s="1766"/>
      <c r="V122" s="1766"/>
      <c r="W122" s="1765">
        <v>562</v>
      </c>
      <c r="X122" s="1767"/>
      <c r="Y122" s="1768"/>
      <c r="Z122" s="1825"/>
      <c r="AA122" s="1825"/>
      <c r="AB122" s="1825"/>
      <c r="AC122" s="1825"/>
      <c r="AD122" s="1825"/>
      <c r="AE122" s="1825"/>
      <c r="AF122" s="1825"/>
      <c r="AG122" s="1282">
        <f t="shared" si="14"/>
        <v>562</v>
      </c>
    </row>
    <row r="123" spans="1:33" s="1826" customFormat="1" ht="63.75" customHeight="1">
      <c r="A123" s="683">
        <v>1213</v>
      </c>
      <c r="B123" s="1770" t="s">
        <v>738</v>
      </c>
      <c r="C123" s="1076" t="s">
        <v>739</v>
      </c>
      <c r="D123" s="1761"/>
      <c r="E123" s="1762"/>
      <c r="F123" s="1763"/>
      <c r="G123" s="1763"/>
      <c r="H123" s="1764"/>
      <c r="I123" s="1762" t="s">
        <v>170</v>
      </c>
      <c r="J123" s="667" t="s">
        <v>719</v>
      </c>
      <c r="K123" s="2265" t="s">
        <v>1013</v>
      </c>
      <c r="L123" s="1233">
        <v>23173</v>
      </c>
      <c r="M123" s="1761"/>
      <c r="N123" s="1761"/>
      <c r="O123" s="1765">
        <v>1</v>
      </c>
      <c r="P123" s="1761">
        <v>60</v>
      </c>
      <c r="Q123" s="1765">
        <f t="shared" si="18"/>
        <v>60</v>
      </c>
      <c r="R123" s="1766"/>
      <c r="S123" s="1766"/>
      <c r="T123" s="1766"/>
      <c r="U123" s="1766"/>
      <c r="V123" s="1766"/>
      <c r="W123" s="1765">
        <v>60</v>
      </c>
      <c r="X123" s="1767"/>
      <c r="Y123" s="1768"/>
      <c r="Z123" s="1825"/>
      <c r="AA123" s="1825"/>
      <c r="AB123" s="1825"/>
      <c r="AC123" s="1825"/>
      <c r="AD123" s="1825"/>
      <c r="AE123" s="1825"/>
      <c r="AF123" s="1825"/>
      <c r="AG123" s="1282">
        <f t="shared" si="14"/>
        <v>60</v>
      </c>
    </row>
    <row r="124" spans="1:33" s="1826" customFormat="1" ht="58.5" customHeight="1">
      <c r="A124" s="683">
        <v>1214</v>
      </c>
      <c r="B124" s="1772" t="s">
        <v>747</v>
      </c>
      <c r="C124" s="1076" t="s">
        <v>748</v>
      </c>
      <c r="D124" s="1761"/>
      <c r="E124" s="1762">
        <f>+G124-F124+1</f>
        <v>3</v>
      </c>
      <c r="F124" s="1763">
        <v>43304</v>
      </c>
      <c r="G124" s="1763">
        <f>+F124+3-1</f>
        <v>43306</v>
      </c>
      <c r="H124" s="1764"/>
      <c r="I124" s="1762" t="s">
        <v>170</v>
      </c>
      <c r="J124" s="667"/>
      <c r="K124" s="1738" t="s">
        <v>670</v>
      </c>
      <c r="L124" s="1233">
        <v>23173</v>
      </c>
      <c r="M124" s="1761"/>
      <c r="N124" s="1761"/>
      <c r="O124" s="1765">
        <v>48</v>
      </c>
      <c r="P124" s="1761">
        <v>40</v>
      </c>
      <c r="Q124" s="1765">
        <f>+O124*P124</f>
        <v>1920</v>
      </c>
      <c r="R124" s="1766"/>
      <c r="S124" s="1766"/>
      <c r="T124" s="1766"/>
      <c r="U124" s="1766"/>
      <c r="V124" s="1766"/>
      <c r="W124" s="1765">
        <v>1920</v>
      </c>
      <c r="X124" s="1767"/>
      <c r="Y124" s="1768"/>
      <c r="Z124" s="1825"/>
      <c r="AA124" s="1825"/>
      <c r="AB124" s="1825"/>
      <c r="AC124" s="1825"/>
      <c r="AD124" s="1825"/>
      <c r="AE124" s="1825"/>
      <c r="AF124" s="1825"/>
      <c r="AG124" s="1282">
        <f t="shared" si="14"/>
        <v>1920</v>
      </c>
    </row>
    <row r="125" spans="1:33" s="1826" customFormat="1" ht="58.5" customHeight="1">
      <c r="A125" s="683">
        <v>1214</v>
      </c>
      <c r="B125" s="1772" t="s">
        <v>747</v>
      </c>
      <c r="C125" s="1076" t="s">
        <v>748</v>
      </c>
      <c r="D125" s="1761"/>
      <c r="E125" s="1762">
        <f>+G125-F125+1</f>
        <v>3</v>
      </c>
      <c r="F125" s="1763">
        <v>43304</v>
      </c>
      <c r="G125" s="1763">
        <f>+F125+3-1</f>
        <v>43306</v>
      </c>
      <c r="H125" s="1764"/>
      <c r="I125" s="1762" t="s">
        <v>170</v>
      </c>
      <c r="J125" s="667"/>
      <c r="K125" s="1773" t="s">
        <v>638</v>
      </c>
      <c r="L125" s="1233">
        <v>23173</v>
      </c>
      <c r="M125" s="1761"/>
      <c r="N125" s="1761"/>
      <c r="O125" s="1765">
        <v>5</v>
      </c>
      <c r="P125" s="1761">
        <v>40</v>
      </c>
      <c r="Q125" s="1765">
        <f>+O125*P125</f>
        <v>200</v>
      </c>
      <c r="R125" s="1766"/>
      <c r="S125" s="1766"/>
      <c r="T125" s="1766"/>
      <c r="U125" s="1766"/>
      <c r="V125" s="1766"/>
      <c r="W125" s="1765">
        <v>200</v>
      </c>
      <c r="X125" s="1767"/>
      <c r="Y125" s="1768"/>
      <c r="Z125" s="1825"/>
      <c r="AA125" s="1825"/>
      <c r="AB125" s="1825"/>
      <c r="AC125" s="1825"/>
      <c r="AD125" s="1825"/>
      <c r="AE125" s="1825"/>
      <c r="AF125" s="1825"/>
      <c r="AG125" s="1282">
        <f t="shared" si="14"/>
        <v>200</v>
      </c>
    </row>
    <row r="126" spans="1:33" s="1826" customFormat="1" ht="58.5" customHeight="1">
      <c r="A126" s="683">
        <v>1214</v>
      </c>
      <c r="B126" s="1772" t="s">
        <v>747</v>
      </c>
      <c r="C126" s="1076" t="s">
        <v>748</v>
      </c>
      <c r="D126" s="1761"/>
      <c r="E126" s="1762">
        <f>+G126-F126+1</f>
        <v>3</v>
      </c>
      <c r="F126" s="1763">
        <v>43304</v>
      </c>
      <c r="G126" s="1763">
        <f>+F126+3-1</f>
        <v>43306</v>
      </c>
      <c r="H126" s="1764"/>
      <c r="I126" s="1762" t="s">
        <v>170</v>
      </c>
      <c r="J126" s="667"/>
      <c r="K126" s="1771" t="s">
        <v>486</v>
      </c>
      <c r="L126" s="1231">
        <v>23173</v>
      </c>
      <c r="M126" s="1761"/>
      <c r="N126" s="1761"/>
      <c r="O126" s="1765">
        <v>312</v>
      </c>
      <c r="P126" s="1761">
        <v>3</v>
      </c>
      <c r="Q126" s="1765">
        <f>+O126*P126</f>
        <v>936</v>
      </c>
      <c r="R126" s="1766"/>
      <c r="S126" s="1766"/>
      <c r="T126" s="1766"/>
      <c r="U126" s="1766"/>
      <c r="V126" s="1766"/>
      <c r="W126" s="1765">
        <v>936</v>
      </c>
      <c r="X126" s="1767"/>
      <c r="Y126" s="1768"/>
      <c r="Z126" s="1825"/>
      <c r="AA126" s="1825"/>
      <c r="AB126" s="1825"/>
      <c r="AC126" s="1825"/>
      <c r="AD126" s="1825"/>
      <c r="AE126" s="1825"/>
      <c r="AF126" s="1825"/>
      <c r="AG126" s="1282">
        <f t="shared" si="14"/>
        <v>936</v>
      </c>
    </row>
    <row r="127" spans="1:33" s="1826" customFormat="1" ht="75.75" customHeight="1">
      <c r="A127" s="683">
        <v>1215</v>
      </c>
      <c r="B127" s="1772" t="s">
        <v>749</v>
      </c>
      <c r="C127" s="1076" t="s">
        <v>750</v>
      </c>
      <c r="D127" s="1761"/>
      <c r="E127" s="1762">
        <f t="shared" ref="E127:E153" si="19">+G127-F127+1</f>
        <v>6</v>
      </c>
      <c r="F127" s="1763">
        <v>43318</v>
      </c>
      <c r="G127" s="1763">
        <f t="shared" ref="G127:G136" si="20">F127+6-1</f>
        <v>43323</v>
      </c>
      <c r="H127" s="1764"/>
      <c r="I127" s="1762" t="s">
        <v>170</v>
      </c>
      <c r="J127" s="667"/>
      <c r="K127" s="1738" t="s">
        <v>751</v>
      </c>
      <c r="L127" s="1233">
        <v>23174</v>
      </c>
      <c r="M127" s="1761"/>
      <c r="N127" s="1761"/>
      <c r="O127" s="1765">
        <v>67</v>
      </c>
      <c r="P127" s="1761">
        <v>26</v>
      </c>
      <c r="Q127" s="1765">
        <f t="shared" ref="Q127:Q136" si="21">+O127*P127</f>
        <v>1742</v>
      </c>
      <c r="R127" s="1766"/>
      <c r="S127" s="1766"/>
      <c r="T127" s="1766"/>
      <c r="U127" s="1766"/>
      <c r="V127" s="1766"/>
      <c r="W127" s="1766"/>
      <c r="X127" s="1774">
        <v>1742</v>
      </c>
      <c r="Y127" s="1768"/>
      <c r="Z127" s="1825"/>
      <c r="AA127" s="1825"/>
      <c r="AB127" s="1825"/>
      <c r="AC127" s="1825"/>
      <c r="AD127" s="1825"/>
      <c r="AE127" s="1825"/>
      <c r="AF127" s="1825"/>
      <c r="AG127" s="1282">
        <f t="shared" si="14"/>
        <v>1742</v>
      </c>
    </row>
    <row r="128" spans="1:33" s="1826" customFormat="1" ht="75.75" customHeight="1">
      <c r="A128" s="683">
        <v>1215</v>
      </c>
      <c r="B128" s="1772" t="s">
        <v>749</v>
      </c>
      <c r="C128" s="1076" t="s">
        <v>750</v>
      </c>
      <c r="D128" s="1761"/>
      <c r="E128" s="1762">
        <f t="shared" si="19"/>
        <v>6</v>
      </c>
      <c r="F128" s="1763">
        <v>43318</v>
      </c>
      <c r="G128" s="1763">
        <f t="shared" si="20"/>
        <v>43323</v>
      </c>
      <c r="H128" s="1764"/>
      <c r="I128" s="1762" t="s">
        <v>170</v>
      </c>
      <c r="J128" s="667"/>
      <c r="K128" s="1773" t="s">
        <v>752</v>
      </c>
      <c r="L128" s="1233">
        <v>23174</v>
      </c>
      <c r="M128" s="1761"/>
      <c r="N128" s="1761"/>
      <c r="O128" s="1765">
        <v>63</v>
      </c>
      <c r="P128" s="1761">
        <v>26</v>
      </c>
      <c r="Q128" s="1765">
        <f t="shared" si="21"/>
        <v>1638</v>
      </c>
      <c r="R128" s="1766"/>
      <c r="S128" s="1766"/>
      <c r="T128" s="1766"/>
      <c r="U128" s="1766"/>
      <c r="V128" s="1766"/>
      <c r="W128" s="1766"/>
      <c r="X128" s="1774">
        <v>1638</v>
      </c>
      <c r="Y128" s="1768"/>
      <c r="Z128" s="1825"/>
      <c r="AA128" s="1825"/>
      <c r="AB128" s="1825"/>
      <c r="AC128" s="1825"/>
      <c r="AD128" s="1825"/>
      <c r="AE128" s="1825"/>
      <c r="AF128" s="1825"/>
      <c r="AG128" s="1282">
        <f t="shared" si="14"/>
        <v>1638</v>
      </c>
    </row>
    <row r="129" spans="1:33" s="1826" customFormat="1" ht="75.75" customHeight="1">
      <c r="A129" s="683">
        <v>1215</v>
      </c>
      <c r="B129" s="1772" t="s">
        <v>749</v>
      </c>
      <c r="C129" s="1076" t="s">
        <v>750</v>
      </c>
      <c r="D129" s="1761"/>
      <c r="E129" s="1762">
        <f t="shared" si="19"/>
        <v>6</v>
      </c>
      <c r="F129" s="1763">
        <v>43318</v>
      </c>
      <c r="G129" s="1763">
        <f t="shared" si="20"/>
        <v>43323</v>
      </c>
      <c r="H129" s="1764"/>
      <c r="I129" s="1762" t="s">
        <v>170</v>
      </c>
      <c r="J129" s="667"/>
      <c r="K129" s="1769" t="s">
        <v>753</v>
      </c>
      <c r="L129" s="1233">
        <v>23174</v>
      </c>
      <c r="M129" s="1761"/>
      <c r="N129" s="1761"/>
      <c r="O129" s="1765">
        <v>38</v>
      </c>
      <c r="P129" s="1761">
        <v>26</v>
      </c>
      <c r="Q129" s="1765">
        <f t="shared" si="21"/>
        <v>988</v>
      </c>
      <c r="R129" s="1766"/>
      <c r="S129" s="1766"/>
      <c r="T129" s="1766"/>
      <c r="U129" s="1766"/>
      <c r="V129" s="1766"/>
      <c r="W129" s="1766"/>
      <c r="X129" s="1774">
        <v>988</v>
      </c>
      <c r="Y129" s="1768"/>
      <c r="Z129" s="1825"/>
      <c r="AA129" s="1825"/>
      <c r="AB129" s="1825"/>
      <c r="AC129" s="1825"/>
      <c r="AD129" s="1825"/>
      <c r="AE129" s="1825"/>
      <c r="AF129" s="1825"/>
      <c r="AG129" s="1282">
        <f t="shared" si="14"/>
        <v>988</v>
      </c>
    </row>
    <row r="130" spans="1:33" s="1826" customFormat="1" ht="75.75" customHeight="1">
      <c r="A130" s="683">
        <v>1215</v>
      </c>
      <c r="B130" s="1772" t="s">
        <v>749</v>
      </c>
      <c r="C130" s="1076" t="s">
        <v>750</v>
      </c>
      <c r="D130" s="1761"/>
      <c r="E130" s="1762">
        <f t="shared" si="19"/>
        <v>6</v>
      </c>
      <c r="F130" s="1763">
        <v>43318</v>
      </c>
      <c r="G130" s="1763">
        <f t="shared" si="20"/>
        <v>43323</v>
      </c>
      <c r="H130" s="1764"/>
      <c r="I130" s="1762" t="s">
        <v>170</v>
      </c>
      <c r="J130" s="667"/>
      <c r="K130" s="1769" t="s">
        <v>743</v>
      </c>
      <c r="L130" s="1233">
        <v>23174</v>
      </c>
      <c r="M130" s="1761"/>
      <c r="N130" s="1761"/>
      <c r="O130" s="1765">
        <v>67</v>
      </c>
      <c r="P130" s="1761">
        <v>2</v>
      </c>
      <c r="Q130" s="1765">
        <f t="shared" si="21"/>
        <v>134</v>
      </c>
      <c r="R130" s="1766"/>
      <c r="S130" s="1766"/>
      <c r="T130" s="1766"/>
      <c r="U130" s="1766"/>
      <c r="V130" s="1766"/>
      <c r="W130" s="1766"/>
      <c r="X130" s="1774">
        <v>134</v>
      </c>
      <c r="Y130" s="1768"/>
      <c r="Z130" s="1825"/>
      <c r="AA130" s="1825"/>
      <c r="AB130" s="1825"/>
      <c r="AC130" s="1825"/>
      <c r="AD130" s="1825"/>
      <c r="AE130" s="1825"/>
      <c r="AF130" s="1825"/>
      <c r="AG130" s="1282">
        <f t="shared" si="14"/>
        <v>134</v>
      </c>
    </row>
    <row r="131" spans="1:33" s="1826" customFormat="1" ht="75.75" customHeight="1">
      <c r="A131" s="683">
        <v>1215</v>
      </c>
      <c r="B131" s="1772" t="s">
        <v>749</v>
      </c>
      <c r="C131" s="1076" t="s">
        <v>750</v>
      </c>
      <c r="D131" s="1761"/>
      <c r="E131" s="1762">
        <f t="shared" si="19"/>
        <v>6</v>
      </c>
      <c r="F131" s="1763">
        <v>43318</v>
      </c>
      <c r="G131" s="1763">
        <f t="shared" si="20"/>
        <v>43323</v>
      </c>
      <c r="H131" s="1764"/>
      <c r="I131" s="1762" t="s">
        <v>170</v>
      </c>
      <c r="J131" s="667"/>
      <c r="K131" s="1769" t="s">
        <v>754</v>
      </c>
      <c r="L131" s="1233">
        <v>23174</v>
      </c>
      <c r="M131" s="1761"/>
      <c r="N131" s="1761"/>
      <c r="O131" s="1765">
        <v>63</v>
      </c>
      <c r="P131" s="1761">
        <v>2</v>
      </c>
      <c r="Q131" s="1765">
        <f t="shared" si="21"/>
        <v>126</v>
      </c>
      <c r="R131" s="1766"/>
      <c r="S131" s="1766"/>
      <c r="T131" s="1766"/>
      <c r="U131" s="1766"/>
      <c r="V131" s="1766"/>
      <c r="W131" s="1766"/>
      <c r="X131" s="1774">
        <v>126</v>
      </c>
      <c r="Y131" s="1768"/>
      <c r="Z131" s="1825"/>
      <c r="AA131" s="1825"/>
      <c r="AB131" s="1825"/>
      <c r="AC131" s="1825"/>
      <c r="AD131" s="1825"/>
      <c r="AE131" s="1825"/>
      <c r="AF131" s="1825"/>
      <c r="AG131" s="1282">
        <f t="shared" si="14"/>
        <v>126</v>
      </c>
    </row>
    <row r="132" spans="1:33" s="1826" customFormat="1" ht="75.75" customHeight="1">
      <c r="A132" s="683">
        <v>1215</v>
      </c>
      <c r="B132" s="1772" t="s">
        <v>749</v>
      </c>
      <c r="C132" s="1076" t="s">
        <v>750</v>
      </c>
      <c r="D132" s="1761"/>
      <c r="E132" s="1762">
        <f t="shared" si="19"/>
        <v>6</v>
      </c>
      <c r="F132" s="1763">
        <v>43318</v>
      </c>
      <c r="G132" s="1763">
        <f t="shared" si="20"/>
        <v>43323</v>
      </c>
      <c r="H132" s="1764"/>
      <c r="I132" s="1762" t="s">
        <v>170</v>
      </c>
      <c r="J132" s="667"/>
      <c r="K132" s="1769" t="s">
        <v>729</v>
      </c>
      <c r="L132" s="1233">
        <v>23174</v>
      </c>
      <c r="M132" s="1761"/>
      <c r="N132" s="1761"/>
      <c r="O132" s="1765">
        <v>255</v>
      </c>
      <c r="P132" s="1761">
        <v>2</v>
      </c>
      <c r="Q132" s="1765">
        <f t="shared" si="21"/>
        <v>510</v>
      </c>
      <c r="R132" s="1766"/>
      <c r="S132" s="1766"/>
      <c r="T132" s="1766"/>
      <c r="U132" s="1766"/>
      <c r="V132" s="1766"/>
      <c r="W132" s="1766"/>
      <c r="X132" s="1774">
        <v>510</v>
      </c>
      <c r="Y132" s="1768"/>
      <c r="Z132" s="1825"/>
      <c r="AA132" s="1825"/>
      <c r="AB132" s="1825"/>
      <c r="AC132" s="1825"/>
      <c r="AD132" s="1825"/>
      <c r="AE132" s="1825"/>
      <c r="AF132" s="1825"/>
      <c r="AG132" s="1282">
        <f t="shared" si="14"/>
        <v>510</v>
      </c>
    </row>
    <row r="133" spans="1:33" s="1826" customFormat="1" ht="75.75" customHeight="1">
      <c r="A133" s="683">
        <v>1215</v>
      </c>
      <c r="B133" s="1772" t="s">
        <v>749</v>
      </c>
      <c r="C133" s="1076" t="s">
        <v>750</v>
      </c>
      <c r="D133" s="1761"/>
      <c r="E133" s="1762">
        <f t="shared" si="19"/>
        <v>6</v>
      </c>
      <c r="F133" s="1763">
        <v>43318</v>
      </c>
      <c r="G133" s="1763">
        <f t="shared" si="20"/>
        <v>43323</v>
      </c>
      <c r="H133" s="1764"/>
      <c r="I133" s="1762" t="s">
        <v>170</v>
      </c>
      <c r="J133" s="667"/>
      <c r="K133" s="1769" t="s">
        <v>302</v>
      </c>
      <c r="L133" s="1233">
        <v>23173</v>
      </c>
      <c r="M133" s="1761"/>
      <c r="N133" s="1761"/>
      <c r="O133" s="1765">
        <v>5</v>
      </c>
      <c r="P133" s="1761">
        <v>26</v>
      </c>
      <c r="Q133" s="1765">
        <f t="shared" si="21"/>
        <v>130</v>
      </c>
      <c r="R133" s="1766"/>
      <c r="S133" s="1766"/>
      <c r="T133" s="1766"/>
      <c r="U133" s="1766"/>
      <c r="V133" s="1766"/>
      <c r="W133" s="1766"/>
      <c r="X133" s="1774">
        <v>130</v>
      </c>
      <c r="Y133" s="1768"/>
      <c r="Z133" s="1825"/>
      <c r="AA133" s="1825"/>
      <c r="AB133" s="1825"/>
      <c r="AC133" s="1825"/>
      <c r="AD133" s="1825"/>
      <c r="AE133" s="1825"/>
      <c r="AF133" s="1825"/>
      <c r="AG133" s="1282">
        <f t="shared" si="14"/>
        <v>130</v>
      </c>
    </row>
    <row r="134" spans="1:33" s="1826" customFormat="1" ht="75.75" customHeight="1">
      <c r="A134" s="683">
        <v>1215</v>
      </c>
      <c r="B134" s="1772" t="s">
        <v>749</v>
      </c>
      <c r="C134" s="1076" t="s">
        <v>750</v>
      </c>
      <c r="D134" s="1761"/>
      <c r="E134" s="1762">
        <f t="shared" si="19"/>
        <v>6</v>
      </c>
      <c r="F134" s="1763">
        <v>43318</v>
      </c>
      <c r="G134" s="1763">
        <f t="shared" si="20"/>
        <v>43323</v>
      </c>
      <c r="H134" s="1764"/>
      <c r="I134" s="1762" t="s">
        <v>170</v>
      </c>
      <c r="J134" s="667"/>
      <c r="K134" s="1769" t="s">
        <v>486</v>
      </c>
      <c r="L134" s="1231">
        <v>23173</v>
      </c>
      <c r="M134" s="1761"/>
      <c r="N134" s="1761"/>
      <c r="O134" s="1765">
        <v>156</v>
      </c>
      <c r="P134" s="1761">
        <v>6</v>
      </c>
      <c r="Q134" s="1765">
        <f t="shared" si="21"/>
        <v>936</v>
      </c>
      <c r="R134" s="1766"/>
      <c r="S134" s="1766"/>
      <c r="T134" s="1766"/>
      <c r="U134" s="1766"/>
      <c r="V134" s="1766"/>
      <c r="W134" s="1766"/>
      <c r="X134" s="1774">
        <v>936</v>
      </c>
      <c r="Y134" s="1768"/>
      <c r="Z134" s="1825"/>
      <c r="AA134" s="1825"/>
      <c r="AB134" s="1825"/>
      <c r="AC134" s="1825"/>
      <c r="AD134" s="1825"/>
      <c r="AE134" s="1825"/>
      <c r="AF134" s="1825"/>
      <c r="AG134" s="1282">
        <f t="shared" si="14"/>
        <v>936</v>
      </c>
    </row>
    <row r="135" spans="1:33" s="1826" customFormat="1" ht="75.75" customHeight="1">
      <c r="A135" s="683">
        <v>1215</v>
      </c>
      <c r="B135" s="1772" t="s">
        <v>749</v>
      </c>
      <c r="C135" s="1076" t="s">
        <v>750</v>
      </c>
      <c r="D135" s="1761"/>
      <c r="E135" s="1762">
        <f t="shared" si="19"/>
        <v>6</v>
      </c>
      <c r="F135" s="1763">
        <v>43318</v>
      </c>
      <c r="G135" s="1763">
        <f t="shared" si="20"/>
        <v>43323</v>
      </c>
      <c r="H135" s="1764"/>
      <c r="I135" s="1762" t="s">
        <v>170</v>
      </c>
      <c r="J135" s="667"/>
      <c r="K135" s="1769" t="s">
        <v>723</v>
      </c>
      <c r="L135" s="1233">
        <v>23174</v>
      </c>
      <c r="M135" s="1761"/>
      <c r="N135" s="1761"/>
      <c r="O135" s="1765">
        <v>169</v>
      </c>
      <c r="P135" s="1761">
        <v>2</v>
      </c>
      <c r="Q135" s="1765">
        <f t="shared" si="21"/>
        <v>338</v>
      </c>
      <c r="R135" s="1766"/>
      <c r="S135" s="1766"/>
      <c r="T135" s="1766"/>
      <c r="U135" s="1766"/>
      <c r="V135" s="1766"/>
      <c r="W135" s="1766"/>
      <c r="X135" s="1774">
        <v>338</v>
      </c>
      <c r="Y135" s="1768"/>
      <c r="Z135" s="1825"/>
      <c r="AA135" s="1825"/>
      <c r="AB135" s="1825"/>
      <c r="AC135" s="1825"/>
      <c r="AD135" s="1825"/>
      <c r="AE135" s="1825"/>
      <c r="AF135" s="1825"/>
      <c r="AG135" s="1282">
        <f t="shared" si="14"/>
        <v>338</v>
      </c>
    </row>
    <row r="136" spans="1:33" s="1826" customFormat="1" ht="75.75" customHeight="1">
      <c r="A136" s="683">
        <v>1215</v>
      </c>
      <c r="B136" s="1772" t="s">
        <v>749</v>
      </c>
      <c r="C136" s="1076" t="s">
        <v>750</v>
      </c>
      <c r="D136" s="1761"/>
      <c r="E136" s="1762">
        <f t="shared" si="19"/>
        <v>6</v>
      </c>
      <c r="F136" s="1763">
        <v>43318</v>
      </c>
      <c r="G136" s="1763">
        <f t="shared" si="20"/>
        <v>43323</v>
      </c>
      <c r="H136" s="1764"/>
      <c r="I136" s="1762" t="s">
        <v>170</v>
      </c>
      <c r="J136" s="667"/>
      <c r="K136" s="1769" t="s">
        <v>755</v>
      </c>
      <c r="L136" s="1233">
        <v>23173</v>
      </c>
      <c r="M136" s="1761"/>
      <c r="N136" s="1761"/>
      <c r="O136" s="1765">
        <v>10</v>
      </c>
      <c r="P136" s="1761">
        <v>60</v>
      </c>
      <c r="Q136" s="1765">
        <f t="shared" si="21"/>
        <v>600</v>
      </c>
      <c r="R136" s="1766"/>
      <c r="S136" s="1766"/>
      <c r="T136" s="1766"/>
      <c r="U136" s="1766"/>
      <c r="V136" s="1766"/>
      <c r="W136" s="1766"/>
      <c r="X136" s="1774">
        <v>600</v>
      </c>
      <c r="Y136" s="1768"/>
      <c r="Z136" s="1825"/>
      <c r="AA136" s="1825"/>
      <c r="AB136" s="1825"/>
      <c r="AC136" s="1825"/>
      <c r="AD136" s="1825"/>
      <c r="AE136" s="1825"/>
      <c r="AF136" s="1825"/>
      <c r="AG136" s="1282">
        <f t="shared" si="14"/>
        <v>600</v>
      </c>
    </row>
    <row r="137" spans="1:33" s="1826" customFormat="1" ht="75.75" customHeight="1">
      <c r="A137" s="683">
        <v>1216</v>
      </c>
      <c r="B137" s="1770" t="s">
        <v>756</v>
      </c>
      <c r="C137" s="1076" t="s">
        <v>757</v>
      </c>
      <c r="D137" s="1761"/>
      <c r="E137" s="1762">
        <f t="shared" si="19"/>
        <v>27</v>
      </c>
      <c r="F137" s="1763">
        <v>43332</v>
      </c>
      <c r="G137" s="1763">
        <v>43358</v>
      </c>
      <c r="H137" s="1764"/>
      <c r="I137" s="1762" t="s">
        <v>170</v>
      </c>
      <c r="J137" s="667"/>
      <c r="K137" s="1769" t="s">
        <v>758</v>
      </c>
      <c r="L137" s="1233">
        <v>23174</v>
      </c>
      <c r="M137" s="1761"/>
      <c r="N137" s="1761"/>
      <c r="O137" s="1765">
        <v>214</v>
      </c>
      <c r="P137" s="1761">
        <v>31</v>
      </c>
      <c r="Q137" s="1765">
        <f t="shared" ref="Q137:Q151" si="22">+O137*P137</f>
        <v>6634</v>
      </c>
      <c r="R137" s="1766"/>
      <c r="S137" s="1766"/>
      <c r="T137" s="1766"/>
      <c r="U137" s="1766"/>
      <c r="V137" s="1766"/>
      <c r="W137" s="1766"/>
      <c r="X137" s="1767"/>
      <c r="Y137" s="1739">
        <v>6634</v>
      </c>
      <c r="Z137" s="1825"/>
      <c r="AA137" s="1825"/>
      <c r="AB137" s="1825"/>
      <c r="AC137" s="1825"/>
      <c r="AD137" s="1825"/>
      <c r="AE137" s="1825"/>
      <c r="AF137" s="1825"/>
      <c r="AG137" s="1282">
        <f t="shared" si="14"/>
        <v>6634</v>
      </c>
    </row>
    <row r="138" spans="1:33" s="1826" customFormat="1" ht="75.75" customHeight="1">
      <c r="A138" s="683">
        <v>1216</v>
      </c>
      <c r="B138" s="1770" t="s">
        <v>756</v>
      </c>
      <c r="C138" s="1076" t="s">
        <v>757</v>
      </c>
      <c r="D138" s="1761"/>
      <c r="E138" s="1762">
        <f t="shared" si="19"/>
        <v>27</v>
      </c>
      <c r="F138" s="1763">
        <v>43332</v>
      </c>
      <c r="G138" s="1763">
        <v>43358</v>
      </c>
      <c r="H138" s="1764"/>
      <c r="I138" s="1762" t="s">
        <v>170</v>
      </c>
      <c r="J138" s="667"/>
      <c r="K138" s="1769" t="s">
        <v>759</v>
      </c>
      <c r="L138" s="1233">
        <v>23174</v>
      </c>
      <c r="M138" s="1761"/>
      <c r="N138" s="1761"/>
      <c r="O138" s="1765">
        <v>225</v>
      </c>
      <c r="P138" s="1761">
        <v>31</v>
      </c>
      <c r="Q138" s="1765">
        <f t="shared" si="22"/>
        <v>6975</v>
      </c>
      <c r="R138" s="1766"/>
      <c r="S138" s="1766"/>
      <c r="T138" s="1766"/>
      <c r="U138" s="1766"/>
      <c r="V138" s="1766"/>
      <c r="W138" s="1766"/>
      <c r="X138" s="1767"/>
      <c r="Y138" s="1739">
        <v>6975</v>
      </c>
      <c r="Z138" s="1825"/>
      <c r="AA138" s="1825"/>
      <c r="AB138" s="1825"/>
      <c r="AC138" s="1825"/>
      <c r="AD138" s="1825"/>
      <c r="AE138" s="1825"/>
      <c r="AF138" s="1825"/>
      <c r="AG138" s="1282">
        <f t="shared" si="14"/>
        <v>6975</v>
      </c>
    </row>
    <row r="139" spans="1:33" s="1826" customFormat="1" ht="75.75" customHeight="1">
      <c r="A139" s="683">
        <v>1216</v>
      </c>
      <c r="B139" s="1770" t="s">
        <v>756</v>
      </c>
      <c r="C139" s="1076" t="s">
        <v>757</v>
      </c>
      <c r="D139" s="1761"/>
      <c r="E139" s="1762">
        <f t="shared" si="19"/>
        <v>27</v>
      </c>
      <c r="F139" s="1763">
        <v>43332</v>
      </c>
      <c r="G139" s="1763">
        <v>43358</v>
      </c>
      <c r="H139" s="1764"/>
      <c r="I139" s="1762" t="s">
        <v>170</v>
      </c>
      <c r="J139" s="667"/>
      <c r="K139" s="1769" t="s">
        <v>760</v>
      </c>
      <c r="L139" s="1233">
        <v>23174</v>
      </c>
      <c r="M139" s="1761"/>
      <c r="N139" s="1761"/>
      <c r="O139" s="1765">
        <v>37</v>
      </c>
      <c r="P139" s="1761">
        <v>31</v>
      </c>
      <c r="Q139" s="1765">
        <f t="shared" si="22"/>
        <v>1147</v>
      </c>
      <c r="R139" s="1766"/>
      <c r="S139" s="1766"/>
      <c r="T139" s="1766"/>
      <c r="U139" s="1766"/>
      <c r="V139" s="1766"/>
      <c r="W139" s="1766"/>
      <c r="X139" s="1767"/>
      <c r="Y139" s="1739">
        <v>1147</v>
      </c>
      <c r="Z139" s="1825"/>
      <c r="AA139" s="1825"/>
      <c r="AB139" s="1825"/>
      <c r="AC139" s="1825"/>
      <c r="AD139" s="1825"/>
      <c r="AE139" s="1825"/>
      <c r="AF139" s="1825"/>
      <c r="AG139" s="1282">
        <f t="shared" si="14"/>
        <v>1147</v>
      </c>
    </row>
    <row r="140" spans="1:33" s="1826" customFormat="1" ht="75.75" customHeight="1">
      <c r="A140" s="683">
        <v>1216</v>
      </c>
      <c r="B140" s="1770" t="s">
        <v>756</v>
      </c>
      <c r="C140" s="1076" t="s">
        <v>757</v>
      </c>
      <c r="D140" s="1761"/>
      <c r="E140" s="1762">
        <f t="shared" si="19"/>
        <v>27</v>
      </c>
      <c r="F140" s="1763">
        <v>43332</v>
      </c>
      <c r="G140" s="1763">
        <v>43358</v>
      </c>
      <c r="H140" s="1764"/>
      <c r="I140" s="1762" t="s">
        <v>170</v>
      </c>
      <c r="J140" s="667"/>
      <c r="K140" s="1769" t="s">
        <v>743</v>
      </c>
      <c r="L140" s="1233">
        <v>23174</v>
      </c>
      <c r="M140" s="1761"/>
      <c r="N140" s="1761"/>
      <c r="O140" s="1765">
        <v>214</v>
      </c>
      <c r="P140" s="1761">
        <v>2</v>
      </c>
      <c r="Q140" s="1765">
        <f t="shared" si="22"/>
        <v>428</v>
      </c>
      <c r="R140" s="1766"/>
      <c r="S140" s="1766"/>
      <c r="T140" s="1766"/>
      <c r="U140" s="1766"/>
      <c r="V140" s="1766"/>
      <c r="W140" s="1766"/>
      <c r="X140" s="1767"/>
      <c r="Y140" s="1739">
        <v>428</v>
      </c>
      <c r="Z140" s="1825"/>
      <c r="AA140" s="1825"/>
      <c r="AB140" s="1825"/>
      <c r="AC140" s="1825"/>
      <c r="AD140" s="1825"/>
      <c r="AE140" s="1825"/>
      <c r="AF140" s="1825"/>
      <c r="AG140" s="1282">
        <f t="shared" si="14"/>
        <v>428</v>
      </c>
    </row>
    <row r="141" spans="1:33" s="1826" customFormat="1" ht="75.75" customHeight="1">
      <c r="A141" s="683">
        <v>1216</v>
      </c>
      <c r="B141" s="1770" t="s">
        <v>756</v>
      </c>
      <c r="C141" s="1076" t="s">
        <v>757</v>
      </c>
      <c r="D141" s="1761"/>
      <c r="E141" s="1762">
        <f t="shared" si="19"/>
        <v>27</v>
      </c>
      <c r="F141" s="1763">
        <v>43332</v>
      </c>
      <c r="G141" s="1763">
        <v>43358</v>
      </c>
      <c r="H141" s="1764"/>
      <c r="I141" s="1762" t="s">
        <v>170</v>
      </c>
      <c r="J141" s="667"/>
      <c r="K141" s="1769" t="s">
        <v>744</v>
      </c>
      <c r="L141" s="1233">
        <v>23174</v>
      </c>
      <c r="M141" s="1761"/>
      <c r="N141" s="1761"/>
      <c r="O141" s="1765">
        <v>225</v>
      </c>
      <c r="P141" s="1761">
        <v>2</v>
      </c>
      <c r="Q141" s="1765">
        <f t="shared" si="22"/>
        <v>450</v>
      </c>
      <c r="R141" s="1766"/>
      <c r="S141" s="1766"/>
      <c r="T141" s="1766"/>
      <c r="U141" s="1766"/>
      <c r="V141" s="1766"/>
      <c r="W141" s="1766"/>
      <c r="X141" s="1767"/>
      <c r="Y141" s="1739">
        <v>450</v>
      </c>
      <c r="Z141" s="1825"/>
      <c r="AA141" s="1825"/>
      <c r="AB141" s="1825"/>
      <c r="AC141" s="1825"/>
      <c r="AD141" s="1825"/>
      <c r="AE141" s="1825"/>
      <c r="AF141" s="1825"/>
      <c r="AG141" s="1282">
        <f t="shared" si="14"/>
        <v>450</v>
      </c>
    </row>
    <row r="142" spans="1:33" s="1826" customFormat="1" ht="75.75" customHeight="1">
      <c r="A142" s="683">
        <v>1216</v>
      </c>
      <c r="B142" s="1770" t="s">
        <v>756</v>
      </c>
      <c r="C142" s="1076" t="s">
        <v>757</v>
      </c>
      <c r="D142" s="1761"/>
      <c r="E142" s="1762">
        <f t="shared" si="19"/>
        <v>27</v>
      </c>
      <c r="F142" s="1763">
        <v>43332</v>
      </c>
      <c r="G142" s="1763">
        <v>43358</v>
      </c>
      <c r="H142" s="1764"/>
      <c r="I142" s="1762" t="s">
        <v>170</v>
      </c>
      <c r="J142" s="667"/>
      <c r="K142" s="1769" t="s">
        <v>745</v>
      </c>
      <c r="L142" s="1233">
        <v>23174</v>
      </c>
      <c r="M142" s="1761"/>
      <c r="N142" s="1761"/>
      <c r="O142" s="1765">
        <v>255</v>
      </c>
      <c r="P142" s="1761">
        <v>2</v>
      </c>
      <c r="Q142" s="1765">
        <f t="shared" si="22"/>
        <v>510</v>
      </c>
      <c r="R142" s="1766"/>
      <c r="S142" s="1766"/>
      <c r="T142" s="1766"/>
      <c r="U142" s="1766"/>
      <c r="V142" s="1766"/>
      <c r="W142" s="1766"/>
      <c r="X142" s="1767"/>
      <c r="Y142" s="1739">
        <v>510</v>
      </c>
      <c r="Z142" s="1825"/>
      <c r="AA142" s="1825"/>
      <c r="AB142" s="1825"/>
      <c r="AC142" s="1825"/>
      <c r="AD142" s="1825"/>
      <c r="AE142" s="1825"/>
      <c r="AF142" s="1825"/>
      <c r="AG142" s="1282">
        <f t="shared" si="14"/>
        <v>510</v>
      </c>
    </row>
    <row r="143" spans="1:33" s="1826" customFormat="1" ht="75.75" customHeight="1">
      <c r="A143" s="683">
        <v>1216</v>
      </c>
      <c r="B143" s="1770" t="s">
        <v>756</v>
      </c>
      <c r="C143" s="1076" t="s">
        <v>757</v>
      </c>
      <c r="D143" s="1761"/>
      <c r="E143" s="1762">
        <f t="shared" si="19"/>
        <v>27</v>
      </c>
      <c r="F143" s="1763">
        <v>43332</v>
      </c>
      <c r="G143" s="1763">
        <v>43358</v>
      </c>
      <c r="H143" s="1764"/>
      <c r="I143" s="1762" t="s">
        <v>170</v>
      </c>
      <c r="J143" s="667"/>
      <c r="K143" s="1769" t="s">
        <v>727</v>
      </c>
      <c r="L143" s="1233">
        <v>23174</v>
      </c>
      <c r="M143" s="1761"/>
      <c r="N143" s="1761"/>
      <c r="O143" s="1765">
        <v>178</v>
      </c>
      <c r="P143" s="1761">
        <v>2</v>
      </c>
      <c r="Q143" s="1765">
        <f t="shared" si="22"/>
        <v>356</v>
      </c>
      <c r="R143" s="1766"/>
      <c r="S143" s="1766"/>
      <c r="T143" s="1766"/>
      <c r="U143" s="1766"/>
      <c r="V143" s="1766"/>
      <c r="W143" s="1766"/>
      <c r="X143" s="1767"/>
      <c r="Y143" s="1739">
        <v>356</v>
      </c>
      <c r="Z143" s="1825"/>
      <c r="AA143" s="1825"/>
      <c r="AB143" s="1825"/>
      <c r="AC143" s="1825"/>
      <c r="AD143" s="1825"/>
      <c r="AE143" s="1825"/>
      <c r="AF143" s="1825"/>
      <c r="AG143" s="1282">
        <f t="shared" si="14"/>
        <v>356</v>
      </c>
    </row>
    <row r="144" spans="1:33" s="1826" customFormat="1" ht="75.75" customHeight="1">
      <c r="A144" s="683">
        <v>1216</v>
      </c>
      <c r="B144" s="1770" t="s">
        <v>756</v>
      </c>
      <c r="C144" s="1076" t="s">
        <v>757</v>
      </c>
      <c r="D144" s="1761"/>
      <c r="E144" s="1762">
        <f t="shared" si="19"/>
        <v>27</v>
      </c>
      <c r="F144" s="1763">
        <v>43332</v>
      </c>
      <c r="G144" s="1763">
        <v>43358</v>
      </c>
      <c r="H144" s="1764"/>
      <c r="I144" s="1762" t="s">
        <v>170</v>
      </c>
      <c r="J144" s="667"/>
      <c r="K144" s="1769" t="s">
        <v>736</v>
      </c>
      <c r="L144" s="1233">
        <v>23174</v>
      </c>
      <c r="M144" s="1761"/>
      <c r="N144" s="1761"/>
      <c r="O144" s="1765">
        <v>112</v>
      </c>
      <c r="P144" s="1761">
        <v>2</v>
      </c>
      <c r="Q144" s="1765">
        <f t="shared" si="22"/>
        <v>224</v>
      </c>
      <c r="R144" s="1766"/>
      <c r="S144" s="1766"/>
      <c r="T144" s="1766"/>
      <c r="U144" s="1766"/>
      <c r="V144" s="1766"/>
      <c r="W144" s="1766"/>
      <c r="X144" s="1767"/>
      <c r="Y144" s="1739">
        <v>224</v>
      </c>
      <c r="Z144" s="1825"/>
      <c r="AA144" s="1825"/>
      <c r="AB144" s="1825"/>
      <c r="AC144" s="1825"/>
      <c r="AD144" s="1825"/>
      <c r="AE144" s="1825"/>
      <c r="AF144" s="1825"/>
      <c r="AG144" s="1282">
        <f t="shared" si="14"/>
        <v>224</v>
      </c>
    </row>
    <row r="145" spans="1:33" s="1826" customFormat="1" ht="75.75" customHeight="1">
      <c r="A145" s="683">
        <v>1216</v>
      </c>
      <c r="B145" s="1770" t="s">
        <v>756</v>
      </c>
      <c r="C145" s="1076" t="s">
        <v>757</v>
      </c>
      <c r="D145" s="1761"/>
      <c r="E145" s="1762">
        <f t="shared" si="19"/>
        <v>27</v>
      </c>
      <c r="F145" s="1763">
        <v>43332</v>
      </c>
      <c r="G145" s="1763">
        <v>43358</v>
      </c>
      <c r="H145" s="1764"/>
      <c r="I145" s="1762" t="s">
        <v>170</v>
      </c>
      <c r="J145" s="667"/>
      <c r="K145" s="1769" t="s">
        <v>302</v>
      </c>
      <c r="L145" s="1233">
        <v>23173</v>
      </c>
      <c r="M145" s="1761"/>
      <c r="N145" s="1761"/>
      <c r="O145" s="1765">
        <v>15</v>
      </c>
      <c r="P145" s="1761">
        <v>30</v>
      </c>
      <c r="Q145" s="1765">
        <f t="shared" si="22"/>
        <v>450</v>
      </c>
      <c r="R145" s="1766"/>
      <c r="S145" s="1766"/>
      <c r="T145" s="1766"/>
      <c r="U145" s="1766"/>
      <c r="V145" s="1766"/>
      <c r="W145" s="1766"/>
      <c r="X145" s="1767"/>
      <c r="Y145" s="1739">
        <v>450</v>
      </c>
      <c r="Z145" s="1825"/>
      <c r="AA145" s="1825"/>
      <c r="AB145" s="1825"/>
      <c r="AC145" s="1825"/>
      <c r="AD145" s="1825"/>
      <c r="AE145" s="1825"/>
      <c r="AF145" s="1825"/>
      <c r="AG145" s="1282">
        <f t="shared" si="14"/>
        <v>450</v>
      </c>
    </row>
    <row r="146" spans="1:33" s="1826" customFormat="1" ht="75.75" customHeight="1">
      <c r="A146" s="683">
        <v>1216</v>
      </c>
      <c r="B146" s="1770" t="s">
        <v>756</v>
      </c>
      <c r="C146" s="1076" t="s">
        <v>757</v>
      </c>
      <c r="D146" s="1761"/>
      <c r="E146" s="1762">
        <f t="shared" si="19"/>
        <v>27</v>
      </c>
      <c r="F146" s="1763">
        <v>43332</v>
      </c>
      <c r="G146" s="1763">
        <v>43358</v>
      </c>
      <c r="H146" s="1764"/>
      <c r="I146" s="1762" t="s">
        <v>170</v>
      </c>
      <c r="J146" s="667"/>
      <c r="K146" s="1769" t="s">
        <v>486</v>
      </c>
      <c r="L146" s="1231">
        <v>23173</v>
      </c>
      <c r="M146" s="1761"/>
      <c r="N146" s="1761"/>
      <c r="O146" s="1765">
        <v>156</v>
      </c>
      <c r="P146" s="1761">
        <v>15</v>
      </c>
      <c r="Q146" s="1765">
        <f t="shared" si="22"/>
        <v>2340</v>
      </c>
      <c r="R146" s="1766"/>
      <c r="S146" s="1766"/>
      <c r="T146" s="1766"/>
      <c r="U146" s="1766"/>
      <c r="V146" s="1766"/>
      <c r="W146" s="1766"/>
      <c r="X146" s="1767"/>
      <c r="Y146" s="1739">
        <v>2340</v>
      </c>
      <c r="Z146" s="1825"/>
      <c r="AA146" s="1825"/>
      <c r="AB146" s="1825"/>
      <c r="AC146" s="1825"/>
      <c r="AD146" s="1825"/>
      <c r="AE146" s="1825"/>
      <c r="AF146" s="1825"/>
      <c r="AG146" s="1282">
        <f t="shared" si="14"/>
        <v>2340</v>
      </c>
    </row>
    <row r="147" spans="1:33" s="1826" customFormat="1" ht="75.75" customHeight="1">
      <c r="A147" s="683">
        <v>1216</v>
      </c>
      <c r="B147" s="1770" t="s">
        <v>756</v>
      </c>
      <c r="C147" s="1076" t="s">
        <v>757</v>
      </c>
      <c r="D147" s="1761"/>
      <c r="E147" s="1762">
        <f t="shared" si="19"/>
        <v>27</v>
      </c>
      <c r="F147" s="1763">
        <v>43332</v>
      </c>
      <c r="G147" s="1763">
        <v>43358</v>
      </c>
      <c r="H147" s="1764"/>
      <c r="I147" s="1762" t="s">
        <v>170</v>
      </c>
      <c r="J147" s="667"/>
      <c r="K147" s="1769" t="s">
        <v>723</v>
      </c>
      <c r="L147" s="1233">
        <v>23174</v>
      </c>
      <c r="M147" s="1761"/>
      <c r="N147" s="1761"/>
      <c r="O147" s="1765">
        <v>281</v>
      </c>
      <c r="P147" s="1761">
        <v>2</v>
      </c>
      <c r="Q147" s="1765">
        <f t="shared" si="22"/>
        <v>562</v>
      </c>
      <c r="R147" s="1766"/>
      <c r="S147" s="1766"/>
      <c r="T147" s="1766"/>
      <c r="U147" s="1766"/>
      <c r="V147" s="1766"/>
      <c r="W147" s="1766"/>
      <c r="X147" s="1767"/>
      <c r="Y147" s="1739">
        <v>562</v>
      </c>
      <c r="Z147" s="1825"/>
      <c r="AA147" s="1825"/>
      <c r="AB147" s="1825"/>
      <c r="AC147" s="1825"/>
      <c r="AD147" s="1825"/>
      <c r="AE147" s="1825"/>
      <c r="AF147" s="1825"/>
      <c r="AG147" s="1282">
        <f t="shared" si="14"/>
        <v>562</v>
      </c>
    </row>
    <row r="148" spans="1:33" s="1826" customFormat="1" ht="75.75" customHeight="1">
      <c r="A148" s="683">
        <v>1216</v>
      </c>
      <c r="B148" s="1770" t="s">
        <v>756</v>
      </c>
      <c r="C148" s="1076" t="s">
        <v>757</v>
      </c>
      <c r="D148" s="1761"/>
      <c r="E148" s="1762">
        <f t="shared" si="19"/>
        <v>27</v>
      </c>
      <c r="F148" s="1763">
        <v>43332</v>
      </c>
      <c r="G148" s="1763">
        <v>43358</v>
      </c>
      <c r="H148" s="1764"/>
      <c r="I148" s="1762" t="s">
        <v>170</v>
      </c>
      <c r="J148" s="667"/>
      <c r="K148" s="1769" t="s">
        <v>761</v>
      </c>
      <c r="L148" s="1233">
        <v>23173</v>
      </c>
      <c r="M148" s="1761"/>
      <c r="N148" s="1761"/>
      <c r="O148" s="1765">
        <v>10</v>
      </c>
      <c r="P148" s="1761">
        <v>50</v>
      </c>
      <c r="Q148" s="1765">
        <f t="shared" si="22"/>
        <v>500</v>
      </c>
      <c r="R148" s="1766"/>
      <c r="S148" s="1766"/>
      <c r="T148" s="1766"/>
      <c r="U148" s="1766"/>
      <c r="V148" s="1766"/>
      <c r="W148" s="1766"/>
      <c r="X148" s="1767"/>
      <c r="Y148" s="1739">
        <v>500</v>
      </c>
      <c r="Z148" s="1825"/>
      <c r="AA148" s="1825"/>
      <c r="AB148" s="1825"/>
      <c r="AC148" s="1825"/>
      <c r="AD148" s="1825"/>
      <c r="AE148" s="1825"/>
      <c r="AF148" s="1825"/>
      <c r="AG148" s="1282">
        <f t="shared" si="14"/>
        <v>500</v>
      </c>
    </row>
    <row r="149" spans="1:33" s="1826" customFormat="1" ht="75.75" customHeight="1">
      <c r="A149" s="683">
        <v>1216</v>
      </c>
      <c r="B149" s="1770" t="s">
        <v>756</v>
      </c>
      <c r="C149" s="1076" t="s">
        <v>757</v>
      </c>
      <c r="D149" s="1761"/>
      <c r="E149" s="1762">
        <f t="shared" si="19"/>
        <v>27</v>
      </c>
      <c r="F149" s="1763">
        <v>43332</v>
      </c>
      <c r="G149" s="1763">
        <v>43358</v>
      </c>
      <c r="H149" s="1764"/>
      <c r="I149" s="1762" t="s">
        <v>170</v>
      </c>
      <c r="J149" s="667"/>
      <c r="K149" s="1769" t="s">
        <v>762</v>
      </c>
      <c r="L149" s="1233">
        <v>23173</v>
      </c>
      <c r="M149" s="1761"/>
      <c r="N149" s="1761"/>
      <c r="O149" s="1765">
        <v>15</v>
      </c>
      <c r="P149" s="1761">
        <v>50</v>
      </c>
      <c r="Q149" s="1765">
        <f t="shared" si="22"/>
        <v>750</v>
      </c>
      <c r="R149" s="1766"/>
      <c r="S149" s="1766"/>
      <c r="T149" s="1766"/>
      <c r="U149" s="1766"/>
      <c r="V149" s="1766"/>
      <c r="W149" s="1766"/>
      <c r="X149" s="1767"/>
      <c r="Y149" s="1739">
        <v>750</v>
      </c>
      <c r="Z149" s="1825"/>
      <c r="AA149" s="1825"/>
      <c r="AB149" s="1825"/>
      <c r="AC149" s="1825"/>
      <c r="AD149" s="1825"/>
      <c r="AE149" s="1825"/>
      <c r="AF149" s="1825"/>
      <c r="AG149" s="1282">
        <f t="shared" si="14"/>
        <v>750</v>
      </c>
    </row>
    <row r="150" spans="1:33" s="1826" customFormat="1" ht="75.75" customHeight="1">
      <c r="A150" s="683">
        <v>1216</v>
      </c>
      <c r="B150" s="1770" t="s">
        <v>756</v>
      </c>
      <c r="C150" s="1076" t="s">
        <v>757</v>
      </c>
      <c r="D150" s="1761"/>
      <c r="E150" s="1762">
        <f t="shared" si="19"/>
        <v>27</v>
      </c>
      <c r="F150" s="1763">
        <v>43332</v>
      </c>
      <c r="G150" s="1763">
        <v>43358</v>
      </c>
      <c r="H150" s="1764"/>
      <c r="I150" s="1762" t="s">
        <v>170</v>
      </c>
      <c r="J150" s="667"/>
      <c r="K150" s="1769" t="s">
        <v>763</v>
      </c>
      <c r="L150" s="1233">
        <v>23173</v>
      </c>
      <c r="M150" s="1761"/>
      <c r="N150" s="1761"/>
      <c r="O150" s="1765">
        <v>10</v>
      </c>
      <c r="P150" s="1761">
        <f>22+114+28+23+10+10</f>
        <v>207</v>
      </c>
      <c r="Q150" s="1765">
        <f t="shared" si="22"/>
        <v>2070</v>
      </c>
      <c r="R150" s="1766"/>
      <c r="S150" s="1766"/>
      <c r="T150" s="1766"/>
      <c r="U150" s="1766"/>
      <c r="V150" s="1766"/>
      <c r="W150" s="1766"/>
      <c r="X150" s="1767"/>
      <c r="Y150" s="1739">
        <v>2070</v>
      </c>
      <c r="Z150" s="1825"/>
      <c r="AA150" s="1825"/>
      <c r="AB150" s="1825"/>
      <c r="AC150" s="1825"/>
      <c r="AD150" s="1825"/>
      <c r="AE150" s="1825"/>
      <c r="AF150" s="1825"/>
      <c r="AG150" s="1282">
        <f t="shared" si="14"/>
        <v>2070</v>
      </c>
    </row>
    <row r="151" spans="1:33" s="1826" customFormat="1" ht="75.75" customHeight="1">
      <c r="A151" s="683">
        <v>1216</v>
      </c>
      <c r="B151" s="1770" t="s">
        <v>756</v>
      </c>
      <c r="C151" s="1076" t="s">
        <v>757</v>
      </c>
      <c r="D151" s="1761"/>
      <c r="E151" s="1762">
        <f t="shared" si="19"/>
        <v>27</v>
      </c>
      <c r="F151" s="1763">
        <v>43332</v>
      </c>
      <c r="G151" s="1763">
        <v>43358</v>
      </c>
      <c r="H151" s="1764"/>
      <c r="I151" s="1762" t="s">
        <v>170</v>
      </c>
      <c r="J151" s="667"/>
      <c r="K151" s="1769" t="s">
        <v>764</v>
      </c>
      <c r="L151" s="1233">
        <v>23173</v>
      </c>
      <c r="M151" s="1761"/>
      <c r="N151" s="1761"/>
      <c r="O151" s="1765">
        <v>5</v>
      </c>
      <c r="P151" s="1761">
        <v>207</v>
      </c>
      <c r="Q151" s="1765">
        <f t="shared" si="22"/>
        <v>1035</v>
      </c>
      <c r="R151" s="1766"/>
      <c r="S151" s="1766"/>
      <c r="T151" s="1766"/>
      <c r="U151" s="1766"/>
      <c r="V151" s="1766"/>
      <c r="W151" s="1766"/>
      <c r="X151" s="1767"/>
      <c r="Y151" s="1739">
        <v>1035</v>
      </c>
      <c r="Z151" s="1825"/>
      <c r="AA151" s="1825"/>
      <c r="AB151" s="1825"/>
      <c r="AC151" s="1825"/>
      <c r="AD151" s="1825"/>
      <c r="AE151" s="1825"/>
      <c r="AF151" s="1825"/>
      <c r="AG151" s="1282">
        <f t="shared" si="14"/>
        <v>1035</v>
      </c>
    </row>
    <row r="152" spans="1:33" s="1826" customFormat="1" ht="75.75" customHeight="1">
      <c r="A152" s="683">
        <v>1217</v>
      </c>
      <c r="B152" s="1770" t="s">
        <v>499</v>
      </c>
      <c r="C152" s="1076" t="s">
        <v>767</v>
      </c>
      <c r="D152" s="1761"/>
      <c r="E152" s="1762">
        <f t="shared" si="19"/>
        <v>189</v>
      </c>
      <c r="F152" s="1763">
        <v>43185</v>
      </c>
      <c r="G152" s="1763">
        <v>43373</v>
      </c>
      <c r="H152" s="1764"/>
      <c r="I152" s="1762" t="s">
        <v>768</v>
      </c>
      <c r="J152" s="667"/>
      <c r="K152" s="1769"/>
      <c r="L152" s="1233">
        <v>2313</v>
      </c>
      <c r="M152" s="1761"/>
      <c r="N152" s="1761"/>
      <c r="O152" s="1765">
        <v>50000</v>
      </c>
      <c r="P152" s="1761"/>
      <c r="Q152" s="1765">
        <v>50000</v>
      </c>
      <c r="R152" s="1766"/>
      <c r="S152" s="1766"/>
      <c r="T152" s="1765">
        <v>50000</v>
      </c>
      <c r="U152" s="1766"/>
      <c r="V152" s="1766"/>
      <c r="W152" s="1766"/>
      <c r="X152" s="1767"/>
      <c r="Y152" s="1768"/>
      <c r="Z152" s="1825"/>
      <c r="AA152" s="1825"/>
      <c r="AB152" s="1825"/>
      <c r="AC152" s="1825"/>
      <c r="AD152" s="1825"/>
      <c r="AE152" s="1825"/>
      <c r="AF152" s="1825"/>
      <c r="AG152" s="1282">
        <f t="shared" si="14"/>
        <v>50000</v>
      </c>
    </row>
    <row r="153" spans="1:33" s="1826" customFormat="1" ht="57.75" customHeight="1">
      <c r="A153" s="683">
        <v>1218</v>
      </c>
      <c r="B153" s="1770" t="s">
        <v>769</v>
      </c>
      <c r="C153" s="1076" t="s">
        <v>770</v>
      </c>
      <c r="D153" s="1761"/>
      <c r="E153" s="1762">
        <f t="shared" si="19"/>
        <v>189</v>
      </c>
      <c r="F153" s="1763">
        <v>43185</v>
      </c>
      <c r="G153" s="1763">
        <v>43373</v>
      </c>
      <c r="H153" s="1764"/>
      <c r="I153" s="1762" t="s">
        <v>768</v>
      </c>
      <c r="J153" s="667"/>
      <c r="K153" s="1769"/>
      <c r="L153" s="1233">
        <v>2313</v>
      </c>
      <c r="M153" s="1761"/>
      <c r="N153" s="1761"/>
      <c r="O153" s="1765">
        <v>15000</v>
      </c>
      <c r="P153" s="1761"/>
      <c r="Q153" s="1765">
        <v>15000</v>
      </c>
      <c r="R153" s="1766"/>
      <c r="S153" s="1766"/>
      <c r="T153" s="1765">
        <v>15000</v>
      </c>
      <c r="U153" s="1766"/>
      <c r="V153" s="1766"/>
      <c r="W153" s="1766"/>
      <c r="X153" s="1767"/>
      <c r="Y153" s="1768"/>
      <c r="Z153" s="1825"/>
      <c r="AA153" s="1825"/>
      <c r="AB153" s="1825"/>
      <c r="AC153" s="1825"/>
      <c r="AD153" s="1825"/>
      <c r="AE153" s="1825"/>
      <c r="AF153" s="1825"/>
      <c r="AG153" s="1282">
        <f t="shared" si="14"/>
        <v>15000</v>
      </c>
    </row>
    <row r="154" spans="1:33" ht="16.5" customHeight="1">
      <c r="A154" s="1324">
        <v>122</v>
      </c>
      <c r="B154" s="1463" t="s">
        <v>771</v>
      </c>
      <c r="C154" s="1498"/>
      <c r="D154" s="1325"/>
      <c r="E154" s="1325"/>
      <c r="F154" s="1325"/>
      <c r="G154" s="1325"/>
      <c r="H154" s="1325"/>
      <c r="I154" s="1325"/>
      <c r="J154" s="636"/>
      <c r="K154" s="1296"/>
      <c r="L154" s="1298"/>
      <c r="M154" s="1326"/>
      <c r="N154" s="1297"/>
      <c r="O154" s="1327"/>
      <c r="P154" s="1328"/>
      <c r="Q154" s="1329">
        <f>SUM(Q155:Q221)</f>
        <v>150847.67633333337</v>
      </c>
      <c r="R154" s="790"/>
      <c r="S154" s="1329">
        <f t="shared" ref="S154:AF154" si="23">SUM(S155:S221)</f>
        <v>0</v>
      </c>
      <c r="T154" s="1329">
        <f t="shared" si="23"/>
        <v>13416.399666666666</v>
      </c>
      <c r="U154" s="1329">
        <f t="shared" si="23"/>
        <v>32731.999333333333</v>
      </c>
      <c r="V154" s="1329">
        <f t="shared" si="23"/>
        <v>80559.724999999991</v>
      </c>
      <c r="W154" s="1329">
        <f t="shared" si="23"/>
        <v>24139.552333333329</v>
      </c>
      <c r="X154" s="1329">
        <f t="shared" si="23"/>
        <v>0</v>
      </c>
      <c r="Y154" s="1329">
        <f t="shared" si="23"/>
        <v>0</v>
      </c>
      <c r="Z154" s="1329">
        <f t="shared" si="23"/>
        <v>0</v>
      </c>
      <c r="AA154" s="1329">
        <f t="shared" si="23"/>
        <v>0</v>
      </c>
      <c r="AB154" s="1329">
        <f t="shared" si="23"/>
        <v>0</v>
      </c>
      <c r="AC154" s="1329">
        <f t="shared" si="23"/>
        <v>0</v>
      </c>
      <c r="AD154" s="1329">
        <f t="shared" si="23"/>
        <v>0</v>
      </c>
      <c r="AE154" s="1329">
        <f t="shared" si="23"/>
        <v>0</v>
      </c>
      <c r="AF154" s="1329">
        <f t="shared" si="23"/>
        <v>0</v>
      </c>
      <c r="AG154" s="1329">
        <f>SUM(S154:AF154)</f>
        <v>150847.67633333331</v>
      </c>
    </row>
    <row r="155" spans="1:33" ht="57.75" customHeight="1">
      <c r="A155" s="796">
        <v>1221</v>
      </c>
      <c r="B155" s="858" t="s">
        <v>772</v>
      </c>
      <c r="C155" s="1074" t="s">
        <v>773</v>
      </c>
      <c r="D155" s="805"/>
      <c r="E155" s="796">
        <v>10</v>
      </c>
      <c r="F155" s="1775">
        <v>43206</v>
      </c>
      <c r="G155" s="1775">
        <f>F155+E155</f>
        <v>43216</v>
      </c>
      <c r="H155" s="805" t="s">
        <v>774</v>
      </c>
      <c r="I155" s="796" t="s">
        <v>170</v>
      </c>
      <c r="J155" s="792"/>
      <c r="K155" s="805" t="s">
        <v>775</v>
      </c>
      <c r="L155" s="1776">
        <v>23174</v>
      </c>
      <c r="M155" s="805"/>
      <c r="N155" s="805"/>
      <c r="O155" s="954">
        <v>4536</v>
      </c>
      <c r="P155" s="805">
        <v>1</v>
      </c>
      <c r="Q155" s="1727">
        <f t="shared" ref="Q155:Q163" si="24">O155*P155</f>
        <v>4536</v>
      </c>
      <c r="R155" s="1777"/>
      <c r="S155" s="1778"/>
      <c r="T155" s="1727">
        <v>4536</v>
      </c>
      <c r="U155" s="1779"/>
      <c r="V155" s="805"/>
      <c r="W155" s="1777"/>
      <c r="X155" s="1780"/>
      <c r="Y155" s="1124"/>
      <c r="Z155" s="1124"/>
      <c r="AA155" s="1124"/>
      <c r="AB155" s="1124"/>
      <c r="AC155" s="1124"/>
      <c r="AD155" s="1124"/>
      <c r="AE155" s="1124"/>
      <c r="AF155" s="1124"/>
      <c r="AG155" s="1282">
        <f t="shared" ref="AG155:AG218" si="25">SUM(S155:AF155)</f>
        <v>4536</v>
      </c>
    </row>
    <row r="156" spans="1:33" ht="57.75" customHeight="1">
      <c r="A156" s="796">
        <v>1221</v>
      </c>
      <c r="B156" s="858" t="s">
        <v>772</v>
      </c>
      <c r="C156" s="1074" t="s">
        <v>773</v>
      </c>
      <c r="D156" s="805"/>
      <c r="E156" s="796">
        <v>10</v>
      </c>
      <c r="F156" s="1775">
        <v>43206</v>
      </c>
      <c r="G156" s="1775">
        <f t="shared" ref="G156:G161" si="26">F156+E156</f>
        <v>43216</v>
      </c>
      <c r="H156" s="805" t="s">
        <v>774</v>
      </c>
      <c r="I156" s="796" t="s">
        <v>170</v>
      </c>
      <c r="J156" s="792"/>
      <c r="K156" s="805" t="s">
        <v>776</v>
      </c>
      <c r="L156" s="1776">
        <v>23174</v>
      </c>
      <c r="M156" s="805"/>
      <c r="N156" s="805"/>
      <c r="O156" s="954">
        <v>1320</v>
      </c>
      <c r="P156" s="805">
        <v>1</v>
      </c>
      <c r="Q156" s="1727">
        <f t="shared" si="24"/>
        <v>1320</v>
      </c>
      <c r="R156" s="1777"/>
      <c r="S156" s="1778"/>
      <c r="T156" s="1727">
        <v>1320</v>
      </c>
      <c r="U156" s="1779"/>
      <c r="V156" s="805"/>
      <c r="W156" s="1777"/>
      <c r="X156" s="1781"/>
      <c r="Y156" s="1124"/>
      <c r="Z156" s="1124"/>
      <c r="AA156" s="1124"/>
      <c r="AB156" s="1124"/>
      <c r="AC156" s="1124"/>
      <c r="AD156" s="1124"/>
      <c r="AE156" s="1124"/>
      <c r="AF156" s="1124"/>
      <c r="AG156" s="1282">
        <f t="shared" si="25"/>
        <v>1320</v>
      </c>
    </row>
    <row r="157" spans="1:33" ht="57.75" customHeight="1">
      <c r="A157" s="796">
        <v>1221</v>
      </c>
      <c r="B157" s="858" t="s">
        <v>772</v>
      </c>
      <c r="C157" s="1074" t="s">
        <v>773</v>
      </c>
      <c r="D157" s="805"/>
      <c r="E157" s="796">
        <v>10</v>
      </c>
      <c r="F157" s="1775">
        <v>43206</v>
      </c>
      <c r="G157" s="1775">
        <f t="shared" si="26"/>
        <v>43216</v>
      </c>
      <c r="H157" s="805" t="s">
        <v>774</v>
      </c>
      <c r="I157" s="796" t="s">
        <v>170</v>
      </c>
      <c r="J157" s="792"/>
      <c r="K157" s="805" t="s">
        <v>777</v>
      </c>
      <c r="L157" s="1776">
        <v>23174</v>
      </c>
      <c r="M157" s="805"/>
      <c r="N157" s="805"/>
      <c r="O157" s="954">
        <v>260</v>
      </c>
      <c r="P157" s="805">
        <v>1</v>
      </c>
      <c r="Q157" s="1727">
        <f t="shared" si="24"/>
        <v>260</v>
      </c>
      <c r="R157" s="1777"/>
      <c r="S157" s="1778"/>
      <c r="T157" s="1727">
        <v>260</v>
      </c>
      <c r="U157" s="1779"/>
      <c r="V157" s="805"/>
      <c r="W157" s="1777"/>
      <c r="X157" s="1781"/>
      <c r="Y157" s="1124"/>
      <c r="Z157" s="1124"/>
      <c r="AA157" s="1124"/>
      <c r="AB157" s="1124"/>
      <c r="AC157" s="1124"/>
      <c r="AD157" s="1124"/>
      <c r="AE157" s="1124"/>
      <c r="AF157" s="1124"/>
      <c r="AG157" s="1282">
        <f t="shared" si="25"/>
        <v>260</v>
      </c>
    </row>
    <row r="158" spans="1:33" ht="57.75" customHeight="1">
      <c r="A158" s="796">
        <v>1221</v>
      </c>
      <c r="B158" s="858" t="s">
        <v>772</v>
      </c>
      <c r="C158" s="1074" t="s">
        <v>773</v>
      </c>
      <c r="D158" s="805"/>
      <c r="E158" s="796">
        <v>10</v>
      </c>
      <c r="F158" s="1775">
        <v>43206</v>
      </c>
      <c r="G158" s="1775">
        <f t="shared" si="26"/>
        <v>43216</v>
      </c>
      <c r="H158" s="805" t="s">
        <v>774</v>
      </c>
      <c r="I158" s="796" t="s">
        <v>170</v>
      </c>
      <c r="J158" s="792"/>
      <c r="K158" s="805" t="s">
        <v>778</v>
      </c>
      <c r="L158" s="1776">
        <v>23174</v>
      </c>
      <c r="M158" s="805"/>
      <c r="N158" s="805"/>
      <c r="O158" s="954">
        <v>4573.333333333333</v>
      </c>
      <c r="P158" s="805">
        <v>1</v>
      </c>
      <c r="Q158" s="1727">
        <f t="shared" si="24"/>
        <v>4573.333333333333</v>
      </c>
      <c r="R158" s="1777"/>
      <c r="S158" s="1778"/>
      <c r="T158" s="954">
        <v>4573.333333333333</v>
      </c>
      <c r="U158" s="1779"/>
      <c r="V158" s="805"/>
      <c r="W158" s="1777"/>
      <c r="X158" s="1781"/>
      <c r="Y158" s="1124"/>
      <c r="Z158" s="1124"/>
      <c r="AA158" s="1124"/>
      <c r="AB158" s="1124"/>
      <c r="AC158" s="1124"/>
      <c r="AD158" s="1124"/>
      <c r="AE158" s="1124"/>
      <c r="AF158" s="1124"/>
      <c r="AG158" s="1282">
        <f t="shared" si="25"/>
        <v>4573.333333333333</v>
      </c>
    </row>
    <row r="159" spans="1:33" ht="57.75" customHeight="1">
      <c r="A159" s="796">
        <v>1221</v>
      </c>
      <c r="B159" s="858" t="s">
        <v>772</v>
      </c>
      <c r="C159" s="1074" t="s">
        <v>773</v>
      </c>
      <c r="D159" s="805"/>
      <c r="E159" s="796">
        <v>10</v>
      </c>
      <c r="F159" s="1775">
        <v>43206</v>
      </c>
      <c r="G159" s="1775">
        <f t="shared" si="26"/>
        <v>43216</v>
      </c>
      <c r="H159" s="805" t="s">
        <v>774</v>
      </c>
      <c r="I159" s="796" t="s">
        <v>170</v>
      </c>
      <c r="J159" s="792"/>
      <c r="K159" s="805" t="s">
        <v>779</v>
      </c>
      <c r="L159" s="1776">
        <v>23174</v>
      </c>
      <c r="M159" s="805"/>
      <c r="N159" s="805"/>
      <c r="O159" s="954">
        <v>153.33333333333334</v>
      </c>
      <c r="P159" s="805">
        <v>1</v>
      </c>
      <c r="Q159" s="1727">
        <f t="shared" si="24"/>
        <v>153.33333333333334</v>
      </c>
      <c r="R159" s="1777"/>
      <c r="S159" s="1778"/>
      <c r="T159" s="1727">
        <v>153.33333333333334</v>
      </c>
      <c r="U159" s="1779"/>
      <c r="V159" s="805"/>
      <c r="W159" s="1777"/>
      <c r="X159" s="1781"/>
      <c r="Y159" s="1124"/>
      <c r="Z159" s="1124"/>
      <c r="AA159" s="1124"/>
      <c r="AB159" s="1124"/>
      <c r="AC159" s="1124"/>
      <c r="AD159" s="1124"/>
      <c r="AE159" s="1124"/>
      <c r="AF159" s="1124"/>
      <c r="AG159" s="1282">
        <f t="shared" si="25"/>
        <v>153.33333333333334</v>
      </c>
    </row>
    <row r="160" spans="1:33" ht="57.75" customHeight="1">
      <c r="A160" s="796">
        <v>1221</v>
      </c>
      <c r="B160" s="858" t="s">
        <v>772</v>
      </c>
      <c r="C160" s="1074" t="s">
        <v>773</v>
      </c>
      <c r="D160" s="805"/>
      <c r="E160" s="796">
        <v>10</v>
      </c>
      <c r="F160" s="1775">
        <v>43206</v>
      </c>
      <c r="G160" s="1775">
        <f t="shared" si="26"/>
        <v>43216</v>
      </c>
      <c r="H160" s="805" t="s">
        <v>774</v>
      </c>
      <c r="I160" s="796" t="s">
        <v>170</v>
      </c>
      <c r="J160" s="792"/>
      <c r="K160" s="805" t="s">
        <v>780</v>
      </c>
      <c r="L160" s="1776">
        <v>23174</v>
      </c>
      <c r="M160" s="805"/>
      <c r="N160" s="805"/>
      <c r="O160" s="954">
        <v>238</v>
      </c>
      <c r="P160" s="805">
        <v>1</v>
      </c>
      <c r="Q160" s="1727">
        <f t="shared" si="24"/>
        <v>238</v>
      </c>
      <c r="R160" s="1777"/>
      <c r="S160" s="1778"/>
      <c r="T160" s="1727">
        <v>238</v>
      </c>
      <c r="U160" s="1779"/>
      <c r="V160" s="805"/>
      <c r="W160" s="1777"/>
      <c r="X160" s="1781"/>
      <c r="Y160" s="1124"/>
      <c r="Z160" s="1124"/>
      <c r="AA160" s="1124"/>
      <c r="AB160" s="1124"/>
      <c r="AC160" s="1124"/>
      <c r="AD160" s="1124"/>
      <c r="AE160" s="1124"/>
      <c r="AF160" s="1124"/>
      <c r="AG160" s="1282">
        <f t="shared" si="25"/>
        <v>238</v>
      </c>
    </row>
    <row r="161" spans="1:33" ht="57.75" customHeight="1">
      <c r="A161" s="796">
        <v>1221</v>
      </c>
      <c r="B161" s="858" t="s">
        <v>772</v>
      </c>
      <c r="C161" s="1074" t="s">
        <v>773</v>
      </c>
      <c r="D161" s="805"/>
      <c r="E161" s="796">
        <v>10</v>
      </c>
      <c r="F161" s="1775">
        <v>43206</v>
      </c>
      <c r="G161" s="1775">
        <f t="shared" si="26"/>
        <v>43216</v>
      </c>
      <c r="H161" s="805" t="s">
        <v>774</v>
      </c>
      <c r="I161" s="796" t="s">
        <v>170</v>
      </c>
      <c r="J161" s="792"/>
      <c r="K161" s="805" t="s">
        <v>781</v>
      </c>
      <c r="L161" s="1776">
        <v>23174</v>
      </c>
      <c r="M161" s="805"/>
      <c r="N161" s="805"/>
      <c r="O161" s="954">
        <v>594.73333333333335</v>
      </c>
      <c r="P161" s="805">
        <v>1</v>
      </c>
      <c r="Q161" s="1727">
        <f t="shared" si="24"/>
        <v>594.73333333333335</v>
      </c>
      <c r="R161" s="1777"/>
      <c r="S161" s="1778"/>
      <c r="T161" s="1727">
        <v>594.73333333333335</v>
      </c>
      <c r="U161" s="1779"/>
      <c r="V161" s="805"/>
      <c r="W161" s="1777"/>
      <c r="X161" s="1781"/>
      <c r="Y161" s="1124"/>
      <c r="Z161" s="1124"/>
      <c r="AA161" s="1124"/>
      <c r="AB161" s="1124"/>
      <c r="AC161" s="1124"/>
      <c r="AD161" s="1124"/>
      <c r="AE161" s="1124"/>
      <c r="AF161" s="1124"/>
      <c r="AG161" s="1282">
        <f t="shared" si="25"/>
        <v>594.73333333333335</v>
      </c>
    </row>
    <row r="162" spans="1:33" ht="57.75" customHeight="1">
      <c r="A162" s="796">
        <v>1221</v>
      </c>
      <c r="B162" s="858" t="s">
        <v>772</v>
      </c>
      <c r="C162" s="1074" t="s">
        <v>773</v>
      </c>
      <c r="D162" s="805"/>
      <c r="E162" s="796"/>
      <c r="F162" s="1775"/>
      <c r="G162" s="1775"/>
      <c r="H162" s="805" t="s">
        <v>774</v>
      </c>
      <c r="I162" s="796" t="s">
        <v>170</v>
      </c>
      <c r="J162" s="792"/>
      <c r="K162" s="1292" t="s">
        <v>782</v>
      </c>
      <c r="L162" s="1776">
        <v>23173</v>
      </c>
      <c r="M162" s="805"/>
      <c r="N162" s="805"/>
      <c r="O162" s="954">
        <v>74.332999999999998</v>
      </c>
      <c r="P162" s="805">
        <v>1</v>
      </c>
      <c r="Q162" s="1727">
        <f t="shared" si="24"/>
        <v>74.332999999999998</v>
      </c>
      <c r="R162" s="1777"/>
      <c r="S162" s="1778"/>
      <c r="T162" s="1727">
        <v>74.332999999999998</v>
      </c>
      <c r="U162" s="1779"/>
      <c r="V162" s="805"/>
      <c r="W162" s="1777"/>
      <c r="X162" s="1781"/>
      <c r="Y162" s="1124"/>
      <c r="Z162" s="1124"/>
      <c r="AA162" s="1124"/>
      <c r="AB162" s="1124"/>
      <c r="AC162" s="1124"/>
      <c r="AD162" s="1124"/>
      <c r="AE162" s="1124"/>
      <c r="AF162" s="1124"/>
      <c r="AG162" s="1282">
        <f t="shared" si="25"/>
        <v>74.332999999999998</v>
      </c>
    </row>
    <row r="163" spans="1:33" ht="57.75" customHeight="1">
      <c r="A163" s="796">
        <v>1221</v>
      </c>
      <c r="B163" s="858" t="s">
        <v>772</v>
      </c>
      <c r="C163" s="1074" t="s">
        <v>773</v>
      </c>
      <c r="D163" s="805"/>
      <c r="E163" s="796"/>
      <c r="F163" s="1782"/>
      <c r="G163" s="1782"/>
      <c r="H163" s="805" t="s">
        <v>774</v>
      </c>
      <c r="I163" s="796" t="s">
        <v>170</v>
      </c>
      <c r="J163" s="792"/>
      <c r="K163" s="805" t="s">
        <v>415</v>
      </c>
      <c r="L163" s="1776">
        <v>23173</v>
      </c>
      <c r="M163" s="805"/>
      <c r="N163" s="805"/>
      <c r="O163" s="954">
        <v>1666.6666666666667</v>
      </c>
      <c r="P163" s="805">
        <v>1</v>
      </c>
      <c r="Q163" s="1727">
        <f t="shared" si="24"/>
        <v>1666.6666666666667</v>
      </c>
      <c r="R163" s="1777"/>
      <c r="S163" s="1778"/>
      <c r="T163" s="1727">
        <v>1666.6666666666667</v>
      </c>
      <c r="U163" s="1779"/>
      <c r="V163" s="805"/>
      <c r="W163" s="1777"/>
      <c r="X163" s="1781"/>
      <c r="Y163" s="1124"/>
      <c r="Z163" s="1124"/>
      <c r="AA163" s="1124"/>
      <c r="AB163" s="1124"/>
      <c r="AC163" s="1124"/>
      <c r="AD163" s="1124"/>
      <c r="AE163" s="1124"/>
      <c r="AF163" s="1124"/>
      <c r="AG163" s="1282">
        <f t="shared" si="25"/>
        <v>1666.6666666666667</v>
      </c>
    </row>
    <row r="164" spans="1:33" ht="57.75" customHeight="1">
      <c r="A164" s="796">
        <v>1222</v>
      </c>
      <c r="B164" s="793" t="s">
        <v>783</v>
      </c>
      <c r="C164" s="857" t="s">
        <v>784</v>
      </c>
      <c r="D164" s="805"/>
      <c r="E164" s="796">
        <v>10</v>
      </c>
      <c r="F164" s="1775">
        <v>43227</v>
      </c>
      <c r="G164" s="1775">
        <f>F164+E164</f>
        <v>43237</v>
      </c>
      <c r="H164" s="805" t="s">
        <v>785</v>
      </c>
      <c r="I164" s="796" t="s">
        <v>170</v>
      </c>
      <c r="J164" s="792"/>
      <c r="K164" s="805" t="s">
        <v>775</v>
      </c>
      <c r="L164" s="1776">
        <v>23174</v>
      </c>
      <c r="M164" s="805"/>
      <c r="N164" s="805"/>
      <c r="O164" s="954">
        <v>4956</v>
      </c>
      <c r="P164" s="805">
        <v>1</v>
      </c>
      <c r="Q164" s="1727">
        <f t="shared" ref="Q164:Q172" si="27">O164*P164</f>
        <v>4956</v>
      </c>
      <c r="R164" s="1777"/>
      <c r="S164" s="1778"/>
      <c r="T164" s="1778"/>
      <c r="U164" s="954">
        <v>4956</v>
      </c>
      <c r="V164" s="805"/>
      <c r="W164" s="805"/>
      <c r="X164" s="1781"/>
      <c r="Y164" s="1124"/>
      <c r="Z164" s="1124"/>
      <c r="AA164" s="1124"/>
      <c r="AB164" s="1124"/>
      <c r="AC164" s="1124"/>
      <c r="AD164" s="1124"/>
      <c r="AE164" s="1124"/>
      <c r="AF164" s="1124"/>
      <c r="AG164" s="1282">
        <f t="shared" si="25"/>
        <v>4956</v>
      </c>
    </row>
    <row r="165" spans="1:33" ht="57.75" customHeight="1">
      <c r="A165" s="796">
        <v>1222</v>
      </c>
      <c r="B165" s="793" t="s">
        <v>783</v>
      </c>
      <c r="C165" s="857" t="s">
        <v>784</v>
      </c>
      <c r="D165" s="805"/>
      <c r="E165" s="796">
        <v>10</v>
      </c>
      <c r="F165" s="1775">
        <v>43227</v>
      </c>
      <c r="G165" s="1775">
        <f t="shared" ref="G165:G170" si="28">F165+E165</f>
        <v>43237</v>
      </c>
      <c r="H165" s="805" t="s">
        <v>785</v>
      </c>
      <c r="I165" s="796" t="s">
        <v>170</v>
      </c>
      <c r="J165" s="792"/>
      <c r="K165" s="805" t="s">
        <v>777</v>
      </c>
      <c r="L165" s="1776">
        <v>23174</v>
      </c>
      <c r="M165" s="805"/>
      <c r="N165" s="805"/>
      <c r="O165" s="954">
        <v>290</v>
      </c>
      <c r="P165" s="805">
        <v>1</v>
      </c>
      <c r="Q165" s="1727">
        <f t="shared" si="27"/>
        <v>290</v>
      </c>
      <c r="R165" s="1777"/>
      <c r="S165" s="1778"/>
      <c r="T165" s="1778"/>
      <c r="U165" s="954">
        <v>290</v>
      </c>
      <c r="V165" s="805"/>
      <c r="W165" s="805"/>
      <c r="X165" s="1781"/>
      <c r="Y165" s="1124"/>
      <c r="Z165" s="1124"/>
      <c r="AA165" s="1124"/>
      <c r="AB165" s="1124"/>
      <c r="AC165" s="1124"/>
      <c r="AD165" s="1124"/>
      <c r="AE165" s="1124"/>
      <c r="AF165" s="1124"/>
      <c r="AG165" s="1282">
        <f t="shared" si="25"/>
        <v>290</v>
      </c>
    </row>
    <row r="166" spans="1:33" ht="57.75" customHeight="1">
      <c r="A166" s="796">
        <v>1222</v>
      </c>
      <c r="B166" s="793" t="s">
        <v>783</v>
      </c>
      <c r="C166" s="857" t="s">
        <v>784</v>
      </c>
      <c r="D166" s="805"/>
      <c r="E166" s="796">
        <v>10</v>
      </c>
      <c r="F166" s="1775">
        <v>43227</v>
      </c>
      <c r="G166" s="1775">
        <f t="shared" si="28"/>
        <v>43237</v>
      </c>
      <c r="H166" s="805" t="s">
        <v>785</v>
      </c>
      <c r="I166" s="796" t="s">
        <v>170</v>
      </c>
      <c r="J166" s="792"/>
      <c r="K166" s="805" t="s">
        <v>776</v>
      </c>
      <c r="L166" s="1776">
        <v>23174</v>
      </c>
      <c r="M166" s="805"/>
      <c r="N166" s="805"/>
      <c r="O166" s="954">
        <v>1440</v>
      </c>
      <c r="P166" s="805">
        <v>1</v>
      </c>
      <c r="Q166" s="1727">
        <f t="shared" si="27"/>
        <v>1440</v>
      </c>
      <c r="R166" s="1777"/>
      <c r="S166" s="1778"/>
      <c r="T166" s="1778"/>
      <c r="U166" s="954">
        <v>1440</v>
      </c>
      <c r="V166" s="805"/>
      <c r="W166" s="805"/>
      <c r="X166" s="1781"/>
      <c r="Y166" s="1124"/>
      <c r="Z166" s="1124"/>
      <c r="AA166" s="1124"/>
      <c r="AB166" s="1124"/>
      <c r="AC166" s="1124"/>
      <c r="AD166" s="1124"/>
      <c r="AE166" s="1124"/>
      <c r="AF166" s="1124"/>
      <c r="AG166" s="1282">
        <f t="shared" si="25"/>
        <v>1440</v>
      </c>
    </row>
    <row r="167" spans="1:33" ht="57.75" customHeight="1">
      <c r="A167" s="796">
        <v>1222</v>
      </c>
      <c r="B167" s="793" t="s">
        <v>783</v>
      </c>
      <c r="C167" s="857" t="s">
        <v>784</v>
      </c>
      <c r="D167" s="805"/>
      <c r="E167" s="796">
        <v>10</v>
      </c>
      <c r="F167" s="1775">
        <v>43227</v>
      </c>
      <c r="G167" s="1775">
        <f t="shared" si="28"/>
        <v>43237</v>
      </c>
      <c r="H167" s="805" t="s">
        <v>785</v>
      </c>
      <c r="I167" s="796" t="s">
        <v>170</v>
      </c>
      <c r="J167" s="792"/>
      <c r="K167" s="805" t="s">
        <v>778</v>
      </c>
      <c r="L167" s="1776">
        <v>23174</v>
      </c>
      <c r="M167" s="805"/>
      <c r="N167" s="805"/>
      <c r="O167" s="954">
        <v>5040</v>
      </c>
      <c r="P167" s="805">
        <v>1</v>
      </c>
      <c r="Q167" s="1727">
        <f t="shared" si="27"/>
        <v>5040</v>
      </c>
      <c r="R167" s="1777"/>
      <c r="S167" s="1778"/>
      <c r="T167" s="1778"/>
      <c r="U167" s="954">
        <v>5040</v>
      </c>
      <c r="V167" s="805"/>
      <c r="W167" s="805"/>
      <c r="X167" s="1781"/>
      <c r="Y167" s="1124"/>
      <c r="Z167" s="1124"/>
      <c r="AA167" s="1124"/>
      <c r="AB167" s="1124"/>
      <c r="AC167" s="1124"/>
      <c r="AD167" s="1124"/>
      <c r="AE167" s="1124"/>
      <c r="AF167" s="1124"/>
      <c r="AG167" s="1282">
        <f t="shared" si="25"/>
        <v>5040</v>
      </c>
    </row>
    <row r="168" spans="1:33" ht="57.75" customHeight="1">
      <c r="A168" s="796">
        <v>1222</v>
      </c>
      <c r="B168" s="793" t="s">
        <v>783</v>
      </c>
      <c r="C168" s="857" t="s">
        <v>784</v>
      </c>
      <c r="D168" s="805"/>
      <c r="E168" s="796">
        <v>10</v>
      </c>
      <c r="F168" s="1775">
        <v>43227</v>
      </c>
      <c r="G168" s="1775">
        <f t="shared" si="28"/>
        <v>43237</v>
      </c>
      <c r="H168" s="805" t="s">
        <v>785</v>
      </c>
      <c r="I168" s="796" t="s">
        <v>170</v>
      </c>
      <c r="J168" s="792"/>
      <c r="K168" s="805" t="s">
        <v>779</v>
      </c>
      <c r="L168" s="1776">
        <v>23174</v>
      </c>
      <c r="M168" s="805"/>
      <c r="N168" s="805"/>
      <c r="O168" s="954">
        <v>173.33333333333334</v>
      </c>
      <c r="P168" s="805">
        <v>1</v>
      </c>
      <c r="Q168" s="1727">
        <f t="shared" si="27"/>
        <v>173.33333333333334</v>
      </c>
      <c r="R168" s="1777"/>
      <c r="S168" s="1778"/>
      <c r="T168" s="1778"/>
      <c r="U168" s="954">
        <v>173.33333333333334</v>
      </c>
      <c r="V168" s="805"/>
      <c r="W168" s="805"/>
      <c r="X168" s="1781"/>
      <c r="Y168" s="1124"/>
      <c r="Z168" s="1124"/>
      <c r="AA168" s="1124"/>
      <c r="AB168" s="1124"/>
      <c r="AC168" s="1124"/>
      <c r="AD168" s="1124"/>
      <c r="AE168" s="1124"/>
      <c r="AF168" s="1124"/>
      <c r="AG168" s="1282">
        <f t="shared" si="25"/>
        <v>173.33333333333334</v>
      </c>
    </row>
    <row r="169" spans="1:33" ht="57.75" customHeight="1">
      <c r="A169" s="796">
        <v>1222</v>
      </c>
      <c r="B169" s="793" t="s">
        <v>783</v>
      </c>
      <c r="C169" s="857" t="s">
        <v>784</v>
      </c>
      <c r="D169" s="805"/>
      <c r="E169" s="796">
        <v>10</v>
      </c>
      <c r="F169" s="1775">
        <v>43227</v>
      </c>
      <c r="G169" s="1775">
        <f t="shared" si="28"/>
        <v>43237</v>
      </c>
      <c r="H169" s="805" t="s">
        <v>785</v>
      </c>
      <c r="I169" s="796" t="s">
        <v>170</v>
      </c>
      <c r="J169" s="792"/>
      <c r="K169" s="805" t="s">
        <v>780</v>
      </c>
      <c r="L169" s="1776">
        <v>23174</v>
      </c>
      <c r="M169" s="805"/>
      <c r="N169" s="805"/>
      <c r="O169" s="954">
        <v>816</v>
      </c>
      <c r="P169" s="805">
        <v>1</v>
      </c>
      <c r="Q169" s="1727">
        <f t="shared" si="27"/>
        <v>816</v>
      </c>
      <c r="R169" s="1777"/>
      <c r="S169" s="1778"/>
      <c r="T169" s="1778"/>
      <c r="U169" s="954">
        <v>816</v>
      </c>
      <c r="V169" s="805"/>
      <c r="W169" s="805"/>
      <c r="X169" s="1781"/>
      <c r="Y169" s="1124"/>
      <c r="Z169" s="1124"/>
      <c r="AA169" s="1124"/>
      <c r="AB169" s="1124"/>
      <c r="AC169" s="1124"/>
      <c r="AD169" s="1124"/>
      <c r="AE169" s="1124"/>
      <c r="AF169" s="1124"/>
      <c r="AG169" s="1282">
        <f t="shared" si="25"/>
        <v>816</v>
      </c>
    </row>
    <row r="170" spans="1:33" ht="57.75" customHeight="1">
      <c r="A170" s="796">
        <v>1222</v>
      </c>
      <c r="B170" s="793" t="s">
        <v>783</v>
      </c>
      <c r="C170" s="857" t="s">
        <v>784</v>
      </c>
      <c r="D170" s="805"/>
      <c r="E170" s="796">
        <v>10</v>
      </c>
      <c r="F170" s="1775">
        <v>43227</v>
      </c>
      <c r="G170" s="1775">
        <f t="shared" si="28"/>
        <v>43237</v>
      </c>
      <c r="H170" s="805" t="s">
        <v>785</v>
      </c>
      <c r="I170" s="796" t="s">
        <v>170</v>
      </c>
      <c r="J170" s="792"/>
      <c r="K170" s="805" t="s">
        <v>781</v>
      </c>
      <c r="L170" s="1776">
        <v>23174</v>
      </c>
      <c r="M170" s="805"/>
      <c r="N170" s="805"/>
      <c r="O170" s="954">
        <v>1301.6666666666667</v>
      </c>
      <c r="P170" s="805">
        <v>1</v>
      </c>
      <c r="Q170" s="1727">
        <f t="shared" si="27"/>
        <v>1301.6666666666667</v>
      </c>
      <c r="R170" s="1777"/>
      <c r="S170" s="1778"/>
      <c r="T170" s="1778"/>
      <c r="U170" s="954">
        <v>1301.6666666666667</v>
      </c>
      <c r="V170" s="805"/>
      <c r="W170" s="805"/>
      <c r="X170" s="1781"/>
      <c r="Y170" s="1124"/>
      <c r="Z170" s="1124"/>
      <c r="AA170" s="1124"/>
      <c r="AB170" s="1124"/>
      <c r="AC170" s="1124"/>
      <c r="AD170" s="1124"/>
      <c r="AE170" s="1124"/>
      <c r="AF170" s="1124"/>
      <c r="AG170" s="1282">
        <f t="shared" si="25"/>
        <v>1301.6666666666667</v>
      </c>
    </row>
    <row r="171" spans="1:33" ht="57.75" customHeight="1">
      <c r="A171" s="796">
        <v>1222</v>
      </c>
      <c r="B171" s="793" t="s">
        <v>783</v>
      </c>
      <c r="C171" s="857" t="s">
        <v>784</v>
      </c>
      <c r="D171" s="805"/>
      <c r="E171" s="796"/>
      <c r="F171" s="1775"/>
      <c r="G171" s="1775"/>
      <c r="H171" s="805" t="s">
        <v>785</v>
      </c>
      <c r="I171" s="796" t="s">
        <v>170</v>
      </c>
      <c r="J171" s="792"/>
      <c r="K171" s="1292" t="s">
        <v>782</v>
      </c>
      <c r="L171" s="1776">
        <v>23173</v>
      </c>
      <c r="M171" s="805"/>
      <c r="N171" s="805"/>
      <c r="O171" s="954">
        <v>74.332999999999998</v>
      </c>
      <c r="P171" s="805">
        <v>1</v>
      </c>
      <c r="Q171" s="1727">
        <f t="shared" si="27"/>
        <v>74.332999999999998</v>
      </c>
      <c r="R171" s="1777"/>
      <c r="S171" s="1778"/>
      <c r="T171" s="1778"/>
      <c r="U171" s="954">
        <v>74.332999999999998</v>
      </c>
      <c r="V171" s="805"/>
      <c r="W171" s="805"/>
      <c r="X171" s="1781"/>
      <c r="Y171" s="1124"/>
      <c r="Z171" s="1124"/>
      <c r="AA171" s="1124"/>
      <c r="AB171" s="1124"/>
      <c r="AC171" s="1124"/>
      <c r="AD171" s="1124"/>
      <c r="AE171" s="1124"/>
      <c r="AF171" s="1124"/>
      <c r="AG171" s="1282">
        <f t="shared" si="25"/>
        <v>74.332999999999998</v>
      </c>
    </row>
    <row r="172" spans="1:33" ht="57.75" customHeight="1">
      <c r="A172" s="796">
        <v>1222</v>
      </c>
      <c r="B172" s="793" t="s">
        <v>783</v>
      </c>
      <c r="C172" s="857" t="s">
        <v>784</v>
      </c>
      <c r="D172" s="805"/>
      <c r="E172" s="796"/>
      <c r="F172" s="1775"/>
      <c r="G172" s="796"/>
      <c r="H172" s="805" t="s">
        <v>785</v>
      </c>
      <c r="I172" s="796" t="s">
        <v>170</v>
      </c>
      <c r="J172" s="792"/>
      <c r="K172" s="805" t="s">
        <v>415</v>
      </c>
      <c r="L172" s="1776">
        <v>23173</v>
      </c>
      <c r="M172" s="805"/>
      <c r="N172" s="805"/>
      <c r="O172" s="954">
        <v>1666.6666666666667</v>
      </c>
      <c r="P172" s="805">
        <v>1</v>
      </c>
      <c r="Q172" s="1727">
        <f t="shared" si="27"/>
        <v>1666.6666666666667</v>
      </c>
      <c r="R172" s="1777"/>
      <c r="S172" s="1778"/>
      <c r="T172" s="1778"/>
      <c r="U172" s="954">
        <v>1666.6666666666667</v>
      </c>
      <c r="V172" s="805"/>
      <c r="W172" s="805"/>
      <c r="X172" s="1781"/>
      <c r="Y172" s="1124"/>
      <c r="Z172" s="1124"/>
      <c r="AA172" s="1124"/>
      <c r="AB172" s="1124"/>
      <c r="AC172" s="1124"/>
      <c r="AD172" s="1124"/>
      <c r="AE172" s="1124"/>
      <c r="AF172" s="1124"/>
      <c r="AG172" s="1282">
        <f t="shared" si="25"/>
        <v>1666.6666666666667</v>
      </c>
    </row>
    <row r="173" spans="1:33" ht="57.75" customHeight="1">
      <c r="A173" s="796">
        <v>1223</v>
      </c>
      <c r="B173" s="793" t="s">
        <v>786</v>
      </c>
      <c r="C173" s="857" t="s">
        <v>787</v>
      </c>
      <c r="D173" s="805"/>
      <c r="E173" s="796">
        <v>10</v>
      </c>
      <c r="F173" s="1775">
        <v>43262</v>
      </c>
      <c r="G173" s="1775">
        <f>F173+E173</f>
        <v>43272</v>
      </c>
      <c r="H173" s="805" t="s">
        <v>785</v>
      </c>
      <c r="I173" s="796" t="s">
        <v>170</v>
      </c>
      <c r="J173" s="792"/>
      <c r="K173" s="805" t="s">
        <v>775</v>
      </c>
      <c r="L173" s="1776">
        <v>23174</v>
      </c>
      <c r="M173" s="805"/>
      <c r="N173" s="805"/>
      <c r="O173" s="954">
        <v>4956</v>
      </c>
      <c r="P173" s="805">
        <v>1</v>
      </c>
      <c r="Q173" s="1727">
        <f t="shared" ref="Q173:Q181" si="29">O173*P173</f>
        <v>4956</v>
      </c>
      <c r="R173" s="1777"/>
      <c r="S173" s="1778"/>
      <c r="T173" s="1778"/>
      <c r="U173" s="954">
        <v>4956</v>
      </c>
      <c r="V173" s="805"/>
      <c r="W173" s="805"/>
      <c r="X173" s="1781"/>
      <c r="Y173" s="1124"/>
      <c r="Z173" s="1124"/>
      <c r="AA173" s="1124"/>
      <c r="AB173" s="1124"/>
      <c r="AC173" s="1124"/>
      <c r="AD173" s="1124"/>
      <c r="AE173" s="1124"/>
      <c r="AF173" s="1124"/>
      <c r="AG173" s="1282">
        <f t="shared" si="25"/>
        <v>4956</v>
      </c>
    </row>
    <row r="174" spans="1:33" ht="57.75" customHeight="1">
      <c r="A174" s="796">
        <v>1223</v>
      </c>
      <c r="B174" s="793" t="s">
        <v>786</v>
      </c>
      <c r="C174" s="857" t="s">
        <v>787</v>
      </c>
      <c r="D174" s="805"/>
      <c r="E174" s="796">
        <v>10</v>
      </c>
      <c r="F174" s="1775">
        <v>43262</v>
      </c>
      <c r="G174" s="1775">
        <f t="shared" ref="G174:G179" si="30">F174+E174</f>
        <v>43272</v>
      </c>
      <c r="H174" s="805" t="s">
        <v>785</v>
      </c>
      <c r="I174" s="796" t="s">
        <v>170</v>
      </c>
      <c r="J174" s="792"/>
      <c r="K174" s="805" t="s">
        <v>777</v>
      </c>
      <c r="L174" s="1776">
        <v>23174</v>
      </c>
      <c r="M174" s="805"/>
      <c r="N174" s="805"/>
      <c r="O174" s="954">
        <v>290</v>
      </c>
      <c r="P174" s="805">
        <v>1</v>
      </c>
      <c r="Q174" s="1727">
        <f t="shared" si="29"/>
        <v>290</v>
      </c>
      <c r="R174" s="1777"/>
      <c r="S174" s="1778"/>
      <c r="T174" s="1778"/>
      <c r="U174" s="954">
        <v>290</v>
      </c>
      <c r="V174" s="805"/>
      <c r="W174" s="805"/>
      <c r="X174" s="1781"/>
      <c r="Y174" s="1124"/>
      <c r="Z174" s="1124"/>
      <c r="AA174" s="1124"/>
      <c r="AB174" s="1124"/>
      <c r="AC174" s="1124"/>
      <c r="AD174" s="1124"/>
      <c r="AE174" s="1124"/>
      <c r="AF174" s="1124"/>
      <c r="AG174" s="1282">
        <f t="shared" si="25"/>
        <v>290</v>
      </c>
    </row>
    <row r="175" spans="1:33" ht="57.75" customHeight="1">
      <c r="A175" s="796">
        <v>1223</v>
      </c>
      <c r="B175" s="793" t="s">
        <v>786</v>
      </c>
      <c r="C175" s="857" t="s">
        <v>787</v>
      </c>
      <c r="D175" s="805"/>
      <c r="E175" s="796">
        <v>10</v>
      </c>
      <c r="F175" s="1775">
        <v>43262</v>
      </c>
      <c r="G175" s="1775">
        <f t="shared" si="30"/>
        <v>43272</v>
      </c>
      <c r="H175" s="805" t="s">
        <v>785</v>
      </c>
      <c r="I175" s="796" t="s">
        <v>170</v>
      </c>
      <c r="J175" s="792"/>
      <c r="K175" s="805" t="s">
        <v>776</v>
      </c>
      <c r="L175" s="1776">
        <v>23174</v>
      </c>
      <c r="M175" s="805"/>
      <c r="N175" s="805"/>
      <c r="O175" s="954">
        <v>1440</v>
      </c>
      <c r="P175" s="805">
        <v>1</v>
      </c>
      <c r="Q175" s="1727">
        <f t="shared" si="29"/>
        <v>1440</v>
      </c>
      <c r="R175" s="1777"/>
      <c r="S175" s="1778"/>
      <c r="T175" s="1778"/>
      <c r="U175" s="954">
        <v>1440</v>
      </c>
      <c r="V175" s="805"/>
      <c r="W175" s="805"/>
      <c r="X175" s="1781"/>
      <c r="Y175" s="1124"/>
      <c r="Z175" s="1124"/>
      <c r="AA175" s="1124"/>
      <c r="AB175" s="1124"/>
      <c r="AC175" s="1124"/>
      <c r="AD175" s="1124"/>
      <c r="AE175" s="1124"/>
      <c r="AF175" s="1124"/>
      <c r="AG175" s="1282">
        <f t="shared" si="25"/>
        <v>1440</v>
      </c>
    </row>
    <row r="176" spans="1:33" ht="57.75" customHeight="1">
      <c r="A176" s="796">
        <v>1223</v>
      </c>
      <c r="B176" s="793" t="s">
        <v>786</v>
      </c>
      <c r="C176" s="857" t="s">
        <v>787</v>
      </c>
      <c r="D176" s="805"/>
      <c r="E176" s="796">
        <v>10</v>
      </c>
      <c r="F176" s="1775">
        <v>43262</v>
      </c>
      <c r="G176" s="1775">
        <f t="shared" si="30"/>
        <v>43272</v>
      </c>
      <c r="H176" s="805" t="s">
        <v>785</v>
      </c>
      <c r="I176" s="796" t="s">
        <v>170</v>
      </c>
      <c r="J176" s="792"/>
      <c r="K176" s="805" t="s">
        <v>778</v>
      </c>
      <c r="L176" s="1776">
        <v>23174</v>
      </c>
      <c r="M176" s="805"/>
      <c r="N176" s="805"/>
      <c r="O176" s="954">
        <v>5040</v>
      </c>
      <c r="P176" s="805">
        <v>1</v>
      </c>
      <c r="Q176" s="1727">
        <f t="shared" si="29"/>
        <v>5040</v>
      </c>
      <c r="R176" s="1777"/>
      <c r="S176" s="1778"/>
      <c r="T176" s="1778"/>
      <c r="U176" s="954">
        <v>5040</v>
      </c>
      <c r="V176" s="805"/>
      <c r="W176" s="805"/>
      <c r="X176" s="1781"/>
      <c r="Y176" s="1124"/>
      <c r="Z176" s="1124"/>
      <c r="AA176" s="1124"/>
      <c r="AB176" s="1124"/>
      <c r="AC176" s="1124"/>
      <c r="AD176" s="1124"/>
      <c r="AE176" s="1124"/>
      <c r="AF176" s="1124"/>
      <c r="AG176" s="1282">
        <f t="shared" si="25"/>
        <v>5040</v>
      </c>
    </row>
    <row r="177" spans="1:33" ht="57.75" customHeight="1">
      <c r="A177" s="796">
        <v>1223</v>
      </c>
      <c r="B177" s="793" t="s">
        <v>786</v>
      </c>
      <c r="C177" s="857" t="s">
        <v>787</v>
      </c>
      <c r="D177" s="805"/>
      <c r="E177" s="796">
        <v>10</v>
      </c>
      <c r="F177" s="1775">
        <v>43262</v>
      </c>
      <c r="G177" s="1775">
        <f t="shared" si="30"/>
        <v>43272</v>
      </c>
      <c r="H177" s="805" t="s">
        <v>785</v>
      </c>
      <c r="I177" s="796" t="s">
        <v>170</v>
      </c>
      <c r="J177" s="792"/>
      <c r="K177" s="805" t="s">
        <v>779</v>
      </c>
      <c r="L177" s="1776">
        <v>23174</v>
      </c>
      <c r="M177" s="805"/>
      <c r="N177" s="805"/>
      <c r="O177" s="954">
        <v>173.33333333333334</v>
      </c>
      <c r="P177" s="805">
        <v>1</v>
      </c>
      <c r="Q177" s="1727">
        <f t="shared" si="29"/>
        <v>173.33333333333334</v>
      </c>
      <c r="R177" s="1777"/>
      <c r="S177" s="1778"/>
      <c r="T177" s="1778"/>
      <c r="U177" s="954">
        <v>173.33333333333334</v>
      </c>
      <c r="V177" s="805"/>
      <c r="W177" s="805"/>
      <c r="X177" s="1781"/>
      <c r="Y177" s="1124"/>
      <c r="Z177" s="1124"/>
      <c r="AA177" s="1124"/>
      <c r="AB177" s="1124"/>
      <c r="AC177" s="1124"/>
      <c r="AD177" s="1124"/>
      <c r="AE177" s="1124"/>
      <c r="AF177" s="1124"/>
      <c r="AG177" s="1282">
        <f t="shared" si="25"/>
        <v>173.33333333333334</v>
      </c>
    </row>
    <row r="178" spans="1:33" ht="57.75" customHeight="1">
      <c r="A178" s="796">
        <v>1223</v>
      </c>
      <c r="B178" s="793" t="s">
        <v>786</v>
      </c>
      <c r="C178" s="857" t="s">
        <v>787</v>
      </c>
      <c r="D178" s="805"/>
      <c r="E178" s="796">
        <v>10</v>
      </c>
      <c r="F178" s="1775">
        <v>43262</v>
      </c>
      <c r="G178" s="1775">
        <f t="shared" si="30"/>
        <v>43272</v>
      </c>
      <c r="H178" s="805" t="s">
        <v>785</v>
      </c>
      <c r="I178" s="796" t="s">
        <v>170</v>
      </c>
      <c r="J178" s="792"/>
      <c r="K178" s="805" t="s">
        <v>780</v>
      </c>
      <c r="L178" s="1776">
        <v>23174</v>
      </c>
      <c r="M178" s="805"/>
      <c r="N178" s="805"/>
      <c r="O178" s="954">
        <v>816</v>
      </c>
      <c r="P178" s="805">
        <v>1</v>
      </c>
      <c r="Q178" s="1727">
        <f t="shared" si="29"/>
        <v>816</v>
      </c>
      <c r="R178" s="1777"/>
      <c r="S178" s="1778"/>
      <c r="T178" s="1778"/>
      <c r="U178" s="954">
        <v>816</v>
      </c>
      <c r="V178" s="805"/>
      <c r="W178" s="805"/>
      <c r="X178" s="1781"/>
      <c r="Y178" s="1124"/>
      <c r="Z178" s="1124"/>
      <c r="AA178" s="1124"/>
      <c r="AB178" s="1124"/>
      <c r="AC178" s="1124"/>
      <c r="AD178" s="1124"/>
      <c r="AE178" s="1124"/>
      <c r="AF178" s="1124"/>
      <c r="AG178" s="1282">
        <f t="shared" si="25"/>
        <v>816</v>
      </c>
    </row>
    <row r="179" spans="1:33" ht="57.75" customHeight="1">
      <c r="A179" s="796">
        <v>1223</v>
      </c>
      <c r="B179" s="793" t="s">
        <v>786</v>
      </c>
      <c r="C179" s="857" t="s">
        <v>787</v>
      </c>
      <c r="D179" s="805"/>
      <c r="E179" s="796">
        <v>10</v>
      </c>
      <c r="F179" s="1775">
        <v>43262</v>
      </c>
      <c r="G179" s="1775">
        <f t="shared" si="30"/>
        <v>43272</v>
      </c>
      <c r="H179" s="805" t="s">
        <v>785</v>
      </c>
      <c r="I179" s="796" t="s">
        <v>170</v>
      </c>
      <c r="J179" s="792"/>
      <c r="K179" s="805" t="s">
        <v>781</v>
      </c>
      <c r="L179" s="1776">
        <v>23174</v>
      </c>
      <c r="M179" s="805"/>
      <c r="N179" s="805"/>
      <c r="O179" s="954">
        <v>1301.6666666666667</v>
      </c>
      <c r="P179" s="805">
        <v>1</v>
      </c>
      <c r="Q179" s="1727">
        <f t="shared" si="29"/>
        <v>1301.6666666666667</v>
      </c>
      <c r="R179" s="1777"/>
      <c r="S179" s="1778"/>
      <c r="T179" s="1778"/>
      <c r="U179" s="954">
        <v>1301.6666666666667</v>
      </c>
      <c r="V179" s="805"/>
      <c r="W179" s="805"/>
      <c r="X179" s="1781"/>
      <c r="Y179" s="1124"/>
      <c r="Z179" s="1124"/>
      <c r="AA179" s="1124"/>
      <c r="AB179" s="1124"/>
      <c r="AC179" s="1124"/>
      <c r="AD179" s="1124"/>
      <c r="AE179" s="1124"/>
      <c r="AF179" s="1124"/>
      <c r="AG179" s="1282">
        <f t="shared" si="25"/>
        <v>1301.6666666666667</v>
      </c>
    </row>
    <row r="180" spans="1:33" ht="57.75" customHeight="1">
      <c r="A180" s="796">
        <v>1223</v>
      </c>
      <c r="B180" s="793" t="s">
        <v>786</v>
      </c>
      <c r="C180" s="857" t="s">
        <v>787</v>
      </c>
      <c r="D180" s="805"/>
      <c r="E180" s="796"/>
      <c r="F180" s="1775"/>
      <c r="G180" s="1775"/>
      <c r="H180" s="805" t="s">
        <v>785</v>
      </c>
      <c r="I180" s="796" t="s">
        <v>170</v>
      </c>
      <c r="J180" s="792"/>
      <c r="K180" s="1292" t="s">
        <v>782</v>
      </c>
      <c r="L180" s="1776">
        <v>23173</v>
      </c>
      <c r="M180" s="805"/>
      <c r="N180" s="805"/>
      <c r="O180" s="954">
        <v>74.332999999999998</v>
      </c>
      <c r="P180" s="805">
        <v>1</v>
      </c>
      <c r="Q180" s="1727">
        <f t="shared" si="29"/>
        <v>74.332999999999998</v>
      </c>
      <c r="R180" s="1777"/>
      <c r="S180" s="1778"/>
      <c r="T180" s="1778"/>
      <c r="U180" s="954">
        <v>74.332999999999998</v>
      </c>
      <c r="V180" s="805"/>
      <c r="W180" s="805"/>
      <c r="X180" s="1781"/>
      <c r="Y180" s="1124"/>
      <c r="Z180" s="1124"/>
      <c r="AA180" s="1124"/>
      <c r="AB180" s="1124"/>
      <c r="AC180" s="1124"/>
      <c r="AD180" s="1124"/>
      <c r="AE180" s="1124"/>
      <c r="AF180" s="1124"/>
      <c r="AG180" s="1282">
        <f t="shared" si="25"/>
        <v>74.332999999999998</v>
      </c>
    </row>
    <row r="181" spans="1:33" ht="57.75" customHeight="1">
      <c r="A181" s="796">
        <v>1223</v>
      </c>
      <c r="B181" s="793" t="s">
        <v>786</v>
      </c>
      <c r="C181" s="857" t="s">
        <v>787</v>
      </c>
      <c r="D181" s="805"/>
      <c r="E181" s="796"/>
      <c r="F181" s="1775"/>
      <c r="G181" s="1775"/>
      <c r="H181" s="805" t="s">
        <v>785</v>
      </c>
      <c r="I181" s="796" t="s">
        <v>170</v>
      </c>
      <c r="J181" s="792"/>
      <c r="K181" s="805" t="s">
        <v>415</v>
      </c>
      <c r="L181" s="1776">
        <v>23173</v>
      </c>
      <c r="M181" s="805"/>
      <c r="N181" s="805"/>
      <c r="O181" s="954">
        <v>1666.6666666666667</v>
      </c>
      <c r="P181" s="805">
        <v>1</v>
      </c>
      <c r="Q181" s="1727">
        <f t="shared" si="29"/>
        <v>1666.6666666666667</v>
      </c>
      <c r="R181" s="1777"/>
      <c r="S181" s="1778"/>
      <c r="T181" s="1778"/>
      <c r="U181" s="954">
        <v>1666.6666666666667</v>
      </c>
      <c r="V181" s="805"/>
      <c r="W181" s="805"/>
      <c r="X181" s="1781"/>
      <c r="Y181" s="1124"/>
      <c r="Z181" s="1124"/>
      <c r="AA181" s="1124"/>
      <c r="AB181" s="1124"/>
      <c r="AC181" s="1124"/>
      <c r="AD181" s="1124"/>
      <c r="AE181" s="1124"/>
      <c r="AF181" s="1124"/>
      <c r="AG181" s="1282">
        <f t="shared" si="25"/>
        <v>1666.6666666666667</v>
      </c>
    </row>
    <row r="182" spans="1:33" ht="57.75" customHeight="1">
      <c r="A182" s="796">
        <v>1224</v>
      </c>
      <c r="B182" s="793" t="s">
        <v>788</v>
      </c>
      <c r="C182" s="1074" t="s">
        <v>789</v>
      </c>
      <c r="D182" s="805"/>
      <c r="E182" s="796">
        <v>1</v>
      </c>
      <c r="F182" s="1775">
        <v>43279</v>
      </c>
      <c r="G182" s="1775">
        <f>F182+E182-1</f>
        <v>43279</v>
      </c>
      <c r="H182" s="805" t="s">
        <v>790</v>
      </c>
      <c r="I182" s="796" t="s">
        <v>170</v>
      </c>
      <c r="J182" s="792"/>
      <c r="K182" s="805" t="s">
        <v>670</v>
      </c>
      <c r="L182" s="1776">
        <v>23173</v>
      </c>
      <c r="M182" s="805"/>
      <c r="N182" s="805"/>
      <c r="O182" s="954">
        <v>666.66666666666663</v>
      </c>
      <c r="P182" s="805">
        <v>1</v>
      </c>
      <c r="Q182" s="1727">
        <f>O182*P182</f>
        <v>666.66666666666663</v>
      </c>
      <c r="R182" s="1777"/>
      <c r="S182" s="1778"/>
      <c r="T182" s="1779"/>
      <c r="U182" s="954">
        <v>666.66666666666663</v>
      </c>
      <c r="V182" s="805"/>
      <c r="W182" s="805"/>
      <c r="X182" s="1781"/>
      <c r="Y182" s="1124"/>
      <c r="Z182" s="1124"/>
      <c r="AA182" s="1124"/>
      <c r="AB182" s="1124"/>
      <c r="AC182" s="1124"/>
      <c r="AD182" s="1124"/>
      <c r="AE182" s="1124"/>
      <c r="AF182" s="1124"/>
      <c r="AG182" s="1282">
        <f t="shared" si="25"/>
        <v>666.66666666666663</v>
      </c>
    </row>
    <row r="183" spans="1:33" ht="57.75" customHeight="1">
      <c r="A183" s="796">
        <v>1224</v>
      </c>
      <c r="B183" s="793" t="s">
        <v>788</v>
      </c>
      <c r="C183" s="1074" t="s">
        <v>789</v>
      </c>
      <c r="D183" s="805"/>
      <c r="E183" s="796">
        <v>1</v>
      </c>
      <c r="F183" s="1775">
        <v>43279</v>
      </c>
      <c r="G183" s="1775">
        <f>F183+E183-1</f>
        <v>43279</v>
      </c>
      <c r="H183" s="805" t="s">
        <v>790</v>
      </c>
      <c r="I183" s="796" t="s">
        <v>170</v>
      </c>
      <c r="J183" s="792"/>
      <c r="K183" s="805" t="s">
        <v>415</v>
      </c>
      <c r="L183" s="1776">
        <v>23173</v>
      </c>
      <c r="M183" s="805"/>
      <c r="N183" s="805"/>
      <c r="O183" s="954">
        <v>333.33333333333331</v>
      </c>
      <c r="P183" s="805">
        <v>1</v>
      </c>
      <c r="Q183" s="1727">
        <f>O183*P183</f>
        <v>333.33333333333331</v>
      </c>
      <c r="R183" s="1777"/>
      <c r="S183" s="1778"/>
      <c r="T183" s="1778"/>
      <c r="U183" s="954">
        <v>333.33333333333331</v>
      </c>
      <c r="V183" s="805"/>
      <c r="W183" s="805"/>
      <c r="X183" s="1781"/>
      <c r="Y183" s="1124"/>
      <c r="Z183" s="1124"/>
      <c r="AA183" s="1124"/>
      <c r="AB183" s="1124"/>
      <c r="AC183" s="1124"/>
      <c r="AD183" s="1124"/>
      <c r="AE183" s="1124"/>
      <c r="AF183" s="1124"/>
      <c r="AG183" s="1282">
        <f t="shared" si="25"/>
        <v>333.33333333333331</v>
      </c>
    </row>
    <row r="184" spans="1:33" ht="57.75" customHeight="1">
      <c r="A184" s="796">
        <v>1224</v>
      </c>
      <c r="B184" s="793" t="s">
        <v>788</v>
      </c>
      <c r="C184" s="1074" t="s">
        <v>789</v>
      </c>
      <c r="D184" s="805"/>
      <c r="E184" s="796">
        <v>1</v>
      </c>
      <c r="F184" s="1775">
        <v>43279</v>
      </c>
      <c r="G184" s="1775">
        <f>F184+E184-1</f>
        <v>43279</v>
      </c>
      <c r="H184" s="805" t="s">
        <v>790</v>
      </c>
      <c r="I184" s="796" t="s">
        <v>170</v>
      </c>
      <c r="J184" s="792"/>
      <c r="K184" s="805" t="s">
        <v>638</v>
      </c>
      <c r="L184" s="1776">
        <v>23173</v>
      </c>
      <c r="M184" s="805"/>
      <c r="N184" s="805"/>
      <c r="O184" s="954">
        <v>216</v>
      </c>
      <c r="P184" s="805">
        <v>1</v>
      </c>
      <c r="Q184" s="1727">
        <f>O184*P184</f>
        <v>216</v>
      </c>
      <c r="R184" s="1777"/>
      <c r="S184" s="1778"/>
      <c r="T184" s="1778"/>
      <c r="U184" s="954">
        <v>216</v>
      </c>
      <c r="V184" s="805"/>
      <c r="W184" s="805"/>
      <c r="X184" s="1781"/>
      <c r="Y184" s="1124"/>
      <c r="Z184" s="1124"/>
      <c r="AA184" s="1124"/>
      <c r="AB184" s="1124"/>
      <c r="AC184" s="1124"/>
      <c r="AD184" s="1124"/>
      <c r="AE184" s="1124"/>
      <c r="AF184" s="1124"/>
      <c r="AG184" s="1282">
        <f t="shared" si="25"/>
        <v>216</v>
      </c>
    </row>
    <row r="185" spans="1:33" ht="57.75" customHeight="1">
      <c r="A185" s="796">
        <v>1225</v>
      </c>
      <c r="B185" s="793" t="s">
        <v>791</v>
      </c>
      <c r="C185" s="1074" t="s">
        <v>792</v>
      </c>
      <c r="D185" s="805"/>
      <c r="E185" s="796"/>
      <c r="F185" s="1775">
        <v>43283</v>
      </c>
      <c r="G185" s="796"/>
      <c r="H185" s="805" t="s">
        <v>793</v>
      </c>
      <c r="I185" s="796" t="s">
        <v>170</v>
      </c>
      <c r="J185" s="792"/>
      <c r="K185" s="805" t="s">
        <v>794</v>
      </c>
      <c r="L185" s="1776">
        <v>23173</v>
      </c>
      <c r="M185" s="805"/>
      <c r="N185" s="805"/>
      <c r="O185" s="954">
        <v>12705</v>
      </c>
      <c r="P185" s="805">
        <v>1</v>
      </c>
      <c r="Q185" s="1727">
        <f>O185*P185</f>
        <v>12705</v>
      </c>
      <c r="R185" s="1777"/>
      <c r="S185" s="1778"/>
      <c r="T185" s="1778"/>
      <c r="U185" s="1778"/>
      <c r="V185" s="1778">
        <v>12705</v>
      </c>
      <c r="W185" s="1778"/>
      <c r="X185" s="1783"/>
      <c r="Y185" s="1743"/>
      <c r="Z185" s="1743"/>
      <c r="AA185" s="1743"/>
      <c r="AB185" s="1743"/>
      <c r="AC185" s="1743"/>
      <c r="AD185" s="1743"/>
      <c r="AE185" s="1743"/>
      <c r="AF185" s="1743"/>
      <c r="AG185" s="1282">
        <f t="shared" si="25"/>
        <v>12705</v>
      </c>
    </row>
    <row r="186" spans="1:33" ht="57.75" customHeight="1">
      <c r="A186" s="796">
        <v>1226</v>
      </c>
      <c r="B186" s="793" t="s">
        <v>795</v>
      </c>
      <c r="C186" s="1074" t="s">
        <v>796</v>
      </c>
      <c r="D186" s="805"/>
      <c r="E186" s="796">
        <v>5</v>
      </c>
      <c r="F186" s="1775">
        <v>43297</v>
      </c>
      <c r="G186" s="1775">
        <f>F186+E186</f>
        <v>43302</v>
      </c>
      <c r="H186" s="805" t="s">
        <v>785</v>
      </c>
      <c r="I186" s="796" t="s">
        <v>170</v>
      </c>
      <c r="J186" s="792"/>
      <c r="K186" s="805" t="s">
        <v>797</v>
      </c>
      <c r="L186" s="1776">
        <v>23174</v>
      </c>
      <c r="M186" s="805"/>
      <c r="N186" s="805"/>
      <c r="O186" s="954">
        <v>1680</v>
      </c>
      <c r="P186" s="805">
        <v>1</v>
      </c>
      <c r="Q186" s="1727">
        <f t="shared" ref="Q186:Q194" si="31">O186*P186</f>
        <v>1680</v>
      </c>
      <c r="R186" s="1777"/>
      <c r="S186" s="1778"/>
      <c r="T186" s="1778"/>
      <c r="U186" s="1779"/>
      <c r="V186" s="954">
        <v>1680</v>
      </c>
      <c r="W186" s="805"/>
      <c r="X186" s="1781"/>
      <c r="Y186" s="1124"/>
      <c r="Z186" s="1124"/>
      <c r="AA186" s="1124"/>
      <c r="AB186" s="1124"/>
      <c r="AC186" s="1124"/>
      <c r="AD186" s="1124"/>
      <c r="AE186" s="1124"/>
      <c r="AF186" s="1124"/>
      <c r="AG186" s="1282">
        <f t="shared" si="25"/>
        <v>1680</v>
      </c>
    </row>
    <row r="187" spans="1:33" ht="57.75" customHeight="1">
      <c r="A187" s="796">
        <v>1226</v>
      </c>
      <c r="B187" s="793" t="s">
        <v>795</v>
      </c>
      <c r="C187" s="1074" t="s">
        <v>796</v>
      </c>
      <c r="D187" s="805"/>
      <c r="E187" s="796">
        <v>5</v>
      </c>
      <c r="F187" s="1775">
        <v>43297</v>
      </c>
      <c r="G187" s="1775">
        <f t="shared" ref="G187:G192" si="32">F187+E187</f>
        <v>43302</v>
      </c>
      <c r="H187" s="805" t="s">
        <v>785</v>
      </c>
      <c r="I187" s="796" t="s">
        <v>170</v>
      </c>
      <c r="J187" s="792"/>
      <c r="K187" s="805" t="s">
        <v>798</v>
      </c>
      <c r="L187" s="1776">
        <v>23174</v>
      </c>
      <c r="M187" s="805"/>
      <c r="N187" s="805"/>
      <c r="O187" s="954">
        <v>900</v>
      </c>
      <c r="P187" s="805">
        <v>1</v>
      </c>
      <c r="Q187" s="1727">
        <f t="shared" si="31"/>
        <v>900</v>
      </c>
      <c r="R187" s="1777"/>
      <c r="S187" s="1778"/>
      <c r="T187" s="1778"/>
      <c r="U187" s="1779"/>
      <c r="V187" s="954">
        <v>900</v>
      </c>
      <c r="W187" s="805"/>
      <c r="X187" s="1781"/>
      <c r="Y187" s="1124"/>
      <c r="Z187" s="1124"/>
      <c r="AA187" s="1124"/>
      <c r="AB187" s="1124"/>
      <c r="AC187" s="1124"/>
      <c r="AD187" s="1124"/>
      <c r="AE187" s="1124"/>
      <c r="AF187" s="1124"/>
      <c r="AG187" s="1282">
        <f t="shared" si="25"/>
        <v>900</v>
      </c>
    </row>
    <row r="188" spans="1:33" ht="57.75" customHeight="1">
      <c r="A188" s="796">
        <v>1226</v>
      </c>
      <c r="B188" s="793" t="s">
        <v>795</v>
      </c>
      <c r="C188" s="1074" t="s">
        <v>796</v>
      </c>
      <c r="D188" s="805"/>
      <c r="E188" s="796">
        <v>5</v>
      </c>
      <c r="F188" s="1775">
        <v>43297</v>
      </c>
      <c r="G188" s="1775">
        <f t="shared" si="32"/>
        <v>43302</v>
      </c>
      <c r="H188" s="805" t="s">
        <v>785</v>
      </c>
      <c r="I188" s="796" t="s">
        <v>170</v>
      </c>
      <c r="J188" s="792"/>
      <c r="K188" s="805" t="s">
        <v>799</v>
      </c>
      <c r="L188" s="1776">
        <v>23174</v>
      </c>
      <c r="M188" s="805"/>
      <c r="N188" s="805"/>
      <c r="O188" s="954">
        <v>120</v>
      </c>
      <c r="P188" s="805">
        <v>1</v>
      </c>
      <c r="Q188" s="1727">
        <f t="shared" si="31"/>
        <v>120</v>
      </c>
      <c r="R188" s="1777"/>
      <c r="S188" s="1778"/>
      <c r="T188" s="1778"/>
      <c r="U188" s="1779"/>
      <c r="V188" s="954">
        <v>120</v>
      </c>
      <c r="W188" s="805"/>
      <c r="X188" s="1781"/>
      <c r="Y188" s="1124"/>
      <c r="Z188" s="1124"/>
      <c r="AA188" s="1124"/>
      <c r="AB188" s="1124"/>
      <c r="AC188" s="1124"/>
      <c r="AD188" s="1124"/>
      <c r="AE188" s="1124"/>
      <c r="AF188" s="1124"/>
      <c r="AG188" s="1282">
        <f t="shared" si="25"/>
        <v>120</v>
      </c>
    </row>
    <row r="189" spans="1:33" ht="57.75" customHeight="1">
      <c r="A189" s="796">
        <v>1226</v>
      </c>
      <c r="B189" s="793" t="s">
        <v>795</v>
      </c>
      <c r="C189" s="1074" t="s">
        <v>796</v>
      </c>
      <c r="D189" s="805"/>
      <c r="E189" s="796">
        <v>5</v>
      </c>
      <c r="F189" s="1775">
        <v>43297</v>
      </c>
      <c r="G189" s="1775">
        <f t="shared" si="32"/>
        <v>43302</v>
      </c>
      <c r="H189" s="805" t="s">
        <v>785</v>
      </c>
      <c r="I189" s="796" t="s">
        <v>170</v>
      </c>
      <c r="J189" s="792"/>
      <c r="K189" s="805" t="s">
        <v>800</v>
      </c>
      <c r="L189" s="1776">
        <v>23174</v>
      </c>
      <c r="M189" s="805"/>
      <c r="N189" s="805"/>
      <c r="O189" s="954">
        <v>773.33333333333337</v>
      </c>
      <c r="P189" s="805">
        <v>1</v>
      </c>
      <c r="Q189" s="1727">
        <f t="shared" si="31"/>
        <v>773.33333333333337</v>
      </c>
      <c r="R189" s="1777"/>
      <c r="S189" s="1778"/>
      <c r="T189" s="1778"/>
      <c r="U189" s="1779"/>
      <c r="V189" s="954">
        <v>773.33333333333337</v>
      </c>
      <c r="W189" s="805"/>
      <c r="X189" s="1781"/>
      <c r="Y189" s="1124"/>
      <c r="Z189" s="1124"/>
      <c r="AA189" s="1124"/>
      <c r="AB189" s="1124"/>
      <c r="AC189" s="1124"/>
      <c r="AD189" s="1124"/>
      <c r="AE189" s="1124"/>
      <c r="AF189" s="1124"/>
      <c r="AG189" s="1282">
        <f t="shared" si="25"/>
        <v>773.33333333333337</v>
      </c>
    </row>
    <row r="190" spans="1:33" ht="57.75" customHeight="1">
      <c r="A190" s="796">
        <v>1226</v>
      </c>
      <c r="B190" s="793" t="s">
        <v>795</v>
      </c>
      <c r="C190" s="1074" t="s">
        <v>796</v>
      </c>
      <c r="D190" s="805"/>
      <c r="E190" s="796">
        <v>5</v>
      </c>
      <c r="F190" s="1775">
        <v>43297</v>
      </c>
      <c r="G190" s="1775">
        <f t="shared" si="32"/>
        <v>43302</v>
      </c>
      <c r="H190" s="805" t="s">
        <v>785</v>
      </c>
      <c r="I190" s="796" t="s">
        <v>170</v>
      </c>
      <c r="J190" s="792"/>
      <c r="K190" s="805" t="s">
        <v>801</v>
      </c>
      <c r="L190" s="1776">
        <v>23174</v>
      </c>
      <c r="M190" s="805"/>
      <c r="N190" s="805"/>
      <c r="O190" s="954">
        <v>106.66666666666667</v>
      </c>
      <c r="P190" s="805">
        <v>1</v>
      </c>
      <c r="Q190" s="1727">
        <f t="shared" si="31"/>
        <v>106.66666666666667</v>
      </c>
      <c r="R190" s="1777"/>
      <c r="S190" s="1778"/>
      <c r="T190" s="1778"/>
      <c r="U190" s="1779"/>
      <c r="V190" s="954">
        <v>106.66666666666667</v>
      </c>
      <c r="W190" s="805"/>
      <c r="X190" s="1781"/>
      <c r="Y190" s="1124"/>
      <c r="Z190" s="1124"/>
      <c r="AA190" s="1124"/>
      <c r="AB190" s="1124"/>
      <c r="AC190" s="1124"/>
      <c r="AD190" s="1124"/>
      <c r="AE190" s="1124"/>
      <c r="AF190" s="1124"/>
      <c r="AG190" s="1282">
        <f t="shared" si="25"/>
        <v>106.66666666666667</v>
      </c>
    </row>
    <row r="191" spans="1:33" ht="57.75" customHeight="1">
      <c r="A191" s="796">
        <v>1226</v>
      </c>
      <c r="B191" s="793" t="s">
        <v>795</v>
      </c>
      <c r="C191" s="1074" t="s">
        <v>796</v>
      </c>
      <c r="D191" s="805"/>
      <c r="E191" s="796">
        <v>5</v>
      </c>
      <c r="F191" s="1775">
        <v>43297</v>
      </c>
      <c r="G191" s="1775">
        <f t="shared" si="32"/>
        <v>43302</v>
      </c>
      <c r="H191" s="805" t="s">
        <v>785</v>
      </c>
      <c r="I191" s="796" t="s">
        <v>170</v>
      </c>
      <c r="J191" s="792"/>
      <c r="K191" s="805" t="s">
        <v>802</v>
      </c>
      <c r="L191" s="1776">
        <v>23174</v>
      </c>
      <c r="M191" s="805"/>
      <c r="N191" s="805"/>
      <c r="O191" s="954">
        <v>816</v>
      </c>
      <c r="P191" s="805">
        <v>1</v>
      </c>
      <c r="Q191" s="1727">
        <f t="shared" si="31"/>
        <v>816</v>
      </c>
      <c r="R191" s="1777"/>
      <c r="S191" s="1778"/>
      <c r="T191" s="1778"/>
      <c r="U191" s="1779"/>
      <c r="V191" s="954">
        <v>816</v>
      </c>
      <c r="W191" s="805"/>
      <c r="X191" s="1781"/>
      <c r="Y191" s="1124"/>
      <c r="Z191" s="1124"/>
      <c r="AA191" s="1124"/>
      <c r="AB191" s="1124"/>
      <c r="AC191" s="1124"/>
      <c r="AD191" s="1124"/>
      <c r="AE191" s="1124"/>
      <c r="AF191" s="1124"/>
      <c r="AG191" s="1282">
        <f t="shared" si="25"/>
        <v>816</v>
      </c>
    </row>
    <row r="192" spans="1:33" ht="57.75" customHeight="1">
      <c r="A192" s="796">
        <v>1226</v>
      </c>
      <c r="B192" s="793" t="s">
        <v>795</v>
      </c>
      <c r="C192" s="1074" t="s">
        <v>796</v>
      </c>
      <c r="D192" s="805"/>
      <c r="E192" s="796">
        <v>5</v>
      </c>
      <c r="F192" s="1775">
        <v>43297</v>
      </c>
      <c r="G192" s="1775">
        <f t="shared" si="32"/>
        <v>43302</v>
      </c>
      <c r="H192" s="805" t="s">
        <v>785</v>
      </c>
      <c r="I192" s="796" t="s">
        <v>170</v>
      </c>
      <c r="J192" s="792"/>
      <c r="K192" s="805" t="s">
        <v>803</v>
      </c>
      <c r="L192" s="1776">
        <v>23174</v>
      </c>
      <c r="M192" s="805"/>
      <c r="N192" s="805"/>
      <c r="O192" s="954">
        <v>480</v>
      </c>
      <c r="P192" s="805">
        <v>1</v>
      </c>
      <c r="Q192" s="1727">
        <f t="shared" si="31"/>
        <v>480</v>
      </c>
      <c r="R192" s="1777"/>
      <c r="S192" s="1778"/>
      <c r="T192" s="1778"/>
      <c r="U192" s="1779"/>
      <c r="V192" s="954">
        <v>480</v>
      </c>
      <c r="W192" s="805"/>
      <c r="X192" s="1781"/>
      <c r="Y192" s="1124"/>
      <c r="Z192" s="1124"/>
      <c r="AA192" s="1124"/>
      <c r="AB192" s="1124"/>
      <c r="AC192" s="1124"/>
      <c r="AD192" s="1124"/>
      <c r="AE192" s="1124"/>
      <c r="AF192" s="1124"/>
      <c r="AG192" s="1282">
        <f t="shared" si="25"/>
        <v>480</v>
      </c>
    </row>
    <row r="193" spans="1:33" ht="57.75" customHeight="1">
      <c r="A193" s="796">
        <v>1226</v>
      </c>
      <c r="B193" s="793" t="s">
        <v>795</v>
      </c>
      <c r="C193" s="1074" t="s">
        <v>796</v>
      </c>
      <c r="D193" s="805"/>
      <c r="E193" s="796"/>
      <c r="F193" s="1775"/>
      <c r="G193" s="1775"/>
      <c r="H193" s="805" t="s">
        <v>785</v>
      </c>
      <c r="I193" s="796" t="s">
        <v>170</v>
      </c>
      <c r="J193" s="792"/>
      <c r="K193" s="805" t="s">
        <v>415</v>
      </c>
      <c r="L193" s="1776">
        <v>23173</v>
      </c>
      <c r="M193" s="805"/>
      <c r="N193" s="805"/>
      <c r="O193" s="954">
        <v>833.33333333333337</v>
      </c>
      <c r="P193" s="805">
        <v>1</v>
      </c>
      <c r="Q193" s="1727">
        <f t="shared" si="31"/>
        <v>833.33333333333337</v>
      </c>
      <c r="R193" s="1777"/>
      <c r="S193" s="1778"/>
      <c r="T193" s="1778"/>
      <c r="U193" s="1779"/>
      <c r="V193" s="954">
        <v>833.33333333333337</v>
      </c>
      <c r="W193" s="805"/>
      <c r="X193" s="1781"/>
      <c r="Y193" s="1124"/>
      <c r="Z193" s="1124"/>
      <c r="AA193" s="1124"/>
      <c r="AB193" s="1124"/>
      <c r="AC193" s="1124"/>
      <c r="AD193" s="1124"/>
      <c r="AE193" s="1124"/>
      <c r="AF193" s="1124"/>
      <c r="AG193" s="1282">
        <f t="shared" si="25"/>
        <v>833.33333333333337</v>
      </c>
    </row>
    <row r="194" spans="1:33" ht="57.75" customHeight="1">
      <c r="A194" s="796">
        <v>1226</v>
      </c>
      <c r="B194" s="793" t="s">
        <v>795</v>
      </c>
      <c r="C194" s="1074" t="s">
        <v>796</v>
      </c>
      <c r="D194" s="805"/>
      <c r="E194" s="796"/>
      <c r="F194" s="1775"/>
      <c r="G194" s="1775"/>
      <c r="H194" s="805" t="s">
        <v>785</v>
      </c>
      <c r="I194" s="796" t="s">
        <v>170</v>
      </c>
      <c r="J194" s="792"/>
      <c r="K194" s="805" t="s">
        <v>804</v>
      </c>
      <c r="L194" s="1776">
        <v>23173</v>
      </c>
      <c r="M194" s="805"/>
      <c r="N194" s="805"/>
      <c r="O194" s="954">
        <v>35.833333333333336</v>
      </c>
      <c r="P194" s="805">
        <v>1</v>
      </c>
      <c r="Q194" s="1727">
        <f t="shared" si="31"/>
        <v>35.833333333333336</v>
      </c>
      <c r="R194" s="1777"/>
      <c r="S194" s="1778"/>
      <c r="T194" s="1778"/>
      <c r="U194" s="1779"/>
      <c r="V194" s="954">
        <v>35.833333333333336</v>
      </c>
      <c r="W194" s="805"/>
      <c r="X194" s="1781"/>
      <c r="Y194" s="1124"/>
      <c r="Z194" s="1124"/>
      <c r="AA194" s="1124"/>
      <c r="AB194" s="1124"/>
      <c r="AC194" s="1124"/>
      <c r="AD194" s="1124"/>
      <c r="AE194" s="1124"/>
      <c r="AF194" s="1124"/>
      <c r="AG194" s="1282">
        <f t="shared" si="25"/>
        <v>35.833333333333336</v>
      </c>
    </row>
    <row r="195" spans="1:33" ht="57.75" customHeight="1">
      <c r="A195" s="796">
        <v>1227</v>
      </c>
      <c r="B195" s="793" t="s">
        <v>805</v>
      </c>
      <c r="C195" s="1074" t="s">
        <v>806</v>
      </c>
      <c r="D195" s="805"/>
      <c r="E195" s="796"/>
      <c r="F195" s="1775">
        <v>43304</v>
      </c>
      <c r="G195" s="796"/>
      <c r="H195" s="805" t="s">
        <v>793</v>
      </c>
      <c r="I195" s="796" t="s">
        <v>170</v>
      </c>
      <c r="J195" s="792"/>
      <c r="K195" s="805" t="s">
        <v>807</v>
      </c>
      <c r="L195" s="1776">
        <v>23173</v>
      </c>
      <c r="M195" s="805"/>
      <c r="N195" s="805"/>
      <c r="O195" s="954">
        <v>1089</v>
      </c>
      <c r="P195" s="805">
        <v>1</v>
      </c>
      <c r="Q195" s="954">
        <f>P195*O195</f>
        <v>1089</v>
      </c>
      <c r="R195" s="1777"/>
      <c r="S195" s="1784"/>
      <c r="T195" s="1784"/>
      <c r="U195" s="1784"/>
      <c r="V195" s="1779">
        <v>1089</v>
      </c>
      <c r="W195" s="1784"/>
      <c r="X195" s="1785"/>
      <c r="Y195" s="1786"/>
      <c r="Z195" s="1786"/>
      <c r="AA195" s="1786"/>
      <c r="AB195" s="1786"/>
      <c r="AC195" s="1786"/>
      <c r="AD195" s="1786"/>
      <c r="AE195" s="1786"/>
      <c r="AF195" s="1786"/>
      <c r="AG195" s="1282">
        <f t="shared" si="25"/>
        <v>1089</v>
      </c>
    </row>
    <row r="196" spans="1:33" ht="57.75" customHeight="1">
      <c r="A196" s="796">
        <v>1228</v>
      </c>
      <c r="B196" s="793" t="s">
        <v>808</v>
      </c>
      <c r="C196" s="1074" t="s">
        <v>809</v>
      </c>
      <c r="D196" s="805"/>
      <c r="E196" s="796">
        <v>10</v>
      </c>
      <c r="F196" s="1775">
        <v>43318</v>
      </c>
      <c r="G196" s="1775">
        <f>F196+E196</f>
        <v>43328</v>
      </c>
      <c r="H196" s="805" t="s">
        <v>810</v>
      </c>
      <c r="I196" s="796" t="s">
        <v>170</v>
      </c>
      <c r="J196" s="792"/>
      <c r="K196" s="805" t="s">
        <v>811</v>
      </c>
      <c r="L196" s="1776">
        <v>23174</v>
      </c>
      <c r="M196" s="805"/>
      <c r="N196" s="805"/>
      <c r="O196" s="954">
        <v>36000</v>
      </c>
      <c r="P196" s="805">
        <v>1</v>
      </c>
      <c r="Q196" s="954">
        <f t="shared" ref="Q196:Q203" si="33">O196*P196</f>
        <v>36000</v>
      </c>
      <c r="R196" s="1777"/>
      <c r="S196" s="1778"/>
      <c r="T196" s="1778"/>
      <c r="U196" s="1779"/>
      <c r="V196" s="954">
        <v>36000</v>
      </c>
      <c r="W196" s="805"/>
      <c r="X196" s="1781"/>
      <c r="Y196" s="1124"/>
      <c r="Z196" s="1124"/>
      <c r="AA196" s="1124"/>
      <c r="AB196" s="1124"/>
      <c r="AC196" s="1124"/>
      <c r="AD196" s="1124"/>
      <c r="AE196" s="1124"/>
      <c r="AF196" s="1124"/>
      <c r="AG196" s="1282">
        <f t="shared" si="25"/>
        <v>36000</v>
      </c>
    </row>
    <row r="197" spans="1:33" ht="57.75" customHeight="1">
      <c r="A197" s="796">
        <v>1228</v>
      </c>
      <c r="B197" s="793" t="s">
        <v>808</v>
      </c>
      <c r="C197" s="1074" t="s">
        <v>809</v>
      </c>
      <c r="D197" s="805"/>
      <c r="E197" s="796">
        <v>10</v>
      </c>
      <c r="F197" s="1775">
        <v>43318</v>
      </c>
      <c r="G197" s="1775">
        <f t="shared" ref="G197:G202" si="34">F197+E197</f>
        <v>43328</v>
      </c>
      <c r="H197" s="805" t="s">
        <v>810</v>
      </c>
      <c r="I197" s="796" t="s">
        <v>170</v>
      </c>
      <c r="J197" s="792"/>
      <c r="K197" s="805" t="s">
        <v>812</v>
      </c>
      <c r="L197" s="1776">
        <v>23174</v>
      </c>
      <c r="N197" s="805"/>
      <c r="O197" s="954">
        <v>7920</v>
      </c>
      <c r="P197" s="805">
        <v>1</v>
      </c>
      <c r="Q197" s="954">
        <f t="shared" si="33"/>
        <v>7920</v>
      </c>
      <c r="R197" s="1777"/>
      <c r="S197" s="1778"/>
      <c r="T197" s="1778"/>
      <c r="U197" s="1779"/>
      <c r="V197" s="954">
        <v>7920</v>
      </c>
      <c r="W197" s="805"/>
      <c r="X197" s="1781"/>
      <c r="Y197" s="1124"/>
      <c r="Z197" s="1124"/>
      <c r="AA197" s="1124"/>
      <c r="AB197" s="1124"/>
      <c r="AC197" s="1124"/>
      <c r="AD197" s="1124"/>
      <c r="AE197" s="1124"/>
      <c r="AF197" s="1124"/>
      <c r="AG197" s="1282">
        <f t="shared" si="25"/>
        <v>7920</v>
      </c>
    </row>
    <row r="198" spans="1:33" ht="57.75" customHeight="1">
      <c r="A198" s="796">
        <v>1228</v>
      </c>
      <c r="B198" s="793" t="s">
        <v>808</v>
      </c>
      <c r="C198" s="1074" t="s">
        <v>809</v>
      </c>
      <c r="D198" s="805"/>
      <c r="E198" s="796">
        <v>10</v>
      </c>
      <c r="F198" s="1775">
        <v>43318</v>
      </c>
      <c r="G198" s="1775">
        <f t="shared" si="34"/>
        <v>43328</v>
      </c>
      <c r="H198" s="805" t="s">
        <v>810</v>
      </c>
      <c r="I198" s="796" t="s">
        <v>170</v>
      </c>
      <c r="J198" s="792"/>
      <c r="K198" s="805" t="s">
        <v>813</v>
      </c>
      <c r="L198" s="1776">
        <v>23174</v>
      </c>
      <c r="M198" s="805"/>
      <c r="N198" s="805"/>
      <c r="O198" s="954">
        <v>600</v>
      </c>
      <c r="P198" s="805">
        <v>1</v>
      </c>
      <c r="Q198" s="954">
        <f t="shared" si="33"/>
        <v>600</v>
      </c>
      <c r="R198" s="1777"/>
      <c r="S198" s="1778"/>
      <c r="T198" s="1778"/>
      <c r="U198" s="1779"/>
      <c r="V198" s="954">
        <v>600</v>
      </c>
      <c r="W198" s="805"/>
      <c r="X198" s="1781"/>
      <c r="Y198" s="1124"/>
      <c r="Z198" s="1124"/>
      <c r="AA198" s="1124"/>
      <c r="AB198" s="1124"/>
      <c r="AC198" s="1124"/>
      <c r="AD198" s="1124"/>
      <c r="AE198" s="1124"/>
      <c r="AF198" s="1124"/>
      <c r="AG198" s="1282">
        <f t="shared" si="25"/>
        <v>600</v>
      </c>
    </row>
    <row r="199" spans="1:33" ht="57.75" customHeight="1">
      <c r="A199" s="796">
        <v>1228</v>
      </c>
      <c r="B199" s="793" t="s">
        <v>808</v>
      </c>
      <c r="C199" s="1074" t="s">
        <v>809</v>
      </c>
      <c r="D199" s="805"/>
      <c r="E199" s="796">
        <v>10</v>
      </c>
      <c r="F199" s="1775">
        <v>43318</v>
      </c>
      <c r="G199" s="1775">
        <f t="shared" si="34"/>
        <v>43328</v>
      </c>
      <c r="H199" s="805" t="s">
        <v>810</v>
      </c>
      <c r="I199" s="796" t="s">
        <v>170</v>
      </c>
      <c r="J199" s="792"/>
      <c r="K199" s="805" t="s">
        <v>814</v>
      </c>
      <c r="L199" s="1776">
        <v>23174</v>
      </c>
      <c r="M199" s="805"/>
      <c r="N199" s="805"/>
      <c r="O199" s="954">
        <v>6600</v>
      </c>
      <c r="P199" s="805">
        <v>1</v>
      </c>
      <c r="Q199" s="954">
        <f t="shared" si="33"/>
        <v>6600</v>
      </c>
      <c r="R199" s="1777"/>
      <c r="S199" s="1778"/>
      <c r="T199" s="1778"/>
      <c r="U199" s="1779"/>
      <c r="V199" s="954">
        <v>6600</v>
      </c>
      <c r="W199" s="805"/>
      <c r="X199" s="1781"/>
      <c r="Y199" s="1124"/>
      <c r="Z199" s="1124"/>
      <c r="AA199" s="1124"/>
      <c r="AB199" s="1124"/>
      <c r="AC199" s="1124"/>
      <c r="AD199" s="1124"/>
      <c r="AE199" s="1124"/>
      <c r="AF199" s="1124"/>
      <c r="AG199" s="1282">
        <f t="shared" si="25"/>
        <v>6600</v>
      </c>
    </row>
    <row r="200" spans="1:33" ht="57.75" customHeight="1">
      <c r="A200" s="796">
        <v>1228</v>
      </c>
      <c r="B200" s="793" t="s">
        <v>808</v>
      </c>
      <c r="C200" s="1074" t="s">
        <v>809</v>
      </c>
      <c r="D200" s="805"/>
      <c r="E200" s="796">
        <v>10</v>
      </c>
      <c r="F200" s="1775">
        <v>43318</v>
      </c>
      <c r="G200" s="1775">
        <f t="shared" si="34"/>
        <v>43328</v>
      </c>
      <c r="H200" s="805" t="s">
        <v>810</v>
      </c>
      <c r="I200" s="796" t="s">
        <v>170</v>
      </c>
      <c r="J200" s="792"/>
      <c r="K200" s="805" t="s">
        <v>815</v>
      </c>
      <c r="L200" s="1776">
        <v>23174</v>
      </c>
      <c r="M200" s="805"/>
      <c r="N200" s="805"/>
      <c r="O200" s="954">
        <v>300</v>
      </c>
      <c r="P200" s="805">
        <v>1</v>
      </c>
      <c r="Q200" s="954">
        <f t="shared" si="33"/>
        <v>300</v>
      </c>
      <c r="R200" s="1777"/>
      <c r="S200" s="1778"/>
      <c r="T200" s="1778"/>
      <c r="U200" s="1779"/>
      <c r="V200" s="954">
        <v>300</v>
      </c>
      <c r="W200" s="805"/>
      <c r="X200" s="1781"/>
      <c r="Y200" s="1124"/>
      <c r="Z200" s="1124"/>
      <c r="AA200" s="1124"/>
      <c r="AB200" s="1124"/>
      <c r="AC200" s="1124"/>
      <c r="AD200" s="1124"/>
      <c r="AE200" s="1124"/>
      <c r="AF200" s="1124"/>
      <c r="AG200" s="1282">
        <f t="shared" si="25"/>
        <v>300</v>
      </c>
    </row>
    <row r="201" spans="1:33" ht="57.75" customHeight="1">
      <c r="A201" s="796">
        <v>1228</v>
      </c>
      <c r="B201" s="793" t="s">
        <v>808</v>
      </c>
      <c r="C201" s="1074" t="s">
        <v>809</v>
      </c>
      <c r="D201" s="805"/>
      <c r="E201" s="796">
        <v>10</v>
      </c>
      <c r="F201" s="1775">
        <v>43318</v>
      </c>
      <c r="G201" s="1775">
        <f t="shared" si="34"/>
        <v>43328</v>
      </c>
      <c r="H201" s="805" t="s">
        <v>810</v>
      </c>
      <c r="I201" s="796" t="s">
        <v>170</v>
      </c>
      <c r="J201" s="792"/>
      <c r="K201" s="805" t="s">
        <v>816</v>
      </c>
      <c r="L201" s="1776">
        <v>23174</v>
      </c>
      <c r="M201" s="805"/>
      <c r="N201" s="805"/>
      <c r="O201" s="954">
        <v>2720</v>
      </c>
      <c r="P201" s="805">
        <v>1</v>
      </c>
      <c r="Q201" s="954">
        <f t="shared" si="33"/>
        <v>2720</v>
      </c>
      <c r="R201" s="1777"/>
      <c r="S201" s="1778"/>
      <c r="T201" s="1778"/>
      <c r="U201" s="1779"/>
      <c r="V201" s="954">
        <v>2720</v>
      </c>
      <c r="W201" s="805"/>
      <c r="X201" s="1781"/>
      <c r="Y201" s="1124"/>
      <c r="Z201" s="1124"/>
      <c r="AA201" s="1124"/>
      <c r="AB201" s="1124"/>
      <c r="AC201" s="1124"/>
      <c r="AD201" s="1124"/>
      <c r="AE201" s="1124"/>
      <c r="AF201" s="1124"/>
      <c r="AG201" s="1282">
        <f t="shared" si="25"/>
        <v>2720</v>
      </c>
    </row>
    <row r="202" spans="1:33" ht="57.75" customHeight="1">
      <c r="A202" s="796">
        <v>1228</v>
      </c>
      <c r="B202" s="793" t="s">
        <v>808</v>
      </c>
      <c r="C202" s="1074" t="s">
        <v>809</v>
      </c>
      <c r="D202" s="805"/>
      <c r="E202" s="796">
        <v>10</v>
      </c>
      <c r="F202" s="1775">
        <v>43318</v>
      </c>
      <c r="G202" s="1775">
        <f t="shared" si="34"/>
        <v>43328</v>
      </c>
      <c r="H202" s="805" t="s">
        <v>810</v>
      </c>
      <c r="I202" s="796" t="s">
        <v>170</v>
      </c>
      <c r="J202" s="792"/>
      <c r="K202" s="805" t="s">
        <v>817</v>
      </c>
      <c r="L202" s="1776">
        <v>23174</v>
      </c>
      <c r="M202" s="805"/>
      <c r="N202" s="805"/>
      <c r="O202" s="954">
        <v>6674.9333333333334</v>
      </c>
      <c r="P202" s="805">
        <v>1</v>
      </c>
      <c r="Q202" s="954">
        <f t="shared" si="33"/>
        <v>6674.9333333333334</v>
      </c>
      <c r="R202" s="1777"/>
      <c r="S202" s="1778"/>
      <c r="T202" s="1778"/>
      <c r="U202" s="1779"/>
      <c r="V202" s="954">
        <v>6674.9333333333334</v>
      </c>
      <c r="W202" s="805"/>
      <c r="X202" s="1781"/>
      <c r="Y202" s="1124"/>
      <c r="Z202" s="1124"/>
      <c r="AA202" s="1124"/>
      <c r="AB202" s="1124"/>
      <c r="AC202" s="1124"/>
      <c r="AD202" s="1124"/>
      <c r="AE202" s="1124"/>
      <c r="AF202" s="1124"/>
      <c r="AG202" s="1282">
        <f t="shared" si="25"/>
        <v>6674.9333333333334</v>
      </c>
    </row>
    <row r="203" spans="1:33" ht="57.75" customHeight="1">
      <c r="A203" s="796">
        <v>1228</v>
      </c>
      <c r="B203" s="793" t="s">
        <v>808</v>
      </c>
      <c r="C203" s="1074" t="s">
        <v>809</v>
      </c>
      <c r="D203" s="805"/>
      <c r="E203" s="796">
        <v>45</v>
      </c>
      <c r="F203" s="1775"/>
      <c r="G203" s="1775"/>
      <c r="H203" s="805" t="s">
        <v>810</v>
      </c>
      <c r="I203" s="796" t="s">
        <v>170</v>
      </c>
      <c r="J203" s="792"/>
      <c r="K203" s="805" t="s">
        <v>818</v>
      </c>
      <c r="L203" s="1776">
        <v>23173</v>
      </c>
      <c r="M203" s="805"/>
      <c r="N203" s="805"/>
      <c r="O203" s="954">
        <v>205.625</v>
      </c>
      <c r="P203" s="805">
        <v>1</v>
      </c>
      <c r="Q203" s="954">
        <f t="shared" si="33"/>
        <v>205.625</v>
      </c>
      <c r="R203" s="1777"/>
      <c r="S203" s="1778"/>
      <c r="T203" s="1778"/>
      <c r="U203" s="1779"/>
      <c r="V203" s="954">
        <v>205.625</v>
      </c>
      <c r="W203" s="805"/>
      <c r="X203" s="1781"/>
      <c r="Y203" s="1124"/>
      <c r="Z203" s="1124"/>
      <c r="AA203" s="1124"/>
      <c r="AB203" s="1124"/>
      <c r="AC203" s="1124"/>
      <c r="AD203" s="1124"/>
      <c r="AE203" s="1124"/>
      <c r="AF203" s="1124"/>
      <c r="AG203" s="1282">
        <f t="shared" si="25"/>
        <v>205.625</v>
      </c>
    </row>
    <row r="204" spans="1:33" ht="57.75" customHeight="1">
      <c r="A204" s="796">
        <v>1229</v>
      </c>
      <c r="B204" s="793" t="s">
        <v>819</v>
      </c>
      <c r="C204" s="857" t="s">
        <v>820</v>
      </c>
      <c r="D204" s="805"/>
      <c r="E204" s="796">
        <v>10</v>
      </c>
      <c r="F204" s="1775">
        <v>43339</v>
      </c>
      <c r="G204" s="1775">
        <f>F204+E204</f>
        <v>43349</v>
      </c>
      <c r="H204" s="805" t="s">
        <v>774</v>
      </c>
      <c r="I204" s="796" t="s">
        <v>170</v>
      </c>
      <c r="J204" s="792"/>
      <c r="K204" s="805" t="s">
        <v>821</v>
      </c>
      <c r="L204" s="1776">
        <v>23174</v>
      </c>
      <c r="M204" s="805"/>
      <c r="N204" s="805"/>
      <c r="O204" s="954">
        <v>1320</v>
      </c>
      <c r="P204" s="805">
        <v>1</v>
      </c>
      <c r="Q204" s="954">
        <f t="shared" ref="Q204:Q212" si="35">O204*P204</f>
        <v>1320</v>
      </c>
      <c r="R204" s="1777"/>
      <c r="S204" s="1778"/>
      <c r="T204" s="1778"/>
      <c r="U204" s="1779"/>
      <c r="V204" s="805"/>
      <c r="W204" s="954">
        <v>1320</v>
      </c>
      <c r="X204" s="1781"/>
      <c r="Y204" s="1124"/>
      <c r="Z204" s="1124"/>
      <c r="AA204" s="1124"/>
      <c r="AB204" s="1124"/>
      <c r="AC204" s="1124"/>
      <c r="AD204" s="1124"/>
      <c r="AE204" s="1124"/>
      <c r="AF204" s="1124"/>
      <c r="AG204" s="1282">
        <f t="shared" si="25"/>
        <v>1320</v>
      </c>
    </row>
    <row r="205" spans="1:33" ht="57.75" customHeight="1">
      <c r="A205" s="796">
        <v>1229</v>
      </c>
      <c r="B205" s="793" t="s">
        <v>819</v>
      </c>
      <c r="C205" s="857" t="s">
        <v>820</v>
      </c>
      <c r="D205" s="805"/>
      <c r="E205" s="796">
        <v>10</v>
      </c>
      <c r="F205" s="1775">
        <v>43339</v>
      </c>
      <c r="G205" s="1775">
        <f t="shared" ref="G205:G210" si="36">F205+E205</f>
        <v>43349</v>
      </c>
      <c r="H205" s="805" t="s">
        <v>774</v>
      </c>
      <c r="I205" s="796" t="s">
        <v>170</v>
      </c>
      <c r="J205" s="792"/>
      <c r="K205" s="805" t="s">
        <v>822</v>
      </c>
      <c r="L205" s="1776">
        <v>23174</v>
      </c>
      <c r="M205" s="805"/>
      <c r="N205" s="805"/>
      <c r="O205" s="954">
        <v>5724</v>
      </c>
      <c r="P205" s="805">
        <v>1</v>
      </c>
      <c r="Q205" s="954">
        <f t="shared" si="35"/>
        <v>5724</v>
      </c>
      <c r="R205" s="1777"/>
      <c r="S205" s="1778"/>
      <c r="T205" s="1778"/>
      <c r="U205" s="1779"/>
      <c r="V205" s="805"/>
      <c r="W205" s="954">
        <v>5724</v>
      </c>
      <c r="X205" s="1781"/>
      <c r="Y205" s="1124"/>
      <c r="Z205" s="1124"/>
      <c r="AA205" s="1124"/>
      <c r="AB205" s="1124"/>
      <c r="AC205" s="1124"/>
      <c r="AD205" s="1124"/>
      <c r="AE205" s="1124"/>
      <c r="AF205" s="1124"/>
      <c r="AG205" s="1282">
        <f t="shared" si="25"/>
        <v>5724</v>
      </c>
    </row>
    <row r="206" spans="1:33" ht="57.75" customHeight="1">
      <c r="A206" s="796">
        <v>1229</v>
      </c>
      <c r="B206" s="793" t="s">
        <v>819</v>
      </c>
      <c r="C206" s="857" t="s">
        <v>820</v>
      </c>
      <c r="D206" s="805"/>
      <c r="E206" s="796">
        <v>10</v>
      </c>
      <c r="F206" s="1775">
        <v>43339</v>
      </c>
      <c r="G206" s="1775">
        <f t="shared" si="36"/>
        <v>43349</v>
      </c>
      <c r="H206" s="805" t="s">
        <v>774</v>
      </c>
      <c r="I206" s="796" t="s">
        <v>170</v>
      </c>
      <c r="J206" s="792"/>
      <c r="K206" s="805" t="s">
        <v>799</v>
      </c>
      <c r="L206" s="1776">
        <v>23174</v>
      </c>
      <c r="M206" s="805"/>
      <c r="N206" s="805"/>
      <c r="O206" s="954">
        <v>260</v>
      </c>
      <c r="P206" s="805">
        <v>1</v>
      </c>
      <c r="Q206" s="954">
        <f t="shared" si="35"/>
        <v>260</v>
      </c>
      <c r="R206" s="1777"/>
      <c r="S206" s="1778"/>
      <c r="T206" s="1778"/>
      <c r="U206" s="1779"/>
      <c r="V206" s="805"/>
      <c r="W206" s="954">
        <v>260</v>
      </c>
      <c r="X206" s="1781"/>
      <c r="Y206" s="1124"/>
      <c r="Z206" s="1124"/>
      <c r="AA206" s="1124"/>
      <c r="AB206" s="1124"/>
      <c r="AC206" s="1124"/>
      <c r="AD206" s="1124"/>
      <c r="AE206" s="1124"/>
      <c r="AF206" s="1124"/>
      <c r="AG206" s="1282">
        <f t="shared" si="25"/>
        <v>260</v>
      </c>
    </row>
    <row r="207" spans="1:33" ht="57.75" customHeight="1">
      <c r="A207" s="796">
        <v>1229</v>
      </c>
      <c r="B207" s="793" t="s">
        <v>819</v>
      </c>
      <c r="C207" s="857" t="s">
        <v>820</v>
      </c>
      <c r="D207" s="805"/>
      <c r="E207" s="796">
        <v>10</v>
      </c>
      <c r="F207" s="1775">
        <v>43339</v>
      </c>
      <c r="G207" s="1775">
        <f t="shared" si="36"/>
        <v>43349</v>
      </c>
      <c r="H207" s="805" t="s">
        <v>774</v>
      </c>
      <c r="I207" s="796" t="s">
        <v>170</v>
      </c>
      <c r="J207" s="792"/>
      <c r="K207" s="805" t="s">
        <v>823</v>
      </c>
      <c r="L207" s="1776">
        <v>23174</v>
      </c>
      <c r="M207" s="805"/>
      <c r="N207" s="805"/>
      <c r="O207" s="954">
        <v>5773.333333333333</v>
      </c>
      <c r="P207" s="805">
        <v>1</v>
      </c>
      <c r="Q207" s="954">
        <f t="shared" si="35"/>
        <v>5773.333333333333</v>
      </c>
      <c r="R207" s="1777"/>
      <c r="S207" s="1778"/>
      <c r="T207" s="1778"/>
      <c r="U207" s="1779"/>
      <c r="V207" s="805"/>
      <c r="W207" s="954">
        <v>5773.333333333333</v>
      </c>
      <c r="X207" s="1781"/>
      <c r="Y207" s="1124"/>
      <c r="Z207" s="1124"/>
      <c r="AA207" s="1124"/>
      <c r="AB207" s="1124"/>
      <c r="AC207" s="1124"/>
      <c r="AD207" s="1124"/>
      <c r="AE207" s="1124"/>
      <c r="AF207" s="1124"/>
      <c r="AG207" s="1282">
        <f t="shared" si="25"/>
        <v>5773.333333333333</v>
      </c>
    </row>
    <row r="208" spans="1:33" ht="57.75" customHeight="1">
      <c r="A208" s="796">
        <v>1229</v>
      </c>
      <c r="B208" s="793" t="s">
        <v>819</v>
      </c>
      <c r="C208" s="857" t="s">
        <v>820</v>
      </c>
      <c r="D208" s="805"/>
      <c r="E208" s="796">
        <v>10</v>
      </c>
      <c r="F208" s="1775">
        <v>43339</v>
      </c>
      <c r="G208" s="1775">
        <f t="shared" si="36"/>
        <v>43349</v>
      </c>
      <c r="H208" s="805" t="s">
        <v>774</v>
      </c>
      <c r="I208" s="796" t="s">
        <v>170</v>
      </c>
      <c r="J208" s="792"/>
      <c r="K208" s="805" t="s">
        <v>779</v>
      </c>
      <c r="L208" s="1776">
        <v>23174</v>
      </c>
      <c r="M208" s="805"/>
      <c r="N208" s="805"/>
      <c r="O208" s="954">
        <v>153.33333333333334</v>
      </c>
      <c r="P208" s="805">
        <v>1</v>
      </c>
      <c r="Q208" s="954">
        <f t="shared" si="35"/>
        <v>153.33333333333334</v>
      </c>
      <c r="R208" s="1777"/>
      <c r="S208" s="1778"/>
      <c r="T208" s="1778"/>
      <c r="U208" s="1779"/>
      <c r="V208" s="805"/>
      <c r="W208" s="954">
        <v>153.33333333333334</v>
      </c>
      <c r="X208" s="1781"/>
      <c r="Y208" s="1124"/>
      <c r="Z208" s="1124"/>
      <c r="AA208" s="1124"/>
      <c r="AB208" s="1124"/>
      <c r="AC208" s="1124"/>
      <c r="AD208" s="1124"/>
      <c r="AE208" s="1124"/>
      <c r="AF208" s="1124"/>
      <c r="AG208" s="1282">
        <f t="shared" si="25"/>
        <v>153.33333333333334</v>
      </c>
    </row>
    <row r="209" spans="1:33" ht="57.75" customHeight="1">
      <c r="A209" s="796">
        <v>1229</v>
      </c>
      <c r="B209" s="793" t="s">
        <v>819</v>
      </c>
      <c r="C209" s="857" t="s">
        <v>820</v>
      </c>
      <c r="D209" s="805"/>
      <c r="E209" s="796">
        <v>10</v>
      </c>
      <c r="F209" s="1775">
        <v>43339</v>
      </c>
      <c r="G209" s="1775">
        <f t="shared" si="36"/>
        <v>43349</v>
      </c>
      <c r="H209" s="805" t="s">
        <v>774</v>
      </c>
      <c r="I209" s="796" t="s">
        <v>170</v>
      </c>
      <c r="J209" s="792"/>
      <c r="K209" s="805" t="s">
        <v>824</v>
      </c>
      <c r="L209" s="1776">
        <v>23174</v>
      </c>
      <c r="M209" s="805"/>
      <c r="N209" s="805"/>
      <c r="O209" s="954">
        <v>238</v>
      </c>
      <c r="P209" s="805">
        <v>1</v>
      </c>
      <c r="Q209" s="954">
        <f t="shared" si="35"/>
        <v>238</v>
      </c>
      <c r="R209" s="1777"/>
      <c r="S209" s="1778"/>
      <c r="T209" s="1778"/>
      <c r="U209" s="1779"/>
      <c r="V209" s="805"/>
      <c r="W209" s="954">
        <v>238</v>
      </c>
      <c r="X209" s="1781"/>
      <c r="Y209" s="1124"/>
      <c r="Z209" s="1124"/>
      <c r="AA209" s="1124"/>
      <c r="AB209" s="1124"/>
      <c r="AC209" s="1124"/>
      <c r="AD209" s="1124"/>
      <c r="AE209" s="1124"/>
      <c r="AF209" s="1124"/>
      <c r="AG209" s="1282">
        <f t="shared" si="25"/>
        <v>238</v>
      </c>
    </row>
    <row r="210" spans="1:33" ht="57.75" customHeight="1">
      <c r="A210" s="796">
        <v>1229</v>
      </c>
      <c r="B210" s="793" t="s">
        <v>819</v>
      </c>
      <c r="C210" s="857" t="s">
        <v>820</v>
      </c>
      <c r="D210" s="805"/>
      <c r="E210" s="796">
        <v>10</v>
      </c>
      <c r="F210" s="1775">
        <v>43339</v>
      </c>
      <c r="G210" s="1775">
        <f t="shared" si="36"/>
        <v>43349</v>
      </c>
      <c r="H210" s="805" t="s">
        <v>774</v>
      </c>
      <c r="I210" s="796" t="s">
        <v>170</v>
      </c>
      <c r="J210" s="792"/>
      <c r="K210" s="805" t="s">
        <v>825</v>
      </c>
      <c r="L210" s="1776">
        <v>23174</v>
      </c>
      <c r="M210" s="805"/>
      <c r="N210" s="805"/>
      <c r="O210" s="954">
        <v>501.66666666666669</v>
      </c>
      <c r="P210" s="805">
        <v>1</v>
      </c>
      <c r="Q210" s="954">
        <f t="shared" si="35"/>
        <v>501.66666666666669</v>
      </c>
      <c r="R210" s="1777"/>
      <c r="S210" s="1778"/>
      <c r="T210" s="1778"/>
      <c r="U210" s="1779"/>
      <c r="V210" s="805"/>
      <c r="W210" s="954">
        <v>501.66666666666669</v>
      </c>
      <c r="X210" s="1781"/>
      <c r="Y210" s="1124"/>
      <c r="Z210" s="1124"/>
      <c r="AA210" s="1124"/>
      <c r="AB210" s="1124"/>
      <c r="AC210" s="1124"/>
      <c r="AD210" s="1124"/>
      <c r="AE210" s="1124"/>
      <c r="AF210" s="1124"/>
      <c r="AG210" s="1282">
        <f t="shared" si="25"/>
        <v>501.66666666666669</v>
      </c>
    </row>
    <row r="211" spans="1:33" ht="57.75" customHeight="1">
      <c r="A211" s="796">
        <v>1229</v>
      </c>
      <c r="B211" s="793" t="s">
        <v>819</v>
      </c>
      <c r="C211" s="857" t="s">
        <v>820</v>
      </c>
      <c r="D211" s="805"/>
      <c r="E211" s="796"/>
      <c r="F211" s="1775"/>
      <c r="G211" s="1775"/>
      <c r="H211" s="805" t="s">
        <v>774</v>
      </c>
      <c r="I211" s="796" t="s">
        <v>170</v>
      </c>
      <c r="J211" s="792"/>
      <c r="K211" s="1292" t="s">
        <v>818</v>
      </c>
      <c r="L211" s="1776">
        <v>23173</v>
      </c>
      <c r="M211" s="805"/>
      <c r="N211" s="805"/>
      <c r="O211" s="954">
        <v>534.88800000000003</v>
      </c>
      <c r="P211" s="1779">
        <v>1</v>
      </c>
      <c r="Q211" s="954">
        <f t="shared" si="35"/>
        <v>534.88800000000003</v>
      </c>
      <c r="R211" s="1777"/>
      <c r="S211" s="1778"/>
      <c r="T211" s="1778"/>
      <c r="U211" s="1779"/>
      <c r="V211" s="805"/>
      <c r="W211" s="954">
        <v>534.88800000000003</v>
      </c>
      <c r="X211" s="1781"/>
      <c r="Y211" s="1124"/>
      <c r="Z211" s="1124"/>
      <c r="AA211" s="1124"/>
      <c r="AB211" s="1124"/>
      <c r="AC211" s="1124"/>
      <c r="AD211" s="1124"/>
      <c r="AE211" s="1124"/>
      <c r="AF211" s="1124"/>
      <c r="AG211" s="1282">
        <f t="shared" si="25"/>
        <v>534.88800000000003</v>
      </c>
    </row>
    <row r="212" spans="1:33" ht="57.75" customHeight="1">
      <c r="A212" s="796">
        <v>1229</v>
      </c>
      <c r="B212" s="793" t="s">
        <v>819</v>
      </c>
      <c r="C212" s="857" t="s">
        <v>820</v>
      </c>
      <c r="D212" s="805"/>
      <c r="E212" s="796"/>
      <c r="F212" s="796"/>
      <c r="G212" s="796"/>
      <c r="H212" s="805" t="s">
        <v>774</v>
      </c>
      <c r="I212" s="796" t="s">
        <v>170</v>
      </c>
      <c r="J212" s="792"/>
      <c r="K212" s="805" t="s">
        <v>415</v>
      </c>
      <c r="L212" s="1776">
        <v>23173</v>
      </c>
      <c r="M212" s="805"/>
      <c r="N212" s="805"/>
      <c r="O212" s="954">
        <v>1666.6666666666667</v>
      </c>
      <c r="P212" s="805">
        <v>1</v>
      </c>
      <c r="Q212" s="954">
        <f t="shared" si="35"/>
        <v>1666.6666666666667</v>
      </c>
      <c r="R212" s="1777"/>
      <c r="S212" s="1778"/>
      <c r="T212" s="1778"/>
      <c r="U212" s="1779"/>
      <c r="V212" s="805"/>
      <c r="W212" s="954">
        <v>1666.6666666666667</v>
      </c>
      <c r="X212" s="1781"/>
      <c r="Y212" s="1124"/>
      <c r="Z212" s="1124"/>
      <c r="AA212" s="1124"/>
      <c r="AB212" s="1124"/>
      <c r="AC212" s="1124"/>
      <c r="AD212" s="1124"/>
      <c r="AE212" s="1124"/>
      <c r="AF212" s="1124"/>
      <c r="AG212" s="1282">
        <f t="shared" si="25"/>
        <v>1666.6666666666667</v>
      </c>
    </row>
    <row r="213" spans="1:33" ht="57.75" customHeight="1">
      <c r="A213" s="796">
        <v>1230</v>
      </c>
      <c r="B213" s="793" t="s">
        <v>826</v>
      </c>
      <c r="C213" s="1074" t="s">
        <v>827</v>
      </c>
      <c r="D213" s="805"/>
      <c r="E213" s="796">
        <v>5</v>
      </c>
      <c r="F213" s="1775">
        <v>43360</v>
      </c>
      <c r="G213" s="1775">
        <f>F213+E213</f>
        <v>43365</v>
      </c>
      <c r="H213" s="805" t="s">
        <v>785</v>
      </c>
      <c r="I213" s="796" t="s">
        <v>170</v>
      </c>
      <c r="J213" s="792"/>
      <c r="K213" s="805" t="s">
        <v>828</v>
      </c>
      <c r="L213" s="1776">
        <v>23174</v>
      </c>
      <c r="M213" s="805"/>
      <c r="N213" s="805"/>
      <c r="O213" s="954">
        <v>2520</v>
      </c>
      <c r="P213" s="805">
        <v>1</v>
      </c>
      <c r="Q213" s="954">
        <f>O213*P213</f>
        <v>2520</v>
      </c>
      <c r="R213" s="1777"/>
      <c r="S213" s="1778"/>
      <c r="T213" s="1778"/>
      <c r="U213" s="1779"/>
      <c r="V213" s="805"/>
      <c r="W213" s="954">
        <v>2520</v>
      </c>
      <c r="X213" s="1781"/>
      <c r="Y213" s="1124"/>
      <c r="Z213" s="1124"/>
      <c r="AA213" s="1124"/>
      <c r="AB213" s="1124"/>
      <c r="AC213" s="1124"/>
      <c r="AD213" s="1124"/>
      <c r="AE213" s="1124"/>
      <c r="AF213" s="1124"/>
      <c r="AG213" s="1282">
        <f t="shared" si="25"/>
        <v>2520</v>
      </c>
    </row>
    <row r="214" spans="1:33" ht="57.75" customHeight="1">
      <c r="A214" s="796">
        <v>1230</v>
      </c>
      <c r="B214" s="793" t="s">
        <v>826</v>
      </c>
      <c r="C214" s="1074" t="s">
        <v>827</v>
      </c>
      <c r="D214" s="805"/>
      <c r="E214" s="796">
        <v>5</v>
      </c>
      <c r="F214" s="1775">
        <v>43360</v>
      </c>
      <c r="G214" s="1775">
        <f t="shared" ref="G214:G219" si="37">F214+E214</f>
        <v>43365</v>
      </c>
      <c r="H214" s="805" t="s">
        <v>785</v>
      </c>
      <c r="I214" s="796" t="s">
        <v>170</v>
      </c>
      <c r="J214" s="792"/>
      <c r="K214" s="805" t="s">
        <v>829</v>
      </c>
      <c r="L214" s="1776">
        <v>23174</v>
      </c>
      <c r="M214" s="805"/>
      <c r="N214" s="805"/>
      <c r="O214" s="954">
        <v>1236</v>
      </c>
      <c r="P214" s="805">
        <v>1</v>
      </c>
      <c r="Q214" s="954">
        <f>O214*P214</f>
        <v>1236</v>
      </c>
      <c r="R214" s="1777"/>
      <c r="S214" s="1778"/>
      <c r="T214" s="1778"/>
      <c r="U214" s="1779"/>
      <c r="V214" s="805"/>
      <c r="W214" s="954">
        <v>1236</v>
      </c>
      <c r="X214" s="1781"/>
      <c r="Y214" s="1124"/>
      <c r="Z214" s="1124"/>
      <c r="AA214" s="1124"/>
      <c r="AB214" s="1124"/>
      <c r="AC214" s="1124"/>
      <c r="AD214" s="1124"/>
      <c r="AE214" s="1124"/>
      <c r="AF214" s="1124"/>
      <c r="AG214" s="1282">
        <f t="shared" si="25"/>
        <v>1236</v>
      </c>
    </row>
    <row r="215" spans="1:33" ht="57.75" customHeight="1">
      <c r="A215" s="796">
        <v>1230</v>
      </c>
      <c r="B215" s="793" t="s">
        <v>826</v>
      </c>
      <c r="C215" s="1074" t="s">
        <v>827</v>
      </c>
      <c r="D215" s="805"/>
      <c r="E215" s="796">
        <v>5</v>
      </c>
      <c r="F215" s="1775">
        <v>43360</v>
      </c>
      <c r="G215" s="1775">
        <f t="shared" si="37"/>
        <v>43365</v>
      </c>
      <c r="H215" s="805" t="s">
        <v>785</v>
      </c>
      <c r="I215" s="796" t="s">
        <v>170</v>
      </c>
      <c r="J215" s="792"/>
      <c r="K215" s="805" t="s">
        <v>830</v>
      </c>
      <c r="L215" s="1776">
        <v>23174</v>
      </c>
      <c r="M215" s="805"/>
      <c r="N215" s="805"/>
      <c r="O215" s="954">
        <v>260</v>
      </c>
      <c r="P215" s="805">
        <v>1</v>
      </c>
      <c r="Q215" s="954">
        <f>O215*P215</f>
        <v>260</v>
      </c>
      <c r="R215" s="1777"/>
      <c r="S215" s="1778"/>
      <c r="T215" s="1778"/>
      <c r="U215" s="1779"/>
      <c r="V215" s="805"/>
      <c r="W215" s="954">
        <v>260</v>
      </c>
      <c r="X215" s="1781"/>
      <c r="Y215" s="1124"/>
      <c r="Z215" s="1124"/>
      <c r="AA215" s="1124"/>
      <c r="AB215" s="1124"/>
      <c r="AC215" s="1124"/>
      <c r="AD215" s="1124"/>
      <c r="AE215" s="1124"/>
      <c r="AF215" s="1124"/>
      <c r="AG215" s="1282">
        <f t="shared" si="25"/>
        <v>260</v>
      </c>
    </row>
    <row r="216" spans="1:33" ht="57.75" customHeight="1">
      <c r="A216" s="796">
        <v>1230</v>
      </c>
      <c r="B216" s="793" t="s">
        <v>826</v>
      </c>
      <c r="C216" s="1074" t="s">
        <v>827</v>
      </c>
      <c r="D216" s="805"/>
      <c r="E216" s="796">
        <v>5</v>
      </c>
      <c r="F216" s="1775">
        <v>43360</v>
      </c>
      <c r="G216" s="1775">
        <f t="shared" si="37"/>
        <v>43365</v>
      </c>
      <c r="H216" s="805" t="s">
        <v>785</v>
      </c>
      <c r="I216" s="796" t="s">
        <v>170</v>
      </c>
      <c r="J216" s="792"/>
      <c r="K216" s="805" t="s">
        <v>831</v>
      </c>
      <c r="L216" s="1776">
        <v>23174</v>
      </c>
      <c r="M216" s="805"/>
      <c r="N216" s="805"/>
      <c r="O216" s="954">
        <v>1173.3333333333333</v>
      </c>
      <c r="P216" s="805">
        <v>1</v>
      </c>
      <c r="Q216" s="954">
        <f>O216*P216</f>
        <v>1173.3333333333333</v>
      </c>
      <c r="R216" s="1777"/>
      <c r="S216" s="1778"/>
      <c r="T216" s="1778"/>
      <c r="U216" s="1779"/>
      <c r="V216" s="805"/>
      <c r="W216" s="954">
        <v>1173.3333333333333</v>
      </c>
      <c r="X216" s="1781"/>
      <c r="Y216" s="1124"/>
      <c r="Z216" s="1124"/>
      <c r="AA216" s="1124"/>
      <c r="AB216" s="1124"/>
      <c r="AC216" s="1124"/>
      <c r="AD216" s="1124"/>
      <c r="AE216" s="1124"/>
      <c r="AF216" s="1124"/>
      <c r="AG216" s="1282">
        <f t="shared" si="25"/>
        <v>1173.3333333333333</v>
      </c>
    </row>
    <row r="217" spans="1:33" ht="57.75" customHeight="1">
      <c r="A217" s="796">
        <v>1230</v>
      </c>
      <c r="B217" s="793" t="s">
        <v>826</v>
      </c>
      <c r="C217" s="1074" t="s">
        <v>827</v>
      </c>
      <c r="D217" s="805"/>
      <c r="E217" s="796">
        <v>5</v>
      </c>
      <c r="F217" s="1775">
        <v>43360</v>
      </c>
      <c r="G217" s="1775">
        <f t="shared" si="37"/>
        <v>43365</v>
      </c>
      <c r="H217" s="805" t="s">
        <v>785</v>
      </c>
      <c r="I217" s="796" t="s">
        <v>170</v>
      </c>
      <c r="J217" s="792"/>
      <c r="K217" s="805" t="s">
        <v>832</v>
      </c>
      <c r="L217" s="1776">
        <v>23174</v>
      </c>
      <c r="M217" s="805"/>
      <c r="N217" s="805"/>
      <c r="O217" s="954">
        <v>146.66666666666666</v>
      </c>
      <c r="P217" s="805">
        <v>1</v>
      </c>
      <c r="Q217" s="954">
        <f>P217*O217</f>
        <v>146.66666666666666</v>
      </c>
      <c r="R217" s="1777"/>
      <c r="S217" s="1778"/>
      <c r="T217" s="1778"/>
      <c r="U217" s="1779"/>
      <c r="V217" s="805"/>
      <c r="W217" s="954">
        <v>146.66666666666666</v>
      </c>
      <c r="X217" s="1781"/>
      <c r="Y217" s="1124"/>
      <c r="Z217" s="1124"/>
      <c r="AA217" s="1124"/>
      <c r="AB217" s="1124"/>
      <c r="AC217" s="1124"/>
      <c r="AD217" s="1124"/>
      <c r="AE217" s="1124"/>
      <c r="AF217" s="1124"/>
      <c r="AG217" s="1282">
        <f t="shared" si="25"/>
        <v>146.66666666666666</v>
      </c>
    </row>
    <row r="218" spans="1:33" ht="57.75" customHeight="1">
      <c r="A218" s="796">
        <v>1230</v>
      </c>
      <c r="B218" s="793" t="s">
        <v>826</v>
      </c>
      <c r="C218" s="1074" t="s">
        <v>827</v>
      </c>
      <c r="D218" s="805"/>
      <c r="E218" s="796">
        <v>5</v>
      </c>
      <c r="F218" s="1775">
        <v>43360</v>
      </c>
      <c r="G218" s="1775">
        <f t="shared" si="37"/>
        <v>43365</v>
      </c>
      <c r="H218" s="805" t="s">
        <v>785</v>
      </c>
      <c r="I218" s="796" t="s">
        <v>170</v>
      </c>
      <c r="J218" s="792"/>
      <c r="K218" s="805" t="s">
        <v>833</v>
      </c>
      <c r="L218" s="1776">
        <v>23174</v>
      </c>
      <c r="M218" s="805"/>
      <c r="N218" s="805"/>
      <c r="O218" s="954">
        <v>1088</v>
      </c>
      <c r="P218" s="805">
        <v>1</v>
      </c>
      <c r="Q218" s="954">
        <f>P218*O218</f>
        <v>1088</v>
      </c>
      <c r="R218" s="1777"/>
      <c r="S218" s="1778"/>
      <c r="T218" s="1778"/>
      <c r="U218" s="1779"/>
      <c r="V218" s="805"/>
      <c r="W218" s="954">
        <v>1088</v>
      </c>
      <c r="X218" s="1781"/>
      <c r="Y218" s="1124"/>
      <c r="Z218" s="1124"/>
      <c r="AA218" s="1124"/>
      <c r="AB218" s="1124"/>
      <c r="AC218" s="1124"/>
      <c r="AD218" s="1124"/>
      <c r="AE218" s="1124"/>
      <c r="AF218" s="1124"/>
      <c r="AG218" s="1282">
        <f t="shared" si="25"/>
        <v>1088</v>
      </c>
    </row>
    <row r="219" spans="1:33" ht="57.75" customHeight="1">
      <c r="A219" s="796">
        <v>1230</v>
      </c>
      <c r="B219" s="793" t="s">
        <v>826</v>
      </c>
      <c r="C219" s="1074" t="s">
        <v>827</v>
      </c>
      <c r="D219" s="805"/>
      <c r="E219" s="796">
        <v>5</v>
      </c>
      <c r="F219" s="1775">
        <v>43360</v>
      </c>
      <c r="G219" s="1775">
        <f t="shared" si="37"/>
        <v>43365</v>
      </c>
      <c r="H219" s="805" t="s">
        <v>785</v>
      </c>
      <c r="I219" s="796" t="s">
        <v>170</v>
      </c>
      <c r="J219" s="792"/>
      <c r="K219" s="805" t="s">
        <v>834</v>
      </c>
      <c r="L219" s="1776">
        <v>23174</v>
      </c>
      <c r="M219" s="805"/>
      <c r="N219" s="805"/>
      <c r="O219" s="954">
        <v>680</v>
      </c>
      <c r="P219" s="805">
        <v>1</v>
      </c>
      <c r="Q219" s="954">
        <f>O219*P219</f>
        <v>680</v>
      </c>
      <c r="R219" s="1777"/>
      <c r="S219" s="1778"/>
      <c r="T219" s="1778"/>
      <c r="U219" s="1779"/>
      <c r="V219" s="805"/>
      <c r="W219" s="954">
        <v>680</v>
      </c>
      <c r="X219" s="1781"/>
      <c r="Y219" s="1124"/>
      <c r="Z219" s="1124"/>
      <c r="AA219" s="1124"/>
      <c r="AB219" s="1124"/>
      <c r="AC219" s="1124"/>
      <c r="AD219" s="1124"/>
      <c r="AE219" s="1124"/>
      <c r="AF219" s="1124"/>
      <c r="AG219" s="1282">
        <f>SUM(S219:AF219)</f>
        <v>680</v>
      </c>
    </row>
    <row r="220" spans="1:33" ht="57.75" customHeight="1">
      <c r="A220" s="796">
        <v>1230</v>
      </c>
      <c r="B220" s="793" t="s">
        <v>826</v>
      </c>
      <c r="C220" s="1074" t="s">
        <v>827</v>
      </c>
      <c r="D220" s="805"/>
      <c r="E220" s="796"/>
      <c r="F220" s="1775"/>
      <c r="G220" s="1775"/>
      <c r="H220" s="805" t="s">
        <v>785</v>
      </c>
      <c r="I220" s="796" t="s">
        <v>170</v>
      </c>
      <c r="J220" s="792"/>
      <c r="K220" s="1292" t="s">
        <v>835</v>
      </c>
      <c r="L220" s="1776">
        <v>23173</v>
      </c>
      <c r="M220" s="805"/>
      <c r="N220" s="805"/>
      <c r="O220" s="954">
        <v>30.331</v>
      </c>
      <c r="P220" s="805">
        <v>1</v>
      </c>
      <c r="Q220" s="954">
        <f>O220*P220</f>
        <v>30.331</v>
      </c>
      <c r="R220" s="1777"/>
      <c r="S220" s="1778"/>
      <c r="T220" s="1778"/>
      <c r="U220" s="1779"/>
      <c r="V220" s="805"/>
      <c r="W220" s="954">
        <v>30.331</v>
      </c>
      <c r="X220" s="1781"/>
      <c r="Y220" s="1124"/>
      <c r="Z220" s="1124"/>
      <c r="AA220" s="1124"/>
      <c r="AB220" s="1124"/>
      <c r="AC220" s="1124"/>
      <c r="AD220" s="1124"/>
      <c r="AE220" s="1124"/>
      <c r="AF220" s="1124"/>
      <c r="AG220" s="1282">
        <f>SUM(S220:AF220)</f>
        <v>30.331</v>
      </c>
    </row>
    <row r="221" spans="1:33" ht="57.75" customHeight="1">
      <c r="A221" s="796">
        <v>1230</v>
      </c>
      <c r="B221" s="793" t="s">
        <v>826</v>
      </c>
      <c r="C221" s="1074" t="s">
        <v>827</v>
      </c>
      <c r="D221" s="805"/>
      <c r="E221" s="796"/>
      <c r="F221" s="796"/>
      <c r="G221" s="796"/>
      <c r="H221" s="805" t="s">
        <v>785</v>
      </c>
      <c r="I221" s="796" t="s">
        <v>170</v>
      </c>
      <c r="J221" s="792"/>
      <c r="K221" s="805" t="s">
        <v>415</v>
      </c>
      <c r="L221" s="1776">
        <v>23173</v>
      </c>
      <c r="M221" s="805"/>
      <c r="N221" s="805"/>
      <c r="O221" s="954">
        <v>833.33333333333337</v>
      </c>
      <c r="P221" s="805">
        <v>1</v>
      </c>
      <c r="Q221" s="954">
        <f>O221*P221</f>
        <v>833.33333333333337</v>
      </c>
      <c r="R221" s="1777"/>
      <c r="S221" s="1778"/>
      <c r="T221" s="1778"/>
      <c r="U221" s="1779"/>
      <c r="V221" s="805"/>
      <c r="W221" s="954">
        <v>833.33333333333337</v>
      </c>
      <c r="X221" s="1781"/>
      <c r="Y221" s="1124"/>
      <c r="Z221" s="1124"/>
      <c r="AA221" s="1124"/>
      <c r="AB221" s="1124"/>
      <c r="AC221" s="1124"/>
      <c r="AD221" s="1124"/>
      <c r="AE221" s="1124"/>
      <c r="AF221" s="1124"/>
      <c r="AG221" s="1282">
        <f>SUM(S221:AF221)</f>
        <v>833.33333333333337</v>
      </c>
    </row>
    <row r="222" spans="1:33" ht="33.75" customHeight="1">
      <c r="A222" s="1827" t="s">
        <v>235</v>
      </c>
      <c r="B222" s="1517"/>
      <c r="C222" s="1828"/>
      <c r="D222" s="1829"/>
      <c r="E222" s="1829"/>
      <c r="F222" s="1829"/>
      <c r="G222" s="1829"/>
      <c r="H222" s="1829"/>
      <c r="I222" s="1830"/>
      <c r="J222" s="835"/>
      <c r="K222" s="1815"/>
      <c r="L222" s="1817"/>
      <c r="M222" s="1818"/>
      <c r="N222" s="1819"/>
      <c r="O222" s="1820"/>
      <c r="P222" s="1819"/>
      <c r="Q222" s="1821">
        <f>Q223+Q302+Q345</f>
        <v>688782.5104266667</v>
      </c>
      <c r="R222" s="1822">
        <f>+R223+R302+R345</f>
        <v>688782.21</v>
      </c>
      <c r="S222" s="1821">
        <f t="shared" ref="S222:AG222" si="38">S223+S302+S345</f>
        <v>0</v>
      </c>
      <c r="T222" s="1821">
        <f t="shared" si="38"/>
        <v>1700</v>
      </c>
      <c r="U222" s="1821">
        <f t="shared" si="38"/>
        <v>152563.84376000002</v>
      </c>
      <c r="V222" s="1821">
        <f t="shared" si="38"/>
        <v>137838.66666666669</v>
      </c>
      <c r="W222" s="1821">
        <f t="shared" si="38"/>
        <v>64436</v>
      </c>
      <c r="X222" s="1831">
        <f t="shared" si="38"/>
        <v>109804</v>
      </c>
      <c r="Y222" s="1832">
        <f t="shared" si="38"/>
        <v>187000</v>
      </c>
      <c r="Z222" s="1833">
        <f t="shared" si="38"/>
        <v>11600</v>
      </c>
      <c r="AA222" s="1833">
        <f t="shared" si="38"/>
        <v>11640</v>
      </c>
      <c r="AB222" s="1833">
        <f t="shared" si="38"/>
        <v>500</v>
      </c>
      <c r="AC222" s="1833">
        <f t="shared" si="38"/>
        <v>500</v>
      </c>
      <c r="AD222" s="1833">
        <f t="shared" si="38"/>
        <v>10200</v>
      </c>
      <c r="AE222" s="1833">
        <f t="shared" si="38"/>
        <v>500</v>
      </c>
      <c r="AF222" s="1833">
        <f t="shared" si="38"/>
        <v>500</v>
      </c>
      <c r="AG222" s="1821">
        <f t="shared" si="38"/>
        <v>688782.5104266667</v>
      </c>
    </row>
    <row r="223" spans="1:33" ht="37.5" customHeight="1">
      <c r="A223" s="1540" t="s">
        <v>236</v>
      </c>
      <c r="B223" s="1461"/>
      <c r="C223" s="1500"/>
      <c r="D223" s="1335"/>
      <c r="E223" s="1335"/>
      <c r="F223" s="1335"/>
      <c r="G223" s="1335"/>
      <c r="H223" s="1335"/>
      <c r="I223" s="1336"/>
      <c r="J223" s="273"/>
      <c r="K223" s="1248"/>
      <c r="L223" s="1269"/>
      <c r="M223" s="1270"/>
      <c r="N223" s="1268"/>
      <c r="O223" s="1271"/>
      <c r="P223" s="1268"/>
      <c r="Q223" s="1272">
        <f>+Q224+Q233+Q245+Q264+Q283</f>
        <v>300354.41666666669</v>
      </c>
      <c r="R223" s="1273">
        <f>+'[2]Compil Costing PPA 3 millions'!F7</f>
        <v>300354.12</v>
      </c>
      <c r="S223" s="1272">
        <f>+S224+S233+S245+S264+S283</f>
        <v>0</v>
      </c>
      <c r="T223" s="1272">
        <f>+T224+T233+T245+T264+T283</f>
        <v>0</v>
      </c>
      <c r="U223" s="1272">
        <f t="shared" ref="U223:AF223" si="39">+U224+U233+U245+U264+U283</f>
        <v>79470.75</v>
      </c>
      <c r="V223" s="1272">
        <f t="shared" si="39"/>
        <v>40583.666666666672</v>
      </c>
      <c r="W223" s="1272">
        <f t="shared" si="39"/>
        <v>54436</v>
      </c>
      <c r="X223" s="1272">
        <f t="shared" si="39"/>
        <v>45624</v>
      </c>
      <c r="Y223" s="1272">
        <f t="shared" si="39"/>
        <v>77200</v>
      </c>
      <c r="Z223" s="1272">
        <f t="shared" si="39"/>
        <v>0</v>
      </c>
      <c r="AA223" s="1272">
        <f t="shared" si="39"/>
        <v>3040</v>
      </c>
      <c r="AB223" s="1272">
        <f t="shared" si="39"/>
        <v>0</v>
      </c>
      <c r="AC223" s="1272">
        <f t="shared" si="39"/>
        <v>0</v>
      </c>
      <c r="AD223" s="1272">
        <f t="shared" si="39"/>
        <v>0</v>
      </c>
      <c r="AE223" s="1272">
        <f t="shared" si="39"/>
        <v>0</v>
      </c>
      <c r="AF223" s="1272">
        <f t="shared" si="39"/>
        <v>0</v>
      </c>
      <c r="AG223" s="1272">
        <f>+AG224+AG233+AG245+AG264+AG283</f>
        <v>300354.41666666669</v>
      </c>
    </row>
    <row r="224" spans="1:33" ht="29.25" customHeight="1">
      <c r="A224" s="1275">
        <v>211</v>
      </c>
      <c r="B224" s="995" t="s">
        <v>59</v>
      </c>
      <c r="C224" s="1083"/>
      <c r="D224" s="1339"/>
      <c r="E224" s="1340"/>
      <c r="F224" s="1340"/>
      <c r="G224" s="1340"/>
      <c r="H224" s="1339"/>
      <c r="I224" s="1341"/>
      <c r="J224" s="283"/>
      <c r="K224" s="1278"/>
      <c r="L224" s="1279"/>
      <c r="M224" s="1280"/>
      <c r="N224" s="1277"/>
      <c r="O224" s="1281"/>
      <c r="P224" s="1277"/>
      <c r="Q224" s="1282">
        <f>SUM(Q225:Q232)</f>
        <v>32625.75</v>
      </c>
      <c r="R224" s="287"/>
      <c r="S224" s="1282">
        <f t="shared" ref="S224:AF224" si="40">SUM(S225:S232)</f>
        <v>0</v>
      </c>
      <c r="T224" s="1282">
        <f t="shared" si="40"/>
        <v>0</v>
      </c>
      <c r="U224" s="1282">
        <f t="shared" si="40"/>
        <v>32625.75</v>
      </c>
      <c r="V224" s="1282">
        <f t="shared" si="40"/>
        <v>0</v>
      </c>
      <c r="W224" s="1282">
        <f t="shared" si="40"/>
        <v>0</v>
      </c>
      <c r="X224" s="1282">
        <f t="shared" si="40"/>
        <v>0</v>
      </c>
      <c r="Y224" s="1282">
        <f t="shared" si="40"/>
        <v>0</v>
      </c>
      <c r="Z224" s="1282">
        <f t="shared" si="40"/>
        <v>0</v>
      </c>
      <c r="AA224" s="1282">
        <f t="shared" si="40"/>
        <v>0</v>
      </c>
      <c r="AB224" s="1282">
        <f t="shared" si="40"/>
        <v>0</v>
      </c>
      <c r="AC224" s="1282">
        <f t="shared" si="40"/>
        <v>0</v>
      </c>
      <c r="AD224" s="1282">
        <f t="shared" si="40"/>
        <v>0</v>
      </c>
      <c r="AE224" s="1282">
        <f t="shared" si="40"/>
        <v>0</v>
      </c>
      <c r="AF224" s="1282">
        <f t="shared" si="40"/>
        <v>0</v>
      </c>
      <c r="AG224" s="1282">
        <f>SUM(S224:AF224)</f>
        <v>32625.75</v>
      </c>
    </row>
    <row r="225" spans="1:33" ht="32.25" customHeight="1">
      <c r="A225" s="294">
        <v>2111</v>
      </c>
      <c r="B225" s="291" t="s">
        <v>59</v>
      </c>
      <c r="C225" s="824" t="s">
        <v>293</v>
      </c>
      <c r="D225" s="326"/>
      <c r="E225" s="294">
        <v>5</v>
      </c>
      <c r="F225" s="293">
        <v>43221</v>
      </c>
      <c r="G225" s="293">
        <f>+E225+F225</f>
        <v>43226</v>
      </c>
      <c r="H225" s="293" t="s">
        <v>294</v>
      </c>
      <c r="I225" s="294" t="s">
        <v>171</v>
      </c>
      <c r="J225" s="307" t="s">
        <v>295</v>
      </c>
      <c r="K225" s="326" t="s">
        <v>296</v>
      </c>
      <c r="L225" s="1237">
        <v>23174</v>
      </c>
      <c r="M225" s="326"/>
      <c r="N225" s="294"/>
      <c r="O225" s="354">
        <v>1800</v>
      </c>
      <c r="P225" s="294">
        <v>3</v>
      </c>
      <c r="Q225" s="355">
        <f t="shared" ref="Q225:Q232" si="41">+O225*P225</f>
        <v>5400</v>
      </c>
      <c r="R225" s="299"/>
      <c r="S225" s="355"/>
      <c r="T225" s="355"/>
      <c r="U225" s="355">
        <v>5400</v>
      </c>
      <c r="V225" s="355"/>
      <c r="W225" s="355"/>
      <c r="X225" s="1137"/>
      <c r="Y225" s="1126"/>
      <c r="Z225" s="1194"/>
      <c r="AA225" s="1194"/>
      <c r="AB225" s="1194"/>
      <c r="AC225" s="1124"/>
      <c r="AD225" s="1124"/>
      <c r="AE225" s="1152"/>
      <c r="AF225" s="1124"/>
      <c r="AG225" s="1282">
        <f t="shared" ref="AG225:AG232" si="42">SUM(S225:AF225)</f>
        <v>5400</v>
      </c>
    </row>
    <row r="226" spans="1:33" ht="32.25" customHeight="1">
      <c r="A226" s="294">
        <v>2111</v>
      </c>
      <c r="B226" s="291" t="s">
        <v>59</v>
      </c>
      <c r="C226" s="824" t="s">
        <v>293</v>
      </c>
      <c r="D226" s="326"/>
      <c r="E226" s="294">
        <v>5</v>
      </c>
      <c r="F226" s="293">
        <v>43221</v>
      </c>
      <c r="G226" s="293">
        <f t="shared" ref="G226:G232" si="43">+E226+F226</f>
        <v>43226</v>
      </c>
      <c r="H226" s="293" t="s">
        <v>294</v>
      </c>
      <c r="I226" s="294" t="s">
        <v>171</v>
      </c>
      <c r="J226" s="307" t="s">
        <v>295</v>
      </c>
      <c r="K226" s="326" t="s">
        <v>297</v>
      </c>
      <c r="L226" s="1237">
        <v>23174</v>
      </c>
      <c r="M226" s="326"/>
      <c r="N226" s="294"/>
      <c r="O226" s="354">
        <v>177.33333333333334</v>
      </c>
      <c r="P226" s="294">
        <v>3</v>
      </c>
      <c r="Q226" s="355">
        <f t="shared" si="41"/>
        <v>532</v>
      </c>
      <c r="R226" s="299"/>
      <c r="S226" s="355"/>
      <c r="T226" s="355"/>
      <c r="U226" s="355">
        <v>532</v>
      </c>
      <c r="V226" s="355"/>
      <c r="W226" s="355"/>
      <c r="X226" s="1137"/>
      <c r="Y226" s="1126"/>
      <c r="Z226" s="1194"/>
      <c r="AA226" s="1194"/>
      <c r="AB226" s="1194"/>
      <c r="AC226" s="1124"/>
      <c r="AD226" s="1124"/>
      <c r="AE226" s="1152"/>
      <c r="AF226" s="1124"/>
      <c r="AG226" s="1282">
        <f t="shared" si="42"/>
        <v>532</v>
      </c>
    </row>
    <row r="227" spans="1:33" ht="32.25" customHeight="1">
      <c r="A227" s="294">
        <v>2111</v>
      </c>
      <c r="B227" s="291" t="s">
        <v>59</v>
      </c>
      <c r="C227" s="824" t="s">
        <v>293</v>
      </c>
      <c r="D227" s="326"/>
      <c r="E227" s="294">
        <v>5</v>
      </c>
      <c r="F227" s="293">
        <v>43221</v>
      </c>
      <c r="G227" s="293">
        <f t="shared" si="43"/>
        <v>43226</v>
      </c>
      <c r="H227" s="293" t="s">
        <v>294</v>
      </c>
      <c r="I227" s="294" t="s">
        <v>171</v>
      </c>
      <c r="J227" s="307" t="s">
        <v>295</v>
      </c>
      <c r="K227" s="326" t="s">
        <v>298</v>
      </c>
      <c r="L227" s="1237">
        <v>23174</v>
      </c>
      <c r="M227" s="326"/>
      <c r="N227" s="294"/>
      <c r="O227" s="354">
        <v>224</v>
      </c>
      <c r="P227" s="294">
        <v>3</v>
      </c>
      <c r="Q227" s="355">
        <f t="shared" si="41"/>
        <v>672</v>
      </c>
      <c r="R227" s="299"/>
      <c r="S227" s="355"/>
      <c r="T227" s="355"/>
      <c r="U227" s="355">
        <v>672</v>
      </c>
      <c r="V227" s="355"/>
      <c r="W227" s="355"/>
      <c r="X227" s="1137"/>
      <c r="Y227" s="1126"/>
      <c r="Z227" s="1194"/>
      <c r="AA227" s="1194"/>
      <c r="AB227" s="1194"/>
      <c r="AC227" s="1124"/>
      <c r="AD227" s="1124"/>
      <c r="AE227" s="1152"/>
      <c r="AF227" s="1124"/>
      <c r="AG227" s="1282">
        <f t="shared" si="42"/>
        <v>672</v>
      </c>
    </row>
    <row r="228" spans="1:33" ht="32.25" customHeight="1">
      <c r="A228" s="294">
        <v>2111</v>
      </c>
      <c r="B228" s="291" t="s">
        <v>59</v>
      </c>
      <c r="C228" s="824" t="s">
        <v>293</v>
      </c>
      <c r="D228" s="326"/>
      <c r="E228" s="294">
        <v>5</v>
      </c>
      <c r="F228" s="293">
        <v>43221</v>
      </c>
      <c r="G228" s="293">
        <f t="shared" si="43"/>
        <v>43226</v>
      </c>
      <c r="H228" s="293" t="s">
        <v>294</v>
      </c>
      <c r="I228" s="294" t="s">
        <v>171</v>
      </c>
      <c r="J228" s="307" t="s">
        <v>295</v>
      </c>
      <c r="K228" s="326" t="s">
        <v>299</v>
      </c>
      <c r="L228" s="1237">
        <v>23174</v>
      </c>
      <c r="M228" s="326"/>
      <c r="N228" s="294"/>
      <c r="O228" s="354">
        <v>166.66666666666666</v>
      </c>
      <c r="P228" s="294">
        <v>3</v>
      </c>
      <c r="Q228" s="355">
        <f t="shared" si="41"/>
        <v>500</v>
      </c>
      <c r="R228" s="299"/>
      <c r="S228" s="355"/>
      <c r="T228" s="355"/>
      <c r="U228" s="355">
        <v>500</v>
      </c>
      <c r="V228" s="355"/>
      <c r="W228" s="355"/>
      <c r="X228" s="1137"/>
      <c r="Y228" s="1126"/>
      <c r="Z228" s="1194"/>
      <c r="AA228" s="1194"/>
      <c r="AB228" s="1194"/>
      <c r="AC228" s="1124"/>
      <c r="AD228" s="1124"/>
      <c r="AE228" s="1152"/>
      <c r="AF228" s="1124"/>
      <c r="AG228" s="1282">
        <f t="shared" si="42"/>
        <v>500</v>
      </c>
    </row>
    <row r="229" spans="1:33" ht="32.25" customHeight="1">
      <c r="A229" s="294">
        <v>2111</v>
      </c>
      <c r="B229" s="291" t="s">
        <v>59</v>
      </c>
      <c r="C229" s="824" t="s">
        <v>293</v>
      </c>
      <c r="D229" s="326"/>
      <c r="E229" s="294">
        <v>5</v>
      </c>
      <c r="F229" s="293">
        <v>43221</v>
      </c>
      <c r="G229" s="293">
        <f t="shared" si="43"/>
        <v>43226</v>
      </c>
      <c r="H229" s="293" t="s">
        <v>294</v>
      </c>
      <c r="I229" s="294" t="s">
        <v>171</v>
      </c>
      <c r="J229" s="307" t="s">
        <v>295</v>
      </c>
      <c r="K229" s="326" t="s">
        <v>300</v>
      </c>
      <c r="L229" s="1237">
        <v>23174</v>
      </c>
      <c r="M229" s="326"/>
      <c r="N229" s="294"/>
      <c r="O229" s="354">
        <v>426.66666666666669</v>
      </c>
      <c r="P229" s="294">
        <v>3</v>
      </c>
      <c r="Q229" s="355">
        <f t="shared" si="41"/>
        <v>1280</v>
      </c>
      <c r="R229" s="299"/>
      <c r="S229" s="355"/>
      <c r="T229" s="355"/>
      <c r="U229" s="355">
        <v>1280</v>
      </c>
      <c r="V229" s="355"/>
      <c r="W229" s="355"/>
      <c r="X229" s="1137"/>
      <c r="Y229" s="1126"/>
      <c r="Z229" s="1194"/>
      <c r="AA229" s="1194"/>
      <c r="AB229" s="1194"/>
      <c r="AC229" s="1124"/>
      <c r="AD229" s="1124"/>
      <c r="AE229" s="1152"/>
      <c r="AF229" s="1124"/>
      <c r="AG229" s="1282">
        <f t="shared" si="42"/>
        <v>1280</v>
      </c>
    </row>
    <row r="230" spans="1:33" ht="32.25" customHeight="1">
      <c r="A230" s="294">
        <v>2111</v>
      </c>
      <c r="B230" s="291" t="s">
        <v>59</v>
      </c>
      <c r="C230" s="824" t="s">
        <v>293</v>
      </c>
      <c r="D230" s="326"/>
      <c r="E230" s="294">
        <v>5</v>
      </c>
      <c r="F230" s="293">
        <v>43221</v>
      </c>
      <c r="G230" s="293">
        <f t="shared" si="43"/>
        <v>43226</v>
      </c>
      <c r="H230" s="293" t="s">
        <v>294</v>
      </c>
      <c r="I230" s="294" t="s">
        <v>171</v>
      </c>
      <c r="J230" s="307" t="s">
        <v>295</v>
      </c>
      <c r="K230" s="326" t="s">
        <v>301</v>
      </c>
      <c r="L230" s="1237">
        <v>23173</v>
      </c>
      <c r="M230" s="326"/>
      <c r="N230" s="294"/>
      <c r="O230" s="354">
        <v>166.66666666666666</v>
      </c>
      <c r="P230" s="294">
        <v>3</v>
      </c>
      <c r="Q230" s="355">
        <f t="shared" si="41"/>
        <v>500</v>
      </c>
      <c r="R230" s="299"/>
      <c r="S230" s="355"/>
      <c r="T230" s="355"/>
      <c r="U230" s="355">
        <v>500</v>
      </c>
      <c r="V230" s="355"/>
      <c r="W230" s="355"/>
      <c r="X230" s="1137"/>
      <c r="Y230" s="1126"/>
      <c r="Z230" s="1194"/>
      <c r="AA230" s="1194"/>
      <c r="AB230" s="1194"/>
      <c r="AC230" s="1124"/>
      <c r="AD230" s="1124"/>
      <c r="AE230" s="1152"/>
      <c r="AF230" s="1124"/>
      <c r="AG230" s="1282">
        <f t="shared" si="42"/>
        <v>500</v>
      </c>
    </row>
    <row r="231" spans="1:33" ht="32.25" customHeight="1">
      <c r="A231" s="294">
        <v>2111</v>
      </c>
      <c r="B231" s="291" t="s">
        <v>59</v>
      </c>
      <c r="C231" s="824" t="s">
        <v>293</v>
      </c>
      <c r="D231" s="326"/>
      <c r="E231" s="294">
        <v>5</v>
      </c>
      <c r="F231" s="293">
        <v>43221</v>
      </c>
      <c r="G231" s="293">
        <f t="shared" si="43"/>
        <v>43226</v>
      </c>
      <c r="H231" s="293" t="s">
        <v>294</v>
      </c>
      <c r="I231" s="294" t="s">
        <v>171</v>
      </c>
      <c r="J231" s="307" t="s">
        <v>295</v>
      </c>
      <c r="K231" s="326" t="s">
        <v>302</v>
      </c>
      <c r="L231" s="1237">
        <v>23173</v>
      </c>
      <c r="M231" s="326"/>
      <c r="N231" s="294"/>
      <c r="O231" s="354">
        <v>343.66666666666669</v>
      </c>
      <c r="P231" s="294">
        <v>3</v>
      </c>
      <c r="Q231" s="355">
        <f t="shared" si="41"/>
        <v>1031</v>
      </c>
      <c r="R231" s="299"/>
      <c r="S231" s="355"/>
      <c r="T231" s="355"/>
      <c r="U231" s="355">
        <v>1031</v>
      </c>
      <c r="V231" s="355"/>
      <c r="W231" s="355"/>
      <c r="X231" s="1137"/>
      <c r="Y231" s="1126"/>
      <c r="Z231" s="1194"/>
      <c r="AA231" s="1194"/>
      <c r="AB231" s="1194"/>
      <c r="AC231" s="1124"/>
      <c r="AD231" s="1124"/>
      <c r="AE231" s="1152"/>
      <c r="AF231" s="1124"/>
      <c r="AG231" s="1282">
        <f t="shared" si="42"/>
        <v>1031</v>
      </c>
    </row>
    <row r="232" spans="1:33" ht="32.25" customHeight="1">
      <c r="A232" s="294">
        <v>2112</v>
      </c>
      <c r="B232" s="291" t="s">
        <v>303</v>
      </c>
      <c r="C232" s="824" t="s">
        <v>304</v>
      </c>
      <c r="D232" s="326"/>
      <c r="E232" s="294">
        <v>60</v>
      </c>
      <c r="F232" s="293">
        <v>43221</v>
      </c>
      <c r="G232" s="293">
        <f t="shared" si="43"/>
        <v>43281</v>
      </c>
      <c r="H232" s="293" t="s">
        <v>294</v>
      </c>
      <c r="I232" s="294" t="s">
        <v>171</v>
      </c>
      <c r="J232" s="307" t="s">
        <v>295</v>
      </c>
      <c r="K232" s="326" t="s">
        <v>305</v>
      </c>
      <c r="L232" s="1237">
        <v>2461</v>
      </c>
      <c r="M232" s="326"/>
      <c r="N232" s="294"/>
      <c r="O232" s="354">
        <v>504.68333333333334</v>
      </c>
      <c r="P232" s="294">
        <v>45</v>
      </c>
      <c r="Q232" s="355">
        <f t="shared" si="41"/>
        <v>22710.75</v>
      </c>
      <c r="R232" s="299"/>
      <c r="S232" s="355"/>
      <c r="T232" s="355"/>
      <c r="U232" s="355">
        <v>22710.75</v>
      </c>
      <c r="V232" s="355"/>
      <c r="W232" s="355"/>
      <c r="X232" s="1137"/>
      <c r="Y232" s="1126"/>
      <c r="Z232" s="1194"/>
      <c r="AA232" s="1194"/>
      <c r="AB232" s="1194"/>
      <c r="AC232" s="1124"/>
      <c r="AD232" s="1124"/>
      <c r="AE232" s="1152"/>
      <c r="AF232" s="1124"/>
      <c r="AG232" s="1282">
        <f t="shared" si="42"/>
        <v>22710.75</v>
      </c>
    </row>
    <row r="233" spans="1:33" ht="29.25" customHeight="1">
      <c r="A233" s="1275">
        <v>212</v>
      </c>
      <c r="B233" s="995" t="s">
        <v>306</v>
      </c>
      <c r="C233" s="1083"/>
      <c r="D233" s="1339"/>
      <c r="E233" s="1340"/>
      <c r="F233" s="1340"/>
      <c r="G233" s="1340"/>
      <c r="H233" s="1339"/>
      <c r="I233" s="1341"/>
      <c r="J233" s="283"/>
      <c r="K233" s="1278"/>
      <c r="L233" s="1279"/>
      <c r="M233" s="1280"/>
      <c r="N233" s="1277"/>
      <c r="O233" s="1281"/>
      <c r="P233" s="1277"/>
      <c r="Q233" s="1282">
        <f>SUM(Q234:Q244)</f>
        <v>39681</v>
      </c>
      <c r="R233" s="287"/>
      <c r="S233" s="1282">
        <f t="shared" ref="S233:AF233" si="44">SUM(S234:S244)</f>
        <v>0</v>
      </c>
      <c r="T233" s="1282">
        <f t="shared" si="44"/>
        <v>0</v>
      </c>
      <c r="U233" s="1282">
        <f t="shared" si="44"/>
        <v>11347.666666666666</v>
      </c>
      <c r="V233" s="1282">
        <f t="shared" si="44"/>
        <v>0</v>
      </c>
      <c r="W233" s="1282">
        <f t="shared" si="44"/>
        <v>28333.333333333336</v>
      </c>
      <c r="X233" s="1282">
        <f t="shared" si="44"/>
        <v>0</v>
      </c>
      <c r="Y233" s="1282">
        <f t="shared" si="44"/>
        <v>0</v>
      </c>
      <c r="Z233" s="1282">
        <f t="shared" si="44"/>
        <v>0</v>
      </c>
      <c r="AA233" s="1282">
        <f t="shared" si="44"/>
        <v>0</v>
      </c>
      <c r="AB233" s="1282">
        <f t="shared" si="44"/>
        <v>0</v>
      </c>
      <c r="AC233" s="1282">
        <f t="shared" si="44"/>
        <v>0</v>
      </c>
      <c r="AD233" s="1282">
        <f t="shared" si="44"/>
        <v>0</v>
      </c>
      <c r="AE233" s="1282">
        <f t="shared" si="44"/>
        <v>0</v>
      </c>
      <c r="AF233" s="1282">
        <f t="shared" si="44"/>
        <v>0</v>
      </c>
      <c r="AG233" s="1282">
        <f>SUM(S233:AF233)</f>
        <v>39681</v>
      </c>
    </row>
    <row r="234" spans="1:33" ht="32.25" customHeight="1">
      <c r="A234" s="294">
        <v>2121</v>
      </c>
      <c r="B234" s="291" t="s">
        <v>60</v>
      </c>
      <c r="C234" s="824" t="s">
        <v>307</v>
      </c>
      <c r="D234" s="326"/>
      <c r="E234" s="294">
        <v>2</v>
      </c>
      <c r="F234" s="293">
        <v>43227</v>
      </c>
      <c r="G234" s="293">
        <f t="shared" ref="G234:G244" si="45">+E234+F234</f>
        <v>43229</v>
      </c>
      <c r="H234" s="293" t="s">
        <v>294</v>
      </c>
      <c r="I234" s="294" t="s">
        <v>171</v>
      </c>
      <c r="J234" s="307" t="s">
        <v>295</v>
      </c>
      <c r="K234" s="326" t="s">
        <v>308</v>
      </c>
      <c r="L234" s="1237">
        <v>23173</v>
      </c>
      <c r="M234" s="326"/>
      <c r="N234" s="294"/>
      <c r="O234" s="1110">
        <v>270</v>
      </c>
      <c r="P234" s="294">
        <v>1</v>
      </c>
      <c r="Q234" s="355">
        <v>90</v>
      </c>
      <c r="R234" s="299"/>
      <c r="S234" s="355"/>
      <c r="T234" s="355"/>
      <c r="U234" s="355">
        <v>90</v>
      </c>
      <c r="V234" s="355"/>
      <c r="W234" s="355"/>
      <c r="X234" s="1137"/>
      <c r="Y234" s="1126"/>
      <c r="Z234" s="1194"/>
      <c r="AA234" s="1194"/>
      <c r="AB234" s="1194"/>
      <c r="AC234" s="1124"/>
      <c r="AD234" s="1124"/>
      <c r="AE234" s="1152"/>
      <c r="AF234" s="1124"/>
      <c r="AG234" s="1282">
        <f t="shared" ref="AG234:AG244" si="46">SUM(S234:AF234)</f>
        <v>90</v>
      </c>
    </row>
    <row r="235" spans="1:33" ht="32.25" customHeight="1">
      <c r="A235" s="294">
        <v>2121</v>
      </c>
      <c r="B235" s="291" t="s">
        <v>60</v>
      </c>
      <c r="C235" s="824" t="s">
        <v>307</v>
      </c>
      <c r="D235" s="326"/>
      <c r="E235" s="294">
        <v>2</v>
      </c>
      <c r="F235" s="293">
        <v>43227</v>
      </c>
      <c r="G235" s="293">
        <f t="shared" si="45"/>
        <v>43229</v>
      </c>
      <c r="H235" s="293" t="s">
        <v>294</v>
      </c>
      <c r="I235" s="294" t="s">
        <v>171</v>
      </c>
      <c r="J235" s="307" t="s">
        <v>295</v>
      </c>
      <c r="K235" s="326" t="s">
        <v>309</v>
      </c>
      <c r="L235" s="1237">
        <v>23173</v>
      </c>
      <c r="M235" s="326"/>
      <c r="N235" s="294"/>
      <c r="O235" s="1110">
        <v>1260</v>
      </c>
      <c r="P235" s="294">
        <v>1</v>
      </c>
      <c r="Q235" s="355">
        <v>420</v>
      </c>
      <c r="R235" s="299"/>
      <c r="S235" s="355"/>
      <c r="T235" s="355"/>
      <c r="U235" s="355">
        <v>420</v>
      </c>
      <c r="V235" s="355"/>
      <c r="W235" s="355"/>
      <c r="X235" s="1137"/>
      <c r="Y235" s="1126"/>
      <c r="Z235" s="1194"/>
      <c r="AA235" s="1194"/>
      <c r="AB235" s="1194"/>
      <c r="AC235" s="1124"/>
      <c r="AD235" s="1124"/>
      <c r="AE235" s="1152"/>
      <c r="AF235" s="1124"/>
      <c r="AG235" s="1282">
        <f t="shared" si="46"/>
        <v>420</v>
      </c>
    </row>
    <row r="236" spans="1:33" ht="32.25" customHeight="1">
      <c r="A236" s="294">
        <v>2121</v>
      </c>
      <c r="B236" s="291" t="s">
        <v>60</v>
      </c>
      <c r="C236" s="824" t="s">
        <v>307</v>
      </c>
      <c r="D236" s="326"/>
      <c r="E236" s="294">
        <v>2</v>
      </c>
      <c r="F236" s="293">
        <v>43227</v>
      </c>
      <c r="G236" s="293">
        <f t="shared" si="45"/>
        <v>43229</v>
      </c>
      <c r="H236" s="293" t="s">
        <v>294</v>
      </c>
      <c r="I236" s="294" t="s">
        <v>171</v>
      </c>
      <c r="J236" s="307" t="s">
        <v>295</v>
      </c>
      <c r="K236" s="1094" t="s">
        <v>310</v>
      </c>
      <c r="L236" s="1237">
        <v>23174</v>
      </c>
      <c r="M236" s="326"/>
      <c r="N236" s="294"/>
      <c r="O236" s="1110">
        <v>11400</v>
      </c>
      <c r="P236" s="294">
        <v>1</v>
      </c>
      <c r="Q236" s="355">
        <v>3800</v>
      </c>
      <c r="R236" s="299"/>
      <c r="S236" s="355"/>
      <c r="T236" s="355"/>
      <c r="U236" s="355">
        <v>3800</v>
      </c>
      <c r="V236" s="355"/>
      <c r="W236" s="355"/>
      <c r="X236" s="1137"/>
      <c r="Y236" s="1126"/>
      <c r="Z236" s="1194"/>
      <c r="AA236" s="1194"/>
      <c r="AB236" s="1194"/>
      <c r="AC236" s="1124"/>
      <c r="AD236" s="1124"/>
      <c r="AE236" s="1152"/>
      <c r="AF236" s="1124"/>
      <c r="AG236" s="1282">
        <f t="shared" si="46"/>
        <v>3800</v>
      </c>
    </row>
    <row r="237" spans="1:33" ht="32.25" customHeight="1">
      <c r="A237" s="294">
        <v>2121</v>
      </c>
      <c r="B237" s="291" t="s">
        <v>60</v>
      </c>
      <c r="C237" s="824" t="s">
        <v>307</v>
      </c>
      <c r="D237" s="326"/>
      <c r="E237" s="294">
        <v>2</v>
      </c>
      <c r="F237" s="293">
        <v>43227</v>
      </c>
      <c r="G237" s="293">
        <f t="shared" si="45"/>
        <v>43229</v>
      </c>
      <c r="H237" s="293" t="s">
        <v>294</v>
      </c>
      <c r="I237" s="294" t="s">
        <v>171</v>
      </c>
      <c r="J237" s="307" t="s">
        <v>295</v>
      </c>
      <c r="K237" s="326" t="s">
        <v>311</v>
      </c>
      <c r="L237" s="1237">
        <v>23174</v>
      </c>
      <c r="M237" s="326"/>
      <c r="N237" s="294"/>
      <c r="O237" s="1110">
        <v>1200</v>
      </c>
      <c r="P237" s="294">
        <v>1</v>
      </c>
      <c r="Q237" s="355">
        <v>400</v>
      </c>
      <c r="R237" s="299"/>
      <c r="S237" s="355"/>
      <c r="T237" s="355"/>
      <c r="U237" s="355">
        <v>400</v>
      </c>
      <c r="V237" s="355"/>
      <c r="W237" s="355"/>
      <c r="X237" s="1137"/>
      <c r="Y237" s="1126"/>
      <c r="Z237" s="1194"/>
      <c r="AA237" s="1194"/>
      <c r="AB237" s="1194"/>
      <c r="AC237" s="1124"/>
      <c r="AD237" s="1124"/>
      <c r="AE237" s="1152"/>
      <c r="AF237" s="1124"/>
      <c r="AG237" s="1282">
        <f t="shared" si="46"/>
        <v>400</v>
      </c>
    </row>
    <row r="238" spans="1:33" ht="32.25" customHeight="1">
      <c r="A238" s="294">
        <v>2121</v>
      </c>
      <c r="B238" s="291" t="s">
        <v>60</v>
      </c>
      <c r="C238" s="824" t="s">
        <v>307</v>
      </c>
      <c r="D238" s="326"/>
      <c r="E238" s="294">
        <v>2</v>
      </c>
      <c r="F238" s="293">
        <v>43227</v>
      </c>
      <c r="G238" s="293">
        <f t="shared" si="45"/>
        <v>43229</v>
      </c>
      <c r="H238" s="293" t="s">
        <v>294</v>
      </c>
      <c r="I238" s="294" t="s">
        <v>171</v>
      </c>
      <c r="J238" s="307" t="s">
        <v>295</v>
      </c>
      <c r="K238" s="326" t="s">
        <v>301</v>
      </c>
      <c r="L238" s="1237">
        <v>23173</v>
      </c>
      <c r="M238" s="326"/>
      <c r="N238" s="294"/>
      <c r="O238" s="1110">
        <v>900</v>
      </c>
      <c r="P238" s="294">
        <v>1</v>
      </c>
      <c r="Q238" s="355">
        <v>300</v>
      </c>
      <c r="R238" s="299"/>
      <c r="S238" s="355"/>
      <c r="T238" s="355"/>
      <c r="U238" s="355">
        <v>300</v>
      </c>
      <c r="V238" s="355"/>
      <c r="W238" s="355"/>
      <c r="X238" s="1137"/>
      <c r="Y238" s="1126"/>
      <c r="Z238" s="1194"/>
      <c r="AA238" s="1194"/>
      <c r="AB238" s="1194"/>
      <c r="AC238" s="1124"/>
      <c r="AD238" s="1124"/>
      <c r="AE238" s="1152"/>
      <c r="AF238" s="1124"/>
      <c r="AG238" s="1282">
        <f t="shared" si="46"/>
        <v>300</v>
      </c>
    </row>
    <row r="239" spans="1:33" ht="32.25" customHeight="1">
      <c r="A239" s="294">
        <v>2121</v>
      </c>
      <c r="B239" s="291" t="s">
        <v>60</v>
      </c>
      <c r="C239" s="824" t="s">
        <v>307</v>
      </c>
      <c r="D239" s="326"/>
      <c r="E239" s="294">
        <v>2</v>
      </c>
      <c r="F239" s="293">
        <v>43227</v>
      </c>
      <c r="G239" s="293">
        <f t="shared" si="45"/>
        <v>43229</v>
      </c>
      <c r="H239" s="293" t="s">
        <v>294</v>
      </c>
      <c r="I239" s="294" t="s">
        <v>171</v>
      </c>
      <c r="J239" s="307" t="s">
        <v>295</v>
      </c>
      <c r="K239" s="1094" t="s">
        <v>312</v>
      </c>
      <c r="L239" s="1237">
        <v>23173</v>
      </c>
      <c r="M239" s="326"/>
      <c r="N239" s="294"/>
      <c r="O239" s="1110">
        <v>300</v>
      </c>
      <c r="P239" s="294">
        <v>1</v>
      </c>
      <c r="Q239" s="355">
        <v>100</v>
      </c>
      <c r="R239" s="299"/>
      <c r="S239" s="355"/>
      <c r="T239" s="355"/>
      <c r="U239" s="355">
        <v>100</v>
      </c>
      <c r="V239" s="355"/>
      <c r="W239" s="355"/>
      <c r="X239" s="1137"/>
      <c r="Y239" s="1126"/>
      <c r="Z239" s="1194"/>
      <c r="AA239" s="1194"/>
      <c r="AB239" s="1194"/>
      <c r="AC239" s="1124"/>
      <c r="AD239" s="1124"/>
      <c r="AE239" s="1152"/>
      <c r="AF239" s="1124"/>
      <c r="AG239" s="1282">
        <f t="shared" si="46"/>
        <v>100</v>
      </c>
    </row>
    <row r="240" spans="1:33" ht="32.25" customHeight="1">
      <c r="A240" s="294">
        <v>2121</v>
      </c>
      <c r="B240" s="291" t="s">
        <v>60</v>
      </c>
      <c r="C240" s="824" t="s">
        <v>307</v>
      </c>
      <c r="D240" s="326"/>
      <c r="E240" s="294">
        <v>2</v>
      </c>
      <c r="F240" s="293">
        <v>43227</v>
      </c>
      <c r="G240" s="293">
        <f t="shared" si="45"/>
        <v>43229</v>
      </c>
      <c r="H240" s="293" t="s">
        <v>294</v>
      </c>
      <c r="I240" s="294" t="s">
        <v>171</v>
      </c>
      <c r="J240" s="307" t="s">
        <v>295</v>
      </c>
      <c r="K240" s="326" t="s">
        <v>302</v>
      </c>
      <c r="L240" s="1237">
        <v>23173</v>
      </c>
      <c r="M240" s="326"/>
      <c r="N240" s="294"/>
      <c r="O240" s="1110">
        <v>713</v>
      </c>
      <c r="P240" s="294">
        <v>1</v>
      </c>
      <c r="Q240" s="355">
        <v>237.66666666666666</v>
      </c>
      <c r="R240" s="299"/>
      <c r="S240" s="355"/>
      <c r="T240" s="355"/>
      <c r="U240" s="355">
        <v>237.66666666666666</v>
      </c>
      <c r="V240" s="355"/>
      <c r="W240" s="355"/>
      <c r="X240" s="1137"/>
      <c r="Y240" s="1126"/>
      <c r="Z240" s="1194"/>
      <c r="AA240" s="1194"/>
      <c r="AB240" s="1194"/>
      <c r="AC240" s="1124"/>
      <c r="AD240" s="1124"/>
      <c r="AE240" s="1152"/>
      <c r="AF240" s="1124"/>
      <c r="AG240" s="1282">
        <f t="shared" si="46"/>
        <v>237.66666666666666</v>
      </c>
    </row>
    <row r="241" spans="1:33" ht="32.25" customHeight="1">
      <c r="A241" s="294">
        <v>2122</v>
      </c>
      <c r="B241" s="291" t="s">
        <v>313</v>
      </c>
      <c r="C241" s="1834" t="s">
        <v>314</v>
      </c>
      <c r="D241" s="326"/>
      <c r="E241" s="294">
        <v>60</v>
      </c>
      <c r="F241" s="293">
        <v>43221</v>
      </c>
      <c r="G241" s="293">
        <f t="shared" si="45"/>
        <v>43281</v>
      </c>
      <c r="H241" s="293" t="s">
        <v>294</v>
      </c>
      <c r="I241" s="294" t="s">
        <v>171</v>
      </c>
      <c r="J241" s="307" t="s">
        <v>295</v>
      </c>
      <c r="K241" s="326" t="s">
        <v>315</v>
      </c>
      <c r="L241" s="1237">
        <v>2313</v>
      </c>
      <c r="M241" s="326"/>
      <c r="N241" s="294"/>
      <c r="O241" s="354">
        <v>3333.3333333333335</v>
      </c>
      <c r="P241" s="294">
        <v>1</v>
      </c>
      <c r="Q241" s="355">
        <f>+O241*P241</f>
        <v>3333.3333333333335</v>
      </c>
      <c r="R241" s="299"/>
      <c r="S241" s="355"/>
      <c r="T241" s="355"/>
      <c r="U241" s="355">
        <v>3333.3333333333335</v>
      </c>
      <c r="V241" s="355"/>
      <c r="W241" s="355"/>
      <c r="X241" s="1137"/>
      <c r="Y241" s="1126"/>
      <c r="Z241" s="1194"/>
      <c r="AA241" s="1194"/>
      <c r="AB241" s="1194"/>
      <c r="AC241" s="1124"/>
      <c r="AD241" s="1124"/>
      <c r="AE241" s="1152"/>
      <c r="AF241" s="1124"/>
      <c r="AG241" s="1282">
        <f t="shared" si="46"/>
        <v>3333.3333333333335</v>
      </c>
    </row>
    <row r="242" spans="1:33" ht="32.25" customHeight="1">
      <c r="A242" s="294">
        <v>2123</v>
      </c>
      <c r="B242" s="291" t="s">
        <v>316</v>
      </c>
      <c r="C242" s="1834" t="s">
        <v>314</v>
      </c>
      <c r="D242" s="326"/>
      <c r="E242" s="294">
        <v>60</v>
      </c>
      <c r="F242" s="293">
        <v>43221</v>
      </c>
      <c r="G242" s="293">
        <f t="shared" si="45"/>
        <v>43281</v>
      </c>
      <c r="H242" s="293" t="s">
        <v>294</v>
      </c>
      <c r="I242" s="294" t="s">
        <v>171</v>
      </c>
      <c r="J242" s="307" t="s">
        <v>295</v>
      </c>
      <c r="K242" s="326" t="s">
        <v>317</v>
      </c>
      <c r="L242" s="1237">
        <v>2313</v>
      </c>
      <c r="M242" s="326"/>
      <c r="N242" s="294"/>
      <c r="O242" s="354">
        <v>2666.6666666666665</v>
      </c>
      <c r="P242" s="294">
        <v>1</v>
      </c>
      <c r="Q242" s="355">
        <f>+O242*P242</f>
        <v>2666.6666666666665</v>
      </c>
      <c r="R242" s="299"/>
      <c r="S242" s="355"/>
      <c r="T242" s="355"/>
      <c r="U242" s="355">
        <v>2666.6666666666665</v>
      </c>
      <c r="V242" s="355"/>
      <c r="W242" s="355"/>
      <c r="X242" s="1137"/>
      <c r="Y242" s="1126"/>
      <c r="Z242" s="1194"/>
      <c r="AA242" s="1194"/>
      <c r="AB242" s="1194"/>
      <c r="AC242" s="1124"/>
      <c r="AD242" s="1124"/>
      <c r="AE242" s="1152"/>
      <c r="AF242" s="1124"/>
      <c r="AG242" s="1282">
        <f t="shared" si="46"/>
        <v>2666.6666666666665</v>
      </c>
    </row>
    <row r="243" spans="1:33" ht="32.25" customHeight="1">
      <c r="A243" s="294">
        <v>2124</v>
      </c>
      <c r="B243" s="291" t="s">
        <v>318</v>
      </c>
      <c r="C243" s="1834" t="s">
        <v>319</v>
      </c>
      <c r="D243" s="326"/>
      <c r="E243" s="294">
        <v>15</v>
      </c>
      <c r="F243" s="293">
        <v>43283</v>
      </c>
      <c r="G243" s="293">
        <f t="shared" si="45"/>
        <v>43298</v>
      </c>
      <c r="H243" s="293" t="s">
        <v>294</v>
      </c>
      <c r="I243" s="294" t="s">
        <v>171</v>
      </c>
      <c r="J243" s="307" t="s">
        <v>295</v>
      </c>
      <c r="K243" s="1787" t="s">
        <v>320</v>
      </c>
      <c r="L243" s="1237">
        <v>23173</v>
      </c>
      <c r="M243" s="326"/>
      <c r="N243" s="294"/>
      <c r="O243" s="354">
        <v>16666.666666666668</v>
      </c>
      <c r="P243" s="354">
        <v>0.5</v>
      </c>
      <c r="Q243" s="355">
        <f>+O243*P243</f>
        <v>8333.3333333333339</v>
      </c>
      <c r="R243" s="299"/>
      <c r="S243" s="355"/>
      <c r="T243" s="355"/>
      <c r="U243" s="355"/>
      <c r="V243" s="355"/>
      <c r="W243" s="355">
        <v>8333.3333333333339</v>
      </c>
      <c r="X243" s="1137"/>
      <c r="Y243" s="1126"/>
      <c r="Z243" s="1194"/>
      <c r="AA243" s="1194"/>
      <c r="AB243" s="1194"/>
      <c r="AC243" s="1124"/>
      <c r="AD243" s="1124"/>
      <c r="AE243" s="1152"/>
      <c r="AF243" s="1124"/>
      <c r="AG243" s="1282">
        <f t="shared" si="46"/>
        <v>8333.3333333333339</v>
      </c>
    </row>
    <row r="244" spans="1:33" ht="32.25" customHeight="1">
      <c r="A244" s="294">
        <v>2125</v>
      </c>
      <c r="B244" s="291" t="s">
        <v>61</v>
      </c>
      <c r="C244" s="1835" t="s">
        <v>321</v>
      </c>
      <c r="D244" s="326"/>
      <c r="E244" s="294">
        <v>15</v>
      </c>
      <c r="F244" s="293">
        <v>43304</v>
      </c>
      <c r="G244" s="293">
        <f t="shared" si="45"/>
        <v>43319</v>
      </c>
      <c r="H244" s="293" t="s">
        <v>294</v>
      </c>
      <c r="I244" s="294" t="s">
        <v>171</v>
      </c>
      <c r="J244" s="307" t="s">
        <v>295</v>
      </c>
      <c r="K244" s="326" t="s">
        <v>322</v>
      </c>
      <c r="L244" s="1237">
        <v>2315</v>
      </c>
      <c r="M244" s="326"/>
      <c r="N244" s="294"/>
      <c r="O244" s="354">
        <v>333.33333333333331</v>
      </c>
      <c r="P244" s="294">
        <v>60</v>
      </c>
      <c r="Q244" s="355">
        <f>+O244*P244</f>
        <v>20000</v>
      </c>
      <c r="R244" s="299"/>
      <c r="S244" s="355"/>
      <c r="T244" s="355"/>
      <c r="U244" s="355"/>
      <c r="V244" s="355"/>
      <c r="W244" s="355">
        <v>20000</v>
      </c>
      <c r="X244" s="1137"/>
      <c r="Y244" s="1126"/>
      <c r="Z244" s="1194"/>
      <c r="AA244" s="1194"/>
      <c r="AB244" s="1194"/>
      <c r="AC244" s="1124"/>
      <c r="AD244" s="1124"/>
      <c r="AE244" s="1152"/>
      <c r="AF244" s="1124"/>
      <c r="AG244" s="1282">
        <f t="shared" si="46"/>
        <v>20000</v>
      </c>
    </row>
    <row r="245" spans="1:33" ht="29.25" customHeight="1">
      <c r="A245" s="1275">
        <v>213</v>
      </c>
      <c r="B245" s="995" t="s">
        <v>323</v>
      </c>
      <c r="C245" s="1083"/>
      <c r="D245" s="1339"/>
      <c r="E245" s="1340"/>
      <c r="F245" s="1340"/>
      <c r="G245" s="1340"/>
      <c r="H245" s="1339"/>
      <c r="I245" s="1341"/>
      <c r="J245" s="283"/>
      <c r="K245" s="1278"/>
      <c r="L245" s="1279"/>
      <c r="M245" s="1280"/>
      <c r="N245" s="1277"/>
      <c r="O245" s="1281"/>
      <c r="P245" s="1277"/>
      <c r="Q245" s="1282">
        <f>SUM(Q246:Q263)</f>
        <v>127504</v>
      </c>
      <c r="R245" s="287"/>
      <c r="S245" s="1282">
        <f t="shared" ref="S245:AF245" si="47">SUM(S246:S263)</f>
        <v>0</v>
      </c>
      <c r="T245" s="1282">
        <f t="shared" si="47"/>
        <v>0</v>
      </c>
      <c r="U245" s="1282">
        <f t="shared" si="47"/>
        <v>0</v>
      </c>
      <c r="V245" s="1282">
        <f t="shared" si="47"/>
        <v>0</v>
      </c>
      <c r="W245" s="1282">
        <f t="shared" si="47"/>
        <v>4680</v>
      </c>
      <c r="X245" s="1342">
        <f t="shared" si="47"/>
        <v>45624</v>
      </c>
      <c r="Y245" s="1343">
        <f t="shared" si="47"/>
        <v>77200</v>
      </c>
      <c r="Z245" s="1151">
        <f t="shared" si="47"/>
        <v>0</v>
      </c>
      <c r="AA245" s="1151">
        <f t="shared" si="47"/>
        <v>0</v>
      </c>
      <c r="AB245" s="1151">
        <f t="shared" si="47"/>
        <v>0</v>
      </c>
      <c r="AC245" s="1151">
        <f t="shared" si="47"/>
        <v>0</v>
      </c>
      <c r="AD245" s="1151">
        <f t="shared" si="47"/>
        <v>0</v>
      </c>
      <c r="AE245" s="1151">
        <f t="shared" si="47"/>
        <v>0</v>
      </c>
      <c r="AF245" s="1151">
        <f t="shared" si="47"/>
        <v>0</v>
      </c>
      <c r="AG245" s="1151">
        <f>SUM(S245:AF245)</f>
        <v>127504</v>
      </c>
    </row>
    <row r="246" spans="1:33" ht="47.25">
      <c r="A246" s="294">
        <v>2131</v>
      </c>
      <c r="B246" s="291" t="s">
        <v>62</v>
      </c>
      <c r="C246" s="1834" t="s">
        <v>324</v>
      </c>
      <c r="D246" s="326"/>
      <c r="E246" s="294">
        <v>1</v>
      </c>
      <c r="F246" s="293">
        <v>43318</v>
      </c>
      <c r="G246" s="293">
        <f t="shared" ref="G246:G263" si="48">+E246+F246</f>
        <v>43319</v>
      </c>
      <c r="H246" s="293" t="s">
        <v>294</v>
      </c>
      <c r="I246" s="294" t="s">
        <v>171</v>
      </c>
      <c r="J246" s="307" t="s">
        <v>295</v>
      </c>
      <c r="K246" s="1094" t="s">
        <v>296</v>
      </c>
      <c r="L246" s="1237">
        <v>23174</v>
      </c>
      <c r="M246" s="326"/>
      <c r="N246" s="294"/>
      <c r="O246" s="354">
        <v>36</v>
      </c>
      <c r="P246" s="887">
        <v>60</v>
      </c>
      <c r="Q246" s="355">
        <f t="shared" ref="Q246:Q263" si="49">+O246*P246</f>
        <v>2160</v>
      </c>
      <c r="R246" s="299"/>
      <c r="S246" s="355"/>
      <c r="T246" s="355"/>
      <c r="U246" s="355"/>
      <c r="V246" s="355"/>
      <c r="W246" s="355">
        <v>1080</v>
      </c>
      <c r="X246" s="1137">
        <v>1080</v>
      </c>
      <c r="Y246" s="1126"/>
      <c r="Z246" s="1194"/>
      <c r="AA246" s="1194"/>
      <c r="AB246" s="1194"/>
      <c r="AC246" s="1124"/>
      <c r="AD246" s="1124"/>
      <c r="AE246" s="1152"/>
      <c r="AF246" s="1124"/>
      <c r="AG246" s="1282">
        <f t="shared" ref="AG246:AG263" si="50">SUM(S246:AF246)</f>
        <v>2160</v>
      </c>
    </row>
    <row r="247" spans="1:33" ht="47.25">
      <c r="A247" s="294">
        <v>2131</v>
      </c>
      <c r="B247" s="291" t="s">
        <v>62</v>
      </c>
      <c r="C247" s="1834" t="s">
        <v>324</v>
      </c>
      <c r="D247" s="326"/>
      <c r="E247" s="294">
        <v>1</v>
      </c>
      <c r="F247" s="293">
        <v>43304</v>
      </c>
      <c r="G247" s="293">
        <f t="shared" si="48"/>
        <v>43305</v>
      </c>
      <c r="H247" s="293" t="s">
        <v>294</v>
      </c>
      <c r="I247" s="294" t="s">
        <v>171</v>
      </c>
      <c r="J247" s="307" t="s">
        <v>295</v>
      </c>
      <c r="K247" s="1094" t="s">
        <v>325</v>
      </c>
      <c r="L247" s="1237">
        <v>23174</v>
      </c>
      <c r="M247" s="326"/>
      <c r="N247" s="294"/>
      <c r="O247" s="354">
        <v>10</v>
      </c>
      <c r="P247" s="887">
        <v>60</v>
      </c>
      <c r="Q247" s="355">
        <f t="shared" si="49"/>
        <v>600</v>
      </c>
      <c r="R247" s="299"/>
      <c r="S247" s="355"/>
      <c r="T247" s="355"/>
      <c r="U247" s="355"/>
      <c r="V247" s="355"/>
      <c r="W247" s="355">
        <v>300</v>
      </c>
      <c r="X247" s="1137">
        <v>300</v>
      </c>
      <c r="Y247" s="1126"/>
      <c r="Z247" s="1194"/>
      <c r="AA247" s="1194"/>
      <c r="AB247" s="1194"/>
      <c r="AC247" s="1124"/>
      <c r="AD247" s="1124"/>
      <c r="AE247" s="1152"/>
      <c r="AF247" s="1124"/>
      <c r="AG247" s="1282">
        <f t="shared" si="50"/>
        <v>600</v>
      </c>
    </row>
    <row r="248" spans="1:33" ht="47.25">
      <c r="A248" s="294">
        <v>2131</v>
      </c>
      <c r="B248" s="291" t="s">
        <v>62</v>
      </c>
      <c r="C248" s="1834" t="s">
        <v>324</v>
      </c>
      <c r="D248" s="326"/>
      <c r="E248" s="294">
        <v>1</v>
      </c>
      <c r="F248" s="293">
        <v>43304</v>
      </c>
      <c r="G248" s="293">
        <f t="shared" si="48"/>
        <v>43305</v>
      </c>
      <c r="H248" s="293" t="s">
        <v>294</v>
      </c>
      <c r="I248" s="294" t="s">
        <v>171</v>
      </c>
      <c r="J248" s="307" t="s">
        <v>295</v>
      </c>
      <c r="K248" s="1094" t="s">
        <v>326</v>
      </c>
      <c r="L248" s="1237">
        <v>23174</v>
      </c>
      <c r="M248" s="326"/>
      <c r="N248" s="294"/>
      <c r="O248" s="354">
        <v>100</v>
      </c>
      <c r="P248" s="887">
        <v>60</v>
      </c>
      <c r="Q248" s="355">
        <f t="shared" si="49"/>
        <v>6000</v>
      </c>
      <c r="R248" s="299"/>
      <c r="S248" s="355"/>
      <c r="T248" s="355"/>
      <c r="U248" s="355"/>
      <c r="V248" s="355"/>
      <c r="W248" s="355">
        <v>3000</v>
      </c>
      <c r="X248" s="1137">
        <v>3000</v>
      </c>
      <c r="Y248" s="1126"/>
      <c r="Z248" s="1194"/>
      <c r="AA248" s="1194"/>
      <c r="AB248" s="1194"/>
      <c r="AC248" s="1124"/>
      <c r="AD248" s="1124"/>
      <c r="AE248" s="1152"/>
      <c r="AF248" s="1124"/>
      <c r="AG248" s="1282">
        <f t="shared" si="50"/>
        <v>6000</v>
      </c>
    </row>
    <row r="249" spans="1:33" ht="47.25">
      <c r="A249" s="294">
        <v>2131</v>
      </c>
      <c r="B249" s="291" t="s">
        <v>62</v>
      </c>
      <c r="C249" s="1834" t="s">
        <v>324</v>
      </c>
      <c r="D249" s="326"/>
      <c r="E249" s="294">
        <v>1</v>
      </c>
      <c r="F249" s="293">
        <v>43304</v>
      </c>
      <c r="G249" s="293">
        <f t="shared" si="48"/>
        <v>43305</v>
      </c>
      <c r="H249" s="293" t="s">
        <v>294</v>
      </c>
      <c r="I249" s="294" t="s">
        <v>171</v>
      </c>
      <c r="J249" s="307" t="s">
        <v>295</v>
      </c>
      <c r="K249" s="1094" t="s">
        <v>312</v>
      </c>
      <c r="L249" s="1237">
        <v>23173</v>
      </c>
      <c r="M249" s="326"/>
      <c r="N249" s="294"/>
      <c r="O249" s="354">
        <v>10</v>
      </c>
      <c r="P249" s="887">
        <v>60</v>
      </c>
      <c r="Q249" s="355">
        <f t="shared" si="49"/>
        <v>600</v>
      </c>
      <c r="R249" s="299"/>
      <c r="S249" s="355"/>
      <c r="T249" s="355"/>
      <c r="U249" s="355"/>
      <c r="V249" s="355"/>
      <c r="W249" s="355">
        <v>300</v>
      </c>
      <c r="X249" s="1137">
        <v>300</v>
      </c>
      <c r="Y249" s="1126"/>
      <c r="Z249" s="1194"/>
      <c r="AA249" s="1194"/>
      <c r="AB249" s="1194"/>
      <c r="AC249" s="1124"/>
      <c r="AD249" s="1124"/>
      <c r="AE249" s="1152"/>
      <c r="AF249" s="1124"/>
      <c r="AG249" s="1282">
        <f t="shared" si="50"/>
        <v>600</v>
      </c>
    </row>
    <row r="250" spans="1:33" ht="32.25" customHeight="1">
      <c r="A250" s="294">
        <v>2132</v>
      </c>
      <c r="B250" s="291" t="s">
        <v>63</v>
      </c>
      <c r="C250" s="1834" t="s">
        <v>327</v>
      </c>
      <c r="D250" s="326"/>
      <c r="E250" s="294">
        <v>3</v>
      </c>
      <c r="F250" s="293">
        <v>43318</v>
      </c>
      <c r="G250" s="293">
        <f t="shared" si="48"/>
        <v>43321</v>
      </c>
      <c r="H250" s="293" t="s">
        <v>294</v>
      </c>
      <c r="I250" s="294" t="s">
        <v>171</v>
      </c>
      <c r="J250" s="307" t="s">
        <v>295</v>
      </c>
      <c r="K250" s="1094" t="s">
        <v>328</v>
      </c>
      <c r="L250" s="1237">
        <v>23174</v>
      </c>
      <c r="M250" s="326"/>
      <c r="N250" s="294"/>
      <c r="O250" s="354">
        <v>380</v>
      </c>
      <c r="P250" s="887">
        <v>3</v>
      </c>
      <c r="Q250" s="355">
        <f t="shared" si="49"/>
        <v>1140</v>
      </c>
      <c r="R250" s="299"/>
      <c r="S250" s="355"/>
      <c r="T250" s="355"/>
      <c r="U250" s="355"/>
      <c r="V250" s="355"/>
      <c r="W250" s="355"/>
      <c r="X250" s="1137">
        <v>1140</v>
      </c>
      <c r="Y250" s="1126"/>
      <c r="Z250" s="1194"/>
      <c r="AA250" s="1194"/>
      <c r="AB250" s="1194"/>
      <c r="AC250" s="1124"/>
      <c r="AD250" s="1124"/>
      <c r="AE250" s="1152"/>
      <c r="AF250" s="1124"/>
      <c r="AG250" s="1282">
        <f t="shared" si="50"/>
        <v>1140</v>
      </c>
    </row>
    <row r="251" spans="1:33" ht="32.25" customHeight="1">
      <c r="A251" s="294">
        <v>2132</v>
      </c>
      <c r="B251" s="291" t="s">
        <v>63</v>
      </c>
      <c r="C251" s="1834" t="s">
        <v>327</v>
      </c>
      <c r="D251" s="326"/>
      <c r="E251" s="294">
        <v>3</v>
      </c>
      <c r="F251" s="293">
        <v>43318</v>
      </c>
      <c r="G251" s="293">
        <f t="shared" si="48"/>
        <v>43321</v>
      </c>
      <c r="H251" s="293" t="s">
        <v>294</v>
      </c>
      <c r="I251" s="294" t="s">
        <v>171</v>
      </c>
      <c r="J251" s="307" t="s">
        <v>295</v>
      </c>
      <c r="K251" s="1094" t="s">
        <v>325</v>
      </c>
      <c r="L251" s="1237">
        <v>23174</v>
      </c>
      <c r="M251" s="326"/>
      <c r="N251" s="294"/>
      <c r="O251" s="354">
        <v>96.666666666666671</v>
      </c>
      <c r="P251" s="887">
        <v>3</v>
      </c>
      <c r="Q251" s="355">
        <f t="shared" si="49"/>
        <v>290</v>
      </c>
      <c r="R251" s="299"/>
      <c r="S251" s="355"/>
      <c r="T251" s="355"/>
      <c r="U251" s="355"/>
      <c r="V251" s="355"/>
      <c r="W251" s="355"/>
      <c r="X251" s="1137">
        <v>290</v>
      </c>
      <c r="Y251" s="1126"/>
      <c r="Z251" s="1194"/>
      <c r="AA251" s="1194"/>
      <c r="AB251" s="1194"/>
      <c r="AC251" s="1124"/>
      <c r="AD251" s="1124"/>
      <c r="AE251" s="1152"/>
      <c r="AF251" s="1124"/>
      <c r="AG251" s="1282">
        <f t="shared" si="50"/>
        <v>290</v>
      </c>
    </row>
    <row r="252" spans="1:33" ht="32.25" customHeight="1">
      <c r="A252" s="294">
        <v>2132</v>
      </c>
      <c r="B252" s="291" t="s">
        <v>63</v>
      </c>
      <c r="C252" s="1834" t="s">
        <v>327</v>
      </c>
      <c r="D252" s="326"/>
      <c r="E252" s="294">
        <v>3</v>
      </c>
      <c r="F252" s="293">
        <v>43318</v>
      </c>
      <c r="G252" s="293">
        <f t="shared" si="48"/>
        <v>43321</v>
      </c>
      <c r="H252" s="293" t="s">
        <v>294</v>
      </c>
      <c r="I252" s="294" t="s">
        <v>171</v>
      </c>
      <c r="J252" s="307" t="s">
        <v>295</v>
      </c>
      <c r="K252" s="1094" t="s">
        <v>329</v>
      </c>
      <c r="L252" s="1237">
        <v>23174</v>
      </c>
      <c r="M252" s="326"/>
      <c r="N252" s="294"/>
      <c r="O252" s="354">
        <v>1000</v>
      </c>
      <c r="P252" s="887">
        <v>3</v>
      </c>
      <c r="Q252" s="355">
        <f t="shared" si="49"/>
        <v>3000</v>
      </c>
      <c r="R252" s="299"/>
      <c r="S252" s="355"/>
      <c r="T252" s="355"/>
      <c r="U252" s="355"/>
      <c r="V252" s="355"/>
      <c r="W252" s="355"/>
      <c r="X252" s="1137">
        <v>3000</v>
      </c>
      <c r="Y252" s="1126"/>
      <c r="Z252" s="1194"/>
      <c r="AA252" s="1194"/>
      <c r="AB252" s="1194"/>
      <c r="AC252" s="1124"/>
      <c r="AD252" s="1124"/>
      <c r="AE252" s="1152"/>
      <c r="AF252" s="1124"/>
      <c r="AG252" s="1282">
        <f t="shared" si="50"/>
        <v>3000</v>
      </c>
    </row>
    <row r="253" spans="1:33" ht="32.25" customHeight="1">
      <c r="A253" s="294">
        <v>2132</v>
      </c>
      <c r="B253" s="291" t="s">
        <v>63</v>
      </c>
      <c r="C253" s="1834" t="s">
        <v>327</v>
      </c>
      <c r="D253" s="326"/>
      <c r="E253" s="294">
        <v>3</v>
      </c>
      <c r="F253" s="293">
        <v>43318</v>
      </c>
      <c r="G253" s="293">
        <f t="shared" si="48"/>
        <v>43321</v>
      </c>
      <c r="H253" s="293" t="s">
        <v>294</v>
      </c>
      <c r="I253" s="294" t="s">
        <v>171</v>
      </c>
      <c r="J253" s="307" t="s">
        <v>295</v>
      </c>
      <c r="K253" s="1094" t="s">
        <v>326</v>
      </c>
      <c r="L253" s="1237">
        <v>23174</v>
      </c>
      <c r="M253" s="294"/>
      <c r="N253" s="294"/>
      <c r="O253" s="354">
        <v>100</v>
      </c>
      <c r="P253" s="887">
        <v>3</v>
      </c>
      <c r="Q253" s="355">
        <f t="shared" si="49"/>
        <v>300</v>
      </c>
      <c r="R253" s="299"/>
      <c r="S253" s="355"/>
      <c r="T253" s="355"/>
      <c r="U253" s="355"/>
      <c r="V253" s="355"/>
      <c r="W253" s="355"/>
      <c r="X253" s="1137">
        <v>300</v>
      </c>
      <c r="Y253" s="1126"/>
      <c r="Z253" s="1194"/>
      <c r="AA253" s="1194"/>
      <c r="AB253" s="1194"/>
      <c r="AC253" s="1124"/>
      <c r="AD253" s="1124"/>
      <c r="AE253" s="1152"/>
      <c r="AF253" s="1124"/>
      <c r="AG253" s="1282">
        <f t="shared" si="50"/>
        <v>300</v>
      </c>
    </row>
    <row r="254" spans="1:33" ht="32.25" customHeight="1">
      <c r="A254" s="294">
        <v>2133</v>
      </c>
      <c r="B254" s="291" t="s">
        <v>64</v>
      </c>
      <c r="C254" s="1835" t="s">
        <v>330</v>
      </c>
      <c r="D254" s="326"/>
      <c r="E254" s="294">
        <v>2</v>
      </c>
      <c r="F254" s="293">
        <v>43325</v>
      </c>
      <c r="G254" s="293">
        <f t="shared" si="48"/>
        <v>43327</v>
      </c>
      <c r="H254" s="293" t="s">
        <v>294</v>
      </c>
      <c r="I254" s="294" t="s">
        <v>171</v>
      </c>
      <c r="J254" s="307" t="s">
        <v>295</v>
      </c>
      <c r="K254" s="1094" t="s">
        <v>296</v>
      </c>
      <c r="L254" s="1237">
        <v>23174</v>
      </c>
      <c r="M254" s="294"/>
      <c r="N254" s="294"/>
      <c r="O254" s="354">
        <v>900</v>
      </c>
      <c r="P254" s="887">
        <v>3</v>
      </c>
      <c r="Q254" s="355">
        <f t="shared" si="49"/>
        <v>2700</v>
      </c>
      <c r="R254" s="299"/>
      <c r="S254" s="355"/>
      <c r="T254" s="355"/>
      <c r="U254" s="355"/>
      <c r="V254" s="355"/>
      <c r="W254" s="355"/>
      <c r="X254" s="1137">
        <v>2700</v>
      </c>
      <c r="Y254" s="1126"/>
      <c r="Z254" s="1194"/>
      <c r="AA254" s="1194"/>
      <c r="AB254" s="1194"/>
      <c r="AC254" s="1124"/>
      <c r="AD254" s="1124"/>
      <c r="AE254" s="1152"/>
      <c r="AF254" s="1124"/>
      <c r="AG254" s="1282">
        <f t="shared" si="50"/>
        <v>2700</v>
      </c>
    </row>
    <row r="255" spans="1:33" ht="32.25" customHeight="1">
      <c r="A255" s="294">
        <v>2133</v>
      </c>
      <c r="B255" s="291" t="s">
        <v>64</v>
      </c>
      <c r="C255" s="1835" t="s">
        <v>330</v>
      </c>
      <c r="D255" s="326"/>
      <c r="E255" s="294">
        <v>2</v>
      </c>
      <c r="F255" s="293">
        <v>43325</v>
      </c>
      <c r="G255" s="293">
        <f t="shared" si="48"/>
        <v>43327</v>
      </c>
      <c r="H255" s="293" t="s">
        <v>294</v>
      </c>
      <c r="I255" s="294" t="s">
        <v>171</v>
      </c>
      <c r="J255" s="307" t="s">
        <v>295</v>
      </c>
      <c r="K255" s="1094" t="s">
        <v>297</v>
      </c>
      <c r="L255" s="1237">
        <v>23174</v>
      </c>
      <c r="M255" s="294"/>
      <c r="N255" s="294"/>
      <c r="O255" s="354">
        <v>101.33333333333333</v>
      </c>
      <c r="P255" s="887">
        <v>3</v>
      </c>
      <c r="Q255" s="355">
        <f t="shared" si="49"/>
        <v>304</v>
      </c>
      <c r="R255" s="299"/>
      <c r="S255" s="355"/>
      <c r="T255" s="355"/>
      <c r="U255" s="355"/>
      <c r="V255" s="355"/>
      <c r="W255" s="355"/>
      <c r="X255" s="1137">
        <v>304</v>
      </c>
      <c r="Y255" s="1126"/>
      <c r="Z255" s="1194"/>
      <c r="AA255" s="1194"/>
      <c r="AB255" s="1194"/>
      <c r="AC255" s="1124"/>
      <c r="AD255" s="1124"/>
      <c r="AE255" s="1152"/>
      <c r="AF255" s="1124"/>
      <c r="AG255" s="1282">
        <f t="shared" si="50"/>
        <v>304</v>
      </c>
    </row>
    <row r="256" spans="1:33" ht="32.25" customHeight="1">
      <c r="A256" s="294">
        <v>2133</v>
      </c>
      <c r="B256" s="291" t="s">
        <v>64</v>
      </c>
      <c r="C256" s="1835" t="s">
        <v>330</v>
      </c>
      <c r="D256" s="326"/>
      <c r="E256" s="294">
        <v>2</v>
      </c>
      <c r="F256" s="293">
        <v>43325</v>
      </c>
      <c r="G256" s="293">
        <f t="shared" si="48"/>
        <v>43327</v>
      </c>
      <c r="H256" s="293" t="s">
        <v>294</v>
      </c>
      <c r="I256" s="294" t="s">
        <v>171</v>
      </c>
      <c r="J256" s="307" t="s">
        <v>295</v>
      </c>
      <c r="K256" s="1094" t="s">
        <v>331</v>
      </c>
      <c r="L256" s="1237">
        <v>23174</v>
      </c>
      <c r="M256" s="294"/>
      <c r="N256" s="294"/>
      <c r="O256" s="354">
        <v>112</v>
      </c>
      <c r="P256" s="887">
        <v>3</v>
      </c>
      <c r="Q256" s="355">
        <f t="shared" si="49"/>
        <v>336</v>
      </c>
      <c r="R256" s="299"/>
      <c r="S256" s="355"/>
      <c r="T256" s="355"/>
      <c r="U256" s="355"/>
      <c r="V256" s="355"/>
      <c r="W256" s="355"/>
      <c r="X256" s="1137">
        <v>336</v>
      </c>
      <c r="Y256" s="1126"/>
      <c r="Z256" s="1194"/>
      <c r="AA256" s="1194"/>
      <c r="AB256" s="1194"/>
      <c r="AC256" s="1124"/>
      <c r="AD256" s="1124"/>
      <c r="AE256" s="1152"/>
      <c r="AF256" s="1124"/>
      <c r="AG256" s="1282">
        <f t="shared" si="50"/>
        <v>336</v>
      </c>
    </row>
    <row r="257" spans="1:33" ht="32.25" customHeight="1">
      <c r="A257" s="294">
        <v>2133</v>
      </c>
      <c r="B257" s="291" t="s">
        <v>64</v>
      </c>
      <c r="C257" s="1835" t="s">
        <v>330</v>
      </c>
      <c r="D257" s="326"/>
      <c r="E257" s="294">
        <v>2</v>
      </c>
      <c r="F257" s="293">
        <v>43325</v>
      </c>
      <c r="G257" s="293">
        <f t="shared" si="48"/>
        <v>43327</v>
      </c>
      <c r="H257" s="293" t="s">
        <v>294</v>
      </c>
      <c r="I257" s="294" t="s">
        <v>171</v>
      </c>
      <c r="J257" s="307" t="s">
        <v>295</v>
      </c>
      <c r="K257" s="1094" t="s">
        <v>332</v>
      </c>
      <c r="L257" s="1237">
        <v>23174</v>
      </c>
      <c r="M257" s="294"/>
      <c r="N257" s="294"/>
      <c r="O257" s="354">
        <v>166.66666666666666</v>
      </c>
      <c r="P257" s="887">
        <v>3</v>
      </c>
      <c r="Q257" s="355">
        <f t="shared" si="49"/>
        <v>500</v>
      </c>
      <c r="R257" s="299"/>
      <c r="S257" s="355"/>
      <c r="T257" s="355"/>
      <c r="U257" s="355"/>
      <c r="V257" s="355"/>
      <c r="W257" s="355"/>
      <c r="X257" s="1137">
        <v>500</v>
      </c>
      <c r="Y257" s="1126"/>
      <c r="Z257" s="1194"/>
      <c r="AA257" s="1194"/>
      <c r="AB257" s="1194"/>
      <c r="AC257" s="1124"/>
      <c r="AD257" s="1124"/>
      <c r="AE257" s="1152"/>
      <c r="AF257" s="1124"/>
      <c r="AG257" s="1282">
        <f t="shared" si="50"/>
        <v>500</v>
      </c>
    </row>
    <row r="258" spans="1:33" ht="32.25" customHeight="1">
      <c r="A258" s="294">
        <v>2133</v>
      </c>
      <c r="B258" s="291" t="s">
        <v>64</v>
      </c>
      <c r="C258" s="1835" t="s">
        <v>330</v>
      </c>
      <c r="D258" s="326"/>
      <c r="E258" s="294">
        <v>2</v>
      </c>
      <c r="F258" s="293">
        <v>43325</v>
      </c>
      <c r="G258" s="293">
        <f t="shared" si="48"/>
        <v>43327</v>
      </c>
      <c r="H258" s="293" t="s">
        <v>294</v>
      </c>
      <c r="I258" s="294" t="s">
        <v>171</v>
      </c>
      <c r="J258" s="307" t="s">
        <v>295</v>
      </c>
      <c r="K258" s="1094" t="s">
        <v>311</v>
      </c>
      <c r="L258" s="1237">
        <v>23174</v>
      </c>
      <c r="M258" s="294"/>
      <c r="N258" s="294"/>
      <c r="O258" s="354">
        <v>426.66666666666669</v>
      </c>
      <c r="P258" s="887">
        <v>3</v>
      </c>
      <c r="Q258" s="355">
        <f t="shared" si="49"/>
        <v>1280</v>
      </c>
      <c r="R258" s="299"/>
      <c r="S258" s="355"/>
      <c r="T258" s="355"/>
      <c r="U258" s="355"/>
      <c r="V258" s="355"/>
      <c r="W258" s="355"/>
      <c r="X258" s="1137">
        <v>1280</v>
      </c>
      <c r="Y258" s="1126"/>
      <c r="Z258" s="1194"/>
      <c r="AA258" s="1194"/>
      <c r="AB258" s="1194"/>
      <c r="AC258" s="1124"/>
      <c r="AD258" s="1124"/>
      <c r="AE258" s="1152"/>
      <c r="AF258" s="1124"/>
      <c r="AG258" s="1282">
        <f t="shared" si="50"/>
        <v>1280</v>
      </c>
    </row>
    <row r="259" spans="1:33" ht="32.25" customHeight="1">
      <c r="A259" s="294">
        <v>2133</v>
      </c>
      <c r="B259" s="291" t="s">
        <v>64</v>
      </c>
      <c r="C259" s="1835" t="s">
        <v>330</v>
      </c>
      <c r="D259" s="326"/>
      <c r="E259" s="294">
        <v>2</v>
      </c>
      <c r="F259" s="293">
        <v>43325</v>
      </c>
      <c r="G259" s="293">
        <f t="shared" si="48"/>
        <v>43327</v>
      </c>
      <c r="H259" s="293" t="s">
        <v>294</v>
      </c>
      <c r="I259" s="294" t="s">
        <v>171</v>
      </c>
      <c r="J259" s="307" t="s">
        <v>295</v>
      </c>
      <c r="K259" s="1094" t="s">
        <v>301</v>
      </c>
      <c r="L259" s="1237">
        <v>23173</v>
      </c>
      <c r="M259" s="294"/>
      <c r="N259" s="294"/>
      <c r="O259" s="354">
        <v>33.333333333333336</v>
      </c>
      <c r="P259" s="887">
        <v>3</v>
      </c>
      <c r="Q259" s="355">
        <f t="shared" si="49"/>
        <v>100</v>
      </c>
      <c r="R259" s="299"/>
      <c r="S259" s="355"/>
      <c r="T259" s="355"/>
      <c r="U259" s="355"/>
      <c r="V259" s="355"/>
      <c r="W259" s="355"/>
      <c r="X259" s="1137">
        <v>100</v>
      </c>
      <c r="Y259" s="1126"/>
      <c r="Z259" s="1194"/>
      <c r="AA259" s="1194"/>
      <c r="AB259" s="1194"/>
      <c r="AC259" s="1124"/>
      <c r="AD259" s="1124"/>
      <c r="AE259" s="1152"/>
      <c r="AF259" s="1124"/>
      <c r="AG259" s="1282">
        <f t="shared" si="50"/>
        <v>100</v>
      </c>
    </row>
    <row r="260" spans="1:33" ht="32.25" customHeight="1">
      <c r="A260" s="294">
        <v>2133</v>
      </c>
      <c r="B260" s="291" t="s">
        <v>64</v>
      </c>
      <c r="C260" s="1835" t="s">
        <v>330</v>
      </c>
      <c r="D260" s="326"/>
      <c r="E260" s="294">
        <v>2</v>
      </c>
      <c r="F260" s="293">
        <v>43325</v>
      </c>
      <c r="G260" s="293">
        <f t="shared" si="48"/>
        <v>43327</v>
      </c>
      <c r="H260" s="293" t="s">
        <v>294</v>
      </c>
      <c r="I260" s="294" t="s">
        <v>171</v>
      </c>
      <c r="J260" s="307" t="s">
        <v>295</v>
      </c>
      <c r="K260" s="1094" t="s">
        <v>302</v>
      </c>
      <c r="L260" s="1237">
        <v>23173</v>
      </c>
      <c r="M260" s="294"/>
      <c r="N260" s="294"/>
      <c r="O260" s="354">
        <v>237.66666666666666</v>
      </c>
      <c r="P260" s="887">
        <v>3</v>
      </c>
      <c r="Q260" s="355">
        <f t="shared" si="49"/>
        <v>713</v>
      </c>
      <c r="R260" s="299"/>
      <c r="S260" s="355"/>
      <c r="T260" s="355"/>
      <c r="U260" s="355"/>
      <c r="V260" s="355"/>
      <c r="W260" s="355"/>
      <c r="X260" s="1137">
        <v>713</v>
      </c>
      <c r="Y260" s="1126"/>
      <c r="Z260" s="1194"/>
      <c r="AA260" s="1194"/>
      <c r="AB260" s="1194"/>
      <c r="AC260" s="1124"/>
      <c r="AD260" s="1124"/>
      <c r="AE260" s="1152"/>
      <c r="AF260" s="1124"/>
      <c r="AG260" s="1282">
        <f t="shared" si="50"/>
        <v>713</v>
      </c>
    </row>
    <row r="261" spans="1:33" ht="32.25" customHeight="1">
      <c r="A261" s="294">
        <v>2134</v>
      </c>
      <c r="B261" s="291" t="s">
        <v>333</v>
      </c>
      <c r="C261" s="1834" t="s">
        <v>334</v>
      </c>
      <c r="D261" s="326"/>
      <c r="E261" s="294">
        <v>15</v>
      </c>
      <c r="F261" s="293">
        <v>43304</v>
      </c>
      <c r="G261" s="293">
        <f t="shared" si="48"/>
        <v>43319</v>
      </c>
      <c r="H261" s="293" t="s">
        <v>294</v>
      </c>
      <c r="I261" s="294" t="s">
        <v>171</v>
      </c>
      <c r="J261" s="307" t="s">
        <v>295</v>
      </c>
      <c r="K261" s="1787" t="s">
        <v>335</v>
      </c>
      <c r="L261" s="1788">
        <v>2461</v>
      </c>
      <c r="M261" s="294"/>
      <c r="N261" s="294"/>
      <c r="O261" s="354">
        <v>504.68333333333334</v>
      </c>
      <c r="P261" s="887">
        <v>60</v>
      </c>
      <c r="Q261" s="355">
        <f t="shared" si="49"/>
        <v>30281</v>
      </c>
      <c r="R261" s="299"/>
      <c r="S261" s="355"/>
      <c r="T261" s="355"/>
      <c r="U261" s="355"/>
      <c r="V261" s="355"/>
      <c r="W261" s="355"/>
      <c r="X261" s="1137">
        <v>30281</v>
      </c>
      <c r="Y261" s="1126"/>
      <c r="Z261" s="1194"/>
      <c r="AA261" s="1194"/>
      <c r="AB261" s="1194"/>
      <c r="AC261" s="1124"/>
      <c r="AD261" s="1124"/>
      <c r="AE261" s="1152"/>
      <c r="AF261" s="1124"/>
      <c r="AG261" s="1282">
        <f t="shared" si="50"/>
        <v>30281</v>
      </c>
    </row>
    <row r="262" spans="1:33" ht="32.25" customHeight="1">
      <c r="A262" s="294">
        <v>2135</v>
      </c>
      <c r="B262" s="291" t="s">
        <v>65</v>
      </c>
      <c r="C262" s="1834" t="s">
        <v>336</v>
      </c>
      <c r="D262" s="326"/>
      <c r="E262" s="294">
        <v>30</v>
      </c>
      <c r="F262" s="293">
        <v>43346</v>
      </c>
      <c r="G262" s="293">
        <f t="shared" si="48"/>
        <v>43376</v>
      </c>
      <c r="H262" s="293" t="s">
        <v>294</v>
      </c>
      <c r="I262" s="294" t="s">
        <v>171</v>
      </c>
      <c r="J262" s="307" t="s">
        <v>295</v>
      </c>
      <c r="K262" s="326" t="s">
        <v>337</v>
      </c>
      <c r="L262" s="1237">
        <v>6552</v>
      </c>
      <c r="M262" s="326"/>
      <c r="N262" s="294"/>
      <c r="O262" s="354">
        <v>1166.6666666666667</v>
      </c>
      <c r="P262" s="887">
        <v>60</v>
      </c>
      <c r="Q262" s="355">
        <f t="shared" si="49"/>
        <v>70000</v>
      </c>
      <c r="R262" s="299"/>
      <c r="S262" s="355"/>
      <c r="T262" s="355"/>
      <c r="U262" s="355"/>
      <c r="V262" s="355"/>
      <c r="W262" s="355"/>
      <c r="X262" s="1137"/>
      <c r="Y262" s="1126">
        <v>70000</v>
      </c>
      <c r="Z262" s="1194"/>
      <c r="AA262" s="1194"/>
      <c r="AB262" s="1194"/>
      <c r="AC262" s="1124"/>
      <c r="AD262" s="1124"/>
      <c r="AE262" s="1152"/>
      <c r="AF262" s="1124"/>
      <c r="AG262" s="1282">
        <f t="shared" si="50"/>
        <v>70000</v>
      </c>
    </row>
    <row r="263" spans="1:33" ht="32.25" customHeight="1">
      <c r="A263" s="294">
        <v>2136</v>
      </c>
      <c r="B263" s="291" t="s">
        <v>66</v>
      </c>
      <c r="C263" s="1835" t="s">
        <v>338</v>
      </c>
      <c r="D263" s="326"/>
      <c r="E263" s="294">
        <v>30</v>
      </c>
      <c r="F263" s="293">
        <v>43346</v>
      </c>
      <c r="G263" s="293">
        <f t="shared" si="48"/>
        <v>43376</v>
      </c>
      <c r="H263" s="293" t="s">
        <v>294</v>
      </c>
      <c r="I263" s="294" t="s">
        <v>171</v>
      </c>
      <c r="J263" s="307" t="s">
        <v>295</v>
      </c>
      <c r="K263" s="326" t="s">
        <v>339</v>
      </c>
      <c r="L263" s="1789">
        <v>6565</v>
      </c>
      <c r="M263" s="326"/>
      <c r="N263" s="294"/>
      <c r="O263" s="354">
        <v>60</v>
      </c>
      <c r="P263" s="887">
        <v>120</v>
      </c>
      <c r="Q263" s="355">
        <f t="shared" si="49"/>
        <v>7200</v>
      </c>
      <c r="R263" s="299"/>
      <c r="S263" s="355"/>
      <c r="T263" s="355"/>
      <c r="U263" s="355"/>
      <c r="V263" s="355"/>
      <c r="W263" s="355"/>
      <c r="X263" s="1137"/>
      <c r="Y263" s="1126">
        <v>7200</v>
      </c>
      <c r="Z263" s="1194"/>
      <c r="AA263" s="1194"/>
      <c r="AB263" s="1194"/>
      <c r="AC263" s="1124"/>
      <c r="AD263" s="1124"/>
      <c r="AE263" s="1152"/>
      <c r="AF263" s="1124"/>
      <c r="AG263" s="1282">
        <f t="shared" si="50"/>
        <v>7200</v>
      </c>
    </row>
    <row r="264" spans="1:33" ht="29.25" customHeight="1">
      <c r="A264" s="1275">
        <v>214</v>
      </c>
      <c r="B264" s="995" t="s">
        <v>340</v>
      </c>
      <c r="C264" s="1083"/>
      <c r="D264" s="1339"/>
      <c r="E264" s="1340"/>
      <c r="F264" s="1340"/>
      <c r="G264" s="1340"/>
      <c r="H264" s="1339"/>
      <c r="I264" s="1341"/>
      <c r="J264" s="283"/>
      <c r="K264" s="1278"/>
      <c r="L264" s="1279"/>
      <c r="M264" s="1280"/>
      <c r="N264" s="1277"/>
      <c r="O264" s="1281"/>
      <c r="P264" s="1277"/>
      <c r="Q264" s="1282">
        <f>SUM(Q265:Q282)</f>
        <v>47057.333333333336</v>
      </c>
      <c r="R264" s="287"/>
      <c r="S264" s="1282">
        <f t="shared" ref="S264:AF264" si="51">SUM(S265:S282)</f>
        <v>0</v>
      </c>
      <c r="T264" s="1282">
        <f t="shared" si="51"/>
        <v>0</v>
      </c>
      <c r="U264" s="1282">
        <f t="shared" si="51"/>
        <v>22594.666666666668</v>
      </c>
      <c r="V264" s="1282">
        <f t="shared" si="51"/>
        <v>0</v>
      </c>
      <c r="W264" s="1282">
        <f t="shared" si="51"/>
        <v>21422.666666666668</v>
      </c>
      <c r="X264" s="1342">
        <f t="shared" si="51"/>
        <v>0</v>
      </c>
      <c r="Y264" s="1343">
        <f t="shared" si="51"/>
        <v>0</v>
      </c>
      <c r="Z264" s="1151">
        <f t="shared" si="51"/>
        <v>0</v>
      </c>
      <c r="AA264" s="1151">
        <f t="shared" si="51"/>
        <v>3040</v>
      </c>
      <c r="AB264" s="1151">
        <f t="shared" si="51"/>
        <v>0</v>
      </c>
      <c r="AC264" s="1151">
        <f t="shared" si="51"/>
        <v>0</v>
      </c>
      <c r="AD264" s="1151">
        <f t="shared" si="51"/>
        <v>0</v>
      </c>
      <c r="AE264" s="1151">
        <f t="shared" si="51"/>
        <v>0</v>
      </c>
      <c r="AF264" s="1151">
        <f t="shared" si="51"/>
        <v>0</v>
      </c>
      <c r="AG264" s="1151">
        <f>SUM(S264:AF264)</f>
        <v>47057.333333333336</v>
      </c>
    </row>
    <row r="265" spans="1:33" ht="32.25" customHeight="1">
      <c r="A265" s="294">
        <v>2141</v>
      </c>
      <c r="B265" s="291" t="s">
        <v>341</v>
      </c>
      <c r="C265" s="1834" t="s">
        <v>342</v>
      </c>
      <c r="D265" s="326"/>
      <c r="E265" s="294">
        <v>5</v>
      </c>
      <c r="F265" s="293">
        <v>43227</v>
      </c>
      <c r="G265" s="293">
        <f t="shared" ref="G265:G282" si="52">+E265+F265</f>
        <v>43232</v>
      </c>
      <c r="H265" s="293" t="s">
        <v>294</v>
      </c>
      <c r="I265" s="294" t="s">
        <v>171</v>
      </c>
      <c r="J265" s="307" t="s">
        <v>295</v>
      </c>
      <c r="K265" s="936" t="s">
        <v>343</v>
      </c>
      <c r="L265" s="1237">
        <v>23173</v>
      </c>
      <c r="M265" s="294"/>
      <c r="N265" s="294"/>
      <c r="O265" s="354">
        <v>770</v>
      </c>
      <c r="P265" s="1836">
        <v>2</v>
      </c>
      <c r="Q265" s="355">
        <f t="shared" ref="Q265:Q282" si="53">+O265*P265</f>
        <v>1540</v>
      </c>
      <c r="R265" s="299"/>
      <c r="S265" s="355"/>
      <c r="T265" s="355"/>
      <c r="U265" s="355">
        <v>1540</v>
      </c>
      <c r="V265" s="355"/>
      <c r="W265" s="355"/>
      <c r="X265" s="1137"/>
      <c r="Y265" s="1126"/>
      <c r="Z265" s="1194"/>
      <c r="AA265" s="1194"/>
      <c r="AB265" s="1194"/>
      <c r="AC265" s="1124"/>
      <c r="AD265" s="1124"/>
      <c r="AE265" s="1152"/>
      <c r="AF265" s="1124"/>
      <c r="AG265" s="1282">
        <f t="shared" ref="AG265:AG282" si="54">SUM(S265:AF265)</f>
        <v>1540</v>
      </c>
    </row>
    <row r="266" spans="1:33" ht="32.25" customHeight="1">
      <c r="A266" s="294">
        <v>2141</v>
      </c>
      <c r="B266" s="291" t="s">
        <v>341</v>
      </c>
      <c r="C266" s="1834" t="s">
        <v>342</v>
      </c>
      <c r="D266" s="326"/>
      <c r="E266" s="294">
        <v>5</v>
      </c>
      <c r="F266" s="293">
        <v>43227</v>
      </c>
      <c r="G266" s="293">
        <f t="shared" si="52"/>
        <v>43232</v>
      </c>
      <c r="H266" s="293" t="s">
        <v>294</v>
      </c>
      <c r="I266" s="294" t="s">
        <v>171</v>
      </c>
      <c r="J266" s="307" t="s">
        <v>295</v>
      </c>
      <c r="K266" s="936" t="s">
        <v>344</v>
      </c>
      <c r="L266" s="1237">
        <v>23173</v>
      </c>
      <c r="M266" s="294"/>
      <c r="N266" s="294"/>
      <c r="O266" s="354">
        <v>165</v>
      </c>
      <c r="P266" s="1836">
        <v>2</v>
      </c>
      <c r="Q266" s="355">
        <f t="shared" si="53"/>
        <v>330</v>
      </c>
      <c r="R266" s="299"/>
      <c r="S266" s="355"/>
      <c r="T266" s="355"/>
      <c r="U266" s="355">
        <v>330</v>
      </c>
      <c r="V266" s="355"/>
      <c r="W266" s="355"/>
      <c r="X266" s="1137"/>
      <c r="Y266" s="1126"/>
      <c r="Z266" s="1194"/>
      <c r="AA266" s="1194"/>
      <c r="AB266" s="1194"/>
      <c r="AC266" s="1124"/>
      <c r="AD266" s="1124"/>
      <c r="AE266" s="1152"/>
      <c r="AF266" s="1124"/>
      <c r="AG266" s="1282">
        <f t="shared" si="54"/>
        <v>330</v>
      </c>
    </row>
    <row r="267" spans="1:33" ht="32.25" customHeight="1">
      <c r="A267" s="294">
        <v>2141</v>
      </c>
      <c r="B267" s="291" t="s">
        <v>341</v>
      </c>
      <c r="C267" s="1834" t="s">
        <v>342</v>
      </c>
      <c r="D267" s="326"/>
      <c r="E267" s="294">
        <v>5</v>
      </c>
      <c r="F267" s="293">
        <v>43227</v>
      </c>
      <c r="G267" s="293">
        <f t="shared" si="52"/>
        <v>43232</v>
      </c>
      <c r="H267" s="293" t="s">
        <v>294</v>
      </c>
      <c r="I267" s="294" t="s">
        <v>171</v>
      </c>
      <c r="J267" s="307" t="s">
        <v>295</v>
      </c>
      <c r="K267" s="936" t="s">
        <v>310</v>
      </c>
      <c r="L267" s="1237">
        <v>23174</v>
      </c>
      <c r="M267" s="887"/>
      <c r="N267" s="294"/>
      <c r="O267" s="354">
        <v>5320</v>
      </c>
      <c r="P267" s="1836">
        <v>2</v>
      </c>
      <c r="Q267" s="355">
        <f t="shared" si="53"/>
        <v>10640</v>
      </c>
      <c r="R267" s="299"/>
      <c r="S267" s="355"/>
      <c r="T267" s="355"/>
      <c r="U267" s="355">
        <v>10640</v>
      </c>
      <c r="V267" s="355"/>
      <c r="W267" s="355"/>
      <c r="X267" s="1137"/>
      <c r="Y267" s="1126"/>
      <c r="Z267" s="1194"/>
      <c r="AA267" s="1194"/>
      <c r="AB267" s="1194"/>
      <c r="AC267" s="1124"/>
      <c r="AD267" s="1124"/>
      <c r="AE267" s="1152"/>
      <c r="AF267" s="1124"/>
      <c r="AG267" s="1282">
        <f t="shared" si="54"/>
        <v>10640</v>
      </c>
    </row>
    <row r="268" spans="1:33" ht="32.25" customHeight="1">
      <c r="A268" s="294">
        <v>2141</v>
      </c>
      <c r="B268" s="291" t="s">
        <v>341</v>
      </c>
      <c r="C268" s="1834" t="s">
        <v>342</v>
      </c>
      <c r="D268" s="326"/>
      <c r="E268" s="294">
        <v>5</v>
      </c>
      <c r="F268" s="293">
        <v>43227</v>
      </c>
      <c r="G268" s="293">
        <f t="shared" si="52"/>
        <v>43232</v>
      </c>
      <c r="H268" s="293" t="s">
        <v>294</v>
      </c>
      <c r="I268" s="294" t="s">
        <v>171</v>
      </c>
      <c r="J268" s="307" t="s">
        <v>295</v>
      </c>
      <c r="K268" s="936" t="s">
        <v>345</v>
      </c>
      <c r="L268" s="1237">
        <v>23174</v>
      </c>
      <c r="M268" s="294"/>
      <c r="N268" s="294"/>
      <c r="O268" s="354">
        <v>532</v>
      </c>
      <c r="P268" s="1836">
        <v>2</v>
      </c>
      <c r="Q268" s="355">
        <f t="shared" si="53"/>
        <v>1064</v>
      </c>
      <c r="R268" s="299"/>
      <c r="S268" s="355"/>
      <c r="T268" s="355"/>
      <c r="U268" s="355">
        <v>1064</v>
      </c>
      <c r="V268" s="355"/>
      <c r="W268" s="355"/>
      <c r="X268" s="1137"/>
      <c r="Y268" s="1126"/>
      <c r="Z268" s="1194"/>
      <c r="AA268" s="1194"/>
      <c r="AB268" s="1194"/>
      <c r="AC268" s="1124"/>
      <c r="AD268" s="1124"/>
      <c r="AE268" s="1152"/>
      <c r="AF268" s="1124"/>
      <c r="AG268" s="1282">
        <f t="shared" si="54"/>
        <v>1064</v>
      </c>
    </row>
    <row r="269" spans="1:33" ht="32.25" customHeight="1">
      <c r="A269" s="294">
        <v>2141</v>
      </c>
      <c r="B269" s="291" t="s">
        <v>341</v>
      </c>
      <c r="C269" s="1834" t="s">
        <v>342</v>
      </c>
      <c r="D269" s="326"/>
      <c r="E269" s="294">
        <v>5</v>
      </c>
      <c r="F269" s="293">
        <v>43227</v>
      </c>
      <c r="G269" s="293">
        <f t="shared" si="52"/>
        <v>43232</v>
      </c>
      <c r="H269" s="293" t="s">
        <v>294</v>
      </c>
      <c r="I269" s="294" t="s">
        <v>171</v>
      </c>
      <c r="J269" s="307" t="s">
        <v>295</v>
      </c>
      <c r="K269" s="936" t="s">
        <v>300</v>
      </c>
      <c r="L269" s="1237">
        <v>23174</v>
      </c>
      <c r="M269" s="294"/>
      <c r="N269" s="294"/>
      <c r="O269" s="354">
        <v>1000</v>
      </c>
      <c r="P269" s="1836">
        <v>2</v>
      </c>
      <c r="Q269" s="355">
        <f t="shared" si="53"/>
        <v>2000</v>
      </c>
      <c r="R269" s="299"/>
      <c r="S269" s="355"/>
      <c r="T269" s="355"/>
      <c r="U269" s="355">
        <v>2000</v>
      </c>
      <c r="V269" s="355"/>
      <c r="W269" s="355"/>
      <c r="X269" s="1137"/>
      <c r="Y269" s="1126"/>
      <c r="Z269" s="1194"/>
      <c r="AA269" s="1194"/>
      <c r="AB269" s="1194"/>
      <c r="AC269" s="1124"/>
      <c r="AD269" s="1124"/>
      <c r="AE269" s="1152"/>
      <c r="AF269" s="1124"/>
      <c r="AG269" s="1282">
        <f t="shared" si="54"/>
        <v>2000</v>
      </c>
    </row>
    <row r="270" spans="1:33" ht="32.25" customHeight="1">
      <c r="A270" s="294">
        <v>2141</v>
      </c>
      <c r="B270" s="291" t="s">
        <v>341</v>
      </c>
      <c r="C270" s="1834" t="s">
        <v>342</v>
      </c>
      <c r="D270" s="326"/>
      <c r="E270" s="294">
        <v>5</v>
      </c>
      <c r="F270" s="293">
        <v>43227</v>
      </c>
      <c r="G270" s="293">
        <f t="shared" si="52"/>
        <v>43232</v>
      </c>
      <c r="H270" s="293" t="s">
        <v>294</v>
      </c>
      <c r="I270" s="294" t="s">
        <v>171</v>
      </c>
      <c r="J270" s="307" t="s">
        <v>295</v>
      </c>
      <c r="K270" s="936" t="s">
        <v>346</v>
      </c>
      <c r="L270" s="1237">
        <v>23174</v>
      </c>
      <c r="M270" s="887"/>
      <c r="N270" s="294"/>
      <c r="O270" s="354">
        <v>1000</v>
      </c>
      <c r="P270" s="1836">
        <v>2</v>
      </c>
      <c r="Q270" s="355">
        <f t="shared" si="53"/>
        <v>2000</v>
      </c>
      <c r="R270" s="299"/>
      <c r="S270" s="355"/>
      <c r="T270" s="355"/>
      <c r="U270" s="355">
        <v>2000</v>
      </c>
      <c r="V270" s="355"/>
      <c r="W270" s="355"/>
      <c r="X270" s="1137"/>
      <c r="Y270" s="1126"/>
      <c r="Z270" s="1194"/>
      <c r="AA270" s="1194"/>
      <c r="AB270" s="1194"/>
      <c r="AC270" s="1124"/>
      <c r="AD270" s="1124"/>
      <c r="AE270" s="1152"/>
      <c r="AF270" s="1124"/>
      <c r="AG270" s="1282">
        <f t="shared" si="54"/>
        <v>2000</v>
      </c>
    </row>
    <row r="271" spans="1:33" ht="32.25" customHeight="1">
      <c r="A271" s="294">
        <v>2141</v>
      </c>
      <c r="B271" s="291" t="s">
        <v>341</v>
      </c>
      <c r="C271" s="1834" t="s">
        <v>342</v>
      </c>
      <c r="D271" s="326"/>
      <c r="E271" s="294">
        <v>5</v>
      </c>
      <c r="F271" s="293">
        <v>43227</v>
      </c>
      <c r="G271" s="293">
        <f t="shared" si="52"/>
        <v>43232</v>
      </c>
      <c r="H271" s="293" t="s">
        <v>294</v>
      </c>
      <c r="I271" s="294" t="s">
        <v>171</v>
      </c>
      <c r="J271" s="307" t="s">
        <v>295</v>
      </c>
      <c r="K271" s="936" t="s">
        <v>301</v>
      </c>
      <c r="L271" s="1237">
        <v>23173</v>
      </c>
      <c r="M271" s="294"/>
      <c r="N271" s="294"/>
      <c r="O271" s="354">
        <v>500</v>
      </c>
      <c r="P271" s="1836">
        <v>2</v>
      </c>
      <c r="Q271" s="355">
        <f t="shared" si="53"/>
        <v>1000</v>
      </c>
      <c r="R271" s="299"/>
      <c r="S271" s="355"/>
      <c r="T271" s="355"/>
      <c r="U271" s="355">
        <v>1000</v>
      </c>
      <c r="V271" s="355"/>
      <c r="W271" s="355"/>
      <c r="X271" s="1137"/>
      <c r="Y271" s="1126"/>
      <c r="Z271" s="1194"/>
      <c r="AA271" s="1194"/>
      <c r="AB271" s="1194"/>
      <c r="AC271" s="1124"/>
      <c r="AD271" s="1124"/>
      <c r="AE271" s="1152"/>
      <c r="AF271" s="1124"/>
      <c r="AG271" s="1282">
        <f t="shared" si="54"/>
        <v>1000</v>
      </c>
    </row>
    <row r="272" spans="1:33" ht="32.25" customHeight="1">
      <c r="A272" s="294">
        <v>2141</v>
      </c>
      <c r="B272" s="291" t="s">
        <v>341</v>
      </c>
      <c r="C272" s="1834" t="s">
        <v>342</v>
      </c>
      <c r="D272" s="326"/>
      <c r="E272" s="294">
        <v>5</v>
      </c>
      <c r="F272" s="293">
        <v>43227</v>
      </c>
      <c r="G272" s="293">
        <f t="shared" si="52"/>
        <v>43232</v>
      </c>
      <c r="H272" s="293" t="s">
        <v>294</v>
      </c>
      <c r="I272" s="294" t="s">
        <v>171</v>
      </c>
      <c r="J272" s="307" t="s">
        <v>295</v>
      </c>
      <c r="K272" s="936" t="s">
        <v>302</v>
      </c>
      <c r="L272" s="1237">
        <v>23173</v>
      </c>
      <c r="M272" s="326"/>
      <c r="N272" s="294"/>
      <c r="O272" s="354">
        <v>677</v>
      </c>
      <c r="P272" s="1836">
        <v>2</v>
      </c>
      <c r="Q272" s="355">
        <f t="shared" si="53"/>
        <v>1354</v>
      </c>
      <c r="R272" s="299"/>
      <c r="S272" s="355"/>
      <c r="T272" s="355"/>
      <c r="U272" s="355">
        <v>1354</v>
      </c>
      <c r="V272" s="355"/>
      <c r="W272" s="355"/>
      <c r="X272" s="1137"/>
      <c r="Y272" s="1126"/>
      <c r="Z272" s="1194"/>
      <c r="AA272" s="1194"/>
      <c r="AB272" s="1194"/>
      <c r="AC272" s="1124"/>
      <c r="AD272" s="1124"/>
      <c r="AE272" s="1152"/>
      <c r="AF272" s="1124"/>
      <c r="AG272" s="1282">
        <f t="shared" si="54"/>
        <v>1354</v>
      </c>
    </row>
    <row r="273" spans="1:33" ht="32.25" customHeight="1">
      <c r="A273" s="294">
        <v>2141</v>
      </c>
      <c r="B273" s="291" t="s">
        <v>341</v>
      </c>
      <c r="C273" s="1834" t="s">
        <v>314</v>
      </c>
      <c r="D273" s="326"/>
      <c r="E273" s="294">
        <v>5</v>
      </c>
      <c r="F273" s="293">
        <v>43227</v>
      </c>
      <c r="G273" s="293">
        <f t="shared" si="52"/>
        <v>43232</v>
      </c>
      <c r="H273" s="293" t="s">
        <v>294</v>
      </c>
      <c r="I273" s="294" t="s">
        <v>171</v>
      </c>
      <c r="J273" s="307" t="s">
        <v>295</v>
      </c>
      <c r="K273" s="326" t="s">
        <v>315</v>
      </c>
      <c r="L273" s="1237">
        <v>2313</v>
      </c>
      <c r="M273" s="326"/>
      <c r="N273" s="294"/>
      <c r="O273" s="354">
        <v>2666.6666666666665</v>
      </c>
      <c r="P273" s="294">
        <v>1</v>
      </c>
      <c r="Q273" s="355">
        <f t="shared" si="53"/>
        <v>2666.6666666666665</v>
      </c>
      <c r="R273" s="299"/>
      <c r="S273" s="355"/>
      <c r="T273" s="355"/>
      <c r="U273" s="355">
        <v>2666.6666666666665</v>
      </c>
      <c r="V273" s="355"/>
      <c r="W273" s="355"/>
      <c r="X273" s="1137"/>
      <c r="Y273" s="1126"/>
      <c r="Z273" s="1194"/>
      <c r="AA273" s="1194"/>
      <c r="AB273" s="1194"/>
      <c r="AC273" s="1124"/>
      <c r="AD273" s="1124"/>
      <c r="AE273" s="1152"/>
      <c r="AF273" s="1124"/>
      <c r="AG273" s="1282">
        <f t="shared" si="54"/>
        <v>2666.6666666666665</v>
      </c>
    </row>
    <row r="274" spans="1:33" ht="32.25" customHeight="1">
      <c r="A274" s="294">
        <v>2142</v>
      </c>
      <c r="B274" s="291" t="s">
        <v>347</v>
      </c>
      <c r="C274" s="1835" t="s">
        <v>348</v>
      </c>
      <c r="D274" s="326"/>
      <c r="E274" s="294">
        <v>10</v>
      </c>
      <c r="F274" s="293">
        <v>43283</v>
      </c>
      <c r="G274" s="293">
        <f t="shared" si="52"/>
        <v>43293</v>
      </c>
      <c r="H274" s="293" t="s">
        <v>294</v>
      </c>
      <c r="I274" s="294" t="s">
        <v>171</v>
      </c>
      <c r="J274" s="307" t="s">
        <v>295</v>
      </c>
      <c r="K274" s="1837" t="s">
        <v>301</v>
      </c>
      <c r="L274" s="1237">
        <v>23173</v>
      </c>
      <c r="M274" s="326"/>
      <c r="N274" s="294"/>
      <c r="O274" s="354">
        <v>166.66666666666666</v>
      </c>
      <c r="P274" s="294">
        <v>4</v>
      </c>
      <c r="Q274" s="355">
        <f t="shared" si="53"/>
        <v>666.66666666666663</v>
      </c>
      <c r="R274" s="299"/>
      <c r="S274" s="355"/>
      <c r="T274" s="355"/>
      <c r="U274" s="355"/>
      <c r="V274" s="355"/>
      <c r="W274" s="355">
        <v>666.66666666666663</v>
      </c>
      <c r="X274" s="1137"/>
      <c r="Y274" s="1126"/>
      <c r="Z274" s="1194"/>
      <c r="AA274" s="1194"/>
      <c r="AB274" s="1194"/>
      <c r="AC274" s="1124"/>
      <c r="AD274" s="1124"/>
      <c r="AE274" s="1152"/>
      <c r="AF274" s="1124"/>
      <c r="AG274" s="1282">
        <f t="shared" si="54"/>
        <v>666.66666666666663</v>
      </c>
    </row>
    <row r="275" spans="1:33" ht="32.25" customHeight="1">
      <c r="A275" s="294">
        <v>2142</v>
      </c>
      <c r="B275" s="291" t="s">
        <v>347</v>
      </c>
      <c r="C275" s="1835" t="s">
        <v>348</v>
      </c>
      <c r="D275" s="326"/>
      <c r="E275" s="294">
        <v>10</v>
      </c>
      <c r="F275" s="293">
        <v>43283</v>
      </c>
      <c r="G275" s="293">
        <f t="shared" si="52"/>
        <v>43293</v>
      </c>
      <c r="H275" s="293" t="s">
        <v>294</v>
      </c>
      <c r="I275" s="294" t="s">
        <v>171</v>
      </c>
      <c r="J275" s="307" t="s">
        <v>295</v>
      </c>
      <c r="K275" s="1837" t="s">
        <v>302</v>
      </c>
      <c r="L275" s="1237">
        <v>23173</v>
      </c>
      <c r="M275" s="326"/>
      <c r="N275" s="294"/>
      <c r="O275" s="354">
        <v>870.33333333333337</v>
      </c>
      <c r="P275" s="294">
        <v>4</v>
      </c>
      <c r="Q275" s="355">
        <f t="shared" si="53"/>
        <v>3481.3333333333335</v>
      </c>
      <c r="R275" s="299"/>
      <c r="S275" s="355"/>
      <c r="T275" s="355"/>
      <c r="U275" s="355"/>
      <c r="V275" s="355"/>
      <c r="W275" s="355">
        <v>3481.3333333333335</v>
      </c>
      <c r="X275" s="1137"/>
      <c r="Y275" s="1126"/>
      <c r="Z275" s="1194"/>
      <c r="AA275" s="1194"/>
      <c r="AB275" s="1194"/>
      <c r="AC275" s="1124"/>
      <c r="AD275" s="1124"/>
      <c r="AE275" s="1152"/>
      <c r="AF275" s="1124"/>
      <c r="AG275" s="1282">
        <f t="shared" si="54"/>
        <v>3481.3333333333335</v>
      </c>
    </row>
    <row r="276" spans="1:33" ht="32.25" customHeight="1">
      <c r="A276" s="294">
        <v>2142</v>
      </c>
      <c r="B276" s="291" t="s">
        <v>347</v>
      </c>
      <c r="C276" s="1835" t="s">
        <v>348</v>
      </c>
      <c r="D276" s="326"/>
      <c r="E276" s="294">
        <v>10</v>
      </c>
      <c r="F276" s="293">
        <v>43283</v>
      </c>
      <c r="G276" s="293">
        <f t="shared" si="52"/>
        <v>43293</v>
      </c>
      <c r="H276" s="293" t="s">
        <v>294</v>
      </c>
      <c r="I276" s="294" t="s">
        <v>171</v>
      </c>
      <c r="J276" s="307" t="s">
        <v>295</v>
      </c>
      <c r="K276" s="1837" t="s">
        <v>296</v>
      </c>
      <c r="L276" s="1237">
        <v>23174</v>
      </c>
      <c r="M276" s="326"/>
      <c r="N276" s="294"/>
      <c r="O276" s="354">
        <v>3000</v>
      </c>
      <c r="P276" s="294">
        <v>4</v>
      </c>
      <c r="Q276" s="355">
        <f t="shared" si="53"/>
        <v>12000</v>
      </c>
      <c r="R276" s="299"/>
      <c r="S276" s="355"/>
      <c r="T276" s="355"/>
      <c r="U276" s="355"/>
      <c r="V276" s="355"/>
      <c r="W276" s="355">
        <v>12000</v>
      </c>
      <c r="X276" s="1137"/>
      <c r="Y276" s="1126"/>
      <c r="Z276" s="1194"/>
      <c r="AA276" s="1194"/>
      <c r="AB276" s="1194"/>
      <c r="AC276" s="1124"/>
      <c r="AD276" s="1124"/>
      <c r="AE276" s="1152"/>
      <c r="AF276" s="1124"/>
      <c r="AG276" s="1282">
        <f t="shared" si="54"/>
        <v>12000</v>
      </c>
    </row>
    <row r="277" spans="1:33" ht="32.25" customHeight="1">
      <c r="A277" s="294">
        <v>2142</v>
      </c>
      <c r="B277" s="291" t="s">
        <v>347</v>
      </c>
      <c r="C277" s="1835" t="s">
        <v>348</v>
      </c>
      <c r="D277" s="326"/>
      <c r="E277" s="294">
        <v>10</v>
      </c>
      <c r="F277" s="293">
        <v>43283</v>
      </c>
      <c r="G277" s="293">
        <f t="shared" si="52"/>
        <v>43293</v>
      </c>
      <c r="H277" s="293" t="s">
        <v>294</v>
      </c>
      <c r="I277" s="294" t="s">
        <v>171</v>
      </c>
      <c r="J277" s="307" t="s">
        <v>295</v>
      </c>
      <c r="K277" s="1837" t="s">
        <v>349</v>
      </c>
      <c r="L277" s="1237">
        <v>23174</v>
      </c>
      <c r="M277" s="326"/>
      <c r="N277" s="294"/>
      <c r="O277" s="354">
        <v>304</v>
      </c>
      <c r="P277" s="294">
        <v>4</v>
      </c>
      <c r="Q277" s="355">
        <f t="shared" si="53"/>
        <v>1216</v>
      </c>
      <c r="R277" s="299"/>
      <c r="S277" s="355"/>
      <c r="T277" s="355"/>
      <c r="U277" s="355"/>
      <c r="V277" s="355"/>
      <c r="W277" s="355">
        <v>1216</v>
      </c>
      <c r="X277" s="1137"/>
      <c r="Y277" s="1126"/>
      <c r="Z277" s="1194"/>
      <c r="AA277" s="1194"/>
      <c r="AB277" s="1194"/>
      <c r="AC277" s="1124"/>
      <c r="AD277" s="1124"/>
      <c r="AE277" s="1152"/>
      <c r="AF277" s="1124"/>
      <c r="AG277" s="1282">
        <f t="shared" si="54"/>
        <v>1216</v>
      </c>
    </row>
    <row r="278" spans="1:33" ht="32.25" customHeight="1">
      <c r="A278" s="294">
        <v>2142</v>
      </c>
      <c r="B278" s="291" t="s">
        <v>347</v>
      </c>
      <c r="C278" s="1835" t="s">
        <v>348</v>
      </c>
      <c r="D278" s="326"/>
      <c r="E278" s="294">
        <v>10</v>
      </c>
      <c r="F278" s="293">
        <v>43283</v>
      </c>
      <c r="G278" s="293">
        <f t="shared" si="52"/>
        <v>43293</v>
      </c>
      <c r="H278" s="293" t="s">
        <v>294</v>
      </c>
      <c r="I278" s="294" t="s">
        <v>171</v>
      </c>
      <c r="J278" s="307" t="s">
        <v>295</v>
      </c>
      <c r="K278" s="1837" t="s">
        <v>298</v>
      </c>
      <c r="L278" s="1237">
        <v>23174</v>
      </c>
      <c r="M278" s="326"/>
      <c r="N278" s="294"/>
      <c r="O278" s="354">
        <v>448</v>
      </c>
      <c r="P278" s="294">
        <v>4</v>
      </c>
      <c r="Q278" s="355">
        <f t="shared" si="53"/>
        <v>1792</v>
      </c>
      <c r="R278" s="299"/>
      <c r="S278" s="355"/>
      <c r="T278" s="355"/>
      <c r="U278" s="355"/>
      <c r="V278" s="355"/>
      <c r="W278" s="355">
        <v>1792</v>
      </c>
      <c r="X278" s="1137"/>
      <c r="Y278" s="1126"/>
      <c r="Z278" s="1194"/>
      <c r="AA278" s="1194"/>
      <c r="AB278" s="1194"/>
      <c r="AC278" s="1124"/>
      <c r="AD278" s="1124"/>
      <c r="AE278" s="1152"/>
      <c r="AF278" s="1124"/>
      <c r="AG278" s="1282">
        <f t="shared" si="54"/>
        <v>1792</v>
      </c>
    </row>
    <row r="279" spans="1:33" ht="32.25" customHeight="1">
      <c r="A279" s="294">
        <v>2142</v>
      </c>
      <c r="B279" s="291" t="s">
        <v>347</v>
      </c>
      <c r="C279" s="1835" t="s">
        <v>348</v>
      </c>
      <c r="D279" s="326"/>
      <c r="E279" s="294">
        <v>10</v>
      </c>
      <c r="F279" s="293">
        <v>43283</v>
      </c>
      <c r="G279" s="293">
        <f t="shared" si="52"/>
        <v>43293</v>
      </c>
      <c r="H279" s="293" t="s">
        <v>294</v>
      </c>
      <c r="I279" s="294" t="s">
        <v>171</v>
      </c>
      <c r="J279" s="307" t="s">
        <v>295</v>
      </c>
      <c r="K279" s="1837" t="s">
        <v>350</v>
      </c>
      <c r="L279" s="1237">
        <v>23174</v>
      </c>
      <c r="M279" s="326"/>
      <c r="N279" s="294"/>
      <c r="O279" s="354">
        <v>166.66666666666666</v>
      </c>
      <c r="P279" s="294">
        <v>4</v>
      </c>
      <c r="Q279" s="355">
        <f t="shared" si="53"/>
        <v>666.66666666666663</v>
      </c>
      <c r="R279" s="299"/>
      <c r="S279" s="355"/>
      <c r="T279" s="355"/>
      <c r="U279" s="355"/>
      <c r="V279" s="355"/>
      <c r="W279" s="355">
        <v>666.66666666666663</v>
      </c>
      <c r="X279" s="1137"/>
      <c r="Y279" s="1126"/>
      <c r="Z279" s="1194"/>
      <c r="AA279" s="1194"/>
      <c r="AB279" s="1194"/>
      <c r="AC279" s="1124"/>
      <c r="AD279" s="1124"/>
      <c r="AE279" s="1152"/>
      <c r="AF279" s="1124"/>
      <c r="AG279" s="1282">
        <f t="shared" si="54"/>
        <v>666.66666666666663</v>
      </c>
    </row>
    <row r="280" spans="1:33" ht="32.25" customHeight="1">
      <c r="A280" s="294">
        <v>2142</v>
      </c>
      <c r="B280" s="291" t="s">
        <v>347</v>
      </c>
      <c r="C280" s="1835" t="s">
        <v>348</v>
      </c>
      <c r="D280" s="326"/>
      <c r="E280" s="294">
        <v>10</v>
      </c>
      <c r="F280" s="293">
        <v>43283</v>
      </c>
      <c r="G280" s="293">
        <f t="shared" si="52"/>
        <v>43293</v>
      </c>
      <c r="H280" s="293" t="s">
        <v>294</v>
      </c>
      <c r="I280" s="294" t="s">
        <v>171</v>
      </c>
      <c r="J280" s="307" t="s">
        <v>295</v>
      </c>
      <c r="K280" s="1837" t="s">
        <v>300</v>
      </c>
      <c r="L280" s="1237">
        <v>23174</v>
      </c>
      <c r="M280" s="326"/>
      <c r="N280" s="294"/>
      <c r="O280" s="354">
        <v>400</v>
      </c>
      <c r="P280" s="294">
        <v>4</v>
      </c>
      <c r="Q280" s="355">
        <f t="shared" si="53"/>
        <v>1600</v>
      </c>
      <c r="R280" s="299"/>
      <c r="S280" s="355"/>
      <c r="T280" s="355"/>
      <c r="U280" s="355"/>
      <c r="V280" s="355"/>
      <c r="W280" s="355">
        <v>1600</v>
      </c>
      <c r="X280" s="1137"/>
      <c r="Y280" s="1126"/>
      <c r="Z280" s="1194"/>
      <c r="AA280" s="1194"/>
      <c r="AB280" s="1194"/>
      <c r="AC280" s="1124"/>
      <c r="AD280" s="1124"/>
      <c r="AE280" s="1152"/>
      <c r="AF280" s="1124"/>
      <c r="AG280" s="1282">
        <f t="shared" si="54"/>
        <v>1600</v>
      </c>
    </row>
    <row r="281" spans="1:33" ht="32.25" customHeight="1">
      <c r="A281" s="294">
        <v>2143</v>
      </c>
      <c r="B281" s="291" t="s">
        <v>69</v>
      </c>
      <c r="C281" s="1835" t="s">
        <v>351</v>
      </c>
      <c r="D281" s="326"/>
      <c r="E281" s="294">
        <v>1</v>
      </c>
      <c r="F281" s="293">
        <v>43409</v>
      </c>
      <c r="G281" s="293">
        <f t="shared" si="52"/>
        <v>43410</v>
      </c>
      <c r="H281" s="293" t="s">
        <v>294</v>
      </c>
      <c r="I281" s="294" t="s">
        <v>171</v>
      </c>
      <c r="J281" s="307" t="s">
        <v>295</v>
      </c>
      <c r="K281" s="326" t="s">
        <v>296</v>
      </c>
      <c r="L281" s="1237">
        <v>23174</v>
      </c>
      <c r="M281" s="326"/>
      <c r="N281" s="294"/>
      <c r="O281" s="1557">
        <v>24</v>
      </c>
      <c r="P281" s="887">
        <v>60</v>
      </c>
      <c r="Q281" s="355">
        <f t="shared" si="53"/>
        <v>1440</v>
      </c>
      <c r="R281" s="299"/>
      <c r="S281" s="355"/>
      <c r="T281" s="355"/>
      <c r="U281" s="355"/>
      <c r="V281" s="355"/>
      <c r="W281" s="355"/>
      <c r="X281" s="1137"/>
      <c r="Y281" s="1126"/>
      <c r="Z281" s="1194"/>
      <c r="AA281" s="1126">
        <v>1440</v>
      </c>
      <c r="AB281" s="1194"/>
      <c r="AC281" s="1124"/>
      <c r="AD281" s="1124"/>
      <c r="AE281" s="1152"/>
      <c r="AF281" s="1124"/>
      <c r="AG281" s="1282">
        <f t="shared" si="54"/>
        <v>1440</v>
      </c>
    </row>
    <row r="282" spans="1:33" ht="32.25" customHeight="1">
      <c r="A282" s="294">
        <v>2143</v>
      </c>
      <c r="B282" s="291" t="s">
        <v>69</v>
      </c>
      <c r="C282" s="1835" t="s">
        <v>351</v>
      </c>
      <c r="D282" s="326"/>
      <c r="E282" s="294">
        <v>1</v>
      </c>
      <c r="F282" s="293">
        <v>43409</v>
      </c>
      <c r="G282" s="293">
        <f t="shared" si="52"/>
        <v>43410</v>
      </c>
      <c r="H282" s="293" t="s">
        <v>294</v>
      </c>
      <c r="I282" s="294" t="s">
        <v>171</v>
      </c>
      <c r="J282" s="307" t="s">
        <v>295</v>
      </c>
      <c r="K282" s="326" t="s">
        <v>352</v>
      </c>
      <c r="L282" s="1237">
        <v>23174</v>
      </c>
      <c r="M282" s="326"/>
      <c r="N282" s="294"/>
      <c r="O282" s="1557">
        <v>26.666666666666668</v>
      </c>
      <c r="P282" s="887">
        <v>60</v>
      </c>
      <c r="Q282" s="355">
        <f t="shared" si="53"/>
        <v>1600</v>
      </c>
      <c r="R282" s="299"/>
      <c r="S282" s="355"/>
      <c r="T282" s="355"/>
      <c r="U282" s="355"/>
      <c r="V282" s="355"/>
      <c r="W282" s="355"/>
      <c r="X282" s="1137"/>
      <c r="Y282" s="1126"/>
      <c r="Z282" s="1194"/>
      <c r="AA282" s="1126">
        <v>1600</v>
      </c>
      <c r="AB282" s="1194"/>
      <c r="AC282" s="1124"/>
      <c r="AD282" s="1124"/>
      <c r="AE282" s="1152"/>
      <c r="AF282" s="1124"/>
      <c r="AG282" s="1282">
        <f t="shared" si="54"/>
        <v>1600</v>
      </c>
    </row>
    <row r="283" spans="1:33" ht="29.25" customHeight="1">
      <c r="A283" s="1275">
        <v>215</v>
      </c>
      <c r="B283" s="995" t="s">
        <v>353</v>
      </c>
      <c r="C283" s="1083"/>
      <c r="D283" s="1339"/>
      <c r="E283" s="1340"/>
      <c r="F283" s="1340"/>
      <c r="G283" s="1340"/>
      <c r="H283" s="1339"/>
      <c r="I283" s="1341"/>
      <c r="J283" s="283"/>
      <c r="K283" s="1278"/>
      <c r="L283" s="1279"/>
      <c r="M283" s="1280"/>
      <c r="N283" s="1277"/>
      <c r="O283" s="1281"/>
      <c r="P283" s="1277"/>
      <c r="Q283" s="1282">
        <f>SUM(Q284:Q301)</f>
        <v>53486.333333333343</v>
      </c>
      <c r="R283" s="287"/>
      <c r="S283" s="1282">
        <f t="shared" ref="S283:AF283" si="55">SUM(S284:S301)</f>
        <v>0</v>
      </c>
      <c r="T283" s="1282">
        <f t="shared" si="55"/>
        <v>0</v>
      </c>
      <c r="U283" s="1282">
        <f t="shared" si="55"/>
        <v>12902.666666666664</v>
      </c>
      <c r="V283" s="1282">
        <f t="shared" si="55"/>
        <v>40583.666666666672</v>
      </c>
      <c r="W283" s="1282">
        <f t="shared" si="55"/>
        <v>0</v>
      </c>
      <c r="X283" s="1342">
        <f t="shared" si="55"/>
        <v>0</v>
      </c>
      <c r="Y283" s="1343">
        <f t="shared" si="55"/>
        <v>0</v>
      </c>
      <c r="Z283" s="1151">
        <f t="shared" si="55"/>
        <v>0</v>
      </c>
      <c r="AA283" s="1151">
        <f t="shared" si="55"/>
        <v>0</v>
      </c>
      <c r="AB283" s="1151">
        <f t="shared" si="55"/>
        <v>0</v>
      </c>
      <c r="AC283" s="1151">
        <f t="shared" si="55"/>
        <v>0</v>
      </c>
      <c r="AD283" s="1151">
        <f t="shared" si="55"/>
        <v>0</v>
      </c>
      <c r="AE283" s="1151">
        <f t="shared" si="55"/>
        <v>0</v>
      </c>
      <c r="AF283" s="1151">
        <f t="shared" si="55"/>
        <v>0</v>
      </c>
      <c r="AG283" s="1151">
        <f>SUM(S283:AF283)</f>
        <v>53486.333333333336</v>
      </c>
    </row>
    <row r="284" spans="1:33" ht="32.25" customHeight="1">
      <c r="A284" s="294">
        <v>2151</v>
      </c>
      <c r="B284" s="291" t="s">
        <v>70</v>
      </c>
      <c r="C284" s="1834" t="s">
        <v>307</v>
      </c>
      <c r="D284" s="326"/>
      <c r="E284" s="294">
        <v>2</v>
      </c>
      <c r="F284" s="293">
        <v>43269</v>
      </c>
      <c r="G284" s="293">
        <f t="shared" ref="G284:G301" si="56">+E284+F284</f>
        <v>43271</v>
      </c>
      <c r="H284" s="293" t="s">
        <v>294</v>
      </c>
      <c r="I284" s="294" t="s">
        <v>171</v>
      </c>
      <c r="J284" s="307" t="s">
        <v>295</v>
      </c>
      <c r="K284" s="326" t="s">
        <v>309</v>
      </c>
      <c r="L284" s="1237">
        <v>23173</v>
      </c>
      <c r="M284" s="294"/>
      <c r="N284" s="294"/>
      <c r="O284" s="354">
        <v>205.33333333333334</v>
      </c>
      <c r="P284" s="887">
        <v>3</v>
      </c>
      <c r="Q284" s="355">
        <f t="shared" ref="Q284:Q301" si="57">+O284*P284</f>
        <v>616</v>
      </c>
      <c r="R284" s="299"/>
      <c r="S284" s="355"/>
      <c r="T284" s="355"/>
      <c r="U284" s="355"/>
      <c r="V284" s="355">
        <v>616</v>
      </c>
      <c r="W284" s="355"/>
      <c r="X284" s="1137"/>
      <c r="Y284" s="1126"/>
      <c r="Z284" s="1194"/>
      <c r="AA284" s="1194"/>
      <c r="AB284" s="1194"/>
      <c r="AC284" s="1124"/>
      <c r="AD284" s="1124"/>
      <c r="AE284" s="1152"/>
      <c r="AF284" s="1124"/>
      <c r="AG284" s="1282">
        <f t="shared" ref="AG284:AG301" si="58">SUM(S284:AF284)</f>
        <v>616</v>
      </c>
    </row>
    <row r="285" spans="1:33" ht="32.25" customHeight="1">
      <c r="A285" s="294">
        <v>2151</v>
      </c>
      <c r="B285" s="291" t="s">
        <v>70</v>
      </c>
      <c r="C285" s="1834" t="s">
        <v>307</v>
      </c>
      <c r="D285" s="326"/>
      <c r="E285" s="294">
        <v>2</v>
      </c>
      <c r="F285" s="293">
        <v>43269</v>
      </c>
      <c r="G285" s="293">
        <f t="shared" si="56"/>
        <v>43271</v>
      </c>
      <c r="H285" s="293" t="s">
        <v>294</v>
      </c>
      <c r="I285" s="294" t="s">
        <v>171</v>
      </c>
      <c r="J285" s="307" t="s">
        <v>295</v>
      </c>
      <c r="K285" s="326" t="s">
        <v>308</v>
      </c>
      <c r="L285" s="1237">
        <v>23173</v>
      </c>
      <c r="M285" s="326"/>
      <c r="N285" s="294"/>
      <c r="O285" s="354">
        <v>44</v>
      </c>
      <c r="P285" s="887">
        <v>3</v>
      </c>
      <c r="Q285" s="355">
        <f t="shared" si="57"/>
        <v>132</v>
      </c>
      <c r="R285" s="299"/>
      <c r="S285" s="355"/>
      <c r="T285" s="355"/>
      <c r="U285" s="355"/>
      <c r="V285" s="355">
        <v>132</v>
      </c>
      <c r="W285" s="355"/>
      <c r="X285" s="1137"/>
      <c r="Y285" s="1126"/>
      <c r="Z285" s="1194"/>
      <c r="AA285" s="1194"/>
      <c r="AB285" s="1194"/>
      <c r="AC285" s="1124"/>
      <c r="AD285" s="1124"/>
      <c r="AE285" s="1152"/>
      <c r="AF285" s="1124"/>
      <c r="AG285" s="1282">
        <f t="shared" si="58"/>
        <v>132</v>
      </c>
    </row>
    <row r="286" spans="1:33" ht="32.25" customHeight="1">
      <c r="A286" s="294">
        <v>2151</v>
      </c>
      <c r="B286" s="291" t="s">
        <v>70</v>
      </c>
      <c r="C286" s="1834" t="s">
        <v>307</v>
      </c>
      <c r="D286" s="326"/>
      <c r="E286" s="294">
        <v>2</v>
      </c>
      <c r="F286" s="293">
        <v>43269</v>
      </c>
      <c r="G286" s="293">
        <f t="shared" si="56"/>
        <v>43271</v>
      </c>
      <c r="H286" s="293" t="s">
        <v>294</v>
      </c>
      <c r="I286" s="294" t="s">
        <v>171</v>
      </c>
      <c r="J286" s="307" t="s">
        <v>295</v>
      </c>
      <c r="K286" s="326" t="s">
        <v>296</v>
      </c>
      <c r="L286" s="1237">
        <v>23174</v>
      </c>
      <c r="M286" s="326"/>
      <c r="N286" s="294"/>
      <c r="O286" s="354">
        <v>480</v>
      </c>
      <c r="P286" s="887">
        <v>3</v>
      </c>
      <c r="Q286" s="355">
        <f t="shared" si="57"/>
        <v>1440</v>
      </c>
      <c r="R286" s="299"/>
      <c r="S286" s="355"/>
      <c r="T286" s="355"/>
      <c r="U286" s="355"/>
      <c r="V286" s="355">
        <v>1440</v>
      </c>
      <c r="W286" s="355"/>
      <c r="X286" s="1137"/>
      <c r="Y286" s="1126"/>
      <c r="Z286" s="1194"/>
      <c r="AA286" s="1194"/>
      <c r="AB286" s="1194"/>
      <c r="AC286" s="1124"/>
      <c r="AD286" s="1124"/>
      <c r="AE286" s="1152"/>
      <c r="AF286" s="1124"/>
      <c r="AG286" s="1282">
        <f t="shared" si="58"/>
        <v>1440</v>
      </c>
    </row>
    <row r="287" spans="1:33" ht="32.25" customHeight="1">
      <c r="A287" s="294">
        <v>2151</v>
      </c>
      <c r="B287" s="291" t="s">
        <v>70</v>
      </c>
      <c r="C287" s="1834" t="s">
        <v>307</v>
      </c>
      <c r="D287" s="326"/>
      <c r="E287" s="294">
        <v>2</v>
      </c>
      <c r="F287" s="293">
        <v>43269</v>
      </c>
      <c r="G287" s="293">
        <f t="shared" si="56"/>
        <v>43271</v>
      </c>
      <c r="H287" s="293" t="s">
        <v>294</v>
      </c>
      <c r="I287" s="294" t="s">
        <v>171</v>
      </c>
      <c r="J287" s="307" t="s">
        <v>295</v>
      </c>
      <c r="K287" s="326" t="s">
        <v>354</v>
      </c>
      <c r="L287" s="1237">
        <v>23174</v>
      </c>
      <c r="M287" s="326"/>
      <c r="N287" s="294"/>
      <c r="O287" s="354">
        <v>202.66666666666666</v>
      </c>
      <c r="P287" s="887">
        <v>3</v>
      </c>
      <c r="Q287" s="355">
        <f t="shared" si="57"/>
        <v>608</v>
      </c>
      <c r="R287" s="299"/>
      <c r="S287" s="355"/>
      <c r="T287" s="355"/>
      <c r="U287" s="355"/>
      <c r="V287" s="355">
        <v>608</v>
      </c>
      <c r="W287" s="355"/>
      <c r="X287" s="1137"/>
      <c r="Y287" s="1126"/>
      <c r="Z287" s="1194"/>
      <c r="AA287" s="1194"/>
      <c r="AB287" s="1194"/>
      <c r="AC287" s="1124"/>
      <c r="AD287" s="1124"/>
      <c r="AE287" s="1152"/>
      <c r="AF287" s="1124"/>
      <c r="AG287" s="1282">
        <f t="shared" si="58"/>
        <v>608</v>
      </c>
    </row>
    <row r="288" spans="1:33" ht="32.25" customHeight="1">
      <c r="A288" s="294">
        <v>2151</v>
      </c>
      <c r="B288" s="291" t="s">
        <v>70</v>
      </c>
      <c r="C288" s="1834" t="s">
        <v>307</v>
      </c>
      <c r="D288" s="326"/>
      <c r="E288" s="294">
        <v>2</v>
      </c>
      <c r="F288" s="293">
        <v>43269</v>
      </c>
      <c r="G288" s="293">
        <f t="shared" si="56"/>
        <v>43271</v>
      </c>
      <c r="H288" s="293" t="s">
        <v>294</v>
      </c>
      <c r="I288" s="294" t="s">
        <v>171</v>
      </c>
      <c r="J288" s="307" t="s">
        <v>295</v>
      </c>
      <c r="K288" s="326" t="s">
        <v>355</v>
      </c>
      <c r="L288" s="1237">
        <v>23174</v>
      </c>
      <c r="M288" s="326"/>
      <c r="N288" s="294"/>
      <c r="O288" s="354">
        <v>333.33333333333331</v>
      </c>
      <c r="P288" s="887">
        <v>3</v>
      </c>
      <c r="Q288" s="355">
        <f t="shared" si="57"/>
        <v>1000</v>
      </c>
      <c r="R288" s="299"/>
      <c r="S288" s="355"/>
      <c r="T288" s="355"/>
      <c r="U288" s="355"/>
      <c r="V288" s="355">
        <v>1000</v>
      </c>
      <c r="W288" s="355"/>
      <c r="X288" s="1137"/>
      <c r="Y288" s="1126"/>
      <c r="Z288" s="1194"/>
      <c r="AA288" s="1194"/>
      <c r="AB288" s="1194"/>
      <c r="AC288" s="1124"/>
      <c r="AD288" s="1124"/>
      <c r="AE288" s="1152"/>
      <c r="AF288" s="1124"/>
      <c r="AG288" s="1282">
        <f t="shared" si="58"/>
        <v>1000</v>
      </c>
    </row>
    <row r="289" spans="1:33" ht="32.25" customHeight="1">
      <c r="A289" s="294">
        <v>2151</v>
      </c>
      <c r="B289" s="291" t="s">
        <v>70</v>
      </c>
      <c r="C289" s="1834" t="s">
        <v>307</v>
      </c>
      <c r="D289" s="326"/>
      <c r="E289" s="294">
        <v>2</v>
      </c>
      <c r="F289" s="293">
        <v>43269</v>
      </c>
      <c r="G289" s="293">
        <f t="shared" si="56"/>
        <v>43271</v>
      </c>
      <c r="H289" s="293" t="s">
        <v>294</v>
      </c>
      <c r="I289" s="294" t="s">
        <v>171</v>
      </c>
      <c r="J289" s="307" t="s">
        <v>295</v>
      </c>
      <c r="K289" s="326" t="s">
        <v>356</v>
      </c>
      <c r="L289" s="1237">
        <v>23174</v>
      </c>
      <c r="M289" s="326"/>
      <c r="N289" s="294"/>
      <c r="O289" s="354">
        <v>133.33333333333334</v>
      </c>
      <c r="P289" s="887">
        <v>3</v>
      </c>
      <c r="Q289" s="355">
        <f t="shared" si="57"/>
        <v>400</v>
      </c>
      <c r="R289" s="299"/>
      <c r="S289" s="355"/>
      <c r="T289" s="355"/>
      <c r="U289" s="355"/>
      <c r="V289" s="355">
        <v>400</v>
      </c>
      <c r="W289" s="355"/>
      <c r="X289" s="1137"/>
      <c r="Y289" s="1126"/>
      <c r="Z289" s="1194"/>
      <c r="AA289" s="1194"/>
      <c r="AB289" s="1194"/>
      <c r="AC289" s="1124"/>
      <c r="AD289" s="1124"/>
      <c r="AE289" s="1152"/>
      <c r="AF289" s="1124"/>
      <c r="AG289" s="1282">
        <f t="shared" si="58"/>
        <v>400</v>
      </c>
    </row>
    <row r="290" spans="1:33" ht="32.25" customHeight="1">
      <c r="A290" s="294">
        <v>2151</v>
      </c>
      <c r="B290" s="291" t="s">
        <v>70</v>
      </c>
      <c r="C290" s="1834" t="s">
        <v>307</v>
      </c>
      <c r="D290" s="326"/>
      <c r="E290" s="294">
        <v>2</v>
      </c>
      <c r="F290" s="293">
        <v>43269</v>
      </c>
      <c r="G290" s="293">
        <f t="shared" si="56"/>
        <v>43271</v>
      </c>
      <c r="H290" s="293" t="s">
        <v>294</v>
      </c>
      <c r="I290" s="294" t="s">
        <v>171</v>
      </c>
      <c r="J290" s="307" t="s">
        <v>295</v>
      </c>
      <c r="K290" s="326" t="s">
        <v>301</v>
      </c>
      <c r="L290" s="1237">
        <v>23173</v>
      </c>
      <c r="M290" s="326"/>
      <c r="N290" s="294"/>
      <c r="O290" s="354">
        <v>200</v>
      </c>
      <c r="P290" s="887">
        <v>3</v>
      </c>
      <c r="Q290" s="355">
        <f t="shared" si="57"/>
        <v>600</v>
      </c>
      <c r="R290" s="299"/>
      <c r="S290" s="355"/>
      <c r="T290" s="355"/>
      <c r="U290" s="355"/>
      <c r="V290" s="355">
        <v>600</v>
      </c>
      <c r="W290" s="355"/>
      <c r="X290" s="1137"/>
      <c r="Y290" s="1126"/>
      <c r="Z290" s="1194"/>
      <c r="AA290" s="1194"/>
      <c r="AB290" s="1194"/>
      <c r="AC290" s="1124"/>
      <c r="AD290" s="1124"/>
      <c r="AE290" s="1152"/>
      <c r="AF290" s="1124"/>
      <c r="AG290" s="1282">
        <f t="shared" si="58"/>
        <v>600</v>
      </c>
    </row>
    <row r="291" spans="1:33" ht="32.25" customHeight="1">
      <c r="A291" s="294">
        <v>2151</v>
      </c>
      <c r="B291" s="291" t="s">
        <v>70</v>
      </c>
      <c r="C291" s="1834" t="s">
        <v>307</v>
      </c>
      <c r="D291" s="326"/>
      <c r="E291" s="294">
        <v>2</v>
      </c>
      <c r="F291" s="293">
        <v>43269</v>
      </c>
      <c r="G291" s="293">
        <f t="shared" si="56"/>
        <v>43271</v>
      </c>
      <c r="H291" s="293" t="s">
        <v>294</v>
      </c>
      <c r="I291" s="294" t="s">
        <v>171</v>
      </c>
      <c r="J291" s="307" t="s">
        <v>295</v>
      </c>
      <c r="K291" s="326" t="s">
        <v>302</v>
      </c>
      <c r="L291" s="1237">
        <v>23173</v>
      </c>
      <c r="M291" s="326"/>
      <c r="N291" s="294"/>
      <c r="O291" s="354">
        <v>207</v>
      </c>
      <c r="P291" s="887">
        <v>3</v>
      </c>
      <c r="Q291" s="355">
        <f t="shared" si="57"/>
        <v>621</v>
      </c>
      <c r="R291" s="299"/>
      <c r="S291" s="355"/>
      <c r="T291" s="355"/>
      <c r="U291" s="355"/>
      <c r="V291" s="355">
        <v>621</v>
      </c>
      <c r="W291" s="355"/>
      <c r="X291" s="1137"/>
      <c r="Y291" s="1126"/>
      <c r="Z291" s="1194"/>
      <c r="AA291" s="1194"/>
      <c r="AB291" s="1194"/>
      <c r="AC291" s="1124"/>
      <c r="AD291" s="1124"/>
      <c r="AE291" s="1152"/>
      <c r="AF291" s="1124"/>
      <c r="AG291" s="1282">
        <f t="shared" si="58"/>
        <v>621</v>
      </c>
    </row>
    <row r="292" spans="1:33" ht="32.25" customHeight="1">
      <c r="A292" s="294">
        <v>2152</v>
      </c>
      <c r="B292" s="291" t="s">
        <v>71</v>
      </c>
      <c r="C292" s="1835" t="s">
        <v>307</v>
      </c>
      <c r="D292" s="326"/>
      <c r="E292" s="294">
        <v>5</v>
      </c>
      <c r="F292" s="293">
        <v>43234</v>
      </c>
      <c r="G292" s="293">
        <f t="shared" si="56"/>
        <v>43239</v>
      </c>
      <c r="H292" s="293" t="s">
        <v>294</v>
      </c>
      <c r="I292" s="294" t="s">
        <v>171</v>
      </c>
      <c r="J292" s="307" t="s">
        <v>295</v>
      </c>
      <c r="K292" s="326" t="s">
        <v>309</v>
      </c>
      <c r="L292" s="1237">
        <v>23173</v>
      </c>
      <c r="M292" s="326"/>
      <c r="N292" s="294"/>
      <c r="O292" s="354">
        <v>933.33333333333337</v>
      </c>
      <c r="P292" s="294">
        <v>1</v>
      </c>
      <c r="Q292" s="355">
        <f t="shared" si="57"/>
        <v>933.33333333333337</v>
      </c>
      <c r="R292" s="299"/>
      <c r="S292" s="355"/>
      <c r="T292" s="355"/>
      <c r="U292" s="355">
        <v>933.33333333333337</v>
      </c>
      <c r="V292" s="355"/>
      <c r="W292" s="355"/>
      <c r="X292" s="1137"/>
      <c r="Y292" s="1126"/>
      <c r="Z292" s="1194"/>
      <c r="AA292" s="1194"/>
      <c r="AB292" s="1194"/>
      <c r="AC292" s="1124"/>
      <c r="AD292" s="1124"/>
      <c r="AE292" s="1152"/>
      <c r="AF292" s="1124"/>
      <c r="AG292" s="1282">
        <f t="shared" si="58"/>
        <v>933.33333333333337</v>
      </c>
    </row>
    <row r="293" spans="1:33" ht="32.25" customHeight="1">
      <c r="A293" s="294">
        <v>2152</v>
      </c>
      <c r="B293" s="291" t="s">
        <v>71</v>
      </c>
      <c r="C293" s="1835" t="s">
        <v>307</v>
      </c>
      <c r="D293" s="326"/>
      <c r="E293" s="294">
        <v>5</v>
      </c>
      <c r="F293" s="293">
        <v>43234</v>
      </c>
      <c r="G293" s="293">
        <f t="shared" si="56"/>
        <v>43239</v>
      </c>
      <c r="H293" s="293" t="s">
        <v>294</v>
      </c>
      <c r="I293" s="294" t="s">
        <v>171</v>
      </c>
      <c r="J293" s="307" t="s">
        <v>295</v>
      </c>
      <c r="K293" s="326" t="s">
        <v>308</v>
      </c>
      <c r="L293" s="1237">
        <v>23173</v>
      </c>
      <c r="M293" s="326"/>
      <c r="N293" s="294"/>
      <c r="O293" s="354">
        <v>200</v>
      </c>
      <c r="P293" s="294">
        <v>1</v>
      </c>
      <c r="Q293" s="355">
        <f t="shared" si="57"/>
        <v>200</v>
      </c>
      <c r="R293" s="299"/>
      <c r="S293" s="355"/>
      <c r="T293" s="355"/>
      <c r="U293" s="355">
        <v>200</v>
      </c>
      <c r="V293" s="355"/>
      <c r="W293" s="355"/>
      <c r="X293" s="1137"/>
      <c r="Y293" s="1126"/>
      <c r="Z293" s="1194"/>
      <c r="AA293" s="1194"/>
      <c r="AB293" s="1194"/>
      <c r="AC293" s="1124"/>
      <c r="AD293" s="1124"/>
      <c r="AE293" s="1152"/>
      <c r="AF293" s="1124"/>
      <c r="AG293" s="1282">
        <f t="shared" si="58"/>
        <v>200</v>
      </c>
    </row>
    <row r="294" spans="1:33" ht="32.25" customHeight="1">
      <c r="A294" s="294">
        <v>2152</v>
      </c>
      <c r="B294" s="291" t="s">
        <v>71</v>
      </c>
      <c r="C294" s="1835" t="s">
        <v>307</v>
      </c>
      <c r="D294" s="326"/>
      <c r="E294" s="294">
        <v>5</v>
      </c>
      <c r="F294" s="293">
        <v>43234</v>
      </c>
      <c r="G294" s="293">
        <f t="shared" si="56"/>
        <v>43239</v>
      </c>
      <c r="H294" s="293" t="s">
        <v>294</v>
      </c>
      <c r="I294" s="294" t="s">
        <v>171</v>
      </c>
      <c r="J294" s="307" t="s">
        <v>295</v>
      </c>
      <c r="K294" s="936" t="s">
        <v>357</v>
      </c>
      <c r="L294" s="1237">
        <v>23174</v>
      </c>
      <c r="M294" s="326"/>
      <c r="N294" s="294"/>
      <c r="O294" s="354">
        <v>7093.333333333333</v>
      </c>
      <c r="P294" s="294">
        <v>1</v>
      </c>
      <c r="Q294" s="355">
        <f t="shared" si="57"/>
        <v>7093.333333333333</v>
      </c>
      <c r="R294" s="299"/>
      <c r="S294" s="355"/>
      <c r="T294" s="355"/>
      <c r="U294" s="355">
        <v>7093.333333333333</v>
      </c>
      <c r="V294" s="355"/>
      <c r="W294" s="355"/>
      <c r="X294" s="1137"/>
      <c r="Y294" s="1126"/>
      <c r="Z294" s="1194"/>
      <c r="AA294" s="1194"/>
      <c r="AB294" s="1194"/>
      <c r="AC294" s="1124"/>
      <c r="AD294" s="1124"/>
      <c r="AE294" s="1152"/>
      <c r="AF294" s="1124"/>
      <c r="AG294" s="1282">
        <f t="shared" si="58"/>
        <v>7093.333333333333</v>
      </c>
    </row>
    <row r="295" spans="1:33" ht="32.25" customHeight="1">
      <c r="A295" s="294">
        <v>2152</v>
      </c>
      <c r="B295" s="291" t="s">
        <v>71</v>
      </c>
      <c r="C295" s="1835" t="s">
        <v>307</v>
      </c>
      <c r="D295" s="326"/>
      <c r="E295" s="294">
        <v>5</v>
      </c>
      <c r="F295" s="293">
        <v>43234</v>
      </c>
      <c r="G295" s="293">
        <f t="shared" si="56"/>
        <v>43239</v>
      </c>
      <c r="H295" s="293" t="s">
        <v>294</v>
      </c>
      <c r="I295" s="294" t="s">
        <v>171</v>
      </c>
      <c r="J295" s="307" t="s">
        <v>295</v>
      </c>
      <c r="K295" s="936" t="s">
        <v>346</v>
      </c>
      <c r="L295" s="1237">
        <v>23174</v>
      </c>
      <c r="M295" s="326"/>
      <c r="N295" s="294"/>
      <c r="O295" s="354">
        <v>2666.6666666666665</v>
      </c>
      <c r="P295" s="294">
        <v>1</v>
      </c>
      <c r="Q295" s="355">
        <f t="shared" si="57"/>
        <v>2666.6666666666665</v>
      </c>
      <c r="R295" s="299"/>
      <c r="S295" s="355"/>
      <c r="T295" s="355"/>
      <c r="U295" s="355">
        <v>2666.6666666666665</v>
      </c>
      <c r="V295" s="355"/>
      <c r="W295" s="355"/>
      <c r="X295" s="1137"/>
      <c r="Y295" s="1126"/>
      <c r="Z295" s="1194"/>
      <c r="AA295" s="1194"/>
      <c r="AB295" s="1194"/>
      <c r="AC295" s="1124"/>
      <c r="AD295" s="1124"/>
      <c r="AE295" s="1152"/>
      <c r="AF295" s="1124"/>
      <c r="AG295" s="1282">
        <f t="shared" si="58"/>
        <v>2666.6666666666665</v>
      </c>
    </row>
    <row r="296" spans="1:33" ht="32.25" customHeight="1">
      <c r="A296" s="294">
        <v>2152</v>
      </c>
      <c r="B296" s="291" t="s">
        <v>71</v>
      </c>
      <c r="C296" s="1835" t="s">
        <v>307</v>
      </c>
      <c r="D296" s="326"/>
      <c r="E296" s="294">
        <v>5</v>
      </c>
      <c r="F296" s="293">
        <v>43234</v>
      </c>
      <c r="G296" s="293">
        <f t="shared" si="56"/>
        <v>43239</v>
      </c>
      <c r="H296" s="293" t="s">
        <v>294</v>
      </c>
      <c r="I296" s="294" t="s">
        <v>171</v>
      </c>
      <c r="J296" s="307" t="s">
        <v>295</v>
      </c>
      <c r="K296" s="1838" t="s">
        <v>358</v>
      </c>
      <c r="L296" s="1237">
        <v>23174</v>
      </c>
      <c r="M296" s="326"/>
      <c r="N296" s="294"/>
      <c r="O296" s="354">
        <v>1066.6666666666667</v>
      </c>
      <c r="P296" s="294">
        <v>1</v>
      </c>
      <c r="Q296" s="355">
        <f t="shared" si="57"/>
        <v>1066.6666666666667</v>
      </c>
      <c r="R296" s="299"/>
      <c r="S296" s="355"/>
      <c r="T296" s="355"/>
      <c r="U296" s="355">
        <v>1066.6666666666667</v>
      </c>
      <c r="V296" s="355"/>
      <c r="W296" s="355"/>
      <c r="X296" s="1137"/>
      <c r="Y296" s="1126"/>
      <c r="Z296" s="1194"/>
      <c r="AA296" s="1194"/>
      <c r="AB296" s="1194"/>
      <c r="AC296" s="1124"/>
      <c r="AD296" s="1124"/>
      <c r="AE296" s="1152"/>
      <c r="AF296" s="1124"/>
      <c r="AG296" s="1282">
        <f t="shared" si="58"/>
        <v>1066.6666666666667</v>
      </c>
    </row>
    <row r="297" spans="1:33" ht="32.25" customHeight="1">
      <c r="A297" s="294">
        <v>2152</v>
      </c>
      <c r="B297" s="291" t="s">
        <v>71</v>
      </c>
      <c r="C297" s="1835" t="s">
        <v>307</v>
      </c>
      <c r="D297" s="326"/>
      <c r="E297" s="294">
        <v>5</v>
      </c>
      <c r="F297" s="293">
        <v>43234</v>
      </c>
      <c r="G297" s="293">
        <f t="shared" si="56"/>
        <v>43239</v>
      </c>
      <c r="H297" s="293" t="s">
        <v>294</v>
      </c>
      <c r="I297" s="294" t="s">
        <v>171</v>
      </c>
      <c r="J297" s="307" t="s">
        <v>295</v>
      </c>
      <c r="K297" s="936" t="s">
        <v>301</v>
      </c>
      <c r="L297" s="1237">
        <v>23173</v>
      </c>
      <c r="M297" s="326"/>
      <c r="N297" s="294"/>
      <c r="O297" s="354">
        <v>666.66666666666663</v>
      </c>
      <c r="P297" s="294">
        <v>1</v>
      </c>
      <c r="Q297" s="355">
        <f t="shared" si="57"/>
        <v>666.66666666666663</v>
      </c>
      <c r="R297" s="299"/>
      <c r="S297" s="355"/>
      <c r="T297" s="355"/>
      <c r="U297" s="355">
        <v>666.66666666666663</v>
      </c>
      <c r="V297" s="355"/>
      <c r="W297" s="355"/>
      <c r="X297" s="1137"/>
      <c r="Y297" s="1126"/>
      <c r="Z297" s="1194"/>
      <c r="AA297" s="1194"/>
      <c r="AB297" s="1194"/>
      <c r="AC297" s="1124"/>
      <c r="AD297" s="1124"/>
      <c r="AE297" s="1152"/>
      <c r="AF297" s="1124"/>
      <c r="AG297" s="1282">
        <f t="shared" si="58"/>
        <v>666.66666666666663</v>
      </c>
    </row>
    <row r="298" spans="1:33" ht="32.25" customHeight="1">
      <c r="A298" s="294">
        <v>2152</v>
      </c>
      <c r="B298" s="291" t="s">
        <v>71</v>
      </c>
      <c r="C298" s="1835" t="s">
        <v>307</v>
      </c>
      <c r="D298" s="326"/>
      <c r="E298" s="294">
        <v>5</v>
      </c>
      <c r="F298" s="293">
        <v>43234</v>
      </c>
      <c r="G298" s="293">
        <f t="shared" si="56"/>
        <v>43239</v>
      </c>
      <c r="H298" s="293" t="s">
        <v>294</v>
      </c>
      <c r="I298" s="294" t="s">
        <v>171</v>
      </c>
      <c r="J298" s="307" t="s">
        <v>295</v>
      </c>
      <c r="K298" s="936" t="s">
        <v>302</v>
      </c>
      <c r="L298" s="1237">
        <v>23173</v>
      </c>
      <c r="M298" s="326"/>
      <c r="N298" s="294"/>
      <c r="O298" s="354">
        <v>276</v>
      </c>
      <c r="P298" s="294">
        <v>1</v>
      </c>
      <c r="Q298" s="355">
        <f t="shared" si="57"/>
        <v>276</v>
      </c>
      <c r="R298" s="299"/>
      <c r="S298" s="355"/>
      <c r="T298" s="355"/>
      <c r="U298" s="355">
        <v>276</v>
      </c>
      <c r="V298" s="355"/>
      <c r="W298" s="355"/>
      <c r="X298" s="1137"/>
      <c r="Y298" s="1126"/>
      <c r="Z298" s="1194"/>
      <c r="AA298" s="1194"/>
      <c r="AB298" s="1194"/>
      <c r="AC298" s="1124"/>
      <c r="AD298" s="1124"/>
      <c r="AE298" s="1152"/>
      <c r="AF298" s="1124"/>
      <c r="AG298" s="1282">
        <f t="shared" si="58"/>
        <v>276</v>
      </c>
    </row>
    <row r="299" spans="1:33" ht="32.25" customHeight="1">
      <c r="A299" s="294">
        <v>2153</v>
      </c>
      <c r="B299" s="291" t="s">
        <v>72</v>
      </c>
      <c r="C299" s="824" t="s">
        <v>359</v>
      </c>
      <c r="D299" s="326"/>
      <c r="E299" s="294">
        <v>30</v>
      </c>
      <c r="F299" s="293">
        <v>43255</v>
      </c>
      <c r="G299" s="293">
        <f t="shared" si="56"/>
        <v>43285</v>
      </c>
      <c r="H299" s="293" t="s">
        <v>294</v>
      </c>
      <c r="I299" s="294" t="s">
        <v>171</v>
      </c>
      <c r="J299" s="307" t="s">
        <v>295</v>
      </c>
      <c r="K299" s="326" t="s">
        <v>360</v>
      </c>
      <c r="L299" s="1237">
        <v>23172</v>
      </c>
      <c r="M299" s="326"/>
      <c r="N299" s="294"/>
      <c r="O299" s="354">
        <v>133333.33333333334</v>
      </c>
      <c r="P299" s="294">
        <v>0.2</v>
      </c>
      <c r="Q299" s="355">
        <f t="shared" si="57"/>
        <v>26666.666666666672</v>
      </c>
      <c r="R299" s="299"/>
      <c r="S299" s="355"/>
      <c r="T299" s="355"/>
      <c r="U299" s="355"/>
      <c r="V299" s="355">
        <v>26666.666666666672</v>
      </c>
      <c r="W299" s="355"/>
      <c r="X299" s="1137"/>
      <c r="Y299" s="1126"/>
      <c r="Z299" s="1194"/>
      <c r="AA299" s="1194"/>
      <c r="AB299" s="1194"/>
      <c r="AC299" s="1124"/>
      <c r="AD299" s="1124"/>
      <c r="AE299" s="1152"/>
      <c r="AF299" s="1124"/>
      <c r="AG299" s="1282">
        <f t="shared" si="58"/>
        <v>26666.666666666672</v>
      </c>
    </row>
    <row r="300" spans="1:33" ht="32.25" customHeight="1">
      <c r="A300" s="294">
        <v>2154</v>
      </c>
      <c r="B300" s="291" t="s">
        <v>73</v>
      </c>
      <c r="C300" s="824" t="s">
        <v>361</v>
      </c>
      <c r="D300" s="326"/>
      <c r="E300" s="294">
        <v>30</v>
      </c>
      <c r="F300" s="293">
        <v>43255</v>
      </c>
      <c r="G300" s="293">
        <f t="shared" si="56"/>
        <v>43285</v>
      </c>
      <c r="H300" s="293" t="s">
        <v>294</v>
      </c>
      <c r="I300" s="294" t="s">
        <v>171</v>
      </c>
      <c r="J300" s="307" t="s">
        <v>295</v>
      </c>
      <c r="K300" s="326" t="s">
        <v>360</v>
      </c>
      <c r="L300" s="1237">
        <v>23172</v>
      </c>
      <c r="M300" s="326"/>
      <c r="N300" s="294"/>
      <c r="O300" s="354">
        <v>2000</v>
      </c>
      <c r="P300" s="294">
        <v>3</v>
      </c>
      <c r="Q300" s="355">
        <f t="shared" si="57"/>
        <v>6000</v>
      </c>
      <c r="R300" s="299"/>
      <c r="S300" s="355"/>
      <c r="T300" s="355"/>
      <c r="U300" s="355"/>
      <c r="V300" s="355">
        <v>6000</v>
      </c>
      <c r="W300" s="355"/>
      <c r="X300" s="1137"/>
      <c r="Y300" s="1126"/>
      <c r="Z300" s="1194"/>
      <c r="AA300" s="1194"/>
      <c r="AB300" s="1194"/>
      <c r="AC300" s="1124"/>
      <c r="AD300" s="1124"/>
      <c r="AE300" s="1152"/>
      <c r="AF300" s="1124"/>
      <c r="AG300" s="1282">
        <f t="shared" si="58"/>
        <v>6000</v>
      </c>
    </row>
    <row r="301" spans="1:33" ht="32.25" customHeight="1">
      <c r="A301" s="294">
        <v>2155</v>
      </c>
      <c r="B301" s="291" t="s">
        <v>74</v>
      </c>
      <c r="C301" s="1834" t="s">
        <v>362</v>
      </c>
      <c r="D301" s="326"/>
      <c r="E301" s="294">
        <v>30</v>
      </c>
      <c r="F301" s="293">
        <v>43255</v>
      </c>
      <c r="G301" s="293">
        <f t="shared" si="56"/>
        <v>43285</v>
      </c>
      <c r="H301" s="293" t="s">
        <v>294</v>
      </c>
      <c r="I301" s="294" t="s">
        <v>171</v>
      </c>
      <c r="J301" s="307" t="s">
        <v>295</v>
      </c>
      <c r="K301" s="326" t="s">
        <v>360</v>
      </c>
      <c r="L301" s="1237">
        <v>23172</v>
      </c>
      <c r="M301" s="326"/>
      <c r="N301" s="294"/>
      <c r="O301" s="354">
        <v>833.33333333333337</v>
      </c>
      <c r="P301" s="294">
        <v>3</v>
      </c>
      <c r="Q301" s="355">
        <f t="shared" si="57"/>
        <v>2500</v>
      </c>
      <c r="R301" s="299"/>
      <c r="S301" s="355"/>
      <c r="T301" s="355"/>
      <c r="U301" s="355"/>
      <c r="V301" s="355">
        <v>2500</v>
      </c>
      <c r="W301" s="355"/>
      <c r="X301" s="1137"/>
      <c r="Y301" s="1126"/>
      <c r="Z301" s="1194"/>
      <c r="AA301" s="1194"/>
      <c r="AB301" s="1194"/>
      <c r="AC301" s="1124"/>
      <c r="AD301" s="1124"/>
      <c r="AE301" s="1152"/>
      <c r="AF301" s="1124"/>
      <c r="AG301" s="1282">
        <f t="shared" si="58"/>
        <v>2500</v>
      </c>
    </row>
    <row r="302" spans="1:33" ht="37.5" customHeight="1">
      <c r="A302" s="1248" t="s">
        <v>237</v>
      </c>
      <c r="B302" s="274"/>
      <c r="C302" s="278"/>
      <c r="D302" s="1270"/>
      <c r="E302" s="1270"/>
      <c r="F302" s="1270"/>
      <c r="G302" s="1270"/>
      <c r="H302" s="1270"/>
      <c r="I302" s="1270"/>
      <c r="J302" s="273"/>
      <c r="K302" s="1248"/>
      <c r="L302" s="1269"/>
      <c r="M302" s="1270"/>
      <c r="N302" s="1268"/>
      <c r="O302" s="1271"/>
      <c r="P302" s="1268"/>
      <c r="Q302" s="1272">
        <f>Q303+Q313+Q325+Q342</f>
        <v>300000</v>
      </c>
      <c r="R302" s="1273">
        <f>+'[2]Compil Costing PPA 3 millions'!F8</f>
        <v>300000</v>
      </c>
      <c r="S302" s="1272">
        <f t="shared" ref="S302:AG302" si="59">S303+S313+S325+S342</f>
        <v>0</v>
      </c>
      <c r="T302" s="1272">
        <f t="shared" si="59"/>
        <v>1700</v>
      </c>
      <c r="U302" s="1272">
        <f t="shared" si="59"/>
        <v>17480</v>
      </c>
      <c r="V302" s="1272">
        <f t="shared" si="59"/>
        <v>64440</v>
      </c>
      <c r="W302" s="1272">
        <f t="shared" si="59"/>
        <v>10000</v>
      </c>
      <c r="X302" s="1337">
        <f t="shared" si="59"/>
        <v>64180</v>
      </c>
      <c r="Y302" s="1338">
        <f t="shared" si="59"/>
        <v>109800</v>
      </c>
      <c r="Z302" s="1071">
        <f t="shared" si="59"/>
        <v>11600</v>
      </c>
      <c r="AA302" s="1071">
        <f t="shared" si="59"/>
        <v>8600</v>
      </c>
      <c r="AB302" s="1071">
        <f t="shared" si="59"/>
        <v>500</v>
      </c>
      <c r="AC302" s="1071">
        <f t="shared" si="59"/>
        <v>500</v>
      </c>
      <c r="AD302" s="1071">
        <f t="shared" si="59"/>
        <v>10200</v>
      </c>
      <c r="AE302" s="1071">
        <f t="shared" si="59"/>
        <v>500</v>
      </c>
      <c r="AF302" s="1071">
        <f t="shared" si="59"/>
        <v>500</v>
      </c>
      <c r="AG302" s="1272">
        <f t="shared" si="59"/>
        <v>300000</v>
      </c>
    </row>
    <row r="303" spans="1:33" s="280" customFormat="1" ht="16.5" customHeight="1">
      <c r="A303" s="1324">
        <v>221</v>
      </c>
      <c r="B303" s="806" t="s">
        <v>238</v>
      </c>
      <c r="C303" s="1502"/>
      <c r="D303" s="1345"/>
      <c r="E303" s="1345"/>
      <c r="F303" s="1345"/>
      <c r="G303" s="1345"/>
      <c r="H303" s="1345"/>
      <c r="I303" s="1345"/>
      <c r="J303" s="635"/>
      <c r="K303" s="1296"/>
      <c r="L303" s="1347"/>
      <c r="M303" s="1348"/>
      <c r="N303" s="1297"/>
      <c r="O303" s="1349"/>
      <c r="P303" s="1346"/>
      <c r="Q303" s="1350">
        <f>SUM(Q304:Q312)</f>
        <v>42960</v>
      </c>
      <c r="R303" s="790"/>
      <c r="S303" s="1350">
        <f t="shared" ref="S303:AF303" si="60">SUM(S304:S312)</f>
        <v>0</v>
      </c>
      <c r="T303" s="1350">
        <f t="shared" si="60"/>
        <v>240</v>
      </c>
      <c r="U303" s="1350">
        <f t="shared" si="60"/>
        <v>0</v>
      </c>
      <c r="V303" s="1350">
        <f t="shared" si="60"/>
        <v>740</v>
      </c>
      <c r="W303" s="1350">
        <f t="shared" si="60"/>
        <v>0</v>
      </c>
      <c r="X303" s="1351">
        <f t="shared" si="60"/>
        <v>12480</v>
      </c>
      <c r="Y303" s="1352">
        <f t="shared" si="60"/>
        <v>10300</v>
      </c>
      <c r="Z303" s="1195">
        <f t="shared" si="60"/>
        <v>11100</v>
      </c>
      <c r="AA303" s="1195">
        <f t="shared" si="60"/>
        <v>8100</v>
      </c>
      <c r="AB303" s="1195">
        <f t="shared" si="60"/>
        <v>0</v>
      </c>
      <c r="AC303" s="1195">
        <f t="shared" si="60"/>
        <v>0</v>
      </c>
      <c r="AD303" s="1195">
        <f t="shared" si="60"/>
        <v>0</v>
      </c>
      <c r="AE303" s="1195">
        <f t="shared" si="60"/>
        <v>0</v>
      </c>
      <c r="AF303" s="1195">
        <f t="shared" si="60"/>
        <v>0</v>
      </c>
      <c r="AG303" s="1350">
        <f>SUM(S303:AF303)</f>
        <v>42960</v>
      </c>
    </row>
    <row r="304" spans="1:33" s="280" customFormat="1">
      <c r="A304" s="796">
        <v>2211</v>
      </c>
      <c r="B304" s="808" t="s">
        <v>845</v>
      </c>
      <c r="C304" s="793" t="s">
        <v>846</v>
      </c>
      <c r="D304" s="797"/>
      <c r="E304" s="796">
        <v>15</v>
      </c>
      <c r="F304" s="795">
        <v>43199</v>
      </c>
      <c r="G304" s="795">
        <f>+F304+E304</f>
        <v>43214</v>
      </c>
      <c r="H304" s="795" t="s">
        <v>368</v>
      </c>
      <c r="I304" s="796" t="s">
        <v>169</v>
      </c>
      <c r="J304" s="794" t="s">
        <v>174</v>
      </c>
      <c r="K304" s="805" t="s">
        <v>847</v>
      </c>
      <c r="L304" s="1240">
        <v>23173</v>
      </c>
      <c r="M304" s="780"/>
      <c r="N304" s="796" t="s">
        <v>366</v>
      </c>
      <c r="O304" s="1107">
        <v>80</v>
      </c>
      <c r="P304" s="796">
        <v>3</v>
      </c>
      <c r="Q304" s="1107">
        <f>+P304*O304</f>
        <v>240</v>
      </c>
      <c r="R304" s="800"/>
      <c r="S304" s="799"/>
      <c r="T304" s="1107">
        <v>240</v>
      </c>
      <c r="U304" s="799"/>
      <c r="V304" s="799"/>
      <c r="W304" s="799"/>
      <c r="X304" s="1179"/>
      <c r="Y304" s="1154"/>
      <c r="Z304" s="1165"/>
      <c r="AA304" s="1165"/>
      <c r="AB304" s="1165"/>
      <c r="AC304" s="1152"/>
      <c r="AD304" s="1152"/>
      <c r="AE304" s="1152"/>
      <c r="AF304" s="1152"/>
      <c r="AG304" s="1282">
        <f t="shared" ref="AG304:AG312" si="61">SUM(S304:AF304)</f>
        <v>240</v>
      </c>
    </row>
    <row r="305" spans="1:33" s="280" customFormat="1">
      <c r="A305" s="796">
        <v>2211</v>
      </c>
      <c r="B305" s="808" t="s">
        <v>845</v>
      </c>
      <c r="C305" s="1503" t="s">
        <v>848</v>
      </c>
      <c r="D305" s="797" t="s">
        <v>849</v>
      </c>
      <c r="E305" s="796">
        <v>150</v>
      </c>
      <c r="F305" s="795">
        <f>+G304</f>
        <v>43214</v>
      </c>
      <c r="G305" s="795">
        <f>+G304+E305</f>
        <v>43364</v>
      </c>
      <c r="H305" s="795" t="s">
        <v>368</v>
      </c>
      <c r="I305" s="796" t="s">
        <v>174</v>
      </c>
      <c r="J305" s="794" t="s">
        <v>169</v>
      </c>
      <c r="K305" s="1543" t="s">
        <v>365</v>
      </c>
      <c r="L305" s="1240">
        <v>2313</v>
      </c>
      <c r="M305" s="780"/>
      <c r="N305" s="796" t="s">
        <v>366</v>
      </c>
      <c r="O305" s="1107">
        <v>27000</v>
      </c>
      <c r="P305" s="796">
        <v>1</v>
      </c>
      <c r="Q305" s="1107">
        <f>+O305*P305</f>
        <v>27000</v>
      </c>
      <c r="R305" s="800"/>
      <c r="S305" s="799"/>
      <c r="T305" s="799"/>
      <c r="U305" s="799"/>
      <c r="V305" s="799"/>
      <c r="W305" s="315"/>
      <c r="X305" s="1137">
        <v>5400</v>
      </c>
      <c r="Y305" s="1126">
        <v>5400</v>
      </c>
      <c r="Z305" s="1126">
        <v>8100</v>
      </c>
      <c r="AA305" s="1165">
        <v>8100</v>
      </c>
      <c r="AB305" s="1165"/>
      <c r="AC305" s="1152"/>
      <c r="AD305" s="1152"/>
      <c r="AE305" s="1152"/>
      <c r="AF305" s="1152"/>
      <c r="AG305" s="1282">
        <f t="shared" si="61"/>
        <v>27000</v>
      </c>
    </row>
    <row r="306" spans="1:33" s="280" customFormat="1">
      <c r="A306" s="796">
        <v>2212</v>
      </c>
      <c r="B306" s="808" t="s">
        <v>850</v>
      </c>
      <c r="C306" s="793" t="s">
        <v>846</v>
      </c>
      <c r="D306" s="797"/>
      <c r="E306" s="796">
        <v>20</v>
      </c>
      <c r="F306" s="795">
        <v>43226</v>
      </c>
      <c r="G306" s="795">
        <v>43246</v>
      </c>
      <c r="H306" s="795" t="s">
        <v>368</v>
      </c>
      <c r="I306" s="796" t="s">
        <v>169</v>
      </c>
      <c r="J306" s="794" t="s">
        <v>174</v>
      </c>
      <c r="K306" s="805" t="s">
        <v>847</v>
      </c>
      <c r="L306" s="1240">
        <v>23173</v>
      </c>
      <c r="M306" s="780"/>
      <c r="N306" s="796" t="s">
        <v>366</v>
      </c>
      <c r="O306" s="1107">
        <v>80</v>
      </c>
      <c r="P306" s="796">
        <v>3</v>
      </c>
      <c r="Q306" s="1107">
        <f t="shared" ref="Q306:Q312" si="62">O306*P306</f>
        <v>240</v>
      </c>
      <c r="R306" s="800"/>
      <c r="S306" s="799"/>
      <c r="T306" s="799"/>
      <c r="U306" s="799"/>
      <c r="V306" s="1107">
        <v>240</v>
      </c>
      <c r="W306" s="799"/>
      <c r="X306" s="1179"/>
      <c r="Y306" s="1154"/>
      <c r="Z306" s="1165"/>
      <c r="AA306" s="1165"/>
      <c r="AB306" s="1165"/>
      <c r="AC306" s="1152"/>
      <c r="AD306" s="1152"/>
      <c r="AE306" s="1152"/>
      <c r="AF306" s="1152"/>
      <c r="AG306" s="1282">
        <f t="shared" si="61"/>
        <v>240</v>
      </c>
    </row>
    <row r="307" spans="1:33" s="280" customFormat="1">
      <c r="A307" s="796">
        <v>2212</v>
      </c>
      <c r="B307" s="808" t="s">
        <v>851</v>
      </c>
      <c r="C307" s="1503" t="s">
        <v>852</v>
      </c>
      <c r="D307" s="797" t="s">
        <v>849</v>
      </c>
      <c r="E307" s="796">
        <v>95</v>
      </c>
      <c r="F307" s="795">
        <v>43249</v>
      </c>
      <c r="G307" s="795">
        <v>43341</v>
      </c>
      <c r="H307" s="795" t="s">
        <v>368</v>
      </c>
      <c r="I307" s="796" t="s">
        <v>174</v>
      </c>
      <c r="J307" s="794" t="s">
        <v>169</v>
      </c>
      <c r="K307" s="805" t="s">
        <v>365</v>
      </c>
      <c r="L307" s="1240">
        <v>2313</v>
      </c>
      <c r="M307" s="780"/>
      <c r="N307" s="796" t="s">
        <v>366</v>
      </c>
      <c r="O307" s="1353">
        <v>5000</v>
      </c>
      <c r="P307" s="797">
        <v>1</v>
      </c>
      <c r="Q307" s="799">
        <f t="shared" si="62"/>
        <v>5000</v>
      </c>
      <c r="R307" s="800"/>
      <c r="S307" s="799"/>
      <c r="T307" s="799"/>
      <c r="U307" s="799"/>
      <c r="V307" s="1107">
        <v>500</v>
      </c>
      <c r="W307" s="799"/>
      <c r="X307" s="1179">
        <v>2000</v>
      </c>
      <c r="Y307" s="1154">
        <v>2500</v>
      </c>
      <c r="Z307" s="1165"/>
      <c r="AA307" s="1165"/>
      <c r="AB307" s="1165"/>
      <c r="AC307" s="1152"/>
      <c r="AD307" s="1152"/>
      <c r="AE307" s="1152"/>
      <c r="AF307" s="1152"/>
      <c r="AG307" s="1282">
        <f t="shared" si="61"/>
        <v>5000</v>
      </c>
    </row>
    <row r="308" spans="1:33" s="280" customFormat="1">
      <c r="A308" s="796">
        <v>2213</v>
      </c>
      <c r="B308" s="808" t="s">
        <v>853</v>
      </c>
      <c r="C308" s="793" t="s">
        <v>846</v>
      </c>
      <c r="D308" s="797"/>
      <c r="E308" s="796">
        <v>20</v>
      </c>
      <c r="F308" s="795">
        <v>43288</v>
      </c>
      <c r="G308" s="795">
        <v>43308</v>
      </c>
      <c r="H308" s="795" t="s">
        <v>368</v>
      </c>
      <c r="I308" s="796" t="s">
        <v>169</v>
      </c>
      <c r="J308" s="794" t="s">
        <v>174</v>
      </c>
      <c r="K308" s="805" t="s">
        <v>847</v>
      </c>
      <c r="L308" s="1240">
        <v>23173</v>
      </c>
      <c r="M308" s="780"/>
      <c r="N308" s="796" t="s">
        <v>366</v>
      </c>
      <c r="O308" s="1353">
        <v>80</v>
      </c>
      <c r="P308" s="797">
        <v>3</v>
      </c>
      <c r="Q308" s="799">
        <f t="shared" si="62"/>
        <v>240</v>
      </c>
      <c r="R308" s="800"/>
      <c r="S308" s="799"/>
      <c r="T308" s="799"/>
      <c r="U308" s="799"/>
      <c r="V308" s="799"/>
      <c r="W308" s="799"/>
      <c r="X308" s="1179">
        <v>240</v>
      </c>
      <c r="Y308" s="1154"/>
      <c r="Z308" s="1165"/>
      <c r="AA308" s="1165"/>
      <c r="AB308" s="1165"/>
      <c r="AC308" s="1152"/>
      <c r="AD308" s="1152"/>
      <c r="AE308" s="1152"/>
      <c r="AF308" s="1152"/>
      <c r="AG308" s="1282">
        <f t="shared" si="61"/>
        <v>240</v>
      </c>
    </row>
    <row r="309" spans="1:33" s="280" customFormat="1">
      <c r="A309" s="796">
        <v>2213</v>
      </c>
      <c r="B309" s="808" t="s">
        <v>854</v>
      </c>
      <c r="C309" s="793" t="s">
        <v>367</v>
      </c>
      <c r="D309" s="797" t="s">
        <v>849</v>
      </c>
      <c r="E309" s="796">
        <v>95</v>
      </c>
      <c r="F309" s="795">
        <v>43309</v>
      </c>
      <c r="G309" s="795">
        <v>43403</v>
      </c>
      <c r="H309" s="795" t="s">
        <v>368</v>
      </c>
      <c r="I309" s="796" t="s">
        <v>174</v>
      </c>
      <c r="J309" s="794" t="s">
        <v>169</v>
      </c>
      <c r="K309" s="805" t="s">
        <v>365</v>
      </c>
      <c r="L309" s="1240">
        <v>2313</v>
      </c>
      <c r="M309" s="780"/>
      <c r="N309" s="796" t="s">
        <v>366</v>
      </c>
      <c r="O309" s="1353">
        <v>6000</v>
      </c>
      <c r="P309" s="797">
        <v>1</v>
      </c>
      <c r="Q309" s="799">
        <f t="shared" si="62"/>
        <v>6000</v>
      </c>
      <c r="R309" s="800"/>
      <c r="S309" s="799"/>
      <c r="T309" s="799"/>
      <c r="U309" s="799"/>
      <c r="V309" s="799"/>
      <c r="W309" s="799"/>
      <c r="X309" s="1179">
        <v>600</v>
      </c>
      <c r="Y309" s="1154">
        <v>2400</v>
      </c>
      <c r="Z309" s="1165">
        <v>3000</v>
      </c>
      <c r="AA309" s="1165"/>
      <c r="AB309" s="1165"/>
      <c r="AC309" s="1152"/>
      <c r="AD309" s="1152"/>
      <c r="AE309" s="1152"/>
      <c r="AF309" s="1152"/>
      <c r="AG309" s="1282">
        <f t="shared" si="61"/>
        <v>6000</v>
      </c>
    </row>
    <row r="310" spans="1:33" s="280" customFormat="1" ht="47.25">
      <c r="A310" s="796">
        <v>2214</v>
      </c>
      <c r="B310" s="808" t="s">
        <v>855</v>
      </c>
      <c r="C310" s="793" t="s">
        <v>856</v>
      </c>
      <c r="D310" s="813"/>
      <c r="E310" s="796">
        <v>5</v>
      </c>
      <c r="F310" s="816">
        <v>43318</v>
      </c>
      <c r="G310" s="816">
        <v>43321</v>
      </c>
      <c r="H310" s="795" t="s">
        <v>368</v>
      </c>
      <c r="I310" s="796" t="s">
        <v>174</v>
      </c>
      <c r="J310" s="792" t="s">
        <v>169</v>
      </c>
      <c r="K310" s="805" t="s">
        <v>486</v>
      </c>
      <c r="L310" s="1240">
        <v>23173</v>
      </c>
      <c r="M310" s="780"/>
      <c r="N310" s="796" t="s">
        <v>366</v>
      </c>
      <c r="O310" s="1115">
        <v>343</v>
      </c>
      <c r="P310" s="797">
        <v>1</v>
      </c>
      <c r="Q310" s="1107">
        <f t="shared" si="62"/>
        <v>343</v>
      </c>
      <c r="R310" s="800"/>
      <c r="S310" s="799"/>
      <c r="T310" s="799"/>
      <c r="U310" s="799"/>
      <c r="V310" s="799"/>
      <c r="W310" s="799"/>
      <c r="X310" s="1180">
        <v>343</v>
      </c>
      <c r="Y310" s="1154"/>
      <c r="Z310" s="1165"/>
      <c r="AA310" s="1165"/>
      <c r="AB310" s="1165"/>
      <c r="AC310" s="1152"/>
      <c r="AD310" s="1152"/>
      <c r="AE310" s="1152"/>
      <c r="AF310" s="1152"/>
      <c r="AG310" s="1282">
        <f t="shared" si="61"/>
        <v>343</v>
      </c>
    </row>
    <row r="311" spans="1:33" s="280" customFormat="1" ht="47.25">
      <c r="A311" s="796">
        <v>2214</v>
      </c>
      <c r="B311" s="808" t="s">
        <v>855</v>
      </c>
      <c r="C311" s="793" t="s">
        <v>856</v>
      </c>
      <c r="D311" s="813"/>
      <c r="E311" s="796">
        <v>5</v>
      </c>
      <c r="F311" s="816">
        <v>43318</v>
      </c>
      <c r="G311" s="816">
        <v>43321</v>
      </c>
      <c r="H311" s="795" t="s">
        <v>368</v>
      </c>
      <c r="I311" s="796" t="s">
        <v>169</v>
      </c>
      <c r="J311" s="792" t="s">
        <v>174</v>
      </c>
      <c r="K311" s="1544" t="s">
        <v>857</v>
      </c>
      <c r="L311" s="1241">
        <v>23174</v>
      </c>
      <c r="M311" s="296"/>
      <c r="N311" s="294"/>
      <c r="O311" s="1354">
        <v>3657</v>
      </c>
      <c r="P311" s="295">
        <v>1</v>
      </c>
      <c r="Q311" s="355">
        <f t="shared" si="62"/>
        <v>3657</v>
      </c>
      <c r="R311" s="299"/>
      <c r="S311" s="298"/>
      <c r="T311" s="298"/>
      <c r="U311" s="298"/>
      <c r="V311" s="298"/>
      <c r="W311" s="298"/>
      <c r="X311" s="1355">
        <v>3657</v>
      </c>
      <c r="Y311" s="1154"/>
      <c r="Z311" s="1165"/>
      <c r="AA311" s="1165"/>
      <c r="AB311" s="1165"/>
      <c r="AC311" s="1152"/>
      <c r="AD311" s="1152"/>
      <c r="AE311" s="1152"/>
      <c r="AF311" s="1152"/>
      <c r="AG311" s="1282">
        <f t="shared" si="61"/>
        <v>3657</v>
      </c>
    </row>
    <row r="312" spans="1:33" s="280" customFormat="1">
      <c r="A312" s="294">
        <v>2215</v>
      </c>
      <c r="B312" s="820" t="s">
        <v>858</v>
      </c>
      <c r="C312" s="291" t="s">
        <v>859</v>
      </c>
      <c r="D312" s="294" t="s">
        <v>514</v>
      </c>
      <c r="E312" s="295">
        <v>20</v>
      </c>
      <c r="F312" s="293">
        <v>43288</v>
      </c>
      <c r="G312" s="293">
        <v>43308</v>
      </c>
      <c r="H312" s="293" t="s">
        <v>368</v>
      </c>
      <c r="I312" s="294" t="s">
        <v>174</v>
      </c>
      <c r="J312" s="292" t="s">
        <v>169</v>
      </c>
      <c r="K312" s="326" t="s">
        <v>860</v>
      </c>
      <c r="L312" s="1241">
        <v>23173</v>
      </c>
      <c r="M312" s="296"/>
      <c r="N312" s="294"/>
      <c r="O312" s="1357">
        <v>80</v>
      </c>
      <c r="P312" s="295">
        <v>3</v>
      </c>
      <c r="Q312" s="298">
        <f t="shared" si="62"/>
        <v>240</v>
      </c>
      <c r="R312" s="299"/>
      <c r="S312" s="298"/>
      <c r="T312" s="298"/>
      <c r="U312" s="298"/>
      <c r="V312" s="298"/>
      <c r="W312" s="298"/>
      <c r="X312" s="1179">
        <v>240</v>
      </c>
      <c r="Y312" s="1154"/>
      <c r="Z312" s="1165"/>
      <c r="AA312" s="1165"/>
      <c r="AB312" s="1165"/>
      <c r="AC312" s="1152"/>
      <c r="AD312" s="1152"/>
      <c r="AE312" s="1152"/>
      <c r="AF312" s="1152"/>
      <c r="AG312" s="1282">
        <f t="shared" si="61"/>
        <v>240</v>
      </c>
    </row>
    <row r="313" spans="1:33" ht="33.75" customHeight="1">
      <c r="A313" s="1275">
        <v>222</v>
      </c>
      <c r="B313" s="508" t="s">
        <v>861</v>
      </c>
      <c r="C313" s="1559"/>
      <c r="D313" s="822"/>
      <c r="E313" s="822"/>
      <c r="F313" s="822"/>
      <c r="G313" s="822"/>
      <c r="H313" s="822"/>
      <c r="I313" s="822"/>
      <c r="J313" s="508"/>
      <c r="K313" s="1560"/>
      <c r="L313" s="1561"/>
      <c r="M313" s="822"/>
      <c r="N313" s="822"/>
      <c r="O313" s="1562"/>
      <c r="P313" s="822"/>
      <c r="Q313" s="1562">
        <f>SUM(Q314:Q324)</f>
        <v>24920.000000000004</v>
      </c>
      <c r="R313" s="822"/>
      <c r="S313" s="1562">
        <f t="shared" ref="S313:AF313" si="63">SUM(S314:S324)</f>
        <v>0</v>
      </c>
      <c r="T313" s="1562">
        <f t="shared" si="63"/>
        <v>720</v>
      </c>
      <c r="U313" s="1562">
        <f t="shared" si="63"/>
        <v>500</v>
      </c>
      <c r="V313" s="1562">
        <f t="shared" si="63"/>
        <v>500</v>
      </c>
      <c r="W313" s="1562">
        <f t="shared" si="63"/>
        <v>9000</v>
      </c>
      <c r="X313" s="1562">
        <f t="shared" si="63"/>
        <v>500</v>
      </c>
      <c r="Y313" s="1562">
        <f t="shared" si="63"/>
        <v>500</v>
      </c>
      <c r="Z313" s="1563">
        <f t="shared" si="63"/>
        <v>500</v>
      </c>
      <c r="AA313" s="1563">
        <f t="shared" si="63"/>
        <v>500</v>
      </c>
      <c r="AB313" s="1563">
        <f t="shared" si="63"/>
        <v>500</v>
      </c>
      <c r="AC313" s="1563">
        <f t="shared" si="63"/>
        <v>500</v>
      </c>
      <c r="AD313" s="1563">
        <f t="shared" si="63"/>
        <v>10200</v>
      </c>
      <c r="AE313" s="1563">
        <f t="shared" si="63"/>
        <v>500</v>
      </c>
      <c r="AF313" s="1563">
        <f t="shared" si="63"/>
        <v>500</v>
      </c>
      <c r="AG313" s="1901">
        <f>SUM(S313:AF313)</f>
        <v>24920</v>
      </c>
    </row>
    <row r="314" spans="1:33" ht="45" customHeight="1">
      <c r="A314" s="294">
        <v>2221</v>
      </c>
      <c r="B314" s="291" t="s">
        <v>862</v>
      </c>
      <c r="C314" s="291" t="s">
        <v>846</v>
      </c>
      <c r="D314" s="821"/>
      <c r="E314" s="294">
        <v>20</v>
      </c>
      <c r="F314" s="293">
        <v>43199</v>
      </c>
      <c r="G314" s="293">
        <v>43219</v>
      </c>
      <c r="H314" s="293" t="s">
        <v>368</v>
      </c>
      <c r="I314" s="294" t="s">
        <v>169</v>
      </c>
      <c r="J314" s="307" t="s">
        <v>174</v>
      </c>
      <c r="K314" s="326" t="s">
        <v>847</v>
      </c>
      <c r="L314" s="1237">
        <v>23173</v>
      </c>
      <c r="M314" s="326"/>
      <c r="N314" s="294"/>
      <c r="O314" s="354">
        <v>80</v>
      </c>
      <c r="P314" s="294">
        <v>3</v>
      </c>
      <c r="Q314" s="355">
        <f t="shared" ref="Q314:Q324" si="64">O314*P314</f>
        <v>240</v>
      </c>
      <c r="R314" s="299"/>
      <c r="S314" s="355"/>
      <c r="T314" s="355">
        <v>240</v>
      </c>
      <c r="U314" s="355"/>
      <c r="V314" s="355"/>
      <c r="W314" s="355"/>
      <c r="X314" s="1137"/>
      <c r="Y314" s="1126"/>
      <c r="Z314" s="1124"/>
      <c r="AA314" s="1124"/>
      <c r="AB314" s="1124"/>
      <c r="AC314" s="1124"/>
      <c r="AD314" s="1124"/>
      <c r="AE314" s="1124"/>
      <c r="AF314" s="1124"/>
      <c r="AG314" s="1282">
        <f t="shared" ref="AG314:AG324" si="65">SUM(S314:AF314)</f>
        <v>240</v>
      </c>
    </row>
    <row r="315" spans="1:33" ht="72" customHeight="1">
      <c r="A315" s="294">
        <v>2221</v>
      </c>
      <c r="B315" s="291" t="s">
        <v>862</v>
      </c>
      <c r="C315" s="291" t="s">
        <v>863</v>
      </c>
      <c r="D315" s="821"/>
      <c r="E315" s="294">
        <f>56+365</f>
        <v>421</v>
      </c>
      <c r="F315" s="293">
        <v>43181</v>
      </c>
      <c r="G315" s="293">
        <v>43581</v>
      </c>
      <c r="H315" s="293" t="s">
        <v>368</v>
      </c>
      <c r="I315" s="294" t="s">
        <v>174</v>
      </c>
      <c r="J315" s="307" t="s">
        <v>169</v>
      </c>
      <c r="K315" s="326" t="s">
        <v>864</v>
      </c>
      <c r="L315" s="1237">
        <v>23171</v>
      </c>
      <c r="M315" s="326"/>
      <c r="N315" s="294"/>
      <c r="O315" s="354">
        <v>250</v>
      </c>
      <c r="P315" s="294">
        <v>12</v>
      </c>
      <c r="Q315" s="355">
        <f t="shared" si="64"/>
        <v>3000</v>
      </c>
      <c r="R315" s="299"/>
      <c r="S315" s="355"/>
      <c r="T315" s="355"/>
      <c r="U315" s="355">
        <v>250</v>
      </c>
      <c r="V315" s="355">
        <v>250</v>
      </c>
      <c r="W315" s="355">
        <v>250</v>
      </c>
      <c r="X315" s="1137">
        <v>250</v>
      </c>
      <c r="Y315" s="1126">
        <v>250</v>
      </c>
      <c r="Z315" s="1126">
        <v>250</v>
      </c>
      <c r="AA315" s="1126">
        <v>250</v>
      </c>
      <c r="AB315" s="1126">
        <v>250</v>
      </c>
      <c r="AC315" s="1126">
        <v>250</v>
      </c>
      <c r="AD315" s="1126">
        <v>250</v>
      </c>
      <c r="AE315" s="1126">
        <v>250</v>
      </c>
      <c r="AF315" s="1126">
        <v>250</v>
      </c>
      <c r="AG315" s="1282">
        <f t="shared" si="65"/>
        <v>3000</v>
      </c>
    </row>
    <row r="316" spans="1:33" ht="31.5">
      <c r="A316" s="294">
        <v>2222</v>
      </c>
      <c r="B316" s="291" t="s">
        <v>865</v>
      </c>
      <c r="C316" s="291" t="s">
        <v>846</v>
      </c>
      <c r="D316" s="821"/>
      <c r="E316" s="294">
        <v>20</v>
      </c>
      <c r="F316" s="293">
        <v>43199</v>
      </c>
      <c r="G316" s="293">
        <v>43219</v>
      </c>
      <c r="H316" s="293" t="s">
        <v>368</v>
      </c>
      <c r="I316" s="294" t="s">
        <v>169</v>
      </c>
      <c r="J316" s="307" t="s">
        <v>174</v>
      </c>
      <c r="K316" s="326" t="s">
        <v>847</v>
      </c>
      <c r="L316" s="1237">
        <v>23173</v>
      </c>
      <c r="M316" s="326"/>
      <c r="N316" s="294"/>
      <c r="O316" s="354">
        <v>80</v>
      </c>
      <c r="P316" s="294">
        <v>3</v>
      </c>
      <c r="Q316" s="355">
        <f t="shared" si="64"/>
        <v>240</v>
      </c>
      <c r="R316" s="299"/>
      <c r="S316" s="355"/>
      <c r="T316" s="355">
        <v>240</v>
      </c>
      <c r="U316" s="355"/>
      <c r="V316" s="355"/>
      <c r="W316" s="355"/>
      <c r="X316" s="1137"/>
      <c r="Y316" s="1126"/>
      <c r="Z316" s="1124"/>
      <c r="AA316" s="1124"/>
      <c r="AB316" s="1124"/>
      <c r="AC316" s="1124"/>
      <c r="AD316" s="1124"/>
      <c r="AE316" s="1124"/>
      <c r="AF316" s="1124"/>
      <c r="AG316" s="1282">
        <f t="shared" si="65"/>
        <v>240</v>
      </c>
    </row>
    <row r="317" spans="1:33" ht="31.5">
      <c r="A317" s="294">
        <v>2222</v>
      </c>
      <c r="B317" s="291" t="s">
        <v>865</v>
      </c>
      <c r="C317" s="291" t="s">
        <v>866</v>
      </c>
      <c r="D317" s="821"/>
      <c r="E317" s="294">
        <f>56+365</f>
        <v>421</v>
      </c>
      <c r="F317" s="293">
        <v>43181</v>
      </c>
      <c r="G317" s="293">
        <v>43581</v>
      </c>
      <c r="H317" s="293" t="s">
        <v>368</v>
      </c>
      <c r="I317" s="294" t="s">
        <v>174</v>
      </c>
      <c r="J317" s="307" t="s">
        <v>169</v>
      </c>
      <c r="K317" s="326" t="s">
        <v>864</v>
      </c>
      <c r="L317" s="1237">
        <v>23171</v>
      </c>
      <c r="M317" s="326"/>
      <c r="N317" s="294"/>
      <c r="O317" s="354">
        <v>250</v>
      </c>
      <c r="P317" s="294">
        <v>12</v>
      </c>
      <c r="Q317" s="355">
        <f t="shared" si="64"/>
        <v>3000</v>
      </c>
      <c r="R317" s="299"/>
      <c r="S317" s="355"/>
      <c r="T317" s="355"/>
      <c r="U317" s="355">
        <v>250</v>
      </c>
      <c r="V317" s="355">
        <v>250</v>
      </c>
      <c r="W317" s="355">
        <v>250</v>
      </c>
      <c r="X317" s="1137">
        <v>250</v>
      </c>
      <c r="Y317" s="1126">
        <v>250</v>
      </c>
      <c r="Z317" s="1126">
        <v>250</v>
      </c>
      <c r="AA317" s="1126">
        <v>250</v>
      </c>
      <c r="AB317" s="1126">
        <v>250</v>
      </c>
      <c r="AC317" s="1126">
        <v>250</v>
      </c>
      <c r="AD317" s="1126">
        <v>250</v>
      </c>
      <c r="AE317" s="1126">
        <v>250</v>
      </c>
      <c r="AF317" s="1126">
        <v>250</v>
      </c>
      <c r="AG317" s="1282">
        <f t="shared" si="65"/>
        <v>3000</v>
      </c>
    </row>
    <row r="318" spans="1:33" ht="31.5">
      <c r="A318" s="294">
        <v>2223</v>
      </c>
      <c r="B318" s="824" t="s">
        <v>99</v>
      </c>
      <c r="C318" s="291" t="s">
        <v>846</v>
      </c>
      <c r="D318" s="821"/>
      <c r="E318" s="294">
        <v>20</v>
      </c>
      <c r="F318" s="293">
        <v>43196</v>
      </c>
      <c r="G318" s="293">
        <v>43215</v>
      </c>
      <c r="H318" s="293" t="s">
        <v>368</v>
      </c>
      <c r="I318" s="294" t="s">
        <v>867</v>
      </c>
      <c r="J318" s="307" t="s">
        <v>169</v>
      </c>
      <c r="K318" s="326" t="s">
        <v>847</v>
      </c>
      <c r="L318" s="1237">
        <v>23173</v>
      </c>
      <c r="M318" s="326"/>
      <c r="N318" s="294"/>
      <c r="O318" s="354">
        <v>80</v>
      </c>
      <c r="P318" s="294">
        <v>3</v>
      </c>
      <c r="Q318" s="355">
        <f t="shared" si="64"/>
        <v>240</v>
      </c>
      <c r="R318" s="299"/>
      <c r="S318" s="355"/>
      <c r="T318" s="355">
        <v>240</v>
      </c>
      <c r="U318" s="355"/>
      <c r="V318" s="355"/>
      <c r="W318" s="355"/>
      <c r="X318" s="1137"/>
      <c r="Y318" s="1126"/>
      <c r="Z318" s="1124"/>
      <c r="AA318" s="1124"/>
      <c r="AB318" s="1124"/>
      <c r="AC318" s="1124"/>
      <c r="AD318" s="1124"/>
      <c r="AE318" s="1124"/>
      <c r="AF318" s="1124"/>
      <c r="AG318" s="1282">
        <f t="shared" si="65"/>
        <v>240</v>
      </c>
    </row>
    <row r="319" spans="1:33" ht="31.5">
      <c r="A319" s="294">
        <v>2223</v>
      </c>
      <c r="B319" s="824" t="s">
        <v>99</v>
      </c>
      <c r="C319" s="291" t="s">
        <v>868</v>
      </c>
      <c r="D319" s="821"/>
      <c r="E319" s="294">
        <v>2</v>
      </c>
      <c r="F319" s="293">
        <v>43279</v>
      </c>
      <c r="G319" s="293">
        <f>+F319+E319</f>
        <v>43281</v>
      </c>
      <c r="H319" s="293" t="s">
        <v>869</v>
      </c>
      <c r="I319" s="294" t="s">
        <v>174</v>
      </c>
      <c r="J319" s="306" t="s">
        <v>169</v>
      </c>
      <c r="K319" s="326" t="s">
        <v>365</v>
      </c>
      <c r="L319" s="1237">
        <v>2313</v>
      </c>
      <c r="M319" s="326"/>
      <c r="N319" s="294"/>
      <c r="O319" s="354">
        <v>2711.4</v>
      </c>
      <c r="P319" s="294">
        <v>1</v>
      </c>
      <c r="Q319" s="355">
        <f t="shared" si="64"/>
        <v>2711.4</v>
      </c>
      <c r="R319" s="299"/>
      <c r="S319" s="355"/>
      <c r="T319" s="355"/>
      <c r="U319" s="355"/>
      <c r="V319" s="355"/>
      <c r="W319" s="354">
        <v>2711.4</v>
      </c>
      <c r="X319" s="1137"/>
      <c r="Y319" s="1126"/>
      <c r="Z319" s="1124"/>
      <c r="AA319" s="1124"/>
      <c r="AB319" s="1124"/>
      <c r="AC319" s="1124"/>
      <c r="AD319" s="1124"/>
      <c r="AE319" s="1124"/>
      <c r="AF319" s="1124"/>
      <c r="AG319" s="1282">
        <f t="shared" si="65"/>
        <v>2711.4</v>
      </c>
    </row>
    <row r="320" spans="1:33" ht="31.5">
      <c r="A320" s="294">
        <v>2223</v>
      </c>
      <c r="B320" s="824" t="s">
        <v>99</v>
      </c>
      <c r="C320" s="291" t="s">
        <v>868</v>
      </c>
      <c r="D320" s="821"/>
      <c r="E320" s="294">
        <v>2</v>
      </c>
      <c r="F320" s="293">
        <v>43279</v>
      </c>
      <c r="G320" s="293">
        <f>+F320+E320</f>
        <v>43281</v>
      </c>
      <c r="H320" s="293" t="s">
        <v>869</v>
      </c>
      <c r="I320" s="293" t="s">
        <v>169</v>
      </c>
      <c r="J320" s="307" t="s">
        <v>174</v>
      </c>
      <c r="K320" s="326" t="s">
        <v>486</v>
      </c>
      <c r="L320" s="1237">
        <v>23173</v>
      </c>
      <c r="M320" s="326"/>
      <c r="N320" s="294"/>
      <c r="O320" s="354">
        <v>257.33</v>
      </c>
      <c r="P320" s="294">
        <v>1</v>
      </c>
      <c r="Q320" s="355">
        <f t="shared" si="64"/>
        <v>257.33</v>
      </c>
      <c r="R320" s="299"/>
      <c r="S320" s="355"/>
      <c r="T320" s="355"/>
      <c r="U320" s="355"/>
      <c r="V320" s="355"/>
      <c r="W320" s="354">
        <v>257.33</v>
      </c>
      <c r="X320" s="1137"/>
      <c r="Y320" s="1126"/>
      <c r="Z320" s="1124"/>
      <c r="AA320" s="1124"/>
      <c r="AB320" s="1124"/>
      <c r="AC320" s="1124"/>
      <c r="AD320" s="1124"/>
      <c r="AE320" s="1124"/>
      <c r="AF320" s="1124"/>
      <c r="AG320" s="1282">
        <f t="shared" si="65"/>
        <v>257.33</v>
      </c>
    </row>
    <row r="321" spans="1:33" ht="31.5">
      <c r="A321" s="294">
        <v>2223</v>
      </c>
      <c r="B321" s="824" t="s">
        <v>99</v>
      </c>
      <c r="C321" s="291" t="s">
        <v>868</v>
      </c>
      <c r="D321" s="821"/>
      <c r="E321" s="294">
        <v>2</v>
      </c>
      <c r="F321" s="293">
        <v>43279</v>
      </c>
      <c r="G321" s="293">
        <f>+F321+E321</f>
        <v>43281</v>
      </c>
      <c r="H321" s="293" t="s">
        <v>869</v>
      </c>
      <c r="I321" s="293" t="s">
        <v>169</v>
      </c>
      <c r="J321" s="307" t="s">
        <v>174</v>
      </c>
      <c r="K321" s="1544" t="s">
        <v>857</v>
      </c>
      <c r="L321" s="1237">
        <v>23174</v>
      </c>
      <c r="M321" s="326"/>
      <c r="N321" s="294"/>
      <c r="O321" s="354">
        <v>5531.27</v>
      </c>
      <c r="P321" s="294">
        <v>1</v>
      </c>
      <c r="Q321" s="355">
        <f t="shared" si="64"/>
        <v>5531.27</v>
      </c>
      <c r="R321" s="299"/>
      <c r="S321" s="355"/>
      <c r="T321" s="355"/>
      <c r="U321" s="355"/>
      <c r="V321" s="355"/>
      <c r="W321" s="354">
        <v>5531.27</v>
      </c>
      <c r="X321" s="1137"/>
      <c r="Y321" s="1126"/>
      <c r="Z321" s="1124"/>
      <c r="AA321" s="1124"/>
      <c r="AB321" s="1124"/>
      <c r="AC321" s="1124"/>
      <c r="AD321" s="1124"/>
      <c r="AE321" s="1124"/>
      <c r="AF321" s="1124"/>
      <c r="AG321" s="1282">
        <f t="shared" si="65"/>
        <v>5531.27</v>
      </c>
    </row>
    <row r="322" spans="1:33" ht="31.5">
      <c r="A322" s="294">
        <v>2224</v>
      </c>
      <c r="B322" s="824" t="s">
        <v>99</v>
      </c>
      <c r="C322" s="291" t="s">
        <v>870</v>
      </c>
      <c r="D322" s="821"/>
      <c r="E322" s="294">
        <v>2</v>
      </c>
      <c r="F322" s="293">
        <v>43500</v>
      </c>
      <c r="G322" s="293">
        <f>+F322+E322</f>
        <v>43502</v>
      </c>
      <c r="H322" s="293" t="s">
        <v>871</v>
      </c>
      <c r="I322" s="294" t="s">
        <v>174</v>
      </c>
      <c r="J322" s="306" t="s">
        <v>169</v>
      </c>
      <c r="K322" s="326" t="s">
        <v>365</v>
      </c>
      <c r="L322" s="1237">
        <v>2313</v>
      </c>
      <c r="M322" s="326"/>
      <c r="N322" s="294"/>
      <c r="O322" s="354">
        <v>2711.4</v>
      </c>
      <c r="P322" s="294">
        <v>1</v>
      </c>
      <c r="Q322" s="355">
        <f t="shared" si="64"/>
        <v>2711.4</v>
      </c>
      <c r="R322" s="299"/>
      <c r="S322" s="355"/>
      <c r="T322" s="355"/>
      <c r="U322" s="355"/>
      <c r="V322" s="355"/>
      <c r="W322" s="355"/>
      <c r="X322" s="1137"/>
      <c r="Y322" s="1126"/>
      <c r="Z322" s="1124"/>
      <c r="AA322" s="1124"/>
      <c r="AB322" s="1124"/>
      <c r="AC322" s="1124"/>
      <c r="AD322" s="355">
        <v>2711.4</v>
      </c>
      <c r="AE322" s="1124"/>
      <c r="AF322" s="1124"/>
      <c r="AG322" s="1282">
        <f t="shared" si="65"/>
        <v>2711.4</v>
      </c>
    </row>
    <row r="323" spans="1:33" ht="31.5">
      <c r="A323" s="294">
        <v>2224</v>
      </c>
      <c r="B323" s="824" t="s">
        <v>99</v>
      </c>
      <c r="C323" s="291" t="s">
        <v>870</v>
      </c>
      <c r="D323" s="821"/>
      <c r="E323" s="294">
        <v>2</v>
      </c>
      <c r="F323" s="293">
        <v>43500</v>
      </c>
      <c r="G323" s="293">
        <v>43502</v>
      </c>
      <c r="H323" s="293" t="s">
        <v>871</v>
      </c>
      <c r="I323" s="293" t="s">
        <v>169</v>
      </c>
      <c r="J323" s="307" t="s">
        <v>174</v>
      </c>
      <c r="K323" s="326" t="s">
        <v>486</v>
      </c>
      <c r="L323" s="1237">
        <v>23173</v>
      </c>
      <c r="M323" s="326"/>
      <c r="N323" s="294"/>
      <c r="O323" s="354">
        <v>431.33</v>
      </c>
      <c r="P323" s="294">
        <v>1</v>
      </c>
      <c r="Q323" s="355">
        <f t="shared" si="64"/>
        <v>431.33</v>
      </c>
      <c r="R323" s="299"/>
      <c r="S323" s="355"/>
      <c r="T323" s="355"/>
      <c r="U323" s="355"/>
      <c r="V323" s="355"/>
      <c r="W323" s="355"/>
      <c r="X323" s="1137"/>
      <c r="Y323" s="1126"/>
      <c r="Z323" s="1124"/>
      <c r="AA323" s="1124"/>
      <c r="AB323" s="1124"/>
      <c r="AC323" s="1124"/>
      <c r="AD323" s="355">
        <v>431.33</v>
      </c>
      <c r="AE323" s="1124"/>
      <c r="AF323" s="1124"/>
      <c r="AG323" s="1282">
        <f t="shared" si="65"/>
        <v>431.33</v>
      </c>
    </row>
    <row r="324" spans="1:33" ht="31.5">
      <c r="A324" s="294">
        <v>2224</v>
      </c>
      <c r="B324" s="824" t="s">
        <v>99</v>
      </c>
      <c r="C324" s="291" t="s">
        <v>870</v>
      </c>
      <c r="D324" s="821"/>
      <c r="E324" s="294">
        <v>2</v>
      </c>
      <c r="F324" s="293">
        <v>43500</v>
      </c>
      <c r="G324" s="293">
        <v>43502</v>
      </c>
      <c r="H324" s="293" t="s">
        <v>871</v>
      </c>
      <c r="I324" s="293" t="s">
        <v>169</v>
      </c>
      <c r="J324" s="307" t="s">
        <v>174</v>
      </c>
      <c r="K324" s="1544" t="s">
        <v>857</v>
      </c>
      <c r="L324" s="1237">
        <v>23174</v>
      </c>
      <c r="M324" s="326"/>
      <c r="N324" s="294"/>
      <c r="O324" s="354">
        <v>6557.27</v>
      </c>
      <c r="P324" s="294">
        <v>1</v>
      </c>
      <c r="Q324" s="355">
        <f t="shared" si="64"/>
        <v>6557.27</v>
      </c>
      <c r="R324" s="299"/>
      <c r="S324" s="355"/>
      <c r="T324" s="355"/>
      <c r="U324" s="355"/>
      <c r="V324" s="355"/>
      <c r="W324" s="355"/>
      <c r="X324" s="1137"/>
      <c r="Y324" s="1126"/>
      <c r="Z324" s="1124"/>
      <c r="AA324" s="1124"/>
      <c r="AB324" s="1124"/>
      <c r="AC324" s="1124"/>
      <c r="AD324" s="355">
        <v>6557.27</v>
      </c>
      <c r="AE324" s="1124"/>
      <c r="AF324" s="1124"/>
      <c r="AG324" s="1282">
        <f t="shared" si="65"/>
        <v>6557.27</v>
      </c>
    </row>
    <row r="325" spans="1:33" s="280" customFormat="1" ht="38.25" customHeight="1">
      <c r="A325" s="1275">
        <v>223</v>
      </c>
      <c r="B325" s="508" t="s">
        <v>872</v>
      </c>
      <c r="C325" s="1504"/>
      <c r="D325" s="1358"/>
      <c r="E325" s="1358"/>
      <c r="F325" s="1358"/>
      <c r="G325" s="1358"/>
      <c r="H325" s="1358"/>
      <c r="I325" s="1358"/>
      <c r="J325" s="523"/>
      <c r="K325" s="1560"/>
      <c r="L325" s="1359"/>
      <c r="M325" s="1358"/>
      <c r="N325" s="1358"/>
      <c r="O325" s="1360"/>
      <c r="P325" s="1358"/>
      <c r="Q325" s="1562">
        <f>SUM(Q326:Q341)</f>
        <v>209880</v>
      </c>
      <c r="R325" s="1358"/>
      <c r="S325" s="1562">
        <f t="shared" ref="S325:AF325" si="66">SUM(S326:S341)</f>
        <v>0</v>
      </c>
      <c r="T325" s="1562">
        <f t="shared" si="66"/>
        <v>740</v>
      </c>
      <c r="U325" s="1562">
        <f t="shared" si="66"/>
        <v>16740</v>
      </c>
      <c r="V325" s="1562">
        <f t="shared" si="66"/>
        <v>63200</v>
      </c>
      <c r="W325" s="1562">
        <f t="shared" si="66"/>
        <v>1000</v>
      </c>
      <c r="X325" s="1562">
        <f t="shared" si="66"/>
        <v>40200</v>
      </c>
      <c r="Y325" s="1562">
        <f t="shared" si="66"/>
        <v>88000</v>
      </c>
      <c r="Z325" s="1562">
        <f t="shared" si="66"/>
        <v>0</v>
      </c>
      <c r="AA325" s="1562">
        <f t="shared" si="66"/>
        <v>0</v>
      </c>
      <c r="AB325" s="1562">
        <f t="shared" si="66"/>
        <v>0</v>
      </c>
      <c r="AC325" s="1562">
        <f t="shared" si="66"/>
        <v>0</v>
      </c>
      <c r="AD325" s="1562">
        <f t="shared" si="66"/>
        <v>0</v>
      </c>
      <c r="AE325" s="1562">
        <f t="shared" si="66"/>
        <v>0</v>
      </c>
      <c r="AF325" s="1562">
        <f t="shared" si="66"/>
        <v>0</v>
      </c>
      <c r="AG325" s="1902">
        <f>SUM(S325:AF325)</f>
        <v>209880</v>
      </c>
    </row>
    <row r="326" spans="1:33" s="833" customFormat="1" ht="31.5">
      <c r="A326" s="294">
        <v>2231</v>
      </c>
      <c r="B326" s="820" t="s">
        <v>1027</v>
      </c>
      <c r="C326" s="291" t="s">
        <v>846</v>
      </c>
      <c r="D326" s="295" t="s">
        <v>849</v>
      </c>
      <c r="E326" s="294">
        <v>20</v>
      </c>
      <c r="F326" s="829">
        <v>43196</v>
      </c>
      <c r="G326" s="829">
        <v>43215</v>
      </c>
      <c r="H326" s="294" t="s">
        <v>368</v>
      </c>
      <c r="I326" s="294" t="s">
        <v>169</v>
      </c>
      <c r="J326" s="307" t="s">
        <v>174</v>
      </c>
      <c r="K326" s="326" t="s">
        <v>847</v>
      </c>
      <c r="L326" s="1241">
        <v>23173</v>
      </c>
      <c r="M326" s="830"/>
      <c r="N326" s="569"/>
      <c r="O326" s="355">
        <v>80</v>
      </c>
      <c r="P326" s="294">
        <v>3</v>
      </c>
      <c r="Q326" s="355">
        <f>O326*P326</f>
        <v>240</v>
      </c>
      <c r="R326" s="831"/>
      <c r="S326" s="494"/>
      <c r="T326" s="294">
        <v>240</v>
      </c>
      <c r="U326" s="494"/>
      <c r="V326" s="494"/>
      <c r="W326" s="494"/>
      <c r="X326" s="1181"/>
      <c r="Y326" s="1196"/>
      <c r="Z326" s="1155"/>
      <c r="AA326" s="1155"/>
      <c r="AB326" s="1155"/>
      <c r="AC326" s="1155"/>
      <c r="AD326" s="1155"/>
      <c r="AE326" s="1155"/>
      <c r="AF326" s="1155"/>
      <c r="AG326" s="1282">
        <f t="shared" ref="AG326:AG341" si="67">SUM(S326:AF326)</f>
        <v>240</v>
      </c>
    </row>
    <row r="327" spans="1:33" s="280" customFormat="1" ht="31.5">
      <c r="A327" s="294">
        <v>2231</v>
      </c>
      <c r="B327" s="820" t="s">
        <v>1027</v>
      </c>
      <c r="C327" s="291" t="s">
        <v>875</v>
      </c>
      <c r="D327" s="294" t="s">
        <v>849</v>
      </c>
      <c r="E327" s="294">
        <v>30</v>
      </c>
      <c r="F327" s="293">
        <v>43205</v>
      </c>
      <c r="G327" s="293">
        <v>43235</v>
      </c>
      <c r="H327" s="293" t="s">
        <v>368</v>
      </c>
      <c r="I327" s="294" t="s">
        <v>174</v>
      </c>
      <c r="J327" s="307" t="s">
        <v>169</v>
      </c>
      <c r="K327" s="326" t="s">
        <v>365</v>
      </c>
      <c r="L327" s="1237">
        <v>2313</v>
      </c>
      <c r="M327" s="296"/>
      <c r="N327" s="294"/>
      <c r="O327" s="355">
        <v>5000</v>
      </c>
      <c r="P327" s="294">
        <v>1</v>
      </c>
      <c r="Q327" s="355">
        <f>O327*P327</f>
        <v>5000</v>
      </c>
      <c r="R327" s="299"/>
      <c r="S327" s="298"/>
      <c r="T327" s="294">
        <v>500</v>
      </c>
      <c r="U327" s="294">
        <v>4500</v>
      </c>
      <c r="V327" s="298"/>
      <c r="W327" s="298"/>
      <c r="X327" s="1179"/>
      <c r="Y327" s="1154"/>
      <c r="Z327" s="1152"/>
      <c r="AA327" s="1152"/>
      <c r="AB327" s="1152"/>
      <c r="AC327" s="1152"/>
      <c r="AD327" s="1152"/>
      <c r="AE327" s="1152"/>
      <c r="AF327" s="1152"/>
      <c r="AG327" s="1282">
        <f t="shared" si="67"/>
        <v>5000</v>
      </c>
    </row>
    <row r="328" spans="1:33" s="280" customFormat="1" ht="31.5">
      <c r="A328" s="294">
        <v>2232</v>
      </c>
      <c r="B328" s="834" t="s">
        <v>1028</v>
      </c>
      <c r="C328" s="291" t="s">
        <v>878</v>
      </c>
      <c r="D328" s="821"/>
      <c r="E328" s="1363">
        <v>66</v>
      </c>
      <c r="F328" s="293">
        <v>43195</v>
      </c>
      <c r="G328" s="293">
        <f>F328+E328</f>
        <v>43261</v>
      </c>
      <c r="H328" s="293" t="s">
        <v>368</v>
      </c>
      <c r="I328" s="294" t="s">
        <v>169</v>
      </c>
      <c r="J328" s="307" t="s">
        <v>174</v>
      </c>
      <c r="K328" s="326" t="s">
        <v>879</v>
      </c>
      <c r="L328" s="1241">
        <v>2463</v>
      </c>
      <c r="M328" s="296"/>
      <c r="N328" s="294"/>
      <c r="O328" s="1357">
        <v>1500</v>
      </c>
      <c r="P328" s="295">
        <v>4</v>
      </c>
      <c r="Q328" s="298">
        <f>O328*P328</f>
        <v>6000</v>
      </c>
      <c r="R328" s="299"/>
      <c r="S328" s="298"/>
      <c r="T328" s="298"/>
      <c r="U328" s="298"/>
      <c r="V328" s="298">
        <v>6000</v>
      </c>
      <c r="W328" s="298"/>
      <c r="X328" s="1179"/>
      <c r="Y328" s="1154"/>
      <c r="Z328" s="1152"/>
      <c r="AA328" s="1152"/>
      <c r="AB328" s="1152"/>
      <c r="AC328" s="1152"/>
      <c r="AD328" s="1152"/>
      <c r="AE328" s="1152"/>
      <c r="AF328" s="1152"/>
      <c r="AG328" s="1282">
        <f t="shared" si="67"/>
        <v>6000</v>
      </c>
    </row>
    <row r="329" spans="1:33" s="280" customFormat="1" ht="31.5">
      <c r="A329" s="294">
        <v>2232</v>
      </c>
      <c r="B329" s="291" t="s">
        <v>1029</v>
      </c>
      <c r="C329" s="291" t="s">
        <v>881</v>
      </c>
      <c r="D329" s="821"/>
      <c r="E329" s="1363">
        <v>77</v>
      </c>
      <c r="F329" s="293">
        <v>43196</v>
      </c>
      <c r="G329" s="293">
        <f>F329+E329</f>
        <v>43273</v>
      </c>
      <c r="H329" s="293" t="s">
        <v>368</v>
      </c>
      <c r="I329" s="294" t="s">
        <v>169</v>
      </c>
      <c r="J329" s="307" t="s">
        <v>174</v>
      </c>
      <c r="K329" s="326" t="s">
        <v>320</v>
      </c>
      <c r="L329" s="1241">
        <v>23173</v>
      </c>
      <c r="M329" s="296"/>
      <c r="N329" s="294"/>
      <c r="O329" s="1357">
        <v>2000</v>
      </c>
      <c r="P329" s="295">
        <v>1</v>
      </c>
      <c r="Q329" s="298">
        <f>O329*P329</f>
        <v>2000</v>
      </c>
      <c r="R329" s="299"/>
      <c r="S329" s="298"/>
      <c r="T329" s="298"/>
      <c r="U329" s="298"/>
      <c r="V329" s="298">
        <v>2000</v>
      </c>
      <c r="W329" s="298"/>
      <c r="X329" s="1179"/>
      <c r="Y329" s="1154"/>
      <c r="Z329" s="1152"/>
      <c r="AA329" s="1152"/>
      <c r="AB329" s="1152"/>
      <c r="AC329" s="1152"/>
      <c r="AD329" s="1152"/>
      <c r="AE329" s="1152"/>
      <c r="AF329" s="1152"/>
      <c r="AG329" s="1282">
        <f t="shared" si="67"/>
        <v>2000</v>
      </c>
    </row>
    <row r="330" spans="1:33" s="280" customFormat="1" ht="31.5">
      <c r="A330" s="294">
        <v>2232</v>
      </c>
      <c r="B330" s="834" t="s">
        <v>1030</v>
      </c>
      <c r="C330" s="291" t="s">
        <v>883</v>
      </c>
      <c r="D330" s="821"/>
      <c r="E330" s="1363">
        <v>125</v>
      </c>
      <c r="F330" s="293">
        <v>43196</v>
      </c>
      <c r="G330" s="293">
        <f>F330+E330</f>
        <v>43321</v>
      </c>
      <c r="H330" s="293" t="s">
        <v>368</v>
      </c>
      <c r="I330" s="294" t="s">
        <v>169</v>
      </c>
      <c r="J330" s="307" t="s">
        <v>884</v>
      </c>
      <c r="K330" s="326" t="s">
        <v>879</v>
      </c>
      <c r="L330" s="1241">
        <v>2463</v>
      </c>
      <c r="M330" s="296"/>
      <c r="N330" s="294"/>
      <c r="O330" s="1357">
        <v>19200</v>
      </c>
      <c r="P330" s="295">
        <v>1</v>
      </c>
      <c r="Q330" s="298">
        <f>O330*P330</f>
        <v>19200</v>
      </c>
      <c r="R330" s="299"/>
      <c r="S330" s="298"/>
      <c r="T330" s="298"/>
      <c r="U330" s="298"/>
      <c r="V330" s="298"/>
      <c r="W330" s="298"/>
      <c r="X330" s="1179">
        <v>19200</v>
      </c>
      <c r="Y330" s="1154"/>
      <c r="Z330" s="1152"/>
      <c r="AA330" s="1152"/>
      <c r="AB330" s="1152"/>
      <c r="AC330" s="1152"/>
      <c r="AD330" s="1152"/>
      <c r="AE330" s="1152"/>
      <c r="AF330" s="1152"/>
      <c r="AG330" s="1282">
        <f t="shared" si="67"/>
        <v>19200</v>
      </c>
    </row>
    <row r="331" spans="1:33" s="280" customFormat="1" ht="31.5">
      <c r="A331" s="294">
        <v>2233</v>
      </c>
      <c r="B331" s="291" t="s">
        <v>1031</v>
      </c>
      <c r="C331" s="291" t="s">
        <v>887</v>
      </c>
      <c r="D331" s="357"/>
      <c r="E331" s="294">
        <v>1</v>
      </c>
      <c r="F331" s="293">
        <v>43235</v>
      </c>
      <c r="G331" s="293">
        <v>43235</v>
      </c>
      <c r="H331" s="293" t="s">
        <v>368</v>
      </c>
      <c r="I331" s="294" t="s">
        <v>867</v>
      </c>
      <c r="J331" s="307" t="s">
        <v>169</v>
      </c>
      <c r="K331" s="326" t="s">
        <v>320</v>
      </c>
      <c r="L331" s="1241">
        <v>23173</v>
      </c>
      <c r="N331" s="341"/>
      <c r="O331" s="1364">
        <v>3000</v>
      </c>
      <c r="P331" s="342">
        <v>1</v>
      </c>
      <c r="Q331" s="298">
        <f t="shared" ref="Q331:Q340" si="68">O331*P331</f>
        <v>3000</v>
      </c>
      <c r="R331" s="344"/>
      <c r="S331" s="315"/>
      <c r="T331" s="315"/>
      <c r="U331" s="298">
        <v>3000</v>
      </c>
      <c r="V331" s="1154"/>
      <c r="W331" s="1154"/>
      <c r="X331" s="1154"/>
      <c r="Y331" s="1154"/>
      <c r="Z331" s="1152"/>
      <c r="AA331" s="1152"/>
      <c r="AB331" s="1152"/>
      <c r="AC331" s="1152"/>
      <c r="AD331" s="1152"/>
      <c r="AE331" s="1152"/>
      <c r="AF331" s="1152"/>
      <c r="AG331" s="1282">
        <f t="shared" si="67"/>
        <v>3000</v>
      </c>
    </row>
    <row r="332" spans="1:33" s="280" customFormat="1" ht="31.5">
      <c r="A332" s="294">
        <v>2233</v>
      </c>
      <c r="B332" s="291" t="s">
        <v>1031</v>
      </c>
      <c r="C332" s="291" t="s">
        <v>887</v>
      </c>
      <c r="D332" s="821"/>
      <c r="E332" s="294">
        <v>1</v>
      </c>
      <c r="F332" s="293">
        <v>43235</v>
      </c>
      <c r="G332" s="293">
        <v>43235</v>
      </c>
      <c r="H332" s="293" t="s">
        <v>368</v>
      </c>
      <c r="I332" s="294" t="s">
        <v>169</v>
      </c>
      <c r="J332" s="307" t="s">
        <v>867</v>
      </c>
      <c r="K332" s="326" t="s">
        <v>888</v>
      </c>
      <c r="L332" s="1241">
        <v>23174</v>
      </c>
      <c r="M332" s="296"/>
      <c r="N332" s="294"/>
      <c r="O332" s="1357">
        <v>9000</v>
      </c>
      <c r="P332" s="342">
        <v>1</v>
      </c>
      <c r="Q332" s="298">
        <f t="shared" si="68"/>
        <v>9000</v>
      </c>
      <c r="R332" s="299"/>
      <c r="S332" s="298"/>
      <c r="T332" s="298"/>
      <c r="U332" s="298">
        <v>9000</v>
      </c>
      <c r="V332" s="298"/>
      <c r="W332" s="298"/>
      <c r="X332" s="1179"/>
      <c r="Y332" s="1154"/>
      <c r="Z332" s="1152"/>
      <c r="AA332" s="1152"/>
      <c r="AB332" s="1152"/>
      <c r="AC332" s="1152"/>
      <c r="AD332" s="1152"/>
      <c r="AE332" s="1152"/>
      <c r="AF332" s="1152"/>
      <c r="AG332" s="1282">
        <f t="shared" si="67"/>
        <v>9000</v>
      </c>
    </row>
    <row r="333" spans="1:33" s="280" customFormat="1" ht="31.5">
      <c r="A333" s="294">
        <v>2233</v>
      </c>
      <c r="B333" s="291" t="s">
        <v>1032</v>
      </c>
      <c r="C333" s="291" t="s">
        <v>846</v>
      </c>
      <c r="D333" s="294"/>
      <c r="E333" s="294">
        <v>20</v>
      </c>
      <c r="F333" s="293">
        <v>43235</v>
      </c>
      <c r="G333" s="293">
        <v>43256</v>
      </c>
      <c r="H333" s="293" t="s">
        <v>368</v>
      </c>
      <c r="I333" s="294" t="s">
        <v>867</v>
      </c>
      <c r="J333" s="307" t="s">
        <v>169</v>
      </c>
      <c r="K333" s="326" t="s">
        <v>847</v>
      </c>
      <c r="L333" s="1241">
        <v>23173</v>
      </c>
      <c r="M333" s="296"/>
      <c r="N333" s="294"/>
      <c r="O333" s="1357">
        <v>80</v>
      </c>
      <c r="P333" s="295">
        <v>3</v>
      </c>
      <c r="Q333" s="298">
        <f t="shared" si="68"/>
        <v>240</v>
      </c>
      <c r="R333" s="299"/>
      <c r="S333" s="298"/>
      <c r="T333" s="298"/>
      <c r="U333" s="298">
        <v>240</v>
      </c>
      <c r="V333" s="298"/>
      <c r="W333" s="298"/>
      <c r="X333" s="1179"/>
      <c r="Y333" s="1154"/>
      <c r="Z333" s="1152"/>
      <c r="AA333" s="1152"/>
      <c r="AB333" s="1152"/>
      <c r="AC333" s="1152"/>
      <c r="AD333" s="1152"/>
      <c r="AE333" s="1152"/>
      <c r="AF333" s="1152"/>
      <c r="AG333" s="1282">
        <f t="shared" si="67"/>
        <v>240</v>
      </c>
    </row>
    <row r="334" spans="1:33" s="280" customFormat="1" ht="31.5">
      <c r="A334" s="294">
        <v>2233</v>
      </c>
      <c r="B334" s="291" t="s">
        <v>1032</v>
      </c>
      <c r="C334" s="291" t="s">
        <v>890</v>
      </c>
      <c r="D334" s="821"/>
      <c r="E334" s="294">
        <v>66</v>
      </c>
      <c r="F334" s="293">
        <v>43257</v>
      </c>
      <c r="G334" s="293">
        <v>43278</v>
      </c>
      <c r="H334" s="293" t="s">
        <v>368</v>
      </c>
      <c r="I334" s="294" t="s">
        <v>867</v>
      </c>
      <c r="J334" s="307" t="s">
        <v>169</v>
      </c>
      <c r="K334" s="326" t="s">
        <v>302</v>
      </c>
      <c r="L334" s="1241">
        <v>23173</v>
      </c>
      <c r="M334" s="296"/>
      <c r="N334" s="294"/>
      <c r="O334" s="1357">
        <v>8000</v>
      </c>
      <c r="P334" s="295">
        <v>2</v>
      </c>
      <c r="Q334" s="298">
        <f t="shared" si="68"/>
        <v>16000</v>
      </c>
      <c r="R334" s="299"/>
      <c r="S334" s="298"/>
      <c r="T334" s="298"/>
      <c r="U334" s="298"/>
      <c r="V334" s="298">
        <v>16000</v>
      </c>
      <c r="W334" s="298"/>
      <c r="X334" s="1179"/>
      <c r="Y334" s="1154"/>
      <c r="Z334" s="1152"/>
      <c r="AA334" s="1152"/>
      <c r="AB334" s="1152"/>
      <c r="AC334" s="1152"/>
      <c r="AD334" s="1152"/>
      <c r="AE334" s="1152"/>
      <c r="AF334" s="1152"/>
      <c r="AG334" s="1282">
        <f t="shared" si="67"/>
        <v>16000</v>
      </c>
    </row>
    <row r="335" spans="1:33" s="280" customFormat="1" ht="31.5">
      <c r="A335" s="294">
        <v>2233</v>
      </c>
      <c r="B335" s="291" t="s">
        <v>1033</v>
      </c>
      <c r="C335" s="291" t="s">
        <v>892</v>
      </c>
      <c r="D335" s="821"/>
      <c r="E335" s="294">
        <v>6</v>
      </c>
      <c r="F335" s="293">
        <v>43241</v>
      </c>
      <c r="G335" s="293">
        <v>43246</v>
      </c>
      <c r="H335" s="293" t="s">
        <v>368</v>
      </c>
      <c r="I335" s="294" t="s">
        <v>867</v>
      </c>
      <c r="J335" s="307" t="s">
        <v>169</v>
      </c>
      <c r="K335" s="326" t="s">
        <v>486</v>
      </c>
      <c r="L335" s="1241">
        <v>23173</v>
      </c>
      <c r="M335" s="296"/>
      <c r="N335" s="294"/>
      <c r="O335" s="1357">
        <v>1081</v>
      </c>
      <c r="P335" s="295">
        <v>4</v>
      </c>
      <c r="Q335" s="298">
        <f t="shared" si="68"/>
        <v>4324</v>
      </c>
      <c r="R335" s="299"/>
      <c r="S335" s="298"/>
      <c r="T335" s="298"/>
      <c r="U335" s="298"/>
      <c r="V335" s="298">
        <v>4324</v>
      </c>
      <c r="W335" s="298"/>
      <c r="X335" s="1179"/>
      <c r="Y335" s="1154"/>
      <c r="Z335" s="1152"/>
      <c r="AA335" s="1152"/>
      <c r="AB335" s="1152"/>
      <c r="AC335" s="1152"/>
      <c r="AD335" s="1152"/>
      <c r="AE335" s="1152"/>
      <c r="AF335" s="1152"/>
      <c r="AG335" s="1282">
        <f t="shared" si="67"/>
        <v>4324</v>
      </c>
    </row>
    <row r="336" spans="1:33" s="280" customFormat="1" ht="31.5">
      <c r="A336" s="294">
        <v>2233</v>
      </c>
      <c r="B336" s="291" t="s">
        <v>1033</v>
      </c>
      <c r="C336" s="291" t="s">
        <v>892</v>
      </c>
      <c r="D336" s="821"/>
      <c r="E336" s="294">
        <v>6</v>
      </c>
      <c r="F336" s="293">
        <v>43241</v>
      </c>
      <c r="G336" s="293">
        <v>43246</v>
      </c>
      <c r="H336" s="293" t="s">
        <v>368</v>
      </c>
      <c r="I336" s="294" t="s">
        <v>169</v>
      </c>
      <c r="J336" s="307" t="s">
        <v>867</v>
      </c>
      <c r="K336" s="326" t="s">
        <v>888</v>
      </c>
      <c r="L336" s="1241">
        <v>23174</v>
      </c>
      <c r="M336" s="296"/>
      <c r="N336" s="294"/>
      <c r="O336" s="1357">
        <v>8659</v>
      </c>
      <c r="P336" s="295">
        <v>4</v>
      </c>
      <c r="Q336" s="298">
        <f t="shared" si="68"/>
        <v>34636</v>
      </c>
      <c r="R336" s="299"/>
      <c r="S336" s="298"/>
      <c r="T336" s="298"/>
      <c r="U336" s="298"/>
      <c r="V336" s="298">
        <v>34636</v>
      </c>
      <c r="W336" s="298"/>
      <c r="X336" s="1179"/>
      <c r="Y336" s="1154"/>
      <c r="Z336" s="1152"/>
      <c r="AA336" s="1152"/>
      <c r="AB336" s="1152"/>
      <c r="AC336" s="1152"/>
      <c r="AD336" s="1152"/>
      <c r="AE336" s="1152"/>
      <c r="AF336" s="1152"/>
      <c r="AG336" s="1282">
        <f t="shared" si="67"/>
        <v>34636</v>
      </c>
    </row>
    <row r="337" spans="1:33" s="280" customFormat="1" ht="31.5">
      <c r="A337" s="294">
        <v>2233</v>
      </c>
      <c r="B337" s="291" t="s">
        <v>1034</v>
      </c>
      <c r="C337" s="291" t="s">
        <v>894</v>
      </c>
      <c r="D337" s="821"/>
      <c r="E337" s="294">
        <v>2</v>
      </c>
      <c r="F337" s="293">
        <v>43283</v>
      </c>
      <c r="G337" s="293">
        <v>43284</v>
      </c>
      <c r="H337" s="293" t="s">
        <v>895</v>
      </c>
      <c r="I337" s="294" t="s">
        <v>169</v>
      </c>
      <c r="J337" s="307" t="s">
        <v>867</v>
      </c>
      <c r="K337" s="326" t="s">
        <v>896</v>
      </c>
      <c r="L337" s="1241">
        <v>23173</v>
      </c>
      <c r="M337" s="296"/>
      <c r="N337" s="294"/>
      <c r="O337" s="1357">
        <v>1000</v>
      </c>
      <c r="P337" s="295">
        <v>1</v>
      </c>
      <c r="Q337" s="298">
        <f t="shared" si="68"/>
        <v>1000</v>
      </c>
      <c r="R337" s="299"/>
      <c r="S337" s="298"/>
      <c r="T337" s="298"/>
      <c r="U337" s="298"/>
      <c r="V337" s="298"/>
      <c r="W337" s="298">
        <v>1000</v>
      </c>
      <c r="X337" s="1179"/>
      <c r="Y337" s="1154"/>
      <c r="Z337" s="1152"/>
      <c r="AA337" s="1152"/>
      <c r="AB337" s="1152"/>
      <c r="AC337" s="1152"/>
      <c r="AD337" s="1152"/>
      <c r="AE337" s="1152"/>
      <c r="AF337" s="1152"/>
      <c r="AG337" s="1282">
        <f t="shared" si="67"/>
        <v>1000</v>
      </c>
    </row>
    <row r="338" spans="1:33" s="280" customFormat="1" ht="43.5" customHeight="1">
      <c r="A338" s="294">
        <v>2233</v>
      </c>
      <c r="B338" s="291" t="s">
        <v>1035</v>
      </c>
      <c r="C338" s="291" t="s">
        <v>897</v>
      </c>
      <c r="D338" s="821"/>
      <c r="E338" s="294">
        <v>2</v>
      </c>
      <c r="F338" s="293">
        <v>43318</v>
      </c>
      <c r="G338" s="293">
        <v>43321</v>
      </c>
      <c r="H338" s="293" t="s">
        <v>895</v>
      </c>
      <c r="I338" s="294" t="s">
        <v>867</v>
      </c>
      <c r="J338" s="307" t="s">
        <v>169</v>
      </c>
      <c r="K338" s="326" t="s">
        <v>888</v>
      </c>
      <c r="L338" s="1241">
        <v>23174</v>
      </c>
      <c r="M338" s="296"/>
      <c r="N338" s="294"/>
      <c r="O338" s="1357">
        <v>1000</v>
      </c>
      <c r="P338" s="295">
        <v>20</v>
      </c>
      <c r="Q338" s="298">
        <f t="shared" si="68"/>
        <v>20000</v>
      </c>
      <c r="R338" s="299"/>
      <c r="S338" s="298"/>
      <c r="T338" s="298"/>
      <c r="U338" s="298"/>
      <c r="V338" s="298"/>
      <c r="W338" s="298"/>
      <c r="X338" s="1179">
        <v>20000</v>
      </c>
      <c r="Y338" s="1154"/>
      <c r="Z338" s="1152"/>
      <c r="AA338" s="1152"/>
      <c r="AB338" s="1152"/>
      <c r="AC338" s="1152"/>
      <c r="AD338" s="1152"/>
      <c r="AE338" s="1152"/>
      <c r="AF338" s="1152"/>
      <c r="AG338" s="1282">
        <f t="shared" si="67"/>
        <v>20000</v>
      </c>
    </row>
    <row r="339" spans="1:33" s="280" customFormat="1" ht="31.5">
      <c r="A339" s="294">
        <v>2233</v>
      </c>
      <c r="B339" s="291" t="s">
        <v>1036</v>
      </c>
      <c r="C339" s="291" t="s">
        <v>894</v>
      </c>
      <c r="D339" s="821"/>
      <c r="E339" s="294">
        <v>2</v>
      </c>
      <c r="F339" s="293" t="s">
        <v>899</v>
      </c>
      <c r="G339" s="293" t="s">
        <v>900</v>
      </c>
      <c r="H339" s="293" t="s">
        <v>895</v>
      </c>
      <c r="I339" s="294" t="s">
        <v>169</v>
      </c>
      <c r="J339" s="307" t="s">
        <v>867</v>
      </c>
      <c r="K339" s="326" t="s">
        <v>896</v>
      </c>
      <c r="L339" s="1241">
        <v>23173</v>
      </c>
      <c r="M339" s="296"/>
      <c r="N339" s="294"/>
      <c r="O339" s="1357">
        <v>1000</v>
      </c>
      <c r="P339" s="295">
        <v>1</v>
      </c>
      <c r="Q339" s="298">
        <f t="shared" si="68"/>
        <v>1000</v>
      </c>
      <c r="R339" s="299"/>
      <c r="S339" s="298"/>
      <c r="T339" s="298"/>
      <c r="U339" s="298"/>
      <c r="V339" s="298"/>
      <c r="W339" s="298"/>
      <c r="X339" s="1179">
        <v>1000</v>
      </c>
      <c r="Y339" s="1154"/>
      <c r="Z339" s="1152"/>
      <c r="AA339" s="1152"/>
      <c r="AB339" s="1152"/>
      <c r="AC339" s="1152"/>
      <c r="AD339" s="1152"/>
      <c r="AE339" s="1152"/>
      <c r="AF339" s="1152"/>
      <c r="AG339" s="1282">
        <f t="shared" si="67"/>
        <v>1000</v>
      </c>
    </row>
    <row r="340" spans="1:33" s="280" customFormat="1" ht="42.75" customHeight="1">
      <c r="A340" s="294">
        <v>2233</v>
      </c>
      <c r="B340" s="291" t="s">
        <v>1037</v>
      </c>
      <c r="C340" s="291" t="s">
        <v>901</v>
      </c>
      <c r="D340" s="821"/>
      <c r="E340" s="1363">
        <v>30</v>
      </c>
      <c r="F340" s="293" t="s">
        <v>902</v>
      </c>
      <c r="G340" s="293">
        <v>43359</v>
      </c>
      <c r="H340" s="293" t="s">
        <v>895</v>
      </c>
      <c r="I340" s="294" t="s">
        <v>867</v>
      </c>
      <c r="J340" s="307" t="s">
        <v>169</v>
      </c>
      <c r="K340" s="326" t="s">
        <v>888</v>
      </c>
      <c r="L340" s="1241">
        <v>23174</v>
      </c>
      <c r="M340" s="296"/>
      <c r="N340" s="294"/>
      <c r="O340" s="1357">
        <v>440</v>
      </c>
      <c r="P340" s="295">
        <v>200</v>
      </c>
      <c r="Q340" s="298">
        <f t="shared" si="68"/>
        <v>88000</v>
      </c>
      <c r="R340" s="299"/>
      <c r="S340" s="298"/>
      <c r="T340" s="298"/>
      <c r="U340" s="298"/>
      <c r="V340" s="298"/>
      <c r="W340" s="298"/>
      <c r="X340" s="1179"/>
      <c r="Y340" s="1154">
        <v>88000</v>
      </c>
      <c r="Z340" s="1152"/>
      <c r="AA340" s="1152"/>
      <c r="AB340" s="1152"/>
      <c r="AC340" s="1152"/>
      <c r="AD340" s="1152"/>
      <c r="AE340" s="1152"/>
      <c r="AF340" s="1152"/>
      <c r="AG340" s="1282">
        <f t="shared" si="67"/>
        <v>88000</v>
      </c>
    </row>
    <row r="341" spans="1:33" s="280" customFormat="1" ht="31.5">
      <c r="A341" s="294">
        <v>2234</v>
      </c>
      <c r="B341" s="820" t="s">
        <v>1038</v>
      </c>
      <c r="C341" s="291" t="s">
        <v>846</v>
      </c>
      <c r="D341" s="821"/>
      <c r="E341" s="295">
        <v>45</v>
      </c>
      <c r="F341" s="293">
        <v>43200</v>
      </c>
      <c r="G341" s="293">
        <v>43245</v>
      </c>
      <c r="H341" s="293" t="s">
        <v>368</v>
      </c>
      <c r="I341" s="294" t="s">
        <v>174</v>
      </c>
      <c r="J341" s="307" t="s">
        <v>169</v>
      </c>
      <c r="K341" s="326" t="s">
        <v>847</v>
      </c>
      <c r="L341" s="1241">
        <v>23173</v>
      </c>
      <c r="M341" s="296"/>
      <c r="N341" s="294"/>
      <c r="O341" s="355">
        <v>80</v>
      </c>
      <c r="P341" s="294">
        <v>3</v>
      </c>
      <c r="Q341" s="355">
        <f>O341*P341</f>
        <v>240</v>
      </c>
      <c r="R341" s="299"/>
      <c r="S341" s="298"/>
      <c r="T341" s="298"/>
      <c r="U341" s="298"/>
      <c r="V341" s="294">
        <v>240</v>
      </c>
      <c r="W341" s="298"/>
      <c r="X341" s="1179"/>
      <c r="Y341" s="1154"/>
      <c r="Z341" s="1152"/>
      <c r="AA341" s="1152"/>
      <c r="AB341" s="1152"/>
      <c r="AC341" s="1152"/>
      <c r="AD341" s="1152"/>
      <c r="AE341" s="1152"/>
      <c r="AF341" s="1152"/>
      <c r="AG341" s="1282">
        <f t="shared" si="67"/>
        <v>240</v>
      </c>
    </row>
    <row r="342" spans="1:33" s="280" customFormat="1">
      <c r="A342" s="1275">
        <v>224</v>
      </c>
      <c r="B342" s="823" t="s">
        <v>905</v>
      </c>
      <c r="C342" s="1506"/>
      <c r="D342" s="1365"/>
      <c r="E342" s="1365"/>
      <c r="F342" s="1365"/>
      <c r="G342" s="1365"/>
      <c r="H342" s="1365"/>
      <c r="I342" s="1366"/>
      <c r="J342" s="1489"/>
      <c r="K342" s="1001"/>
      <c r="L342" s="1242"/>
      <c r="M342" s="514"/>
      <c r="N342" s="512"/>
      <c r="O342" s="1367"/>
      <c r="P342" s="513"/>
      <c r="Q342" s="548">
        <f>SUM(Q343:Q344)</f>
        <v>22240</v>
      </c>
      <c r="R342" s="1097"/>
      <c r="S342" s="548">
        <f t="shared" ref="S342:AF342" si="69">SUM(S343:S344)</f>
        <v>0</v>
      </c>
      <c r="T342" s="548">
        <f t="shared" si="69"/>
        <v>0</v>
      </c>
      <c r="U342" s="548">
        <f t="shared" si="69"/>
        <v>240</v>
      </c>
      <c r="V342" s="548">
        <f t="shared" si="69"/>
        <v>0</v>
      </c>
      <c r="W342" s="548">
        <f t="shared" si="69"/>
        <v>0</v>
      </c>
      <c r="X342" s="548">
        <f t="shared" si="69"/>
        <v>11000</v>
      </c>
      <c r="Y342" s="548">
        <f t="shared" si="69"/>
        <v>11000</v>
      </c>
      <c r="Z342" s="548">
        <f t="shared" si="69"/>
        <v>0</v>
      </c>
      <c r="AA342" s="548">
        <f t="shared" si="69"/>
        <v>0</v>
      </c>
      <c r="AB342" s="548">
        <f t="shared" si="69"/>
        <v>0</v>
      </c>
      <c r="AC342" s="548">
        <f t="shared" si="69"/>
        <v>0</v>
      </c>
      <c r="AD342" s="548">
        <f t="shared" si="69"/>
        <v>0</v>
      </c>
      <c r="AE342" s="548">
        <f t="shared" si="69"/>
        <v>0</v>
      </c>
      <c r="AF342" s="548">
        <f t="shared" si="69"/>
        <v>0</v>
      </c>
      <c r="AG342" s="548">
        <f>SUM(S342:AF342)</f>
        <v>22240</v>
      </c>
    </row>
    <row r="343" spans="1:33" s="280" customFormat="1">
      <c r="A343" s="294">
        <v>2241</v>
      </c>
      <c r="B343" s="291" t="s">
        <v>906</v>
      </c>
      <c r="C343" s="291" t="s">
        <v>907</v>
      </c>
      <c r="D343" s="821"/>
      <c r="E343" s="1363">
        <v>20</v>
      </c>
      <c r="F343" s="293">
        <v>43212</v>
      </c>
      <c r="G343" s="293">
        <v>43231</v>
      </c>
      <c r="H343" s="293" t="s">
        <v>368</v>
      </c>
      <c r="I343" s="294" t="s">
        <v>169</v>
      </c>
      <c r="J343" s="307" t="s">
        <v>174</v>
      </c>
      <c r="K343" s="326" t="s">
        <v>847</v>
      </c>
      <c r="L343" s="1241">
        <v>23173</v>
      </c>
      <c r="M343" s="296"/>
      <c r="N343" s="294"/>
      <c r="O343" s="1357">
        <v>80</v>
      </c>
      <c r="P343" s="295">
        <v>3</v>
      </c>
      <c r="Q343" s="298">
        <f>O343*P343</f>
        <v>240</v>
      </c>
      <c r="R343" s="299"/>
      <c r="S343" s="298"/>
      <c r="T343" s="298"/>
      <c r="U343" s="298">
        <v>240</v>
      </c>
      <c r="V343" s="315"/>
      <c r="W343" s="298"/>
      <c r="X343" s="1179"/>
      <c r="Y343" s="1154"/>
      <c r="Z343" s="1152"/>
      <c r="AA343" s="1152"/>
      <c r="AB343" s="1152"/>
      <c r="AC343" s="1152"/>
      <c r="AD343" s="1152"/>
      <c r="AE343" s="1152"/>
      <c r="AF343" s="1152"/>
      <c r="AG343" s="1282">
        <f>SUM(S343:AF343)</f>
        <v>240</v>
      </c>
    </row>
    <row r="344" spans="1:33" s="280" customFormat="1" ht="31.5">
      <c r="A344" s="294">
        <v>2241</v>
      </c>
      <c r="B344" s="291" t="s">
        <v>906</v>
      </c>
      <c r="C344" s="291" t="s">
        <v>908</v>
      </c>
      <c r="D344" s="821"/>
      <c r="E344" s="1363">
        <v>115</v>
      </c>
      <c r="F344" s="293">
        <v>43232</v>
      </c>
      <c r="G344" s="293">
        <v>43346</v>
      </c>
      <c r="H344" s="293" t="s">
        <v>368</v>
      </c>
      <c r="I344" s="294" t="s">
        <v>174</v>
      </c>
      <c r="J344" s="307" t="s">
        <v>169</v>
      </c>
      <c r="K344" s="326" t="s">
        <v>365</v>
      </c>
      <c r="L344" s="1237">
        <v>2313</v>
      </c>
      <c r="M344" s="296"/>
      <c r="N344" s="294"/>
      <c r="O344" s="1357">
        <v>22000</v>
      </c>
      <c r="P344" s="295">
        <v>1</v>
      </c>
      <c r="Q344" s="298">
        <f>O344*P344</f>
        <v>22000</v>
      </c>
      <c r="R344" s="299"/>
      <c r="S344" s="298"/>
      <c r="T344" s="298"/>
      <c r="U344" s="298"/>
      <c r="V344" s="298"/>
      <c r="W344" s="298"/>
      <c r="X344" s="1179">
        <v>11000</v>
      </c>
      <c r="Y344" s="1154">
        <v>11000</v>
      </c>
      <c r="Z344" s="1152"/>
      <c r="AA344" s="1152"/>
      <c r="AB344" s="1152"/>
      <c r="AC344" s="1152"/>
      <c r="AD344" s="1152"/>
      <c r="AE344" s="1152"/>
      <c r="AF344" s="1152"/>
      <c r="AG344" s="1282">
        <f>SUM(S344:AF344)</f>
        <v>22000</v>
      </c>
    </row>
    <row r="345" spans="1:33" ht="37.5" customHeight="1">
      <c r="A345" s="1248" t="s">
        <v>240</v>
      </c>
      <c r="B345" s="274"/>
      <c r="C345" s="278"/>
      <c r="D345" s="1270"/>
      <c r="E345" s="1270"/>
      <c r="F345" s="1270"/>
      <c r="G345" s="1270"/>
      <c r="H345" s="1270"/>
      <c r="I345" s="1270"/>
      <c r="J345" s="273"/>
      <c r="K345" s="1248"/>
      <c r="L345" s="1269"/>
      <c r="M345" s="1270"/>
      <c r="N345" s="1268"/>
      <c r="O345" s="1271"/>
      <c r="P345" s="1268"/>
      <c r="Q345" s="1272">
        <f>Q346+Q349+Q353+Q356+Q358</f>
        <v>88428.093760000003</v>
      </c>
      <c r="R345" s="1272">
        <v>88428.09</v>
      </c>
      <c r="S345" s="1272">
        <f t="shared" ref="S345:AF345" si="70">S346+S349+S353+S356+S358</f>
        <v>0</v>
      </c>
      <c r="T345" s="1272">
        <f t="shared" si="70"/>
        <v>0</v>
      </c>
      <c r="U345" s="1272">
        <f t="shared" si="70"/>
        <v>55613.093760000011</v>
      </c>
      <c r="V345" s="1272">
        <f t="shared" si="70"/>
        <v>32815</v>
      </c>
      <c r="W345" s="1272">
        <f t="shared" si="70"/>
        <v>0</v>
      </c>
      <c r="X345" s="1272">
        <f t="shared" si="70"/>
        <v>0</v>
      </c>
      <c r="Y345" s="1272">
        <f t="shared" si="70"/>
        <v>0</v>
      </c>
      <c r="Z345" s="276">
        <f t="shared" si="70"/>
        <v>0</v>
      </c>
      <c r="AA345" s="276">
        <f t="shared" si="70"/>
        <v>0</v>
      </c>
      <c r="AB345" s="276">
        <f t="shared" si="70"/>
        <v>0</v>
      </c>
      <c r="AC345" s="276">
        <f t="shared" si="70"/>
        <v>0</v>
      </c>
      <c r="AD345" s="276">
        <f t="shared" si="70"/>
        <v>0</v>
      </c>
      <c r="AE345" s="276">
        <f t="shared" si="70"/>
        <v>0</v>
      </c>
      <c r="AF345" s="276">
        <f t="shared" si="70"/>
        <v>0</v>
      </c>
      <c r="AG345" s="1272">
        <f>AG346+AG349+AG353+AG356+AG358</f>
        <v>88428.093760000003</v>
      </c>
    </row>
    <row r="346" spans="1:33" ht="16.5" customHeight="1">
      <c r="A346" s="1275">
        <v>231</v>
      </c>
      <c r="B346" s="359" t="s">
        <v>511</v>
      </c>
      <c r="C346" s="1021"/>
      <c r="D346" s="1280"/>
      <c r="E346" s="1280"/>
      <c r="F346" s="1280"/>
      <c r="G346" s="1280"/>
      <c r="H346" s="1280"/>
      <c r="I346" s="1280"/>
      <c r="J346" s="283"/>
      <c r="K346" s="1278"/>
      <c r="L346" s="1279"/>
      <c r="M346" s="1280"/>
      <c r="N346" s="1277"/>
      <c r="O346" s="1281"/>
      <c r="P346" s="1277"/>
      <c r="Q346" s="1282">
        <f>SUM(Q347:Q348)</f>
        <v>45378.293760000008</v>
      </c>
      <c r="R346" s="287"/>
      <c r="S346" s="1282">
        <f t="shared" ref="S346:AF346" si="71">SUM(S347:S348)</f>
        <v>0</v>
      </c>
      <c r="T346" s="1282">
        <f t="shared" si="71"/>
        <v>0</v>
      </c>
      <c r="U346" s="1282">
        <f t="shared" si="71"/>
        <v>45378.293760000008</v>
      </c>
      <c r="V346" s="1282">
        <f t="shared" si="71"/>
        <v>0</v>
      </c>
      <c r="W346" s="1282">
        <f t="shared" si="71"/>
        <v>0</v>
      </c>
      <c r="X346" s="1282">
        <f t="shared" si="71"/>
        <v>0</v>
      </c>
      <c r="Y346" s="1282">
        <f t="shared" si="71"/>
        <v>0</v>
      </c>
      <c r="Z346" s="546">
        <f t="shared" si="71"/>
        <v>0</v>
      </c>
      <c r="AA346" s="546">
        <f t="shared" si="71"/>
        <v>0</v>
      </c>
      <c r="AB346" s="546">
        <f t="shared" si="71"/>
        <v>0</v>
      </c>
      <c r="AC346" s="546">
        <f t="shared" si="71"/>
        <v>0</v>
      </c>
      <c r="AD346" s="546">
        <f t="shared" si="71"/>
        <v>0</v>
      </c>
      <c r="AE346" s="546">
        <f t="shared" si="71"/>
        <v>0</v>
      </c>
      <c r="AF346" s="546">
        <f t="shared" si="71"/>
        <v>0</v>
      </c>
      <c r="AG346" s="1282">
        <f t="shared" ref="AG346:AG359" si="72">SUM(S346:AF346)</f>
        <v>45378.293760000008</v>
      </c>
    </row>
    <row r="347" spans="1:33" ht="31.5">
      <c r="A347" s="294">
        <v>2311</v>
      </c>
      <c r="B347" s="481" t="s">
        <v>512</v>
      </c>
      <c r="C347" s="1084" t="s">
        <v>513</v>
      </c>
      <c r="D347" s="506" t="s">
        <v>514</v>
      </c>
      <c r="E347" s="506">
        <v>150</v>
      </c>
      <c r="F347" s="1368">
        <v>43193</v>
      </c>
      <c r="G347" s="1368">
        <f>E347+F347</f>
        <v>43343</v>
      </c>
      <c r="H347" s="506" t="s">
        <v>515</v>
      </c>
      <c r="I347" s="506" t="s">
        <v>516</v>
      </c>
      <c r="J347" s="482" t="s">
        <v>517</v>
      </c>
      <c r="K347" s="1369" t="s">
        <v>518</v>
      </c>
      <c r="L347" s="1244">
        <v>23173</v>
      </c>
      <c r="M347" s="506"/>
      <c r="N347" s="506" t="s">
        <v>366</v>
      </c>
      <c r="O347" s="517">
        <v>0.12</v>
      </c>
      <c r="P347" s="486">
        <v>52301.824000000001</v>
      </c>
      <c r="Q347" s="517">
        <f>O347*P347</f>
        <v>6276.2188799999994</v>
      </c>
      <c r="R347" s="486"/>
      <c r="S347" s="487"/>
      <c r="T347" s="488"/>
      <c r="U347" s="487">
        <v>6276.2188799999994</v>
      </c>
      <c r="V347" s="487"/>
      <c r="W347" s="487"/>
      <c r="X347" s="1138"/>
      <c r="Y347" s="1156"/>
      <c r="Z347" s="1124"/>
      <c r="AA347" s="1124"/>
      <c r="AB347" s="1124"/>
      <c r="AC347" s="1124"/>
      <c r="AD347" s="1124"/>
      <c r="AE347" s="1124"/>
      <c r="AF347" s="1124"/>
      <c r="AG347" s="1282">
        <f t="shared" si="72"/>
        <v>6276.2188799999994</v>
      </c>
    </row>
    <row r="348" spans="1:33" ht="31.5">
      <c r="A348" s="294">
        <v>2312</v>
      </c>
      <c r="B348" s="481" t="s">
        <v>519</v>
      </c>
      <c r="C348" s="1084" t="s">
        <v>520</v>
      </c>
      <c r="D348" s="506" t="s">
        <v>514</v>
      </c>
      <c r="E348" s="506">
        <v>150</v>
      </c>
      <c r="F348" s="1368">
        <v>43193</v>
      </c>
      <c r="G348" s="1368">
        <f>E348+F348</f>
        <v>43343</v>
      </c>
      <c r="H348" s="506" t="s">
        <v>515</v>
      </c>
      <c r="I348" s="506" t="s">
        <v>516</v>
      </c>
      <c r="J348" s="482" t="s">
        <v>517</v>
      </c>
      <c r="K348" s="1369" t="s">
        <v>521</v>
      </c>
      <c r="L348" s="1244">
        <v>23173</v>
      </c>
      <c r="M348" s="1370"/>
      <c r="N348" s="506" t="s">
        <v>366</v>
      </c>
      <c r="O348" s="1371">
        <v>0.11</v>
      </c>
      <c r="P348" s="1372">
        <v>355473.40800000005</v>
      </c>
      <c r="Q348" s="517">
        <f>O348*P348</f>
        <v>39102.074880000007</v>
      </c>
      <c r="R348" s="486"/>
      <c r="S348" s="487"/>
      <c r="T348" s="488"/>
      <c r="U348" s="487">
        <v>39102.074880000007</v>
      </c>
      <c r="V348" s="487"/>
      <c r="W348" s="487"/>
      <c r="X348" s="1138"/>
      <c r="Y348" s="1156"/>
      <c r="Z348" s="1124"/>
      <c r="AA348" s="1124"/>
      <c r="AB348" s="1124"/>
      <c r="AC348" s="1124"/>
      <c r="AD348" s="1124"/>
      <c r="AE348" s="1124"/>
      <c r="AF348" s="1124"/>
      <c r="AG348" s="1282">
        <f t="shared" si="72"/>
        <v>39102.074880000007</v>
      </c>
    </row>
    <row r="349" spans="1:33" ht="31.5">
      <c r="A349" s="1275">
        <v>232</v>
      </c>
      <c r="B349" s="981" t="s">
        <v>522</v>
      </c>
      <c r="C349" s="1507"/>
      <c r="D349" s="1280"/>
      <c r="E349" s="1277"/>
      <c r="F349" s="1277"/>
      <c r="G349" s="1277"/>
      <c r="H349" s="1280"/>
      <c r="I349" s="1277"/>
      <c r="J349" s="283"/>
      <c r="K349" s="1278"/>
      <c r="L349" s="1279"/>
      <c r="M349" s="1280"/>
      <c r="N349" s="1277"/>
      <c r="O349" s="1281"/>
      <c r="P349" s="1277"/>
      <c r="Q349" s="1282">
        <f>SUM(Q350:Q352)</f>
        <v>32475</v>
      </c>
      <c r="R349" s="287"/>
      <c r="S349" s="1282">
        <f t="shared" ref="S349:AF349" si="73">SUM(S350:S352)</f>
        <v>0</v>
      </c>
      <c r="T349" s="1282">
        <f t="shared" si="73"/>
        <v>0</v>
      </c>
      <c r="U349" s="1282">
        <f t="shared" si="73"/>
        <v>0</v>
      </c>
      <c r="V349" s="1282">
        <f t="shared" si="73"/>
        <v>32475</v>
      </c>
      <c r="W349" s="1282">
        <f t="shared" si="73"/>
        <v>0</v>
      </c>
      <c r="X349" s="1282">
        <f t="shared" si="73"/>
        <v>0</v>
      </c>
      <c r="Y349" s="1282">
        <f t="shared" si="73"/>
        <v>0</v>
      </c>
      <c r="Z349" s="546">
        <f t="shared" si="73"/>
        <v>0</v>
      </c>
      <c r="AA349" s="546">
        <f t="shared" si="73"/>
        <v>0</v>
      </c>
      <c r="AB349" s="546">
        <f t="shared" si="73"/>
        <v>0</v>
      </c>
      <c r="AC349" s="546">
        <f t="shared" si="73"/>
        <v>0</v>
      </c>
      <c r="AD349" s="546">
        <f t="shared" si="73"/>
        <v>0</v>
      </c>
      <c r="AE349" s="546">
        <f t="shared" si="73"/>
        <v>0</v>
      </c>
      <c r="AF349" s="546">
        <f t="shared" si="73"/>
        <v>0</v>
      </c>
      <c r="AG349" s="1282">
        <f t="shared" si="72"/>
        <v>32475</v>
      </c>
    </row>
    <row r="350" spans="1:33" ht="69" customHeight="1">
      <c r="A350" s="294">
        <v>2321</v>
      </c>
      <c r="B350" s="481" t="s">
        <v>523</v>
      </c>
      <c r="C350" s="1084" t="s">
        <v>524</v>
      </c>
      <c r="D350" s="506" t="s">
        <v>514</v>
      </c>
      <c r="E350" s="506">
        <v>56</v>
      </c>
      <c r="F350" s="1368">
        <v>43210</v>
      </c>
      <c r="G350" s="1368">
        <f>E350+F350</f>
        <v>43266</v>
      </c>
      <c r="H350" s="506" t="s">
        <v>525</v>
      </c>
      <c r="I350" s="506" t="s">
        <v>526</v>
      </c>
      <c r="J350" s="482" t="s">
        <v>526</v>
      </c>
      <c r="K350" s="1373" t="s">
        <v>527</v>
      </c>
      <c r="L350" s="1244">
        <v>23174</v>
      </c>
      <c r="M350" s="1370"/>
      <c r="N350" s="506" t="s">
        <v>366</v>
      </c>
      <c r="O350" s="1371">
        <v>2104</v>
      </c>
      <c r="P350" s="506">
        <v>12</v>
      </c>
      <c r="Q350" s="517">
        <f>O350*P350</f>
        <v>25248</v>
      </c>
      <c r="R350" s="486"/>
      <c r="S350" s="487"/>
      <c r="T350" s="487"/>
      <c r="U350" s="487"/>
      <c r="V350" s="488">
        <v>25248</v>
      </c>
      <c r="W350" s="487"/>
      <c r="X350" s="1138"/>
      <c r="Y350" s="1156"/>
      <c r="Z350" s="1124"/>
      <c r="AA350" s="1124"/>
      <c r="AB350" s="1124"/>
      <c r="AC350" s="1124"/>
      <c r="AD350" s="1124"/>
      <c r="AE350" s="1124"/>
      <c r="AF350" s="1124"/>
      <c r="AG350" s="1282">
        <f t="shared" si="72"/>
        <v>25248</v>
      </c>
    </row>
    <row r="351" spans="1:33" ht="47.25">
      <c r="A351" s="294">
        <v>2322</v>
      </c>
      <c r="B351" s="481" t="s">
        <v>523</v>
      </c>
      <c r="C351" s="1084" t="s">
        <v>528</v>
      </c>
      <c r="D351" s="506" t="s">
        <v>514</v>
      </c>
      <c r="E351" s="506">
        <v>56</v>
      </c>
      <c r="F351" s="1368">
        <v>43210</v>
      </c>
      <c r="G351" s="1368">
        <f>E351+F351</f>
        <v>43266</v>
      </c>
      <c r="H351" s="506" t="s">
        <v>529</v>
      </c>
      <c r="I351" s="506" t="s">
        <v>526</v>
      </c>
      <c r="J351" s="482" t="s">
        <v>295</v>
      </c>
      <c r="K351" s="1373" t="s">
        <v>530</v>
      </c>
      <c r="L351" s="1244">
        <v>23174</v>
      </c>
      <c r="M351" s="1370"/>
      <c r="N351" s="506" t="s">
        <v>366</v>
      </c>
      <c r="O351" s="1371">
        <v>6440</v>
      </c>
      <c r="P351" s="506">
        <v>1</v>
      </c>
      <c r="Q351" s="517">
        <f>O351*P351</f>
        <v>6440</v>
      </c>
      <c r="R351" s="486"/>
      <c r="S351" s="487"/>
      <c r="T351" s="487"/>
      <c r="U351" s="487"/>
      <c r="V351" s="488">
        <v>6440</v>
      </c>
      <c r="W351" s="487"/>
      <c r="X351" s="1138"/>
      <c r="Y351" s="1156"/>
      <c r="Z351" s="1124"/>
      <c r="AA351" s="1124"/>
      <c r="AB351" s="1124"/>
      <c r="AC351" s="1124"/>
      <c r="AD351" s="1124"/>
      <c r="AE351" s="1124"/>
      <c r="AF351" s="1124"/>
      <c r="AG351" s="1282">
        <f t="shared" si="72"/>
        <v>6440</v>
      </c>
    </row>
    <row r="352" spans="1:33" ht="47.25">
      <c r="A352" s="294">
        <v>2322</v>
      </c>
      <c r="B352" s="481" t="s">
        <v>523</v>
      </c>
      <c r="C352" s="1084" t="s">
        <v>531</v>
      </c>
      <c r="D352" s="506" t="s">
        <v>514</v>
      </c>
      <c r="E352" s="506">
        <v>56</v>
      </c>
      <c r="F352" s="1368">
        <v>43210</v>
      </c>
      <c r="G352" s="1368">
        <f>E352+F352</f>
        <v>43266</v>
      </c>
      <c r="H352" s="506" t="s">
        <v>529</v>
      </c>
      <c r="I352" s="506" t="s">
        <v>526</v>
      </c>
      <c r="J352" s="482" t="s">
        <v>532</v>
      </c>
      <c r="K352" s="1373" t="s">
        <v>533</v>
      </c>
      <c r="L352" s="1244">
        <v>23172</v>
      </c>
      <c r="M352" s="1370"/>
      <c r="N352" s="506" t="s">
        <v>366</v>
      </c>
      <c r="O352" s="1371">
        <v>787</v>
      </c>
      <c r="P352" s="506">
        <v>1</v>
      </c>
      <c r="Q352" s="517">
        <f>O352*P352</f>
        <v>787</v>
      </c>
      <c r="R352" s="486"/>
      <c r="S352" s="487"/>
      <c r="T352" s="487"/>
      <c r="U352" s="487"/>
      <c r="V352" s="488">
        <v>787</v>
      </c>
      <c r="W352" s="487"/>
      <c r="X352" s="1138"/>
      <c r="Y352" s="1156"/>
      <c r="Z352" s="1124"/>
      <c r="AA352" s="1124"/>
      <c r="AB352" s="1124"/>
      <c r="AC352" s="1124"/>
      <c r="AD352" s="1124"/>
      <c r="AE352" s="1124"/>
      <c r="AF352" s="1124"/>
      <c r="AG352" s="1282">
        <f t="shared" si="72"/>
        <v>787</v>
      </c>
    </row>
    <row r="353" spans="1:33" ht="16.5" customHeight="1">
      <c r="A353" s="1275">
        <v>233</v>
      </c>
      <c r="B353" s="981" t="s">
        <v>534</v>
      </c>
      <c r="C353" s="1507"/>
      <c r="D353" s="1277"/>
      <c r="E353" s="1277"/>
      <c r="F353" s="1277"/>
      <c r="G353" s="1277"/>
      <c r="H353" s="1280"/>
      <c r="I353" s="1277"/>
      <c r="J353" s="283"/>
      <c r="K353" s="1278"/>
      <c r="L353" s="1279"/>
      <c r="M353" s="1280"/>
      <c r="N353" s="1277"/>
      <c r="O353" s="1281"/>
      <c r="P353" s="1277"/>
      <c r="Q353" s="1282">
        <f>SUM(Q354:Q355)</f>
        <v>3957.8</v>
      </c>
      <c r="R353" s="287"/>
      <c r="S353" s="1282">
        <f t="shared" ref="S353:AF353" si="74">SUM(S354:S355)</f>
        <v>0</v>
      </c>
      <c r="T353" s="1282">
        <f t="shared" si="74"/>
        <v>0</v>
      </c>
      <c r="U353" s="1282">
        <f t="shared" si="74"/>
        <v>3957.8</v>
      </c>
      <c r="V353" s="1282">
        <f t="shared" si="74"/>
        <v>0</v>
      </c>
      <c r="W353" s="1282">
        <f t="shared" si="74"/>
        <v>0</v>
      </c>
      <c r="X353" s="1282">
        <f t="shared" si="74"/>
        <v>0</v>
      </c>
      <c r="Y353" s="1282">
        <f t="shared" si="74"/>
        <v>0</v>
      </c>
      <c r="Z353" s="546">
        <f t="shared" si="74"/>
        <v>0</v>
      </c>
      <c r="AA353" s="546">
        <f t="shared" si="74"/>
        <v>0</v>
      </c>
      <c r="AB353" s="546">
        <f t="shared" si="74"/>
        <v>0</v>
      </c>
      <c r="AC353" s="546">
        <f t="shared" si="74"/>
        <v>0</v>
      </c>
      <c r="AD353" s="546">
        <f t="shared" si="74"/>
        <v>0</v>
      </c>
      <c r="AE353" s="546">
        <f t="shared" si="74"/>
        <v>0</v>
      </c>
      <c r="AF353" s="546">
        <f t="shared" si="74"/>
        <v>0</v>
      </c>
      <c r="AG353" s="1282">
        <f t="shared" si="72"/>
        <v>3957.8</v>
      </c>
    </row>
    <row r="354" spans="1:33">
      <c r="A354" s="294">
        <v>2331</v>
      </c>
      <c r="B354" s="481" t="s">
        <v>535</v>
      </c>
      <c r="C354" s="1084" t="s">
        <v>536</v>
      </c>
      <c r="D354" s="506" t="s">
        <v>514</v>
      </c>
      <c r="E354" s="506">
        <v>6</v>
      </c>
      <c r="F354" s="1374">
        <v>43233</v>
      </c>
      <c r="G354" s="1368">
        <f>E354+F354</f>
        <v>43239</v>
      </c>
      <c r="H354" s="506" t="s">
        <v>525</v>
      </c>
      <c r="I354" s="1375" t="s">
        <v>526</v>
      </c>
      <c r="J354" s="502" t="s">
        <v>537</v>
      </c>
      <c r="K354" s="1373" t="s">
        <v>527</v>
      </c>
      <c r="L354" s="1244">
        <v>23174</v>
      </c>
      <c r="M354" s="1376"/>
      <c r="N354" s="506" t="s">
        <v>366</v>
      </c>
      <c r="O354" s="1371">
        <v>3477.8</v>
      </c>
      <c r="P354" s="506">
        <v>1</v>
      </c>
      <c r="Q354" s="517">
        <f>O354*P354</f>
        <v>3477.8</v>
      </c>
      <c r="R354" s="486"/>
      <c r="S354" s="487"/>
      <c r="T354" s="487"/>
      <c r="U354" s="488">
        <v>3477.8</v>
      </c>
      <c r="V354" s="487"/>
      <c r="W354" s="487"/>
      <c r="X354" s="1138"/>
      <c r="Y354" s="1156"/>
      <c r="Z354" s="1156"/>
      <c r="AA354" s="1156"/>
      <c r="AB354" s="1156"/>
      <c r="AC354" s="1156"/>
      <c r="AD354" s="1156"/>
      <c r="AE354" s="1156"/>
      <c r="AF354" s="1156"/>
      <c r="AG354" s="1282">
        <f t="shared" si="72"/>
        <v>3477.8</v>
      </c>
    </row>
    <row r="355" spans="1:33">
      <c r="A355" s="294">
        <v>2332</v>
      </c>
      <c r="B355" s="481" t="s">
        <v>535</v>
      </c>
      <c r="C355" s="1084" t="s">
        <v>536</v>
      </c>
      <c r="D355" s="506" t="s">
        <v>514</v>
      </c>
      <c r="E355" s="506">
        <v>4</v>
      </c>
      <c r="F355" s="1374">
        <v>43234</v>
      </c>
      <c r="G355" s="1368">
        <f>E355+F355</f>
        <v>43238</v>
      </c>
      <c r="H355" s="506" t="s">
        <v>525</v>
      </c>
      <c r="I355" s="1375" t="s">
        <v>526</v>
      </c>
      <c r="J355" s="2266" t="s">
        <v>537</v>
      </c>
      <c r="K355" s="1705" t="s">
        <v>538</v>
      </c>
      <c r="L355" s="2267">
        <v>23172</v>
      </c>
      <c r="M355" s="1370"/>
      <c r="N355" s="506" t="s">
        <v>366</v>
      </c>
      <c r="O355" s="1371">
        <v>480</v>
      </c>
      <c r="P355" s="506">
        <v>1</v>
      </c>
      <c r="Q355" s="517">
        <f>O355*P355</f>
        <v>480</v>
      </c>
      <c r="R355" s="486"/>
      <c r="S355" s="487"/>
      <c r="T355" s="487"/>
      <c r="U355" s="488">
        <v>480</v>
      </c>
      <c r="V355" s="487"/>
      <c r="W355" s="487"/>
      <c r="X355" s="1138"/>
      <c r="Y355" s="1156"/>
      <c r="Z355" s="1156"/>
      <c r="AA355" s="1156"/>
      <c r="AB355" s="1156"/>
      <c r="AC355" s="1156"/>
      <c r="AD355" s="1156"/>
      <c r="AE355" s="1156"/>
      <c r="AF355" s="1156"/>
      <c r="AG355" s="1282">
        <f t="shared" si="72"/>
        <v>480</v>
      </c>
    </row>
    <row r="356" spans="1:33" ht="35.25" customHeight="1">
      <c r="A356" s="1275">
        <v>234</v>
      </c>
      <c r="B356" s="981" t="s">
        <v>539</v>
      </c>
      <c r="C356" s="1507"/>
      <c r="D356" s="1280"/>
      <c r="E356" s="1277"/>
      <c r="F356" s="1277"/>
      <c r="G356" s="1277"/>
      <c r="H356" s="1280"/>
      <c r="I356" s="1277"/>
      <c r="J356" s="283"/>
      <c r="K356" s="2181"/>
      <c r="L356" s="1279"/>
      <c r="M356" s="1280"/>
      <c r="N356" s="1277"/>
      <c r="O356" s="1281"/>
      <c r="P356" s="1277"/>
      <c r="Q356" s="1282">
        <f>SUM(Q357)</f>
        <v>6277</v>
      </c>
      <c r="R356" s="287"/>
      <c r="S356" s="1282">
        <f t="shared" ref="S356:AF356" si="75">SUM(S357)</f>
        <v>0</v>
      </c>
      <c r="T356" s="1282">
        <f t="shared" si="75"/>
        <v>0</v>
      </c>
      <c r="U356" s="1282">
        <f t="shared" si="75"/>
        <v>6277</v>
      </c>
      <c r="V356" s="1282">
        <f t="shared" si="75"/>
        <v>0</v>
      </c>
      <c r="W356" s="1282">
        <f t="shared" si="75"/>
        <v>0</v>
      </c>
      <c r="X356" s="1282">
        <f t="shared" si="75"/>
        <v>0</v>
      </c>
      <c r="Y356" s="1282">
        <f t="shared" si="75"/>
        <v>0</v>
      </c>
      <c r="Z356" s="546">
        <f t="shared" si="75"/>
        <v>0</v>
      </c>
      <c r="AA356" s="546">
        <f t="shared" si="75"/>
        <v>0</v>
      </c>
      <c r="AB356" s="546">
        <f t="shared" si="75"/>
        <v>0</v>
      </c>
      <c r="AC356" s="546">
        <f t="shared" si="75"/>
        <v>0</v>
      </c>
      <c r="AD356" s="546">
        <f t="shared" si="75"/>
        <v>0</v>
      </c>
      <c r="AE356" s="546">
        <f t="shared" si="75"/>
        <v>0</v>
      </c>
      <c r="AF356" s="546">
        <f t="shared" si="75"/>
        <v>0</v>
      </c>
      <c r="AG356" s="1282">
        <f t="shared" si="72"/>
        <v>6277</v>
      </c>
    </row>
    <row r="357" spans="1:33" ht="47.25">
      <c r="A357" s="328">
        <v>2341</v>
      </c>
      <c r="B357" s="497" t="s">
        <v>540</v>
      </c>
      <c r="C357" s="1085" t="s">
        <v>541</v>
      </c>
      <c r="D357" s="1377" t="s">
        <v>542</v>
      </c>
      <c r="E357" s="1375">
        <v>135</v>
      </c>
      <c r="F357" s="1374">
        <v>43193</v>
      </c>
      <c r="G357" s="1374">
        <f>E357+F357</f>
        <v>43328</v>
      </c>
      <c r="H357" s="1375" t="s">
        <v>525</v>
      </c>
      <c r="I357" s="1375" t="s">
        <v>169</v>
      </c>
      <c r="J357" s="482" t="s">
        <v>526</v>
      </c>
      <c r="K357" s="1373" t="s">
        <v>543</v>
      </c>
      <c r="L357" s="1244">
        <v>2463</v>
      </c>
      <c r="M357" s="1370"/>
      <c r="N357" s="506" t="s">
        <v>366</v>
      </c>
      <c r="O357" s="1371">
        <v>6277</v>
      </c>
      <c r="P357" s="569">
        <v>1</v>
      </c>
      <c r="Q357" s="517">
        <f>O357*P357</f>
        <v>6277</v>
      </c>
      <c r="R357" s="486"/>
      <c r="S357" s="487"/>
      <c r="T357" s="488"/>
      <c r="U357" s="487">
        <v>6277</v>
      </c>
      <c r="V357" s="487"/>
      <c r="W357" s="487"/>
      <c r="X357" s="1138"/>
      <c r="Y357" s="1156"/>
      <c r="Z357" s="1156"/>
      <c r="AA357" s="1156"/>
      <c r="AB357" s="1156"/>
      <c r="AC357" s="1156"/>
      <c r="AD357" s="1156"/>
      <c r="AE357" s="1156"/>
      <c r="AF357" s="1156"/>
      <c r="AG357" s="1282">
        <f t="shared" si="72"/>
        <v>6277</v>
      </c>
    </row>
    <row r="358" spans="1:33">
      <c r="A358" s="1275">
        <v>235</v>
      </c>
      <c r="B358" s="981" t="s">
        <v>544</v>
      </c>
      <c r="C358" s="1508"/>
      <c r="D358" s="822"/>
      <c r="E358" s="1275"/>
      <c r="F358" s="511"/>
      <c r="G358" s="511"/>
      <c r="H358" s="511"/>
      <c r="I358" s="512"/>
      <c r="J358" s="1490"/>
      <c r="K358" s="1001"/>
      <c r="L358" s="1243"/>
      <c r="M358" s="1001"/>
      <c r="N358" s="512"/>
      <c r="O358" s="1002"/>
      <c r="P358" s="512"/>
      <c r="Q358" s="1109">
        <f>SUM(Q359)</f>
        <v>340</v>
      </c>
      <c r="R358" s="287"/>
      <c r="S358" s="1109">
        <f t="shared" ref="S358:AF358" si="76">SUM(S359)</f>
        <v>0</v>
      </c>
      <c r="T358" s="1109">
        <f t="shared" si="76"/>
        <v>0</v>
      </c>
      <c r="U358" s="1109">
        <f t="shared" si="76"/>
        <v>0</v>
      </c>
      <c r="V358" s="1109">
        <f t="shared" si="76"/>
        <v>340</v>
      </c>
      <c r="W358" s="1109">
        <f t="shared" si="76"/>
        <v>0</v>
      </c>
      <c r="X358" s="1109">
        <f t="shared" si="76"/>
        <v>0</v>
      </c>
      <c r="Y358" s="1109">
        <f t="shared" si="76"/>
        <v>0</v>
      </c>
      <c r="Z358" s="1109">
        <f t="shared" si="76"/>
        <v>0</v>
      </c>
      <c r="AA358" s="1109">
        <f t="shared" si="76"/>
        <v>0</v>
      </c>
      <c r="AB358" s="1109">
        <f t="shared" si="76"/>
        <v>0</v>
      </c>
      <c r="AC358" s="1109">
        <f t="shared" si="76"/>
        <v>0</v>
      </c>
      <c r="AD358" s="1109">
        <f t="shared" si="76"/>
        <v>0</v>
      </c>
      <c r="AE358" s="1109">
        <f t="shared" si="76"/>
        <v>0</v>
      </c>
      <c r="AF358" s="1109">
        <f t="shared" si="76"/>
        <v>0</v>
      </c>
      <c r="AG358" s="1282">
        <f t="shared" si="72"/>
        <v>340</v>
      </c>
    </row>
    <row r="359" spans="1:33" ht="31.5">
      <c r="A359" s="294">
        <v>2351</v>
      </c>
      <c r="B359" s="497" t="s">
        <v>545</v>
      </c>
      <c r="C359" s="1085" t="s">
        <v>546</v>
      </c>
      <c r="D359" s="506" t="s">
        <v>514</v>
      </c>
      <c r="E359" s="506">
        <v>70</v>
      </c>
      <c r="F359" s="1374">
        <v>43248</v>
      </c>
      <c r="G359" s="1374">
        <f>E359+F359</f>
        <v>43318</v>
      </c>
      <c r="H359" s="506" t="s">
        <v>529</v>
      </c>
      <c r="I359" s="1375" t="s">
        <v>169</v>
      </c>
      <c r="J359" s="482" t="s">
        <v>526</v>
      </c>
      <c r="K359" s="1369" t="s">
        <v>547</v>
      </c>
      <c r="L359" s="1244">
        <v>23173</v>
      </c>
      <c r="M359" s="326"/>
      <c r="N359" s="506" t="s">
        <v>366</v>
      </c>
      <c r="O359" s="517">
        <v>340</v>
      </c>
      <c r="P359" s="506">
        <v>1</v>
      </c>
      <c r="Q359" s="517">
        <f>O359*P359</f>
        <v>340</v>
      </c>
      <c r="R359" s="518"/>
      <c r="S359" s="487"/>
      <c r="T359" s="487"/>
      <c r="U359" s="488"/>
      <c r="V359" s="487">
        <v>340</v>
      </c>
      <c r="W359" s="487"/>
      <c r="X359" s="1138"/>
      <c r="Y359" s="1156"/>
      <c r="Z359" s="1156"/>
      <c r="AA359" s="1156"/>
      <c r="AB359" s="1156"/>
      <c r="AC359" s="1156"/>
      <c r="AD359" s="1156"/>
      <c r="AE359" s="1156"/>
      <c r="AF359" s="1156"/>
      <c r="AG359" s="1282">
        <f t="shared" si="72"/>
        <v>340</v>
      </c>
    </row>
    <row r="360" spans="1:33" ht="33.75" customHeight="1">
      <c r="A360" s="1815" t="s">
        <v>241</v>
      </c>
      <c r="B360" s="836"/>
      <c r="C360" s="1816"/>
      <c r="D360" s="1818"/>
      <c r="E360" s="1818"/>
      <c r="F360" s="1818"/>
      <c r="G360" s="1818"/>
      <c r="H360" s="1818"/>
      <c r="I360" s="1818"/>
      <c r="J360" s="835"/>
      <c r="K360" s="1815"/>
      <c r="L360" s="1817"/>
      <c r="M360" s="1818"/>
      <c r="N360" s="1819"/>
      <c r="O360" s="1820"/>
      <c r="P360" s="1819"/>
      <c r="Q360" s="1821">
        <f>Q361+Q392</f>
        <v>129720.37666666668</v>
      </c>
      <c r="R360" s="1822">
        <f>+R361+R392</f>
        <v>129240.07333333333</v>
      </c>
      <c r="S360" s="1821">
        <f t="shared" ref="S360:AG360" si="77">S361+S392</f>
        <v>0</v>
      </c>
      <c r="T360" s="1821">
        <f t="shared" si="77"/>
        <v>0</v>
      </c>
      <c r="U360" s="1821">
        <f t="shared" si="77"/>
        <v>6219</v>
      </c>
      <c r="V360" s="1821">
        <f t="shared" si="77"/>
        <v>7696.0000000000009</v>
      </c>
      <c r="W360" s="1821">
        <f t="shared" si="77"/>
        <v>56065.666666666672</v>
      </c>
      <c r="X360" s="1821">
        <f t="shared" si="77"/>
        <v>37073.043333333335</v>
      </c>
      <c r="Y360" s="1821">
        <f t="shared" si="77"/>
        <v>0</v>
      </c>
      <c r="Z360" s="838">
        <f t="shared" si="77"/>
        <v>22666.666666666668</v>
      </c>
      <c r="AA360" s="838">
        <f t="shared" si="77"/>
        <v>0</v>
      </c>
      <c r="AB360" s="838">
        <f t="shared" si="77"/>
        <v>0</v>
      </c>
      <c r="AC360" s="838">
        <f t="shared" si="77"/>
        <v>0</v>
      </c>
      <c r="AD360" s="838">
        <f t="shared" si="77"/>
        <v>0</v>
      </c>
      <c r="AE360" s="838">
        <f t="shared" si="77"/>
        <v>0</v>
      </c>
      <c r="AF360" s="838">
        <f t="shared" si="77"/>
        <v>0</v>
      </c>
      <c r="AG360" s="1821">
        <f t="shared" si="77"/>
        <v>129720.37666666668</v>
      </c>
    </row>
    <row r="361" spans="1:33" ht="24.75" customHeight="1">
      <c r="A361" s="1248" t="s">
        <v>242</v>
      </c>
      <c r="B361" s="274"/>
      <c r="C361" s="278"/>
      <c r="D361" s="1270"/>
      <c r="E361" s="1270"/>
      <c r="F361" s="1270"/>
      <c r="G361" s="1270"/>
      <c r="H361" s="1270"/>
      <c r="I361" s="1270"/>
      <c r="J361" s="273"/>
      <c r="K361" s="1248"/>
      <c r="L361" s="1269"/>
      <c r="M361" s="1270"/>
      <c r="N361" s="1268"/>
      <c r="O361" s="1271"/>
      <c r="P361" s="1268"/>
      <c r="Q361" s="1272">
        <f>+Q362</f>
        <v>29720.666666666668</v>
      </c>
      <c r="R361" s="1273">
        <f>+'[3]Compil Costing PPA 3 millions'!F11</f>
        <v>29240.073333333334</v>
      </c>
      <c r="S361" s="1272">
        <f t="shared" ref="S361:AF361" si="78">+S362</f>
        <v>0</v>
      </c>
      <c r="T361" s="1272">
        <f t="shared" si="78"/>
        <v>0</v>
      </c>
      <c r="U361" s="1272">
        <f t="shared" si="78"/>
        <v>6219</v>
      </c>
      <c r="V361" s="1272">
        <f t="shared" si="78"/>
        <v>7696.0000000000009</v>
      </c>
      <c r="W361" s="1272">
        <f t="shared" si="78"/>
        <v>5028.0000000000009</v>
      </c>
      <c r="X361" s="1272">
        <f t="shared" si="78"/>
        <v>10777.666666666666</v>
      </c>
      <c r="Y361" s="1272">
        <f t="shared" si="78"/>
        <v>0</v>
      </c>
      <c r="Z361" s="276">
        <f t="shared" si="78"/>
        <v>0</v>
      </c>
      <c r="AA361" s="276">
        <f t="shared" si="78"/>
        <v>0</v>
      </c>
      <c r="AB361" s="276">
        <f t="shared" si="78"/>
        <v>0</v>
      </c>
      <c r="AC361" s="276">
        <f t="shared" si="78"/>
        <v>0</v>
      </c>
      <c r="AD361" s="276">
        <f t="shared" si="78"/>
        <v>0</v>
      </c>
      <c r="AE361" s="276">
        <f t="shared" si="78"/>
        <v>0</v>
      </c>
      <c r="AF361" s="276">
        <f t="shared" si="78"/>
        <v>0</v>
      </c>
      <c r="AG361" s="1272">
        <f>+AG362</f>
        <v>29720.666666666664</v>
      </c>
    </row>
    <row r="362" spans="1:33" s="1725" customFormat="1" ht="31.5">
      <c r="A362" s="1790">
        <v>311</v>
      </c>
      <c r="B362" s="1791" t="s">
        <v>243</v>
      </c>
      <c r="C362" s="1792"/>
      <c r="D362" s="1793"/>
      <c r="E362" s="1794"/>
      <c r="F362" s="1794"/>
      <c r="G362" s="1794"/>
      <c r="H362" s="1793"/>
      <c r="I362" s="1794"/>
      <c r="J362" s="1795"/>
      <c r="K362" s="1796"/>
      <c r="L362" s="1797"/>
      <c r="M362" s="1793"/>
      <c r="N362" s="1794"/>
      <c r="O362" s="1885"/>
      <c r="P362" s="1886"/>
      <c r="Q362" s="1887">
        <f>SUM(Q363:Q391)</f>
        <v>29720.666666666668</v>
      </c>
      <c r="R362" s="1799"/>
      <c r="S362" s="1798">
        <f t="shared" ref="S362:AF362" si="79">SUM(S363:S391)</f>
        <v>0</v>
      </c>
      <c r="T362" s="1798">
        <f t="shared" si="79"/>
        <v>0</v>
      </c>
      <c r="U362" s="1798">
        <f t="shared" si="79"/>
        <v>6219</v>
      </c>
      <c r="V362" s="1798">
        <f t="shared" si="79"/>
        <v>7696.0000000000009</v>
      </c>
      <c r="W362" s="1798">
        <f t="shared" si="79"/>
        <v>5028.0000000000009</v>
      </c>
      <c r="X362" s="1798">
        <f t="shared" si="79"/>
        <v>10777.666666666666</v>
      </c>
      <c r="Y362" s="1798">
        <f t="shared" si="79"/>
        <v>0</v>
      </c>
      <c r="Z362" s="1800">
        <f t="shared" si="79"/>
        <v>0</v>
      </c>
      <c r="AA362" s="1800">
        <f t="shared" si="79"/>
        <v>0</v>
      </c>
      <c r="AB362" s="1800">
        <f t="shared" si="79"/>
        <v>0</v>
      </c>
      <c r="AC362" s="1800">
        <f t="shared" si="79"/>
        <v>0</v>
      </c>
      <c r="AD362" s="1800">
        <f t="shared" si="79"/>
        <v>0</v>
      </c>
      <c r="AE362" s="1800">
        <f t="shared" si="79"/>
        <v>0</v>
      </c>
      <c r="AF362" s="1800">
        <f t="shared" si="79"/>
        <v>0</v>
      </c>
      <c r="AG362" s="1887">
        <f>SUM(S362:AF362)</f>
        <v>29720.666666666664</v>
      </c>
    </row>
    <row r="363" spans="1:33" s="1725" customFormat="1" ht="57" customHeight="1">
      <c r="A363" s="1839">
        <v>3111</v>
      </c>
      <c r="B363" s="1889" t="s">
        <v>244</v>
      </c>
      <c r="C363" s="1840" t="s">
        <v>245</v>
      </c>
      <c r="D363" s="1890" t="s">
        <v>246</v>
      </c>
      <c r="E363" s="1802">
        <f>70+55</f>
        <v>125</v>
      </c>
      <c r="F363" s="1801">
        <v>43193</v>
      </c>
      <c r="G363" s="1801">
        <f>+F363+E363</f>
        <v>43318</v>
      </c>
      <c r="H363" s="1802" t="s">
        <v>247</v>
      </c>
      <c r="I363" s="1802" t="s">
        <v>176</v>
      </c>
      <c r="J363" s="1803" t="s">
        <v>169</v>
      </c>
      <c r="K363" s="1544" t="s">
        <v>248</v>
      </c>
      <c r="L363" s="1804">
        <v>2313</v>
      </c>
      <c r="M363" s="1544"/>
      <c r="N363" s="1883">
        <v>2313</v>
      </c>
      <c r="O363" s="1737">
        <v>10643</v>
      </c>
      <c r="P363" s="1736">
        <v>1</v>
      </c>
      <c r="Q363" s="1721">
        <f>O363*P363</f>
        <v>10643</v>
      </c>
      <c r="R363" s="1884"/>
      <c r="S363" s="1806"/>
      <c r="T363" s="1806"/>
      <c r="U363" s="1806"/>
      <c r="V363" s="1806"/>
      <c r="W363" s="1806"/>
      <c r="X363" s="1807">
        <v>10643</v>
      </c>
      <c r="Y363" s="1808"/>
      <c r="Z363" s="1735"/>
      <c r="AA363" s="1735"/>
      <c r="AB363" s="1735"/>
      <c r="AC363" s="1735"/>
      <c r="AD363" s="1735"/>
      <c r="AE363" s="1735"/>
      <c r="AF363" s="1735"/>
      <c r="AG363" s="1282">
        <f t="shared" ref="AG363:AG391" si="80">SUM(S363:AF363)</f>
        <v>10643</v>
      </c>
    </row>
    <row r="364" spans="1:33" s="1725" customFormat="1" ht="57" customHeight="1">
      <c r="A364" s="1839">
        <v>3112</v>
      </c>
      <c r="B364" s="1889" t="s">
        <v>249</v>
      </c>
      <c r="C364" s="1840" t="s">
        <v>250</v>
      </c>
      <c r="D364" s="1890"/>
      <c r="E364" s="1802">
        <v>10</v>
      </c>
      <c r="F364" s="1801">
        <v>43238</v>
      </c>
      <c r="G364" s="1801">
        <f t="shared" ref="G364:G391" si="81">F364+E364</f>
        <v>43248</v>
      </c>
      <c r="H364" s="1802" t="s">
        <v>247</v>
      </c>
      <c r="I364" s="1802" t="s">
        <v>169</v>
      </c>
      <c r="J364" s="1803" t="s">
        <v>176</v>
      </c>
      <c r="K364" s="1544" t="s">
        <v>252</v>
      </c>
      <c r="L364" s="1804">
        <v>23174</v>
      </c>
      <c r="M364" s="1544"/>
      <c r="N364" s="1883">
        <v>23174</v>
      </c>
      <c r="O364" s="1721">
        <v>12</v>
      </c>
      <c r="P364" s="1736">
        <f>15*7</f>
        <v>105</v>
      </c>
      <c r="Q364" s="1721">
        <f t="shared" ref="Q364:Q371" si="82">O364*P364</f>
        <v>1260</v>
      </c>
      <c r="R364" s="1884"/>
      <c r="S364" s="1806"/>
      <c r="T364" s="1806"/>
      <c r="U364" s="1806">
        <v>1260</v>
      </c>
      <c r="V364" s="1806"/>
      <c r="W364" s="1806"/>
      <c r="X364" s="1807"/>
      <c r="Y364" s="1808"/>
      <c r="Z364" s="1735"/>
      <c r="AA364" s="1735"/>
      <c r="AB364" s="1735"/>
      <c r="AC364" s="1735"/>
      <c r="AD364" s="1735"/>
      <c r="AE364" s="1735"/>
      <c r="AF364" s="1735"/>
      <c r="AG364" s="1282">
        <f t="shared" si="80"/>
        <v>1260</v>
      </c>
    </row>
    <row r="365" spans="1:33" s="1725" customFormat="1" ht="57" customHeight="1">
      <c r="A365" s="1839">
        <v>3112</v>
      </c>
      <c r="B365" s="1889" t="s">
        <v>249</v>
      </c>
      <c r="C365" s="1840" t="s">
        <v>250</v>
      </c>
      <c r="D365" s="1890"/>
      <c r="E365" s="1802">
        <v>10</v>
      </c>
      <c r="F365" s="1801">
        <v>43238</v>
      </c>
      <c r="G365" s="1801">
        <f t="shared" si="81"/>
        <v>43248</v>
      </c>
      <c r="H365" s="1802" t="s">
        <v>247</v>
      </c>
      <c r="I365" s="1802" t="s">
        <v>169</v>
      </c>
      <c r="J365" s="1803" t="s">
        <v>176</v>
      </c>
      <c r="K365" s="1544" t="s">
        <v>253</v>
      </c>
      <c r="L365" s="1804">
        <v>23174</v>
      </c>
      <c r="M365" s="1544"/>
      <c r="N365" s="1802">
        <v>23174</v>
      </c>
      <c r="O365" s="1809">
        <v>13.333333333333334</v>
      </c>
      <c r="P365" s="1888">
        <f>15*7</f>
        <v>105</v>
      </c>
      <c r="Q365" s="1809">
        <f t="shared" si="82"/>
        <v>1400</v>
      </c>
      <c r="R365" s="1805"/>
      <c r="S365" s="1806"/>
      <c r="T365" s="1806"/>
      <c r="U365" s="1806">
        <v>1400</v>
      </c>
      <c r="V365" s="1806"/>
      <c r="W365" s="1806"/>
      <c r="X365" s="1807"/>
      <c r="Y365" s="1808"/>
      <c r="Z365" s="1735"/>
      <c r="AA365" s="1735"/>
      <c r="AB365" s="1735"/>
      <c r="AC365" s="1735"/>
      <c r="AD365" s="1735"/>
      <c r="AE365" s="1735"/>
      <c r="AF365" s="1735"/>
      <c r="AG365" s="1282">
        <f t="shared" si="80"/>
        <v>1400</v>
      </c>
    </row>
    <row r="366" spans="1:33" s="1725" customFormat="1" ht="57" customHeight="1">
      <c r="A366" s="1839">
        <v>3112</v>
      </c>
      <c r="B366" s="1889" t="s">
        <v>249</v>
      </c>
      <c r="C366" s="1840" t="s">
        <v>250</v>
      </c>
      <c r="D366" s="1890"/>
      <c r="E366" s="1802">
        <v>10</v>
      </c>
      <c r="F366" s="1801">
        <v>43238</v>
      </c>
      <c r="G366" s="1801">
        <f t="shared" si="81"/>
        <v>43248</v>
      </c>
      <c r="H366" s="1802" t="s">
        <v>247</v>
      </c>
      <c r="I366" s="1802" t="s">
        <v>169</v>
      </c>
      <c r="J366" s="1803" t="s">
        <v>176</v>
      </c>
      <c r="K366" s="2264" t="s">
        <v>254</v>
      </c>
      <c r="L366" s="1804">
        <v>23174</v>
      </c>
      <c r="M366" s="1544"/>
      <c r="N366" s="1802">
        <v>23174</v>
      </c>
      <c r="O366" s="1841">
        <v>10</v>
      </c>
      <c r="P366" s="887">
        <v>15</v>
      </c>
      <c r="Q366" s="1810">
        <f t="shared" si="82"/>
        <v>150</v>
      </c>
      <c r="R366" s="1805"/>
      <c r="S366" s="1806"/>
      <c r="T366" s="1806"/>
      <c r="U366" s="1806">
        <v>150</v>
      </c>
      <c r="V366" s="1806"/>
      <c r="W366" s="1806"/>
      <c r="X366" s="1807"/>
      <c r="Y366" s="1808"/>
      <c r="Z366" s="1735"/>
      <c r="AA366" s="1735"/>
      <c r="AB366" s="1735"/>
      <c r="AC366" s="1735"/>
      <c r="AD366" s="1735"/>
      <c r="AE366" s="1735"/>
      <c r="AF366" s="1735"/>
      <c r="AG366" s="1282">
        <f t="shared" si="80"/>
        <v>150</v>
      </c>
    </row>
    <row r="367" spans="1:33" s="1725" customFormat="1" ht="57" customHeight="1">
      <c r="A367" s="1839">
        <v>3112</v>
      </c>
      <c r="B367" s="1889" t="s">
        <v>249</v>
      </c>
      <c r="C367" s="1840" t="s">
        <v>250</v>
      </c>
      <c r="D367" s="1890"/>
      <c r="E367" s="1802">
        <v>10</v>
      </c>
      <c r="F367" s="1801">
        <v>43238</v>
      </c>
      <c r="G367" s="1801">
        <f t="shared" si="81"/>
        <v>43248</v>
      </c>
      <c r="H367" s="1802" t="s">
        <v>247</v>
      </c>
      <c r="I367" s="1802" t="s">
        <v>169</v>
      </c>
      <c r="J367" s="2263" t="s">
        <v>176</v>
      </c>
      <c r="K367" s="1735" t="s">
        <v>255</v>
      </c>
      <c r="L367" s="1892">
        <v>23174</v>
      </c>
      <c r="M367" s="1544"/>
      <c r="N367" s="1802">
        <v>23174</v>
      </c>
      <c r="O367" s="1841">
        <v>0.4</v>
      </c>
      <c r="P367" s="887">
        <v>170</v>
      </c>
      <c r="Q367" s="1810">
        <f t="shared" si="82"/>
        <v>68</v>
      </c>
      <c r="R367" s="1805"/>
      <c r="S367" s="1806"/>
      <c r="T367" s="1806"/>
      <c r="U367" s="1806">
        <v>68</v>
      </c>
      <c r="V367" s="1806"/>
      <c r="W367" s="1806"/>
      <c r="X367" s="1807"/>
      <c r="Y367" s="1808"/>
      <c r="Z367" s="1735"/>
      <c r="AA367" s="1735"/>
      <c r="AB367" s="1735"/>
      <c r="AC367" s="1735"/>
      <c r="AD367" s="1735"/>
      <c r="AE367" s="1735"/>
      <c r="AF367" s="1735"/>
      <c r="AG367" s="1282">
        <f t="shared" si="80"/>
        <v>68</v>
      </c>
    </row>
    <row r="368" spans="1:33" s="1725" customFormat="1" ht="57" customHeight="1">
      <c r="A368" s="1839">
        <v>3112</v>
      </c>
      <c r="B368" s="1889" t="s">
        <v>249</v>
      </c>
      <c r="C368" s="1840" t="s">
        <v>250</v>
      </c>
      <c r="D368" s="1890"/>
      <c r="E368" s="1802">
        <v>45</v>
      </c>
      <c r="F368" s="1801">
        <v>43193</v>
      </c>
      <c r="G368" s="1801">
        <f t="shared" si="81"/>
        <v>43238</v>
      </c>
      <c r="H368" s="1802" t="s">
        <v>247</v>
      </c>
      <c r="I368" s="1802" t="s">
        <v>169</v>
      </c>
      <c r="J368" s="1803" t="s">
        <v>176</v>
      </c>
      <c r="K368" s="326" t="s">
        <v>256</v>
      </c>
      <c r="L368" s="1804">
        <v>23173</v>
      </c>
      <c r="M368" s="1544"/>
      <c r="N368" s="1802">
        <v>23173</v>
      </c>
      <c r="O368" s="1841">
        <v>255</v>
      </c>
      <c r="P368" s="887">
        <v>1</v>
      </c>
      <c r="Q368" s="1810">
        <f t="shared" si="82"/>
        <v>255</v>
      </c>
      <c r="R368" s="1805"/>
      <c r="S368" s="1806"/>
      <c r="T368" s="1806"/>
      <c r="U368" s="1806">
        <v>255</v>
      </c>
      <c r="V368" s="1806"/>
      <c r="W368" s="1806"/>
      <c r="X368" s="1807"/>
      <c r="Y368" s="1808"/>
      <c r="Z368" s="1735"/>
      <c r="AA368" s="1735"/>
      <c r="AB368" s="1735"/>
      <c r="AC368" s="1735"/>
      <c r="AD368" s="1735"/>
      <c r="AE368" s="1735"/>
      <c r="AF368" s="1735"/>
      <c r="AG368" s="1282">
        <f t="shared" si="80"/>
        <v>255</v>
      </c>
    </row>
    <row r="369" spans="1:33" s="1725" customFormat="1" ht="57" customHeight="1">
      <c r="A369" s="1839">
        <v>3112</v>
      </c>
      <c r="B369" s="1889" t="s">
        <v>249</v>
      </c>
      <c r="C369" s="1840" t="s">
        <v>250</v>
      </c>
      <c r="D369" s="1890"/>
      <c r="E369" s="1802">
        <v>10</v>
      </c>
      <c r="F369" s="1801">
        <v>43238</v>
      </c>
      <c r="G369" s="1801">
        <f t="shared" si="81"/>
        <v>43248</v>
      </c>
      <c r="H369" s="1802" t="s">
        <v>247</v>
      </c>
      <c r="I369" s="1802" t="s">
        <v>169</v>
      </c>
      <c r="J369" s="2263" t="s">
        <v>176</v>
      </c>
      <c r="K369" s="1735" t="s">
        <v>257</v>
      </c>
      <c r="L369" s="2268">
        <v>23173</v>
      </c>
      <c r="M369" s="1544"/>
      <c r="N369" s="1802">
        <v>23172</v>
      </c>
      <c r="O369" s="1841">
        <v>66.666666666666671</v>
      </c>
      <c r="P369" s="887">
        <v>5</v>
      </c>
      <c r="Q369" s="1810">
        <f t="shared" si="82"/>
        <v>333.33333333333337</v>
      </c>
      <c r="R369" s="1805"/>
      <c r="S369" s="1806"/>
      <c r="T369" s="1806"/>
      <c r="U369" s="1806">
        <v>333.33333333333337</v>
      </c>
      <c r="V369" s="1806"/>
      <c r="W369" s="1806"/>
      <c r="X369" s="1807"/>
      <c r="Y369" s="1808"/>
      <c r="Z369" s="1735"/>
      <c r="AA369" s="1735"/>
      <c r="AB369" s="1735"/>
      <c r="AC369" s="1735"/>
      <c r="AD369" s="1735"/>
      <c r="AE369" s="1735"/>
      <c r="AF369" s="1735"/>
      <c r="AG369" s="1282">
        <f t="shared" si="80"/>
        <v>333.33333333333337</v>
      </c>
    </row>
    <row r="370" spans="1:33" s="1725" customFormat="1" ht="57" customHeight="1">
      <c r="A370" s="1839">
        <v>3112</v>
      </c>
      <c r="B370" s="1889" t="s">
        <v>249</v>
      </c>
      <c r="C370" s="1840" t="s">
        <v>250</v>
      </c>
      <c r="D370" s="1890"/>
      <c r="E370" s="1802">
        <v>45</v>
      </c>
      <c r="F370" s="1801">
        <v>43193</v>
      </c>
      <c r="G370" s="1801">
        <f t="shared" si="81"/>
        <v>43238</v>
      </c>
      <c r="H370" s="1802" t="s">
        <v>247</v>
      </c>
      <c r="I370" s="1802" t="s">
        <v>169</v>
      </c>
      <c r="J370" s="1803" t="s">
        <v>176</v>
      </c>
      <c r="K370" s="1585" t="s">
        <v>258</v>
      </c>
      <c r="L370" s="1804">
        <v>2463</v>
      </c>
      <c r="M370" s="1544"/>
      <c r="N370" s="1802">
        <v>23173</v>
      </c>
      <c r="O370" s="1726">
        <v>616.66666666666663</v>
      </c>
      <c r="P370" s="887">
        <v>1</v>
      </c>
      <c r="Q370" s="1810">
        <f t="shared" si="82"/>
        <v>616.66666666666663</v>
      </c>
      <c r="R370" s="1805"/>
      <c r="S370" s="1806"/>
      <c r="T370" s="1806"/>
      <c r="U370" s="1806">
        <v>616.66666666666663</v>
      </c>
      <c r="V370" s="1806"/>
      <c r="W370" s="1806"/>
      <c r="X370" s="1807"/>
      <c r="Y370" s="1808"/>
      <c r="Z370" s="1735"/>
      <c r="AA370" s="1735"/>
      <c r="AB370" s="1735"/>
      <c r="AC370" s="1735"/>
      <c r="AD370" s="1735"/>
      <c r="AE370" s="1735"/>
      <c r="AF370" s="1735"/>
      <c r="AG370" s="1282">
        <f t="shared" si="80"/>
        <v>616.66666666666663</v>
      </c>
    </row>
    <row r="371" spans="1:33" s="1725" customFormat="1" ht="57" customHeight="1">
      <c r="A371" s="1839">
        <v>3112</v>
      </c>
      <c r="B371" s="1889" t="s">
        <v>249</v>
      </c>
      <c r="C371" s="1840" t="s">
        <v>250</v>
      </c>
      <c r="D371" s="1890"/>
      <c r="E371" s="1802">
        <v>45</v>
      </c>
      <c r="F371" s="1801">
        <v>43193</v>
      </c>
      <c r="G371" s="1801">
        <f t="shared" si="81"/>
        <v>43238</v>
      </c>
      <c r="H371" s="1802" t="s">
        <v>247</v>
      </c>
      <c r="I371" s="1802" t="s">
        <v>169</v>
      </c>
      <c r="J371" s="1803" t="s">
        <v>176</v>
      </c>
      <c r="K371" s="326" t="s">
        <v>259</v>
      </c>
      <c r="L371" s="1804">
        <v>2463</v>
      </c>
      <c r="M371" s="1544"/>
      <c r="N371" s="1802">
        <v>23173</v>
      </c>
      <c r="O371" s="1726">
        <v>2000</v>
      </c>
      <c r="P371" s="887">
        <v>1</v>
      </c>
      <c r="Q371" s="1810">
        <f t="shared" si="82"/>
        <v>2000</v>
      </c>
      <c r="R371" s="1805"/>
      <c r="S371" s="1806"/>
      <c r="T371" s="1806"/>
      <c r="U371" s="1806">
        <v>2000</v>
      </c>
      <c r="V371" s="1806"/>
      <c r="W371" s="1806"/>
      <c r="X371" s="1807"/>
      <c r="Y371" s="1808"/>
      <c r="Z371" s="1735"/>
      <c r="AA371" s="1735"/>
      <c r="AB371" s="1735"/>
      <c r="AC371" s="1735"/>
      <c r="AD371" s="1735"/>
      <c r="AE371" s="1735"/>
      <c r="AF371" s="1735"/>
      <c r="AG371" s="1282">
        <f t="shared" si="80"/>
        <v>2000</v>
      </c>
    </row>
    <row r="372" spans="1:33" s="1725" customFormat="1" ht="57" customHeight="1">
      <c r="A372" s="1839">
        <v>3113</v>
      </c>
      <c r="B372" s="1889" t="s">
        <v>260</v>
      </c>
      <c r="C372" s="1840" t="s">
        <v>261</v>
      </c>
      <c r="D372" s="1890"/>
      <c r="E372" s="1802">
        <v>15</v>
      </c>
      <c r="F372" s="1801">
        <v>43248</v>
      </c>
      <c r="G372" s="1801">
        <f t="shared" si="81"/>
        <v>43263</v>
      </c>
      <c r="H372" s="1802" t="s">
        <v>247</v>
      </c>
      <c r="I372" s="1802" t="s">
        <v>169</v>
      </c>
      <c r="J372" s="1803" t="s">
        <v>176</v>
      </c>
      <c r="K372" s="1544" t="s">
        <v>252</v>
      </c>
      <c r="L372" s="1804">
        <v>23174</v>
      </c>
      <c r="M372" s="1544"/>
      <c r="N372" s="1802">
        <v>23174</v>
      </c>
      <c r="O372" s="1810">
        <v>12</v>
      </c>
      <c r="P372" s="1802">
        <f>12*9</f>
        <v>108</v>
      </c>
      <c r="Q372" s="1810">
        <f>O372*P372</f>
        <v>1296</v>
      </c>
      <c r="R372" s="1805"/>
      <c r="S372" s="1806"/>
      <c r="T372" s="1806"/>
      <c r="U372" s="1806"/>
      <c r="V372" s="1806">
        <v>1296</v>
      </c>
      <c r="W372" s="1806"/>
      <c r="X372" s="1807"/>
      <c r="Y372" s="1808"/>
      <c r="Z372" s="1735"/>
      <c r="AA372" s="1735"/>
      <c r="AB372" s="1735"/>
      <c r="AC372" s="1735"/>
      <c r="AD372" s="1735"/>
      <c r="AE372" s="1735"/>
      <c r="AF372" s="1735"/>
      <c r="AG372" s="1282">
        <f t="shared" si="80"/>
        <v>1296</v>
      </c>
    </row>
    <row r="373" spans="1:33" s="1725" customFormat="1" ht="57" customHeight="1">
      <c r="A373" s="1839">
        <v>3113</v>
      </c>
      <c r="B373" s="1889" t="s">
        <v>260</v>
      </c>
      <c r="C373" s="1840" t="s">
        <v>261</v>
      </c>
      <c r="D373" s="1890"/>
      <c r="E373" s="1802">
        <v>15</v>
      </c>
      <c r="F373" s="1801">
        <v>43248</v>
      </c>
      <c r="G373" s="1801">
        <f t="shared" si="81"/>
        <v>43263</v>
      </c>
      <c r="H373" s="1802" t="s">
        <v>247</v>
      </c>
      <c r="I373" s="1802" t="s">
        <v>169</v>
      </c>
      <c r="J373" s="1803" t="s">
        <v>176</v>
      </c>
      <c r="K373" s="1544" t="s">
        <v>253</v>
      </c>
      <c r="L373" s="1804">
        <v>23174</v>
      </c>
      <c r="M373" s="1544"/>
      <c r="N373" s="1802">
        <v>23174</v>
      </c>
      <c r="O373" s="1810">
        <v>13.333333333333334</v>
      </c>
      <c r="P373" s="1802">
        <f>12*8</f>
        <v>96</v>
      </c>
      <c r="Q373" s="1810">
        <f>O373*P373</f>
        <v>1280</v>
      </c>
      <c r="R373" s="1805"/>
      <c r="S373" s="1806"/>
      <c r="T373" s="1806"/>
      <c r="U373" s="1806"/>
      <c r="V373" s="1806">
        <v>1280</v>
      </c>
      <c r="W373" s="1806"/>
      <c r="X373" s="1807"/>
      <c r="Y373" s="1808"/>
      <c r="Z373" s="1735"/>
      <c r="AA373" s="1735"/>
      <c r="AB373" s="1735"/>
      <c r="AC373" s="1735"/>
      <c r="AD373" s="1735"/>
      <c r="AE373" s="1735"/>
      <c r="AF373" s="1735"/>
      <c r="AG373" s="1282">
        <f t="shared" si="80"/>
        <v>1280</v>
      </c>
    </row>
    <row r="374" spans="1:33" s="1725" customFormat="1" ht="57" customHeight="1">
      <c r="A374" s="1839">
        <v>3113</v>
      </c>
      <c r="B374" s="1889" t="s">
        <v>260</v>
      </c>
      <c r="C374" s="1840" t="s">
        <v>261</v>
      </c>
      <c r="D374" s="1890"/>
      <c r="E374" s="1802">
        <v>15</v>
      </c>
      <c r="F374" s="1801">
        <v>43248</v>
      </c>
      <c r="G374" s="1801">
        <f t="shared" si="81"/>
        <v>43263</v>
      </c>
      <c r="H374" s="1802" t="s">
        <v>247</v>
      </c>
      <c r="I374" s="1802" t="s">
        <v>169</v>
      </c>
      <c r="J374" s="1803" t="s">
        <v>176</v>
      </c>
      <c r="K374" s="1544" t="s">
        <v>263</v>
      </c>
      <c r="L374" s="1804">
        <v>23174</v>
      </c>
      <c r="M374" s="1544"/>
      <c r="N374" s="1802">
        <v>23174</v>
      </c>
      <c r="O374" s="1841">
        <v>58.333333333333336</v>
      </c>
      <c r="P374" s="887">
        <v>4</v>
      </c>
      <c r="Q374" s="1810">
        <f>O374*P374</f>
        <v>233.33333333333334</v>
      </c>
      <c r="R374" s="1805"/>
      <c r="S374" s="1806"/>
      <c r="T374" s="1806"/>
      <c r="U374" s="1806"/>
      <c r="V374" s="1806">
        <v>233.33333333333334</v>
      </c>
      <c r="W374" s="1806"/>
      <c r="X374" s="1807"/>
      <c r="Y374" s="1808"/>
      <c r="Z374" s="1735"/>
      <c r="AA374" s="1735"/>
      <c r="AB374" s="1735"/>
      <c r="AC374" s="1735"/>
      <c r="AD374" s="1735"/>
      <c r="AE374" s="1735"/>
      <c r="AF374" s="1735"/>
      <c r="AG374" s="1282">
        <f t="shared" si="80"/>
        <v>233.33333333333334</v>
      </c>
    </row>
    <row r="375" spans="1:33" s="1725" customFormat="1" ht="57" customHeight="1">
      <c r="A375" s="1839">
        <v>3113</v>
      </c>
      <c r="B375" s="1889" t="s">
        <v>260</v>
      </c>
      <c r="C375" s="1840" t="s">
        <v>261</v>
      </c>
      <c r="D375" s="1890"/>
      <c r="E375" s="1802">
        <v>15</v>
      </c>
      <c r="F375" s="1801">
        <v>43248</v>
      </c>
      <c r="G375" s="1801">
        <f t="shared" si="81"/>
        <v>43263</v>
      </c>
      <c r="H375" s="1802" t="s">
        <v>247</v>
      </c>
      <c r="I375" s="1802" t="s">
        <v>169</v>
      </c>
      <c r="J375" s="1803" t="s">
        <v>176</v>
      </c>
      <c r="K375" s="1544" t="s">
        <v>264</v>
      </c>
      <c r="L375" s="1804">
        <v>23174</v>
      </c>
      <c r="M375" s="1544"/>
      <c r="N375" s="1883">
        <v>23174</v>
      </c>
      <c r="O375" s="1744">
        <v>36.333333333333336</v>
      </c>
      <c r="P375" s="887">
        <v>4</v>
      </c>
      <c r="Q375" s="1810">
        <f>O375*P375</f>
        <v>145.33333333333334</v>
      </c>
      <c r="R375" s="1805"/>
      <c r="S375" s="1806"/>
      <c r="T375" s="1806"/>
      <c r="U375" s="1806"/>
      <c r="V375" s="1806">
        <v>145.33333333333334</v>
      </c>
      <c r="W375" s="1806"/>
      <c r="X375" s="1807"/>
      <c r="Y375" s="1808"/>
      <c r="Z375" s="1735"/>
      <c r="AA375" s="1735"/>
      <c r="AB375" s="1735"/>
      <c r="AC375" s="1735"/>
      <c r="AD375" s="1735"/>
      <c r="AE375" s="1735"/>
      <c r="AF375" s="1735"/>
      <c r="AG375" s="1282">
        <f t="shared" si="80"/>
        <v>145.33333333333334</v>
      </c>
    </row>
    <row r="376" spans="1:33" s="1725" customFormat="1" ht="57" customHeight="1">
      <c r="A376" s="1839">
        <v>3113</v>
      </c>
      <c r="B376" s="1889" t="s">
        <v>260</v>
      </c>
      <c r="C376" s="1840" t="s">
        <v>261</v>
      </c>
      <c r="D376" s="1890"/>
      <c r="E376" s="1802">
        <v>15</v>
      </c>
      <c r="F376" s="1801">
        <v>43248</v>
      </c>
      <c r="G376" s="1801">
        <f t="shared" si="81"/>
        <v>43263</v>
      </c>
      <c r="H376" s="1802" t="s">
        <v>247</v>
      </c>
      <c r="I376" s="1802" t="s">
        <v>169</v>
      </c>
      <c r="J376" s="1803" t="s">
        <v>176</v>
      </c>
      <c r="K376" s="1544" t="s">
        <v>265</v>
      </c>
      <c r="L376" s="1804">
        <v>23174</v>
      </c>
      <c r="M376" s="1544"/>
      <c r="N376" s="1883">
        <v>23174</v>
      </c>
      <c r="O376" s="1744">
        <v>71.666666666666671</v>
      </c>
      <c r="P376" s="887">
        <v>4</v>
      </c>
      <c r="Q376" s="1810">
        <f>O376*P376</f>
        <v>286.66666666666669</v>
      </c>
      <c r="R376" s="1805"/>
      <c r="S376" s="1806"/>
      <c r="T376" s="1806"/>
      <c r="U376" s="1806"/>
      <c r="V376" s="1806">
        <v>286.66666666666669</v>
      </c>
      <c r="W376" s="1806"/>
      <c r="X376" s="1807"/>
      <c r="Y376" s="1808"/>
      <c r="Z376" s="1735"/>
      <c r="AA376" s="1735"/>
      <c r="AB376" s="1735"/>
      <c r="AC376" s="1735"/>
      <c r="AD376" s="1735"/>
      <c r="AE376" s="1735"/>
      <c r="AF376" s="1735"/>
      <c r="AG376" s="1282">
        <f t="shared" si="80"/>
        <v>286.66666666666669</v>
      </c>
    </row>
    <row r="377" spans="1:33" s="1725" customFormat="1" ht="57" customHeight="1">
      <c r="A377" s="1839">
        <v>3114</v>
      </c>
      <c r="B377" s="1889" t="s">
        <v>266</v>
      </c>
      <c r="C377" s="1840" t="s">
        <v>267</v>
      </c>
      <c r="D377" s="1890"/>
      <c r="E377" s="1802">
        <v>15</v>
      </c>
      <c r="F377" s="1801">
        <v>43269</v>
      </c>
      <c r="G377" s="1801">
        <f t="shared" si="81"/>
        <v>43284</v>
      </c>
      <c r="H377" s="1802" t="s">
        <v>247</v>
      </c>
      <c r="I377" s="1802" t="s">
        <v>169</v>
      </c>
      <c r="J377" s="1803" t="s">
        <v>176</v>
      </c>
      <c r="K377" s="1544" t="s">
        <v>252</v>
      </c>
      <c r="L377" s="1804">
        <v>23174</v>
      </c>
      <c r="M377" s="1544"/>
      <c r="N377" s="1802">
        <v>23174</v>
      </c>
      <c r="O377" s="1809">
        <v>12</v>
      </c>
      <c r="P377" s="1802">
        <f>20*8</f>
        <v>160</v>
      </c>
      <c r="Q377" s="1810">
        <f t="shared" ref="Q377:Q382" si="83">O377*P377</f>
        <v>1920</v>
      </c>
      <c r="R377" s="1805"/>
      <c r="S377" s="1806"/>
      <c r="T377" s="1806"/>
      <c r="U377" s="1806"/>
      <c r="V377" s="1806">
        <v>1920</v>
      </c>
      <c r="W377" s="1806"/>
      <c r="X377" s="1807"/>
      <c r="Y377" s="1808"/>
      <c r="Z377" s="1735"/>
      <c r="AA377" s="1735"/>
      <c r="AB377" s="1735"/>
      <c r="AC377" s="1735"/>
      <c r="AD377" s="1735"/>
      <c r="AE377" s="1735"/>
      <c r="AF377" s="1735"/>
      <c r="AG377" s="1282">
        <f t="shared" si="80"/>
        <v>1920</v>
      </c>
    </row>
    <row r="378" spans="1:33" s="1725" customFormat="1" ht="57" customHeight="1">
      <c r="A378" s="1839">
        <v>3114</v>
      </c>
      <c r="B378" s="1889" t="s">
        <v>266</v>
      </c>
      <c r="C378" s="1840" t="s">
        <v>267</v>
      </c>
      <c r="D378" s="1890"/>
      <c r="E378" s="1802">
        <v>15</v>
      </c>
      <c r="F378" s="1801">
        <v>43269</v>
      </c>
      <c r="G378" s="1801">
        <f t="shared" si="81"/>
        <v>43284</v>
      </c>
      <c r="H378" s="1802" t="s">
        <v>247</v>
      </c>
      <c r="I378" s="1802" t="s">
        <v>169</v>
      </c>
      <c r="J378" s="1803" t="s">
        <v>176</v>
      </c>
      <c r="K378" s="1544" t="s">
        <v>253</v>
      </c>
      <c r="L378" s="1804">
        <v>23174</v>
      </c>
      <c r="M378" s="1544"/>
      <c r="N378" s="1802">
        <v>23174</v>
      </c>
      <c r="O378" s="1810">
        <v>13.333333333333334</v>
      </c>
      <c r="P378" s="1802">
        <f>20*7</f>
        <v>140</v>
      </c>
      <c r="Q378" s="1810">
        <f t="shared" si="83"/>
        <v>1866.6666666666667</v>
      </c>
      <c r="R378" s="1805"/>
      <c r="S378" s="1806"/>
      <c r="T378" s="1806"/>
      <c r="U378" s="1806"/>
      <c r="V378" s="1806">
        <v>1866.6666666666667</v>
      </c>
      <c r="W378" s="1806"/>
      <c r="X378" s="1807"/>
      <c r="Y378" s="1808"/>
      <c r="Z378" s="1735"/>
      <c r="AA378" s="1735"/>
      <c r="AB378" s="1735"/>
      <c r="AC378" s="1735"/>
      <c r="AD378" s="1735"/>
      <c r="AE378" s="1735"/>
      <c r="AF378" s="1735"/>
      <c r="AG378" s="1282">
        <f t="shared" si="80"/>
        <v>1866.6666666666667</v>
      </c>
    </row>
    <row r="379" spans="1:33" s="1725" customFormat="1" ht="57" customHeight="1">
      <c r="A379" s="1839">
        <v>3114</v>
      </c>
      <c r="B379" s="1889" t="s">
        <v>266</v>
      </c>
      <c r="C379" s="1840" t="s">
        <v>267</v>
      </c>
      <c r="D379" s="1890"/>
      <c r="E379" s="1802">
        <v>15</v>
      </c>
      <c r="F379" s="1801">
        <v>43269</v>
      </c>
      <c r="G379" s="1801">
        <f t="shared" si="81"/>
        <v>43284</v>
      </c>
      <c r="H379" s="1802" t="s">
        <v>247</v>
      </c>
      <c r="I379" s="1802" t="s">
        <v>169</v>
      </c>
      <c r="J379" s="1803" t="s">
        <v>176</v>
      </c>
      <c r="K379" s="2264" t="s">
        <v>254</v>
      </c>
      <c r="L379" s="1804">
        <v>23174</v>
      </c>
      <c r="M379" s="1544"/>
      <c r="N379" s="1802">
        <v>23174</v>
      </c>
      <c r="O379" s="1841">
        <v>10</v>
      </c>
      <c r="P379" s="887">
        <v>20</v>
      </c>
      <c r="Q379" s="1810">
        <f t="shared" si="83"/>
        <v>200</v>
      </c>
      <c r="R379" s="1805"/>
      <c r="S379" s="1806"/>
      <c r="T379" s="1806"/>
      <c r="U379" s="1806"/>
      <c r="V379" s="1806">
        <v>200</v>
      </c>
      <c r="W379" s="1806"/>
      <c r="X379" s="1807"/>
      <c r="Y379" s="1808"/>
      <c r="Z379" s="1735"/>
      <c r="AA379" s="1735"/>
      <c r="AB379" s="1735"/>
      <c r="AC379" s="1735"/>
      <c r="AD379" s="1735"/>
      <c r="AE379" s="1735"/>
      <c r="AF379" s="1735"/>
      <c r="AG379" s="1282">
        <f t="shared" si="80"/>
        <v>200</v>
      </c>
    </row>
    <row r="380" spans="1:33" s="1725" customFormat="1" ht="57" customHeight="1">
      <c r="A380" s="1839">
        <v>3114</v>
      </c>
      <c r="B380" s="1889" t="s">
        <v>266</v>
      </c>
      <c r="C380" s="1840" t="s">
        <v>267</v>
      </c>
      <c r="D380" s="1890"/>
      <c r="E380" s="1802">
        <v>15</v>
      </c>
      <c r="F380" s="1801">
        <v>43269</v>
      </c>
      <c r="G380" s="1801">
        <f t="shared" si="81"/>
        <v>43284</v>
      </c>
      <c r="H380" s="1802" t="s">
        <v>247</v>
      </c>
      <c r="I380" s="1802" t="s">
        <v>169</v>
      </c>
      <c r="J380" s="2263" t="s">
        <v>176</v>
      </c>
      <c r="K380" s="1735" t="s">
        <v>255</v>
      </c>
      <c r="L380" s="1892">
        <v>23174</v>
      </c>
      <c r="M380" s="1544"/>
      <c r="N380" s="1802">
        <v>23174</v>
      </c>
      <c r="O380" s="1841">
        <v>0.4</v>
      </c>
      <c r="P380" s="887">
        <v>170</v>
      </c>
      <c r="Q380" s="1810">
        <f t="shared" si="83"/>
        <v>68</v>
      </c>
      <c r="R380" s="1805"/>
      <c r="S380" s="1806"/>
      <c r="T380" s="1806"/>
      <c r="U380" s="1806"/>
      <c r="V380" s="1806">
        <v>68</v>
      </c>
      <c r="W380" s="1806"/>
      <c r="X380" s="1807"/>
      <c r="Y380" s="1808"/>
      <c r="Z380" s="1735"/>
      <c r="AA380" s="1735"/>
      <c r="AB380" s="1735"/>
      <c r="AC380" s="1735"/>
      <c r="AD380" s="1735"/>
      <c r="AE380" s="1735"/>
      <c r="AF380" s="1735"/>
      <c r="AG380" s="1282">
        <f t="shared" si="80"/>
        <v>68</v>
      </c>
    </row>
    <row r="381" spans="1:33" s="1725" customFormat="1" ht="57" customHeight="1">
      <c r="A381" s="1839">
        <v>3114</v>
      </c>
      <c r="B381" s="1889" t="s">
        <v>266</v>
      </c>
      <c r="C381" s="1840" t="s">
        <v>267</v>
      </c>
      <c r="D381" s="1890"/>
      <c r="E381" s="1802">
        <v>45</v>
      </c>
      <c r="F381" s="1801">
        <v>43193</v>
      </c>
      <c r="G381" s="1801">
        <f t="shared" si="81"/>
        <v>43238</v>
      </c>
      <c r="H381" s="1802" t="s">
        <v>247</v>
      </c>
      <c r="I381" s="1802" t="s">
        <v>169</v>
      </c>
      <c r="J381" s="1803" t="s">
        <v>176</v>
      </c>
      <c r="K381" s="326" t="s">
        <v>256</v>
      </c>
      <c r="L381" s="1804">
        <v>23173</v>
      </c>
      <c r="M381" s="1544"/>
      <c r="N381" s="1802">
        <v>23173</v>
      </c>
      <c r="O381" s="1841">
        <v>15</v>
      </c>
      <c r="P381" s="887">
        <v>1</v>
      </c>
      <c r="Q381" s="1810">
        <f t="shared" si="83"/>
        <v>15</v>
      </c>
      <c r="R381" s="1805"/>
      <c r="S381" s="1806"/>
      <c r="T381" s="1806"/>
      <c r="U381" s="1806">
        <v>15</v>
      </c>
      <c r="W381" s="1806"/>
      <c r="X381" s="1807"/>
      <c r="Y381" s="1808"/>
      <c r="Z381" s="1735"/>
      <c r="AA381" s="1735"/>
      <c r="AB381" s="1735"/>
      <c r="AC381" s="1735"/>
      <c r="AD381" s="1735"/>
      <c r="AE381" s="1735"/>
      <c r="AF381" s="1735"/>
      <c r="AG381" s="1282">
        <f t="shared" si="80"/>
        <v>15</v>
      </c>
    </row>
    <row r="382" spans="1:33" s="1725" customFormat="1" ht="57" customHeight="1">
      <c r="A382" s="1839">
        <v>3114</v>
      </c>
      <c r="B382" s="1889" t="s">
        <v>266</v>
      </c>
      <c r="C382" s="1840" t="s">
        <v>267</v>
      </c>
      <c r="D382" s="1890"/>
      <c r="E382" s="1802">
        <v>15</v>
      </c>
      <c r="F382" s="1801">
        <v>43269</v>
      </c>
      <c r="G382" s="1801">
        <f t="shared" si="81"/>
        <v>43284</v>
      </c>
      <c r="H382" s="1802" t="s">
        <v>247</v>
      </c>
      <c r="I382" s="1802" t="s">
        <v>169</v>
      </c>
      <c r="J382" s="2263" t="s">
        <v>176</v>
      </c>
      <c r="K382" s="1735" t="s">
        <v>257</v>
      </c>
      <c r="L382" s="2268">
        <v>23173</v>
      </c>
      <c r="M382" s="1544"/>
      <c r="N382" s="1802">
        <v>23172</v>
      </c>
      <c r="O382" s="1841">
        <v>66.666666666666671</v>
      </c>
      <c r="P382" s="887">
        <v>6</v>
      </c>
      <c r="Q382" s="1810">
        <f t="shared" si="83"/>
        <v>400</v>
      </c>
      <c r="R382" s="1805"/>
      <c r="S382" s="1806"/>
      <c r="T382" s="1806"/>
      <c r="U382" s="1806"/>
      <c r="V382" s="1806">
        <v>400</v>
      </c>
      <c r="W382" s="1806"/>
      <c r="X382" s="1807"/>
      <c r="Y382" s="1808"/>
      <c r="Z382" s="1735"/>
      <c r="AA382" s="1735"/>
      <c r="AB382" s="1735"/>
      <c r="AC382" s="1735"/>
      <c r="AD382" s="1735"/>
      <c r="AE382" s="1735"/>
      <c r="AF382" s="1735"/>
      <c r="AG382" s="1282">
        <f t="shared" si="80"/>
        <v>400</v>
      </c>
    </row>
    <row r="383" spans="1:33" s="1725" customFormat="1" ht="57" customHeight="1">
      <c r="A383" s="1839">
        <v>3115</v>
      </c>
      <c r="B383" s="1889" t="s">
        <v>269</v>
      </c>
      <c r="C383" s="1840" t="s">
        <v>270</v>
      </c>
      <c r="D383" s="1890"/>
      <c r="E383" s="1802">
        <v>15</v>
      </c>
      <c r="F383" s="1801">
        <v>43290</v>
      </c>
      <c r="G383" s="1801">
        <f t="shared" si="81"/>
        <v>43305</v>
      </c>
      <c r="H383" s="1802" t="s">
        <v>247</v>
      </c>
      <c r="I383" s="1802" t="s">
        <v>169</v>
      </c>
      <c r="J383" s="1803" t="s">
        <v>176</v>
      </c>
      <c r="K383" s="2112" t="s">
        <v>252</v>
      </c>
      <c r="L383" s="1804">
        <v>23174</v>
      </c>
      <c r="M383" s="1544"/>
      <c r="N383" s="1802">
        <v>23174</v>
      </c>
      <c r="O383" s="1810">
        <v>12</v>
      </c>
      <c r="P383" s="1802">
        <f>20*9</f>
        <v>180</v>
      </c>
      <c r="Q383" s="1810">
        <f t="shared" ref="Q383:Q388" si="84">O383*P383</f>
        <v>2160</v>
      </c>
      <c r="R383" s="1805"/>
      <c r="S383" s="1806"/>
      <c r="T383" s="1806"/>
      <c r="U383" s="1806"/>
      <c r="V383" s="1806"/>
      <c r="W383" s="1806">
        <v>2160</v>
      </c>
      <c r="X383" s="1807"/>
      <c r="Y383" s="1808"/>
      <c r="Z383" s="1735"/>
      <c r="AA383" s="1735"/>
      <c r="AB383" s="1735"/>
      <c r="AC383" s="1735"/>
      <c r="AD383" s="1735"/>
      <c r="AE383" s="1735"/>
      <c r="AF383" s="1735"/>
      <c r="AG383" s="1282">
        <f t="shared" si="80"/>
        <v>2160</v>
      </c>
    </row>
    <row r="384" spans="1:33" s="1725" customFormat="1" ht="57" customHeight="1">
      <c r="A384" s="1839">
        <v>3115</v>
      </c>
      <c r="B384" s="1889" t="s">
        <v>269</v>
      </c>
      <c r="C384" s="1840" t="s">
        <v>270</v>
      </c>
      <c r="D384" s="1890"/>
      <c r="E384" s="1802">
        <v>15</v>
      </c>
      <c r="F384" s="1801">
        <v>43290</v>
      </c>
      <c r="G384" s="1801">
        <f t="shared" si="81"/>
        <v>43305</v>
      </c>
      <c r="H384" s="1802" t="s">
        <v>247</v>
      </c>
      <c r="I384" s="1802" t="s">
        <v>169</v>
      </c>
      <c r="J384" s="1803" t="s">
        <v>176</v>
      </c>
      <c r="K384" s="1544" t="s">
        <v>253</v>
      </c>
      <c r="L384" s="1804">
        <v>23174</v>
      </c>
      <c r="M384" s="1544"/>
      <c r="N384" s="1802">
        <v>23174</v>
      </c>
      <c r="O384" s="1810">
        <v>13.333333333333334</v>
      </c>
      <c r="P384" s="1802">
        <f>20*8</f>
        <v>160</v>
      </c>
      <c r="Q384" s="1810">
        <f t="shared" si="84"/>
        <v>2133.3333333333335</v>
      </c>
      <c r="R384" s="1805"/>
      <c r="S384" s="1806"/>
      <c r="T384" s="1806"/>
      <c r="U384" s="1806"/>
      <c r="V384" s="1806"/>
      <c r="W384" s="1806">
        <v>2133.3333333333335</v>
      </c>
      <c r="X384" s="1807"/>
      <c r="Y384" s="1808"/>
      <c r="Z384" s="1735"/>
      <c r="AA384" s="1735"/>
      <c r="AB384" s="1735"/>
      <c r="AC384" s="1735"/>
      <c r="AD384" s="1735"/>
      <c r="AE384" s="1735"/>
      <c r="AF384" s="1735"/>
      <c r="AG384" s="1282">
        <f t="shared" si="80"/>
        <v>2133.3333333333335</v>
      </c>
    </row>
    <row r="385" spans="1:33" s="1725" customFormat="1" ht="57" customHeight="1">
      <c r="A385" s="1839">
        <v>3115</v>
      </c>
      <c r="B385" s="1889" t="s">
        <v>269</v>
      </c>
      <c r="C385" s="1840" t="s">
        <v>270</v>
      </c>
      <c r="D385" s="1890"/>
      <c r="E385" s="1802">
        <v>15</v>
      </c>
      <c r="F385" s="1801">
        <v>43290</v>
      </c>
      <c r="G385" s="1801">
        <f t="shared" si="81"/>
        <v>43305</v>
      </c>
      <c r="H385" s="1802" t="s">
        <v>247</v>
      </c>
      <c r="I385" s="1802" t="s">
        <v>169</v>
      </c>
      <c r="J385" s="1803" t="s">
        <v>176</v>
      </c>
      <c r="K385" s="2264" t="s">
        <v>254</v>
      </c>
      <c r="L385" s="1804">
        <v>23174</v>
      </c>
      <c r="M385" s="1544"/>
      <c r="N385" s="1802">
        <v>23174</v>
      </c>
      <c r="O385" s="1841">
        <v>10</v>
      </c>
      <c r="P385" s="887">
        <v>20</v>
      </c>
      <c r="Q385" s="1810">
        <f t="shared" si="84"/>
        <v>200</v>
      </c>
      <c r="R385" s="1805"/>
      <c r="S385" s="1806"/>
      <c r="T385" s="1806"/>
      <c r="U385" s="1806"/>
      <c r="V385" s="1806"/>
      <c r="W385" s="1806">
        <v>200</v>
      </c>
      <c r="X385" s="1807"/>
      <c r="Y385" s="1808"/>
      <c r="Z385" s="1735"/>
      <c r="AA385" s="1735"/>
      <c r="AB385" s="1735"/>
      <c r="AC385" s="1735"/>
      <c r="AD385" s="1735"/>
      <c r="AE385" s="1735"/>
      <c r="AF385" s="1735"/>
      <c r="AG385" s="1282">
        <f t="shared" si="80"/>
        <v>200</v>
      </c>
    </row>
    <row r="386" spans="1:33" s="1725" customFormat="1" ht="57" customHeight="1">
      <c r="A386" s="1839">
        <v>3115</v>
      </c>
      <c r="B386" s="1889" t="s">
        <v>269</v>
      </c>
      <c r="C386" s="1840" t="s">
        <v>270</v>
      </c>
      <c r="D386" s="1890"/>
      <c r="E386" s="1802">
        <v>15</v>
      </c>
      <c r="F386" s="1801">
        <v>43290</v>
      </c>
      <c r="G386" s="1801">
        <f t="shared" si="81"/>
        <v>43305</v>
      </c>
      <c r="H386" s="1802" t="s">
        <v>247</v>
      </c>
      <c r="I386" s="1802" t="s">
        <v>169</v>
      </c>
      <c r="J386" s="2263" t="s">
        <v>176</v>
      </c>
      <c r="K386" s="1735" t="s">
        <v>255</v>
      </c>
      <c r="L386" s="1892">
        <v>23174</v>
      </c>
      <c r="M386" s="1544"/>
      <c r="N386" s="1802">
        <v>23174</v>
      </c>
      <c r="O386" s="1841">
        <v>0.4</v>
      </c>
      <c r="P386" s="887">
        <v>170</v>
      </c>
      <c r="Q386" s="1810">
        <f t="shared" si="84"/>
        <v>68</v>
      </c>
      <c r="R386" s="1805"/>
      <c r="S386" s="1806"/>
      <c r="T386" s="1806"/>
      <c r="U386" s="1806"/>
      <c r="V386" s="1806"/>
      <c r="W386" s="1806">
        <v>68</v>
      </c>
      <c r="X386" s="1807"/>
      <c r="Y386" s="1808"/>
      <c r="Z386" s="1735"/>
      <c r="AA386" s="1735"/>
      <c r="AB386" s="1735"/>
      <c r="AC386" s="1735"/>
      <c r="AD386" s="1735"/>
      <c r="AE386" s="1735"/>
      <c r="AF386" s="1735"/>
      <c r="AG386" s="1282">
        <f t="shared" si="80"/>
        <v>68</v>
      </c>
    </row>
    <row r="387" spans="1:33" s="1725" customFormat="1" ht="57" customHeight="1">
      <c r="A387" s="1839">
        <v>3115</v>
      </c>
      <c r="B387" s="1889" t="s">
        <v>269</v>
      </c>
      <c r="C387" s="1840" t="s">
        <v>270</v>
      </c>
      <c r="D387" s="1890"/>
      <c r="E387" s="1802">
        <v>45</v>
      </c>
      <c r="F387" s="1801">
        <v>43193</v>
      </c>
      <c r="G387" s="1801">
        <f t="shared" si="81"/>
        <v>43238</v>
      </c>
      <c r="H387" s="1802" t="s">
        <v>247</v>
      </c>
      <c r="I387" s="1802" t="s">
        <v>169</v>
      </c>
      <c r="J387" s="1803" t="s">
        <v>176</v>
      </c>
      <c r="K387" s="326" t="s">
        <v>256</v>
      </c>
      <c r="L387" s="1804">
        <v>23173</v>
      </c>
      <c r="M387" s="1544"/>
      <c r="N387" s="1802">
        <v>23173</v>
      </c>
      <c r="O387" s="1841">
        <v>72.333333333333329</v>
      </c>
      <c r="P387" s="887">
        <v>1</v>
      </c>
      <c r="Q387" s="1810">
        <f t="shared" si="84"/>
        <v>72.333333333333329</v>
      </c>
      <c r="R387" s="1805"/>
      <c r="S387" s="1806"/>
      <c r="T387" s="1806"/>
      <c r="U387" s="1806">
        <v>72.333333333333329</v>
      </c>
      <c r="V387" s="1806"/>
      <c r="X387" s="1807"/>
      <c r="Y387" s="1808"/>
      <c r="Z387" s="1735"/>
      <c r="AA387" s="1735"/>
      <c r="AB387" s="1735"/>
      <c r="AC387" s="1735"/>
      <c r="AD387" s="1735"/>
      <c r="AE387" s="1735"/>
      <c r="AF387" s="1735"/>
      <c r="AG387" s="1282">
        <f t="shared" si="80"/>
        <v>72.333333333333329</v>
      </c>
    </row>
    <row r="388" spans="1:33" s="1725" customFormat="1" ht="57" customHeight="1">
      <c r="A388" s="1839">
        <v>3115</v>
      </c>
      <c r="B388" s="1889" t="s">
        <v>269</v>
      </c>
      <c r="C388" s="1840" t="s">
        <v>270</v>
      </c>
      <c r="D388" s="1890"/>
      <c r="E388" s="1802">
        <v>15</v>
      </c>
      <c r="F388" s="1801">
        <v>43290</v>
      </c>
      <c r="G388" s="1801">
        <f t="shared" si="81"/>
        <v>43305</v>
      </c>
      <c r="H388" s="1802" t="s">
        <v>247</v>
      </c>
      <c r="I388" s="1802" t="s">
        <v>169</v>
      </c>
      <c r="J388" s="1891" t="s">
        <v>176</v>
      </c>
      <c r="K388" s="1735" t="s">
        <v>257</v>
      </c>
      <c r="L388" s="1892">
        <v>23173</v>
      </c>
      <c r="M388" s="1544"/>
      <c r="N388" s="1802">
        <v>23172</v>
      </c>
      <c r="O388" s="1841">
        <v>66.666666666666671</v>
      </c>
      <c r="P388" s="887">
        <v>7</v>
      </c>
      <c r="Q388" s="1810">
        <f t="shared" si="84"/>
        <v>466.66666666666669</v>
      </c>
      <c r="R388" s="1805"/>
      <c r="S388" s="1806"/>
      <c r="T388" s="1806"/>
      <c r="U388" s="1806"/>
      <c r="V388" s="1806"/>
      <c r="W388" s="1806">
        <v>466.66666666666669</v>
      </c>
      <c r="X388" s="1807"/>
      <c r="Y388" s="1808"/>
      <c r="Z388" s="1735"/>
      <c r="AA388" s="1735"/>
      <c r="AB388" s="1735"/>
      <c r="AC388" s="1735"/>
      <c r="AD388" s="1735"/>
      <c r="AE388" s="1735"/>
      <c r="AF388" s="1735"/>
      <c r="AG388" s="1282">
        <f t="shared" si="80"/>
        <v>466.66666666666669</v>
      </c>
    </row>
    <row r="389" spans="1:33" s="1725" customFormat="1" ht="57" customHeight="1">
      <c r="A389" s="1839">
        <v>3116</v>
      </c>
      <c r="B389" s="1889" t="s">
        <v>271</v>
      </c>
      <c r="C389" s="1840" t="s">
        <v>272</v>
      </c>
      <c r="D389" s="1890"/>
      <c r="E389" s="1802">
        <v>15</v>
      </c>
      <c r="F389" s="1801">
        <v>43311</v>
      </c>
      <c r="G389" s="1801">
        <f t="shared" si="81"/>
        <v>43326</v>
      </c>
      <c r="H389" s="1802" t="s">
        <v>247</v>
      </c>
      <c r="I389" s="1802" t="s">
        <v>169</v>
      </c>
      <c r="J389" s="1891" t="s">
        <v>176</v>
      </c>
      <c r="K389" s="1735" t="s">
        <v>273</v>
      </c>
      <c r="L389" s="1892">
        <v>23173</v>
      </c>
      <c r="M389" s="1544"/>
      <c r="N389" s="1802">
        <v>23173</v>
      </c>
      <c r="O389" s="1841">
        <v>0.4</v>
      </c>
      <c r="P389" s="887">
        <v>170</v>
      </c>
      <c r="Q389" s="1810">
        <f>O389*P389</f>
        <v>68</v>
      </c>
      <c r="R389" s="1805"/>
      <c r="S389" s="1806"/>
      <c r="T389" s="1806"/>
      <c r="U389" s="1806"/>
      <c r="V389" s="1806"/>
      <c r="W389" s="1806"/>
      <c r="X389" s="1807">
        <v>68</v>
      </c>
      <c r="Y389" s="1808"/>
      <c r="Z389" s="1735"/>
      <c r="AA389" s="1735"/>
      <c r="AB389" s="1735"/>
      <c r="AC389" s="1735"/>
      <c r="AD389" s="1735"/>
      <c r="AE389" s="1735"/>
      <c r="AF389" s="1735"/>
      <c r="AG389" s="1282">
        <f t="shared" si="80"/>
        <v>68</v>
      </c>
    </row>
    <row r="390" spans="1:33" s="1725" customFormat="1" ht="57" customHeight="1">
      <c r="A390" s="1839">
        <v>3116</v>
      </c>
      <c r="B390" s="1889" t="s">
        <v>271</v>
      </c>
      <c r="C390" s="1840" t="s">
        <v>272</v>
      </c>
      <c r="D390" s="1890"/>
      <c r="E390" s="1802">
        <v>45</v>
      </c>
      <c r="F390" s="1801">
        <v>43193</v>
      </c>
      <c r="G390" s="1801">
        <f t="shared" si="81"/>
        <v>43238</v>
      </c>
      <c r="H390" s="1802" t="s">
        <v>247</v>
      </c>
      <c r="I390" s="1802" t="s">
        <v>169</v>
      </c>
      <c r="J390" s="1803" t="s">
        <v>176</v>
      </c>
      <c r="K390" s="326" t="s">
        <v>256</v>
      </c>
      <c r="L390" s="1804">
        <v>23173</v>
      </c>
      <c r="M390" s="1544"/>
      <c r="N390" s="1802">
        <v>23173</v>
      </c>
      <c r="O390" s="1841">
        <v>48.666666666666664</v>
      </c>
      <c r="P390" s="887">
        <v>1</v>
      </c>
      <c r="Q390" s="1810">
        <f>O390*P390</f>
        <v>48.666666666666664</v>
      </c>
      <c r="R390" s="1805"/>
      <c r="S390" s="1806"/>
      <c r="T390" s="1806"/>
      <c r="U390" s="1806">
        <v>48.666666666666664</v>
      </c>
      <c r="V390" s="1806"/>
      <c r="W390" s="1806"/>
      <c r="Y390" s="1808"/>
      <c r="Z390" s="1735"/>
      <c r="AA390" s="1735"/>
      <c r="AB390" s="1735"/>
      <c r="AC390" s="1735"/>
      <c r="AD390" s="1735"/>
      <c r="AE390" s="1735"/>
      <c r="AF390" s="1735"/>
      <c r="AG390" s="1282">
        <f t="shared" si="80"/>
        <v>48.666666666666664</v>
      </c>
    </row>
    <row r="391" spans="1:33" s="1725" customFormat="1" ht="57" customHeight="1">
      <c r="A391" s="1839">
        <v>3116</v>
      </c>
      <c r="B391" s="1889" t="s">
        <v>271</v>
      </c>
      <c r="C391" s="1840" t="s">
        <v>272</v>
      </c>
      <c r="D391" s="1890"/>
      <c r="E391" s="1802">
        <v>15</v>
      </c>
      <c r="F391" s="1801">
        <v>43311</v>
      </c>
      <c r="G391" s="1801">
        <f t="shared" si="81"/>
        <v>43326</v>
      </c>
      <c r="H391" s="1802" t="s">
        <v>247</v>
      </c>
      <c r="I391" s="1802" t="s">
        <v>169</v>
      </c>
      <c r="J391" s="1803" t="s">
        <v>176</v>
      </c>
      <c r="K391" s="1725" t="s">
        <v>257</v>
      </c>
      <c r="L391" s="1804">
        <v>23173</v>
      </c>
      <c r="M391" s="1544"/>
      <c r="N391" s="1802">
        <v>23172</v>
      </c>
      <c r="O391" s="1841">
        <v>66.666666666666671</v>
      </c>
      <c r="P391" s="887">
        <v>1</v>
      </c>
      <c r="Q391" s="1810">
        <f>O391*P391</f>
        <v>66.666666666666671</v>
      </c>
      <c r="R391" s="1805"/>
      <c r="S391" s="1806"/>
      <c r="T391" s="1806"/>
      <c r="U391" s="1806"/>
      <c r="V391" s="1806"/>
      <c r="W391" s="1806"/>
      <c r="X391" s="1807">
        <v>66.666666666666671</v>
      </c>
      <c r="Y391" s="1808"/>
      <c r="Z391" s="1735"/>
      <c r="AA391" s="1735"/>
      <c r="AB391" s="1735"/>
      <c r="AC391" s="1735"/>
      <c r="AD391" s="1735"/>
      <c r="AE391" s="1735"/>
      <c r="AF391" s="1735"/>
      <c r="AG391" s="1282">
        <f t="shared" si="80"/>
        <v>66.666666666666671</v>
      </c>
    </row>
    <row r="392" spans="1:33" s="280" customFormat="1" ht="24" customHeight="1">
      <c r="A392" s="1248" t="s">
        <v>274</v>
      </c>
      <c r="B392" s="274"/>
      <c r="C392" s="278"/>
      <c r="D392" s="1270"/>
      <c r="E392" s="1270"/>
      <c r="F392" s="1270"/>
      <c r="G392" s="1270"/>
      <c r="H392" s="1270"/>
      <c r="I392" s="1270"/>
      <c r="J392" s="273"/>
      <c r="K392" s="1248"/>
      <c r="L392" s="1269"/>
      <c r="M392" s="1270"/>
      <c r="N392" s="1268"/>
      <c r="O392" s="1272"/>
      <c r="P392" s="1268"/>
      <c r="Q392" s="1272">
        <f>+Q393+Q400+Q407+Q421+Q428+Q434</f>
        <v>99999.71</v>
      </c>
      <c r="R392" s="1272">
        <v>100000</v>
      </c>
      <c r="S392" s="1272">
        <f t="shared" ref="S392:AG392" si="85">+S393+S400+S407+S421+S428+S434</f>
        <v>0</v>
      </c>
      <c r="T392" s="1272">
        <f t="shared" si="85"/>
        <v>0</v>
      </c>
      <c r="U392" s="1272">
        <f t="shared" si="85"/>
        <v>0</v>
      </c>
      <c r="V392" s="1272">
        <f t="shared" si="85"/>
        <v>0</v>
      </c>
      <c r="W392" s="1272">
        <f t="shared" si="85"/>
        <v>51037.666666666672</v>
      </c>
      <c r="X392" s="1272">
        <f t="shared" si="85"/>
        <v>26295.376666666667</v>
      </c>
      <c r="Y392" s="1272">
        <f t="shared" si="85"/>
        <v>0</v>
      </c>
      <c r="Z392" s="276">
        <f t="shared" si="85"/>
        <v>22666.666666666668</v>
      </c>
      <c r="AA392" s="276">
        <f t="shared" si="85"/>
        <v>0</v>
      </c>
      <c r="AB392" s="276">
        <f t="shared" si="85"/>
        <v>0</v>
      </c>
      <c r="AC392" s="276">
        <f t="shared" si="85"/>
        <v>0</v>
      </c>
      <c r="AD392" s="276">
        <f t="shared" si="85"/>
        <v>0</v>
      </c>
      <c r="AE392" s="276">
        <f t="shared" si="85"/>
        <v>0</v>
      </c>
      <c r="AF392" s="276">
        <f t="shared" si="85"/>
        <v>0</v>
      </c>
      <c r="AG392" s="1272">
        <f t="shared" si="85"/>
        <v>99999.71</v>
      </c>
    </row>
    <row r="393" spans="1:33" s="550" customFormat="1" ht="36.75" customHeight="1">
      <c r="A393" s="1275">
        <v>321</v>
      </c>
      <c r="B393" s="523" t="s">
        <v>552</v>
      </c>
      <c r="C393" s="1504"/>
      <c r="D393" s="1358"/>
      <c r="E393" s="1358"/>
      <c r="F393" s="1358"/>
      <c r="G393" s="1358"/>
      <c r="H393" s="1358"/>
      <c r="I393" s="1358"/>
      <c r="J393" s="543"/>
      <c r="K393" s="1545"/>
      <c r="L393" s="1389"/>
      <c r="M393" s="1390"/>
      <c r="N393" s="1388"/>
      <c r="O393" s="1282"/>
      <c r="P393" s="1388"/>
      <c r="Q393" s="1282">
        <f>SUM(Q394:Q399)</f>
        <v>22794.666666666668</v>
      </c>
      <c r="R393" s="1282"/>
      <c r="S393" s="1282">
        <f t="shared" ref="S393:AF393" si="86">SUM(S394:S399)</f>
        <v>0</v>
      </c>
      <c r="T393" s="1282">
        <f t="shared" si="86"/>
        <v>0</v>
      </c>
      <c r="U393" s="1282">
        <f t="shared" si="86"/>
        <v>0</v>
      </c>
      <c r="V393" s="1282">
        <f t="shared" si="86"/>
        <v>0</v>
      </c>
      <c r="W393" s="1282">
        <f t="shared" si="86"/>
        <v>22794.666666666668</v>
      </c>
      <c r="X393" s="1282">
        <f t="shared" si="86"/>
        <v>0</v>
      </c>
      <c r="Y393" s="1282">
        <f t="shared" si="86"/>
        <v>0</v>
      </c>
      <c r="Z393" s="1282">
        <f t="shared" si="86"/>
        <v>0</v>
      </c>
      <c r="AA393" s="1282">
        <f t="shared" si="86"/>
        <v>0</v>
      </c>
      <c r="AB393" s="1282">
        <f t="shared" si="86"/>
        <v>0</v>
      </c>
      <c r="AC393" s="1282">
        <f t="shared" si="86"/>
        <v>0</v>
      </c>
      <c r="AD393" s="1282">
        <f t="shared" si="86"/>
        <v>0</v>
      </c>
      <c r="AE393" s="1282">
        <f t="shared" si="86"/>
        <v>0</v>
      </c>
      <c r="AF393" s="1282">
        <f t="shared" si="86"/>
        <v>0</v>
      </c>
      <c r="AG393" s="1282">
        <f>SUM(S393:AF393)</f>
        <v>22794.666666666668</v>
      </c>
    </row>
    <row r="394" spans="1:33" s="280" customFormat="1">
      <c r="A394" s="294">
        <v>3212</v>
      </c>
      <c r="B394" s="291" t="s">
        <v>556</v>
      </c>
      <c r="C394" s="824" t="s">
        <v>559</v>
      </c>
      <c r="D394" s="294" t="s">
        <v>514</v>
      </c>
      <c r="E394" s="294">
        <v>45</v>
      </c>
      <c r="F394" s="829">
        <v>43194</v>
      </c>
      <c r="G394" s="829">
        <f>+E394+F394</f>
        <v>43239</v>
      </c>
      <c r="H394" s="1391" t="s">
        <v>555</v>
      </c>
      <c r="I394" s="294" t="s">
        <v>169</v>
      </c>
      <c r="J394" s="307" t="s">
        <v>177</v>
      </c>
      <c r="K394" s="326" t="s">
        <v>302</v>
      </c>
      <c r="L394" s="1241">
        <v>23173</v>
      </c>
      <c r="M394" s="296"/>
      <c r="N394" s="294"/>
      <c r="O394" s="355">
        <v>202.6</v>
      </c>
      <c r="P394" s="294">
        <v>1</v>
      </c>
      <c r="Q394" s="355">
        <f>O394*P394</f>
        <v>202.6</v>
      </c>
      <c r="R394" s="355"/>
      <c r="S394" s="298"/>
      <c r="T394" s="298"/>
      <c r="U394" s="298"/>
      <c r="V394" s="298"/>
      <c r="W394" s="355">
        <v>202.6</v>
      </c>
      <c r="X394" s="1137"/>
      <c r="Y394" s="1126"/>
      <c r="Z394" s="1126"/>
      <c r="AA394" s="1126"/>
      <c r="AB394" s="1126"/>
      <c r="AC394" s="1126"/>
      <c r="AD394" s="1126"/>
      <c r="AE394" s="1126"/>
      <c r="AF394" s="1126"/>
      <c r="AG394" s="1282">
        <f t="shared" ref="AG394:AG399" si="87">SUM(S394:AF394)</f>
        <v>202.6</v>
      </c>
    </row>
    <row r="395" spans="1:33" s="280" customFormat="1">
      <c r="A395" s="294">
        <v>3212</v>
      </c>
      <c r="B395" s="291" t="s">
        <v>556</v>
      </c>
      <c r="C395" s="824" t="s">
        <v>560</v>
      </c>
      <c r="D395" s="1391"/>
      <c r="E395" s="294">
        <f>10</f>
        <v>10</v>
      </c>
      <c r="F395" s="829">
        <v>43252</v>
      </c>
      <c r="G395" s="829">
        <f>+F395+E395</f>
        <v>43262</v>
      </c>
      <c r="H395" s="1391" t="s">
        <v>555</v>
      </c>
      <c r="I395" s="294" t="s">
        <v>177</v>
      </c>
      <c r="J395" s="307"/>
      <c r="K395" s="326" t="s">
        <v>561</v>
      </c>
      <c r="L395" s="1241">
        <v>23174</v>
      </c>
      <c r="M395" s="296"/>
      <c r="N395" s="294"/>
      <c r="O395" s="1364">
        <v>4064</v>
      </c>
      <c r="P395" s="294">
        <v>1</v>
      </c>
      <c r="Q395" s="355">
        <f>O395*P395</f>
        <v>4064</v>
      </c>
      <c r="R395" s="355"/>
      <c r="S395" s="298"/>
      <c r="T395" s="298"/>
      <c r="U395" s="298"/>
      <c r="V395" s="298"/>
      <c r="W395" s="355">
        <v>4064</v>
      </c>
      <c r="X395" s="1137"/>
      <c r="Y395" s="1126"/>
      <c r="Z395" s="1126"/>
      <c r="AA395" s="1126"/>
      <c r="AB395" s="1126"/>
      <c r="AC395" s="1126"/>
      <c r="AD395" s="1126"/>
      <c r="AE395" s="1126"/>
      <c r="AF395" s="1126"/>
      <c r="AG395" s="1282">
        <f t="shared" si="87"/>
        <v>4064</v>
      </c>
    </row>
    <row r="396" spans="1:33" s="280" customFormat="1">
      <c r="A396" s="294">
        <v>3212</v>
      </c>
      <c r="B396" s="291" t="s">
        <v>556</v>
      </c>
      <c r="C396" s="824" t="s">
        <v>562</v>
      </c>
      <c r="D396" s="1391"/>
      <c r="E396" s="294">
        <f>10</f>
        <v>10</v>
      </c>
      <c r="F396" s="829">
        <v>43252</v>
      </c>
      <c r="G396" s="829">
        <f>+F396+E396</f>
        <v>43262</v>
      </c>
      <c r="H396" s="1391" t="s">
        <v>555</v>
      </c>
      <c r="I396" s="294" t="s">
        <v>177</v>
      </c>
      <c r="J396" s="307"/>
      <c r="K396" s="326" t="s">
        <v>563</v>
      </c>
      <c r="L396" s="1241">
        <v>23174</v>
      </c>
      <c r="M396" s="296"/>
      <c r="N396" s="294"/>
      <c r="O396" s="355">
        <v>1640</v>
      </c>
      <c r="P396" s="294">
        <v>1</v>
      </c>
      <c r="Q396" s="355">
        <f>O396*P396</f>
        <v>1640</v>
      </c>
      <c r="R396" s="355"/>
      <c r="S396" s="298"/>
      <c r="T396" s="298"/>
      <c r="U396" s="298"/>
      <c r="V396" s="298"/>
      <c r="W396" s="355">
        <v>1640</v>
      </c>
      <c r="X396" s="1137"/>
      <c r="Y396" s="1126"/>
      <c r="Z396" s="1126"/>
      <c r="AA396" s="1126"/>
      <c r="AB396" s="1126"/>
      <c r="AC396" s="1126"/>
      <c r="AD396" s="1126"/>
      <c r="AE396" s="1126"/>
      <c r="AF396" s="1126"/>
      <c r="AG396" s="1282">
        <f t="shared" si="87"/>
        <v>1640</v>
      </c>
    </row>
    <row r="397" spans="1:33" s="280" customFormat="1">
      <c r="A397" s="294">
        <v>3212</v>
      </c>
      <c r="B397" s="291" t="s">
        <v>556</v>
      </c>
      <c r="C397" s="824" t="s">
        <v>564</v>
      </c>
      <c r="D397" s="1391"/>
      <c r="E397" s="294">
        <f>10</f>
        <v>10</v>
      </c>
      <c r="F397" s="829">
        <v>43252</v>
      </c>
      <c r="G397" s="829">
        <f>+F397+E397</f>
        <v>43262</v>
      </c>
      <c r="H397" s="1391" t="s">
        <v>555</v>
      </c>
      <c r="I397" s="294" t="s">
        <v>177</v>
      </c>
      <c r="J397" s="307"/>
      <c r="K397" s="326" t="s">
        <v>565</v>
      </c>
      <c r="L397" s="1241">
        <v>23174</v>
      </c>
      <c r="M397" s="296"/>
      <c r="N397" s="294"/>
      <c r="O397" s="355">
        <v>426.73333333333335</v>
      </c>
      <c r="P397" s="294">
        <v>1</v>
      </c>
      <c r="Q397" s="355">
        <f>O397*P397</f>
        <v>426.73333333333335</v>
      </c>
      <c r="R397" s="355"/>
      <c r="S397" s="298"/>
      <c r="T397" s="298"/>
      <c r="U397" s="298"/>
      <c r="V397" s="298"/>
      <c r="W397" s="355">
        <v>426.73333333333335</v>
      </c>
      <c r="X397" s="1137"/>
      <c r="Y397" s="1126"/>
      <c r="Z397" s="1126"/>
      <c r="AA397" s="1126"/>
      <c r="AB397" s="1126"/>
      <c r="AC397" s="1126"/>
      <c r="AD397" s="1126"/>
      <c r="AE397" s="1126"/>
      <c r="AF397" s="1126"/>
      <c r="AG397" s="1282">
        <f t="shared" si="87"/>
        <v>426.73333333333335</v>
      </c>
    </row>
    <row r="398" spans="1:33" s="280" customFormat="1">
      <c r="A398" s="294">
        <v>3212</v>
      </c>
      <c r="B398" s="291" t="s">
        <v>556</v>
      </c>
      <c r="C398" s="824" t="s">
        <v>566</v>
      </c>
      <c r="D398" s="1391"/>
      <c r="E398" s="294">
        <f>10</f>
        <v>10</v>
      </c>
      <c r="F398" s="829">
        <v>43252</v>
      </c>
      <c r="G398" s="829">
        <f>+F398+E398</f>
        <v>43262</v>
      </c>
      <c r="H398" s="1391" t="s">
        <v>555</v>
      </c>
      <c r="I398" s="294" t="s">
        <v>169</v>
      </c>
      <c r="J398" s="307" t="s">
        <v>177</v>
      </c>
      <c r="K398" s="326" t="s">
        <v>486</v>
      </c>
      <c r="L398" s="1241">
        <v>23173</v>
      </c>
      <c r="M398" s="296"/>
      <c r="N398" s="294"/>
      <c r="O398" s="355">
        <v>333.33333333333331</v>
      </c>
      <c r="P398" s="294">
        <v>1</v>
      </c>
      <c r="Q398" s="355">
        <f>O398*P398</f>
        <v>333.33333333333331</v>
      </c>
      <c r="R398" s="355"/>
      <c r="S398" s="298"/>
      <c r="T398" s="298"/>
      <c r="U398" s="298"/>
      <c r="V398" s="298"/>
      <c r="W398" s="355">
        <v>333.33333333333331</v>
      </c>
      <c r="X398" s="1137"/>
      <c r="Y398" s="1126"/>
      <c r="Z398" s="1126"/>
      <c r="AA398" s="1126"/>
      <c r="AB398" s="1126"/>
      <c r="AC398" s="1126"/>
      <c r="AD398" s="1126"/>
      <c r="AE398" s="1126"/>
      <c r="AF398" s="1126"/>
      <c r="AG398" s="1282">
        <f t="shared" si="87"/>
        <v>333.33333333333331</v>
      </c>
    </row>
    <row r="399" spans="1:33" s="280" customFormat="1">
      <c r="A399" s="294">
        <v>3214</v>
      </c>
      <c r="B399" s="291" t="s">
        <v>570</v>
      </c>
      <c r="C399" s="824" t="s">
        <v>571</v>
      </c>
      <c r="D399" s="294"/>
      <c r="E399" s="294"/>
      <c r="F399" s="829">
        <v>43282</v>
      </c>
      <c r="G399" s="829"/>
      <c r="H399" s="294" t="s">
        <v>555</v>
      </c>
      <c r="I399" s="1393" t="s">
        <v>169</v>
      </c>
      <c r="J399" s="307" t="s">
        <v>177</v>
      </c>
      <c r="K399" s="326" t="s">
        <v>302</v>
      </c>
      <c r="L399" s="1241">
        <v>23173</v>
      </c>
      <c r="M399" s="296"/>
      <c r="N399" s="294"/>
      <c r="O399" s="487">
        <v>0.63</v>
      </c>
      <c r="P399" s="1014">
        <v>25600</v>
      </c>
      <c r="Q399" s="487">
        <f>+O399*P399</f>
        <v>16128</v>
      </c>
      <c r="R399" s="487"/>
      <c r="S399" s="493"/>
      <c r="T399" s="493"/>
      <c r="U399" s="493"/>
      <c r="V399" s="493"/>
      <c r="W399" s="487">
        <v>16128</v>
      </c>
      <c r="X399" s="1138"/>
      <c r="Y399" s="1156"/>
      <c r="Z399" s="1156"/>
      <c r="AA399" s="1156"/>
      <c r="AB399" s="1156"/>
      <c r="AC399" s="1156"/>
      <c r="AD399" s="1156"/>
      <c r="AE399" s="1156"/>
      <c r="AF399" s="1156"/>
      <c r="AG399" s="1282">
        <f t="shared" si="87"/>
        <v>16128</v>
      </c>
    </row>
    <row r="400" spans="1:33" s="280" customFormat="1">
      <c r="A400" s="1275">
        <v>322</v>
      </c>
      <c r="B400" s="523" t="s">
        <v>572</v>
      </c>
      <c r="C400" s="1504"/>
      <c r="D400" s="1358"/>
      <c r="E400" s="1358"/>
      <c r="F400" s="1358"/>
      <c r="G400" s="1358"/>
      <c r="H400" s="1358"/>
      <c r="I400" s="1358"/>
      <c r="J400" s="283"/>
      <c r="K400" s="1278"/>
      <c r="L400" s="1394"/>
      <c r="M400" s="495"/>
      <c r="N400" s="1277"/>
      <c r="O400" s="1395"/>
      <c r="P400" s="1277"/>
      <c r="Q400" s="1282">
        <f>SUM(Q401:Q406)</f>
        <v>7666.666666666667</v>
      </c>
      <c r="R400" s="1395"/>
      <c r="S400" s="1282">
        <f t="shared" ref="S400:AF400" si="88">SUM(S401:S406)</f>
        <v>0</v>
      </c>
      <c r="T400" s="1282">
        <f t="shared" si="88"/>
        <v>0</v>
      </c>
      <c r="U400" s="1282">
        <f t="shared" si="88"/>
        <v>0</v>
      </c>
      <c r="V400" s="1282">
        <f t="shared" si="88"/>
        <v>0</v>
      </c>
      <c r="W400" s="1282">
        <f t="shared" si="88"/>
        <v>0</v>
      </c>
      <c r="X400" s="1282">
        <f t="shared" si="88"/>
        <v>0</v>
      </c>
      <c r="Y400" s="1282">
        <f t="shared" si="88"/>
        <v>0</v>
      </c>
      <c r="Z400" s="1282">
        <f t="shared" si="88"/>
        <v>7666.666666666667</v>
      </c>
      <c r="AA400" s="1282">
        <f t="shared" si="88"/>
        <v>0</v>
      </c>
      <c r="AB400" s="1282">
        <f t="shared" si="88"/>
        <v>0</v>
      </c>
      <c r="AC400" s="1282">
        <f t="shared" si="88"/>
        <v>0</v>
      </c>
      <c r="AD400" s="1282">
        <f t="shared" si="88"/>
        <v>0</v>
      </c>
      <c r="AE400" s="1282">
        <f t="shared" si="88"/>
        <v>0</v>
      </c>
      <c r="AF400" s="1282">
        <f t="shared" si="88"/>
        <v>0</v>
      </c>
      <c r="AG400" s="1282">
        <f>SUM(S400:AF400)</f>
        <v>7666.666666666667</v>
      </c>
    </row>
    <row r="401" spans="1:33" s="280" customFormat="1">
      <c r="A401" s="294">
        <v>3222</v>
      </c>
      <c r="B401" s="561" t="s">
        <v>575</v>
      </c>
      <c r="C401" s="824" t="s">
        <v>579</v>
      </c>
      <c r="D401" s="294" t="s">
        <v>514</v>
      </c>
      <c r="E401" s="294">
        <v>45</v>
      </c>
      <c r="F401" s="829">
        <v>43194</v>
      </c>
      <c r="G401" s="829">
        <f t="shared" ref="G401:G406" si="89">+F401+E401</f>
        <v>43239</v>
      </c>
      <c r="H401" s="1391" t="s">
        <v>555</v>
      </c>
      <c r="I401" s="294" t="s">
        <v>169</v>
      </c>
      <c r="J401" s="307"/>
      <c r="K401" s="326" t="s">
        <v>302</v>
      </c>
      <c r="L401" s="1241">
        <v>23173</v>
      </c>
      <c r="M401" s="296"/>
      <c r="N401" s="294"/>
      <c r="O401" s="355">
        <v>202.6</v>
      </c>
      <c r="P401" s="294">
        <f>1</f>
        <v>1</v>
      </c>
      <c r="Q401" s="355">
        <f t="shared" ref="Q401:Q406" si="90">+O401*P401</f>
        <v>202.6</v>
      </c>
      <c r="R401" s="355"/>
      <c r="S401" s="298"/>
      <c r="T401" s="298"/>
      <c r="U401" s="298"/>
      <c r="V401" s="298"/>
      <c r="W401" s="355"/>
      <c r="X401" s="1137"/>
      <c r="Y401" s="1126"/>
      <c r="Z401" s="1126">
        <v>202.6</v>
      </c>
      <c r="AA401" s="1126"/>
      <c r="AB401" s="1126"/>
      <c r="AC401" s="1126"/>
      <c r="AD401" s="1126"/>
      <c r="AE401" s="1126"/>
      <c r="AF401" s="1126"/>
      <c r="AG401" s="1282">
        <f t="shared" ref="AG401:AG406" si="91">SUM(S401:AF401)</f>
        <v>202.6</v>
      </c>
    </row>
    <row r="402" spans="1:33" s="280" customFormat="1">
      <c r="A402" s="294">
        <v>3222</v>
      </c>
      <c r="B402" s="561" t="s">
        <v>575</v>
      </c>
      <c r="C402" s="824" t="s">
        <v>560</v>
      </c>
      <c r="D402" s="1391"/>
      <c r="E402" s="294">
        <v>10</v>
      </c>
      <c r="F402" s="829">
        <v>43313</v>
      </c>
      <c r="G402" s="829">
        <f t="shared" si="89"/>
        <v>43323</v>
      </c>
      <c r="H402" s="1391" t="s">
        <v>555</v>
      </c>
      <c r="I402" s="294" t="s">
        <v>177</v>
      </c>
      <c r="J402" s="307"/>
      <c r="K402" s="326" t="s">
        <v>561</v>
      </c>
      <c r="L402" s="1241">
        <v>23174</v>
      </c>
      <c r="M402" s="296"/>
      <c r="N402" s="294"/>
      <c r="O402" s="355">
        <v>4064</v>
      </c>
      <c r="P402" s="294">
        <f>1</f>
        <v>1</v>
      </c>
      <c r="Q402" s="355">
        <f t="shared" si="90"/>
        <v>4064</v>
      </c>
      <c r="R402" s="355"/>
      <c r="S402" s="298"/>
      <c r="T402" s="298"/>
      <c r="U402" s="298"/>
      <c r="V402" s="298"/>
      <c r="W402" s="355"/>
      <c r="X402" s="1137"/>
      <c r="Y402" s="1126"/>
      <c r="Z402" s="1126">
        <v>4064</v>
      </c>
      <c r="AA402" s="1126"/>
      <c r="AB402" s="1126"/>
      <c r="AC402" s="1126"/>
      <c r="AD402" s="1126"/>
      <c r="AE402" s="1126"/>
      <c r="AF402" s="1126"/>
      <c r="AG402" s="1282">
        <f t="shared" si="91"/>
        <v>4064</v>
      </c>
    </row>
    <row r="403" spans="1:33" s="280" customFormat="1">
      <c r="A403" s="294">
        <v>3222</v>
      </c>
      <c r="B403" s="561" t="s">
        <v>575</v>
      </c>
      <c r="C403" s="824" t="s">
        <v>562</v>
      </c>
      <c r="D403" s="1391"/>
      <c r="E403" s="294">
        <f>10</f>
        <v>10</v>
      </c>
      <c r="F403" s="829">
        <v>43313</v>
      </c>
      <c r="G403" s="829">
        <f t="shared" si="89"/>
        <v>43323</v>
      </c>
      <c r="H403" s="1391" t="s">
        <v>555</v>
      </c>
      <c r="I403" s="294" t="s">
        <v>177</v>
      </c>
      <c r="J403" s="307"/>
      <c r="K403" s="326" t="s">
        <v>563</v>
      </c>
      <c r="L403" s="1241">
        <v>23174</v>
      </c>
      <c r="M403" s="296"/>
      <c r="N403" s="294"/>
      <c r="O403" s="355">
        <v>1640</v>
      </c>
      <c r="P403" s="294">
        <f>1</f>
        <v>1</v>
      </c>
      <c r="Q403" s="355">
        <f t="shared" si="90"/>
        <v>1640</v>
      </c>
      <c r="R403" s="355"/>
      <c r="S403" s="298"/>
      <c r="T403" s="298"/>
      <c r="U403" s="298"/>
      <c r="V403" s="298"/>
      <c r="W403" s="355"/>
      <c r="X403" s="1137"/>
      <c r="Y403" s="1126"/>
      <c r="Z403" s="1126">
        <v>1640</v>
      </c>
      <c r="AA403" s="1126"/>
      <c r="AB403" s="1126"/>
      <c r="AC403" s="1126"/>
      <c r="AD403" s="1126"/>
      <c r="AE403" s="1126"/>
      <c r="AF403" s="1126"/>
      <c r="AG403" s="1282">
        <f t="shared" si="91"/>
        <v>1640</v>
      </c>
    </row>
    <row r="404" spans="1:33" s="280" customFormat="1">
      <c r="A404" s="294">
        <v>3222</v>
      </c>
      <c r="B404" s="561" t="s">
        <v>575</v>
      </c>
      <c r="C404" s="824" t="s">
        <v>564</v>
      </c>
      <c r="D404" s="1391"/>
      <c r="E404" s="294">
        <f>10</f>
        <v>10</v>
      </c>
      <c r="F404" s="829">
        <v>43313</v>
      </c>
      <c r="G404" s="829">
        <f t="shared" si="89"/>
        <v>43323</v>
      </c>
      <c r="H404" s="1391" t="s">
        <v>555</v>
      </c>
      <c r="I404" s="294" t="s">
        <v>177</v>
      </c>
      <c r="J404" s="307"/>
      <c r="K404" s="326" t="s">
        <v>565</v>
      </c>
      <c r="L404" s="1241">
        <v>23174</v>
      </c>
      <c r="M404" s="296"/>
      <c r="N404" s="294"/>
      <c r="O404" s="355">
        <v>426.73333333333335</v>
      </c>
      <c r="P404" s="294">
        <f>1</f>
        <v>1</v>
      </c>
      <c r="Q404" s="355">
        <f t="shared" si="90"/>
        <v>426.73333333333335</v>
      </c>
      <c r="R404" s="355"/>
      <c r="S404" s="298"/>
      <c r="T404" s="298"/>
      <c r="U404" s="298"/>
      <c r="V404" s="298"/>
      <c r="W404" s="355"/>
      <c r="X404" s="1137"/>
      <c r="Y404" s="1126"/>
      <c r="Z404" s="1126">
        <v>426.73333333333335</v>
      </c>
      <c r="AA404" s="1126"/>
      <c r="AB404" s="1126"/>
      <c r="AC404" s="1126"/>
      <c r="AD404" s="1126"/>
      <c r="AE404" s="1126"/>
      <c r="AF404" s="1126"/>
      <c r="AG404" s="1282">
        <f t="shared" si="91"/>
        <v>426.73333333333335</v>
      </c>
    </row>
    <row r="405" spans="1:33" s="280" customFormat="1">
      <c r="A405" s="294">
        <v>3222</v>
      </c>
      <c r="B405" s="561" t="s">
        <v>575</v>
      </c>
      <c r="C405" s="824" t="s">
        <v>566</v>
      </c>
      <c r="D405" s="1391"/>
      <c r="E405" s="294">
        <f>10</f>
        <v>10</v>
      </c>
      <c r="F405" s="829">
        <v>43313</v>
      </c>
      <c r="G405" s="829">
        <f t="shared" si="89"/>
        <v>43323</v>
      </c>
      <c r="H405" s="1391" t="s">
        <v>555</v>
      </c>
      <c r="I405" s="294" t="s">
        <v>169</v>
      </c>
      <c r="J405" s="307" t="s">
        <v>177</v>
      </c>
      <c r="K405" s="326" t="s">
        <v>486</v>
      </c>
      <c r="L405" s="1241">
        <v>23173</v>
      </c>
      <c r="M405" s="296"/>
      <c r="N405" s="294"/>
      <c r="O405" s="355">
        <v>333.33333333333331</v>
      </c>
      <c r="P405" s="294">
        <f>1</f>
        <v>1</v>
      </c>
      <c r="Q405" s="355">
        <f t="shared" si="90"/>
        <v>333.33333333333331</v>
      </c>
      <c r="R405" s="355"/>
      <c r="S405" s="298"/>
      <c r="T405" s="298"/>
      <c r="U405" s="298"/>
      <c r="V405" s="298"/>
      <c r="W405" s="355"/>
      <c r="X405" s="1137"/>
      <c r="Y405" s="1126"/>
      <c r="Z405" s="1126">
        <v>333.33333333333331</v>
      </c>
      <c r="AA405" s="1126"/>
      <c r="AB405" s="1126"/>
      <c r="AC405" s="1126"/>
      <c r="AD405" s="1126"/>
      <c r="AE405" s="1126"/>
      <c r="AF405" s="1126"/>
      <c r="AG405" s="1282">
        <f t="shared" si="91"/>
        <v>333.33333333333331</v>
      </c>
    </row>
    <row r="406" spans="1:33" s="280" customFormat="1">
      <c r="A406" s="1842">
        <v>3224</v>
      </c>
      <c r="B406" s="291" t="s">
        <v>583</v>
      </c>
      <c r="C406" s="824" t="s">
        <v>584</v>
      </c>
      <c r="D406" s="1396"/>
      <c r="E406" s="1391">
        <v>5</v>
      </c>
      <c r="F406" s="829">
        <v>43381</v>
      </c>
      <c r="G406" s="829">
        <f t="shared" si="89"/>
        <v>43386</v>
      </c>
      <c r="H406" s="1391" t="s">
        <v>555</v>
      </c>
      <c r="I406" s="294" t="s">
        <v>169</v>
      </c>
      <c r="J406" s="307" t="s">
        <v>177</v>
      </c>
      <c r="K406" s="326"/>
      <c r="L406" s="1241">
        <v>23173</v>
      </c>
      <c r="M406" s="296"/>
      <c r="N406" s="294"/>
      <c r="O406" s="487">
        <v>1000</v>
      </c>
      <c r="P406" s="294">
        <v>1</v>
      </c>
      <c r="Q406" s="487">
        <f t="shared" si="90"/>
        <v>1000</v>
      </c>
      <c r="R406" s="487"/>
      <c r="S406" s="493"/>
      <c r="T406" s="493"/>
      <c r="U406" s="493"/>
      <c r="V406" s="493"/>
      <c r="W406" s="487"/>
      <c r="X406" s="563"/>
      <c r="Y406" s="1156"/>
      <c r="Z406" s="1156">
        <v>1000</v>
      </c>
      <c r="AA406" s="1156"/>
      <c r="AB406" s="1156"/>
      <c r="AC406" s="1156"/>
      <c r="AD406" s="1156"/>
      <c r="AE406" s="1156"/>
      <c r="AF406" s="1156"/>
      <c r="AG406" s="1282">
        <f t="shared" si="91"/>
        <v>1000</v>
      </c>
    </row>
    <row r="407" spans="1:33" s="280" customFormat="1" ht="16.5" customHeight="1">
      <c r="A407" s="1275">
        <v>323</v>
      </c>
      <c r="B407" s="523" t="s">
        <v>585</v>
      </c>
      <c r="C407" s="1504"/>
      <c r="D407" s="1358"/>
      <c r="E407" s="1358"/>
      <c r="F407" s="1358"/>
      <c r="G407" s="1358"/>
      <c r="H407" s="1358"/>
      <c r="I407" s="1358"/>
      <c r="J407" s="283"/>
      <c r="K407" s="1278"/>
      <c r="L407" s="1394"/>
      <c r="M407" s="495"/>
      <c r="N407" s="1277"/>
      <c r="O407" s="1395"/>
      <c r="P407" s="1277"/>
      <c r="Q407" s="1282">
        <f>SUM(Q408:Q420)</f>
        <v>14314.71</v>
      </c>
      <c r="R407" s="1395"/>
      <c r="S407" s="1282">
        <f t="shared" ref="S407:AF407" si="92">SUM(S408:S420)</f>
        <v>0</v>
      </c>
      <c r="T407" s="1282">
        <f t="shared" si="92"/>
        <v>0</v>
      </c>
      <c r="U407" s="1282">
        <f t="shared" si="92"/>
        <v>0</v>
      </c>
      <c r="V407" s="1282">
        <f t="shared" si="92"/>
        <v>0</v>
      </c>
      <c r="W407" s="1282">
        <f t="shared" si="92"/>
        <v>0</v>
      </c>
      <c r="X407" s="1282">
        <f t="shared" si="92"/>
        <v>14314.71</v>
      </c>
      <c r="Y407" s="1282">
        <f t="shared" si="92"/>
        <v>0</v>
      </c>
      <c r="Z407" s="1282">
        <f t="shared" si="92"/>
        <v>0</v>
      </c>
      <c r="AA407" s="1282">
        <f t="shared" si="92"/>
        <v>0</v>
      </c>
      <c r="AB407" s="1282">
        <f t="shared" si="92"/>
        <v>0</v>
      </c>
      <c r="AC407" s="1282">
        <f t="shared" si="92"/>
        <v>0</v>
      </c>
      <c r="AD407" s="1282">
        <f t="shared" si="92"/>
        <v>0</v>
      </c>
      <c r="AE407" s="1282">
        <f t="shared" si="92"/>
        <v>0</v>
      </c>
      <c r="AF407" s="1282">
        <f t="shared" si="92"/>
        <v>0</v>
      </c>
      <c r="AG407" s="1282">
        <f>SUM(S407:AF407)</f>
        <v>14314.71</v>
      </c>
    </row>
    <row r="408" spans="1:33" s="280" customFormat="1">
      <c r="A408" s="294">
        <v>3232</v>
      </c>
      <c r="B408" s="291" t="s">
        <v>588</v>
      </c>
      <c r="C408" s="824" t="s">
        <v>579</v>
      </c>
      <c r="D408" s="341"/>
      <c r="E408" s="294">
        <v>45</v>
      </c>
      <c r="F408" s="829">
        <v>43194</v>
      </c>
      <c r="G408" s="829">
        <f t="shared" ref="G408:G420" si="93">+F408+E408</f>
        <v>43239</v>
      </c>
      <c r="H408" s="1391"/>
      <c r="I408" s="294" t="s">
        <v>169</v>
      </c>
      <c r="J408" s="307" t="s">
        <v>177</v>
      </c>
      <c r="K408" s="326" t="s">
        <v>302</v>
      </c>
      <c r="L408" s="1241">
        <v>23173</v>
      </c>
      <c r="M408" s="296"/>
      <c r="N408" s="294"/>
      <c r="O408" s="355">
        <v>79.5</v>
      </c>
      <c r="P408" s="294">
        <v>1</v>
      </c>
      <c r="Q408" s="355">
        <f t="shared" ref="Q408:Q420" si="94">+O408*P408</f>
        <v>79.5</v>
      </c>
      <c r="R408" s="355"/>
      <c r="S408" s="298"/>
      <c r="T408" s="298"/>
      <c r="U408" s="298"/>
      <c r="V408" s="298"/>
      <c r="W408" s="355"/>
      <c r="X408" s="1137">
        <v>79.5</v>
      </c>
      <c r="Y408" s="1126"/>
      <c r="Z408" s="1152"/>
      <c r="AA408" s="1152"/>
      <c r="AB408" s="1152"/>
      <c r="AC408" s="1152"/>
      <c r="AD408" s="1152"/>
      <c r="AE408" s="1152"/>
      <c r="AF408" s="1152"/>
      <c r="AG408" s="1282">
        <f t="shared" ref="AG408:AG420" si="95">SUM(S408:AF408)</f>
        <v>79.5</v>
      </c>
    </row>
    <row r="409" spans="1:33" s="280" customFormat="1">
      <c r="A409" s="294">
        <v>3232</v>
      </c>
      <c r="B409" s="291" t="s">
        <v>588</v>
      </c>
      <c r="C409" s="824" t="s">
        <v>560</v>
      </c>
      <c r="D409" s="1391"/>
      <c r="E409" s="294">
        <v>6</v>
      </c>
      <c r="F409" s="829">
        <v>43287</v>
      </c>
      <c r="G409" s="829">
        <f t="shared" si="93"/>
        <v>43293</v>
      </c>
      <c r="H409" s="1391"/>
      <c r="I409" s="294" t="s">
        <v>177</v>
      </c>
      <c r="J409" s="307"/>
      <c r="K409" s="326" t="s">
        <v>561</v>
      </c>
      <c r="L409" s="1241">
        <v>23174</v>
      </c>
      <c r="M409" s="296"/>
      <c r="N409" s="294"/>
      <c r="O409" s="355">
        <v>2400</v>
      </c>
      <c r="P409" s="294">
        <v>1</v>
      </c>
      <c r="Q409" s="355">
        <f t="shared" si="94"/>
        <v>2400</v>
      </c>
      <c r="R409" s="355"/>
      <c r="S409" s="298"/>
      <c r="T409" s="298"/>
      <c r="U409" s="298"/>
      <c r="V409" s="298"/>
      <c r="W409" s="355"/>
      <c r="X409" s="1137">
        <v>2400</v>
      </c>
      <c r="Y409" s="1126"/>
      <c r="Z409" s="1152"/>
      <c r="AA409" s="1152"/>
      <c r="AB409" s="1152"/>
      <c r="AC409" s="1152"/>
      <c r="AD409" s="1152"/>
      <c r="AE409" s="1152"/>
      <c r="AF409" s="1152"/>
      <c r="AG409" s="1282">
        <f t="shared" si="95"/>
        <v>2400</v>
      </c>
    </row>
    <row r="410" spans="1:33" s="280" customFormat="1" ht="36" customHeight="1">
      <c r="A410" s="294">
        <v>3232</v>
      </c>
      <c r="B410" s="291" t="s">
        <v>588</v>
      </c>
      <c r="C410" s="824" t="s">
        <v>562</v>
      </c>
      <c r="D410" s="1391"/>
      <c r="E410" s="294">
        <v>6</v>
      </c>
      <c r="F410" s="829">
        <v>43287</v>
      </c>
      <c r="G410" s="829">
        <f t="shared" si="93"/>
        <v>43293</v>
      </c>
      <c r="H410" s="1391"/>
      <c r="I410" s="294" t="s">
        <v>177</v>
      </c>
      <c r="J410" s="307"/>
      <c r="K410" s="326" t="s">
        <v>563</v>
      </c>
      <c r="L410" s="1241">
        <v>23174</v>
      </c>
      <c r="M410" s="296"/>
      <c r="N410" s="294"/>
      <c r="O410" s="355">
        <v>1973.3333333333333</v>
      </c>
      <c r="P410" s="294">
        <v>1</v>
      </c>
      <c r="Q410" s="355">
        <f t="shared" si="94"/>
        <v>1973.3333333333333</v>
      </c>
      <c r="R410" s="355"/>
      <c r="S410" s="298"/>
      <c r="T410" s="298"/>
      <c r="U410" s="298"/>
      <c r="V410" s="298"/>
      <c r="W410" s="355"/>
      <c r="X410" s="1137">
        <v>1973.3333333333333</v>
      </c>
      <c r="Y410" s="1126"/>
      <c r="Z410" s="1152"/>
      <c r="AA410" s="1152"/>
      <c r="AB410" s="1152"/>
      <c r="AC410" s="1152"/>
      <c r="AD410" s="1152"/>
      <c r="AE410" s="1152"/>
      <c r="AF410" s="1152"/>
      <c r="AG410" s="1282">
        <f t="shared" si="95"/>
        <v>1973.3333333333333</v>
      </c>
    </row>
    <row r="411" spans="1:33" s="280" customFormat="1" ht="36" customHeight="1">
      <c r="A411" s="294">
        <v>3232</v>
      </c>
      <c r="B411" s="291" t="s">
        <v>588</v>
      </c>
      <c r="C411" s="824" t="s">
        <v>564</v>
      </c>
      <c r="D411" s="1391"/>
      <c r="E411" s="294">
        <v>6</v>
      </c>
      <c r="F411" s="829">
        <v>43287</v>
      </c>
      <c r="G411" s="829">
        <f t="shared" si="93"/>
        <v>43293</v>
      </c>
      <c r="H411" s="1391"/>
      <c r="I411" s="294" t="s">
        <v>177</v>
      </c>
      <c r="J411" s="307"/>
      <c r="K411" s="326" t="s">
        <v>565</v>
      </c>
      <c r="L411" s="1241">
        <v>23174</v>
      </c>
      <c r="M411" s="296"/>
      <c r="N411" s="294"/>
      <c r="O411" s="355">
        <v>340.13333333333333</v>
      </c>
      <c r="P411" s="294">
        <v>1</v>
      </c>
      <c r="Q411" s="355">
        <f t="shared" si="94"/>
        <v>340.13333333333333</v>
      </c>
      <c r="R411" s="355"/>
      <c r="S411" s="298"/>
      <c r="T411" s="298"/>
      <c r="U411" s="298"/>
      <c r="V411" s="298"/>
      <c r="W411" s="355"/>
      <c r="X411" s="1137">
        <v>340.13333333333333</v>
      </c>
      <c r="Y411" s="1126"/>
      <c r="Z411" s="1152"/>
      <c r="AA411" s="1152"/>
      <c r="AB411" s="1152"/>
      <c r="AC411" s="1152"/>
      <c r="AD411" s="1152"/>
      <c r="AE411" s="1152"/>
      <c r="AF411" s="1152"/>
      <c r="AG411" s="1282">
        <f t="shared" si="95"/>
        <v>340.13333333333333</v>
      </c>
    </row>
    <row r="412" spans="1:33" s="280" customFormat="1" ht="36" customHeight="1">
      <c r="A412" s="294">
        <v>3232</v>
      </c>
      <c r="B412" s="291" t="s">
        <v>588</v>
      </c>
      <c r="C412" s="824" t="s">
        <v>566</v>
      </c>
      <c r="D412" s="1391"/>
      <c r="E412" s="294">
        <v>6</v>
      </c>
      <c r="F412" s="829">
        <v>43287</v>
      </c>
      <c r="G412" s="829">
        <f t="shared" si="93"/>
        <v>43293</v>
      </c>
      <c r="H412" s="1391"/>
      <c r="I412" s="294" t="s">
        <v>169</v>
      </c>
      <c r="J412" s="307" t="s">
        <v>177</v>
      </c>
      <c r="K412" s="326" t="s">
        <v>486</v>
      </c>
      <c r="L412" s="1241">
        <v>23173</v>
      </c>
      <c r="M412" s="296"/>
      <c r="N412" s="294"/>
      <c r="O412" s="355">
        <v>500</v>
      </c>
      <c r="P412" s="294">
        <v>1</v>
      </c>
      <c r="Q412" s="355">
        <f t="shared" si="94"/>
        <v>500</v>
      </c>
      <c r="R412" s="355"/>
      <c r="S412" s="298"/>
      <c r="T412" s="298"/>
      <c r="U412" s="298"/>
      <c r="V412" s="298"/>
      <c r="W412" s="355"/>
      <c r="X412" s="1137">
        <v>500</v>
      </c>
      <c r="Y412" s="1126"/>
      <c r="Z412" s="1152"/>
      <c r="AA412" s="1152"/>
      <c r="AB412" s="1152"/>
      <c r="AC412" s="1152"/>
      <c r="AD412" s="1152"/>
      <c r="AE412" s="1152"/>
      <c r="AF412" s="1152"/>
      <c r="AG412" s="1282">
        <f t="shared" si="95"/>
        <v>500</v>
      </c>
    </row>
    <row r="413" spans="1:33" s="280" customFormat="1">
      <c r="A413" s="294">
        <v>3232</v>
      </c>
      <c r="B413" s="291" t="s">
        <v>588</v>
      </c>
      <c r="C413" s="824" t="s">
        <v>591</v>
      </c>
      <c r="D413" s="341" t="s">
        <v>514</v>
      </c>
      <c r="E413" s="294">
        <v>45</v>
      </c>
      <c r="F413" s="829">
        <v>43298</v>
      </c>
      <c r="G413" s="829">
        <f t="shared" si="93"/>
        <v>43343</v>
      </c>
      <c r="H413" s="1391"/>
      <c r="I413" s="294" t="s">
        <v>169</v>
      </c>
      <c r="J413" s="307" t="s">
        <v>177</v>
      </c>
      <c r="K413" s="326"/>
      <c r="L413" s="1677">
        <v>23173</v>
      </c>
      <c r="M413" s="296"/>
      <c r="N413" s="294"/>
      <c r="O413" s="355">
        <v>377.33</v>
      </c>
      <c r="P413" s="294">
        <v>1</v>
      </c>
      <c r="Q413" s="355">
        <f t="shared" si="94"/>
        <v>377.33</v>
      </c>
      <c r="R413" s="355"/>
      <c r="S413" s="298"/>
      <c r="T413" s="298"/>
      <c r="U413" s="298"/>
      <c r="V413" s="298"/>
      <c r="W413" s="355"/>
      <c r="X413" s="1137">
        <v>377.33</v>
      </c>
      <c r="Y413" s="1126"/>
      <c r="Z413" s="1152"/>
      <c r="AA413" s="1152"/>
      <c r="AB413" s="1152"/>
      <c r="AC413" s="1152"/>
      <c r="AD413" s="1152"/>
      <c r="AE413" s="1152"/>
      <c r="AF413" s="1152"/>
      <c r="AG413" s="1282">
        <f t="shared" si="95"/>
        <v>377.33</v>
      </c>
    </row>
    <row r="414" spans="1:33" s="280" customFormat="1" ht="15.75" customHeight="1">
      <c r="A414" s="294">
        <v>3233</v>
      </c>
      <c r="B414" s="567" t="s">
        <v>458</v>
      </c>
      <c r="C414" s="824" t="s">
        <v>560</v>
      </c>
      <c r="D414" s="1391"/>
      <c r="E414" s="1391">
        <v>9</v>
      </c>
      <c r="F414" s="829">
        <v>43346</v>
      </c>
      <c r="G414" s="829">
        <f t="shared" si="93"/>
        <v>43355</v>
      </c>
      <c r="H414" s="1391"/>
      <c r="I414" s="294"/>
      <c r="J414" s="307"/>
      <c r="K414" s="326" t="s">
        <v>561</v>
      </c>
      <c r="L414" s="1241">
        <v>23174</v>
      </c>
      <c r="M414" s="296"/>
      <c r="N414" s="294"/>
      <c r="O414" s="487">
        <v>2546</v>
      </c>
      <c r="P414" s="294">
        <v>1</v>
      </c>
      <c r="Q414" s="355">
        <f t="shared" si="94"/>
        <v>2546</v>
      </c>
      <c r="R414" s="355"/>
      <c r="S414" s="298"/>
      <c r="T414" s="298"/>
      <c r="U414" s="298"/>
      <c r="V414" s="298"/>
      <c r="W414" s="355"/>
      <c r="X414" s="1137">
        <v>2546</v>
      </c>
      <c r="Y414" s="1126"/>
      <c r="Z414" s="1152"/>
      <c r="AA414" s="1152"/>
      <c r="AB414" s="1152"/>
      <c r="AC414" s="1152"/>
      <c r="AD414" s="1152"/>
      <c r="AE414" s="1152"/>
      <c r="AF414" s="1152"/>
      <c r="AG414" s="1282">
        <f t="shared" si="95"/>
        <v>2546</v>
      </c>
    </row>
    <row r="415" spans="1:33" s="280" customFormat="1" ht="15.75" customHeight="1">
      <c r="A415" s="294">
        <v>3233</v>
      </c>
      <c r="B415" s="567" t="s">
        <v>458</v>
      </c>
      <c r="C415" s="824" t="s">
        <v>562</v>
      </c>
      <c r="D415" s="1391"/>
      <c r="E415" s="1391">
        <v>9</v>
      </c>
      <c r="F415" s="829">
        <v>43346</v>
      </c>
      <c r="G415" s="829">
        <f t="shared" si="93"/>
        <v>43355</v>
      </c>
      <c r="H415" s="1391"/>
      <c r="I415" s="294"/>
      <c r="J415" s="307"/>
      <c r="K415" s="326" t="s">
        <v>563</v>
      </c>
      <c r="L415" s="1241">
        <v>23174</v>
      </c>
      <c r="M415" s="296"/>
      <c r="N415" s="294"/>
      <c r="O415" s="487">
        <v>1306.6666666666667</v>
      </c>
      <c r="P415" s="294">
        <v>1</v>
      </c>
      <c r="Q415" s="355">
        <f t="shared" si="94"/>
        <v>1306.6666666666667</v>
      </c>
      <c r="R415" s="355"/>
      <c r="S415" s="298"/>
      <c r="T415" s="298"/>
      <c r="U415" s="298"/>
      <c r="V415" s="298"/>
      <c r="W415" s="355"/>
      <c r="X415" s="1137">
        <v>1306.6666666666667</v>
      </c>
      <c r="Y415" s="1126"/>
      <c r="Z415" s="1152"/>
      <c r="AA415" s="1152"/>
      <c r="AB415" s="1152"/>
      <c r="AC415" s="1152"/>
      <c r="AD415" s="1152"/>
      <c r="AE415" s="1152"/>
      <c r="AF415" s="1152"/>
      <c r="AG415" s="1282">
        <f t="shared" si="95"/>
        <v>1306.6666666666667</v>
      </c>
    </row>
    <row r="416" spans="1:33" s="280" customFormat="1" ht="15.75" customHeight="1">
      <c r="A416" s="294">
        <v>3233</v>
      </c>
      <c r="B416" s="567" t="s">
        <v>458</v>
      </c>
      <c r="C416" s="824" t="s">
        <v>564</v>
      </c>
      <c r="D416" s="1391"/>
      <c r="E416" s="1391">
        <v>9</v>
      </c>
      <c r="F416" s="829">
        <v>43346</v>
      </c>
      <c r="G416" s="829">
        <f t="shared" si="93"/>
        <v>43355</v>
      </c>
      <c r="H416" s="1391"/>
      <c r="I416" s="294"/>
      <c r="J416" s="307"/>
      <c r="K416" s="326" t="s">
        <v>565</v>
      </c>
      <c r="L416" s="1241">
        <v>23174</v>
      </c>
      <c r="M416" s="296"/>
      <c r="N416" s="294"/>
      <c r="O416" s="487">
        <v>557.74666666666667</v>
      </c>
      <c r="P416" s="294">
        <v>1</v>
      </c>
      <c r="Q416" s="355">
        <f t="shared" si="94"/>
        <v>557.74666666666667</v>
      </c>
      <c r="R416" s="355"/>
      <c r="S416" s="298"/>
      <c r="T416" s="298"/>
      <c r="U416" s="298"/>
      <c r="V416" s="298"/>
      <c r="W416" s="355"/>
      <c r="X416" s="1137">
        <v>557.74666666666667</v>
      </c>
      <c r="Y416" s="1126"/>
      <c r="Z416" s="1152"/>
      <c r="AA416" s="1152"/>
      <c r="AB416" s="1152"/>
      <c r="AC416" s="1152"/>
      <c r="AD416" s="1152"/>
      <c r="AE416" s="1152"/>
      <c r="AF416" s="1152"/>
      <c r="AG416" s="1282">
        <f t="shared" si="95"/>
        <v>557.74666666666667</v>
      </c>
    </row>
    <row r="417" spans="1:33" s="280" customFormat="1">
      <c r="A417" s="294">
        <v>3234</v>
      </c>
      <c r="B417" s="291" t="s">
        <v>593</v>
      </c>
      <c r="C417" s="824" t="s">
        <v>579</v>
      </c>
      <c r="D417" s="294" t="s">
        <v>514</v>
      </c>
      <c r="E417" s="294">
        <v>45</v>
      </c>
      <c r="F417" s="829">
        <v>43194</v>
      </c>
      <c r="G417" s="829">
        <f t="shared" si="93"/>
        <v>43239</v>
      </c>
      <c r="H417" s="1391"/>
      <c r="I417" s="294" t="s">
        <v>169</v>
      </c>
      <c r="J417" s="307"/>
      <c r="K417" s="326" t="s">
        <v>302</v>
      </c>
      <c r="L417" s="1241">
        <v>23173</v>
      </c>
      <c r="M417" s="296"/>
      <c r="N417" s="294"/>
      <c r="O417" s="355">
        <v>57.333333333333336</v>
      </c>
      <c r="P417" s="294">
        <v>1</v>
      </c>
      <c r="Q417" s="355">
        <f t="shared" si="94"/>
        <v>57.333333333333336</v>
      </c>
      <c r="R417" s="355"/>
      <c r="S417" s="298"/>
      <c r="T417" s="298"/>
      <c r="U417" s="298"/>
      <c r="V417" s="298"/>
      <c r="W417" s="355"/>
      <c r="X417" s="1137">
        <v>57.333333333333336</v>
      </c>
      <c r="Y417" s="1126"/>
      <c r="Z417" s="1152"/>
      <c r="AA417" s="1152"/>
      <c r="AB417" s="1152"/>
      <c r="AC417" s="1152"/>
      <c r="AD417" s="1152"/>
      <c r="AE417" s="1152"/>
      <c r="AF417" s="1152"/>
      <c r="AG417" s="1282">
        <f t="shared" si="95"/>
        <v>57.333333333333336</v>
      </c>
    </row>
    <row r="418" spans="1:33" s="280" customFormat="1">
      <c r="A418" s="294">
        <v>3234</v>
      </c>
      <c r="B418" s="291" t="s">
        <v>593</v>
      </c>
      <c r="C418" s="824" t="s">
        <v>560</v>
      </c>
      <c r="D418" s="1391"/>
      <c r="E418" s="294">
        <v>4</v>
      </c>
      <c r="F418" s="829">
        <v>43367</v>
      </c>
      <c r="G418" s="829">
        <f t="shared" si="93"/>
        <v>43371</v>
      </c>
      <c r="H418" s="1391"/>
      <c r="I418" s="294" t="s">
        <v>177</v>
      </c>
      <c r="J418" s="307"/>
      <c r="K418" s="326" t="s">
        <v>596</v>
      </c>
      <c r="L418" s="1241">
        <v>23174</v>
      </c>
      <c r="M418" s="296"/>
      <c r="N418" s="294"/>
      <c r="O418" s="355">
        <v>2150</v>
      </c>
      <c r="P418" s="294">
        <v>1</v>
      </c>
      <c r="Q418" s="355">
        <f t="shared" si="94"/>
        <v>2150</v>
      </c>
      <c r="R418" s="355"/>
      <c r="S418" s="298"/>
      <c r="T418" s="298"/>
      <c r="U418" s="298"/>
      <c r="V418" s="298"/>
      <c r="W418" s="355"/>
      <c r="X418" s="1137">
        <v>2150</v>
      </c>
      <c r="Y418" s="1126"/>
      <c r="Z418" s="1152"/>
      <c r="AA418" s="1152"/>
      <c r="AB418" s="1152"/>
      <c r="AC418" s="1152"/>
      <c r="AD418" s="1152"/>
      <c r="AE418" s="1152"/>
      <c r="AF418" s="1152"/>
      <c r="AG418" s="1282">
        <f t="shared" si="95"/>
        <v>2150</v>
      </c>
    </row>
    <row r="419" spans="1:33" s="280" customFormat="1">
      <c r="A419" s="294">
        <v>3234</v>
      </c>
      <c r="B419" s="291" t="s">
        <v>593</v>
      </c>
      <c r="C419" s="824" t="s">
        <v>564</v>
      </c>
      <c r="D419" s="1391"/>
      <c r="E419" s="294">
        <v>4</v>
      </c>
      <c r="F419" s="829">
        <v>43367</v>
      </c>
      <c r="G419" s="829">
        <f t="shared" si="93"/>
        <v>43371</v>
      </c>
      <c r="H419" s="1391"/>
      <c r="I419" s="294" t="s">
        <v>177</v>
      </c>
      <c r="J419" s="307"/>
      <c r="K419" s="326" t="s">
        <v>597</v>
      </c>
      <c r="L419" s="1241">
        <v>23174</v>
      </c>
      <c r="M419" s="296"/>
      <c r="N419" s="294"/>
      <c r="O419" s="355">
        <v>1893.3333333333333</v>
      </c>
      <c r="P419" s="294">
        <v>1</v>
      </c>
      <c r="Q419" s="355">
        <f t="shared" si="94"/>
        <v>1893.3333333333333</v>
      </c>
      <c r="R419" s="355"/>
      <c r="S419" s="298"/>
      <c r="T419" s="298"/>
      <c r="U419" s="298"/>
      <c r="V419" s="298"/>
      <c r="W419" s="355"/>
      <c r="X419" s="1137">
        <v>1893.3333333333333</v>
      </c>
      <c r="Y419" s="1126"/>
      <c r="Z419" s="1152"/>
      <c r="AA419" s="1152"/>
      <c r="AB419" s="1152"/>
      <c r="AC419" s="1152"/>
      <c r="AD419" s="1152"/>
      <c r="AE419" s="1152"/>
      <c r="AF419" s="1152"/>
      <c r="AG419" s="1282">
        <f t="shared" si="95"/>
        <v>1893.3333333333333</v>
      </c>
    </row>
    <row r="420" spans="1:33" s="280" customFormat="1">
      <c r="A420" s="294">
        <v>3234</v>
      </c>
      <c r="B420" s="291" t="s">
        <v>593</v>
      </c>
      <c r="C420" s="824" t="s">
        <v>566</v>
      </c>
      <c r="D420" s="1391"/>
      <c r="E420" s="294">
        <v>4</v>
      </c>
      <c r="F420" s="829">
        <v>43367</v>
      </c>
      <c r="G420" s="829">
        <f t="shared" si="93"/>
        <v>43371</v>
      </c>
      <c r="H420" s="1391"/>
      <c r="I420" s="294" t="s">
        <v>169</v>
      </c>
      <c r="J420" s="307"/>
      <c r="K420" s="326" t="s">
        <v>486</v>
      </c>
      <c r="L420" s="1241">
        <v>23173</v>
      </c>
      <c r="M420" s="296"/>
      <c r="N420" s="294"/>
      <c r="O420" s="355">
        <v>133.33333333333334</v>
      </c>
      <c r="P420" s="294">
        <v>1</v>
      </c>
      <c r="Q420" s="355">
        <f t="shared" si="94"/>
        <v>133.33333333333334</v>
      </c>
      <c r="R420" s="355"/>
      <c r="S420" s="298"/>
      <c r="T420" s="298"/>
      <c r="U420" s="298"/>
      <c r="V420" s="298"/>
      <c r="W420" s="355"/>
      <c r="X420" s="1137">
        <v>133.33333333333334</v>
      </c>
      <c r="Y420" s="1126"/>
      <c r="Z420" s="1152"/>
      <c r="AA420" s="1152"/>
      <c r="AB420" s="1152"/>
      <c r="AC420" s="1152"/>
      <c r="AD420" s="1152"/>
      <c r="AE420" s="1152"/>
      <c r="AF420" s="1152"/>
      <c r="AG420" s="1282">
        <f t="shared" si="95"/>
        <v>133.33333333333334</v>
      </c>
    </row>
    <row r="421" spans="1:33" s="280" customFormat="1" ht="16.5" customHeight="1">
      <c r="A421" s="1275">
        <v>324</v>
      </c>
      <c r="B421" s="523" t="s">
        <v>598</v>
      </c>
      <c r="C421" s="1504"/>
      <c r="D421" s="1358"/>
      <c r="E421" s="1358"/>
      <c r="F421" s="1358"/>
      <c r="G421" s="1358"/>
      <c r="H421" s="1358"/>
      <c r="I421" s="1358"/>
      <c r="J421" s="283"/>
      <c r="K421" s="1278"/>
      <c r="L421" s="1394"/>
      <c r="M421" s="495"/>
      <c r="N421" s="1277"/>
      <c r="O421" s="1395"/>
      <c r="P421" s="1277"/>
      <c r="Q421" s="1282">
        <f>SUM(Q422:Q427)</f>
        <v>11980.666666666668</v>
      </c>
      <c r="R421" s="1395"/>
      <c r="S421" s="1282">
        <f t="shared" ref="S421:AF421" si="96">SUM(S422:S427)</f>
        <v>0</v>
      </c>
      <c r="T421" s="1282">
        <f t="shared" si="96"/>
        <v>0</v>
      </c>
      <c r="U421" s="1282">
        <f t="shared" si="96"/>
        <v>0</v>
      </c>
      <c r="V421" s="1282">
        <f t="shared" si="96"/>
        <v>0</v>
      </c>
      <c r="W421" s="1282">
        <f t="shared" si="96"/>
        <v>0</v>
      </c>
      <c r="X421" s="1282">
        <f t="shared" si="96"/>
        <v>11980.666666666668</v>
      </c>
      <c r="Y421" s="1282">
        <f t="shared" si="96"/>
        <v>0</v>
      </c>
      <c r="Z421" s="1282">
        <f t="shared" si="96"/>
        <v>0</v>
      </c>
      <c r="AA421" s="1282">
        <f t="shared" si="96"/>
        <v>0</v>
      </c>
      <c r="AB421" s="1282">
        <f t="shared" si="96"/>
        <v>0</v>
      </c>
      <c r="AC421" s="1282">
        <f t="shared" si="96"/>
        <v>0</v>
      </c>
      <c r="AD421" s="1282">
        <f t="shared" si="96"/>
        <v>0</v>
      </c>
      <c r="AE421" s="1282">
        <f t="shared" si="96"/>
        <v>0</v>
      </c>
      <c r="AF421" s="1282">
        <f t="shared" si="96"/>
        <v>0</v>
      </c>
      <c r="AG421" s="1282">
        <f>SUM(S421:AF421)</f>
        <v>11980.666666666668</v>
      </c>
    </row>
    <row r="422" spans="1:33" s="280" customFormat="1">
      <c r="A422" s="1393">
        <v>3241</v>
      </c>
      <c r="B422" s="291" t="s">
        <v>599</v>
      </c>
      <c r="C422" s="824" t="s">
        <v>579</v>
      </c>
      <c r="D422" s="341" t="s">
        <v>514</v>
      </c>
      <c r="E422" s="294">
        <v>45</v>
      </c>
      <c r="F422" s="829">
        <v>43194</v>
      </c>
      <c r="G422" s="829">
        <f t="shared" ref="G422:G427" si="97">+E422+F422</f>
        <v>43239</v>
      </c>
      <c r="H422" s="1391"/>
      <c r="I422" s="294"/>
      <c r="J422" s="307"/>
      <c r="K422" s="326" t="s">
        <v>302</v>
      </c>
      <c r="L422" s="1241">
        <v>23173</v>
      </c>
      <c r="M422" s="296"/>
      <c r="N422" s="294"/>
      <c r="O422" s="355">
        <v>157.33333333333334</v>
      </c>
      <c r="P422" s="569">
        <v>1</v>
      </c>
      <c r="Q422" s="488">
        <f>+O422*P422</f>
        <v>157.33333333333334</v>
      </c>
      <c r="R422" s="355"/>
      <c r="S422" s="298"/>
      <c r="T422" s="298"/>
      <c r="U422" s="298"/>
      <c r="V422" s="298"/>
      <c r="W422" s="355"/>
      <c r="X422" s="1137">
        <v>157.33333333333334</v>
      </c>
      <c r="Y422" s="1126"/>
      <c r="Z422" s="1126"/>
      <c r="AA422" s="1126"/>
      <c r="AB422" s="1126"/>
      <c r="AC422" s="1126"/>
      <c r="AD422" s="1126"/>
      <c r="AE422" s="1126"/>
      <c r="AF422" s="1126"/>
      <c r="AG422" s="1282">
        <f t="shared" ref="AG422:AG427" si="98">SUM(S422:AF422)</f>
        <v>157.33333333333334</v>
      </c>
    </row>
    <row r="423" spans="1:33" s="280" customFormat="1">
      <c r="A423" s="1393">
        <v>3241</v>
      </c>
      <c r="B423" s="291" t="s">
        <v>599</v>
      </c>
      <c r="C423" s="824" t="s">
        <v>560</v>
      </c>
      <c r="D423" s="1391"/>
      <c r="E423" s="294">
        <v>5</v>
      </c>
      <c r="F423" s="829">
        <v>43332</v>
      </c>
      <c r="G423" s="829">
        <f t="shared" si="97"/>
        <v>43337</v>
      </c>
      <c r="H423" s="1391"/>
      <c r="I423" s="294"/>
      <c r="J423" s="307"/>
      <c r="K423" s="326" t="s">
        <v>596</v>
      </c>
      <c r="L423" s="1241">
        <v>23174</v>
      </c>
      <c r="M423" s="296"/>
      <c r="N423" s="294"/>
      <c r="O423" s="355">
        <v>3870</v>
      </c>
      <c r="P423" s="569">
        <v>1</v>
      </c>
      <c r="Q423" s="488">
        <f>+O423*P423</f>
        <v>3870</v>
      </c>
      <c r="R423" s="355"/>
      <c r="S423" s="298"/>
      <c r="T423" s="298"/>
      <c r="U423" s="298"/>
      <c r="V423" s="298"/>
      <c r="W423" s="355"/>
      <c r="X423" s="1137">
        <v>3870</v>
      </c>
      <c r="Y423" s="1126"/>
      <c r="Z423" s="1126"/>
      <c r="AA423" s="1126"/>
      <c r="AB423" s="1126"/>
      <c r="AC423" s="1126"/>
      <c r="AD423" s="1126"/>
      <c r="AE423" s="1126"/>
      <c r="AF423" s="1126"/>
      <c r="AG423" s="1282">
        <f t="shared" si="98"/>
        <v>3870</v>
      </c>
    </row>
    <row r="424" spans="1:33" s="280" customFormat="1">
      <c r="A424" s="1393">
        <v>3241</v>
      </c>
      <c r="B424" s="291" t="s">
        <v>599</v>
      </c>
      <c r="C424" s="824" t="s">
        <v>562</v>
      </c>
      <c r="D424" s="1391"/>
      <c r="E424" s="294">
        <v>5</v>
      </c>
      <c r="F424" s="829">
        <v>43332</v>
      </c>
      <c r="G424" s="829">
        <f t="shared" si="97"/>
        <v>43337</v>
      </c>
      <c r="H424" s="1391"/>
      <c r="I424" s="294"/>
      <c r="J424" s="307"/>
      <c r="K424" s="326" t="s">
        <v>565</v>
      </c>
      <c r="L424" s="1241">
        <v>23174</v>
      </c>
      <c r="M424" s="296"/>
      <c r="N424" s="294"/>
      <c r="O424" s="355">
        <v>1580</v>
      </c>
      <c r="P424" s="569">
        <v>1</v>
      </c>
      <c r="Q424" s="488">
        <f>+O424*P424</f>
        <v>1580</v>
      </c>
      <c r="R424" s="355"/>
      <c r="S424" s="298"/>
      <c r="T424" s="298"/>
      <c r="U424" s="298"/>
      <c r="V424" s="298"/>
      <c r="W424" s="355"/>
      <c r="X424" s="1137">
        <v>1580</v>
      </c>
      <c r="Y424" s="1126"/>
      <c r="Z424" s="1126"/>
      <c r="AA424" s="1126"/>
      <c r="AB424" s="1126"/>
      <c r="AC424" s="1126"/>
      <c r="AD424" s="1126"/>
      <c r="AE424" s="1126"/>
      <c r="AF424" s="1126"/>
      <c r="AG424" s="1282">
        <f t="shared" si="98"/>
        <v>1580</v>
      </c>
    </row>
    <row r="425" spans="1:33" s="280" customFormat="1">
      <c r="A425" s="1393">
        <v>3241</v>
      </c>
      <c r="B425" s="291" t="s">
        <v>599</v>
      </c>
      <c r="C425" s="824" t="s">
        <v>564</v>
      </c>
      <c r="D425" s="1391"/>
      <c r="E425" s="294">
        <v>5</v>
      </c>
      <c r="F425" s="829">
        <v>43332</v>
      </c>
      <c r="G425" s="829">
        <f t="shared" si="97"/>
        <v>43337</v>
      </c>
      <c r="H425" s="1391"/>
      <c r="I425" s="294"/>
      <c r="J425" s="307"/>
      <c r="K425" s="326" t="s">
        <v>597</v>
      </c>
      <c r="L425" s="1241">
        <v>23174</v>
      </c>
      <c r="M425" s="296"/>
      <c r="N425" s="294"/>
      <c r="O425" s="355">
        <v>3840</v>
      </c>
      <c r="P425" s="569">
        <v>1</v>
      </c>
      <c r="Q425" s="488">
        <f>+O425*P425</f>
        <v>3840</v>
      </c>
      <c r="R425" s="355"/>
      <c r="S425" s="298"/>
      <c r="T425" s="298"/>
      <c r="U425" s="298"/>
      <c r="V425" s="298"/>
      <c r="W425" s="355"/>
      <c r="X425" s="1137">
        <v>3840</v>
      </c>
      <c r="Y425" s="1126"/>
      <c r="Z425" s="1126"/>
      <c r="AA425" s="1126"/>
      <c r="AB425" s="1126"/>
      <c r="AC425" s="1126"/>
      <c r="AD425" s="1126"/>
      <c r="AE425" s="1126"/>
      <c r="AF425" s="1126"/>
      <c r="AG425" s="1282">
        <f t="shared" si="98"/>
        <v>3840</v>
      </c>
    </row>
    <row r="426" spans="1:33" s="280" customFormat="1">
      <c r="A426" s="1393">
        <v>3241</v>
      </c>
      <c r="B426" s="291" t="s">
        <v>599</v>
      </c>
      <c r="C426" s="824" t="s">
        <v>566</v>
      </c>
      <c r="D426" s="1391"/>
      <c r="E426" s="294">
        <v>5</v>
      </c>
      <c r="F426" s="829">
        <v>43332</v>
      </c>
      <c r="G426" s="829">
        <f t="shared" si="97"/>
        <v>43337</v>
      </c>
      <c r="H426" s="1391"/>
      <c r="I426" s="294"/>
      <c r="J426" s="307"/>
      <c r="K426" s="326" t="s">
        <v>486</v>
      </c>
      <c r="L426" s="1241">
        <v>23173</v>
      </c>
      <c r="M426" s="296"/>
      <c r="N426" s="294"/>
      <c r="O426" s="355">
        <v>233.33333333333334</v>
      </c>
      <c r="P426" s="569">
        <v>1</v>
      </c>
      <c r="Q426" s="488">
        <f>+O426*P426</f>
        <v>233.33333333333334</v>
      </c>
      <c r="R426" s="355"/>
      <c r="S426" s="298"/>
      <c r="T426" s="298"/>
      <c r="U426" s="298"/>
      <c r="V426" s="298"/>
      <c r="W426" s="355"/>
      <c r="X426" s="1137">
        <v>233.33333333333334</v>
      </c>
      <c r="Y426" s="1126"/>
      <c r="Z426" s="1126"/>
      <c r="AA426" s="1126"/>
      <c r="AB426" s="1126"/>
      <c r="AC426" s="1126"/>
      <c r="AD426" s="1126"/>
      <c r="AE426" s="1126"/>
      <c r="AF426" s="1126"/>
      <c r="AG426" s="1282">
        <f t="shared" si="98"/>
        <v>233.33333333333334</v>
      </c>
    </row>
    <row r="427" spans="1:33" s="280" customFormat="1" ht="31.5">
      <c r="A427" s="294">
        <v>3242</v>
      </c>
      <c r="B427" s="291" t="s">
        <v>602</v>
      </c>
      <c r="C427" s="824" t="s">
        <v>603</v>
      </c>
      <c r="D427" s="1391"/>
      <c r="E427" s="294">
        <v>3</v>
      </c>
      <c r="F427" s="829">
        <v>43339</v>
      </c>
      <c r="G427" s="829">
        <f t="shared" si="97"/>
        <v>43342</v>
      </c>
      <c r="H427" s="1391"/>
      <c r="I427" s="294" t="s">
        <v>177</v>
      </c>
      <c r="J427" s="307" t="s">
        <v>604</v>
      </c>
      <c r="K427" s="326"/>
      <c r="L427" s="1677">
        <v>23174</v>
      </c>
      <c r="M427" s="296"/>
      <c r="N427" s="294"/>
      <c r="O427" s="487">
        <v>2300</v>
      </c>
      <c r="P427" s="294">
        <v>1</v>
      </c>
      <c r="Q427" s="487">
        <f>O427*P427</f>
        <v>2300</v>
      </c>
      <c r="R427" s="487"/>
      <c r="S427" s="493"/>
      <c r="T427" s="493"/>
      <c r="U427" s="493"/>
      <c r="V427" s="493"/>
      <c r="W427" s="555"/>
      <c r="X427" s="1138">
        <v>2300</v>
      </c>
      <c r="Y427" s="1152"/>
      <c r="Z427" s="1152"/>
      <c r="AA427" s="1152"/>
      <c r="AB427" s="1152"/>
      <c r="AC427" s="1152"/>
      <c r="AD427" s="1152"/>
      <c r="AE427" s="1152"/>
      <c r="AF427" s="1152"/>
      <c r="AG427" s="1282">
        <f t="shared" si="98"/>
        <v>2300</v>
      </c>
    </row>
    <row r="428" spans="1:33" s="550" customFormat="1" ht="16.5" customHeight="1">
      <c r="A428" s="1275">
        <v>325</v>
      </c>
      <c r="B428" s="523" t="s">
        <v>605</v>
      </c>
      <c r="C428" s="1504"/>
      <c r="D428" s="1358"/>
      <c r="E428" s="1358"/>
      <c r="F428" s="1358"/>
      <c r="G428" s="1358"/>
      <c r="H428" s="1358"/>
      <c r="I428" s="1358"/>
      <c r="J428" s="543"/>
      <c r="K428" s="1545"/>
      <c r="L428" s="1389"/>
      <c r="M428" s="1390"/>
      <c r="N428" s="1388"/>
      <c r="O428" s="1282"/>
      <c r="P428" s="1388"/>
      <c r="Q428" s="1282">
        <f>SUM(Q429:Q433)</f>
        <v>13243.000000000002</v>
      </c>
      <c r="R428" s="1282"/>
      <c r="S428" s="1282">
        <f t="shared" ref="S428:AF428" si="99">SUM(S429:S433)</f>
        <v>0</v>
      </c>
      <c r="T428" s="1282">
        <f t="shared" si="99"/>
        <v>0</v>
      </c>
      <c r="U428" s="1282">
        <f t="shared" si="99"/>
        <v>0</v>
      </c>
      <c r="V428" s="1282">
        <f t="shared" si="99"/>
        <v>0</v>
      </c>
      <c r="W428" s="1282">
        <f t="shared" si="99"/>
        <v>13243.000000000002</v>
      </c>
      <c r="X428" s="1282">
        <f t="shared" si="99"/>
        <v>0</v>
      </c>
      <c r="Y428" s="1282">
        <f t="shared" si="99"/>
        <v>0</v>
      </c>
      <c r="Z428" s="1282">
        <f t="shared" si="99"/>
        <v>0</v>
      </c>
      <c r="AA428" s="1282">
        <f t="shared" si="99"/>
        <v>0</v>
      </c>
      <c r="AB428" s="1282">
        <f t="shared" si="99"/>
        <v>0</v>
      </c>
      <c r="AC428" s="1282">
        <f t="shared" si="99"/>
        <v>0</v>
      </c>
      <c r="AD428" s="1282">
        <f t="shared" si="99"/>
        <v>0</v>
      </c>
      <c r="AE428" s="1282">
        <f t="shared" si="99"/>
        <v>0</v>
      </c>
      <c r="AF428" s="1282">
        <f t="shared" si="99"/>
        <v>0</v>
      </c>
      <c r="AG428" s="1282">
        <f t="shared" ref="AG428:AG436" si="100">SUM(S428:AF428)</f>
        <v>13243.000000000002</v>
      </c>
    </row>
    <row r="429" spans="1:33" s="280" customFormat="1">
      <c r="A429" s="294">
        <v>3251</v>
      </c>
      <c r="B429" s="291" t="s">
        <v>606</v>
      </c>
      <c r="C429" s="824" t="s">
        <v>579</v>
      </c>
      <c r="D429" s="294" t="s">
        <v>514</v>
      </c>
      <c r="E429" s="294">
        <v>45</v>
      </c>
      <c r="F429" s="1399">
        <v>43194</v>
      </c>
      <c r="G429" s="1399">
        <f>+F429+E429</f>
        <v>43239</v>
      </c>
      <c r="H429" s="1391"/>
      <c r="I429" s="294"/>
      <c r="J429" s="307"/>
      <c r="K429" s="326" t="s">
        <v>302</v>
      </c>
      <c r="L429" s="1241">
        <v>23173</v>
      </c>
      <c r="M429" s="296"/>
      <c r="N429" s="294"/>
      <c r="O429" s="1811">
        <v>155.66666666666666</v>
      </c>
      <c r="P429" s="294">
        <v>1</v>
      </c>
      <c r="Q429" s="355">
        <f>+O429*P429</f>
        <v>155.66666666666666</v>
      </c>
      <c r="R429" s="355"/>
      <c r="S429" s="298"/>
      <c r="T429" s="298"/>
      <c r="U429" s="298"/>
      <c r="V429" s="298"/>
      <c r="W429" s="355">
        <v>155.66666666666666</v>
      </c>
      <c r="X429" s="1137"/>
      <c r="Y429" s="1126"/>
      <c r="Z429" s="1126"/>
      <c r="AA429" s="1126"/>
      <c r="AB429" s="1126"/>
      <c r="AC429" s="1126"/>
      <c r="AD429" s="1126"/>
      <c r="AE429" s="1126"/>
      <c r="AF429" s="1126"/>
      <c r="AG429" s="1282">
        <f t="shared" si="100"/>
        <v>155.66666666666666</v>
      </c>
    </row>
    <row r="430" spans="1:33" s="280" customFormat="1">
      <c r="A430" s="294">
        <v>3251</v>
      </c>
      <c r="B430" s="291" t="s">
        <v>606</v>
      </c>
      <c r="C430" s="824" t="s">
        <v>560</v>
      </c>
      <c r="D430" s="1391"/>
      <c r="E430" s="294">
        <v>10</v>
      </c>
      <c r="F430" s="1399">
        <v>43299</v>
      </c>
      <c r="G430" s="1399">
        <f>+E430+F430</f>
        <v>43309</v>
      </c>
      <c r="H430" s="1391"/>
      <c r="I430" s="294"/>
      <c r="J430" s="307"/>
      <c r="K430" s="326" t="s">
        <v>596</v>
      </c>
      <c r="L430" s="1241">
        <v>23174</v>
      </c>
      <c r="M430" s="296"/>
      <c r="N430" s="294"/>
      <c r="O430" s="355">
        <v>6048</v>
      </c>
      <c r="P430" s="294">
        <v>1</v>
      </c>
      <c r="Q430" s="355">
        <f>+O430*P430</f>
        <v>6048</v>
      </c>
      <c r="R430" s="355"/>
      <c r="S430" s="298"/>
      <c r="T430" s="298"/>
      <c r="U430" s="298"/>
      <c r="V430" s="298"/>
      <c r="W430" s="355">
        <v>6048</v>
      </c>
      <c r="X430" s="1137"/>
      <c r="Y430" s="1126"/>
      <c r="Z430" s="1126"/>
      <c r="AA430" s="1126"/>
      <c r="AB430" s="1126"/>
      <c r="AC430" s="1126"/>
      <c r="AD430" s="1126"/>
      <c r="AE430" s="1126"/>
      <c r="AF430" s="1126"/>
      <c r="AG430" s="1282">
        <f t="shared" si="100"/>
        <v>6048</v>
      </c>
    </row>
    <row r="431" spans="1:33" s="280" customFormat="1">
      <c r="A431" s="294">
        <v>3251</v>
      </c>
      <c r="B431" s="291" t="s">
        <v>606</v>
      </c>
      <c r="C431" s="824" t="s">
        <v>562</v>
      </c>
      <c r="D431" s="1391"/>
      <c r="E431" s="294">
        <v>10</v>
      </c>
      <c r="F431" s="1399">
        <v>43299</v>
      </c>
      <c r="G431" s="1399">
        <f>+E431+F431</f>
        <v>43309</v>
      </c>
      <c r="H431" s="1391"/>
      <c r="I431" s="294"/>
      <c r="J431" s="307"/>
      <c r="K431" s="326" t="s">
        <v>565</v>
      </c>
      <c r="L431" s="1241">
        <v>23174</v>
      </c>
      <c r="M431" s="296"/>
      <c r="N431" s="294"/>
      <c r="O431" s="355">
        <v>546</v>
      </c>
      <c r="P431" s="294">
        <v>1</v>
      </c>
      <c r="Q431" s="355">
        <f>+O431*P431</f>
        <v>546</v>
      </c>
      <c r="R431" s="355"/>
      <c r="S431" s="298"/>
      <c r="T431" s="298"/>
      <c r="U431" s="298"/>
      <c r="V431" s="298"/>
      <c r="W431" s="355">
        <v>546</v>
      </c>
      <c r="X431" s="1137"/>
      <c r="Y431" s="1126"/>
      <c r="Z431" s="1126"/>
      <c r="AA431" s="1126"/>
      <c r="AB431" s="1126"/>
      <c r="AC431" s="1126"/>
      <c r="AD431" s="1126"/>
      <c r="AE431" s="1126"/>
      <c r="AF431" s="1126"/>
      <c r="AG431" s="1282">
        <f t="shared" si="100"/>
        <v>546</v>
      </c>
    </row>
    <row r="432" spans="1:33" s="280" customFormat="1">
      <c r="A432" s="294">
        <v>3251</v>
      </c>
      <c r="B432" s="291" t="s">
        <v>606</v>
      </c>
      <c r="C432" s="824" t="s">
        <v>564</v>
      </c>
      <c r="D432" s="1391"/>
      <c r="E432" s="294">
        <v>10</v>
      </c>
      <c r="F432" s="1399">
        <v>43299</v>
      </c>
      <c r="G432" s="1399">
        <f>+E432+F432</f>
        <v>43309</v>
      </c>
      <c r="H432" s="1391"/>
      <c r="I432" s="294"/>
      <c r="J432" s="307"/>
      <c r="K432" s="326" t="s">
        <v>597</v>
      </c>
      <c r="L432" s="1241">
        <v>23174</v>
      </c>
      <c r="M432" s="296"/>
      <c r="N432" s="294"/>
      <c r="O432" s="355">
        <v>6160</v>
      </c>
      <c r="P432" s="294">
        <v>1</v>
      </c>
      <c r="Q432" s="355">
        <f>+O432*P432</f>
        <v>6160</v>
      </c>
      <c r="R432" s="355"/>
      <c r="S432" s="298"/>
      <c r="T432" s="298"/>
      <c r="U432" s="298"/>
      <c r="V432" s="298"/>
      <c r="W432" s="355">
        <v>6160</v>
      </c>
      <c r="X432" s="1137"/>
      <c r="Y432" s="1126"/>
      <c r="Z432" s="1126"/>
      <c r="AA432" s="1126"/>
      <c r="AB432" s="1126"/>
      <c r="AC432" s="1126"/>
      <c r="AD432" s="1126"/>
      <c r="AE432" s="1126"/>
      <c r="AF432" s="1126"/>
      <c r="AG432" s="1282">
        <f t="shared" si="100"/>
        <v>6160</v>
      </c>
    </row>
    <row r="433" spans="1:33" s="280" customFormat="1">
      <c r="A433" s="294">
        <v>3251</v>
      </c>
      <c r="B433" s="291" t="s">
        <v>606</v>
      </c>
      <c r="C433" s="824" t="s">
        <v>566</v>
      </c>
      <c r="D433" s="1391"/>
      <c r="E433" s="294">
        <v>10</v>
      </c>
      <c r="F433" s="1399">
        <v>43299</v>
      </c>
      <c r="G433" s="1399">
        <f>+E433+F433</f>
        <v>43309</v>
      </c>
      <c r="H433" s="1391"/>
      <c r="I433" s="294"/>
      <c r="J433" s="307"/>
      <c r="K433" s="326" t="s">
        <v>486</v>
      </c>
      <c r="L433" s="1241">
        <v>23173</v>
      </c>
      <c r="M433" s="296"/>
      <c r="N433" s="294"/>
      <c r="O433" s="355">
        <v>333.33333333333331</v>
      </c>
      <c r="P433" s="294">
        <v>1</v>
      </c>
      <c r="Q433" s="355">
        <f>+O433*P433</f>
        <v>333.33333333333331</v>
      </c>
      <c r="R433" s="355"/>
      <c r="S433" s="298"/>
      <c r="T433" s="298"/>
      <c r="U433" s="298"/>
      <c r="V433" s="298"/>
      <c r="W433" s="355">
        <v>333.33333333333331</v>
      </c>
      <c r="X433" s="1137"/>
      <c r="Y433" s="1126"/>
      <c r="Z433" s="1126"/>
      <c r="AA433" s="1126"/>
      <c r="AB433" s="1126"/>
      <c r="AC433" s="1126"/>
      <c r="AD433" s="1126"/>
      <c r="AE433" s="1126"/>
      <c r="AF433" s="1126"/>
      <c r="AG433" s="1282">
        <f t="shared" si="100"/>
        <v>333.33333333333331</v>
      </c>
    </row>
    <row r="434" spans="1:33" s="280" customFormat="1" ht="16.5" customHeight="1">
      <c r="A434" s="1275">
        <v>326</v>
      </c>
      <c r="B434" s="523" t="s">
        <v>608</v>
      </c>
      <c r="C434" s="1504"/>
      <c r="D434" s="1358"/>
      <c r="E434" s="1358"/>
      <c r="F434" s="1358"/>
      <c r="G434" s="1358"/>
      <c r="H434" s="1358"/>
      <c r="I434" s="1358"/>
      <c r="J434" s="283"/>
      <c r="K434" s="1278"/>
      <c r="L434" s="1394"/>
      <c r="M434" s="495"/>
      <c r="N434" s="1277"/>
      <c r="O434" s="1395"/>
      <c r="P434" s="1277"/>
      <c r="Q434" s="1282">
        <f>SUM(Q435:Q436)</f>
        <v>30000</v>
      </c>
      <c r="R434" s="1395"/>
      <c r="S434" s="1282">
        <f t="shared" ref="S434:AF434" si="101">+S435+S436</f>
        <v>0</v>
      </c>
      <c r="T434" s="1282">
        <f t="shared" si="101"/>
        <v>0</v>
      </c>
      <c r="U434" s="1282">
        <f t="shared" si="101"/>
        <v>0</v>
      </c>
      <c r="V434" s="1282">
        <f t="shared" si="101"/>
        <v>0</v>
      </c>
      <c r="W434" s="1282">
        <f t="shared" si="101"/>
        <v>15000</v>
      </c>
      <c r="X434" s="1282">
        <f t="shared" si="101"/>
        <v>0</v>
      </c>
      <c r="Y434" s="1282">
        <f t="shared" si="101"/>
        <v>0</v>
      </c>
      <c r="Z434" s="546">
        <f t="shared" si="101"/>
        <v>15000</v>
      </c>
      <c r="AA434" s="546">
        <f t="shared" si="101"/>
        <v>0</v>
      </c>
      <c r="AB434" s="546">
        <f t="shared" si="101"/>
        <v>0</v>
      </c>
      <c r="AC434" s="546">
        <f t="shared" si="101"/>
        <v>0</v>
      </c>
      <c r="AD434" s="546">
        <f t="shared" si="101"/>
        <v>0</v>
      </c>
      <c r="AE434" s="546">
        <f t="shared" si="101"/>
        <v>0</v>
      </c>
      <c r="AF434" s="546">
        <f t="shared" si="101"/>
        <v>0</v>
      </c>
      <c r="AG434" s="1282">
        <f t="shared" si="100"/>
        <v>30000</v>
      </c>
    </row>
    <row r="435" spans="1:33" s="280" customFormat="1" ht="31.5">
      <c r="A435" s="294">
        <v>3261</v>
      </c>
      <c r="B435" s="291" t="s">
        <v>609</v>
      </c>
      <c r="C435" s="824" t="s">
        <v>610</v>
      </c>
      <c r="D435" s="294" t="s">
        <v>246</v>
      </c>
      <c r="E435" s="1393">
        <f>70+30</f>
        <v>100</v>
      </c>
      <c r="F435" s="1399">
        <v>43192</v>
      </c>
      <c r="G435" s="1399">
        <f>+E435+F435</f>
        <v>43292</v>
      </c>
      <c r="H435" s="1391"/>
      <c r="I435" s="294" t="s">
        <v>611</v>
      </c>
      <c r="J435" s="307"/>
      <c r="K435" s="326"/>
      <c r="L435" s="1711">
        <v>23173</v>
      </c>
      <c r="M435" s="296"/>
      <c r="N435" s="294"/>
      <c r="O435" s="487">
        <v>10000</v>
      </c>
      <c r="P435" s="294">
        <v>1</v>
      </c>
      <c r="Q435" s="487">
        <v>10000</v>
      </c>
      <c r="R435" s="487"/>
      <c r="S435" s="493"/>
      <c r="T435" s="555"/>
      <c r="U435" s="493"/>
      <c r="V435" s="493"/>
      <c r="W435" s="487">
        <v>5000</v>
      </c>
      <c r="X435" s="574"/>
      <c r="Y435" s="1156"/>
      <c r="Z435" s="487">
        <v>5000</v>
      </c>
      <c r="AA435" s="1156"/>
      <c r="AB435" s="1156"/>
      <c r="AC435" s="1156"/>
      <c r="AD435" s="1156"/>
      <c r="AE435" s="1156"/>
      <c r="AF435" s="1156"/>
      <c r="AG435" s="1282">
        <f t="shared" si="100"/>
        <v>10000</v>
      </c>
    </row>
    <row r="436" spans="1:33" s="280" customFormat="1" ht="31.5">
      <c r="A436" s="294">
        <v>3262</v>
      </c>
      <c r="B436" s="291" t="s">
        <v>612</v>
      </c>
      <c r="C436" s="824" t="s">
        <v>610</v>
      </c>
      <c r="D436" s="294" t="s">
        <v>246</v>
      </c>
      <c r="E436" s="294">
        <f>70+30</f>
        <v>100</v>
      </c>
      <c r="F436" s="1399">
        <v>43192</v>
      </c>
      <c r="G436" s="1399">
        <f>+E436+F436</f>
        <v>43292</v>
      </c>
      <c r="H436" s="1391"/>
      <c r="I436" s="294" t="s">
        <v>611</v>
      </c>
      <c r="J436" s="307"/>
      <c r="K436" s="326"/>
      <c r="L436" s="1711">
        <v>23173</v>
      </c>
      <c r="M436" s="296"/>
      <c r="N436" s="294"/>
      <c r="O436" s="487">
        <v>20000</v>
      </c>
      <c r="P436" s="294">
        <v>1</v>
      </c>
      <c r="Q436" s="487">
        <f>+O436*P436</f>
        <v>20000</v>
      </c>
      <c r="R436" s="487"/>
      <c r="S436" s="493"/>
      <c r="T436" s="555"/>
      <c r="U436" s="493"/>
      <c r="V436" s="493"/>
      <c r="W436" s="487">
        <v>10000</v>
      </c>
      <c r="X436" s="1138"/>
      <c r="Y436" s="1156"/>
      <c r="Z436" s="487">
        <v>10000</v>
      </c>
      <c r="AA436" s="1156"/>
      <c r="AB436" s="1156"/>
      <c r="AC436" s="1156"/>
      <c r="AD436" s="1156"/>
      <c r="AE436" s="1156"/>
      <c r="AF436" s="1156"/>
      <c r="AG436" s="1282">
        <f t="shared" si="100"/>
        <v>20000</v>
      </c>
    </row>
    <row r="437" spans="1:33" ht="33.75" customHeight="1">
      <c r="A437" s="1815" t="s">
        <v>275</v>
      </c>
      <c r="B437" s="836"/>
      <c r="C437" s="1816"/>
      <c r="D437" s="1818"/>
      <c r="E437" s="1818"/>
      <c r="F437" s="1818"/>
      <c r="G437" s="1818"/>
      <c r="H437" s="1818"/>
      <c r="I437" s="1818"/>
      <c r="J437" s="835"/>
      <c r="K437" s="1815"/>
      <c r="L437" s="1817"/>
      <c r="M437" s="1818"/>
      <c r="N437" s="1819"/>
      <c r="O437" s="1820"/>
      <c r="P437" s="1819"/>
      <c r="Q437" s="1821">
        <f>+Q438+Q481+Q520+Q535+Q558</f>
        <v>1602692.0064583335</v>
      </c>
      <c r="R437" s="1821">
        <f>+R438+R482+R520+R535+R558</f>
        <v>1602730.2762500001</v>
      </c>
      <c r="S437" s="1821">
        <f t="shared" ref="S437:AG437" si="102">+S438+S481+S520+S535+S558</f>
        <v>0</v>
      </c>
      <c r="T437" s="1821">
        <f t="shared" si="102"/>
        <v>425584.66666666669</v>
      </c>
      <c r="U437" s="1821">
        <f t="shared" si="102"/>
        <v>436083.8510416667</v>
      </c>
      <c r="V437" s="1821">
        <f t="shared" si="102"/>
        <v>383932.9375</v>
      </c>
      <c r="W437" s="1821">
        <f t="shared" si="102"/>
        <v>153865.88912499999</v>
      </c>
      <c r="X437" s="1821">
        <f t="shared" si="102"/>
        <v>137807.23487499999</v>
      </c>
      <c r="Y437" s="1821">
        <f t="shared" si="102"/>
        <v>65417.427250000001</v>
      </c>
      <c r="Z437" s="1821">
        <f t="shared" si="102"/>
        <v>0</v>
      </c>
      <c r="AA437" s="1821">
        <f t="shared" si="102"/>
        <v>0</v>
      </c>
      <c r="AB437" s="1821">
        <f t="shared" si="102"/>
        <v>0</v>
      </c>
      <c r="AC437" s="1821">
        <f t="shared" si="102"/>
        <v>0</v>
      </c>
      <c r="AD437" s="1821">
        <f t="shared" si="102"/>
        <v>0</v>
      </c>
      <c r="AE437" s="1821">
        <f t="shared" si="102"/>
        <v>0</v>
      </c>
      <c r="AF437" s="1821">
        <f t="shared" si="102"/>
        <v>0</v>
      </c>
      <c r="AG437" s="1821">
        <f t="shared" si="102"/>
        <v>1602692.0064583332</v>
      </c>
    </row>
    <row r="438" spans="1:33" ht="15.75" customHeight="1">
      <c r="A438" s="1248" t="s">
        <v>276</v>
      </c>
      <c r="B438" s="274"/>
      <c r="C438" s="278"/>
      <c r="D438" s="1270"/>
      <c r="E438" s="1270"/>
      <c r="F438" s="1270"/>
      <c r="G438" s="1270"/>
      <c r="H438" s="1270"/>
      <c r="I438" s="1270"/>
      <c r="J438" s="273"/>
      <c r="K438" s="1248"/>
      <c r="L438" s="1269"/>
      <c r="M438" s="1270"/>
      <c r="N438" s="1268"/>
      <c r="O438" s="1271"/>
      <c r="P438" s="1268"/>
      <c r="Q438" s="1272">
        <f>+Q439+Q453+Q459</f>
        <v>356290.50312500005</v>
      </c>
      <c r="R438" s="1273">
        <f>+'[2]Compil Costing PPA 3 millions'!F15</f>
        <v>356290.70624999999</v>
      </c>
      <c r="S438" s="1272">
        <f t="shared" ref="S438:AG438" si="103">+S439+S453+S459</f>
        <v>0</v>
      </c>
      <c r="T438" s="1272">
        <f t="shared" si="103"/>
        <v>0</v>
      </c>
      <c r="U438" s="1272">
        <f t="shared" si="103"/>
        <v>223990.18437500001</v>
      </c>
      <c r="V438" s="1272">
        <f t="shared" si="103"/>
        <v>13573.4375</v>
      </c>
      <c r="W438" s="1272">
        <f t="shared" si="103"/>
        <v>80924.719125000003</v>
      </c>
      <c r="X438" s="1272">
        <f t="shared" si="103"/>
        <v>7772.2348750000001</v>
      </c>
      <c r="Y438" s="1272">
        <f t="shared" si="103"/>
        <v>30029.927250000001</v>
      </c>
      <c r="Z438" s="276">
        <f t="shared" si="103"/>
        <v>0</v>
      </c>
      <c r="AA438" s="276">
        <f t="shared" si="103"/>
        <v>0</v>
      </c>
      <c r="AB438" s="276">
        <f t="shared" si="103"/>
        <v>0</v>
      </c>
      <c r="AC438" s="276">
        <f t="shared" si="103"/>
        <v>0</v>
      </c>
      <c r="AD438" s="276">
        <f t="shared" si="103"/>
        <v>0</v>
      </c>
      <c r="AE438" s="276">
        <f t="shared" si="103"/>
        <v>0</v>
      </c>
      <c r="AF438" s="276">
        <f t="shared" si="103"/>
        <v>0</v>
      </c>
      <c r="AG438" s="1272">
        <f t="shared" si="103"/>
        <v>356290.50312499999</v>
      </c>
    </row>
    <row r="439" spans="1:33" ht="16.5" customHeight="1">
      <c r="A439" s="1275">
        <v>411</v>
      </c>
      <c r="B439" s="545" t="s">
        <v>911</v>
      </c>
      <c r="C439" s="1510"/>
      <c r="D439" s="1390"/>
      <c r="E439" s="1390"/>
      <c r="F439" s="1390"/>
      <c r="G439" s="1390"/>
      <c r="H439" s="1390"/>
      <c r="I439" s="1390"/>
      <c r="J439" s="283"/>
      <c r="K439" s="1278"/>
      <c r="L439" s="1279"/>
      <c r="M439" s="1280"/>
      <c r="N439" s="1277"/>
      <c r="O439" s="1281"/>
      <c r="P439" s="1277"/>
      <c r="Q439" s="1395">
        <f>SUM(Q440:Q452)</f>
        <v>63605.746874999997</v>
      </c>
      <c r="R439" s="287"/>
      <c r="S439" s="1395">
        <f t="shared" ref="S439:AF439" si="104">SUM(S440:S452)</f>
        <v>0</v>
      </c>
      <c r="T439" s="1395">
        <f t="shared" si="104"/>
        <v>0</v>
      </c>
      <c r="U439" s="1395">
        <f t="shared" si="104"/>
        <v>43754.809374999997</v>
      </c>
      <c r="V439" s="1395">
        <f t="shared" si="104"/>
        <v>13573.4375</v>
      </c>
      <c r="W439" s="1395">
        <f t="shared" si="104"/>
        <v>6277.5</v>
      </c>
      <c r="X439" s="1395">
        <f t="shared" si="104"/>
        <v>0</v>
      </c>
      <c r="Y439" s="1395">
        <f t="shared" si="104"/>
        <v>0</v>
      </c>
      <c r="Z439" s="361">
        <f t="shared" si="104"/>
        <v>0</v>
      </c>
      <c r="AA439" s="361">
        <f t="shared" si="104"/>
        <v>0</v>
      </c>
      <c r="AB439" s="361">
        <f t="shared" si="104"/>
        <v>0</v>
      </c>
      <c r="AC439" s="361">
        <f t="shared" si="104"/>
        <v>0</v>
      </c>
      <c r="AD439" s="361">
        <f t="shared" si="104"/>
        <v>0</v>
      </c>
      <c r="AE439" s="361">
        <f t="shared" si="104"/>
        <v>0</v>
      </c>
      <c r="AF439" s="361">
        <f t="shared" si="104"/>
        <v>0</v>
      </c>
      <c r="AG439" s="1395">
        <f>SUM(S439:AF439)</f>
        <v>63605.746874999997</v>
      </c>
    </row>
    <row r="440" spans="1:33" ht="47.25" customHeight="1">
      <c r="A440" s="294">
        <v>4111</v>
      </c>
      <c r="B440" s="824" t="s">
        <v>912</v>
      </c>
      <c r="C440" s="824" t="s">
        <v>913</v>
      </c>
      <c r="D440" s="1396"/>
      <c r="E440" s="1391">
        <f>45+21+5</f>
        <v>71</v>
      </c>
      <c r="F440" s="1400">
        <v>43192</v>
      </c>
      <c r="G440" s="1400">
        <f>F440+E440</f>
        <v>43263</v>
      </c>
      <c r="H440" s="293" t="s">
        <v>914</v>
      </c>
      <c r="I440" s="845" t="s">
        <v>178</v>
      </c>
      <c r="J440" s="866" t="s">
        <v>169</v>
      </c>
      <c r="K440" s="1094" t="s">
        <v>915</v>
      </c>
      <c r="L440" s="1788">
        <v>23174</v>
      </c>
      <c r="M440" s="1543"/>
      <c r="N440" s="845"/>
      <c r="O440" s="1583">
        <v>1582.090625</v>
      </c>
      <c r="P440" s="845">
        <v>1</v>
      </c>
      <c r="Q440" s="1110">
        <f t="shared" ref="Q440:Q452" si="105">O440*P440</f>
        <v>1582.090625</v>
      </c>
      <c r="R440" s="299"/>
      <c r="S440" s="299"/>
      <c r="T440" s="299"/>
      <c r="U440" s="299">
        <v>1582.090625</v>
      </c>
      <c r="V440" s="299"/>
      <c r="W440" s="299"/>
      <c r="X440" s="1142"/>
      <c r="Y440" s="1124"/>
      <c r="Z440" s="1124"/>
      <c r="AA440" s="1124"/>
      <c r="AB440" s="1124"/>
      <c r="AC440" s="1124"/>
      <c r="AD440" s="1124"/>
      <c r="AE440" s="1124"/>
      <c r="AF440" s="1124"/>
      <c r="AG440" s="1282">
        <f t="shared" ref="AG440:AG452" si="106">SUM(S440:AF440)</f>
        <v>1582.090625</v>
      </c>
    </row>
    <row r="441" spans="1:33" ht="31.5">
      <c r="A441" s="294">
        <v>4111</v>
      </c>
      <c r="B441" s="824" t="s">
        <v>912</v>
      </c>
      <c r="C441" s="824" t="s">
        <v>913</v>
      </c>
      <c r="D441" s="1401"/>
      <c r="E441" s="1391">
        <f>45+21+5</f>
        <v>71</v>
      </c>
      <c r="F441" s="1400">
        <v>43192</v>
      </c>
      <c r="G441" s="1400">
        <f>F441+E441</f>
        <v>43263</v>
      </c>
      <c r="H441" s="293" t="s">
        <v>914</v>
      </c>
      <c r="I441" s="845" t="s">
        <v>169</v>
      </c>
      <c r="J441" s="866" t="s">
        <v>178</v>
      </c>
      <c r="K441" s="1094" t="s">
        <v>320</v>
      </c>
      <c r="L441" s="1788">
        <v>23173</v>
      </c>
      <c r="M441" s="1543"/>
      <c r="N441" s="845"/>
      <c r="O441" s="1583">
        <v>164.0625</v>
      </c>
      <c r="P441" s="845">
        <v>1</v>
      </c>
      <c r="Q441" s="1110">
        <f t="shared" si="105"/>
        <v>164.0625</v>
      </c>
      <c r="R441" s="299"/>
      <c r="S441" s="299"/>
      <c r="T441" s="299"/>
      <c r="U441" s="299">
        <v>164.0625</v>
      </c>
      <c r="V441" s="299"/>
      <c r="W441" s="299"/>
      <c r="X441" s="1142"/>
      <c r="Y441" s="1124"/>
      <c r="Z441" s="1124"/>
      <c r="AA441" s="1124"/>
      <c r="AB441" s="1124"/>
      <c r="AC441" s="1124"/>
      <c r="AD441" s="1124"/>
      <c r="AE441" s="1124"/>
      <c r="AF441" s="1124"/>
      <c r="AG441" s="1282">
        <f t="shared" si="106"/>
        <v>164.0625</v>
      </c>
    </row>
    <row r="442" spans="1:33" ht="31.5">
      <c r="A442" s="294">
        <v>4111</v>
      </c>
      <c r="B442" s="824" t="s">
        <v>912</v>
      </c>
      <c r="C442" s="824" t="s">
        <v>913</v>
      </c>
      <c r="D442" s="1401"/>
      <c r="E442" s="1391">
        <f>45+21+5</f>
        <v>71</v>
      </c>
      <c r="F442" s="1400">
        <v>43192</v>
      </c>
      <c r="G442" s="1400">
        <f>F442+E442</f>
        <v>43263</v>
      </c>
      <c r="H442" s="293" t="s">
        <v>914</v>
      </c>
      <c r="I442" s="845" t="s">
        <v>169</v>
      </c>
      <c r="J442" s="866" t="s">
        <v>178</v>
      </c>
      <c r="K442" s="1094" t="s">
        <v>916</v>
      </c>
      <c r="L442" s="1788">
        <v>23173</v>
      </c>
      <c r="M442" s="1543"/>
      <c r="N442" s="845"/>
      <c r="O442" s="1583">
        <v>31.25</v>
      </c>
      <c r="P442" s="845">
        <v>5</v>
      </c>
      <c r="Q442" s="1110">
        <f t="shared" si="105"/>
        <v>156.25</v>
      </c>
      <c r="R442" s="299"/>
      <c r="S442" s="299"/>
      <c r="T442" s="299"/>
      <c r="U442" s="299">
        <v>156.25</v>
      </c>
      <c r="V442" s="299"/>
      <c r="W442" s="299"/>
      <c r="X442" s="1142"/>
      <c r="Y442" s="1124"/>
      <c r="Z442" s="1124"/>
      <c r="AA442" s="1124"/>
      <c r="AB442" s="1124"/>
      <c r="AC442" s="1124"/>
      <c r="AD442" s="1124"/>
      <c r="AE442" s="1124"/>
      <c r="AF442" s="1124"/>
      <c r="AG442" s="1282">
        <f t="shared" si="106"/>
        <v>156.25</v>
      </c>
    </row>
    <row r="443" spans="1:33">
      <c r="A443" s="1621">
        <v>4112</v>
      </c>
      <c r="B443" s="1616" t="s">
        <v>917</v>
      </c>
      <c r="C443" s="1616" t="s">
        <v>918</v>
      </c>
      <c r="D443" s="1617"/>
      <c r="E443" s="1618">
        <f>3</f>
        <v>3</v>
      </c>
      <c r="F443" s="1619">
        <v>43265</v>
      </c>
      <c r="G443" s="1619">
        <f t="shared" ref="G443:G452" si="107">F443+E443-1</f>
        <v>43267</v>
      </c>
      <c r="H443" s="1620" t="s">
        <v>914</v>
      </c>
      <c r="I443" s="1621" t="s">
        <v>169</v>
      </c>
      <c r="J443" s="1622" t="s">
        <v>178</v>
      </c>
      <c r="K443" s="1678" t="s">
        <v>320</v>
      </c>
      <c r="L443" s="1812">
        <v>23173</v>
      </c>
      <c r="M443" s="1680"/>
      <c r="N443" s="1621"/>
      <c r="O443" s="1681">
        <v>523.125</v>
      </c>
      <c r="P443" s="1621">
        <v>1</v>
      </c>
      <c r="Q443" s="1624">
        <f t="shared" si="105"/>
        <v>523.125</v>
      </c>
      <c r="R443" s="1682"/>
      <c r="S443" s="1682"/>
      <c r="T443" s="1682"/>
      <c r="U443" s="1682">
        <v>523.125</v>
      </c>
      <c r="V443" s="1682"/>
      <c r="W443" s="1682"/>
      <c r="X443" s="1683"/>
      <c r="Y443" s="1680"/>
      <c r="Z443" s="1680"/>
      <c r="AA443" s="1680"/>
      <c r="AB443" s="1680"/>
      <c r="AC443" s="1680"/>
      <c r="AD443" s="1680"/>
      <c r="AE443" s="1680"/>
      <c r="AF443" s="1680"/>
      <c r="AG443" s="1282">
        <f t="shared" si="106"/>
        <v>523.125</v>
      </c>
    </row>
    <row r="444" spans="1:33" ht="47.25" customHeight="1">
      <c r="A444" s="1631">
        <v>4113</v>
      </c>
      <c r="B444" s="1626" t="s">
        <v>919</v>
      </c>
      <c r="C444" s="1626" t="s">
        <v>920</v>
      </c>
      <c r="D444" s="1627"/>
      <c r="E444" s="1628">
        <f>2</f>
        <v>2</v>
      </c>
      <c r="F444" s="1629">
        <v>43271</v>
      </c>
      <c r="G444" s="1629">
        <f t="shared" si="107"/>
        <v>43272</v>
      </c>
      <c r="H444" s="1630" t="s">
        <v>914</v>
      </c>
      <c r="I444" s="1631" t="s">
        <v>178</v>
      </c>
      <c r="J444" s="1632" t="s">
        <v>169</v>
      </c>
      <c r="K444" s="1679" t="s">
        <v>888</v>
      </c>
      <c r="L444" s="1813">
        <v>23174</v>
      </c>
      <c r="M444" s="1636"/>
      <c r="N444" s="1631"/>
      <c r="O444" s="1676">
        <v>34491.78125</v>
      </c>
      <c r="P444" s="1631">
        <v>1</v>
      </c>
      <c r="Q444" s="1634">
        <f t="shared" si="105"/>
        <v>34491.78125</v>
      </c>
      <c r="R444" s="1671"/>
      <c r="S444" s="1671"/>
      <c r="T444" s="1671"/>
      <c r="U444" s="1671">
        <v>34491.78125</v>
      </c>
      <c r="V444" s="1671"/>
      <c r="W444" s="1671"/>
      <c r="X444" s="1671"/>
      <c r="Y444" s="1636"/>
      <c r="Z444" s="1636"/>
      <c r="AA444" s="1636"/>
      <c r="AB444" s="1636"/>
      <c r="AC444" s="1636"/>
      <c r="AD444" s="1636"/>
      <c r="AE444" s="1636"/>
      <c r="AF444" s="1636"/>
      <c r="AG444" s="1282">
        <f t="shared" si="106"/>
        <v>34491.78125</v>
      </c>
    </row>
    <row r="445" spans="1:33" ht="31.5">
      <c r="A445" s="1631">
        <v>4113</v>
      </c>
      <c r="B445" s="1626" t="s">
        <v>919</v>
      </c>
      <c r="C445" s="1626" t="s">
        <v>920</v>
      </c>
      <c r="D445" s="1627"/>
      <c r="E445" s="1628">
        <f>2</f>
        <v>2</v>
      </c>
      <c r="F445" s="1629">
        <v>43271</v>
      </c>
      <c r="G445" s="1629">
        <f t="shared" si="107"/>
        <v>43272</v>
      </c>
      <c r="H445" s="1630" t="s">
        <v>914</v>
      </c>
      <c r="I445" s="1631" t="s">
        <v>169</v>
      </c>
      <c r="J445" s="1632" t="s">
        <v>178</v>
      </c>
      <c r="K445" s="1679" t="s">
        <v>320</v>
      </c>
      <c r="L445" s="1813">
        <v>23173</v>
      </c>
      <c r="M445" s="1636"/>
      <c r="N445" s="1631"/>
      <c r="O445" s="1676">
        <v>5156.25</v>
      </c>
      <c r="P445" s="1631">
        <v>1</v>
      </c>
      <c r="Q445" s="1634">
        <f t="shared" si="105"/>
        <v>5156.25</v>
      </c>
      <c r="R445" s="1671"/>
      <c r="S445" s="1671"/>
      <c r="T445" s="1671"/>
      <c r="U445" s="1671">
        <v>5156.25</v>
      </c>
      <c r="V445" s="1671"/>
      <c r="W445" s="1671"/>
      <c r="X445" s="1671"/>
      <c r="Y445" s="1636"/>
      <c r="Z445" s="1636"/>
      <c r="AA445" s="1636"/>
      <c r="AB445" s="1636"/>
      <c r="AC445" s="1636"/>
      <c r="AD445" s="1636"/>
      <c r="AE445" s="1636"/>
      <c r="AF445" s="1636"/>
      <c r="AG445" s="1282">
        <f t="shared" si="106"/>
        <v>5156.25</v>
      </c>
    </row>
    <row r="446" spans="1:33" ht="31.5">
      <c r="A446" s="1631">
        <v>4113</v>
      </c>
      <c r="B446" s="1626" t="s">
        <v>919</v>
      </c>
      <c r="C446" s="1626" t="s">
        <v>920</v>
      </c>
      <c r="D446" s="1627"/>
      <c r="E446" s="1628">
        <f>2</f>
        <v>2</v>
      </c>
      <c r="F446" s="1629">
        <v>43271</v>
      </c>
      <c r="G446" s="1629">
        <f t="shared" si="107"/>
        <v>43272</v>
      </c>
      <c r="H446" s="1630" t="s">
        <v>914</v>
      </c>
      <c r="I446" s="1631" t="s">
        <v>169</v>
      </c>
      <c r="J446" s="1632" t="s">
        <v>178</v>
      </c>
      <c r="K446" s="1679" t="s">
        <v>916</v>
      </c>
      <c r="L446" s="1813">
        <v>23173</v>
      </c>
      <c r="M446" s="1636"/>
      <c r="N446" s="1631"/>
      <c r="O446" s="1676">
        <v>31.25</v>
      </c>
      <c r="P446" s="1631">
        <f>2*22</f>
        <v>44</v>
      </c>
      <c r="Q446" s="1634">
        <f t="shared" si="105"/>
        <v>1375</v>
      </c>
      <c r="R446" s="1671"/>
      <c r="S446" s="1671"/>
      <c r="T446" s="1671"/>
      <c r="U446" s="1671">
        <v>1375</v>
      </c>
      <c r="V446" s="1671"/>
      <c r="W446" s="1671"/>
      <c r="X446" s="1671"/>
      <c r="Y446" s="1636"/>
      <c r="Z446" s="1636"/>
      <c r="AA446" s="1636"/>
      <c r="AB446" s="1636"/>
      <c r="AC446" s="1636"/>
      <c r="AD446" s="1636"/>
      <c r="AE446" s="1636"/>
      <c r="AF446" s="1636"/>
      <c r="AG446" s="1282">
        <f t="shared" si="106"/>
        <v>1375</v>
      </c>
    </row>
    <row r="447" spans="1:33" ht="31.5">
      <c r="A447" s="1631">
        <v>4114</v>
      </c>
      <c r="B447" s="1626" t="s">
        <v>921</v>
      </c>
      <c r="C447" s="1626" t="s">
        <v>922</v>
      </c>
      <c r="D447" s="1627"/>
      <c r="E447" s="1628">
        <f>3</f>
        <v>3</v>
      </c>
      <c r="F447" s="1635">
        <v>43279</v>
      </c>
      <c r="G447" s="1629">
        <f t="shared" si="107"/>
        <v>43281</v>
      </c>
      <c r="H447" s="1630" t="s">
        <v>914</v>
      </c>
      <c r="I447" s="1631" t="s">
        <v>169</v>
      </c>
      <c r="J447" s="1632" t="s">
        <v>178</v>
      </c>
      <c r="K447" s="1679" t="s">
        <v>670</v>
      </c>
      <c r="L447" s="1813">
        <v>23173</v>
      </c>
      <c r="M447" s="1636"/>
      <c r="N447" s="1631"/>
      <c r="O447" s="1676">
        <v>153.125</v>
      </c>
      <c r="P447" s="1631">
        <v>2</v>
      </c>
      <c r="Q447" s="1634">
        <f t="shared" si="105"/>
        <v>306.25</v>
      </c>
      <c r="R447" s="1671"/>
      <c r="S447" s="1671"/>
      <c r="T447" s="1671"/>
      <c r="U447" s="1671">
        <v>306.25</v>
      </c>
      <c r="V447" s="1671"/>
      <c r="W447" s="1671"/>
      <c r="X447" s="1671"/>
      <c r="Y447" s="1636"/>
      <c r="Z447" s="1636"/>
      <c r="AA447" s="1636"/>
      <c r="AB447" s="1636"/>
      <c r="AC447" s="1636"/>
      <c r="AD447" s="1636"/>
      <c r="AE447" s="1636"/>
      <c r="AF447" s="1636"/>
      <c r="AG447" s="1282">
        <f t="shared" si="106"/>
        <v>306.25</v>
      </c>
    </row>
    <row r="448" spans="1:33" ht="36.75" customHeight="1">
      <c r="A448" s="1631">
        <v>4116</v>
      </c>
      <c r="B448" s="1675" t="s">
        <v>926</v>
      </c>
      <c r="C448" s="1626" t="s">
        <v>927</v>
      </c>
      <c r="D448" s="1636"/>
      <c r="E448" s="1628">
        <f>30</f>
        <v>30</v>
      </c>
      <c r="F448" s="1629">
        <v>43290</v>
      </c>
      <c r="G448" s="1629">
        <f t="shared" si="107"/>
        <v>43319</v>
      </c>
      <c r="H448" s="1630" t="s">
        <v>914</v>
      </c>
      <c r="I448" s="1631" t="s">
        <v>169</v>
      </c>
      <c r="J448" s="1632" t="s">
        <v>178</v>
      </c>
      <c r="K448" s="1679" t="s">
        <v>320</v>
      </c>
      <c r="L448" s="1813">
        <v>23173</v>
      </c>
      <c r="M448" s="1636"/>
      <c r="N448" s="1631"/>
      <c r="O448" s="1676">
        <v>12270.9375</v>
      </c>
      <c r="P448" s="1631">
        <v>1</v>
      </c>
      <c r="Q448" s="1634">
        <f t="shared" si="105"/>
        <v>12270.9375</v>
      </c>
      <c r="R448" s="1671"/>
      <c r="S448" s="1671"/>
      <c r="T448" s="1671"/>
      <c r="U448" s="1671"/>
      <c r="V448" s="1671">
        <v>12270.9375</v>
      </c>
      <c r="W448" s="1671"/>
      <c r="X448" s="1671"/>
      <c r="Y448" s="1636"/>
      <c r="Z448" s="1636"/>
      <c r="AA448" s="1636"/>
      <c r="AB448" s="1636"/>
      <c r="AC448" s="1636"/>
      <c r="AD448" s="1636"/>
      <c r="AE448" s="1636"/>
      <c r="AF448" s="1636"/>
      <c r="AG448" s="1282">
        <f t="shared" si="106"/>
        <v>12270.9375</v>
      </c>
    </row>
    <row r="449" spans="1:33">
      <c r="A449" s="1631">
        <v>4117</v>
      </c>
      <c r="B449" s="1675" t="s">
        <v>928</v>
      </c>
      <c r="C449" s="1626" t="s">
        <v>929</v>
      </c>
      <c r="D449" s="1636"/>
      <c r="E449" s="1628">
        <f>6</f>
        <v>6</v>
      </c>
      <c r="F449" s="1629">
        <v>43290</v>
      </c>
      <c r="G449" s="1629">
        <f t="shared" si="107"/>
        <v>43295</v>
      </c>
      <c r="H449" s="1630" t="s">
        <v>914</v>
      </c>
      <c r="I449" s="1631" t="s">
        <v>169</v>
      </c>
      <c r="J449" s="1632" t="s">
        <v>178</v>
      </c>
      <c r="K449" s="1679" t="s">
        <v>320</v>
      </c>
      <c r="L449" s="1813">
        <v>23173</v>
      </c>
      <c r="M449" s="1636"/>
      <c r="N449" s="1631"/>
      <c r="O449" s="1676">
        <v>599.375</v>
      </c>
      <c r="P449" s="1631">
        <v>1</v>
      </c>
      <c r="Q449" s="1634">
        <f t="shared" si="105"/>
        <v>599.375</v>
      </c>
      <c r="R449" s="1671"/>
      <c r="S449" s="1671"/>
      <c r="T449" s="1671"/>
      <c r="U449" s="1671"/>
      <c r="V449" s="1671">
        <v>599.375</v>
      </c>
      <c r="W449" s="1671"/>
      <c r="X449" s="1671"/>
      <c r="Y449" s="1636"/>
      <c r="Z449" s="1636"/>
      <c r="AA449" s="1636"/>
      <c r="AB449" s="1636"/>
      <c r="AC449" s="1636"/>
      <c r="AD449" s="1636"/>
      <c r="AE449" s="1636"/>
      <c r="AF449" s="1636"/>
      <c r="AG449" s="1282">
        <f t="shared" si="106"/>
        <v>599.375</v>
      </c>
    </row>
    <row r="450" spans="1:33" ht="47.25">
      <c r="A450" s="1631">
        <v>4118</v>
      </c>
      <c r="B450" s="1675" t="s">
        <v>930</v>
      </c>
      <c r="C450" s="1626" t="s">
        <v>931</v>
      </c>
      <c r="D450" s="1636"/>
      <c r="E450" s="1628">
        <f>3</f>
        <v>3</v>
      </c>
      <c r="F450" s="1629">
        <v>43304</v>
      </c>
      <c r="G450" s="1629">
        <f t="shared" si="107"/>
        <v>43306</v>
      </c>
      <c r="H450" s="1630" t="s">
        <v>914</v>
      </c>
      <c r="I450" s="1631" t="s">
        <v>178</v>
      </c>
      <c r="J450" s="1632" t="s">
        <v>932</v>
      </c>
      <c r="K450" s="1814" t="s">
        <v>933</v>
      </c>
      <c r="L450" s="1813">
        <v>23172</v>
      </c>
      <c r="M450" s="1636"/>
      <c r="N450" s="1631"/>
      <c r="O450" s="1676">
        <v>15.625</v>
      </c>
      <c r="P450" s="1631">
        <f>45</f>
        <v>45</v>
      </c>
      <c r="Q450" s="1634">
        <f t="shared" si="105"/>
        <v>703.125</v>
      </c>
      <c r="R450" s="1671"/>
      <c r="S450" s="1671"/>
      <c r="T450" s="1671"/>
      <c r="U450" s="1671"/>
      <c r="V450" s="1671">
        <v>703.125</v>
      </c>
      <c r="W450" s="1671"/>
      <c r="X450" s="1671"/>
      <c r="Y450" s="1636"/>
      <c r="Z450" s="1636"/>
      <c r="AA450" s="1636"/>
      <c r="AB450" s="1636"/>
      <c r="AC450" s="1636"/>
      <c r="AD450" s="1636"/>
      <c r="AE450" s="1636"/>
      <c r="AF450" s="1636"/>
      <c r="AG450" s="1282">
        <f t="shared" si="106"/>
        <v>703.125</v>
      </c>
    </row>
    <row r="451" spans="1:33" ht="31.5">
      <c r="A451" s="1631">
        <v>4119</v>
      </c>
      <c r="B451" s="1675" t="s">
        <v>934</v>
      </c>
      <c r="C451" s="1626" t="s">
        <v>935</v>
      </c>
      <c r="D451" s="1636"/>
      <c r="E451" s="1628">
        <f>5</f>
        <v>5</v>
      </c>
      <c r="F451" s="1629">
        <v>43325</v>
      </c>
      <c r="G451" s="1629">
        <f t="shared" si="107"/>
        <v>43329</v>
      </c>
      <c r="H451" s="1630" t="s">
        <v>914</v>
      </c>
      <c r="I451" s="1631" t="s">
        <v>178</v>
      </c>
      <c r="J451" s="1632" t="s">
        <v>169</v>
      </c>
      <c r="K451" s="1679" t="s">
        <v>888</v>
      </c>
      <c r="L451" s="1813">
        <v>23174</v>
      </c>
      <c r="M451" s="1636"/>
      <c r="N451" s="1631"/>
      <c r="O451" s="1676">
        <v>5277.5</v>
      </c>
      <c r="P451" s="1631">
        <v>1</v>
      </c>
      <c r="Q451" s="1634">
        <f t="shared" si="105"/>
        <v>5277.5</v>
      </c>
      <c r="R451" s="1671"/>
      <c r="S451" s="1671"/>
      <c r="T451" s="1671"/>
      <c r="U451" s="1671"/>
      <c r="V451" s="1671"/>
      <c r="W451" s="1671">
        <v>5277.5</v>
      </c>
      <c r="X451" s="1671"/>
      <c r="Y451" s="1636"/>
      <c r="Z451" s="1636"/>
      <c r="AA451" s="1636"/>
      <c r="AB451" s="1636"/>
      <c r="AC451" s="1636"/>
      <c r="AD451" s="1636"/>
      <c r="AE451" s="1636"/>
      <c r="AF451" s="1636"/>
      <c r="AG451" s="1282">
        <f t="shared" si="106"/>
        <v>5277.5</v>
      </c>
    </row>
    <row r="452" spans="1:33" ht="31.5">
      <c r="A452" s="1631">
        <v>4119</v>
      </c>
      <c r="B452" s="1675" t="s">
        <v>934</v>
      </c>
      <c r="C452" s="1626" t="s">
        <v>935</v>
      </c>
      <c r="D452" s="1636"/>
      <c r="E452" s="1628">
        <f>5</f>
        <v>5</v>
      </c>
      <c r="F452" s="1629">
        <v>43325</v>
      </c>
      <c r="G452" s="1629">
        <f t="shared" si="107"/>
        <v>43329</v>
      </c>
      <c r="H452" s="1630" t="s">
        <v>914</v>
      </c>
      <c r="I452" s="1631" t="s">
        <v>169</v>
      </c>
      <c r="J452" s="1632" t="s">
        <v>178</v>
      </c>
      <c r="K452" s="1679" t="s">
        <v>320</v>
      </c>
      <c r="L452" s="1813">
        <v>23173</v>
      </c>
      <c r="M452" s="1636"/>
      <c r="N452" s="1631"/>
      <c r="O452" s="1676">
        <v>1000</v>
      </c>
      <c r="P452" s="1631">
        <v>1</v>
      </c>
      <c r="Q452" s="1634">
        <f t="shared" si="105"/>
        <v>1000</v>
      </c>
      <c r="R452" s="1671"/>
      <c r="S452" s="1671"/>
      <c r="T452" s="1671"/>
      <c r="U452" s="1671"/>
      <c r="V452" s="1671"/>
      <c r="W452" s="1671">
        <v>1000</v>
      </c>
      <c r="X452" s="1671"/>
      <c r="Y452" s="1636"/>
      <c r="Z452" s="1636"/>
      <c r="AA452" s="1636"/>
      <c r="AB452" s="1636"/>
      <c r="AC452" s="1636"/>
      <c r="AD452" s="1636"/>
      <c r="AE452" s="1636"/>
      <c r="AF452" s="1636"/>
      <c r="AG452" s="1282">
        <f t="shared" si="106"/>
        <v>1000</v>
      </c>
    </row>
    <row r="453" spans="1:33" ht="31.5">
      <c r="A453" s="1640">
        <v>412</v>
      </c>
      <c r="B453" s="1685" t="s">
        <v>936</v>
      </c>
      <c r="C453" s="1686"/>
      <c r="D453" s="1687"/>
      <c r="E453" s="1687"/>
      <c r="F453" s="1687"/>
      <c r="G453" s="1687"/>
      <c r="H453" s="1687"/>
      <c r="I453" s="1687"/>
      <c r="J453" s="1221"/>
      <c r="K453" s="1641"/>
      <c r="L453" s="1642"/>
      <c r="M453" s="1643"/>
      <c r="N453" s="1644"/>
      <c r="O453" s="1645"/>
      <c r="P453" s="1644"/>
      <c r="Q453" s="1646">
        <f>SUM(Q454:Q458)</f>
        <v>9103.5</v>
      </c>
      <c r="R453" s="1225"/>
      <c r="S453" s="1646">
        <f t="shared" ref="S453:AF453" si="108">SUM(S454:S458)</f>
        <v>0</v>
      </c>
      <c r="T453" s="1646">
        <f t="shared" si="108"/>
        <v>0</v>
      </c>
      <c r="U453" s="1646">
        <f t="shared" si="108"/>
        <v>0</v>
      </c>
      <c r="V453" s="1646">
        <f t="shared" si="108"/>
        <v>0</v>
      </c>
      <c r="W453" s="1646">
        <f t="shared" si="108"/>
        <v>9103.5</v>
      </c>
      <c r="X453" s="1646">
        <f t="shared" si="108"/>
        <v>0</v>
      </c>
      <c r="Y453" s="1646">
        <f t="shared" si="108"/>
        <v>0</v>
      </c>
      <c r="Z453" s="1224">
        <f t="shared" si="108"/>
        <v>0</v>
      </c>
      <c r="AA453" s="1224">
        <f t="shared" si="108"/>
        <v>0</v>
      </c>
      <c r="AB453" s="1224">
        <f t="shared" si="108"/>
        <v>0</v>
      </c>
      <c r="AC453" s="1224">
        <f t="shared" si="108"/>
        <v>0</v>
      </c>
      <c r="AD453" s="1224">
        <f t="shared" si="108"/>
        <v>0</v>
      </c>
      <c r="AE453" s="1224">
        <f t="shared" si="108"/>
        <v>0</v>
      </c>
      <c r="AF453" s="1224">
        <f t="shared" si="108"/>
        <v>0</v>
      </c>
      <c r="AG453" s="1395">
        <f t="shared" ref="AG453:AG459" si="109">SUM(S453:AF453)</f>
        <v>9103.5</v>
      </c>
    </row>
    <row r="454" spans="1:33" s="1570" customFormat="1" ht="57" customHeight="1">
      <c r="A454" s="1647">
        <v>4121</v>
      </c>
      <c r="B454" s="1648" t="s">
        <v>937</v>
      </c>
      <c r="C454" s="1648" t="s">
        <v>938</v>
      </c>
      <c r="D454" s="1649"/>
      <c r="E454" s="1650">
        <f>2</f>
        <v>2</v>
      </c>
      <c r="F454" s="1629">
        <v>43297</v>
      </c>
      <c r="G454" s="1629">
        <f>F454+E454-1</f>
        <v>43298</v>
      </c>
      <c r="H454" s="1651" t="s">
        <v>178</v>
      </c>
      <c r="I454" s="1651" t="s">
        <v>178</v>
      </c>
      <c r="J454" s="1652" t="s">
        <v>169</v>
      </c>
      <c r="K454" s="1679" t="s">
        <v>888</v>
      </c>
      <c r="L454" s="1813">
        <v>23174</v>
      </c>
      <c r="M454" s="1688"/>
      <c r="N454" s="1653"/>
      <c r="O454" s="1689">
        <v>3106.9156250000001</v>
      </c>
      <c r="P454" s="1653">
        <v>1</v>
      </c>
      <c r="Q454" s="1654">
        <f>O454*P454</f>
        <v>3106.9156250000001</v>
      </c>
      <c r="R454" s="1655"/>
      <c r="S454" s="1690"/>
      <c r="T454" s="1690"/>
      <c r="U454" s="1690"/>
      <c r="V454" s="1690"/>
      <c r="W454" s="1690">
        <v>3106.9156250000001</v>
      </c>
      <c r="X454" s="1690"/>
      <c r="Y454" s="1690"/>
      <c r="Z454" s="1691"/>
      <c r="AA454" s="1691"/>
      <c r="AB454" s="1691"/>
      <c r="AC454" s="1691"/>
      <c r="AD454" s="1691"/>
      <c r="AE454" s="1691"/>
      <c r="AF454" s="1691"/>
      <c r="AG454" s="1282">
        <f t="shared" si="109"/>
        <v>3106.9156250000001</v>
      </c>
    </row>
    <row r="455" spans="1:33" s="1570" customFormat="1" ht="33" customHeight="1">
      <c r="A455" s="1647">
        <v>4121</v>
      </c>
      <c r="B455" s="1648" t="s">
        <v>937</v>
      </c>
      <c r="C455" s="1648" t="s">
        <v>939</v>
      </c>
      <c r="D455" s="1649"/>
      <c r="E455" s="1650">
        <f>2</f>
        <v>2</v>
      </c>
      <c r="F455" s="1629">
        <v>43297</v>
      </c>
      <c r="G455" s="1629">
        <f>F455+E455-1</f>
        <v>43298</v>
      </c>
      <c r="H455" s="1651" t="s">
        <v>178</v>
      </c>
      <c r="I455" s="1651" t="s">
        <v>169</v>
      </c>
      <c r="J455" s="1632" t="s">
        <v>178</v>
      </c>
      <c r="K455" s="1679" t="s">
        <v>486</v>
      </c>
      <c r="L455" s="1813">
        <v>23173</v>
      </c>
      <c r="M455" s="1688"/>
      <c r="N455" s="1653"/>
      <c r="O455" s="1689">
        <v>46.875</v>
      </c>
      <c r="P455" s="1653">
        <v>2</v>
      </c>
      <c r="Q455" s="1654">
        <f>O455*P455</f>
        <v>93.75</v>
      </c>
      <c r="R455" s="1655"/>
      <c r="S455" s="1690"/>
      <c r="T455" s="1690"/>
      <c r="U455" s="1690"/>
      <c r="V455" s="1690"/>
      <c r="W455" s="1690">
        <v>93.75</v>
      </c>
      <c r="X455" s="1690"/>
      <c r="Y455" s="1690"/>
      <c r="Z455" s="1691"/>
      <c r="AA455" s="1691"/>
      <c r="AB455" s="1691"/>
      <c r="AC455" s="1691"/>
      <c r="AD455" s="1691"/>
      <c r="AE455" s="1691"/>
      <c r="AF455" s="1691"/>
      <c r="AG455" s="1282">
        <f t="shared" si="109"/>
        <v>93.75</v>
      </c>
    </row>
    <row r="456" spans="1:33" s="1570" customFormat="1" ht="44.25" customHeight="1">
      <c r="A456" s="1647">
        <v>4122</v>
      </c>
      <c r="B456" s="1648" t="s">
        <v>23</v>
      </c>
      <c r="C456" s="1648" t="s">
        <v>939</v>
      </c>
      <c r="D456" s="1649"/>
      <c r="E456" s="1650">
        <f>3</f>
        <v>3</v>
      </c>
      <c r="F456" s="1629">
        <v>43300</v>
      </c>
      <c r="G456" s="1629">
        <f>F456+E456-1</f>
        <v>43302</v>
      </c>
      <c r="H456" s="1651" t="s">
        <v>178</v>
      </c>
      <c r="I456" s="1651" t="s">
        <v>178</v>
      </c>
      <c r="J456" s="1652" t="s">
        <v>169</v>
      </c>
      <c r="K456" s="1679" t="s">
        <v>888</v>
      </c>
      <c r="L456" s="1813">
        <v>23174</v>
      </c>
      <c r="M456" s="1688"/>
      <c r="N456" s="1653"/>
      <c r="O456" s="1689">
        <v>5645.0218750000004</v>
      </c>
      <c r="P456" s="1653">
        <v>1</v>
      </c>
      <c r="Q456" s="1654">
        <f>O456*P456</f>
        <v>5645.0218750000004</v>
      </c>
      <c r="R456" s="1655"/>
      <c r="S456" s="1690"/>
      <c r="T456" s="1690"/>
      <c r="U456" s="1690"/>
      <c r="V456" s="1690"/>
      <c r="W456" s="1690">
        <v>5645.0218750000004</v>
      </c>
      <c r="X456" s="1690"/>
      <c r="Y456" s="1690"/>
      <c r="Z456" s="1691"/>
      <c r="AA456" s="1691"/>
      <c r="AB456" s="1691"/>
      <c r="AC456" s="1691"/>
      <c r="AD456" s="1691"/>
      <c r="AE456" s="1691"/>
      <c r="AF456" s="1691"/>
      <c r="AG456" s="1282">
        <f t="shared" si="109"/>
        <v>5645.0218750000004</v>
      </c>
    </row>
    <row r="457" spans="1:33" s="1570" customFormat="1" ht="37.5" customHeight="1">
      <c r="A457" s="1647">
        <v>4122</v>
      </c>
      <c r="B457" s="1648" t="s">
        <v>23</v>
      </c>
      <c r="C457" s="1648" t="s">
        <v>940</v>
      </c>
      <c r="D457" s="1649"/>
      <c r="E457" s="1650">
        <f>3</f>
        <v>3</v>
      </c>
      <c r="F457" s="1629">
        <v>43300</v>
      </c>
      <c r="G457" s="1629">
        <f>F457+E457-1</f>
        <v>43302</v>
      </c>
      <c r="H457" s="1651" t="s">
        <v>178</v>
      </c>
      <c r="I457" s="1651" t="s">
        <v>169</v>
      </c>
      <c r="J457" s="1632" t="s">
        <v>178</v>
      </c>
      <c r="K457" s="1679" t="s">
        <v>486</v>
      </c>
      <c r="L457" s="1813">
        <v>23173</v>
      </c>
      <c r="M457" s="1688"/>
      <c r="N457" s="1653"/>
      <c r="O457" s="1689">
        <v>31.25</v>
      </c>
      <c r="P457" s="1653">
        <v>3</v>
      </c>
      <c r="Q457" s="1654">
        <f>O457*P457</f>
        <v>93.75</v>
      </c>
      <c r="R457" s="1655"/>
      <c r="S457" s="1690"/>
      <c r="T457" s="1690"/>
      <c r="U457" s="1690"/>
      <c r="V457" s="1690"/>
      <c r="W457" s="1690">
        <v>93.75</v>
      </c>
      <c r="X457" s="1690"/>
      <c r="Y457" s="1690"/>
      <c r="Z457" s="1691"/>
      <c r="AA457" s="1691"/>
      <c r="AB457" s="1691"/>
      <c r="AC457" s="1691"/>
      <c r="AD457" s="1691"/>
      <c r="AE457" s="1691"/>
      <c r="AF457" s="1691"/>
      <c r="AG457" s="1282">
        <f t="shared" si="109"/>
        <v>93.75</v>
      </c>
    </row>
    <row r="458" spans="1:33" s="1570" customFormat="1" ht="37.5" customHeight="1">
      <c r="A458" s="1647">
        <v>4122</v>
      </c>
      <c r="B458" s="1648" t="s">
        <v>23</v>
      </c>
      <c r="C458" s="1648" t="s">
        <v>940</v>
      </c>
      <c r="D458" s="1649"/>
      <c r="E458" s="1650">
        <f>3</f>
        <v>3</v>
      </c>
      <c r="F458" s="1629">
        <v>43300</v>
      </c>
      <c r="G458" s="1629">
        <f>F458+E458-1</f>
        <v>43302</v>
      </c>
      <c r="H458" s="1651" t="s">
        <v>178</v>
      </c>
      <c r="I458" s="1651" t="s">
        <v>169</v>
      </c>
      <c r="J458" s="1632" t="s">
        <v>178</v>
      </c>
      <c r="K458" s="1679" t="s">
        <v>320</v>
      </c>
      <c r="L458" s="1813">
        <v>23173</v>
      </c>
      <c r="M458" s="1688"/>
      <c r="N458" s="1653"/>
      <c r="O458" s="1689">
        <v>164.0625</v>
      </c>
      <c r="P458" s="1653">
        <v>1</v>
      </c>
      <c r="Q458" s="1654">
        <f>O458*P458</f>
        <v>164.0625</v>
      </c>
      <c r="R458" s="1655"/>
      <c r="S458" s="1690"/>
      <c r="T458" s="1690"/>
      <c r="U458" s="1690"/>
      <c r="V458" s="1690"/>
      <c r="W458" s="1690">
        <v>164.0625</v>
      </c>
      <c r="X458" s="1690"/>
      <c r="Y458" s="1690"/>
      <c r="Z458" s="1691"/>
      <c r="AA458" s="1691"/>
      <c r="AB458" s="1691"/>
      <c r="AC458" s="1691"/>
      <c r="AD458" s="1691"/>
      <c r="AE458" s="1691"/>
      <c r="AF458" s="1691"/>
      <c r="AG458" s="1282">
        <f t="shared" si="109"/>
        <v>164.0625</v>
      </c>
    </row>
    <row r="459" spans="1:33" ht="31.5">
      <c r="A459" s="1640">
        <v>413</v>
      </c>
      <c r="B459" s="1685" t="s">
        <v>941</v>
      </c>
      <c r="C459" s="1686"/>
      <c r="D459" s="1687"/>
      <c r="E459" s="1687"/>
      <c r="F459" s="1687"/>
      <c r="G459" s="1687"/>
      <c r="H459" s="1687"/>
      <c r="I459" s="1687"/>
      <c r="J459" s="1221"/>
      <c r="K459" s="1641"/>
      <c r="L459" s="1642"/>
      <c r="M459" s="1643"/>
      <c r="N459" s="1644"/>
      <c r="O459" s="1645"/>
      <c r="P459" s="1644"/>
      <c r="Q459" s="1646">
        <f>SUM(Q460:Q480)</f>
        <v>283581.25625000003</v>
      </c>
      <c r="R459" s="1225"/>
      <c r="S459" s="1646">
        <f t="shared" ref="S459:AF459" si="110">SUM(S460:S480)</f>
        <v>0</v>
      </c>
      <c r="T459" s="1646">
        <f t="shared" si="110"/>
        <v>0</v>
      </c>
      <c r="U459" s="1646">
        <f t="shared" si="110"/>
        <v>180235.375</v>
      </c>
      <c r="V459" s="1646">
        <f t="shared" si="110"/>
        <v>0</v>
      </c>
      <c r="W459" s="1646">
        <f t="shared" si="110"/>
        <v>65543.719125000003</v>
      </c>
      <c r="X459" s="1646">
        <f t="shared" si="110"/>
        <v>7772.2348750000001</v>
      </c>
      <c r="Y459" s="1646">
        <f t="shared" si="110"/>
        <v>30029.927250000001</v>
      </c>
      <c r="Z459" s="1646">
        <f t="shared" si="110"/>
        <v>0</v>
      </c>
      <c r="AA459" s="1646">
        <f t="shared" si="110"/>
        <v>0</v>
      </c>
      <c r="AB459" s="1646">
        <f t="shared" si="110"/>
        <v>0</v>
      </c>
      <c r="AC459" s="1646">
        <f t="shared" si="110"/>
        <v>0</v>
      </c>
      <c r="AD459" s="1646">
        <f t="shared" si="110"/>
        <v>0</v>
      </c>
      <c r="AE459" s="1646">
        <f t="shared" si="110"/>
        <v>0</v>
      </c>
      <c r="AF459" s="1646">
        <f t="shared" si="110"/>
        <v>0</v>
      </c>
      <c r="AG459" s="1395">
        <f t="shared" si="109"/>
        <v>283581.25624999998</v>
      </c>
    </row>
    <row r="460" spans="1:33" ht="51.75" customHeight="1">
      <c r="A460" s="845">
        <v>4131</v>
      </c>
      <c r="B460" s="857" t="s">
        <v>1039</v>
      </c>
      <c r="C460" s="1598" t="s">
        <v>944</v>
      </c>
      <c r="D460" s="1599"/>
      <c r="E460" s="1391">
        <f>45+21</f>
        <v>66</v>
      </c>
      <c r="F460" s="1400">
        <v>43192</v>
      </c>
      <c r="G460" s="1400">
        <f>E460+F460-1</f>
        <v>43257</v>
      </c>
      <c r="H460" s="845" t="s">
        <v>178</v>
      </c>
      <c r="I460" s="845" t="s">
        <v>169</v>
      </c>
      <c r="J460" s="866" t="s">
        <v>178</v>
      </c>
      <c r="K460" s="1787" t="s">
        <v>945</v>
      </c>
      <c r="L460" s="1788">
        <v>2461</v>
      </c>
      <c r="M460" s="326"/>
      <c r="N460" s="294"/>
      <c r="O460" s="354">
        <v>3356.25</v>
      </c>
      <c r="P460" s="294">
        <v>1</v>
      </c>
      <c r="Q460" s="1111">
        <f t="shared" ref="Q460:Q472" si="111">O460*P460</f>
        <v>3356.25</v>
      </c>
      <c r="R460" s="1412"/>
      <c r="S460" s="913"/>
      <c r="T460" s="913"/>
      <c r="U460" s="913">
        <v>3356.25</v>
      </c>
      <c r="V460" s="913"/>
      <c r="W460" s="913"/>
      <c r="X460" s="1600"/>
      <c r="Y460" s="1127"/>
      <c r="Z460" s="1124"/>
      <c r="AA460" s="1124"/>
      <c r="AB460" s="1124"/>
      <c r="AC460" s="1124"/>
      <c r="AD460" s="1124"/>
      <c r="AE460" s="1124"/>
      <c r="AF460" s="1124"/>
      <c r="AG460" s="1282">
        <f t="shared" ref="AG460:AG480" si="112">SUM(S460:AF460)</f>
        <v>3356.25</v>
      </c>
    </row>
    <row r="461" spans="1:33" ht="47.25">
      <c r="A461" s="845">
        <v>4131</v>
      </c>
      <c r="B461" s="857" t="s">
        <v>1039</v>
      </c>
      <c r="C461" s="1598" t="s">
        <v>944</v>
      </c>
      <c r="D461" s="1599"/>
      <c r="E461" s="1391">
        <f>45+21</f>
        <v>66</v>
      </c>
      <c r="F461" s="1400">
        <v>43192</v>
      </c>
      <c r="G461" s="1400">
        <f t="shared" ref="G461:G472" si="113">E461+F461-1</f>
        <v>43257</v>
      </c>
      <c r="H461" s="845" t="s">
        <v>178</v>
      </c>
      <c r="I461" s="845" t="s">
        <v>169</v>
      </c>
      <c r="J461" s="866" t="s">
        <v>178</v>
      </c>
      <c r="K461" s="1787" t="s">
        <v>946</v>
      </c>
      <c r="L461" s="1788">
        <v>2314</v>
      </c>
      <c r="M461" s="326"/>
      <c r="N461" s="294"/>
      <c r="O461" s="354">
        <v>125</v>
      </c>
      <c r="P461" s="294">
        <v>1</v>
      </c>
      <c r="Q461" s="1111">
        <f t="shared" si="111"/>
        <v>125</v>
      </c>
      <c r="R461" s="1412"/>
      <c r="S461" s="913"/>
      <c r="T461" s="913"/>
      <c r="U461" s="913">
        <v>125</v>
      </c>
      <c r="V461" s="913"/>
      <c r="W461" s="913"/>
      <c r="X461" s="1600"/>
      <c r="Y461" s="1127"/>
      <c r="Z461" s="1124"/>
      <c r="AA461" s="1124"/>
      <c r="AB461" s="1124"/>
      <c r="AC461" s="1124"/>
      <c r="AD461" s="1124"/>
      <c r="AE461" s="1124"/>
      <c r="AF461" s="1124"/>
      <c r="AG461" s="1282">
        <f t="shared" si="112"/>
        <v>125</v>
      </c>
    </row>
    <row r="462" spans="1:33" ht="47.25">
      <c r="A462" s="845">
        <v>4131</v>
      </c>
      <c r="B462" s="857" t="s">
        <v>1039</v>
      </c>
      <c r="C462" s="1598" t="s">
        <v>944</v>
      </c>
      <c r="D462" s="1599"/>
      <c r="E462" s="1391">
        <f>45+21</f>
        <v>66</v>
      </c>
      <c r="F462" s="1400">
        <v>43192</v>
      </c>
      <c r="G462" s="1400">
        <f t="shared" si="113"/>
        <v>43257</v>
      </c>
      <c r="H462" s="845" t="s">
        <v>178</v>
      </c>
      <c r="I462" s="845" t="s">
        <v>169</v>
      </c>
      <c r="J462" s="866" t="s">
        <v>178</v>
      </c>
      <c r="K462" s="1787" t="s">
        <v>320</v>
      </c>
      <c r="L462" s="1788">
        <v>23173</v>
      </c>
      <c r="M462" s="326"/>
      <c r="N462" s="294"/>
      <c r="O462" s="354">
        <v>4340.625</v>
      </c>
      <c r="P462" s="294">
        <v>1</v>
      </c>
      <c r="Q462" s="1111">
        <f t="shared" si="111"/>
        <v>4340.625</v>
      </c>
      <c r="R462" s="1412"/>
      <c r="S462" s="913"/>
      <c r="T462" s="913"/>
      <c r="U462" s="913">
        <v>4340.625</v>
      </c>
      <c r="V462" s="913"/>
      <c r="W462" s="913"/>
      <c r="X462" s="1600"/>
      <c r="Y462" s="1127"/>
      <c r="Z462" s="1124"/>
      <c r="AA462" s="1124"/>
      <c r="AB462" s="1124"/>
      <c r="AC462" s="1124"/>
      <c r="AD462" s="1124"/>
      <c r="AE462" s="1124"/>
      <c r="AF462" s="1124"/>
      <c r="AG462" s="1282">
        <f t="shared" si="112"/>
        <v>4340.625</v>
      </c>
    </row>
    <row r="463" spans="1:33" ht="49.5" customHeight="1">
      <c r="A463" s="845">
        <v>4131</v>
      </c>
      <c r="B463" s="857" t="s">
        <v>1039</v>
      </c>
      <c r="C463" s="1598" t="s">
        <v>944</v>
      </c>
      <c r="D463" s="1599"/>
      <c r="E463" s="1391">
        <f>45+21</f>
        <v>66</v>
      </c>
      <c r="F463" s="1400">
        <v>43192</v>
      </c>
      <c r="G463" s="1400">
        <f t="shared" si="113"/>
        <v>43257</v>
      </c>
      <c r="H463" s="845" t="s">
        <v>178</v>
      </c>
      <c r="I463" s="845" t="s">
        <v>169</v>
      </c>
      <c r="J463" s="866" t="s">
        <v>178</v>
      </c>
      <c r="K463" s="1787" t="s">
        <v>947</v>
      </c>
      <c r="L463" s="1788">
        <v>2463</v>
      </c>
      <c r="M463" s="326"/>
      <c r="N463" s="294"/>
      <c r="O463" s="354">
        <v>23062.5</v>
      </c>
      <c r="P463" s="294">
        <v>1</v>
      </c>
      <c r="Q463" s="1111">
        <f t="shared" si="111"/>
        <v>23062.5</v>
      </c>
      <c r="R463" s="1412"/>
      <c r="S463" s="913"/>
      <c r="T463" s="913"/>
      <c r="U463" s="913">
        <v>23062.5</v>
      </c>
      <c r="V463" s="913"/>
      <c r="W463" s="913"/>
      <c r="X463" s="1600"/>
      <c r="Y463" s="1127"/>
      <c r="Z463" s="1124"/>
      <c r="AA463" s="1124"/>
      <c r="AB463" s="1124"/>
      <c r="AC463" s="1124"/>
      <c r="AD463" s="1124"/>
      <c r="AE463" s="1124"/>
      <c r="AF463" s="1124"/>
      <c r="AG463" s="1282">
        <f t="shared" si="112"/>
        <v>23062.5</v>
      </c>
    </row>
    <row r="464" spans="1:33" ht="47.25">
      <c r="A464" s="845">
        <v>4131</v>
      </c>
      <c r="B464" s="857" t="s">
        <v>1039</v>
      </c>
      <c r="C464" s="1598" t="s">
        <v>944</v>
      </c>
      <c r="D464" s="1599"/>
      <c r="E464" s="1391">
        <f>45+21</f>
        <v>66</v>
      </c>
      <c r="F464" s="1400">
        <v>43192</v>
      </c>
      <c r="G464" s="1400">
        <f t="shared" si="113"/>
        <v>43257</v>
      </c>
      <c r="H464" s="845" t="s">
        <v>178</v>
      </c>
      <c r="I464" s="845" t="s">
        <v>169</v>
      </c>
      <c r="J464" s="866" t="s">
        <v>178</v>
      </c>
      <c r="K464" s="1787" t="s">
        <v>948</v>
      </c>
      <c r="L464" s="1788">
        <v>2431</v>
      </c>
      <c r="M464" s="326"/>
      <c r="N464" s="294"/>
      <c r="O464" s="354">
        <v>7375</v>
      </c>
      <c r="P464" s="294">
        <v>1</v>
      </c>
      <c r="Q464" s="1111">
        <f t="shared" si="111"/>
        <v>7375</v>
      </c>
      <c r="R464" s="1412"/>
      <c r="S464" s="913"/>
      <c r="T464" s="913"/>
      <c r="U464" s="913">
        <v>7375</v>
      </c>
      <c r="V464" s="913"/>
      <c r="W464" s="913"/>
      <c r="X464" s="1600"/>
      <c r="Y464" s="1127"/>
      <c r="Z464" s="1124"/>
      <c r="AA464" s="1124"/>
      <c r="AB464" s="1124"/>
      <c r="AC464" s="1124"/>
      <c r="AD464" s="1124"/>
      <c r="AE464" s="1124"/>
      <c r="AF464" s="1124"/>
      <c r="AG464" s="1282">
        <f t="shared" si="112"/>
        <v>7375</v>
      </c>
    </row>
    <row r="465" spans="1:33" ht="60.75" customHeight="1">
      <c r="A465" s="845">
        <v>4131</v>
      </c>
      <c r="B465" s="1730" t="s">
        <v>1040</v>
      </c>
      <c r="C465" s="888" t="s">
        <v>950</v>
      </c>
      <c r="D465" s="1543"/>
      <c r="E465" s="1403">
        <f>9</f>
        <v>9</v>
      </c>
      <c r="F465" s="1404">
        <v>43283</v>
      </c>
      <c r="G465" s="1400">
        <f t="shared" si="113"/>
        <v>43291</v>
      </c>
      <c r="H465" s="293" t="s">
        <v>914</v>
      </c>
      <c r="I465" s="845" t="s">
        <v>178</v>
      </c>
      <c r="J465" s="866" t="s">
        <v>169</v>
      </c>
      <c r="K465" s="1094" t="s">
        <v>888</v>
      </c>
      <c r="L465" s="1788">
        <v>23174</v>
      </c>
      <c r="M465" s="1543"/>
      <c r="N465" s="845"/>
      <c r="O465" s="354">
        <v>7333.0281249999998</v>
      </c>
      <c r="P465" s="845">
        <v>1</v>
      </c>
      <c r="Q465" s="1111">
        <f t="shared" si="111"/>
        <v>7333.0281249999998</v>
      </c>
      <c r="R465" s="1412"/>
      <c r="S465" s="913"/>
      <c r="T465" s="913"/>
      <c r="U465" s="913"/>
      <c r="V465" s="913"/>
      <c r="W465" s="913">
        <v>7333.0281249999998</v>
      </c>
      <c r="X465" s="1600"/>
      <c r="Y465" s="1127"/>
      <c r="Z465" s="1124"/>
      <c r="AA465" s="1124"/>
      <c r="AB465" s="1124"/>
      <c r="AC465" s="1124"/>
      <c r="AD465" s="1124"/>
      <c r="AE465" s="1124"/>
      <c r="AF465" s="1124"/>
      <c r="AG465" s="1282">
        <f t="shared" si="112"/>
        <v>7333.0281249999998</v>
      </c>
    </row>
    <row r="466" spans="1:33" ht="60.75" customHeight="1">
      <c r="A466" s="845">
        <v>4131</v>
      </c>
      <c r="B466" s="1730" t="s">
        <v>1040</v>
      </c>
      <c r="C466" s="888" t="s">
        <v>950</v>
      </c>
      <c r="D466" s="1543"/>
      <c r="E466" s="1403">
        <f>9</f>
        <v>9</v>
      </c>
      <c r="F466" s="1404">
        <v>43283</v>
      </c>
      <c r="G466" s="1400">
        <f t="shared" si="113"/>
        <v>43291</v>
      </c>
      <c r="H466" s="293" t="s">
        <v>914</v>
      </c>
      <c r="I466" s="845" t="s">
        <v>169</v>
      </c>
      <c r="J466" s="866" t="s">
        <v>178</v>
      </c>
      <c r="K466" s="1094" t="s">
        <v>320</v>
      </c>
      <c r="L466" s="1788">
        <v>23173</v>
      </c>
      <c r="M466" s="1543"/>
      <c r="N466" s="845"/>
      <c r="O466" s="354">
        <v>941.5625</v>
      </c>
      <c r="P466" s="845">
        <v>1</v>
      </c>
      <c r="Q466" s="1111">
        <f t="shared" si="111"/>
        <v>941.5625</v>
      </c>
      <c r="R466" s="1412"/>
      <c r="S466" s="913"/>
      <c r="T466" s="913"/>
      <c r="U466" s="913"/>
      <c r="V466" s="913"/>
      <c r="W466" s="913">
        <v>941.5625</v>
      </c>
      <c r="X466" s="1600"/>
      <c r="Y466" s="1127"/>
      <c r="Z466" s="1124"/>
      <c r="AA466" s="1124"/>
      <c r="AB466" s="1124"/>
      <c r="AC466" s="1124"/>
      <c r="AD466" s="1124"/>
      <c r="AE466" s="1124"/>
      <c r="AF466" s="1124"/>
      <c r="AG466" s="1282">
        <f t="shared" si="112"/>
        <v>941.5625</v>
      </c>
    </row>
    <row r="467" spans="1:33" ht="60.75" customHeight="1">
      <c r="A467" s="845">
        <v>4131</v>
      </c>
      <c r="B467" s="1730" t="s">
        <v>1040</v>
      </c>
      <c r="C467" s="888" t="s">
        <v>950</v>
      </c>
      <c r="D467" s="1543"/>
      <c r="E467" s="1403">
        <f>9</f>
        <v>9</v>
      </c>
      <c r="F467" s="1404">
        <v>43283</v>
      </c>
      <c r="G467" s="1400">
        <f t="shared" si="113"/>
        <v>43291</v>
      </c>
      <c r="H467" s="293" t="s">
        <v>914</v>
      </c>
      <c r="I467" s="845" t="s">
        <v>169</v>
      </c>
      <c r="J467" s="866" t="s">
        <v>178</v>
      </c>
      <c r="K467" s="1094" t="s">
        <v>916</v>
      </c>
      <c r="L467" s="1788">
        <v>23173</v>
      </c>
      <c r="M467" s="1543"/>
      <c r="N467" s="845"/>
      <c r="O467" s="354">
        <v>31.25</v>
      </c>
      <c r="P467" s="845">
        <v>8</v>
      </c>
      <c r="Q467" s="1111">
        <f t="shared" si="111"/>
        <v>250</v>
      </c>
      <c r="R467" s="1412"/>
      <c r="S467" s="913"/>
      <c r="T467" s="913"/>
      <c r="U467" s="913"/>
      <c r="V467" s="913"/>
      <c r="W467" s="913">
        <v>250</v>
      </c>
      <c r="X467" s="1600"/>
      <c r="Y467" s="1127"/>
      <c r="Z467" s="1124"/>
      <c r="AA467" s="1124"/>
      <c r="AB467" s="1124"/>
      <c r="AC467" s="1124"/>
      <c r="AD467" s="1124"/>
      <c r="AE467" s="1124"/>
      <c r="AF467" s="1124"/>
      <c r="AG467" s="1282">
        <f t="shared" si="112"/>
        <v>250</v>
      </c>
    </row>
    <row r="468" spans="1:33" ht="60.75" customHeight="1">
      <c r="A468" s="845">
        <v>4131</v>
      </c>
      <c r="B468" s="1730" t="s">
        <v>1040</v>
      </c>
      <c r="C468" s="888" t="s">
        <v>950</v>
      </c>
      <c r="D468" s="1543"/>
      <c r="E468" s="1403">
        <f>9</f>
        <v>9</v>
      </c>
      <c r="F468" s="1404">
        <v>43283</v>
      </c>
      <c r="G468" s="1400">
        <f t="shared" si="113"/>
        <v>43291</v>
      </c>
      <c r="H468" s="293" t="s">
        <v>914</v>
      </c>
      <c r="I468" s="845" t="s">
        <v>169</v>
      </c>
      <c r="J468" s="866" t="s">
        <v>178</v>
      </c>
      <c r="K468" s="1787" t="s">
        <v>951</v>
      </c>
      <c r="L468" s="1788">
        <v>23172</v>
      </c>
      <c r="M468" s="1543"/>
      <c r="N468" s="845"/>
      <c r="O468" s="354">
        <v>312.5</v>
      </c>
      <c r="P468" s="845">
        <v>1</v>
      </c>
      <c r="Q468" s="1111">
        <f t="shared" si="111"/>
        <v>312.5</v>
      </c>
      <c r="R468" s="1412"/>
      <c r="S468" s="913"/>
      <c r="T468" s="913"/>
      <c r="U468" s="913"/>
      <c r="V468" s="913"/>
      <c r="W468" s="913">
        <v>312.5</v>
      </c>
      <c r="X468" s="1600"/>
      <c r="Y468" s="1127"/>
      <c r="Z468" s="1124"/>
      <c r="AA468" s="1124"/>
      <c r="AB468" s="1124"/>
      <c r="AC468" s="1124"/>
      <c r="AD468" s="1124"/>
      <c r="AE468" s="1124"/>
      <c r="AF468" s="1124"/>
      <c r="AG468" s="1282">
        <f t="shared" si="112"/>
        <v>312.5</v>
      </c>
    </row>
    <row r="469" spans="1:33" ht="63">
      <c r="A469" s="845">
        <v>4131</v>
      </c>
      <c r="B469" s="858" t="s">
        <v>1041</v>
      </c>
      <c r="C469" s="857" t="s">
        <v>953</v>
      </c>
      <c r="D469" s="1543"/>
      <c r="E469" s="1403">
        <f>2</f>
        <v>2</v>
      </c>
      <c r="F469" s="1400">
        <v>43306</v>
      </c>
      <c r="G469" s="1400">
        <f t="shared" si="113"/>
        <v>43307</v>
      </c>
      <c r="H469" s="293" t="s">
        <v>914</v>
      </c>
      <c r="I469" s="845" t="s">
        <v>178</v>
      </c>
      <c r="J469" s="866" t="s">
        <v>169</v>
      </c>
      <c r="K469" s="1094" t="s">
        <v>888</v>
      </c>
      <c r="L469" s="1788">
        <v>23174</v>
      </c>
      <c r="M469" s="1543"/>
      <c r="N469" s="845"/>
      <c r="O469" s="354">
        <v>41183.768750000003</v>
      </c>
      <c r="P469" s="845">
        <v>1</v>
      </c>
      <c r="Q469" s="1111">
        <f t="shared" si="111"/>
        <v>41183.768750000003</v>
      </c>
      <c r="R469" s="1412"/>
      <c r="S469" s="1601"/>
      <c r="T469" s="1601"/>
      <c r="U469" s="1601"/>
      <c r="V469" s="1601"/>
      <c r="W469" s="913">
        <v>41183.768750000003</v>
      </c>
      <c r="X469" s="1602"/>
      <c r="Y469" s="1164"/>
      <c r="Z469" s="1124"/>
      <c r="AA469" s="1124"/>
      <c r="AB469" s="1124"/>
      <c r="AC469" s="1124"/>
      <c r="AD469" s="1124"/>
      <c r="AE469" s="1124"/>
      <c r="AF469" s="1124"/>
      <c r="AG469" s="1282">
        <f t="shared" si="112"/>
        <v>41183.768750000003</v>
      </c>
    </row>
    <row r="470" spans="1:33" ht="63">
      <c r="A470" s="845">
        <v>4131</v>
      </c>
      <c r="B470" s="858" t="s">
        <v>1041</v>
      </c>
      <c r="C470" s="857" t="s">
        <v>953</v>
      </c>
      <c r="D470" s="1543"/>
      <c r="E470" s="1403">
        <f>2</f>
        <v>2</v>
      </c>
      <c r="F470" s="1400">
        <v>43306</v>
      </c>
      <c r="G470" s="1400">
        <f t="shared" si="113"/>
        <v>43307</v>
      </c>
      <c r="H470" s="293" t="s">
        <v>914</v>
      </c>
      <c r="I470" s="845" t="s">
        <v>169</v>
      </c>
      <c r="J470" s="866" t="s">
        <v>178</v>
      </c>
      <c r="K470" s="1094" t="s">
        <v>320</v>
      </c>
      <c r="L470" s="1788">
        <v>23173</v>
      </c>
      <c r="M470" s="1543"/>
      <c r="N470" s="845"/>
      <c r="O470" s="354">
        <v>11320.09375</v>
      </c>
      <c r="P470" s="845">
        <v>1</v>
      </c>
      <c r="Q470" s="1111">
        <f t="shared" si="111"/>
        <v>11320.09375</v>
      </c>
      <c r="R470" s="1415"/>
      <c r="S470" s="913"/>
      <c r="T470" s="913"/>
      <c r="U470" s="913"/>
      <c r="V470" s="913"/>
      <c r="W470" s="913">
        <v>11320.09375</v>
      </c>
      <c r="X470" s="1600"/>
      <c r="Y470" s="1127"/>
      <c r="Z470" s="1124"/>
      <c r="AA470" s="1124"/>
      <c r="AB470" s="1124"/>
      <c r="AC470" s="1124"/>
      <c r="AD470" s="1124"/>
      <c r="AE470" s="1124"/>
      <c r="AF470" s="1124"/>
      <c r="AG470" s="1282">
        <f t="shared" si="112"/>
        <v>11320.09375</v>
      </c>
    </row>
    <row r="471" spans="1:33" ht="63">
      <c r="A471" s="845">
        <v>4131</v>
      </c>
      <c r="B471" s="858" t="s">
        <v>1041</v>
      </c>
      <c r="C471" s="857" t="s">
        <v>953</v>
      </c>
      <c r="D471" s="1543"/>
      <c r="E471" s="1403">
        <f>2</f>
        <v>2</v>
      </c>
      <c r="F471" s="1400">
        <v>43306</v>
      </c>
      <c r="G471" s="1400">
        <f t="shared" si="113"/>
        <v>43307</v>
      </c>
      <c r="H471" s="293" t="s">
        <v>914</v>
      </c>
      <c r="I471" s="845" t="s">
        <v>169</v>
      </c>
      <c r="J471" s="866" t="s">
        <v>178</v>
      </c>
      <c r="K471" s="1094" t="s">
        <v>916</v>
      </c>
      <c r="L471" s="1788">
        <v>23173</v>
      </c>
      <c r="M471" s="1543"/>
      <c r="N471" s="845"/>
      <c r="O471" s="354">
        <v>46.875</v>
      </c>
      <c r="P471" s="845">
        <f>2*22</f>
        <v>44</v>
      </c>
      <c r="Q471" s="1111">
        <f t="shared" si="111"/>
        <v>2062.5</v>
      </c>
      <c r="R471" s="1415"/>
      <c r="S471" s="913"/>
      <c r="T471" s="913"/>
      <c r="U471" s="913"/>
      <c r="V471" s="913"/>
      <c r="W471" s="913">
        <v>2062.5</v>
      </c>
      <c r="X471" s="1600"/>
      <c r="Y471" s="1127"/>
      <c r="Z471" s="1124"/>
      <c r="AA471" s="1124"/>
      <c r="AB471" s="1124"/>
      <c r="AC471" s="1124"/>
      <c r="AD471" s="1124"/>
      <c r="AE471" s="1124"/>
      <c r="AF471" s="1124"/>
      <c r="AG471" s="1282">
        <f t="shared" si="112"/>
        <v>2062.5</v>
      </c>
    </row>
    <row r="472" spans="1:33" ht="47.25">
      <c r="A472" s="845">
        <v>4131</v>
      </c>
      <c r="B472" s="858" t="s">
        <v>1042</v>
      </c>
      <c r="C472" s="857" t="s">
        <v>955</v>
      </c>
      <c r="D472" s="1543"/>
      <c r="E472" s="1403">
        <f>15</f>
        <v>15</v>
      </c>
      <c r="F472" s="1400">
        <v>43241</v>
      </c>
      <c r="G472" s="1400">
        <f t="shared" si="113"/>
        <v>43255</v>
      </c>
      <c r="H472" s="293" t="s">
        <v>914</v>
      </c>
      <c r="I472" s="845" t="s">
        <v>178</v>
      </c>
      <c r="J472" s="866" t="s">
        <v>169</v>
      </c>
      <c r="K472" s="1094" t="s">
        <v>888</v>
      </c>
      <c r="L472" s="1788">
        <v>23174</v>
      </c>
      <c r="M472" s="1543"/>
      <c r="N472" s="845"/>
      <c r="O472" s="354">
        <v>141976</v>
      </c>
      <c r="P472" s="845">
        <v>1</v>
      </c>
      <c r="Q472" s="1111">
        <f t="shared" si="111"/>
        <v>141976</v>
      </c>
      <c r="R472" s="853"/>
      <c r="S472" s="913"/>
      <c r="T472" s="913"/>
      <c r="U472" s="913">
        <v>141976</v>
      </c>
      <c r="V472" s="913"/>
      <c r="W472" s="913"/>
      <c r="X472" s="1600"/>
      <c r="Y472" s="1127"/>
      <c r="Z472" s="1124"/>
      <c r="AA472" s="1124"/>
      <c r="AB472" s="1124"/>
      <c r="AC472" s="1124"/>
      <c r="AD472" s="1124"/>
      <c r="AE472" s="1124"/>
      <c r="AF472" s="1124"/>
      <c r="AG472" s="1282">
        <f t="shared" si="112"/>
        <v>141976</v>
      </c>
    </row>
    <row r="473" spans="1:33" ht="54" customHeight="1">
      <c r="A473" s="294">
        <v>4132</v>
      </c>
      <c r="B473" s="820" t="s">
        <v>1043</v>
      </c>
      <c r="C473" s="876" t="s">
        <v>958</v>
      </c>
      <c r="D473" s="1543"/>
      <c r="E473" s="1403">
        <f>4+30+4+4+4+2+5+4+6+4</f>
        <v>67</v>
      </c>
      <c r="F473" s="1404">
        <v>43311</v>
      </c>
      <c r="G473" s="1400">
        <f>E473+F473-1</f>
        <v>43377</v>
      </c>
      <c r="H473" s="293" t="s">
        <v>914</v>
      </c>
      <c r="I473" s="845" t="s">
        <v>178</v>
      </c>
      <c r="J473" s="866" t="s">
        <v>169</v>
      </c>
      <c r="K473" s="1094" t="s">
        <v>888</v>
      </c>
      <c r="L473" s="1788">
        <v>23174</v>
      </c>
      <c r="M473" s="1543"/>
      <c r="N473" s="845"/>
      <c r="O473" s="1111">
        <v>20498.981250000001</v>
      </c>
      <c r="P473" s="845">
        <v>1</v>
      </c>
      <c r="Q473" s="1111">
        <f t="shared" ref="Q473:Q480" si="114">O473*P473</f>
        <v>20498.981250000001</v>
      </c>
      <c r="R473" s="936"/>
      <c r="S473" s="913"/>
      <c r="T473" s="913"/>
      <c r="U473" s="913"/>
      <c r="V473" s="913"/>
      <c r="W473" s="913">
        <v>1639.9185</v>
      </c>
      <c r="X473" s="1600">
        <v>3894.8064375000004</v>
      </c>
      <c r="Y473" s="1127">
        <v>14964.2563125</v>
      </c>
      <c r="Z473" s="1124"/>
      <c r="AA473" s="1124"/>
      <c r="AB473" s="1124"/>
      <c r="AC473" s="1124"/>
      <c r="AD473" s="1124"/>
      <c r="AE473" s="1124"/>
      <c r="AF473" s="1124"/>
      <c r="AG473" s="1282">
        <f t="shared" si="112"/>
        <v>20498.981250000001</v>
      </c>
    </row>
    <row r="474" spans="1:33" ht="45" customHeight="1">
      <c r="A474" s="294">
        <v>4132</v>
      </c>
      <c r="B474" s="820" t="s">
        <v>1043</v>
      </c>
      <c r="C474" s="876" t="s">
        <v>958</v>
      </c>
      <c r="D474" s="1543"/>
      <c r="E474" s="1403">
        <f>4+30+4+4+4+2+5+4+6+4</f>
        <v>67</v>
      </c>
      <c r="F474" s="1404">
        <v>43311</v>
      </c>
      <c r="G474" s="1400">
        <f t="shared" ref="G474:G480" si="115">E474+F474-1</f>
        <v>43377</v>
      </c>
      <c r="H474" s="293" t="s">
        <v>914</v>
      </c>
      <c r="I474" s="1418" t="s">
        <v>169</v>
      </c>
      <c r="J474" s="1491" t="s">
        <v>178</v>
      </c>
      <c r="K474" s="1094" t="s">
        <v>320</v>
      </c>
      <c r="L474" s="1788">
        <v>23173</v>
      </c>
      <c r="M474" s="1543"/>
      <c r="N474" s="845"/>
      <c r="O474" s="1111">
        <v>5254.34375</v>
      </c>
      <c r="P474" s="845">
        <v>1</v>
      </c>
      <c r="Q474" s="1111">
        <f t="shared" si="114"/>
        <v>5254.34375</v>
      </c>
      <c r="R474" s="936"/>
      <c r="S474" s="913"/>
      <c r="T474" s="913"/>
      <c r="U474" s="913"/>
      <c r="V474" s="913"/>
      <c r="W474" s="913">
        <v>420.34750000000003</v>
      </c>
      <c r="X474" s="1600">
        <v>998.3253125</v>
      </c>
      <c r="Y474" s="1127">
        <v>3835.6709375</v>
      </c>
      <c r="Z474" s="1124"/>
      <c r="AA474" s="1124"/>
      <c r="AB474" s="1124"/>
      <c r="AC474" s="1124"/>
      <c r="AD474" s="1124"/>
      <c r="AE474" s="1124"/>
      <c r="AF474" s="1124"/>
      <c r="AG474" s="1282">
        <f t="shared" si="112"/>
        <v>5254.34375</v>
      </c>
    </row>
    <row r="475" spans="1:33" ht="45" customHeight="1">
      <c r="A475" s="294">
        <v>4132</v>
      </c>
      <c r="B475" s="820" t="s">
        <v>1043</v>
      </c>
      <c r="C475" s="876" t="s">
        <v>958</v>
      </c>
      <c r="D475" s="1543"/>
      <c r="E475" s="1403">
        <f>4+30+4+4+4+2+5+4+6+4</f>
        <v>67</v>
      </c>
      <c r="F475" s="1404">
        <v>43311</v>
      </c>
      <c r="G475" s="1400">
        <f t="shared" si="115"/>
        <v>43377</v>
      </c>
      <c r="H475" s="293" t="s">
        <v>914</v>
      </c>
      <c r="I475" s="1418" t="s">
        <v>169</v>
      </c>
      <c r="J475" s="1491" t="s">
        <v>178</v>
      </c>
      <c r="K475" s="1094" t="s">
        <v>486</v>
      </c>
      <c r="L475" s="1788">
        <v>23173</v>
      </c>
      <c r="M475" s="1543"/>
      <c r="N475" s="845"/>
      <c r="O475" s="1111">
        <v>31.25</v>
      </c>
      <c r="P475" s="845">
        <f>(4+4+5+4+5)</f>
        <v>22</v>
      </c>
      <c r="Q475" s="1111">
        <f t="shared" si="114"/>
        <v>687.5</v>
      </c>
      <c r="R475" s="936"/>
      <c r="S475" s="913"/>
      <c r="T475" s="913"/>
      <c r="U475" s="913"/>
      <c r="V475" s="913"/>
      <c r="W475" s="913">
        <v>55</v>
      </c>
      <c r="X475" s="1600">
        <v>130.625</v>
      </c>
      <c r="Y475" s="1127">
        <v>501.875</v>
      </c>
      <c r="Z475" s="1124"/>
      <c r="AA475" s="1124"/>
      <c r="AB475" s="1124"/>
      <c r="AC475" s="1124"/>
      <c r="AD475" s="1124"/>
      <c r="AE475" s="1124"/>
      <c r="AF475" s="1124"/>
      <c r="AG475" s="1282">
        <f t="shared" si="112"/>
        <v>687.5</v>
      </c>
    </row>
    <row r="476" spans="1:33" ht="45" customHeight="1">
      <c r="A476" s="294">
        <v>4132</v>
      </c>
      <c r="B476" s="820" t="s">
        <v>1043</v>
      </c>
      <c r="C476" s="876" t="s">
        <v>958</v>
      </c>
      <c r="D476" s="1543"/>
      <c r="E476" s="1403">
        <f>4+30+4+4+4+2+5+4+6+4</f>
        <v>67</v>
      </c>
      <c r="F476" s="1404">
        <v>43311</v>
      </c>
      <c r="G476" s="1400">
        <f t="shared" si="115"/>
        <v>43377</v>
      </c>
      <c r="H476" s="293" t="s">
        <v>914</v>
      </c>
      <c r="I476" s="1418" t="s">
        <v>169</v>
      </c>
      <c r="J476" s="1491" t="s">
        <v>178</v>
      </c>
      <c r="K476" s="1787" t="s">
        <v>951</v>
      </c>
      <c r="L476" s="1788">
        <v>23172</v>
      </c>
      <c r="M476" s="1543"/>
      <c r="N476" s="845"/>
      <c r="O476" s="1111">
        <v>312.5</v>
      </c>
      <c r="P476" s="845">
        <v>1</v>
      </c>
      <c r="Q476" s="1111">
        <f t="shared" si="114"/>
        <v>312.5</v>
      </c>
      <c r="R476" s="936"/>
      <c r="S476" s="913"/>
      <c r="T476" s="913"/>
      <c r="U476" s="913"/>
      <c r="V476" s="913"/>
      <c r="W476" s="913">
        <v>25</v>
      </c>
      <c r="X476" s="1600">
        <v>59.375</v>
      </c>
      <c r="Y476" s="1127">
        <v>228.125</v>
      </c>
      <c r="Z476" s="1124"/>
      <c r="AA476" s="1124"/>
      <c r="AB476" s="1124"/>
      <c r="AC476" s="1124"/>
      <c r="AD476" s="1124"/>
      <c r="AE476" s="1124"/>
      <c r="AF476" s="1124"/>
      <c r="AG476" s="1282">
        <f t="shared" si="112"/>
        <v>312.5</v>
      </c>
    </row>
    <row r="477" spans="1:33" ht="45" customHeight="1">
      <c r="A477" s="294">
        <v>4132</v>
      </c>
      <c r="B477" s="820" t="s">
        <v>1044</v>
      </c>
      <c r="C477" s="876" t="s">
        <v>960</v>
      </c>
      <c r="D477" s="1543"/>
      <c r="E477" s="1403">
        <f>5</f>
        <v>5</v>
      </c>
      <c r="F477" s="1404">
        <v>43318</v>
      </c>
      <c r="G477" s="1400">
        <f t="shared" si="115"/>
        <v>43322</v>
      </c>
      <c r="H477" s="293" t="s">
        <v>914</v>
      </c>
      <c r="I477" s="887" t="s">
        <v>178</v>
      </c>
      <c r="J477" s="914" t="s">
        <v>169</v>
      </c>
      <c r="K477" s="1094" t="s">
        <v>888</v>
      </c>
      <c r="L477" s="1788">
        <v>23174</v>
      </c>
      <c r="M477" s="1543"/>
      <c r="N477" s="845"/>
      <c r="O477" s="1111">
        <v>2368.7906250000001</v>
      </c>
      <c r="P477" s="845">
        <v>1</v>
      </c>
      <c r="Q477" s="1111">
        <f t="shared" si="114"/>
        <v>2368.7906250000001</v>
      </c>
      <c r="R477" s="936"/>
      <c r="S477" s="913"/>
      <c r="T477" s="913"/>
      <c r="U477" s="913"/>
      <c r="V477" s="913"/>
      <c r="W477" s="913"/>
      <c r="X477" s="1600">
        <v>2368.7906250000001</v>
      </c>
      <c r="Y477" s="1127"/>
      <c r="Z477" s="1124"/>
      <c r="AA477" s="1124"/>
      <c r="AB477" s="1124"/>
      <c r="AC477" s="1124"/>
      <c r="AD477" s="1124"/>
      <c r="AE477" s="1124"/>
      <c r="AF477" s="1124"/>
      <c r="AG477" s="1282">
        <f t="shared" si="112"/>
        <v>2368.7906250000001</v>
      </c>
    </row>
    <row r="478" spans="1:33" ht="45" customHeight="1">
      <c r="A478" s="294">
        <v>4132</v>
      </c>
      <c r="B478" s="820" t="s">
        <v>1044</v>
      </c>
      <c r="C478" s="876" t="s">
        <v>960</v>
      </c>
      <c r="D478" s="1543"/>
      <c r="E478" s="1403">
        <f>5</f>
        <v>5</v>
      </c>
      <c r="F478" s="1404">
        <v>43318</v>
      </c>
      <c r="G478" s="1400">
        <f t="shared" si="115"/>
        <v>43322</v>
      </c>
      <c r="H478" s="293" t="s">
        <v>914</v>
      </c>
      <c r="I478" s="1418" t="s">
        <v>169</v>
      </c>
      <c r="J478" s="1491" t="s">
        <v>178</v>
      </c>
      <c r="K478" s="1094" t="s">
        <v>320</v>
      </c>
      <c r="L478" s="1788">
        <v>23173</v>
      </c>
      <c r="M478" s="1543"/>
      <c r="N478" s="845"/>
      <c r="O478" s="1111">
        <v>164.0625</v>
      </c>
      <c r="P478" s="845">
        <v>1</v>
      </c>
      <c r="Q478" s="1111">
        <f t="shared" si="114"/>
        <v>164.0625</v>
      </c>
      <c r="R478" s="936"/>
      <c r="S478" s="913"/>
      <c r="T478" s="913"/>
      <c r="U478" s="913"/>
      <c r="V478" s="913"/>
      <c r="W478" s="913"/>
      <c r="X478" s="1600">
        <v>164.0625</v>
      </c>
      <c r="Y478" s="1127"/>
      <c r="Z478" s="1124"/>
      <c r="AA478" s="1124"/>
      <c r="AB478" s="1124"/>
      <c r="AC478" s="1124"/>
      <c r="AD478" s="1124"/>
      <c r="AE478" s="1124"/>
      <c r="AF478" s="1124"/>
      <c r="AG478" s="1282">
        <f t="shared" si="112"/>
        <v>164.0625</v>
      </c>
    </row>
    <row r="479" spans="1:33" ht="45" customHeight="1">
      <c r="A479" s="294">
        <v>4132</v>
      </c>
      <c r="B479" s="820" t="s">
        <v>1044</v>
      </c>
      <c r="C479" s="876" t="s">
        <v>960</v>
      </c>
      <c r="D479" s="1543"/>
      <c r="E479" s="1403">
        <f>5</f>
        <v>5</v>
      </c>
      <c r="F479" s="1404">
        <v>43318</v>
      </c>
      <c r="G479" s="1400">
        <f t="shared" si="115"/>
        <v>43322</v>
      </c>
      <c r="H479" s="293" t="s">
        <v>914</v>
      </c>
      <c r="I479" s="1418" t="s">
        <v>169</v>
      </c>
      <c r="J479" s="1491" t="s">
        <v>178</v>
      </c>
      <c r="K479" s="1094" t="s">
        <v>486</v>
      </c>
      <c r="L479" s="1788">
        <v>23173</v>
      </c>
      <c r="M479" s="1543"/>
      <c r="N479" s="845"/>
      <c r="O479" s="1111">
        <v>31.25</v>
      </c>
      <c r="P479" s="845">
        <v>5</v>
      </c>
      <c r="Q479" s="1111">
        <f t="shared" si="114"/>
        <v>156.25</v>
      </c>
      <c r="R479" s="936"/>
      <c r="S479" s="913"/>
      <c r="T479" s="913"/>
      <c r="U479" s="913"/>
      <c r="V479" s="913"/>
      <c r="W479" s="913"/>
      <c r="X479" s="1600">
        <v>156.25</v>
      </c>
      <c r="Y479" s="1127"/>
      <c r="Z479" s="1124"/>
      <c r="AA479" s="1124"/>
      <c r="AB479" s="1124"/>
      <c r="AC479" s="1124"/>
      <c r="AD479" s="1124"/>
      <c r="AE479" s="1124"/>
      <c r="AF479" s="1124"/>
      <c r="AG479" s="1282">
        <f t="shared" si="112"/>
        <v>156.25</v>
      </c>
    </row>
    <row r="480" spans="1:33" ht="55.5" customHeight="1">
      <c r="A480" s="294">
        <v>4132</v>
      </c>
      <c r="B480" s="1730" t="s">
        <v>1045</v>
      </c>
      <c r="C480" s="1843" t="s">
        <v>962</v>
      </c>
      <c r="D480" s="1543"/>
      <c r="E480" s="1403">
        <f>10</f>
        <v>10</v>
      </c>
      <c r="F480" s="1400">
        <v>43360</v>
      </c>
      <c r="G480" s="1400">
        <f t="shared" si="115"/>
        <v>43369</v>
      </c>
      <c r="H480" s="293" t="s">
        <v>914</v>
      </c>
      <c r="I480" s="1418" t="s">
        <v>169</v>
      </c>
      <c r="J480" s="1491" t="s">
        <v>178</v>
      </c>
      <c r="K480" s="1787" t="s">
        <v>963</v>
      </c>
      <c r="L480" s="1788">
        <v>2313</v>
      </c>
      <c r="M480" s="1543"/>
      <c r="N480" s="845"/>
      <c r="O480" s="1111">
        <v>750</v>
      </c>
      <c r="P480" s="845">
        <v>14</v>
      </c>
      <c r="Q480" s="1111">
        <f t="shared" si="114"/>
        <v>10500</v>
      </c>
      <c r="R480" s="853"/>
      <c r="S480" s="913"/>
      <c r="T480" s="913"/>
      <c r="U480" s="913"/>
      <c r="V480" s="913"/>
      <c r="W480" s="913"/>
      <c r="X480" s="1600"/>
      <c r="Y480" s="1127">
        <v>10500</v>
      </c>
      <c r="Z480" s="1124"/>
      <c r="AA480" s="1124"/>
      <c r="AB480" s="1124"/>
      <c r="AC480" s="1124"/>
      <c r="AD480" s="1124"/>
      <c r="AE480" s="1124"/>
      <c r="AF480" s="1124"/>
      <c r="AG480" s="1282">
        <f t="shared" si="112"/>
        <v>10500</v>
      </c>
    </row>
    <row r="481" spans="1:33" ht="26.25" customHeight="1">
      <c r="A481" s="1248" t="s">
        <v>277</v>
      </c>
      <c r="B481" s="274"/>
      <c r="C481" s="278"/>
      <c r="D481" s="1270"/>
      <c r="E481" s="1270"/>
      <c r="F481" s="1270"/>
      <c r="G481" s="1270"/>
      <c r="H481" s="1270"/>
      <c r="I481" s="1270"/>
      <c r="J481" s="273"/>
      <c r="K481" s="1248"/>
      <c r="L481" s="1269"/>
      <c r="M481" s="1270"/>
      <c r="N481" s="1268"/>
      <c r="O481" s="1271"/>
      <c r="P481" s="1268"/>
      <c r="Q481" s="1272">
        <f>+Q482+Q486+Q491+Q493+Q495+Q500+Q510+Q513</f>
        <v>348173.33333333337</v>
      </c>
      <c r="R481" s="1273">
        <f>+'[7]Compil Costing PPA 3 millions'!F16+'[7]Compil Costing PPA 3 millions'!F18+'[7]Compil Costing PPA 3 millions'!F19</f>
        <v>1137594.3333333335</v>
      </c>
      <c r="S481" s="1272">
        <f t="shared" ref="S481:AG481" si="116">+S482+S486+S491+S493+S495+S500+S510+S513</f>
        <v>0</v>
      </c>
      <c r="T481" s="1272">
        <f t="shared" si="116"/>
        <v>93216.666666666672</v>
      </c>
      <c r="U481" s="1272">
        <f t="shared" si="116"/>
        <v>114456.16666666666</v>
      </c>
      <c r="V481" s="1272">
        <f t="shared" si="116"/>
        <v>138325.5</v>
      </c>
      <c r="W481" s="1272">
        <f t="shared" si="116"/>
        <v>1087.5</v>
      </c>
      <c r="X481" s="1272">
        <f t="shared" si="116"/>
        <v>1087.5</v>
      </c>
      <c r="Y481" s="1272">
        <f t="shared" si="116"/>
        <v>0</v>
      </c>
      <c r="Z481" s="276">
        <f t="shared" si="116"/>
        <v>0</v>
      </c>
      <c r="AA481" s="276">
        <f t="shared" si="116"/>
        <v>0</v>
      </c>
      <c r="AB481" s="276">
        <f t="shared" si="116"/>
        <v>0</v>
      </c>
      <c r="AC481" s="276">
        <f t="shared" si="116"/>
        <v>0</v>
      </c>
      <c r="AD481" s="276">
        <f t="shared" si="116"/>
        <v>0</v>
      </c>
      <c r="AE481" s="276">
        <f t="shared" si="116"/>
        <v>0</v>
      </c>
      <c r="AF481" s="276">
        <f t="shared" si="116"/>
        <v>0</v>
      </c>
      <c r="AG481" s="1272">
        <f t="shared" si="116"/>
        <v>348173.33333333331</v>
      </c>
    </row>
    <row r="482" spans="1:33" ht="32.25" thickBot="1">
      <c r="A482" s="1275">
        <v>421</v>
      </c>
      <c r="B482" s="359" t="s">
        <v>439</v>
      </c>
      <c r="C482" s="1021"/>
      <c r="D482" s="1280"/>
      <c r="E482" s="1280"/>
      <c r="F482" s="1280"/>
      <c r="G482" s="1280"/>
      <c r="H482" s="1280"/>
      <c r="I482" s="1280"/>
      <c r="J482" s="283"/>
      <c r="K482" s="1278"/>
      <c r="L482" s="1279"/>
      <c r="M482" s="1280"/>
      <c r="N482" s="1277"/>
      <c r="O482" s="1281"/>
      <c r="P482" s="1277"/>
      <c r="Q482" s="1282">
        <f>SUM(Q483:Q485)</f>
        <v>5437.5</v>
      </c>
      <c r="R482" s="287">
        <v>348173</v>
      </c>
      <c r="S482" s="1395">
        <f t="shared" ref="S482:AF482" si="117">SUM(S483:S485)</f>
        <v>0</v>
      </c>
      <c r="T482" s="1395">
        <f t="shared" si="117"/>
        <v>0</v>
      </c>
      <c r="U482" s="1395">
        <f t="shared" si="117"/>
        <v>0</v>
      </c>
      <c r="V482" s="1395">
        <f t="shared" si="117"/>
        <v>3262.5</v>
      </c>
      <c r="W482" s="1395">
        <f t="shared" si="117"/>
        <v>1087.5</v>
      </c>
      <c r="X482" s="1395">
        <f t="shared" si="117"/>
        <v>1087.5</v>
      </c>
      <c r="Y482" s="1395">
        <f t="shared" si="117"/>
        <v>0</v>
      </c>
      <c r="Z482" s="361">
        <f t="shared" si="117"/>
        <v>0</v>
      </c>
      <c r="AA482" s="361">
        <f t="shared" si="117"/>
        <v>0</v>
      </c>
      <c r="AB482" s="361">
        <f t="shared" si="117"/>
        <v>0</v>
      </c>
      <c r="AC482" s="361">
        <f t="shared" si="117"/>
        <v>0</v>
      </c>
      <c r="AD482" s="361">
        <f t="shared" si="117"/>
        <v>0</v>
      </c>
      <c r="AE482" s="361">
        <f t="shared" si="117"/>
        <v>0</v>
      </c>
      <c r="AF482" s="361">
        <f t="shared" si="117"/>
        <v>0</v>
      </c>
      <c r="AG482" s="1282">
        <f t="shared" ref="AG482:AG500" si="118">SUM(S482:AF482)</f>
        <v>5437.5</v>
      </c>
    </row>
    <row r="483" spans="1:33" ht="66" customHeight="1" thickTop="1" thickBot="1">
      <c r="A483" s="294">
        <v>4211</v>
      </c>
      <c r="B483" s="291" t="s">
        <v>440</v>
      </c>
      <c r="C483" s="824" t="s">
        <v>1047</v>
      </c>
      <c r="D483" s="326"/>
      <c r="E483" s="294">
        <f>50</f>
        <v>50</v>
      </c>
      <c r="F483" s="1844">
        <v>43186</v>
      </c>
      <c r="G483" s="1845">
        <f>+F483+E483</f>
        <v>43236</v>
      </c>
      <c r="H483" s="293" t="s">
        <v>368</v>
      </c>
      <c r="I483" s="294" t="s">
        <v>169</v>
      </c>
      <c r="J483" s="307" t="s">
        <v>442</v>
      </c>
      <c r="K483" s="326" t="s">
        <v>443</v>
      </c>
      <c r="L483" s="1788">
        <v>2313</v>
      </c>
      <c r="M483" s="326"/>
      <c r="N483" s="294"/>
      <c r="O483" s="1846">
        <v>217.5</v>
      </c>
      <c r="P483" s="1847">
        <v>15</v>
      </c>
      <c r="Q483" s="1846">
        <v>3262.5</v>
      </c>
      <c r="R483" s="1848"/>
      <c r="S483" s="1847"/>
      <c r="T483" s="1847"/>
      <c r="U483" s="1847"/>
      <c r="V483" s="1847">
        <v>3262.5</v>
      </c>
      <c r="W483" s="1847"/>
      <c r="X483" s="1849"/>
      <c r="Y483" s="1850"/>
      <c r="Z483" s="1124"/>
      <c r="AA483" s="1199"/>
      <c r="AB483" s="1124"/>
      <c r="AC483" s="1124"/>
      <c r="AD483" s="1124"/>
      <c r="AE483" s="1124"/>
      <c r="AF483" s="1124"/>
      <c r="AG483" s="1282">
        <f t="shared" si="118"/>
        <v>3262.5</v>
      </c>
    </row>
    <row r="484" spans="1:33" ht="48.75" thickTop="1" thickBot="1">
      <c r="A484" s="294">
        <v>4212</v>
      </c>
      <c r="B484" s="291" t="s">
        <v>446</v>
      </c>
      <c r="C484" s="824" t="s">
        <v>1046</v>
      </c>
      <c r="D484" s="326"/>
      <c r="E484" s="294">
        <v>70</v>
      </c>
      <c r="F484" s="1844">
        <v>43186</v>
      </c>
      <c r="G484" s="1845">
        <f>+F484+E484</f>
        <v>43256</v>
      </c>
      <c r="H484" s="293" t="s">
        <v>368</v>
      </c>
      <c r="I484" s="294" t="s">
        <v>169</v>
      </c>
      <c r="J484" s="307" t="s">
        <v>442</v>
      </c>
      <c r="K484" s="326" t="s">
        <v>443</v>
      </c>
      <c r="L484" s="1788">
        <v>2313</v>
      </c>
      <c r="M484" s="326"/>
      <c r="N484" s="294"/>
      <c r="O484" s="1846">
        <v>217.5</v>
      </c>
      <c r="P484" s="1847">
        <v>5</v>
      </c>
      <c r="Q484" s="1851">
        <f>O484*P484</f>
        <v>1087.5</v>
      </c>
      <c r="R484" s="1848"/>
      <c r="S484" s="1847"/>
      <c r="T484" s="1847"/>
      <c r="U484" s="1847"/>
      <c r="V484" s="1847"/>
      <c r="W484" s="1847">
        <v>1087.5</v>
      </c>
      <c r="X484" s="1849"/>
      <c r="Y484" s="1850"/>
      <c r="Z484" s="1124"/>
      <c r="AA484" s="1124"/>
      <c r="AB484" s="1124"/>
      <c r="AC484" s="1124"/>
      <c r="AD484" s="1124"/>
      <c r="AE484" s="1124"/>
      <c r="AF484" s="1124"/>
      <c r="AG484" s="1282">
        <f t="shared" si="118"/>
        <v>1087.5</v>
      </c>
    </row>
    <row r="485" spans="1:33" ht="63.75" thickTop="1">
      <c r="A485" s="294">
        <v>4213</v>
      </c>
      <c r="B485" s="291" t="s">
        <v>448</v>
      </c>
      <c r="C485" s="824" t="s">
        <v>1048</v>
      </c>
      <c r="D485" s="326"/>
      <c r="E485" s="294">
        <v>70</v>
      </c>
      <c r="F485" s="1844">
        <v>43186</v>
      </c>
      <c r="G485" s="1845">
        <f>+F485+E485</f>
        <v>43256</v>
      </c>
      <c r="H485" s="293" t="s">
        <v>368</v>
      </c>
      <c r="I485" s="294" t="s">
        <v>169</v>
      </c>
      <c r="J485" s="307" t="s">
        <v>442</v>
      </c>
      <c r="K485" s="326" t="s">
        <v>443</v>
      </c>
      <c r="L485" s="1788">
        <v>2313</v>
      </c>
      <c r="M485" s="326"/>
      <c r="N485" s="294"/>
      <c r="O485" s="1846">
        <v>217.5</v>
      </c>
      <c r="P485" s="1847">
        <v>5</v>
      </c>
      <c r="Q485" s="1851">
        <f>O485*P485</f>
        <v>1087.5</v>
      </c>
      <c r="R485" s="1848"/>
      <c r="S485" s="1847"/>
      <c r="T485" s="1847"/>
      <c r="U485" s="1847"/>
      <c r="V485" s="1847"/>
      <c r="W485" s="1847"/>
      <c r="X485" s="1849">
        <v>1087.5</v>
      </c>
      <c r="Y485" s="1850"/>
      <c r="Z485" s="1124"/>
      <c r="AA485" s="1124"/>
      <c r="AB485" s="1124"/>
      <c r="AC485" s="1124"/>
      <c r="AD485" s="1124"/>
      <c r="AE485" s="1124"/>
      <c r="AF485" s="1124"/>
      <c r="AG485" s="1282">
        <f t="shared" si="118"/>
        <v>1087.5</v>
      </c>
    </row>
    <row r="486" spans="1:33" ht="16.5" customHeight="1" thickBot="1">
      <c r="A486" s="1275">
        <v>422</v>
      </c>
      <c r="B486" s="359" t="s">
        <v>450</v>
      </c>
      <c r="C486" s="1021"/>
      <c r="D486" s="1280"/>
      <c r="E486" s="1280"/>
      <c r="F486" s="1280"/>
      <c r="G486" s="1280"/>
      <c r="H486" s="1280"/>
      <c r="I486" s="1280"/>
      <c r="J486" s="283"/>
      <c r="K486" s="1278"/>
      <c r="L486" s="1279"/>
      <c r="M486" s="1280"/>
      <c r="N486" s="1277"/>
      <c r="O486" s="1281"/>
      <c r="P486" s="1277"/>
      <c r="Q486" s="1282">
        <f>SUM(Q487:Q490)</f>
        <v>15217.333333333334</v>
      </c>
      <c r="R486" s="1281"/>
      <c r="S486" s="1395">
        <f t="shared" ref="S486:AF486" si="119">SUM(S487:S490)</f>
        <v>0</v>
      </c>
      <c r="T486" s="1395">
        <f t="shared" si="119"/>
        <v>0</v>
      </c>
      <c r="U486" s="1395">
        <f t="shared" si="119"/>
        <v>9997.3333333333321</v>
      </c>
      <c r="V486" s="1395">
        <f t="shared" si="119"/>
        <v>5220</v>
      </c>
      <c r="W486" s="1395">
        <f t="shared" si="119"/>
        <v>0</v>
      </c>
      <c r="X486" s="1395">
        <f t="shared" si="119"/>
        <v>0</v>
      </c>
      <c r="Y486" s="1395">
        <f t="shared" si="119"/>
        <v>0</v>
      </c>
      <c r="Z486" s="361">
        <f t="shared" si="119"/>
        <v>0</v>
      </c>
      <c r="AA486" s="361">
        <f t="shared" si="119"/>
        <v>0</v>
      </c>
      <c r="AB486" s="361">
        <f t="shared" si="119"/>
        <v>0</v>
      </c>
      <c r="AC486" s="361">
        <f t="shared" si="119"/>
        <v>0</v>
      </c>
      <c r="AD486" s="361">
        <f t="shared" si="119"/>
        <v>0</v>
      </c>
      <c r="AE486" s="361">
        <f t="shared" si="119"/>
        <v>0</v>
      </c>
      <c r="AF486" s="361">
        <f t="shared" si="119"/>
        <v>0</v>
      </c>
      <c r="AG486" s="1282">
        <f t="shared" si="118"/>
        <v>15217.333333333332</v>
      </c>
    </row>
    <row r="487" spans="1:33" ht="33" thickTop="1" thickBot="1">
      <c r="A487" s="294">
        <v>4221</v>
      </c>
      <c r="B487" s="1729" t="s">
        <v>451</v>
      </c>
      <c r="C487" s="824" t="s">
        <v>452</v>
      </c>
      <c r="D487" s="326"/>
      <c r="E487" s="294">
        <f>50</f>
        <v>50</v>
      </c>
      <c r="F487" s="1844">
        <v>43186</v>
      </c>
      <c r="G487" s="1845">
        <f>+F487+E487</f>
        <v>43236</v>
      </c>
      <c r="H487" s="293" t="s">
        <v>368</v>
      </c>
      <c r="I487" s="294" t="s">
        <v>169</v>
      </c>
      <c r="J487" s="307" t="s">
        <v>179</v>
      </c>
      <c r="K487" s="326" t="s">
        <v>365</v>
      </c>
      <c r="L487" s="1788">
        <v>2313</v>
      </c>
      <c r="M487" s="326"/>
      <c r="N487" s="294"/>
      <c r="O487" s="1846">
        <v>174</v>
      </c>
      <c r="P487" s="1852">
        <v>30</v>
      </c>
      <c r="Q487" s="1851">
        <f>O487*P487</f>
        <v>5220</v>
      </c>
      <c r="R487" s="1848"/>
      <c r="S487" s="1847"/>
      <c r="T487" s="1847"/>
      <c r="U487" s="1847"/>
      <c r="V487" s="1847">
        <v>5220</v>
      </c>
      <c r="W487" s="355"/>
      <c r="X487" s="1137"/>
      <c r="Y487" s="1126"/>
      <c r="Z487" s="1124"/>
      <c r="AA487" s="1124"/>
      <c r="AB487" s="1124"/>
      <c r="AC487" s="1124"/>
      <c r="AD487" s="1124"/>
      <c r="AE487" s="1124"/>
      <c r="AF487" s="1124"/>
      <c r="AG487" s="1282">
        <f t="shared" si="118"/>
        <v>5220</v>
      </c>
    </row>
    <row r="488" spans="1:33" ht="33" thickTop="1" thickBot="1">
      <c r="A488" s="294">
        <v>4222</v>
      </c>
      <c r="B488" s="1729" t="s">
        <v>453</v>
      </c>
      <c r="C488" s="824" t="s">
        <v>454</v>
      </c>
      <c r="D488" s="326"/>
      <c r="E488" s="1853">
        <v>5</v>
      </c>
      <c r="F488" s="1844">
        <v>43241</v>
      </c>
      <c r="G488" s="1845">
        <f>+F488+E488-1</f>
        <v>43245</v>
      </c>
      <c r="H488" s="293" t="s">
        <v>455</v>
      </c>
      <c r="I488" s="294" t="s">
        <v>179</v>
      </c>
      <c r="J488" s="307" t="s">
        <v>456</v>
      </c>
      <c r="K488" s="326" t="s">
        <v>457</v>
      </c>
      <c r="L488" s="1788">
        <v>23174</v>
      </c>
      <c r="M488" s="326"/>
      <c r="N488" s="294"/>
      <c r="O488" s="1846">
        <v>160</v>
      </c>
      <c r="P488" s="1847">
        <v>40</v>
      </c>
      <c r="Q488" s="1851">
        <f>O488*P488</f>
        <v>6400</v>
      </c>
      <c r="R488" s="1848"/>
      <c r="S488" s="1847"/>
      <c r="T488" s="1847"/>
      <c r="U488" s="1847">
        <v>6400</v>
      </c>
      <c r="V488" s="1847"/>
      <c r="W488" s="355"/>
      <c r="X488" s="1137"/>
      <c r="Y488" s="1126"/>
      <c r="Z488" s="1124"/>
      <c r="AA488" s="1124"/>
      <c r="AB488" s="1124"/>
      <c r="AC488" s="1124"/>
      <c r="AD488" s="1124"/>
      <c r="AE488" s="1124"/>
      <c r="AF488" s="1124"/>
      <c r="AG488" s="1282">
        <f t="shared" si="118"/>
        <v>6400</v>
      </c>
    </row>
    <row r="489" spans="1:33" ht="33" thickTop="1" thickBot="1">
      <c r="A489" s="294">
        <v>4223</v>
      </c>
      <c r="B489" s="1729" t="s">
        <v>458</v>
      </c>
      <c r="C489" s="1724" t="s">
        <v>459</v>
      </c>
      <c r="D489" s="326"/>
      <c r="E489" s="1853">
        <v>3</v>
      </c>
      <c r="F489" s="1844">
        <v>43248</v>
      </c>
      <c r="G489" s="1845">
        <f>+F489+E489-1</f>
        <v>43250</v>
      </c>
      <c r="H489" s="293" t="s">
        <v>460</v>
      </c>
      <c r="I489" s="294" t="s">
        <v>179</v>
      </c>
      <c r="J489" s="306" t="s">
        <v>461</v>
      </c>
      <c r="K489" s="326" t="s">
        <v>457</v>
      </c>
      <c r="L489" s="1788">
        <v>23174</v>
      </c>
      <c r="M489" s="326"/>
      <c r="N489" s="294"/>
      <c r="O489" s="1846">
        <v>134.66666666666666</v>
      </c>
      <c r="P489" s="1847">
        <v>8</v>
      </c>
      <c r="Q489" s="1851">
        <f>O489*P489</f>
        <v>1077.3333333333333</v>
      </c>
      <c r="R489" s="1848"/>
      <c r="S489" s="355"/>
      <c r="T489" s="355"/>
      <c r="U489" s="1847">
        <v>1077.3333333333333</v>
      </c>
      <c r="V489" s="355"/>
      <c r="W489" s="355"/>
      <c r="X489" s="1137"/>
      <c r="Y489" s="1126"/>
      <c r="Z489" s="1124"/>
      <c r="AA489" s="1124"/>
      <c r="AB489" s="1124"/>
      <c r="AC489" s="1124"/>
      <c r="AD489" s="1124"/>
      <c r="AE489" s="1124"/>
      <c r="AF489" s="1124"/>
      <c r="AG489" s="1282">
        <f t="shared" si="118"/>
        <v>1077.3333333333333</v>
      </c>
    </row>
    <row r="490" spans="1:33" ht="32.25" thickTop="1">
      <c r="A490" s="294">
        <v>4224</v>
      </c>
      <c r="B490" s="1729" t="s">
        <v>462</v>
      </c>
      <c r="C490" s="1724" t="s">
        <v>463</v>
      </c>
      <c r="D490" s="326"/>
      <c r="E490" s="1853">
        <v>5</v>
      </c>
      <c r="F490" s="1844">
        <v>43255</v>
      </c>
      <c r="G490" s="1845">
        <f>+F490+E490-1</f>
        <v>43259</v>
      </c>
      <c r="H490" s="293" t="s">
        <v>455</v>
      </c>
      <c r="I490" s="294" t="s">
        <v>179</v>
      </c>
      <c r="J490" s="306" t="s">
        <v>461</v>
      </c>
      <c r="K490" s="326" t="s">
        <v>457</v>
      </c>
      <c r="L490" s="1788">
        <v>23174</v>
      </c>
      <c r="M490" s="326"/>
      <c r="N490" s="294"/>
      <c r="O490" s="1846">
        <v>84</v>
      </c>
      <c r="P490" s="1847">
        <v>30</v>
      </c>
      <c r="Q490" s="1851">
        <f>O490*P490</f>
        <v>2520</v>
      </c>
      <c r="R490" s="1848"/>
      <c r="S490" s="1847"/>
      <c r="T490" s="1847"/>
      <c r="U490" s="1847">
        <v>2520</v>
      </c>
      <c r="V490" s="1847"/>
      <c r="W490" s="1847"/>
      <c r="X490" s="1137"/>
      <c r="Y490" s="1126"/>
      <c r="Z490" s="1124"/>
      <c r="AA490" s="1124"/>
      <c r="AB490" s="1124"/>
      <c r="AC490" s="1124"/>
      <c r="AD490" s="1124"/>
      <c r="AE490" s="1124"/>
      <c r="AF490" s="1124"/>
      <c r="AG490" s="1282">
        <f t="shared" si="118"/>
        <v>2520</v>
      </c>
    </row>
    <row r="491" spans="1:33" ht="32.25" thickBot="1">
      <c r="A491" s="1275">
        <v>423</v>
      </c>
      <c r="B491" s="1466" t="s">
        <v>464</v>
      </c>
      <c r="C491" s="1511"/>
      <c r="D491" s="1422"/>
      <c r="E491" s="1422"/>
      <c r="F491" s="1422"/>
      <c r="G491" s="1422"/>
      <c r="H491" s="1422"/>
      <c r="I491" s="1423"/>
      <c r="J491" s="283"/>
      <c r="K491" s="1278"/>
      <c r="L491" s="1279"/>
      <c r="M491" s="1280"/>
      <c r="N491" s="1277"/>
      <c r="O491" s="1281"/>
      <c r="P491" s="1277"/>
      <c r="Q491" s="1282">
        <f>SUM(Q492)</f>
        <v>6400</v>
      </c>
      <c r="R491" s="1281"/>
      <c r="S491" s="1395">
        <f t="shared" ref="S491:AF491" si="120">SUM(S492)</f>
        <v>0</v>
      </c>
      <c r="T491" s="1395">
        <f t="shared" si="120"/>
        <v>0</v>
      </c>
      <c r="U491" s="1395">
        <f t="shared" si="120"/>
        <v>0</v>
      </c>
      <c r="V491" s="1395">
        <f t="shared" si="120"/>
        <v>6400</v>
      </c>
      <c r="W491" s="1395">
        <f t="shared" si="120"/>
        <v>0</v>
      </c>
      <c r="X491" s="1395">
        <f t="shared" si="120"/>
        <v>0</v>
      </c>
      <c r="Y491" s="1395">
        <f t="shared" si="120"/>
        <v>0</v>
      </c>
      <c r="Z491" s="361">
        <f t="shared" si="120"/>
        <v>0</v>
      </c>
      <c r="AA491" s="361">
        <f t="shared" si="120"/>
        <v>0</v>
      </c>
      <c r="AB491" s="361">
        <f t="shared" si="120"/>
        <v>0</v>
      </c>
      <c r="AC491" s="361">
        <f t="shared" si="120"/>
        <v>0</v>
      </c>
      <c r="AD491" s="361">
        <f t="shared" si="120"/>
        <v>0</v>
      </c>
      <c r="AE491" s="361">
        <f t="shared" si="120"/>
        <v>0</v>
      </c>
      <c r="AF491" s="361">
        <f t="shared" si="120"/>
        <v>0</v>
      </c>
      <c r="AG491" s="1282">
        <f t="shared" si="118"/>
        <v>6400</v>
      </c>
    </row>
    <row r="492" spans="1:33" ht="51" customHeight="1" thickTop="1">
      <c r="A492" s="294">
        <v>4231</v>
      </c>
      <c r="B492" s="1893" t="s">
        <v>465</v>
      </c>
      <c r="C492" s="1724" t="s">
        <v>466</v>
      </c>
      <c r="D492" s="1852"/>
      <c r="E492" s="1853">
        <v>5</v>
      </c>
      <c r="F492" s="1844">
        <v>43269</v>
      </c>
      <c r="G492" s="1845">
        <f>+F492+E492-1</f>
        <v>43273</v>
      </c>
      <c r="H492" s="1852" t="s">
        <v>368</v>
      </c>
      <c r="I492" s="1853" t="s">
        <v>179</v>
      </c>
      <c r="J492" s="306" t="s">
        <v>461</v>
      </c>
      <c r="K492" s="326" t="s">
        <v>457</v>
      </c>
      <c r="L492" s="1237">
        <v>23174</v>
      </c>
      <c r="M492" s="1852"/>
      <c r="N492" s="1852"/>
      <c r="O492" s="1846">
        <v>160</v>
      </c>
      <c r="P492" s="1848">
        <v>40</v>
      </c>
      <c r="Q492" s="1846">
        <f>O492*P492</f>
        <v>6400</v>
      </c>
      <c r="R492" s="1848"/>
      <c r="S492" s="1847"/>
      <c r="T492" s="1847"/>
      <c r="U492" s="1847"/>
      <c r="V492" s="1847">
        <v>6400</v>
      </c>
      <c r="W492" s="1847"/>
      <c r="X492" s="1854"/>
      <c r="Y492" s="1124"/>
      <c r="Z492" s="1734"/>
      <c r="AA492" s="1734"/>
      <c r="AB492" s="1734"/>
      <c r="AC492" s="1734"/>
      <c r="AD492" s="1734"/>
      <c r="AE492" s="1734"/>
      <c r="AF492" s="1734"/>
      <c r="AG492" s="1282">
        <f t="shared" si="118"/>
        <v>6400</v>
      </c>
    </row>
    <row r="493" spans="1:33" ht="34.5" customHeight="1" thickBot="1">
      <c r="A493" s="1275">
        <v>424</v>
      </c>
      <c r="B493" s="1128" t="s">
        <v>467</v>
      </c>
      <c r="C493" s="1511"/>
      <c r="D493" s="1422"/>
      <c r="E493" s="1422"/>
      <c r="F493" s="1422"/>
      <c r="G493" s="1422"/>
      <c r="H493" s="1422"/>
      <c r="I493" s="1423"/>
      <c r="J493" s="283"/>
      <c r="K493" s="1278"/>
      <c r="L493" s="1279"/>
      <c r="M493" s="1280"/>
      <c r="N493" s="1277"/>
      <c r="O493" s="1281"/>
      <c r="P493" s="1277"/>
      <c r="Q493" s="1282">
        <f>SUM(Q494)</f>
        <v>66990</v>
      </c>
      <c r="R493" s="1281"/>
      <c r="S493" s="1395">
        <f t="shared" ref="S493:AF493" si="121">SUM(S494)</f>
        <v>0</v>
      </c>
      <c r="T493" s="1395">
        <f t="shared" si="121"/>
        <v>0</v>
      </c>
      <c r="U493" s="1395">
        <f t="shared" si="121"/>
        <v>0</v>
      </c>
      <c r="V493" s="1395">
        <f t="shared" si="121"/>
        <v>66990</v>
      </c>
      <c r="W493" s="1395">
        <f t="shared" si="121"/>
        <v>0</v>
      </c>
      <c r="X493" s="1395">
        <f t="shared" si="121"/>
        <v>0</v>
      </c>
      <c r="Y493" s="1395">
        <f t="shared" si="121"/>
        <v>0</v>
      </c>
      <c r="Z493" s="361">
        <f t="shared" si="121"/>
        <v>0</v>
      </c>
      <c r="AA493" s="361">
        <f t="shared" si="121"/>
        <v>0</v>
      </c>
      <c r="AB493" s="361">
        <f t="shared" si="121"/>
        <v>0</v>
      </c>
      <c r="AC493" s="361">
        <f t="shared" si="121"/>
        <v>0</v>
      </c>
      <c r="AD493" s="361">
        <f t="shared" si="121"/>
        <v>0</v>
      </c>
      <c r="AE493" s="361">
        <f t="shared" si="121"/>
        <v>0</v>
      </c>
      <c r="AF493" s="361">
        <f t="shared" si="121"/>
        <v>0</v>
      </c>
      <c r="AG493" s="1282">
        <f t="shared" si="118"/>
        <v>66990</v>
      </c>
    </row>
    <row r="494" spans="1:33" ht="63.75" thickTop="1">
      <c r="A494" s="294">
        <v>4241</v>
      </c>
      <c r="B494" s="1894" t="s">
        <v>468</v>
      </c>
      <c r="C494" s="1724" t="s">
        <v>469</v>
      </c>
      <c r="D494" s="326"/>
      <c r="E494" s="1853">
        <v>2</v>
      </c>
      <c r="F494" s="1844">
        <v>43283</v>
      </c>
      <c r="G494" s="1845">
        <f>+F494+E494-1</f>
        <v>43284</v>
      </c>
      <c r="H494" s="293" t="s">
        <v>470</v>
      </c>
      <c r="I494" s="294" t="s">
        <v>179</v>
      </c>
      <c r="J494" s="306" t="s">
        <v>461</v>
      </c>
      <c r="K494" s="326" t="s">
        <v>457</v>
      </c>
      <c r="L494" s="1237">
        <v>23174</v>
      </c>
      <c r="M494" s="326"/>
      <c r="N494" s="294"/>
      <c r="O494" s="1846">
        <v>3045</v>
      </c>
      <c r="P494" s="1848">
        <v>22</v>
      </c>
      <c r="Q494" s="1846">
        <f>O494*P494</f>
        <v>66990</v>
      </c>
      <c r="R494" s="1848"/>
      <c r="S494" s="1847"/>
      <c r="T494" s="1847"/>
      <c r="U494" s="1847"/>
      <c r="V494" s="1847">
        <v>66990</v>
      </c>
      <c r="W494" s="1847"/>
      <c r="X494" s="1137"/>
      <c r="Y494" s="1126"/>
      <c r="Z494" s="1126"/>
      <c r="AA494" s="1126"/>
      <c r="AB494" s="1126"/>
      <c r="AC494" s="1126"/>
      <c r="AD494" s="1126"/>
      <c r="AE494" s="1126"/>
      <c r="AF494" s="1126"/>
      <c r="AG494" s="1282">
        <f t="shared" si="118"/>
        <v>66990</v>
      </c>
    </row>
    <row r="495" spans="1:33" ht="16.5" customHeight="1" thickBot="1">
      <c r="A495" s="1275">
        <v>425</v>
      </c>
      <c r="B495" s="1466" t="s">
        <v>471</v>
      </c>
      <c r="C495" s="1511"/>
      <c r="D495" s="1422"/>
      <c r="E495" s="1422"/>
      <c r="F495" s="1422"/>
      <c r="G495" s="1422"/>
      <c r="H495" s="1422"/>
      <c r="I495" s="1423"/>
      <c r="J495" s="283"/>
      <c r="K495" s="1278"/>
      <c r="L495" s="1279"/>
      <c r="M495" s="1280"/>
      <c r="N495" s="1277"/>
      <c r="O495" s="1281"/>
      <c r="P495" s="1277"/>
      <c r="Q495" s="1282">
        <f>SUM(Q496:Q499)</f>
        <v>104413.66666666667</v>
      </c>
      <c r="R495" s="1281"/>
      <c r="S495" s="1395">
        <f t="shared" ref="S495:AF495" si="122">SUM(S496:S499)</f>
        <v>0</v>
      </c>
      <c r="T495" s="1395">
        <f t="shared" si="122"/>
        <v>93216.666666666672</v>
      </c>
      <c r="U495" s="1395">
        <f t="shared" si="122"/>
        <v>6760</v>
      </c>
      <c r="V495" s="1395">
        <f t="shared" si="122"/>
        <v>4437</v>
      </c>
      <c r="W495" s="1395">
        <f t="shared" si="122"/>
        <v>0</v>
      </c>
      <c r="X495" s="1395">
        <f t="shared" si="122"/>
        <v>0</v>
      </c>
      <c r="Y495" s="1395">
        <f t="shared" si="122"/>
        <v>0</v>
      </c>
      <c r="Z495" s="361">
        <f t="shared" si="122"/>
        <v>0</v>
      </c>
      <c r="AA495" s="361">
        <f t="shared" si="122"/>
        <v>0</v>
      </c>
      <c r="AB495" s="361">
        <f t="shared" si="122"/>
        <v>0</v>
      </c>
      <c r="AC495" s="361">
        <f t="shared" si="122"/>
        <v>0</v>
      </c>
      <c r="AD495" s="361">
        <f t="shared" si="122"/>
        <v>0</v>
      </c>
      <c r="AE495" s="361">
        <f t="shared" si="122"/>
        <v>0</v>
      </c>
      <c r="AF495" s="361">
        <f t="shared" si="122"/>
        <v>0</v>
      </c>
      <c r="AG495" s="1282">
        <f t="shared" si="118"/>
        <v>104413.66666666667</v>
      </c>
    </row>
    <row r="496" spans="1:33" ht="17.25" thickTop="1" thickBot="1">
      <c r="A496" s="294">
        <v>4251</v>
      </c>
      <c r="B496" s="1728" t="s">
        <v>472</v>
      </c>
      <c r="C496" s="1724" t="s">
        <v>473</v>
      </c>
      <c r="D496" s="326"/>
      <c r="E496" s="294">
        <v>15</v>
      </c>
      <c r="F496" s="1844">
        <v>43201</v>
      </c>
      <c r="G496" s="1845">
        <f>+F496+E496-1</f>
        <v>43215</v>
      </c>
      <c r="H496" s="293" t="s">
        <v>474</v>
      </c>
      <c r="I496" s="294" t="s">
        <v>179</v>
      </c>
      <c r="J496" s="307" t="s">
        <v>169</v>
      </c>
      <c r="K496" s="326" t="s">
        <v>252</v>
      </c>
      <c r="L496" s="1237">
        <v>23174</v>
      </c>
      <c r="M496" s="326"/>
      <c r="N496" s="294"/>
      <c r="O496" s="1846">
        <v>0.23333333333333334</v>
      </c>
      <c r="P496" s="1848">
        <v>57500</v>
      </c>
      <c r="Q496" s="1846">
        <f>O496*P496</f>
        <v>13416.666666666666</v>
      </c>
      <c r="R496" s="1848"/>
      <c r="S496" s="355"/>
      <c r="T496" s="1847">
        <v>13416.666666666666</v>
      </c>
      <c r="U496" s="1847"/>
      <c r="V496" s="1847"/>
      <c r="W496" s="355"/>
      <c r="X496" s="1137"/>
      <c r="Y496" s="1126"/>
      <c r="Z496" s="1126"/>
      <c r="AA496" s="1126"/>
      <c r="AB496" s="1126"/>
      <c r="AC496" s="1126"/>
      <c r="AD496" s="1126"/>
      <c r="AE496" s="1126"/>
      <c r="AF496" s="1126"/>
      <c r="AG496" s="1282">
        <f t="shared" si="118"/>
        <v>13416.666666666666</v>
      </c>
    </row>
    <row r="497" spans="1:33" ht="33" thickTop="1" thickBot="1">
      <c r="A497" s="294">
        <v>4252</v>
      </c>
      <c r="B497" s="1728" t="s">
        <v>475</v>
      </c>
      <c r="C497" s="1724" t="s">
        <v>476</v>
      </c>
      <c r="D497" s="326"/>
      <c r="E497" s="294">
        <v>10</v>
      </c>
      <c r="F497" s="1844">
        <v>43213</v>
      </c>
      <c r="G497" s="1845">
        <f>+F497+E497-1</f>
        <v>43222</v>
      </c>
      <c r="H497" s="293" t="s">
        <v>474</v>
      </c>
      <c r="I497" s="294" t="s">
        <v>179</v>
      </c>
      <c r="J497" s="307" t="s">
        <v>180</v>
      </c>
      <c r="K497" s="326" t="s">
        <v>457</v>
      </c>
      <c r="L497" s="1237">
        <v>23174</v>
      </c>
      <c r="M497" s="326"/>
      <c r="N497" s="294"/>
      <c r="O497" s="1846">
        <v>350</v>
      </c>
      <c r="P497" s="1848">
        <v>228</v>
      </c>
      <c r="Q497" s="1846">
        <f>O497*P497</f>
        <v>79800</v>
      </c>
      <c r="R497" s="1848"/>
      <c r="S497" s="355"/>
      <c r="T497" s="1847">
        <v>79800</v>
      </c>
      <c r="U497" s="1847"/>
      <c r="V497" s="1847"/>
      <c r="W497" s="355"/>
      <c r="X497" s="1137"/>
      <c r="Y497" s="1126"/>
      <c r="Z497" s="1126"/>
      <c r="AA497" s="1126"/>
      <c r="AB497" s="1126"/>
      <c r="AC497" s="1126"/>
      <c r="AD497" s="1126"/>
      <c r="AE497" s="1126"/>
      <c r="AF497" s="1126"/>
      <c r="AG497" s="1282">
        <f t="shared" si="118"/>
        <v>79800</v>
      </c>
    </row>
    <row r="498" spans="1:33" ht="17.25" thickTop="1" thickBot="1">
      <c r="A498" s="294">
        <v>4253</v>
      </c>
      <c r="B498" s="1728" t="s">
        <v>477</v>
      </c>
      <c r="C498" s="1724" t="s">
        <v>478</v>
      </c>
      <c r="D498" s="326"/>
      <c r="E498" s="294">
        <v>10</v>
      </c>
      <c r="F498" s="1844">
        <v>43227</v>
      </c>
      <c r="G498" s="1845">
        <f t="shared" ref="G498:G509" si="123">+F498+E498-1</f>
        <v>43236</v>
      </c>
      <c r="H498" s="293" t="s">
        <v>368</v>
      </c>
      <c r="I498" s="294" t="s">
        <v>179</v>
      </c>
      <c r="J498" s="307" t="s">
        <v>180</v>
      </c>
      <c r="K498" s="326" t="s">
        <v>457</v>
      </c>
      <c r="L498" s="1237">
        <v>23174</v>
      </c>
      <c r="M498" s="326"/>
      <c r="N498" s="294"/>
      <c r="O498" s="1846">
        <v>260</v>
      </c>
      <c r="P498" s="1848">
        <v>26</v>
      </c>
      <c r="Q498" s="1846">
        <f>O498*P498</f>
        <v>6760</v>
      </c>
      <c r="R498" s="1848"/>
      <c r="S498" s="1847"/>
      <c r="T498" s="1847"/>
      <c r="U498" s="1847">
        <v>6760</v>
      </c>
      <c r="V498" s="1847"/>
      <c r="W498" s="355"/>
      <c r="X498" s="1137"/>
      <c r="Y498" s="1126"/>
      <c r="Z498" s="1126"/>
      <c r="AA498" s="1126"/>
      <c r="AB498" s="1126"/>
      <c r="AC498" s="1126"/>
      <c r="AD498" s="1126"/>
      <c r="AE498" s="1126"/>
      <c r="AF498" s="1126"/>
      <c r="AG498" s="1282">
        <f t="shared" si="118"/>
        <v>6760</v>
      </c>
    </row>
    <row r="499" spans="1:33" ht="32.25" thickTop="1">
      <c r="A499" s="294">
        <v>4254</v>
      </c>
      <c r="B499" s="1895" t="s">
        <v>479</v>
      </c>
      <c r="C499" s="1724" t="s">
        <v>480</v>
      </c>
      <c r="D499" s="326"/>
      <c r="E499" s="294">
        <v>6</v>
      </c>
      <c r="F499" s="1844">
        <v>43269</v>
      </c>
      <c r="G499" s="1845">
        <f t="shared" si="123"/>
        <v>43274</v>
      </c>
      <c r="H499" s="293" t="s">
        <v>368</v>
      </c>
      <c r="I499" s="294" t="s">
        <v>179</v>
      </c>
      <c r="J499" s="307" t="s">
        <v>180</v>
      </c>
      <c r="K499" s="326" t="s">
        <v>457</v>
      </c>
      <c r="L499" s="1237">
        <v>23174</v>
      </c>
      <c r="M499" s="326"/>
      <c r="N499" s="294"/>
      <c r="O499" s="1846">
        <v>177.48</v>
      </c>
      <c r="P499" s="1848">
        <v>25</v>
      </c>
      <c r="Q499" s="1846">
        <f>O499*P499</f>
        <v>4437</v>
      </c>
      <c r="R499" s="1848"/>
      <c r="S499" s="1847"/>
      <c r="T499" s="1847"/>
      <c r="U499" s="1847"/>
      <c r="V499" s="1847">
        <v>4437</v>
      </c>
      <c r="W499" s="355"/>
      <c r="X499" s="1137"/>
      <c r="Y499" s="1126"/>
      <c r="Z499" s="1126"/>
      <c r="AA499" s="1126"/>
      <c r="AB499" s="1126"/>
      <c r="AC499" s="1126"/>
      <c r="AD499" s="1126"/>
      <c r="AE499" s="1126"/>
      <c r="AF499" s="1126"/>
      <c r="AG499" s="1282">
        <f t="shared" si="118"/>
        <v>4437</v>
      </c>
    </row>
    <row r="500" spans="1:33" ht="16.5" thickBot="1">
      <c r="A500" s="1275">
        <v>426</v>
      </c>
      <c r="B500" s="1466" t="s">
        <v>481</v>
      </c>
      <c r="C500" s="1511"/>
      <c r="D500" s="1422"/>
      <c r="E500" s="1422"/>
      <c r="F500" s="1422"/>
      <c r="G500" s="1422"/>
      <c r="H500" s="1422"/>
      <c r="I500" s="1423"/>
      <c r="J500" s="283"/>
      <c r="K500" s="1278"/>
      <c r="L500" s="1279"/>
      <c r="M500" s="1277"/>
      <c r="N500" s="1277"/>
      <c r="O500" s="1395"/>
      <c r="P500" s="1277"/>
      <c r="Q500" s="1282">
        <f>SUM(Q501:Q509)</f>
        <v>41478.833333333336</v>
      </c>
      <c r="R500" s="1277"/>
      <c r="S500" s="1395">
        <f t="shared" ref="S500:AF500" si="124">SUM(S501:S509)</f>
        <v>0</v>
      </c>
      <c r="T500" s="1395">
        <f t="shared" si="124"/>
        <v>0</v>
      </c>
      <c r="U500" s="1395">
        <f t="shared" si="124"/>
        <v>33648.833333333328</v>
      </c>
      <c r="V500" s="1395">
        <f t="shared" si="124"/>
        <v>7830</v>
      </c>
      <c r="W500" s="1395">
        <f t="shared" si="124"/>
        <v>0</v>
      </c>
      <c r="X500" s="1395">
        <f t="shared" si="124"/>
        <v>0</v>
      </c>
      <c r="Y500" s="1395">
        <f t="shared" si="124"/>
        <v>0</v>
      </c>
      <c r="Z500" s="361">
        <f t="shared" si="124"/>
        <v>0</v>
      </c>
      <c r="AA500" s="361">
        <f t="shared" si="124"/>
        <v>0</v>
      </c>
      <c r="AB500" s="361">
        <f t="shared" si="124"/>
        <v>0</v>
      </c>
      <c r="AC500" s="361">
        <f t="shared" si="124"/>
        <v>0</v>
      </c>
      <c r="AD500" s="361">
        <f t="shared" si="124"/>
        <v>0</v>
      </c>
      <c r="AE500" s="361">
        <f t="shared" si="124"/>
        <v>0</v>
      </c>
      <c r="AF500" s="361">
        <f t="shared" si="124"/>
        <v>0</v>
      </c>
      <c r="AG500" s="1282">
        <f t="shared" si="118"/>
        <v>41478.833333333328</v>
      </c>
    </row>
    <row r="501" spans="1:33" ht="33" thickTop="1" thickBot="1">
      <c r="A501" s="294">
        <v>4261</v>
      </c>
      <c r="B501" s="1728" t="s">
        <v>482</v>
      </c>
      <c r="C501" s="1724" t="s">
        <v>483</v>
      </c>
      <c r="D501" s="326"/>
      <c r="E501" s="294">
        <v>50</v>
      </c>
      <c r="F501" s="1844">
        <v>43186</v>
      </c>
      <c r="G501" s="1845">
        <f>+F501+E501-3</f>
        <v>43233</v>
      </c>
      <c r="H501" s="293" t="s">
        <v>368</v>
      </c>
      <c r="I501" s="294" t="s">
        <v>169</v>
      </c>
      <c r="J501" s="307" t="s">
        <v>179</v>
      </c>
      <c r="K501" s="1787" t="s">
        <v>365</v>
      </c>
      <c r="L501" s="1788">
        <v>2313</v>
      </c>
      <c r="M501" s="326"/>
      <c r="N501" s="294"/>
      <c r="O501" s="1846">
        <v>174</v>
      </c>
      <c r="P501" s="1848">
        <v>45</v>
      </c>
      <c r="Q501" s="1846">
        <f t="shared" ref="Q501:Q507" si="125">O501*P501</f>
        <v>7830</v>
      </c>
      <c r="R501" s="1848"/>
      <c r="S501" s="1848"/>
      <c r="T501" s="1848"/>
      <c r="U501" s="1848"/>
      <c r="V501" s="1848">
        <v>7830</v>
      </c>
      <c r="W501" s="1848"/>
      <c r="X501" s="1137"/>
      <c r="Y501" s="1126"/>
      <c r="Z501" s="1126"/>
      <c r="AA501" s="1126"/>
      <c r="AB501" s="1126"/>
      <c r="AC501" s="1126"/>
      <c r="AD501" s="1126"/>
      <c r="AE501" s="1126"/>
      <c r="AF501" s="1126"/>
      <c r="AG501" s="1282">
        <f t="shared" ref="AG501:AG509" si="126">SUM(S501:AF501)</f>
        <v>7830</v>
      </c>
    </row>
    <row r="502" spans="1:33" ht="33" thickTop="1" thickBot="1">
      <c r="A502" s="294">
        <v>4262</v>
      </c>
      <c r="B502" s="1728" t="s">
        <v>484</v>
      </c>
      <c r="C502" s="1724" t="s">
        <v>485</v>
      </c>
      <c r="D502" s="326"/>
      <c r="E502" s="294">
        <v>6</v>
      </c>
      <c r="F502" s="1844">
        <v>43234</v>
      </c>
      <c r="G502" s="1845">
        <f t="shared" si="123"/>
        <v>43239</v>
      </c>
      <c r="H502" s="293" t="s">
        <v>368</v>
      </c>
      <c r="I502" s="294" t="s">
        <v>179</v>
      </c>
      <c r="J502" s="307"/>
      <c r="K502" s="326" t="s">
        <v>457</v>
      </c>
      <c r="L502" s="1788">
        <v>23174</v>
      </c>
      <c r="M502" s="326"/>
      <c r="N502" s="294"/>
      <c r="O502" s="1846">
        <v>5076.666666666667</v>
      </c>
      <c r="P502" s="1848">
        <v>1</v>
      </c>
      <c r="Q502" s="1846">
        <f t="shared" si="125"/>
        <v>5076.666666666667</v>
      </c>
      <c r="R502" s="1848"/>
      <c r="S502" s="1848"/>
      <c r="T502" s="1848"/>
      <c r="U502" s="1848">
        <v>5076.666666666667</v>
      </c>
      <c r="V502" s="1848"/>
      <c r="W502" s="1848"/>
      <c r="X502" s="1137"/>
      <c r="Y502" s="1126"/>
      <c r="Z502" s="1126"/>
      <c r="AA502" s="1126"/>
      <c r="AB502" s="1126"/>
      <c r="AC502" s="1126"/>
      <c r="AD502" s="1126"/>
      <c r="AE502" s="1126"/>
      <c r="AF502" s="1126"/>
      <c r="AG502" s="1282">
        <f t="shared" si="126"/>
        <v>5076.666666666667</v>
      </c>
    </row>
    <row r="503" spans="1:33" ht="33" thickTop="1" thickBot="1">
      <c r="A503" s="294">
        <v>4262</v>
      </c>
      <c r="B503" s="1728" t="s">
        <v>484</v>
      </c>
      <c r="C503" s="1724" t="s">
        <v>485</v>
      </c>
      <c r="D503" s="326"/>
      <c r="E503" s="294">
        <v>6</v>
      </c>
      <c r="F503" s="1844">
        <v>43234</v>
      </c>
      <c r="G503" s="1845">
        <f t="shared" si="123"/>
        <v>43239</v>
      </c>
      <c r="H503" s="293" t="s">
        <v>368</v>
      </c>
      <c r="I503" s="294" t="s">
        <v>179</v>
      </c>
      <c r="J503" s="307"/>
      <c r="K503" s="326" t="s">
        <v>320</v>
      </c>
      <c r="L503" s="1788">
        <v>23173</v>
      </c>
      <c r="M503" s="326"/>
      <c r="N503" s="294"/>
      <c r="O503" s="1846">
        <v>165.83333333333334</v>
      </c>
      <c r="P503" s="1848">
        <v>1</v>
      </c>
      <c r="Q503" s="1846">
        <f t="shared" si="125"/>
        <v>165.83333333333334</v>
      </c>
      <c r="R503" s="1848"/>
      <c r="S503" s="1848"/>
      <c r="T503" s="1848"/>
      <c r="U503" s="1848">
        <v>165.83333333333334</v>
      </c>
      <c r="V503" s="1848"/>
      <c r="W503" s="1848"/>
      <c r="X503" s="1137"/>
      <c r="Y503" s="1126"/>
      <c r="Z503" s="1126"/>
      <c r="AA503" s="1126"/>
      <c r="AB503" s="1126"/>
      <c r="AC503" s="1126"/>
      <c r="AD503" s="1126"/>
      <c r="AE503" s="1126"/>
      <c r="AF503" s="1126"/>
      <c r="AG503" s="1282">
        <f t="shared" si="126"/>
        <v>165.83333333333334</v>
      </c>
    </row>
    <row r="504" spans="1:33" ht="33" thickTop="1" thickBot="1">
      <c r="A504" s="294">
        <v>4262</v>
      </c>
      <c r="B504" s="1728" t="s">
        <v>484</v>
      </c>
      <c r="C504" s="1724" t="s">
        <v>485</v>
      </c>
      <c r="D504" s="326"/>
      <c r="E504" s="294">
        <v>6</v>
      </c>
      <c r="F504" s="1844">
        <v>43234</v>
      </c>
      <c r="G504" s="1845">
        <f t="shared" si="123"/>
        <v>43239</v>
      </c>
      <c r="H504" s="293" t="s">
        <v>368</v>
      </c>
      <c r="I504" s="294" t="s">
        <v>179</v>
      </c>
      <c r="J504" s="307"/>
      <c r="K504" s="326" t="s">
        <v>486</v>
      </c>
      <c r="L504" s="1788">
        <v>23173</v>
      </c>
      <c r="M504" s="326"/>
      <c r="N504" s="294"/>
      <c r="O504" s="1846">
        <v>10</v>
      </c>
      <c r="P504" s="1848">
        <v>5</v>
      </c>
      <c r="Q504" s="1846">
        <f t="shared" si="125"/>
        <v>50</v>
      </c>
      <c r="R504" s="1848"/>
      <c r="S504" s="1848"/>
      <c r="T504" s="1848"/>
      <c r="U504" s="1848">
        <v>50</v>
      </c>
      <c r="V504" s="1848"/>
      <c r="W504" s="1848"/>
      <c r="X504" s="1137"/>
      <c r="Y504" s="1126"/>
      <c r="Z504" s="1126"/>
      <c r="AA504" s="1126"/>
      <c r="AB504" s="1126"/>
      <c r="AC504" s="1126"/>
      <c r="AD504" s="1126"/>
      <c r="AE504" s="1126"/>
      <c r="AF504" s="1126"/>
      <c r="AG504" s="1282">
        <f t="shared" si="126"/>
        <v>50</v>
      </c>
    </row>
    <row r="505" spans="1:33" ht="17.25" thickTop="1" thickBot="1">
      <c r="A505" s="294">
        <v>4263</v>
      </c>
      <c r="B505" s="1728" t="s">
        <v>487</v>
      </c>
      <c r="C505" s="1724" t="s">
        <v>488</v>
      </c>
      <c r="D505" s="326"/>
      <c r="E505" s="294">
        <v>10</v>
      </c>
      <c r="F505" s="1844">
        <v>43241</v>
      </c>
      <c r="G505" s="1845">
        <f t="shared" si="123"/>
        <v>43250</v>
      </c>
      <c r="H505" s="294" t="s">
        <v>372</v>
      </c>
      <c r="I505" s="294" t="s">
        <v>179</v>
      </c>
      <c r="J505" s="307"/>
      <c r="K505" s="326" t="s">
        <v>457</v>
      </c>
      <c r="L505" s="1788">
        <v>23174</v>
      </c>
      <c r="M505" s="326"/>
      <c r="N505" s="294"/>
      <c r="O505" s="1846">
        <v>20400</v>
      </c>
      <c r="P505" s="1848">
        <v>1</v>
      </c>
      <c r="Q505" s="1846">
        <f t="shared" si="125"/>
        <v>20400</v>
      </c>
      <c r="R505" s="1848"/>
      <c r="S505" s="1848"/>
      <c r="T505" s="1848"/>
      <c r="U505" s="1848">
        <v>20400</v>
      </c>
      <c r="V505" s="1848"/>
      <c r="W505" s="1848"/>
      <c r="X505" s="1137"/>
      <c r="Y505" s="1126"/>
      <c r="Z505" s="1126"/>
      <c r="AA505" s="1126"/>
      <c r="AB505" s="1126"/>
      <c r="AC505" s="1126"/>
      <c r="AD505" s="1126"/>
      <c r="AE505" s="1126"/>
      <c r="AF505" s="1126"/>
      <c r="AG505" s="1282">
        <f t="shared" si="126"/>
        <v>20400</v>
      </c>
    </row>
    <row r="506" spans="1:33" ht="17.25" thickTop="1" thickBot="1">
      <c r="A506" s="294">
        <v>4263</v>
      </c>
      <c r="B506" s="1728" t="s">
        <v>487</v>
      </c>
      <c r="C506" s="1724" t="s">
        <v>488</v>
      </c>
      <c r="D506" s="326"/>
      <c r="E506" s="294">
        <v>10</v>
      </c>
      <c r="F506" s="1844">
        <v>43241</v>
      </c>
      <c r="G506" s="1845">
        <f t="shared" si="123"/>
        <v>43250</v>
      </c>
      <c r="H506" s="294" t="s">
        <v>372</v>
      </c>
      <c r="I506" s="294" t="s">
        <v>179</v>
      </c>
      <c r="J506" s="307"/>
      <c r="K506" s="326" t="s">
        <v>320</v>
      </c>
      <c r="L506" s="1788">
        <v>23173</v>
      </c>
      <c r="M506" s="326"/>
      <c r="N506" s="294"/>
      <c r="O506" s="1846">
        <v>356.33333333333331</v>
      </c>
      <c r="P506" s="1855">
        <v>1</v>
      </c>
      <c r="Q506" s="1856">
        <f t="shared" si="125"/>
        <v>356.33333333333331</v>
      </c>
      <c r="R506" s="1848"/>
      <c r="S506" s="355"/>
      <c r="T506" s="355"/>
      <c r="U506" s="1848">
        <v>356.33333333333331</v>
      </c>
      <c r="V506" s="355"/>
      <c r="W506" s="355"/>
      <c r="X506" s="1137"/>
      <c r="Y506" s="1126"/>
      <c r="Z506" s="1126"/>
      <c r="AA506" s="1126"/>
      <c r="AB506" s="1126"/>
      <c r="AC506" s="1126"/>
      <c r="AD506" s="1126"/>
      <c r="AE506" s="1126"/>
      <c r="AF506" s="1126"/>
      <c r="AG506" s="1282">
        <f t="shared" si="126"/>
        <v>356.33333333333331</v>
      </c>
    </row>
    <row r="507" spans="1:33" ht="17.25" thickTop="1" thickBot="1">
      <c r="A507" s="294">
        <v>4263</v>
      </c>
      <c r="B507" s="1728" t="s">
        <v>487</v>
      </c>
      <c r="C507" s="1724" t="s">
        <v>488</v>
      </c>
      <c r="D507" s="326"/>
      <c r="E507" s="294">
        <v>10</v>
      </c>
      <c r="F507" s="1844">
        <v>43241</v>
      </c>
      <c r="G507" s="1845">
        <f t="shared" si="123"/>
        <v>43250</v>
      </c>
      <c r="H507" s="294" t="s">
        <v>372</v>
      </c>
      <c r="I507" s="294" t="s">
        <v>179</v>
      </c>
      <c r="J507" s="307"/>
      <c r="K507" s="326" t="s">
        <v>486</v>
      </c>
      <c r="L507" s="1788">
        <v>23173</v>
      </c>
      <c r="M507" s="326"/>
      <c r="N507" s="294"/>
      <c r="O507" s="1846">
        <v>10</v>
      </c>
      <c r="P507" s="1855">
        <v>10</v>
      </c>
      <c r="Q507" s="1856">
        <f t="shared" si="125"/>
        <v>100</v>
      </c>
      <c r="R507" s="1848"/>
      <c r="S507" s="355"/>
      <c r="T507" s="355"/>
      <c r="U507" s="1848">
        <v>100</v>
      </c>
      <c r="V507" s="355"/>
      <c r="W507" s="355"/>
      <c r="X507" s="1137"/>
      <c r="Y507" s="1126"/>
      <c r="Z507" s="1126"/>
      <c r="AA507" s="1126"/>
      <c r="AB507" s="1126"/>
      <c r="AC507" s="1126"/>
      <c r="AD507" s="1126"/>
      <c r="AE507" s="1126"/>
      <c r="AF507" s="1126"/>
      <c r="AG507" s="1282">
        <f t="shared" si="126"/>
        <v>100</v>
      </c>
    </row>
    <row r="508" spans="1:33" ht="17.25" thickTop="1" thickBot="1">
      <c r="A508" s="294">
        <v>4264</v>
      </c>
      <c r="B508" s="1728" t="s">
        <v>458</v>
      </c>
      <c r="C508" s="1724" t="s">
        <v>489</v>
      </c>
      <c r="D508" s="326"/>
      <c r="E508" s="294">
        <v>2</v>
      </c>
      <c r="F508" s="1844">
        <v>43255</v>
      </c>
      <c r="G508" s="1845">
        <f t="shared" si="123"/>
        <v>43256</v>
      </c>
      <c r="H508" s="294" t="s">
        <v>490</v>
      </c>
      <c r="I508" s="294" t="s">
        <v>179</v>
      </c>
      <c r="J508" s="307"/>
      <c r="K508" s="326" t="s">
        <v>457</v>
      </c>
      <c r="L508" s="1788">
        <v>23174</v>
      </c>
      <c r="M508" s="326"/>
      <c r="N508" s="294"/>
      <c r="O508" s="1846">
        <v>0</v>
      </c>
      <c r="P508" s="1855"/>
      <c r="Q508" s="1856"/>
      <c r="R508" s="1848"/>
      <c r="S508" s="355"/>
      <c r="T508" s="355"/>
      <c r="U508" s="1848"/>
      <c r="V508" s="355"/>
      <c r="W508" s="355"/>
      <c r="X508" s="1137"/>
      <c r="Y508" s="1126"/>
      <c r="Z508" s="1126"/>
      <c r="AA508" s="1126"/>
      <c r="AB508" s="1126"/>
      <c r="AC508" s="1126"/>
      <c r="AD508" s="1126"/>
      <c r="AE508" s="1126"/>
      <c r="AF508" s="1126"/>
      <c r="AG508" s="1282">
        <f t="shared" si="126"/>
        <v>0</v>
      </c>
    </row>
    <row r="509" spans="1:33" ht="66" customHeight="1" thickTop="1">
      <c r="A509" s="294">
        <v>4265</v>
      </c>
      <c r="B509" s="1728" t="s">
        <v>491</v>
      </c>
      <c r="C509" s="1724" t="s">
        <v>492</v>
      </c>
      <c r="D509" s="326"/>
      <c r="E509" s="294">
        <v>5</v>
      </c>
      <c r="F509" s="1844">
        <v>43261</v>
      </c>
      <c r="G509" s="1845">
        <f t="shared" si="123"/>
        <v>43265</v>
      </c>
      <c r="H509" s="294" t="s">
        <v>493</v>
      </c>
      <c r="I509" s="294" t="s">
        <v>179</v>
      </c>
      <c r="J509" s="307"/>
      <c r="K509" s="326" t="s">
        <v>457</v>
      </c>
      <c r="L509" s="1788">
        <v>23174</v>
      </c>
      <c r="M509" s="326"/>
      <c r="N509" s="294"/>
      <c r="O509" s="1846">
        <v>750</v>
      </c>
      <c r="P509" s="1855">
        <v>10</v>
      </c>
      <c r="Q509" s="1856">
        <f>O509*P509</f>
        <v>7500</v>
      </c>
      <c r="R509" s="1848"/>
      <c r="S509" s="355"/>
      <c r="T509" s="355"/>
      <c r="U509" s="1848">
        <v>7500</v>
      </c>
      <c r="V509" s="355"/>
      <c r="W509" s="355"/>
      <c r="X509" s="1137"/>
      <c r="Y509" s="1126"/>
      <c r="Z509" s="1126"/>
      <c r="AA509" s="1126"/>
      <c r="AB509" s="1126"/>
      <c r="AC509" s="1126"/>
      <c r="AD509" s="1126"/>
      <c r="AE509" s="1126"/>
      <c r="AF509" s="1126"/>
      <c r="AG509" s="1282">
        <f t="shared" si="126"/>
        <v>7500</v>
      </c>
    </row>
    <row r="510" spans="1:33" ht="18.75" customHeight="1" thickBot="1">
      <c r="A510" s="1275">
        <v>427</v>
      </c>
      <c r="B510" s="1466" t="s">
        <v>494</v>
      </c>
      <c r="C510" s="1511"/>
      <c r="D510" s="1422"/>
      <c r="E510" s="1422"/>
      <c r="F510" s="1422"/>
      <c r="G510" s="1422"/>
      <c r="H510" s="1422"/>
      <c r="I510" s="1423"/>
      <c r="J510" s="283"/>
      <c r="K510" s="1278"/>
      <c r="L510" s="1279"/>
      <c r="M510" s="1280"/>
      <c r="N510" s="1277"/>
      <c r="O510" s="1281"/>
      <c r="P510" s="1277"/>
      <c r="Q510" s="1282">
        <f>SUM(Q511:Q512)</f>
        <v>10762.5</v>
      </c>
      <c r="R510" s="1281"/>
      <c r="S510" s="1395">
        <f t="shared" ref="S510:AF510" si="127">SUM(S511:S512)</f>
        <v>0</v>
      </c>
      <c r="T510" s="1395">
        <f t="shared" si="127"/>
        <v>0</v>
      </c>
      <c r="U510" s="1395">
        <f t="shared" si="127"/>
        <v>7500</v>
      </c>
      <c r="V510" s="1395">
        <f t="shared" si="127"/>
        <v>3262.5</v>
      </c>
      <c r="W510" s="1395">
        <f t="shared" si="127"/>
        <v>0</v>
      </c>
      <c r="X510" s="1395">
        <f t="shared" si="127"/>
        <v>0</v>
      </c>
      <c r="Y510" s="1395">
        <f t="shared" si="127"/>
        <v>0</v>
      </c>
      <c r="Z510" s="361">
        <f t="shared" si="127"/>
        <v>0</v>
      </c>
      <c r="AA510" s="361">
        <f t="shared" si="127"/>
        <v>0</v>
      </c>
      <c r="AB510" s="361">
        <f t="shared" si="127"/>
        <v>0</v>
      </c>
      <c r="AC510" s="361">
        <f t="shared" si="127"/>
        <v>0</v>
      </c>
      <c r="AD510" s="361">
        <f t="shared" si="127"/>
        <v>0</v>
      </c>
      <c r="AE510" s="361">
        <f t="shared" si="127"/>
        <v>0</v>
      </c>
      <c r="AF510" s="361">
        <f t="shared" si="127"/>
        <v>0</v>
      </c>
      <c r="AG510" s="1282">
        <f>SUM(S510:AF510)</f>
        <v>10762.5</v>
      </c>
    </row>
    <row r="511" spans="1:33" ht="48.75" thickTop="1" thickBot="1">
      <c r="A511" s="294">
        <v>4271</v>
      </c>
      <c r="B511" s="291" t="s">
        <v>495</v>
      </c>
      <c r="C511" s="824" t="s">
        <v>496</v>
      </c>
      <c r="D511" s="326"/>
      <c r="E511" s="294">
        <v>50</v>
      </c>
      <c r="F511" s="1844">
        <v>43186</v>
      </c>
      <c r="G511" s="1845">
        <f>+F511+E511-1</f>
        <v>43235</v>
      </c>
      <c r="H511" s="293"/>
      <c r="I511" s="294" t="s">
        <v>169</v>
      </c>
      <c r="J511" s="307" t="s">
        <v>179</v>
      </c>
      <c r="K511" s="326" t="s">
        <v>365</v>
      </c>
      <c r="L511" s="1788">
        <v>2313</v>
      </c>
      <c r="M511" s="326"/>
      <c r="N511" s="294"/>
      <c r="O511" s="1846">
        <v>217.5</v>
      </c>
      <c r="P511" s="1848">
        <v>15</v>
      </c>
      <c r="Q511" s="1846">
        <f>O511*P511</f>
        <v>3262.5</v>
      </c>
      <c r="R511" s="1848"/>
      <c r="S511" s="355"/>
      <c r="T511" s="355"/>
      <c r="U511" s="355"/>
      <c r="V511" s="299">
        <v>3262.5</v>
      </c>
      <c r="W511" s="355"/>
      <c r="X511" s="1137"/>
      <c r="Y511" s="1126"/>
      <c r="Z511" s="1126"/>
      <c r="AA511" s="1126"/>
      <c r="AB511" s="1126"/>
      <c r="AC511" s="1126"/>
      <c r="AD511" s="1126"/>
      <c r="AE511" s="1126"/>
      <c r="AF511" s="1126"/>
      <c r="AG511" s="1282">
        <f>SUM(S511:AF511)</f>
        <v>3262.5</v>
      </c>
    </row>
    <row r="512" spans="1:33" ht="32.25" thickTop="1">
      <c r="A512" s="294">
        <v>4272</v>
      </c>
      <c r="B512" s="291" t="s">
        <v>497</v>
      </c>
      <c r="C512" s="824"/>
      <c r="D512" s="326"/>
      <c r="E512" s="294">
        <v>3</v>
      </c>
      <c r="F512" s="1844">
        <v>43240</v>
      </c>
      <c r="G512" s="1845">
        <f>+F512+E512-1</f>
        <v>43242</v>
      </c>
      <c r="H512" s="294" t="s">
        <v>493</v>
      </c>
      <c r="I512" s="294" t="s">
        <v>179</v>
      </c>
      <c r="K512" s="326" t="s">
        <v>457</v>
      </c>
      <c r="L512" s="1788">
        <v>23174</v>
      </c>
      <c r="M512" s="326"/>
      <c r="N512" s="294"/>
      <c r="O512" s="1846">
        <v>750</v>
      </c>
      <c r="P512" s="1848">
        <v>10</v>
      </c>
      <c r="Q512" s="1846">
        <f>O512*P512</f>
        <v>7500</v>
      </c>
      <c r="R512" s="1848"/>
      <c r="S512" s="355"/>
      <c r="T512" s="355"/>
      <c r="U512" s="299">
        <v>7500</v>
      </c>
      <c r="V512" s="355"/>
      <c r="W512" s="355"/>
      <c r="X512" s="1137"/>
      <c r="Y512" s="1126"/>
      <c r="Z512" s="1126"/>
      <c r="AA512" s="1126"/>
      <c r="AB512" s="1126"/>
      <c r="AC512" s="1126"/>
      <c r="AD512" s="1126"/>
      <c r="AE512" s="1126"/>
      <c r="AF512" s="1126"/>
      <c r="AG512" s="1282">
        <f>SUM(S512:AF512)</f>
        <v>7500</v>
      </c>
    </row>
    <row r="513" spans="1:33" ht="31.5">
      <c r="A513" s="1275">
        <v>428</v>
      </c>
      <c r="B513" s="1128" t="s">
        <v>498</v>
      </c>
      <c r="C513" s="1130"/>
      <c r="D513" s="1430"/>
      <c r="E513" s="1430"/>
      <c r="F513" s="1430"/>
      <c r="G513" s="1430"/>
      <c r="H513" s="1430"/>
      <c r="I513" s="1430"/>
      <c r="J513" s="283"/>
      <c r="K513" s="1278"/>
      <c r="L513" s="1279"/>
      <c r="M513" s="1280"/>
      <c r="N513" s="1277"/>
      <c r="O513" s="1281"/>
      <c r="P513" s="1277"/>
      <c r="Q513" s="1282">
        <f>SUM(Q514:Q519)</f>
        <v>97473.5</v>
      </c>
      <c r="R513" s="1281"/>
      <c r="S513" s="1395">
        <f t="shared" ref="S513:AF513" si="128">SUM(S514:S519)</f>
        <v>0</v>
      </c>
      <c r="T513" s="1395">
        <f t="shared" si="128"/>
        <v>0</v>
      </c>
      <c r="U513" s="1395">
        <f t="shared" si="128"/>
        <v>56550</v>
      </c>
      <c r="V513" s="1395">
        <f t="shared" si="128"/>
        <v>40923.5</v>
      </c>
      <c r="W513" s="1395">
        <f t="shared" si="128"/>
        <v>0</v>
      </c>
      <c r="X513" s="1395">
        <f t="shared" si="128"/>
        <v>0</v>
      </c>
      <c r="Y513" s="1395">
        <f t="shared" si="128"/>
        <v>0</v>
      </c>
      <c r="Z513" s="361">
        <f t="shared" si="128"/>
        <v>0</v>
      </c>
      <c r="AA513" s="361">
        <f t="shared" si="128"/>
        <v>0</v>
      </c>
      <c r="AB513" s="361">
        <f t="shared" si="128"/>
        <v>0</v>
      </c>
      <c r="AC513" s="361">
        <f t="shared" si="128"/>
        <v>0</v>
      </c>
      <c r="AD513" s="361">
        <f t="shared" si="128"/>
        <v>0</v>
      </c>
      <c r="AE513" s="361">
        <f t="shared" si="128"/>
        <v>0</v>
      </c>
      <c r="AF513" s="361">
        <f t="shared" si="128"/>
        <v>0</v>
      </c>
      <c r="AG513" s="1282">
        <f>SUM(S513:AF513)</f>
        <v>97473.5</v>
      </c>
    </row>
    <row r="514" spans="1:33" ht="16.5" thickBot="1">
      <c r="A514" s="294">
        <v>4281</v>
      </c>
      <c r="B514" s="1897" t="s">
        <v>499</v>
      </c>
      <c r="C514" s="1898" t="s">
        <v>500</v>
      </c>
      <c r="D514" s="1585"/>
      <c r="E514" s="1393">
        <v>50</v>
      </c>
      <c r="F514" s="1899">
        <v>43186</v>
      </c>
      <c r="G514" s="1845">
        <f t="shared" ref="G514:G519" si="129">+F514+E514-1</f>
        <v>43235</v>
      </c>
      <c r="H514" s="1900" t="s">
        <v>501</v>
      </c>
      <c r="I514" s="1393" t="s">
        <v>169</v>
      </c>
      <c r="J514" s="307" t="s">
        <v>179</v>
      </c>
      <c r="K514" s="326" t="s">
        <v>502</v>
      </c>
      <c r="L514" s="1788">
        <v>2313</v>
      </c>
      <c r="M514" s="326"/>
      <c r="N514" s="1848"/>
      <c r="O514" s="1846">
        <v>907.67376190476193</v>
      </c>
      <c r="P514" s="1848">
        <v>14</v>
      </c>
      <c r="Q514" s="1846">
        <f>+O514*P514</f>
        <v>12707.432666666668</v>
      </c>
      <c r="R514" s="1848"/>
      <c r="S514" s="1848"/>
      <c r="T514" s="355"/>
      <c r="U514" s="1848"/>
      <c r="V514" s="1848">
        <v>12707.432666666668</v>
      </c>
      <c r="W514" s="355"/>
      <c r="X514" s="1137"/>
      <c r="Y514" s="1126"/>
      <c r="Z514" s="1124"/>
      <c r="AA514" s="1124"/>
      <c r="AB514" s="1124"/>
      <c r="AC514" s="1124"/>
      <c r="AD514" s="1124"/>
      <c r="AE514" s="1124"/>
      <c r="AF514" s="1124"/>
      <c r="AG514" s="1282">
        <f t="shared" ref="AG514:AG519" si="130">SUM(S514:AF514)</f>
        <v>12707.432666666668</v>
      </c>
    </row>
    <row r="515" spans="1:33" ht="17.25" thickTop="1" thickBot="1">
      <c r="A515" s="294">
        <v>4282</v>
      </c>
      <c r="B515" s="1896" t="s">
        <v>503</v>
      </c>
      <c r="C515" s="1857" t="s">
        <v>504</v>
      </c>
      <c r="D515" s="326"/>
      <c r="E515" s="294">
        <v>50</v>
      </c>
      <c r="F515" s="1844">
        <v>43186</v>
      </c>
      <c r="G515" s="1845">
        <f t="shared" si="129"/>
        <v>43235</v>
      </c>
      <c r="H515" s="293" t="s">
        <v>501</v>
      </c>
      <c r="I515" s="294" t="s">
        <v>169</v>
      </c>
      <c r="J515" s="307" t="s">
        <v>179</v>
      </c>
      <c r="K515" s="326" t="s">
        <v>502</v>
      </c>
      <c r="L515" s="1788">
        <v>2313</v>
      </c>
      <c r="M515" s="326"/>
      <c r="N515" s="294"/>
      <c r="O515" s="1846">
        <v>208.73557142857143</v>
      </c>
      <c r="P515" s="1848">
        <f>14*3</f>
        <v>42</v>
      </c>
      <c r="Q515" s="1846">
        <f>+O515*P515</f>
        <v>8766.8940000000002</v>
      </c>
      <c r="R515" s="1848"/>
      <c r="S515" s="1848"/>
      <c r="T515" s="355"/>
      <c r="U515" s="1848"/>
      <c r="V515" s="1848">
        <v>8766.8940000000002</v>
      </c>
      <c r="W515" s="355"/>
      <c r="X515" s="1137"/>
      <c r="Y515" s="1126"/>
      <c r="Z515" s="1124"/>
      <c r="AA515" s="1124"/>
      <c r="AB515" s="1124"/>
      <c r="AC515" s="1124"/>
      <c r="AD515" s="1124"/>
      <c r="AE515" s="1124"/>
      <c r="AF515" s="1124"/>
      <c r="AG515" s="1282">
        <f t="shared" si="130"/>
        <v>8766.8940000000002</v>
      </c>
    </row>
    <row r="516" spans="1:33" ht="33" thickTop="1" thickBot="1">
      <c r="A516" s="294">
        <v>4283</v>
      </c>
      <c r="B516" s="1896" t="s">
        <v>505</v>
      </c>
      <c r="C516" s="1857" t="s">
        <v>506</v>
      </c>
      <c r="D516" s="326"/>
      <c r="E516" s="887">
        <v>15</v>
      </c>
      <c r="F516" s="1844">
        <v>43255</v>
      </c>
      <c r="G516" s="1845">
        <f t="shared" si="129"/>
        <v>43269</v>
      </c>
      <c r="H516" s="293" t="s">
        <v>501</v>
      </c>
      <c r="I516" s="294" t="s">
        <v>179</v>
      </c>
      <c r="J516" s="307" t="s">
        <v>507</v>
      </c>
      <c r="K516" s="326" t="s">
        <v>457</v>
      </c>
      <c r="L516" s="1788">
        <v>23174</v>
      </c>
      <c r="M516" s="326"/>
      <c r="N516" s="294"/>
      <c r="O516" s="1846">
        <v>17989.099333333332</v>
      </c>
      <c r="P516" s="1848">
        <v>1</v>
      </c>
      <c r="Q516" s="1846">
        <f>O516*P516</f>
        <v>17989.099333333332</v>
      </c>
      <c r="R516" s="1848"/>
      <c r="S516" s="1855"/>
      <c r="T516" s="355"/>
      <c r="U516" s="1848"/>
      <c r="V516" s="1848">
        <v>17989.099333333332</v>
      </c>
      <c r="W516" s="355"/>
      <c r="X516" s="1137"/>
      <c r="Y516" s="1126"/>
      <c r="Z516" s="1124"/>
      <c r="AA516" s="1124"/>
      <c r="AB516" s="1124"/>
      <c r="AC516" s="1124"/>
      <c r="AD516" s="1124"/>
      <c r="AE516" s="1124"/>
      <c r="AF516" s="1124"/>
      <c r="AG516" s="1282">
        <f t="shared" si="130"/>
        <v>17989.099333333332</v>
      </c>
    </row>
    <row r="517" spans="1:33" ht="33" thickTop="1" thickBot="1">
      <c r="A517" s="294">
        <v>4283</v>
      </c>
      <c r="B517" s="1896" t="s">
        <v>505</v>
      </c>
      <c r="C517" s="1857" t="s">
        <v>506</v>
      </c>
      <c r="D517" s="326"/>
      <c r="E517" s="887">
        <v>15</v>
      </c>
      <c r="F517" s="1844">
        <v>43255</v>
      </c>
      <c r="G517" s="1845">
        <f t="shared" si="129"/>
        <v>43269</v>
      </c>
      <c r="H517" s="293" t="s">
        <v>501</v>
      </c>
      <c r="I517" s="294" t="s">
        <v>179</v>
      </c>
      <c r="J517" s="307" t="s">
        <v>507</v>
      </c>
      <c r="K517" s="326" t="s">
        <v>320</v>
      </c>
      <c r="L517" s="1788">
        <v>23173</v>
      </c>
      <c r="M517" s="326"/>
      <c r="N517" s="294"/>
      <c r="O517" s="1846">
        <v>1060.0740000000001</v>
      </c>
      <c r="P517" s="1848">
        <v>1</v>
      </c>
      <c r="Q517" s="1846">
        <f>O517*P517</f>
        <v>1060.0740000000001</v>
      </c>
      <c r="R517" s="1848"/>
      <c r="S517" s="1858"/>
      <c r="T517" s="355"/>
      <c r="U517" s="1848"/>
      <c r="V517" s="1848">
        <v>1060.0740000000001</v>
      </c>
      <c r="W517" s="355"/>
      <c r="X517" s="1137"/>
      <c r="Y517" s="1126"/>
      <c r="Z517" s="1124"/>
      <c r="AA517" s="1124"/>
      <c r="AB517" s="1124"/>
      <c r="AC517" s="1124"/>
      <c r="AD517" s="1124"/>
      <c r="AE517" s="1124"/>
      <c r="AF517" s="1124"/>
      <c r="AG517" s="1282">
        <f t="shared" si="130"/>
        <v>1060.0740000000001</v>
      </c>
    </row>
    <row r="518" spans="1:33" ht="33" thickTop="1" thickBot="1">
      <c r="A518" s="294">
        <v>4283</v>
      </c>
      <c r="B518" s="1896" t="s">
        <v>505</v>
      </c>
      <c r="C518" s="1857" t="s">
        <v>506</v>
      </c>
      <c r="D518" s="326"/>
      <c r="E518" s="887">
        <v>15</v>
      </c>
      <c r="F518" s="1844">
        <v>43255</v>
      </c>
      <c r="G518" s="1845">
        <f t="shared" si="129"/>
        <v>43269</v>
      </c>
      <c r="H518" s="293" t="s">
        <v>501</v>
      </c>
      <c r="I518" s="294" t="s">
        <v>179</v>
      </c>
      <c r="J518" s="307" t="s">
        <v>507</v>
      </c>
      <c r="K518" s="326" t="s">
        <v>486</v>
      </c>
      <c r="L518" s="1788">
        <v>23173</v>
      </c>
      <c r="M518" s="326"/>
      <c r="N518" s="294"/>
      <c r="O518" s="1846">
        <v>33.333333333333336</v>
      </c>
      <c r="P518" s="1848">
        <v>12</v>
      </c>
      <c r="Q518" s="1846">
        <f>O518*P518</f>
        <v>400</v>
      </c>
      <c r="R518" s="1848"/>
      <c r="S518" s="1859"/>
      <c r="T518" s="355"/>
      <c r="U518" s="1848"/>
      <c r="V518" s="1848">
        <v>400</v>
      </c>
      <c r="W518" s="355"/>
      <c r="X518" s="1137"/>
      <c r="Y518" s="1126"/>
      <c r="Z518" s="1124"/>
      <c r="AA518" s="1124"/>
      <c r="AB518" s="1124"/>
      <c r="AC518" s="1124"/>
      <c r="AD518" s="1124"/>
      <c r="AE518" s="1124"/>
      <c r="AF518" s="1124"/>
      <c r="AG518" s="1282">
        <f t="shared" si="130"/>
        <v>400</v>
      </c>
    </row>
    <row r="519" spans="1:33" ht="16.5" thickTop="1">
      <c r="A519" s="294">
        <v>4284</v>
      </c>
      <c r="B519" s="1728" t="s">
        <v>508</v>
      </c>
      <c r="C519" s="1724" t="s">
        <v>509</v>
      </c>
      <c r="D519" s="326"/>
      <c r="E519" s="294">
        <v>50</v>
      </c>
      <c r="F519" s="1844">
        <v>43186</v>
      </c>
      <c r="G519" s="1845">
        <f t="shared" si="129"/>
        <v>43235</v>
      </c>
      <c r="H519" s="293" t="s">
        <v>179</v>
      </c>
      <c r="I519" s="294" t="s">
        <v>169</v>
      </c>
      <c r="J519" s="307"/>
      <c r="K519" s="326" t="s">
        <v>510</v>
      </c>
      <c r="L519" s="1788">
        <v>2472</v>
      </c>
      <c r="M519" s="326"/>
      <c r="N519" s="294"/>
      <c r="O519" s="1846">
        <v>28275</v>
      </c>
      <c r="P519" s="1848">
        <v>2</v>
      </c>
      <c r="Q519" s="1846">
        <f>O519*P519</f>
        <v>56550</v>
      </c>
      <c r="R519" s="1848"/>
      <c r="S519" s="355"/>
      <c r="T519" s="355"/>
      <c r="U519" s="1848">
        <v>56550</v>
      </c>
      <c r="V519" s="1848"/>
      <c r="W519" s="355"/>
      <c r="X519" s="1137"/>
      <c r="Y519" s="1126"/>
      <c r="Z519" s="1124"/>
      <c r="AA519" s="1124"/>
      <c r="AB519" s="1124"/>
      <c r="AC519" s="1124"/>
      <c r="AD519" s="1124"/>
      <c r="AE519" s="1124"/>
      <c r="AF519" s="1124"/>
      <c r="AG519" s="1282">
        <f t="shared" si="130"/>
        <v>56550</v>
      </c>
    </row>
    <row r="520" spans="1:33" ht="18.75" customHeight="1">
      <c r="A520" s="1248" t="s">
        <v>278</v>
      </c>
      <c r="B520" s="274"/>
      <c r="C520" s="278"/>
      <c r="D520" s="1270"/>
      <c r="E520" s="1270"/>
      <c r="F520" s="1270"/>
      <c r="G520" s="1270"/>
      <c r="H520" s="1270"/>
      <c r="I520" s="1270"/>
      <c r="J520" s="273"/>
      <c r="K520" s="1248"/>
      <c r="L520" s="1269"/>
      <c r="M520" s="1270"/>
      <c r="N520" s="1268"/>
      <c r="O520" s="1271"/>
      <c r="P520" s="1268"/>
      <c r="Q520" s="1272">
        <f>Q521+Q524</f>
        <v>108838</v>
      </c>
      <c r="R520" s="1273">
        <f>+'[7]Compil Costing PPA 3 millions'!F17</f>
        <v>108845.33</v>
      </c>
      <c r="S520" s="1272">
        <f t="shared" ref="S520:AG520" si="131">S521+S524</f>
        <v>0</v>
      </c>
      <c r="T520" s="1272">
        <f t="shared" si="131"/>
        <v>9674</v>
      </c>
      <c r="U520" s="1272">
        <f t="shared" si="131"/>
        <v>2250</v>
      </c>
      <c r="V520" s="1272">
        <f t="shared" si="131"/>
        <v>71084</v>
      </c>
      <c r="W520" s="1272">
        <f t="shared" si="131"/>
        <v>25830</v>
      </c>
      <c r="X520" s="1272">
        <f t="shared" si="131"/>
        <v>0</v>
      </c>
      <c r="Y520" s="1272">
        <f t="shared" si="131"/>
        <v>0</v>
      </c>
      <c r="Z520" s="276">
        <f t="shared" si="131"/>
        <v>0</v>
      </c>
      <c r="AA520" s="276">
        <f t="shared" si="131"/>
        <v>0</v>
      </c>
      <c r="AB520" s="276">
        <f t="shared" si="131"/>
        <v>0</v>
      </c>
      <c r="AC520" s="276">
        <f t="shared" si="131"/>
        <v>0</v>
      </c>
      <c r="AD520" s="276">
        <f t="shared" si="131"/>
        <v>0</v>
      </c>
      <c r="AE520" s="276">
        <f t="shared" si="131"/>
        <v>0</v>
      </c>
      <c r="AF520" s="276">
        <f t="shared" si="131"/>
        <v>0</v>
      </c>
      <c r="AG520" s="1272">
        <f t="shared" si="131"/>
        <v>108838</v>
      </c>
    </row>
    <row r="521" spans="1:33">
      <c r="A521" s="1275">
        <v>431</v>
      </c>
      <c r="B521" s="359" t="s">
        <v>369</v>
      </c>
      <c r="C521" s="1021"/>
      <c r="D521" s="1280"/>
      <c r="E521" s="1280"/>
      <c r="F521" s="1280"/>
      <c r="G521" s="1280"/>
      <c r="H521" s="1280"/>
      <c r="I521" s="1280"/>
      <c r="J521" s="283"/>
      <c r="K521" s="1278"/>
      <c r="L521" s="1279"/>
      <c r="M521" s="1280"/>
      <c r="N521" s="1277"/>
      <c r="O521" s="1281"/>
      <c r="P521" s="1277"/>
      <c r="Q521" s="1282">
        <f>SUM(Q522:Q523)</f>
        <v>9674</v>
      </c>
      <c r="R521" s="287"/>
      <c r="S521" s="1395">
        <f t="shared" ref="S521:AF521" si="132">SUM(S522:S523)</f>
        <v>0</v>
      </c>
      <c r="T521" s="1395">
        <f t="shared" si="132"/>
        <v>9674</v>
      </c>
      <c r="U521" s="1395">
        <f t="shared" si="132"/>
        <v>0</v>
      </c>
      <c r="V521" s="1395">
        <f t="shared" si="132"/>
        <v>0</v>
      </c>
      <c r="W521" s="1395">
        <f t="shared" si="132"/>
        <v>0</v>
      </c>
      <c r="X521" s="1395">
        <f t="shared" si="132"/>
        <v>0</v>
      </c>
      <c r="Y521" s="1395">
        <f t="shared" si="132"/>
        <v>0</v>
      </c>
      <c r="Z521" s="361">
        <f t="shared" si="132"/>
        <v>0</v>
      </c>
      <c r="AA521" s="361">
        <f t="shared" si="132"/>
        <v>0</v>
      </c>
      <c r="AB521" s="361">
        <f t="shared" si="132"/>
        <v>0</v>
      </c>
      <c r="AC521" s="361">
        <f t="shared" si="132"/>
        <v>0</v>
      </c>
      <c r="AD521" s="361">
        <f t="shared" si="132"/>
        <v>0</v>
      </c>
      <c r="AE521" s="361">
        <f t="shared" si="132"/>
        <v>0</v>
      </c>
      <c r="AF521" s="361">
        <f t="shared" si="132"/>
        <v>0</v>
      </c>
      <c r="AG521" s="1282">
        <f>SUM(S521:AF521)</f>
        <v>9674</v>
      </c>
    </row>
    <row r="522" spans="1:33" ht="63">
      <c r="A522" s="294">
        <v>4311</v>
      </c>
      <c r="B522" s="820" t="s">
        <v>370</v>
      </c>
      <c r="C522" s="824" t="s">
        <v>371</v>
      </c>
      <c r="D522" s="326"/>
      <c r="E522" s="294">
        <f>3+30</f>
        <v>33</v>
      </c>
      <c r="F522" s="293">
        <f>G522-E522</f>
        <v>43184</v>
      </c>
      <c r="G522" s="293">
        <v>43217</v>
      </c>
      <c r="H522" s="293" t="s">
        <v>372</v>
      </c>
      <c r="I522" s="294" t="s">
        <v>169</v>
      </c>
      <c r="J522" s="307" t="s">
        <v>373</v>
      </c>
      <c r="K522" s="326" t="s">
        <v>374</v>
      </c>
      <c r="L522" s="1237">
        <v>23173</v>
      </c>
      <c r="M522" s="326"/>
      <c r="N522" s="294"/>
      <c r="O522" s="354">
        <v>214</v>
      </c>
      <c r="P522" s="294">
        <v>1</v>
      </c>
      <c r="Q522" s="355">
        <f>O522*P522</f>
        <v>214</v>
      </c>
      <c r="R522" s="299"/>
      <c r="S522" s="355"/>
      <c r="T522" s="299">
        <v>214</v>
      </c>
      <c r="U522" s="355"/>
      <c r="V522" s="355"/>
      <c r="W522" s="355"/>
      <c r="X522" s="1137"/>
      <c r="Y522" s="1126"/>
      <c r="Z522" s="1199"/>
      <c r="AA522" s="1124"/>
      <c r="AB522" s="1124"/>
      <c r="AC522" s="1124"/>
      <c r="AD522" s="1124"/>
      <c r="AE522" s="1124"/>
      <c r="AF522" s="1124"/>
      <c r="AG522" s="1282">
        <f>SUM(S522:AF522)</f>
        <v>214</v>
      </c>
    </row>
    <row r="523" spans="1:33" ht="63">
      <c r="A523" s="294">
        <v>4311</v>
      </c>
      <c r="B523" s="820" t="s">
        <v>370</v>
      </c>
      <c r="C523" s="824" t="s">
        <v>371</v>
      </c>
      <c r="D523" s="326"/>
      <c r="E523" s="294">
        <v>3</v>
      </c>
      <c r="F523" s="293">
        <f>G523-E523</f>
        <v>43214</v>
      </c>
      <c r="G523" s="293">
        <v>43217</v>
      </c>
      <c r="H523" s="293" t="s">
        <v>372</v>
      </c>
      <c r="I523" s="294" t="s">
        <v>180</v>
      </c>
      <c r="J523" s="307" t="s">
        <v>373</v>
      </c>
      <c r="K523" s="326" t="s">
        <v>375</v>
      </c>
      <c r="L523" s="1237">
        <v>23174</v>
      </c>
      <c r="M523" s="326"/>
      <c r="N523" s="294"/>
      <c r="O523" s="354">
        <v>215</v>
      </c>
      <c r="P523" s="294">
        <v>44</v>
      </c>
      <c r="Q523" s="355">
        <f>O523*P523</f>
        <v>9460</v>
      </c>
      <c r="R523" s="299"/>
      <c r="S523" s="355"/>
      <c r="T523" s="299">
        <v>9460</v>
      </c>
      <c r="U523" s="355"/>
      <c r="V523" s="355"/>
      <c r="W523" s="355"/>
      <c r="X523" s="1137"/>
      <c r="Y523" s="1126"/>
      <c r="Z523" s="1199"/>
      <c r="AA523" s="1124"/>
      <c r="AB523" s="1124"/>
      <c r="AC523" s="1124"/>
      <c r="AD523" s="1124"/>
      <c r="AE523" s="1124"/>
      <c r="AF523" s="1124"/>
      <c r="AG523" s="1282">
        <f>SUM(S523:AF523)</f>
        <v>9460</v>
      </c>
    </row>
    <row r="524" spans="1:33">
      <c r="A524" s="1275">
        <v>432</v>
      </c>
      <c r="B524" s="359" t="s">
        <v>376</v>
      </c>
      <c r="C524" s="1021"/>
      <c r="D524" s="1280"/>
      <c r="E524" s="1280"/>
      <c r="F524" s="1280"/>
      <c r="G524" s="1280"/>
      <c r="H524" s="1280"/>
      <c r="I524" s="1280"/>
      <c r="J524" s="283"/>
      <c r="K524" s="1278"/>
      <c r="L524" s="1279"/>
      <c r="M524" s="1280"/>
      <c r="N524" s="1277"/>
      <c r="O524" s="1281"/>
      <c r="P524" s="1277"/>
      <c r="Q524" s="1282">
        <f>SUM(Q525:Q534)</f>
        <v>99164</v>
      </c>
      <c r="R524" s="287"/>
      <c r="S524" s="1395">
        <f t="shared" ref="S524:AF524" si="133">SUM(S525:S534)</f>
        <v>0</v>
      </c>
      <c r="T524" s="1395">
        <f t="shared" si="133"/>
        <v>0</v>
      </c>
      <c r="U524" s="1395">
        <f t="shared" si="133"/>
        <v>2250</v>
      </c>
      <c r="V524" s="1395">
        <f t="shared" si="133"/>
        <v>71084</v>
      </c>
      <c r="W524" s="1395">
        <f t="shared" si="133"/>
        <v>25830</v>
      </c>
      <c r="X524" s="1395">
        <f t="shared" si="133"/>
        <v>0</v>
      </c>
      <c r="Y524" s="1395">
        <f t="shared" si="133"/>
        <v>0</v>
      </c>
      <c r="Z524" s="361">
        <f t="shared" si="133"/>
        <v>0</v>
      </c>
      <c r="AA524" s="361">
        <f t="shared" si="133"/>
        <v>0</v>
      </c>
      <c r="AB524" s="361">
        <f t="shared" si="133"/>
        <v>0</v>
      </c>
      <c r="AC524" s="361">
        <f t="shared" si="133"/>
        <v>0</v>
      </c>
      <c r="AD524" s="361">
        <f t="shared" si="133"/>
        <v>0</v>
      </c>
      <c r="AE524" s="361">
        <f t="shared" si="133"/>
        <v>0</v>
      </c>
      <c r="AF524" s="361">
        <f t="shared" si="133"/>
        <v>0</v>
      </c>
      <c r="AG524" s="1282">
        <f>SUM(S524:AF524)</f>
        <v>99164</v>
      </c>
    </row>
    <row r="525" spans="1:33" ht="31.5">
      <c r="A525" s="294">
        <v>4321</v>
      </c>
      <c r="B525" s="820" t="s">
        <v>377</v>
      </c>
      <c r="C525" s="1093" t="s">
        <v>1014</v>
      </c>
      <c r="D525" s="326"/>
      <c r="E525" s="294">
        <f>60+15</f>
        <v>75</v>
      </c>
      <c r="F525" s="293">
        <f t="shared" ref="F525:F534" si="134">G525-E525</f>
        <v>43188</v>
      </c>
      <c r="G525" s="293">
        <v>43263</v>
      </c>
      <c r="H525" s="293"/>
      <c r="I525" s="294" t="s">
        <v>169</v>
      </c>
      <c r="J525" s="307" t="s">
        <v>180</v>
      </c>
      <c r="K525" s="326" t="s">
        <v>365</v>
      </c>
      <c r="L525" s="1237">
        <v>2313</v>
      </c>
      <c r="M525" s="326"/>
      <c r="N525" s="294"/>
      <c r="O525" s="354">
        <v>11250</v>
      </c>
      <c r="P525" s="294">
        <v>1</v>
      </c>
      <c r="Q525" s="355">
        <f t="shared" ref="Q525:Q534" si="135">O525*P525</f>
        <v>11250</v>
      </c>
      <c r="R525" s="299"/>
      <c r="S525" s="299"/>
      <c r="T525" s="299"/>
      <c r="U525" s="299">
        <v>2250</v>
      </c>
      <c r="V525" s="299">
        <v>4500</v>
      </c>
      <c r="W525" s="299">
        <v>4500</v>
      </c>
      <c r="X525" s="1142"/>
      <c r="Y525" s="1127"/>
      <c r="Z525" s="1199"/>
      <c r="AA525" s="1124"/>
      <c r="AB525" s="1124"/>
      <c r="AC525" s="1124"/>
      <c r="AD525" s="1124"/>
      <c r="AE525" s="1124"/>
      <c r="AF525" s="1124"/>
      <c r="AG525" s="1282">
        <f t="shared" ref="AG525:AG534" si="136">SUM(S525:AF525)</f>
        <v>11250</v>
      </c>
    </row>
    <row r="526" spans="1:33" ht="31.5">
      <c r="A526" s="294">
        <v>4322</v>
      </c>
      <c r="B526" s="820" t="s">
        <v>379</v>
      </c>
      <c r="C526" s="1093" t="s">
        <v>1015</v>
      </c>
      <c r="D526" s="326"/>
      <c r="E526" s="294">
        <v>20</v>
      </c>
      <c r="F526" s="293">
        <f t="shared" si="134"/>
        <v>43266</v>
      </c>
      <c r="G526" s="293">
        <v>43286</v>
      </c>
      <c r="H526" s="293" t="s">
        <v>372</v>
      </c>
      <c r="I526" s="294" t="s">
        <v>169</v>
      </c>
      <c r="J526" s="307" t="s">
        <v>180</v>
      </c>
      <c r="K526" s="326" t="s">
        <v>365</v>
      </c>
      <c r="L526" s="1237">
        <v>2313</v>
      </c>
      <c r="M526" s="326"/>
      <c r="N526" s="294"/>
      <c r="O526" s="354">
        <v>94</v>
      </c>
      <c r="P526" s="294">
        <v>60</v>
      </c>
      <c r="Q526" s="355">
        <f t="shared" si="135"/>
        <v>5640</v>
      </c>
      <c r="R526" s="299"/>
      <c r="S526" s="299"/>
      <c r="T526" s="299"/>
      <c r="U526" s="299"/>
      <c r="V526" s="299">
        <v>5640</v>
      </c>
      <c r="W526" s="299"/>
      <c r="X526" s="1142"/>
      <c r="Y526" s="1127"/>
      <c r="Z526" s="1199"/>
      <c r="AA526" s="1124"/>
      <c r="AB526" s="1124"/>
      <c r="AC526" s="1124"/>
      <c r="AD526" s="1124"/>
      <c r="AE526" s="1124"/>
      <c r="AF526" s="1124"/>
      <c r="AG526" s="1282">
        <f t="shared" si="136"/>
        <v>5640</v>
      </c>
    </row>
    <row r="527" spans="1:33">
      <c r="A527" s="294">
        <v>4323</v>
      </c>
      <c r="B527" s="820" t="s">
        <v>1007</v>
      </c>
      <c r="C527" s="1093" t="s">
        <v>382</v>
      </c>
      <c r="D527" s="326"/>
      <c r="E527" s="294">
        <v>3</v>
      </c>
      <c r="F527" s="293">
        <f t="shared" si="134"/>
        <v>43293</v>
      </c>
      <c r="G527" s="293">
        <v>43296</v>
      </c>
      <c r="H527" s="293" t="s">
        <v>372</v>
      </c>
      <c r="I527" s="294" t="s">
        <v>180</v>
      </c>
      <c r="J527" s="307"/>
      <c r="K527" s="326" t="s">
        <v>383</v>
      </c>
      <c r="L527" s="1237">
        <v>23174</v>
      </c>
      <c r="M527" s="326"/>
      <c r="N527" s="294"/>
      <c r="O527" s="354">
        <v>142</v>
      </c>
      <c r="P527" s="294">
        <v>144</v>
      </c>
      <c r="Q527" s="355">
        <f t="shared" si="135"/>
        <v>20448</v>
      </c>
      <c r="R527" s="299"/>
      <c r="S527" s="299"/>
      <c r="T527" s="299"/>
      <c r="U527" s="299"/>
      <c r="V527" s="299"/>
      <c r="W527" s="299">
        <v>20448</v>
      </c>
      <c r="X527" s="1142"/>
      <c r="Y527" s="1127"/>
      <c r="Z527" s="1199"/>
      <c r="AA527" s="1124"/>
      <c r="AB527" s="1124"/>
      <c r="AC527" s="1124"/>
      <c r="AD527" s="1124"/>
      <c r="AE527" s="1124"/>
      <c r="AF527" s="1124"/>
      <c r="AG527" s="1282">
        <f t="shared" si="136"/>
        <v>20448</v>
      </c>
    </row>
    <row r="528" spans="1:33">
      <c r="A528" s="294">
        <v>4323</v>
      </c>
      <c r="B528" s="820" t="s">
        <v>1007</v>
      </c>
      <c r="C528" s="1093" t="s">
        <v>382</v>
      </c>
      <c r="D528" s="326"/>
      <c r="E528" s="294">
        <f>3+30</f>
        <v>33</v>
      </c>
      <c r="F528" s="293">
        <f t="shared" si="134"/>
        <v>43263</v>
      </c>
      <c r="G528" s="293">
        <v>43296</v>
      </c>
      <c r="H528" s="293" t="s">
        <v>372</v>
      </c>
      <c r="I528" s="294" t="s">
        <v>169</v>
      </c>
      <c r="J528" s="307"/>
      <c r="K528" s="326" t="s">
        <v>384</v>
      </c>
      <c r="L528" s="1237">
        <v>23173</v>
      </c>
      <c r="M528" s="326"/>
      <c r="N528" s="294"/>
      <c r="O528" s="354">
        <v>147</v>
      </c>
      <c r="P528" s="294">
        <v>6</v>
      </c>
      <c r="Q528" s="355">
        <f t="shared" si="135"/>
        <v>882</v>
      </c>
      <c r="R528" s="299"/>
      <c r="S528" s="299"/>
      <c r="T528" s="299"/>
      <c r="U528" s="299"/>
      <c r="V528" s="299"/>
      <c r="W528" s="299">
        <v>882</v>
      </c>
      <c r="X528" s="1142"/>
      <c r="Y528" s="1127"/>
      <c r="Z528" s="1199"/>
      <c r="AA528" s="1124"/>
      <c r="AB528" s="1124"/>
      <c r="AC528" s="1124"/>
      <c r="AD528" s="1124"/>
      <c r="AE528" s="1124"/>
      <c r="AF528" s="1124"/>
      <c r="AG528" s="1282">
        <f t="shared" si="136"/>
        <v>882</v>
      </c>
    </row>
    <row r="529" spans="1:33" ht="47.25">
      <c r="A529" s="294">
        <v>4324</v>
      </c>
      <c r="B529" s="820" t="s">
        <v>385</v>
      </c>
      <c r="C529" s="1093" t="s">
        <v>386</v>
      </c>
      <c r="D529" s="326"/>
      <c r="E529" s="294">
        <f>10+45</f>
        <v>55</v>
      </c>
      <c r="F529" s="293">
        <f t="shared" si="134"/>
        <v>43211</v>
      </c>
      <c r="G529" s="293">
        <v>43266</v>
      </c>
      <c r="H529" s="293" t="s">
        <v>390</v>
      </c>
      <c r="I529" s="294" t="s">
        <v>169</v>
      </c>
      <c r="J529" s="307" t="s">
        <v>387</v>
      </c>
      <c r="K529" s="820" t="s">
        <v>388</v>
      </c>
      <c r="L529" s="1237">
        <v>23173</v>
      </c>
      <c r="M529" s="326"/>
      <c r="N529" s="294"/>
      <c r="O529" s="354">
        <v>469</v>
      </c>
      <c r="P529" s="294">
        <v>22</v>
      </c>
      <c r="Q529" s="355">
        <f t="shared" si="135"/>
        <v>10318</v>
      </c>
      <c r="R529" s="299"/>
      <c r="S529" s="299"/>
      <c r="T529" s="299"/>
      <c r="U529" s="299"/>
      <c r="V529" s="299">
        <v>10318</v>
      </c>
      <c r="W529" s="299"/>
      <c r="X529" s="1142"/>
      <c r="Y529" s="1127"/>
      <c r="Z529" s="1199"/>
      <c r="AA529" s="1124"/>
      <c r="AB529" s="1124"/>
      <c r="AC529" s="1124"/>
      <c r="AD529" s="1124"/>
      <c r="AE529" s="1124"/>
      <c r="AF529" s="1124"/>
      <c r="AG529" s="1282">
        <f t="shared" si="136"/>
        <v>10318</v>
      </c>
    </row>
    <row r="530" spans="1:33" ht="47.25">
      <c r="A530" s="294">
        <v>4324</v>
      </c>
      <c r="B530" s="820" t="s">
        <v>385</v>
      </c>
      <c r="C530" s="1093" t="s">
        <v>386</v>
      </c>
      <c r="D530" s="326"/>
      <c r="E530" s="294">
        <f>10+45</f>
        <v>55</v>
      </c>
      <c r="F530" s="293">
        <f t="shared" si="134"/>
        <v>43211</v>
      </c>
      <c r="G530" s="293">
        <v>43266</v>
      </c>
      <c r="H530" s="293" t="s">
        <v>390</v>
      </c>
      <c r="I530" s="294" t="s">
        <v>169</v>
      </c>
      <c r="J530" s="307" t="s">
        <v>387</v>
      </c>
      <c r="K530" s="820" t="s">
        <v>392</v>
      </c>
      <c r="L530" s="1237">
        <v>23174</v>
      </c>
      <c r="M530" s="326"/>
      <c r="N530" s="294"/>
      <c r="O530" s="354">
        <v>313</v>
      </c>
      <c r="P530" s="294">
        <v>22</v>
      </c>
      <c r="Q530" s="355">
        <f t="shared" si="135"/>
        <v>6886</v>
      </c>
      <c r="R530" s="299"/>
      <c r="S530" s="299"/>
      <c r="T530" s="299"/>
      <c r="U530" s="299"/>
      <c r="V530" s="299">
        <v>6886</v>
      </c>
      <c r="W530" s="299"/>
      <c r="X530" s="1142"/>
      <c r="Y530" s="1127"/>
      <c r="Z530" s="1199"/>
      <c r="AA530" s="1124"/>
      <c r="AB530" s="1124"/>
      <c r="AC530" s="1124"/>
      <c r="AD530" s="1124"/>
      <c r="AE530" s="1124"/>
      <c r="AF530" s="1124"/>
      <c r="AG530" s="1282">
        <f t="shared" si="136"/>
        <v>6886</v>
      </c>
    </row>
    <row r="531" spans="1:33" ht="47.25">
      <c r="A531" s="294">
        <v>4324</v>
      </c>
      <c r="B531" s="820" t="s">
        <v>385</v>
      </c>
      <c r="C531" s="1093" t="s">
        <v>386</v>
      </c>
      <c r="D531" s="326"/>
      <c r="E531" s="294">
        <v>10</v>
      </c>
      <c r="F531" s="293">
        <f t="shared" si="134"/>
        <v>43256</v>
      </c>
      <c r="G531" s="293">
        <v>43266</v>
      </c>
      <c r="H531" s="293" t="s">
        <v>396</v>
      </c>
      <c r="I531" s="294" t="s">
        <v>180</v>
      </c>
      <c r="J531" s="307" t="s">
        <v>387</v>
      </c>
      <c r="K531" s="326" t="s">
        <v>1050</v>
      </c>
      <c r="L531" s="1237">
        <v>23174</v>
      </c>
      <c r="M531" s="326"/>
      <c r="N531" s="294"/>
      <c r="O531" s="354">
        <v>240</v>
      </c>
      <c r="P531" s="294">
        <v>88</v>
      </c>
      <c r="Q531" s="355">
        <f t="shared" si="135"/>
        <v>21120</v>
      </c>
      <c r="R531" s="299"/>
      <c r="S531" s="299"/>
      <c r="T531" s="299"/>
      <c r="U531" s="299"/>
      <c r="V531" s="299">
        <v>21120</v>
      </c>
      <c r="W531" s="299"/>
      <c r="X531" s="1142"/>
      <c r="Y531" s="1127"/>
      <c r="Z531" s="1199"/>
      <c r="AA531" s="1124"/>
      <c r="AB531" s="1124"/>
      <c r="AC531" s="1124"/>
      <c r="AD531" s="1124"/>
      <c r="AE531" s="1124"/>
      <c r="AF531" s="1124"/>
      <c r="AG531" s="1282">
        <f t="shared" si="136"/>
        <v>21120</v>
      </c>
    </row>
    <row r="532" spans="1:33" ht="47.25">
      <c r="A532" s="294">
        <v>4324</v>
      </c>
      <c r="B532" s="820" t="s">
        <v>385</v>
      </c>
      <c r="C532" s="1093" t="s">
        <v>386</v>
      </c>
      <c r="D532" s="326"/>
      <c r="E532" s="294">
        <f>10+45</f>
        <v>55</v>
      </c>
      <c r="F532" s="293">
        <f t="shared" si="134"/>
        <v>43211</v>
      </c>
      <c r="G532" s="293">
        <v>43266</v>
      </c>
      <c r="H532" s="293" t="s">
        <v>390</v>
      </c>
      <c r="I532" s="294" t="s">
        <v>169</v>
      </c>
      <c r="J532" s="307" t="s">
        <v>387</v>
      </c>
      <c r="K532" s="326" t="s">
        <v>1049</v>
      </c>
      <c r="L532" s="1237">
        <v>23173</v>
      </c>
      <c r="M532" s="326"/>
      <c r="N532" s="294"/>
      <c r="O532" s="354">
        <v>313</v>
      </c>
      <c r="P532" s="294">
        <v>22</v>
      </c>
      <c r="Q532" s="355">
        <f t="shared" si="135"/>
        <v>6886</v>
      </c>
      <c r="R532" s="299"/>
      <c r="S532" s="299"/>
      <c r="T532" s="299"/>
      <c r="U532" s="299"/>
      <c r="V532" s="299">
        <v>6886</v>
      </c>
      <c r="W532" s="299"/>
      <c r="X532" s="1142"/>
      <c r="Y532" s="1127"/>
      <c r="Z532" s="1199"/>
      <c r="AA532" s="1124"/>
      <c r="AB532" s="1124"/>
      <c r="AC532" s="1124"/>
      <c r="AD532" s="1124"/>
      <c r="AE532" s="1124"/>
      <c r="AF532" s="1124"/>
      <c r="AG532" s="1282">
        <f t="shared" si="136"/>
        <v>6886</v>
      </c>
    </row>
    <row r="533" spans="1:33" ht="78.75">
      <c r="A533" s="294">
        <v>4324</v>
      </c>
      <c r="B533" s="820" t="s">
        <v>400</v>
      </c>
      <c r="C533" s="824" t="s">
        <v>401</v>
      </c>
      <c r="D533" s="326"/>
      <c r="E533" s="294">
        <f>45+10</f>
        <v>55</v>
      </c>
      <c r="F533" s="293">
        <f t="shared" si="134"/>
        <v>43211</v>
      </c>
      <c r="G533" s="293">
        <v>43266</v>
      </c>
      <c r="H533" s="293" t="s">
        <v>390</v>
      </c>
      <c r="I533" s="294" t="s">
        <v>169</v>
      </c>
      <c r="J533" s="307"/>
      <c r="K533" s="326" t="s">
        <v>384</v>
      </c>
      <c r="L533" s="1237">
        <v>23173</v>
      </c>
      <c r="M533" s="326"/>
      <c r="N533" s="294"/>
      <c r="O533" s="354">
        <v>577</v>
      </c>
      <c r="P533" s="294">
        <v>22</v>
      </c>
      <c r="Q533" s="355">
        <f t="shared" si="135"/>
        <v>12694</v>
      </c>
      <c r="R533" s="299"/>
      <c r="S533" s="299"/>
      <c r="T533" s="299"/>
      <c r="U533" s="299"/>
      <c r="V533" s="299">
        <v>12694</v>
      </c>
      <c r="W533" s="299"/>
      <c r="X533" s="1142"/>
      <c r="Y533" s="1127"/>
      <c r="Z533" s="1199"/>
      <c r="AA533" s="1124"/>
      <c r="AB533" s="1124"/>
      <c r="AC533" s="1124"/>
      <c r="AD533" s="1124"/>
      <c r="AE533" s="1124"/>
      <c r="AF533" s="1124"/>
      <c r="AG533" s="1282">
        <f t="shared" si="136"/>
        <v>12694</v>
      </c>
    </row>
    <row r="534" spans="1:33">
      <c r="A534" s="294">
        <v>4324</v>
      </c>
      <c r="B534" s="291" t="s">
        <v>402</v>
      </c>
      <c r="C534" s="1093" t="s">
        <v>403</v>
      </c>
      <c r="D534" s="326"/>
      <c r="E534" s="294">
        <f>3+30</f>
        <v>33</v>
      </c>
      <c r="F534" s="293">
        <f t="shared" si="134"/>
        <v>43233</v>
      </c>
      <c r="G534" s="293">
        <v>43266</v>
      </c>
      <c r="H534" s="293" t="s">
        <v>372</v>
      </c>
      <c r="I534" s="294" t="s">
        <v>180</v>
      </c>
      <c r="J534" s="307"/>
      <c r="K534" s="326" t="s">
        <v>384</v>
      </c>
      <c r="L534" s="1237">
        <v>23173</v>
      </c>
      <c r="M534" s="326"/>
      <c r="N534" s="294"/>
      <c r="O534" s="354">
        <v>47.5</v>
      </c>
      <c r="P534" s="294">
        <v>64</v>
      </c>
      <c r="Q534" s="355">
        <f t="shared" si="135"/>
        <v>3040</v>
      </c>
      <c r="R534" s="299"/>
      <c r="S534" s="299"/>
      <c r="T534" s="299"/>
      <c r="U534" s="299"/>
      <c r="V534" s="299">
        <v>3040</v>
      </c>
      <c r="W534" s="299"/>
      <c r="X534" s="1142"/>
      <c r="Y534" s="1127"/>
      <c r="Z534" s="1199"/>
      <c r="AA534" s="1124"/>
      <c r="AB534" s="1124"/>
      <c r="AC534" s="1124"/>
      <c r="AD534" s="1124"/>
      <c r="AE534" s="1124"/>
      <c r="AF534" s="1124"/>
      <c r="AG534" s="1282">
        <f t="shared" si="136"/>
        <v>3040</v>
      </c>
    </row>
    <row r="535" spans="1:33">
      <c r="A535" s="3399" t="s">
        <v>997</v>
      </c>
      <c r="B535" s="3399"/>
      <c r="C535" s="3399"/>
      <c r="D535" s="3399"/>
      <c r="E535" s="3399"/>
      <c r="F535" s="3399"/>
      <c r="G535" s="3399"/>
      <c r="H535" s="3399"/>
      <c r="I535" s="3399"/>
      <c r="J535" s="1213"/>
      <c r="K535" s="2247"/>
      <c r="L535" s="1213"/>
      <c r="M535" s="1215"/>
      <c r="N535" s="1213"/>
      <c r="O535" s="1216"/>
      <c r="P535" s="1213"/>
      <c r="Q535" s="1217">
        <f>+Q536+Q539</f>
        <v>466696.17</v>
      </c>
      <c r="R535" s="1218">
        <f>466727+0.24</f>
        <v>466727.24</v>
      </c>
      <c r="S535" s="1217">
        <f>SUM(S536:S557)</f>
        <v>0</v>
      </c>
      <c r="T535" s="1217">
        <f>SUM(T536:T557)</f>
        <v>0</v>
      </c>
      <c r="U535" s="1217">
        <f>+U536+U539</f>
        <v>95387.5</v>
      </c>
      <c r="V535" s="1217">
        <f>+V536+V539</f>
        <v>160950</v>
      </c>
      <c r="W535" s="1217">
        <f>+W536+W539</f>
        <v>46023.67</v>
      </c>
      <c r="X535" s="1217">
        <f>+X536+X539</f>
        <v>128947.5</v>
      </c>
      <c r="Y535" s="1217">
        <f>+Y536+Y539</f>
        <v>35387.5</v>
      </c>
      <c r="Z535" s="1217">
        <f t="shared" ref="Z535:AF535" si="137">SUM(Z536:Z557)</f>
        <v>0</v>
      </c>
      <c r="AA535" s="1217">
        <f t="shared" si="137"/>
        <v>0</v>
      </c>
      <c r="AB535" s="1217">
        <f t="shared" si="137"/>
        <v>0</v>
      </c>
      <c r="AC535" s="1217">
        <f t="shared" si="137"/>
        <v>0</v>
      </c>
      <c r="AD535" s="1217">
        <f t="shared" si="137"/>
        <v>0</v>
      </c>
      <c r="AE535" s="1217">
        <f t="shared" si="137"/>
        <v>0</v>
      </c>
      <c r="AF535" s="1217">
        <f t="shared" si="137"/>
        <v>0</v>
      </c>
      <c r="AG535" s="1217">
        <f>SUM(S535:AF535)</f>
        <v>466696.17</v>
      </c>
    </row>
    <row r="536" spans="1:33">
      <c r="A536" s="1219">
        <v>441</v>
      </c>
      <c r="B536" s="1222" t="s">
        <v>1067</v>
      </c>
      <c r="C536" s="1222"/>
      <c r="D536" s="1220"/>
      <c r="E536" s="1220"/>
      <c r="F536" s="1220"/>
      <c r="G536" s="1220"/>
      <c r="H536" s="1220"/>
      <c r="I536" s="1221" t="s">
        <v>169</v>
      </c>
      <c r="J536" s="1221"/>
      <c r="K536" s="1220"/>
      <c r="L536" s="1221"/>
      <c r="M536" s="1222"/>
      <c r="N536" s="1221"/>
      <c r="O536" s="1223"/>
      <c r="P536" s="1455"/>
      <c r="Q536" s="1456">
        <f>+Q537+Q538</f>
        <v>102696.17</v>
      </c>
      <c r="R536" s="1225"/>
      <c r="S536" s="1456"/>
      <c r="T536" s="1226"/>
      <c r="U536" s="1456">
        <f>+U537+U538</f>
        <v>0</v>
      </c>
      <c r="V536" s="1456">
        <f>+V537+V538</f>
        <v>0</v>
      </c>
      <c r="W536" s="1456">
        <f>+W537+W538</f>
        <v>10636.17</v>
      </c>
      <c r="X536" s="1456">
        <f>+X537+X538</f>
        <v>92060</v>
      </c>
      <c r="Y536" s="1456">
        <f>+Y537+Y538</f>
        <v>0</v>
      </c>
      <c r="Z536" s="1226"/>
      <c r="AA536" s="1226"/>
      <c r="AB536" s="1226"/>
      <c r="AC536" s="1226"/>
      <c r="AD536" s="1226"/>
      <c r="AE536" s="1226"/>
      <c r="AF536" s="1226"/>
      <c r="AG536" s="1224">
        <f>SUM(S536:AF536)</f>
        <v>102696.17</v>
      </c>
    </row>
    <row r="537" spans="1:33" ht="27.75" customHeight="1">
      <c r="A537" s="2248">
        <v>4411</v>
      </c>
      <c r="B537" s="2249" t="s">
        <v>44</v>
      </c>
      <c r="C537" s="2249" t="s">
        <v>972</v>
      </c>
      <c r="D537" s="2250"/>
      <c r="E537" s="2250"/>
      <c r="F537" s="2250"/>
      <c r="G537" s="2250"/>
      <c r="H537" s="2250"/>
      <c r="I537" s="2251" t="s">
        <v>169</v>
      </c>
      <c r="J537" s="2251"/>
      <c r="K537" s="2250"/>
      <c r="L537" s="2251">
        <v>2313</v>
      </c>
      <c r="M537" s="2249"/>
      <c r="N537" s="2251"/>
      <c r="O537" s="2253">
        <v>92060</v>
      </c>
      <c r="P537" s="2251">
        <v>1</v>
      </c>
      <c r="Q537" s="2253">
        <f>+O537*P537</f>
        <v>92060</v>
      </c>
      <c r="R537" s="1658"/>
      <c r="S537" s="2253"/>
      <c r="T537" s="1695"/>
      <c r="U537" s="2253"/>
      <c r="V537" s="1695"/>
      <c r="W537" s="1695"/>
      <c r="X537" s="2253">
        <v>92060</v>
      </c>
      <c r="Y537" s="1695"/>
      <c r="Z537" s="1695"/>
      <c r="AA537" s="1695"/>
      <c r="AB537" s="1695"/>
      <c r="AC537" s="1695"/>
      <c r="AD537" s="1695"/>
      <c r="AE537" s="1695"/>
      <c r="AF537" s="1695"/>
      <c r="AG537" s="1282">
        <f>SUM(S537:AF537)</f>
        <v>92060</v>
      </c>
    </row>
    <row r="538" spans="1:33" ht="27.75" customHeight="1">
      <c r="A538" s="2248">
        <v>4412</v>
      </c>
      <c r="B538" s="2249" t="s">
        <v>43</v>
      </c>
      <c r="C538" s="2249" t="s">
        <v>973</v>
      </c>
      <c r="D538" s="2249"/>
      <c r="E538" s="2249"/>
      <c r="F538" s="2249"/>
      <c r="G538" s="2249"/>
      <c r="H538" s="2249"/>
      <c r="I538" s="2251" t="s">
        <v>169</v>
      </c>
      <c r="J538" s="2251"/>
      <c r="K538" s="2250"/>
      <c r="L538" s="2251">
        <v>23173</v>
      </c>
      <c r="M538" s="2249"/>
      <c r="N538" s="2251"/>
      <c r="O538" s="2253">
        <v>10636.17</v>
      </c>
      <c r="P538" s="2251">
        <v>1</v>
      </c>
      <c r="Q538" s="2253">
        <f>+O538*P538</f>
        <v>10636.17</v>
      </c>
      <c r="R538" s="1658"/>
      <c r="S538" s="2253"/>
      <c r="T538" s="1695"/>
      <c r="U538" s="2253"/>
      <c r="V538" s="1695"/>
      <c r="W538" s="2253">
        <v>10636.17</v>
      </c>
      <c r="X538" s="2052"/>
      <c r="Y538" s="1695"/>
      <c r="Z538" s="1695"/>
      <c r="AA538" s="1695"/>
      <c r="AB538" s="1695"/>
      <c r="AC538" s="1695"/>
      <c r="AD538" s="1695"/>
      <c r="AE538" s="1695"/>
      <c r="AF538" s="1695"/>
      <c r="AG538" s="1282">
        <f>SUM(S538:AF538)</f>
        <v>10636.17</v>
      </c>
    </row>
    <row r="539" spans="1:33" ht="31.5">
      <c r="A539" s="1219">
        <v>442</v>
      </c>
      <c r="B539" s="1222" t="s">
        <v>46</v>
      </c>
      <c r="C539" s="1222" t="s">
        <v>974</v>
      </c>
      <c r="D539" s="1222"/>
      <c r="E539" s="1222"/>
      <c r="F539" s="1222"/>
      <c r="G539" s="1222"/>
      <c r="H539" s="1222"/>
      <c r="I539" s="1221" t="s">
        <v>169</v>
      </c>
      <c r="J539" s="1221"/>
      <c r="K539" s="1220"/>
      <c r="L539" s="1221"/>
      <c r="M539" s="1222"/>
      <c r="N539" s="1221"/>
      <c r="O539" s="1223"/>
      <c r="P539" s="1221"/>
      <c r="Q539" s="1224">
        <f>SUM(Q540:Q557)</f>
        <v>364000</v>
      </c>
      <c r="R539" s="1225"/>
      <c r="S539" s="1224"/>
      <c r="T539" s="1226"/>
      <c r="U539" s="1224">
        <f>SUM(U540:U557)</f>
        <v>95387.5</v>
      </c>
      <c r="V539" s="1224">
        <f>SUM(V540:V557)</f>
        <v>160950</v>
      </c>
      <c r="W539" s="1224">
        <f>SUM(W540:W557)</f>
        <v>35387.5</v>
      </c>
      <c r="X539" s="1224">
        <f>SUM(X540:X557)</f>
        <v>36887.5</v>
      </c>
      <c r="Y539" s="1224">
        <f>SUM(Y540:Y557)</f>
        <v>35387.5</v>
      </c>
      <c r="Z539" s="1226"/>
      <c r="AA539" s="1226"/>
      <c r="AB539" s="1226"/>
      <c r="AC539" s="1226"/>
      <c r="AD539" s="1226"/>
      <c r="AE539" s="1226"/>
      <c r="AF539" s="1226"/>
      <c r="AG539" s="1224">
        <f>SUM(S539:AF539)</f>
        <v>364000</v>
      </c>
    </row>
    <row r="540" spans="1:33" ht="31.5">
      <c r="A540" s="2248">
        <v>4421</v>
      </c>
      <c r="B540" s="2249" t="s">
        <v>999</v>
      </c>
      <c r="C540" s="2249" t="s">
        <v>974</v>
      </c>
      <c r="D540" s="2249"/>
      <c r="E540" s="2251">
        <v>150</v>
      </c>
      <c r="F540" s="2254">
        <v>43221</v>
      </c>
      <c r="G540" s="2254">
        <f>F540+E540+2</f>
        <v>43373</v>
      </c>
      <c r="H540" s="2249"/>
      <c r="I540" s="2251" t="s">
        <v>169</v>
      </c>
      <c r="J540" s="2251"/>
      <c r="K540" s="2250" t="s">
        <v>443</v>
      </c>
      <c r="L540" s="2251">
        <v>23171</v>
      </c>
      <c r="M540" s="2249"/>
      <c r="N540" s="2251"/>
      <c r="O540" s="2252">
        <v>17187.5</v>
      </c>
      <c r="P540" s="2251">
        <v>5</v>
      </c>
      <c r="Q540" s="2253">
        <f>O540*P540</f>
        <v>85937.5</v>
      </c>
      <c r="R540" s="1658"/>
      <c r="S540" s="2253"/>
      <c r="T540" s="1695"/>
      <c r="U540" s="2252">
        <v>17187.5</v>
      </c>
      <c r="V540" s="2252">
        <v>17187.5</v>
      </c>
      <c r="W540" s="2252">
        <v>17187.5</v>
      </c>
      <c r="X540" s="2252">
        <v>17187.5</v>
      </c>
      <c r="Y540" s="2252">
        <v>17187.5</v>
      </c>
      <c r="Z540" s="1695"/>
      <c r="AA540" s="1695"/>
      <c r="AB540" s="1695"/>
      <c r="AC540" s="1695"/>
      <c r="AD540" s="1695"/>
      <c r="AE540" s="1695"/>
      <c r="AF540" s="1695"/>
      <c r="AG540" s="1282">
        <f t="shared" ref="AG540:AG557" si="138">SUM(S540:AF540)</f>
        <v>85937.5</v>
      </c>
    </row>
    <row r="541" spans="1:33" ht="31.5">
      <c r="A541" s="2248">
        <v>4421</v>
      </c>
      <c r="B541" s="2249" t="s">
        <v>999</v>
      </c>
      <c r="C541" s="2249" t="s">
        <v>974</v>
      </c>
      <c r="D541" s="2249"/>
      <c r="E541" s="2251">
        <v>150</v>
      </c>
      <c r="F541" s="2254">
        <v>43221</v>
      </c>
      <c r="G541" s="2254">
        <f t="shared" ref="G541:G552" si="139">F541+E541+2</f>
        <v>43373</v>
      </c>
      <c r="H541" s="2249"/>
      <c r="I541" s="2251" t="s">
        <v>169</v>
      </c>
      <c r="J541" s="2251"/>
      <c r="K541" s="2250" t="s">
        <v>985</v>
      </c>
      <c r="L541" s="2251">
        <v>23172</v>
      </c>
      <c r="M541" s="2249"/>
      <c r="N541" s="2251"/>
      <c r="O541" s="2255">
        <v>700</v>
      </c>
      <c r="P541" s="1632">
        <v>5</v>
      </c>
      <c r="Q541" s="2253">
        <f t="shared" ref="Q541:Q557" si="140">O541*P541</f>
        <v>3500</v>
      </c>
      <c r="R541" s="1658"/>
      <c r="S541" s="2253"/>
      <c r="T541" s="1695"/>
      <c r="U541" s="2255">
        <v>700</v>
      </c>
      <c r="V541" s="2255">
        <v>700</v>
      </c>
      <c r="W541" s="2255">
        <v>700</v>
      </c>
      <c r="X541" s="2255">
        <v>700</v>
      </c>
      <c r="Y541" s="2255">
        <v>700</v>
      </c>
      <c r="Z541" s="1695"/>
      <c r="AA541" s="1695"/>
      <c r="AB541" s="1695"/>
      <c r="AC541" s="1695"/>
      <c r="AD541" s="1695"/>
      <c r="AE541" s="1695"/>
      <c r="AF541" s="1695"/>
      <c r="AG541" s="1282">
        <f t="shared" si="138"/>
        <v>3500</v>
      </c>
    </row>
    <row r="542" spans="1:33" ht="31.5">
      <c r="A542" s="2248">
        <v>4421</v>
      </c>
      <c r="B542" s="2249" t="s">
        <v>999</v>
      </c>
      <c r="C542" s="2249" t="s">
        <v>974</v>
      </c>
      <c r="D542" s="2249"/>
      <c r="E542" s="2251">
        <v>150</v>
      </c>
      <c r="F542" s="2254">
        <v>43221</v>
      </c>
      <c r="G542" s="2254">
        <f t="shared" si="139"/>
        <v>43373</v>
      </c>
      <c r="H542" s="2249"/>
      <c r="I542" s="2251" t="s">
        <v>169</v>
      </c>
      <c r="J542" s="2251"/>
      <c r="K542" s="2250" t="s">
        <v>987</v>
      </c>
      <c r="L542" s="2251">
        <v>23172</v>
      </c>
      <c r="M542" s="2249"/>
      <c r="N542" s="2251"/>
      <c r="O542" s="2255">
        <v>7000</v>
      </c>
      <c r="P542" s="1632">
        <v>5</v>
      </c>
      <c r="Q542" s="2253">
        <f t="shared" si="140"/>
        <v>35000</v>
      </c>
      <c r="R542" s="1658"/>
      <c r="S542" s="2253"/>
      <c r="T542" s="1695"/>
      <c r="U542" s="2255">
        <v>7000</v>
      </c>
      <c r="V542" s="2255">
        <v>7000</v>
      </c>
      <c r="W542" s="2255">
        <v>7000</v>
      </c>
      <c r="X542" s="2255">
        <v>7000</v>
      </c>
      <c r="Y542" s="2255">
        <v>7000</v>
      </c>
      <c r="Z542" s="1695"/>
      <c r="AA542" s="1695"/>
      <c r="AB542" s="1695"/>
      <c r="AC542" s="1695"/>
      <c r="AD542" s="1695"/>
      <c r="AE542" s="1695"/>
      <c r="AF542" s="1695"/>
      <c r="AG542" s="1282">
        <f t="shared" si="138"/>
        <v>35000</v>
      </c>
    </row>
    <row r="543" spans="1:33" ht="31.5">
      <c r="A543" s="2248">
        <v>4421</v>
      </c>
      <c r="B543" s="2249" t="s">
        <v>999</v>
      </c>
      <c r="C543" s="2249" t="s">
        <v>974</v>
      </c>
      <c r="D543" s="2249"/>
      <c r="E543" s="2251">
        <v>150</v>
      </c>
      <c r="F543" s="2254">
        <v>43221</v>
      </c>
      <c r="G543" s="2254">
        <f t="shared" si="139"/>
        <v>43373</v>
      </c>
      <c r="H543" s="2249"/>
      <c r="I543" s="2251" t="s">
        <v>169</v>
      </c>
      <c r="J543" s="2251"/>
      <c r="K543" s="2250" t="s">
        <v>1004</v>
      </c>
      <c r="L543" s="2251">
        <v>23173</v>
      </c>
      <c r="M543" s="2249"/>
      <c r="N543" s="2251"/>
      <c r="O543" s="2255">
        <v>1700</v>
      </c>
      <c r="P543" s="1632">
        <v>5</v>
      </c>
      <c r="Q543" s="2253">
        <f t="shared" si="140"/>
        <v>8500</v>
      </c>
      <c r="R543" s="1658"/>
      <c r="S543" s="2253"/>
      <c r="T543" s="1695"/>
      <c r="U543" s="2255">
        <v>1700</v>
      </c>
      <c r="V543" s="2255">
        <v>1700</v>
      </c>
      <c r="W543" s="2255">
        <v>1700</v>
      </c>
      <c r="X543" s="2255">
        <v>1700</v>
      </c>
      <c r="Y543" s="2255">
        <v>1700</v>
      </c>
      <c r="Z543" s="1695"/>
      <c r="AA543" s="1695"/>
      <c r="AB543" s="1695"/>
      <c r="AC543" s="1695"/>
      <c r="AD543" s="1695"/>
      <c r="AE543" s="1695"/>
      <c r="AF543" s="1695"/>
      <c r="AG543" s="1282">
        <f t="shared" si="138"/>
        <v>8500</v>
      </c>
    </row>
    <row r="544" spans="1:33" ht="31.5">
      <c r="A544" s="2248">
        <v>4421</v>
      </c>
      <c r="B544" s="2249" t="s">
        <v>999</v>
      </c>
      <c r="C544" s="2249" t="s">
        <v>974</v>
      </c>
      <c r="D544" s="2249"/>
      <c r="E544" s="2251">
        <v>150</v>
      </c>
      <c r="F544" s="2254">
        <v>43221</v>
      </c>
      <c r="G544" s="2254">
        <f t="shared" si="139"/>
        <v>43373</v>
      </c>
      <c r="H544" s="2249"/>
      <c r="I544" s="2251" t="s">
        <v>169</v>
      </c>
      <c r="J544" s="2251"/>
      <c r="K544" s="2250" t="s">
        <v>1005</v>
      </c>
      <c r="L544" s="2251">
        <v>23175</v>
      </c>
      <c r="M544" s="2249"/>
      <c r="N544" s="2251"/>
      <c r="O544" s="2255">
        <v>1000</v>
      </c>
      <c r="P544" s="1632">
        <v>5</v>
      </c>
      <c r="Q544" s="2253">
        <f t="shared" si="140"/>
        <v>5000</v>
      </c>
      <c r="R544" s="1658"/>
      <c r="S544" s="2253"/>
      <c r="T544" s="1695"/>
      <c r="U544" s="2255">
        <v>1000</v>
      </c>
      <c r="V544" s="2255">
        <v>1000</v>
      </c>
      <c r="W544" s="2255">
        <v>1000</v>
      </c>
      <c r="X544" s="2255">
        <v>1000</v>
      </c>
      <c r="Y544" s="2255">
        <v>1000</v>
      </c>
      <c r="Z544" s="1695"/>
      <c r="AA544" s="1695"/>
      <c r="AB544" s="1695"/>
      <c r="AC544" s="1695"/>
      <c r="AD544" s="1695"/>
      <c r="AE544" s="1695"/>
      <c r="AF544" s="1695"/>
      <c r="AG544" s="1282">
        <f t="shared" si="138"/>
        <v>5000</v>
      </c>
    </row>
    <row r="545" spans="1:33" ht="31.5">
      <c r="A545" s="2248">
        <v>4421</v>
      </c>
      <c r="B545" s="2249" t="s">
        <v>999</v>
      </c>
      <c r="C545" s="2249" t="s">
        <v>974</v>
      </c>
      <c r="D545" s="2249"/>
      <c r="E545" s="2251">
        <v>150</v>
      </c>
      <c r="F545" s="2254">
        <v>43221</v>
      </c>
      <c r="G545" s="2254">
        <f t="shared" si="139"/>
        <v>43373</v>
      </c>
      <c r="H545" s="2249"/>
      <c r="I545" s="2251" t="s">
        <v>169</v>
      </c>
      <c r="J545" s="2251"/>
      <c r="K545" s="2250" t="s">
        <v>255</v>
      </c>
      <c r="L545" s="2251">
        <v>23173</v>
      </c>
      <c r="M545" s="2249"/>
      <c r="N545" s="2251"/>
      <c r="O545" s="2255">
        <v>2500</v>
      </c>
      <c r="P545" s="1632">
        <v>5</v>
      </c>
      <c r="Q545" s="2253">
        <f t="shared" si="140"/>
        <v>12500</v>
      </c>
      <c r="R545" s="1658"/>
      <c r="S545" s="2253"/>
      <c r="T545" s="1695"/>
      <c r="U545" s="2255">
        <v>2500</v>
      </c>
      <c r="V545" s="2255">
        <v>2500</v>
      </c>
      <c r="W545" s="2255">
        <v>2500</v>
      </c>
      <c r="X545" s="2255">
        <v>2500</v>
      </c>
      <c r="Y545" s="2255">
        <v>2500</v>
      </c>
      <c r="Z545" s="1695"/>
      <c r="AA545" s="1695"/>
      <c r="AB545" s="1695"/>
      <c r="AC545" s="1695"/>
      <c r="AD545" s="1695"/>
      <c r="AE545" s="1695"/>
      <c r="AF545" s="1695"/>
      <c r="AG545" s="1282">
        <f t="shared" si="138"/>
        <v>12500</v>
      </c>
    </row>
    <row r="546" spans="1:33" ht="31.5">
      <c r="A546" s="2248">
        <v>4421</v>
      </c>
      <c r="B546" s="2249" t="s">
        <v>999</v>
      </c>
      <c r="C546" s="2249" t="s">
        <v>974</v>
      </c>
      <c r="D546" s="2249"/>
      <c r="E546" s="2251">
        <v>150</v>
      </c>
      <c r="F546" s="2254">
        <v>43221</v>
      </c>
      <c r="G546" s="2254">
        <f t="shared" si="139"/>
        <v>43373</v>
      </c>
      <c r="H546" s="2249"/>
      <c r="I546" s="2251" t="s">
        <v>169</v>
      </c>
      <c r="J546" s="2251"/>
      <c r="K546" s="2250" t="s">
        <v>989</v>
      </c>
      <c r="L546" s="2251">
        <v>23172</v>
      </c>
      <c r="M546" s="2249"/>
      <c r="N546" s="2251"/>
      <c r="O546" s="2255">
        <v>200</v>
      </c>
      <c r="P546" s="1632">
        <v>5</v>
      </c>
      <c r="Q546" s="2253">
        <f t="shared" si="140"/>
        <v>1000</v>
      </c>
      <c r="R546" s="1658"/>
      <c r="S546" s="2253"/>
      <c r="T546" s="1695"/>
      <c r="U546" s="2255">
        <v>200</v>
      </c>
      <c r="V546" s="2255">
        <v>200</v>
      </c>
      <c r="W546" s="2255">
        <v>200</v>
      </c>
      <c r="X546" s="2255">
        <v>200</v>
      </c>
      <c r="Y546" s="2255">
        <v>200</v>
      </c>
      <c r="Z546" s="1695"/>
      <c r="AA546" s="1695"/>
      <c r="AB546" s="1695"/>
      <c r="AC546" s="1695"/>
      <c r="AD546" s="1695"/>
      <c r="AE546" s="1695"/>
      <c r="AF546" s="1695"/>
      <c r="AG546" s="1282">
        <f t="shared" si="138"/>
        <v>1000</v>
      </c>
    </row>
    <row r="547" spans="1:33" ht="31.5">
      <c r="A547" s="2248">
        <v>4421</v>
      </c>
      <c r="B547" s="2249" t="s">
        <v>999</v>
      </c>
      <c r="C547" s="2249" t="s">
        <v>974</v>
      </c>
      <c r="D547" s="2249"/>
      <c r="E547" s="2251">
        <v>150</v>
      </c>
      <c r="F547" s="2254">
        <v>43221</v>
      </c>
      <c r="G547" s="2254">
        <f t="shared" si="139"/>
        <v>43373</v>
      </c>
      <c r="H547" s="2249"/>
      <c r="I547" s="2251" t="s">
        <v>169</v>
      </c>
      <c r="J547" s="2251"/>
      <c r="K547" s="2250" t="s">
        <v>990</v>
      </c>
      <c r="L547" s="2251">
        <v>23172</v>
      </c>
      <c r="M547" s="2249"/>
      <c r="N547" s="2251"/>
      <c r="O547" s="2255">
        <v>2500</v>
      </c>
      <c r="P547" s="1632">
        <v>5</v>
      </c>
      <c r="Q547" s="2253">
        <f t="shared" si="140"/>
        <v>12500</v>
      </c>
      <c r="R547" s="1658"/>
      <c r="S547" s="2253"/>
      <c r="T547" s="1695"/>
      <c r="U547" s="2255">
        <v>2500</v>
      </c>
      <c r="V547" s="2255">
        <v>2500</v>
      </c>
      <c r="W547" s="2255">
        <v>2500</v>
      </c>
      <c r="X547" s="2255">
        <v>2500</v>
      </c>
      <c r="Y547" s="2255">
        <v>2500</v>
      </c>
      <c r="Z547" s="1695"/>
      <c r="AA547" s="1695"/>
      <c r="AB547" s="1695"/>
      <c r="AC547" s="1695"/>
      <c r="AD547" s="1695"/>
      <c r="AE547" s="1695"/>
      <c r="AF547" s="1695"/>
      <c r="AG547" s="1282">
        <f t="shared" si="138"/>
        <v>12500</v>
      </c>
    </row>
    <row r="548" spans="1:33" ht="31.5">
      <c r="A548" s="2248">
        <v>4421</v>
      </c>
      <c r="B548" s="2249" t="s">
        <v>999</v>
      </c>
      <c r="C548" s="2249" t="s">
        <v>974</v>
      </c>
      <c r="D548" s="2249"/>
      <c r="E548" s="2251">
        <v>150</v>
      </c>
      <c r="F548" s="2254">
        <v>43221</v>
      </c>
      <c r="G548" s="2254">
        <f t="shared" si="139"/>
        <v>43373</v>
      </c>
      <c r="H548" s="2249"/>
      <c r="I548" s="2251" t="s">
        <v>169</v>
      </c>
      <c r="J548" s="2251"/>
      <c r="K548" s="2250" t="s">
        <v>991</v>
      </c>
      <c r="L548" s="2251">
        <v>23173</v>
      </c>
      <c r="M548" s="2249"/>
      <c r="N548" s="2251"/>
      <c r="O548" s="2255">
        <v>300</v>
      </c>
      <c r="P548" s="1632">
        <v>5</v>
      </c>
      <c r="Q548" s="2253">
        <f t="shared" si="140"/>
        <v>1500</v>
      </c>
      <c r="R548" s="1658"/>
      <c r="S548" s="2253"/>
      <c r="T548" s="1695"/>
      <c r="U548" s="2255">
        <v>300</v>
      </c>
      <c r="V548" s="2255">
        <v>300</v>
      </c>
      <c r="W548" s="2255">
        <v>300</v>
      </c>
      <c r="X548" s="2255">
        <v>300</v>
      </c>
      <c r="Y548" s="2255">
        <v>300</v>
      </c>
      <c r="Z548" s="1695"/>
      <c r="AA548" s="1695"/>
      <c r="AB548" s="1695"/>
      <c r="AC548" s="1695"/>
      <c r="AD548" s="1695"/>
      <c r="AE548" s="1695"/>
      <c r="AF548" s="1695"/>
      <c r="AG548" s="1282">
        <f t="shared" si="138"/>
        <v>1500</v>
      </c>
    </row>
    <row r="549" spans="1:33" ht="31.5">
      <c r="A549" s="2248">
        <v>4421</v>
      </c>
      <c r="B549" s="2249" t="s">
        <v>999</v>
      </c>
      <c r="C549" s="2249" t="s">
        <v>974</v>
      </c>
      <c r="D549" s="2249"/>
      <c r="E549" s="2251">
        <v>150</v>
      </c>
      <c r="F549" s="2254">
        <v>43221</v>
      </c>
      <c r="G549" s="2254">
        <f t="shared" si="139"/>
        <v>43373</v>
      </c>
      <c r="H549" s="2249"/>
      <c r="I549" s="2251" t="s">
        <v>169</v>
      </c>
      <c r="J549" s="2251"/>
      <c r="K549" s="2250" t="s">
        <v>992</v>
      </c>
      <c r="L549" s="2251">
        <v>23173</v>
      </c>
      <c r="M549" s="2249"/>
      <c r="N549" s="2251"/>
      <c r="O549" s="2255">
        <v>100</v>
      </c>
      <c r="P549" s="1632">
        <v>5</v>
      </c>
      <c r="Q549" s="2253">
        <f t="shared" si="140"/>
        <v>500</v>
      </c>
      <c r="R549" s="1658"/>
      <c r="S549" s="2253"/>
      <c r="T549" s="1695"/>
      <c r="U549" s="2255">
        <v>100</v>
      </c>
      <c r="V549" s="2255">
        <v>100</v>
      </c>
      <c r="W549" s="2255">
        <v>100</v>
      </c>
      <c r="X549" s="2255">
        <v>100</v>
      </c>
      <c r="Y549" s="2255">
        <v>100</v>
      </c>
      <c r="Z549" s="1695"/>
      <c r="AA549" s="1695"/>
      <c r="AB549" s="1695"/>
      <c r="AC549" s="1695"/>
      <c r="AD549" s="1695"/>
      <c r="AE549" s="1695"/>
      <c r="AF549" s="1695"/>
      <c r="AG549" s="1282">
        <f t="shared" si="138"/>
        <v>500</v>
      </c>
    </row>
    <row r="550" spans="1:33" ht="31.5">
      <c r="A550" s="2248">
        <v>4421</v>
      </c>
      <c r="B550" s="2249" t="s">
        <v>999</v>
      </c>
      <c r="C550" s="2249" t="s">
        <v>974</v>
      </c>
      <c r="D550" s="2249"/>
      <c r="E550" s="2251">
        <v>150</v>
      </c>
      <c r="F550" s="2254">
        <v>43221</v>
      </c>
      <c r="G550" s="2254">
        <f t="shared" si="139"/>
        <v>43373</v>
      </c>
      <c r="H550" s="2249"/>
      <c r="I550" s="2251" t="s">
        <v>169</v>
      </c>
      <c r="J550" s="2251"/>
      <c r="K550" s="2250" t="s">
        <v>1006</v>
      </c>
      <c r="L550" s="2251">
        <v>23174</v>
      </c>
      <c r="M550" s="2249"/>
      <c r="N550" s="2251"/>
      <c r="O550" s="2255">
        <v>2000</v>
      </c>
      <c r="P550" s="1632">
        <v>3</v>
      </c>
      <c r="Q550" s="2253">
        <f t="shared" si="140"/>
        <v>6000</v>
      </c>
      <c r="R550" s="1658"/>
      <c r="S550" s="2253"/>
      <c r="T550" s="1695"/>
      <c r="U550" s="2255">
        <v>2000</v>
      </c>
      <c r="V550" s="2255"/>
      <c r="W550" s="2255">
        <v>2000</v>
      </c>
      <c r="X550" s="2255"/>
      <c r="Y550" s="2255">
        <v>2000</v>
      </c>
      <c r="Z550" s="1695"/>
      <c r="AA550" s="1695"/>
      <c r="AB550" s="1695"/>
      <c r="AC550" s="1695"/>
      <c r="AD550" s="1695"/>
      <c r="AE550" s="1695"/>
      <c r="AF550" s="1695"/>
      <c r="AG550" s="1282">
        <f t="shared" si="138"/>
        <v>6000</v>
      </c>
    </row>
    <row r="551" spans="1:33" ht="31.5">
      <c r="A551" s="2248">
        <v>4421</v>
      </c>
      <c r="B551" s="2249" t="s">
        <v>999</v>
      </c>
      <c r="C551" s="2249" t="s">
        <v>974</v>
      </c>
      <c r="D551" s="2249"/>
      <c r="E551" s="2251">
        <v>150</v>
      </c>
      <c r="F551" s="2254">
        <v>43221</v>
      </c>
      <c r="G551" s="2254">
        <f t="shared" si="139"/>
        <v>43373</v>
      </c>
      <c r="H551" s="2249"/>
      <c r="I551" s="2251" t="s">
        <v>169</v>
      </c>
      <c r="J551" s="2251"/>
      <c r="K551" s="2250" t="s">
        <v>993</v>
      </c>
      <c r="L551" s="2251">
        <v>23173</v>
      </c>
      <c r="M551" s="2249"/>
      <c r="N551" s="2251"/>
      <c r="O551" s="2255">
        <v>200</v>
      </c>
      <c r="P551" s="1632">
        <v>5</v>
      </c>
      <c r="Q551" s="2253">
        <f t="shared" si="140"/>
        <v>1000</v>
      </c>
      <c r="R551" s="1658"/>
      <c r="S551" s="2253"/>
      <c r="T551" s="1695"/>
      <c r="U551" s="2255">
        <v>200</v>
      </c>
      <c r="V551" s="2255">
        <v>200</v>
      </c>
      <c r="W551" s="2255">
        <v>200</v>
      </c>
      <c r="X551" s="2255">
        <v>200</v>
      </c>
      <c r="Y551" s="2255">
        <v>200</v>
      </c>
      <c r="Z551" s="1695"/>
      <c r="AA551" s="1695"/>
      <c r="AB551" s="1695"/>
      <c r="AC551" s="1695"/>
      <c r="AD551" s="1695"/>
      <c r="AE551" s="1695"/>
      <c r="AF551" s="1695"/>
      <c r="AG551" s="1282">
        <f t="shared" si="138"/>
        <v>1000</v>
      </c>
    </row>
    <row r="552" spans="1:33" ht="31.5">
      <c r="A552" s="2248">
        <v>4421</v>
      </c>
      <c r="B552" s="2249" t="s">
        <v>999</v>
      </c>
      <c r="C552" s="2249" t="s">
        <v>974</v>
      </c>
      <c r="D552" s="2249"/>
      <c r="E552" s="2251">
        <v>150</v>
      </c>
      <c r="F552" s="2254">
        <v>43221</v>
      </c>
      <c r="G552" s="2254">
        <f t="shared" si="139"/>
        <v>43373</v>
      </c>
      <c r="H552" s="2249"/>
      <c r="I552" s="2251" t="s">
        <v>169</v>
      </c>
      <c r="J552" s="2251"/>
      <c r="K552" s="2250" t="s">
        <v>994</v>
      </c>
      <c r="L552" s="2251">
        <v>23174</v>
      </c>
      <c r="M552" s="2249"/>
      <c r="N552" s="2251"/>
      <c r="O552" s="2255">
        <v>3500</v>
      </c>
      <c r="P552" s="1632">
        <v>2</v>
      </c>
      <c r="Q552" s="2253">
        <f t="shared" si="140"/>
        <v>7000</v>
      </c>
      <c r="R552" s="1658"/>
      <c r="S552" s="2253"/>
      <c r="T552" s="1695"/>
      <c r="U552" s="1695"/>
      <c r="V552" s="2255">
        <v>3500</v>
      </c>
      <c r="W552" s="1695"/>
      <c r="X552" s="2255">
        <v>3500</v>
      </c>
      <c r="Y552" s="1695"/>
      <c r="Z552" s="1695"/>
      <c r="AA552" s="1695"/>
      <c r="AB552" s="1695"/>
      <c r="AC552" s="1695"/>
      <c r="AD552" s="1695"/>
      <c r="AE552" s="1695"/>
      <c r="AF552" s="1695"/>
      <c r="AG552" s="1282">
        <f t="shared" si="138"/>
        <v>7000</v>
      </c>
    </row>
    <row r="553" spans="1:33" ht="31.5">
      <c r="A553" s="2248">
        <v>4422</v>
      </c>
      <c r="B553" s="2249" t="s">
        <v>1068</v>
      </c>
      <c r="C553" s="2249" t="s">
        <v>1069</v>
      </c>
      <c r="D553" s="2249"/>
      <c r="E553" s="2251">
        <v>30</v>
      </c>
      <c r="F553" s="2254">
        <v>43221</v>
      </c>
      <c r="G553" s="2254">
        <f>F553+E553</f>
        <v>43251</v>
      </c>
      <c r="H553" s="2249"/>
      <c r="I553" s="2251" t="s">
        <v>169</v>
      </c>
      <c r="J553" s="2251"/>
      <c r="K553" s="2250" t="s">
        <v>1075</v>
      </c>
      <c r="L553" s="2251">
        <v>23174</v>
      </c>
      <c r="M553" s="2249"/>
      <c r="N553" s="2251"/>
      <c r="O553" s="2252">
        <v>10000</v>
      </c>
      <c r="P553" s="2251">
        <v>1</v>
      </c>
      <c r="Q553" s="2253">
        <f t="shared" si="140"/>
        <v>10000</v>
      </c>
      <c r="R553" s="1658"/>
      <c r="S553" s="2253"/>
      <c r="T553" s="1695"/>
      <c r="U553" s="2253">
        <v>10000</v>
      </c>
      <c r="V553" s="1695"/>
      <c r="W553" s="1695"/>
      <c r="X553" s="2052"/>
      <c r="Y553" s="1695"/>
      <c r="Z553" s="1695"/>
      <c r="AA553" s="1695"/>
      <c r="AB553" s="1695"/>
      <c r="AC553" s="1695"/>
      <c r="AD553" s="1695"/>
      <c r="AE553" s="1695"/>
      <c r="AF553" s="1695"/>
      <c r="AG553" s="1282">
        <f t="shared" si="138"/>
        <v>10000</v>
      </c>
    </row>
    <row r="554" spans="1:33">
      <c r="A554" s="2248">
        <v>4423</v>
      </c>
      <c r="B554" s="2249" t="s">
        <v>1070</v>
      </c>
      <c r="C554" s="2249" t="s">
        <v>1071</v>
      </c>
      <c r="D554" s="2249"/>
      <c r="E554" s="2251">
        <v>30</v>
      </c>
      <c r="F554" s="2254">
        <v>43252</v>
      </c>
      <c r="G554" s="2254">
        <f>F554+E554-1</f>
        <v>43281</v>
      </c>
      <c r="H554" s="2249"/>
      <c r="I554" s="2251" t="s">
        <v>169</v>
      </c>
      <c r="J554" s="2251"/>
      <c r="K554" s="2256" t="s">
        <v>1076</v>
      </c>
      <c r="L554" s="2251">
        <v>23174</v>
      </c>
      <c r="M554" s="2249"/>
      <c r="N554" s="2251"/>
      <c r="O554" s="2252">
        <v>10000</v>
      </c>
      <c r="P554" s="2251">
        <v>1</v>
      </c>
      <c r="Q554" s="2253">
        <f t="shared" si="140"/>
        <v>10000</v>
      </c>
      <c r="R554" s="1658"/>
      <c r="S554" s="2251"/>
      <c r="T554" s="1695"/>
      <c r="U554" s="1695"/>
      <c r="V554" s="2253">
        <v>10000</v>
      </c>
      <c r="W554" s="1695"/>
      <c r="X554" s="2052"/>
      <c r="Y554" s="1695"/>
      <c r="Z554" s="1695"/>
      <c r="AA554" s="1695"/>
      <c r="AB554" s="1695"/>
      <c r="AC554" s="1695"/>
      <c r="AD554" s="1695"/>
      <c r="AE554" s="1695"/>
      <c r="AF554" s="1695"/>
      <c r="AG554" s="1282">
        <f t="shared" si="138"/>
        <v>10000</v>
      </c>
    </row>
    <row r="555" spans="1:33">
      <c r="A555" s="2248">
        <v>4424</v>
      </c>
      <c r="B555" s="2249" t="s">
        <v>1002</v>
      </c>
      <c r="C555" s="2249" t="s">
        <v>1072</v>
      </c>
      <c r="D555" s="2249"/>
      <c r="E555" s="2251">
        <v>30</v>
      </c>
      <c r="F555" s="2254">
        <v>43221</v>
      </c>
      <c r="G555" s="2254">
        <f>F555+E555</f>
        <v>43251</v>
      </c>
      <c r="H555" s="2249"/>
      <c r="I555" s="2251" t="s">
        <v>169</v>
      </c>
      <c r="J555" s="2251"/>
      <c r="K555" s="2256" t="s">
        <v>1077</v>
      </c>
      <c r="L555" s="2251">
        <v>23173</v>
      </c>
      <c r="M555" s="2249"/>
      <c r="N555" s="2251"/>
      <c r="O555" s="2252">
        <v>5000</v>
      </c>
      <c r="P555" s="2251">
        <v>1</v>
      </c>
      <c r="Q555" s="2253">
        <v>5000</v>
      </c>
      <c r="R555" s="1658"/>
      <c r="S555" s="2251"/>
      <c r="T555" s="1695"/>
      <c r="U555" s="2253">
        <v>5000</v>
      </c>
      <c r="V555" s="1695"/>
      <c r="W555" s="1695"/>
      <c r="X555" s="2052"/>
      <c r="Y555" s="1695"/>
      <c r="Z555" s="1695"/>
      <c r="AA555" s="1695"/>
      <c r="AB555" s="1695"/>
      <c r="AC555" s="1695"/>
      <c r="AD555" s="1695"/>
      <c r="AE555" s="1695"/>
      <c r="AF555" s="1695"/>
      <c r="AG555" s="1282">
        <f t="shared" si="138"/>
        <v>5000</v>
      </c>
    </row>
    <row r="556" spans="1:33">
      <c r="A556" s="2248">
        <v>4425</v>
      </c>
      <c r="B556" s="2249" t="s">
        <v>1003</v>
      </c>
      <c r="C556" s="2249" t="s">
        <v>1073</v>
      </c>
      <c r="D556" s="2249"/>
      <c r="E556" s="2251">
        <v>30</v>
      </c>
      <c r="F556" s="2254">
        <v>43221</v>
      </c>
      <c r="G556" s="2254">
        <f>F556+E556</f>
        <v>43251</v>
      </c>
      <c r="H556" s="2249"/>
      <c r="I556" s="2251" t="s">
        <v>169</v>
      </c>
      <c r="J556" s="2251"/>
      <c r="K556" s="2256" t="s">
        <v>1078</v>
      </c>
      <c r="L556" s="2251">
        <v>23173</v>
      </c>
      <c r="M556" s="2249"/>
      <c r="N556" s="2251"/>
      <c r="O556" s="2252">
        <v>45000</v>
      </c>
      <c r="P556" s="2251">
        <v>1</v>
      </c>
      <c r="Q556" s="2253">
        <f t="shared" si="140"/>
        <v>45000</v>
      </c>
      <c r="R556" s="1658"/>
      <c r="S556" s="2251"/>
      <c r="T556" s="1695"/>
      <c r="U556" s="2253">
        <v>45000</v>
      </c>
      <c r="V556" s="1695"/>
      <c r="W556" s="1695"/>
      <c r="X556" s="2052"/>
      <c r="Y556" s="1695"/>
      <c r="Z556" s="1695"/>
      <c r="AA556" s="1695"/>
      <c r="AB556" s="1695"/>
      <c r="AC556" s="1695"/>
      <c r="AD556" s="1695"/>
      <c r="AE556" s="1695"/>
      <c r="AF556" s="1695"/>
      <c r="AG556" s="1282">
        <f t="shared" si="138"/>
        <v>45000</v>
      </c>
    </row>
    <row r="557" spans="1:33" ht="19.5">
      <c r="A557" s="2248">
        <v>4426</v>
      </c>
      <c r="B557" s="2260" t="s">
        <v>1074</v>
      </c>
      <c r="C557" s="2257"/>
      <c r="D557" s="2257"/>
      <c r="E557" s="2257"/>
      <c r="F557" s="2257"/>
      <c r="G557" s="2257"/>
      <c r="H557" s="2257"/>
      <c r="I557" s="2258"/>
      <c r="J557" s="2258"/>
      <c r="K557" s="2259"/>
      <c r="L557" s="2262">
        <v>2318</v>
      </c>
      <c r="M557" s="2257"/>
      <c r="N557" s="2258"/>
      <c r="O557" s="2252">
        <v>114062.5</v>
      </c>
      <c r="P557" s="2251">
        <v>1</v>
      </c>
      <c r="Q557" s="1665">
        <f t="shared" si="140"/>
        <v>114062.5</v>
      </c>
      <c r="R557" s="1658"/>
      <c r="S557" s="2251"/>
      <c r="T557" s="2261"/>
      <c r="U557" s="2252"/>
      <c r="V557" s="2252">
        <v>114062.5</v>
      </c>
      <c r="W557" s="1695"/>
      <c r="X557" s="2052"/>
      <c r="Y557" s="2252"/>
      <c r="Z557" s="1695"/>
      <c r="AA557" s="1695"/>
      <c r="AB557" s="1695"/>
      <c r="AC557" s="1695"/>
      <c r="AD557" s="1695"/>
      <c r="AE557" s="1695"/>
      <c r="AF557" s="1695"/>
      <c r="AG557" s="1282">
        <f t="shared" si="138"/>
        <v>114062.5</v>
      </c>
    </row>
    <row r="558" spans="1:33">
      <c r="A558" s="3399" t="s">
        <v>969</v>
      </c>
      <c r="B558" s="3399"/>
      <c r="C558" s="3399"/>
      <c r="D558" s="3399"/>
      <c r="E558" s="3399"/>
      <c r="F558" s="3399"/>
      <c r="G558" s="3399"/>
      <c r="H558" s="3399"/>
      <c r="I558" s="3399"/>
      <c r="J558" s="1213"/>
      <c r="K558" s="1214"/>
      <c r="L558" s="1213"/>
      <c r="M558" s="1215"/>
      <c r="N558" s="1213"/>
      <c r="O558" s="1216"/>
      <c r="P558" s="1213"/>
      <c r="Q558" s="1217">
        <f>Q559</f>
        <v>322694</v>
      </c>
      <c r="R558" s="1218">
        <v>322694</v>
      </c>
      <c r="S558" s="1217">
        <f t="shared" ref="S558:AF558" si="141">S559</f>
        <v>0</v>
      </c>
      <c r="T558" s="1217">
        <f t="shared" si="141"/>
        <v>322694</v>
      </c>
      <c r="U558" s="1217">
        <f t="shared" si="141"/>
        <v>0</v>
      </c>
      <c r="V558" s="1217">
        <f t="shared" si="141"/>
        <v>0</v>
      </c>
      <c r="W558" s="1217">
        <f t="shared" si="141"/>
        <v>0</v>
      </c>
      <c r="X558" s="1217">
        <f t="shared" si="141"/>
        <v>0</v>
      </c>
      <c r="Y558" s="1217">
        <f t="shared" si="141"/>
        <v>0</v>
      </c>
      <c r="Z558" s="1217">
        <f t="shared" si="141"/>
        <v>0</v>
      </c>
      <c r="AA558" s="1217">
        <f t="shared" si="141"/>
        <v>0</v>
      </c>
      <c r="AB558" s="1217">
        <f t="shared" si="141"/>
        <v>0</v>
      </c>
      <c r="AC558" s="1217">
        <f t="shared" si="141"/>
        <v>0</v>
      </c>
      <c r="AD558" s="1217">
        <f t="shared" si="141"/>
        <v>0</v>
      </c>
      <c r="AE558" s="1217">
        <f t="shared" si="141"/>
        <v>0</v>
      </c>
      <c r="AF558" s="1217">
        <f t="shared" si="141"/>
        <v>0</v>
      </c>
      <c r="AG558" s="1217">
        <f>SUM(S558:AF558)</f>
        <v>322694</v>
      </c>
    </row>
    <row r="559" spans="1:33">
      <c r="A559" s="1219">
        <v>451</v>
      </c>
      <c r="B559" s="1222" t="s">
        <v>970</v>
      </c>
      <c r="C559" s="1222" t="s">
        <v>998</v>
      </c>
      <c r="D559" s="1222"/>
      <c r="E559" s="1222"/>
      <c r="F559" s="1222"/>
      <c r="G559" s="1222"/>
      <c r="H559" s="1222"/>
      <c r="I559" s="1221" t="s">
        <v>169</v>
      </c>
      <c r="J559" s="1221"/>
      <c r="K559" s="1220"/>
      <c r="L559" s="1221"/>
      <c r="M559" s="1222"/>
      <c r="N559" s="1221"/>
      <c r="O559" s="1223"/>
      <c r="P559" s="1221"/>
      <c r="Q559" s="1224">
        <f>Q560</f>
        <v>322694</v>
      </c>
      <c r="R559" s="1225"/>
      <c r="S559" s="1224">
        <f>S560</f>
        <v>0</v>
      </c>
      <c r="T559" s="1224">
        <f t="shared" ref="T559:AF559" si="142">T560</f>
        <v>322694</v>
      </c>
      <c r="U559" s="1224">
        <f t="shared" si="142"/>
        <v>0</v>
      </c>
      <c r="V559" s="1224">
        <f t="shared" si="142"/>
        <v>0</v>
      </c>
      <c r="W559" s="1224">
        <f t="shared" si="142"/>
        <v>0</v>
      </c>
      <c r="X559" s="1224">
        <f t="shared" si="142"/>
        <v>0</v>
      </c>
      <c r="Y559" s="1224">
        <f t="shared" si="142"/>
        <v>0</v>
      </c>
      <c r="Z559" s="1224">
        <f t="shared" si="142"/>
        <v>0</v>
      </c>
      <c r="AA559" s="1224">
        <f t="shared" si="142"/>
        <v>0</v>
      </c>
      <c r="AB559" s="1224">
        <f t="shared" si="142"/>
        <v>0</v>
      </c>
      <c r="AC559" s="1224">
        <f t="shared" si="142"/>
        <v>0</v>
      </c>
      <c r="AD559" s="1224">
        <f t="shared" si="142"/>
        <v>0</v>
      </c>
      <c r="AE559" s="1224">
        <f t="shared" si="142"/>
        <v>0</v>
      </c>
      <c r="AF559" s="1224">
        <f t="shared" si="142"/>
        <v>0</v>
      </c>
      <c r="AG559" s="1224">
        <f>SUM(S559:AF559)</f>
        <v>322694</v>
      </c>
    </row>
    <row r="560" spans="1:33">
      <c r="A560" s="2248">
        <v>4511</v>
      </c>
      <c r="B560" s="2249" t="s">
        <v>970</v>
      </c>
      <c r="C560" s="2249" t="s">
        <v>998</v>
      </c>
      <c r="D560" s="2249"/>
      <c r="E560" s="2249"/>
      <c r="F560" s="2249"/>
      <c r="G560" s="2249"/>
      <c r="H560" s="2249"/>
      <c r="I560" s="2251" t="s">
        <v>169</v>
      </c>
      <c r="J560" s="2251"/>
      <c r="K560" s="2250"/>
      <c r="L560" s="2251">
        <v>2318</v>
      </c>
      <c r="M560" s="2249"/>
      <c r="N560" s="2251"/>
      <c r="O560" s="2253">
        <v>322694</v>
      </c>
      <c r="P560" s="2251">
        <v>1</v>
      </c>
      <c r="Q560" s="2253">
        <f>+O560*P560</f>
        <v>322694</v>
      </c>
      <c r="R560" s="1658"/>
      <c r="S560" s="2253"/>
      <c r="T560" s="2253">
        <v>322694</v>
      </c>
      <c r="U560" s="1695"/>
      <c r="V560" s="1695"/>
      <c r="W560" s="1695"/>
      <c r="X560" s="2052"/>
      <c r="Y560" s="1695"/>
      <c r="Z560" s="1695"/>
      <c r="AA560" s="1695"/>
      <c r="AB560" s="1695"/>
      <c r="AC560" s="1695"/>
      <c r="AD560" s="1695"/>
      <c r="AE560" s="1695"/>
      <c r="AF560" s="1695"/>
      <c r="AG560" s="1282">
        <f>SUM(S560:AF560)</f>
        <v>322694</v>
      </c>
    </row>
    <row r="561" spans="1:33" ht="33.75" customHeight="1">
      <c r="A561" s="1815" t="s">
        <v>279</v>
      </c>
      <c r="B561" s="836"/>
      <c r="C561" s="1816"/>
      <c r="D561" s="1818"/>
      <c r="E561" s="1818"/>
      <c r="F561" s="1818"/>
      <c r="G561" s="1818"/>
      <c r="H561" s="1818"/>
      <c r="I561" s="1818"/>
      <c r="J561" s="835"/>
      <c r="K561" s="1815"/>
      <c r="L561" s="1817"/>
      <c r="M561" s="1818"/>
      <c r="N561" s="1819"/>
      <c r="O561" s="1820"/>
      <c r="P561" s="1819"/>
      <c r="Q561" s="1821"/>
      <c r="R561" s="1822"/>
      <c r="S561" s="1860"/>
      <c r="T561" s="1860"/>
      <c r="U561" s="1860"/>
      <c r="V561" s="1860"/>
      <c r="W561" s="1860"/>
      <c r="X561" s="1861"/>
      <c r="Y561" s="1862"/>
      <c r="Z561" s="1863"/>
      <c r="AA561" s="1863"/>
      <c r="AB561" s="1863"/>
      <c r="AC561" s="1863"/>
      <c r="AD561" s="1863"/>
      <c r="AE561" s="1863"/>
      <c r="AF561" s="1863"/>
      <c r="AG561" s="1821"/>
    </row>
    <row r="562" spans="1:33" ht="30" customHeight="1">
      <c r="A562" s="1248" t="s">
        <v>280</v>
      </c>
      <c r="B562" s="274"/>
      <c r="C562" s="278"/>
      <c r="D562" s="1270"/>
      <c r="E562" s="1270"/>
      <c r="F562" s="1270"/>
      <c r="G562" s="1270"/>
      <c r="H562" s="1270"/>
      <c r="I562" s="1270"/>
      <c r="J562" s="273"/>
      <c r="K562" s="1248"/>
      <c r="L562" s="1269"/>
      <c r="M562" s="1270"/>
      <c r="N562" s="1268"/>
      <c r="O562" s="1271"/>
      <c r="P562" s="1268"/>
      <c r="Q562" s="1272"/>
      <c r="R562" s="1273"/>
      <c r="S562" s="1248"/>
      <c r="T562" s="1248"/>
      <c r="U562" s="1248"/>
      <c r="V562" s="1270"/>
      <c r="W562" s="1270"/>
      <c r="X562" s="1437"/>
      <c r="Y562" s="1438"/>
      <c r="Z562" s="1070"/>
      <c r="AA562" s="1070"/>
      <c r="AB562" s="1070"/>
      <c r="AC562" s="1070"/>
      <c r="AD562" s="1070"/>
      <c r="AE562" s="1070"/>
      <c r="AF562" s="1070"/>
      <c r="AG562" s="1272"/>
    </row>
    <row r="563" spans="1:33" ht="16.5" customHeight="1">
      <c r="A563" s="1275">
        <v>511</v>
      </c>
      <c r="B563" s="359"/>
      <c r="C563" s="1021"/>
      <c r="D563" s="1280"/>
      <c r="E563" s="1280"/>
      <c r="F563" s="1280"/>
      <c r="G563" s="1280"/>
      <c r="H563" s="1280"/>
      <c r="I563" s="1280"/>
      <c r="J563" s="283"/>
      <c r="K563" s="1278"/>
      <c r="L563" s="1279"/>
      <c r="M563" s="1280"/>
      <c r="N563" s="1277"/>
      <c r="O563" s="1281"/>
      <c r="P563" s="1277"/>
      <c r="Q563" s="1395"/>
      <c r="R563" s="287"/>
      <c r="S563" s="362"/>
      <c r="T563" s="362"/>
      <c r="U563" s="362"/>
      <c r="V563" s="362"/>
      <c r="W563" s="362"/>
      <c r="X563" s="1139"/>
      <c r="Y563" s="1134"/>
      <c r="Z563" s="1134"/>
      <c r="AA563" s="1134"/>
      <c r="AB563" s="1134"/>
      <c r="AC563" s="1134"/>
      <c r="AD563" s="1134"/>
      <c r="AE563" s="1134"/>
      <c r="AF563" s="1134"/>
      <c r="AG563" s="1395"/>
    </row>
    <row r="564" spans="1:33">
      <c r="A564" s="294">
        <v>5111</v>
      </c>
      <c r="B564" s="973"/>
      <c r="C564" s="824"/>
      <c r="D564" s="326"/>
      <c r="E564" s="294"/>
      <c r="F564" s="293"/>
      <c r="G564" s="293"/>
      <c r="H564" s="293"/>
      <c r="I564" s="294"/>
      <c r="J564" s="307"/>
      <c r="K564" s="326"/>
      <c r="L564" s="1237"/>
      <c r="M564" s="326"/>
      <c r="N564" s="294"/>
      <c r="O564" s="354"/>
      <c r="P564" s="294"/>
      <c r="Q564" s="355"/>
      <c r="R564" s="299"/>
      <c r="S564" s="355"/>
      <c r="T564" s="355"/>
      <c r="U564" s="355"/>
      <c r="V564" s="355"/>
      <c r="W564" s="355"/>
      <c r="X564" s="1137"/>
      <c r="Y564" s="1126"/>
      <c r="Z564" s="1126"/>
      <c r="AA564" s="1126"/>
      <c r="AB564" s="1126"/>
      <c r="AC564" s="1126"/>
      <c r="AD564" s="1126"/>
      <c r="AE564" s="1126"/>
      <c r="AF564" s="1126"/>
      <c r="AG564" s="1282">
        <f>SUM(S564:AF564)</f>
        <v>0</v>
      </c>
    </row>
    <row r="565" spans="1:33" ht="33.75" customHeight="1">
      <c r="A565" s="1864" t="s">
        <v>964</v>
      </c>
      <c r="B565" s="1865"/>
      <c r="C565" s="1866"/>
      <c r="D565" s="1867"/>
      <c r="E565" s="1867"/>
      <c r="F565" s="1867"/>
      <c r="G565" s="1867"/>
      <c r="H565" s="1867"/>
      <c r="I565" s="1868"/>
      <c r="J565" s="841"/>
      <c r="K565" s="1869"/>
      <c r="L565" s="1870"/>
      <c r="M565" s="1871"/>
      <c r="N565" s="1871"/>
      <c r="O565" s="1872"/>
      <c r="P565" s="1871"/>
      <c r="Q565" s="1872">
        <f>Q566+Q571+Q576</f>
        <v>129744.98000000001</v>
      </c>
      <c r="R565" s="1873">
        <f>+R566+R571+R576</f>
        <v>129747.66</v>
      </c>
      <c r="S565" s="1872">
        <f t="shared" ref="S565:AG565" si="143">S566+S571+S576</f>
        <v>0</v>
      </c>
      <c r="T565" s="1872">
        <f t="shared" si="143"/>
        <v>10350</v>
      </c>
      <c r="U565" s="1872">
        <f t="shared" si="143"/>
        <v>27783</v>
      </c>
      <c r="V565" s="1872">
        <f t="shared" si="143"/>
        <v>30319.986666666668</v>
      </c>
      <c r="W565" s="1872">
        <f t="shared" si="143"/>
        <v>35925.993333333332</v>
      </c>
      <c r="X565" s="1872">
        <f t="shared" si="143"/>
        <v>25366</v>
      </c>
      <c r="Y565" s="1872">
        <f t="shared" si="143"/>
        <v>0</v>
      </c>
      <c r="Z565" s="842">
        <f t="shared" si="143"/>
        <v>0</v>
      </c>
      <c r="AA565" s="842">
        <f t="shared" si="143"/>
        <v>0</v>
      </c>
      <c r="AB565" s="842">
        <f t="shared" si="143"/>
        <v>0</v>
      </c>
      <c r="AC565" s="842">
        <f t="shared" si="143"/>
        <v>0</v>
      </c>
      <c r="AD565" s="842">
        <f t="shared" si="143"/>
        <v>0</v>
      </c>
      <c r="AE565" s="842">
        <f t="shared" si="143"/>
        <v>0</v>
      </c>
      <c r="AF565" s="842">
        <f t="shared" si="143"/>
        <v>0</v>
      </c>
      <c r="AG565" s="1872">
        <f t="shared" si="143"/>
        <v>129744.98</v>
      </c>
    </row>
    <row r="566" spans="1:33" ht="33" customHeight="1">
      <c r="A566" s="1248" t="s">
        <v>282</v>
      </c>
      <c r="B566" s="274"/>
      <c r="C566" s="278"/>
      <c r="D566" s="1270"/>
      <c r="E566" s="1270"/>
      <c r="F566" s="1270"/>
      <c r="G566" s="1270"/>
      <c r="H566" s="1270"/>
      <c r="I566" s="1270"/>
      <c r="J566" s="273"/>
      <c r="K566" s="1248"/>
      <c r="L566" s="1269"/>
      <c r="M566" s="1270"/>
      <c r="N566" s="1268"/>
      <c r="O566" s="1271"/>
      <c r="P566" s="1268"/>
      <c r="Q566" s="1272">
        <f>+Q567+Q569</f>
        <v>0</v>
      </c>
      <c r="R566" s="1273"/>
      <c r="S566" s="1272">
        <f t="shared" ref="S566:AG566" si="144">+S567+S569</f>
        <v>0</v>
      </c>
      <c r="T566" s="1272">
        <f t="shared" si="144"/>
        <v>0</v>
      </c>
      <c r="U566" s="1272">
        <f t="shared" si="144"/>
        <v>0</v>
      </c>
      <c r="V566" s="1272">
        <f t="shared" si="144"/>
        <v>0</v>
      </c>
      <c r="W566" s="1272">
        <f t="shared" si="144"/>
        <v>0</v>
      </c>
      <c r="X566" s="1272">
        <f t="shared" si="144"/>
        <v>0</v>
      </c>
      <c r="Y566" s="1272">
        <f t="shared" si="144"/>
        <v>0</v>
      </c>
      <c r="Z566" s="276">
        <f t="shared" si="144"/>
        <v>0</v>
      </c>
      <c r="AA566" s="276">
        <f t="shared" si="144"/>
        <v>0</v>
      </c>
      <c r="AB566" s="276">
        <f t="shared" si="144"/>
        <v>0</v>
      </c>
      <c r="AC566" s="276">
        <f t="shared" si="144"/>
        <v>0</v>
      </c>
      <c r="AD566" s="276">
        <f t="shared" si="144"/>
        <v>0</v>
      </c>
      <c r="AE566" s="276">
        <f t="shared" si="144"/>
        <v>0</v>
      </c>
      <c r="AF566" s="276">
        <f t="shared" si="144"/>
        <v>0</v>
      </c>
      <c r="AG566" s="1272">
        <f t="shared" si="144"/>
        <v>0</v>
      </c>
    </row>
    <row r="567" spans="1:33" ht="16.5" customHeight="1">
      <c r="A567" s="1275">
        <v>611</v>
      </c>
      <c r="B567" s="359"/>
      <c r="C567" s="1021"/>
      <c r="D567" s="1280"/>
      <c r="E567" s="1280"/>
      <c r="F567" s="1280"/>
      <c r="G567" s="1280"/>
      <c r="H567" s="1280"/>
      <c r="I567" s="1280"/>
      <c r="J567" s="283"/>
      <c r="K567" s="1278"/>
      <c r="L567" s="1279"/>
      <c r="M567" s="1280"/>
      <c r="N567" s="1277"/>
      <c r="O567" s="1281"/>
      <c r="P567" s="1277"/>
      <c r="Q567" s="1395">
        <f>SUM(Q568:Q568)</f>
        <v>0</v>
      </c>
      <c r="R567" s="287"/>
      <c r="S567" s="1395">
        <f t="shared" ref="S567:AF567" si="145">SUM(S568:S568)</f>
        <v>0</v>
      </c>
      <c r="T567" s="1395">
        <f t="shared" si="145"/>
        <v>0</v>
      </c>
      <c r="U567" s="1395">
        <f t="shared" si="145"/>
        <v>0</v>
      </c>
      <c r="V567" s="1395">
        <f t="shared" si="145"/>
        <v>0</v>
      </c>
      <c r="W567" s="1395">
        <f t="shared" si="145"/>
        <v>0</v>
      </c>
      <c r="X567" s="1395">
        <f t="shared" si="145"/>
        <v>0</v>
      </c>
      <c r="Y567" s="1395">
        <f t="shared" si="145"/>
        <v>0</v>
      </c>
      <c r="Z567" s="361">
        <f t="shared" si="145"/>
        <v>0</v>
      </c>
      <c r="AA567" s="361">
        <f t="shared" si="145"/>
        <v>0</v>
      </c>
      <c r="AB567" s="361">
        <f t="shared" si="145"/>
        <v>0</v>
      </c>
      <c r="AC567" s="361">
        <f t="shared" si="145"/>
        <v>0</v>
      </c>
      <c r="AD567" s="361">
        <f t="shared" si="145"/>
        <v>0</v>
      </c>
      <c r="AE567" s="361">
        <f t="shared" si="145"/>
        <v>0</v>
      </c>
      <c r="AF567" s="361">
        <f t="shared" si="145"/>
        <v>0</v>
      </c>
      <c r="AG567" s="1395">
        <f>SUM(S567:AF567)</f>
        <v>0</v>
      </c>
    </row>
    <row r="568" spans="1:33">
      <c r="A568" s="294">
        <v>6111</v>
      </c>
      <c r="B568" s="973"/>
      <c r="C568" s="824"/>
      <c r="D568" s="326"/>
      <c r="E568" s="294"/>
      <c r="F568" s="293"/>
      <c r="G568" s="293"/>
      <c r="H568" s="293"/>
      <c r="I568" s="294"/>
      <c r="J568" s="307"/>
      <c r="K568" s="326"/>
      <c r="L568" s="1237"/>
      <c r="M568" s="326"/>
      <c r="N568" s="294"/>
      <c r="O568" s="354"/>
      <c r="P568" s="294"/>
      <c r="Q568" s="355"/>
      <c r="R568" s="299"/>
      <c r="S568" s="355"/>
      <c r="T568" s="355"/>
      <c r="U568" s="355"/>
      <c r="V568" s="355"/>
      <c r="W568" s="355"/>
      <c r="X568" s="1137"/>
      <c r="Y568" s="1126"/>
      <c r="Z568" s="1126"/>
      <c r="AA568" s="1126"/>
      <c r="AB568" s="1126"/>
      <c r="AC568" s="1126"/>
      <c r="AD568" s="1126"/>
      <c r="AE568" s="1126"/>
      <c r="AF568" s="1126"/>
      <c r="AG568" s="1282">
        <f>SUM(S568:AF568)</f>
        <v>0</v>
      </c>
    </row>
    <row r="569" spans="1:33" ht="16.5" customHeight="1">
      <c r="A569" s="1275">
        <v>612</v>
      </c>
      <c r="B569" s="359"/>
      <c r="C569" s="1021"/>
      <c r="D569" s="1280"/>
      <c r="E569" s="1280"/>
      <c r="F569" s="1280"/>
      <c r="G569" s="1280"/>
      <c r="H569" s="1280"/>
      <c r="I569" s="1280"/>
      <c r="J569" s="283"/>
      <c r="K569" s="1278"/>
      <c r="L569" s="1279"/>
      <c r="M569" s="1280"/>
      <c r="N569" s="1277"/>
      <c r="O569" s="1281"/>
      <c r="P569" s="1277"/>
      <c r="Q569" s="1395">
        <f>SUM(Q570:Q570)</f>
        <v>0</v>
      </c>
      <c r="R569" s="287"/>
      <c r="S569" s="1395">
        <f t="shared" ref="S569:AF569" si="146">SUM(S570:S570)</f>
        <v>0</v>
      </c>
      <c r="T569" s="1395">
        <f t="shared" si="146"/>
        <v>0</v>
      </c>
      <c r="U569" s="1395">
        <f t="shared" si="146"/>
        <v>0</v>
      </c>
      <c r="V569" s="1395">
        <f t="shared" si="146"/>
        <v>0</v>
      </c>
      <c r="W569" s="1395">
        <f t="shared" si="146"/>
        <v>0</v>
      </c>
      <c r="X569" s="1395">
        <f t="shared" si="146"/>
        <v>0</v>
      </c>
      <c r="Y569" s="1395">
        <f t="shared" si="146"/>
        <v>0</v>
      </c>
      <c r="Z569" s="361">
        <f t="shared" si="146"/>
        <v>0</v>
      </c>
      <c r="AA569" s="361">
        <f t="shared" si="146"/>
        <v>0</v>
      </c>
      <c r="AB569" s="361">
        <f t="shared" si="146"/>
        <v>0</v>
      </c>
      <c r="AC569" s="361">
        <f t="shared" si="146"/>
        <v>0</v>
      </c>
      <c r="AD569" s="361">
        <f t="shared" si="146"/>
        <v>0</v>
      </c>
      <c r="AE569" s="361">
        <f t="shared" si="146"/>
        <v>0</v>
      </c>
      <c r="AF569" s="361">
        <f t="shared" si="146"/>
        <v>0</v>
      </c>
      <c r="AG569" s="1395">
        <f>SUM(S569:AF569)</f>
        <v>0</v>
      </c>
    </row>
    <row r="570" spans="1:33">
      <c r="A570" s="294">
        <v>6121</v>
      </c>
      <c r="B570" s="973"/>
      <c r="C570" s="824"/>
      <c r="D570" s="326"/>
      <c r="E570" s="294"/>
      <c r="F570" s="293"/>
      <c r="G570" s="293"/>
      <c r="H570" s="293"/>
      <c r="I570" s="294"/>
      <c r="J570" s="307"/>
      <c r="K570" s="326"/>
      <c r="L570" s="1237"/>
      <c r="M570" s="326"/>
      <c r="N570" s="294"/>
      <c r="O570" s="354"/>
      <c r="P570" s="294"/>
      <c r="Q570" s="355"/>
      <c r="R570" s="299"/>
      <c r="S570" s="355"/>
      <c r="T570" s="355"/>
      <c r="U570" s="355"/>
      <c r="V570" s="355"/>
      <c r="W570" s="355"/>
      <c r="X570" s="1137"/>
      <c r="Y570" s="1126"/>
      <c r="Z570" s="1126"/>
      <c r="AA570" s="1126"/>
      <c r="AB570" s="1126"/>
      <c r="AC570" s="1126"/>
      <c r="AD570" s="1126"/>
      <c r="AE570" s="1126"/>
      <c r="AF570" s="1126"/>
      <c r="AG570" s="1282">
        <f>SUM(S570:AF570)</f>
        <v>0</v>
      </c>
    </row>
    <row r="571" spans="1:33" ht="38.25" customHeight="1">
      <c r="A571" s="1553" t="s">
        <v>283</v>
      </c>
      <c r="B571" s="1542"/>
      <c r="C571" s="1500"/>
      <c r="D571" s="1450"/>
      <c r="E571" s="1450"/>
      <c r="F571" s="1450"/>
      <c r="G571" s="1450"/>
      <c r="H571" s="1450"/>
      <c r="I571" s="1451"/>
      <c r="J571" s="273"/>
      <c r="K571" s="1248"/>
      <c r="L571" s="1269"/>
      <c r="M571" s="1270"/>
      <c r="N571" s="1268"/>
      <c r="O571" s="1271"/>
      <c r="P571" s="1268"/>
      <c r="Q571" s="1272">
        <f>+Q572+Q574</f>
        <v>0</v>
      </c>
      <c r="R571" s="1273"/>
      <c r="S571" s="1272">
        <f t="shared" ref="S571:AG571" si="147">+S572+S574</f>
        <v>0</v>
      </c>
      <c r="T571" s="1272">
        <f t="shared" si="147"/>
        <v>0</v>
      </c>
      <c r="U571" s="1272">
        <f t="shared" si="147"/>
        <v>0</v>
      </c>
      <c r="V571" s="1272">
        <f t="shared" si="147"/>
        <v>0</v>
      </c>
      <c r="W571" s="1272">
        <f t="shared" si="147"/>
        <v>0</v>
      </c>
      <c r="X571" s="1272">
        <f t="shared" si="147"/>
        <v>0</v>
      </c>
      <c r="Y571" s="1272">
        <f t="shared" si="147"/>
        <v>0</v>
      </c>
      <c r="Z571" s="276">
        <f t="shared" si="147"/>
        <v>0</v>
      </c>
      <c r="AA571" s="276">
        <f t="shared" si="147"/>
        <v>0</v>
      </c>
      <c r="AB571" s="276">
        <f t="shared" si="147"/>
        <v>0</v>
      </c>
      <c r="AC571" s="276">
        <f t="shared" si="147"/>
        <v>0</v>
      </c>
      <c r="AD571" s="276">
        <f t="shared" si="147"/>
        <v>0</v>
      </c>
      <c r="AE571" s="276">
        <f t="shared" si="147"/>
        <v>0</v>
      </c>
      <c r="AF571" s="276">
        <f t="shared" si="147"/>
        <v>0</v>
      </c>
      <c r="AG571" s="1272">
        <f t="shared" si="147"/>
        <v>0</v>
      </c>
    </row>
    <row r="572" spans="1:33" ht="16.5" customHeight="1">
      <c r="A572" s="1275">
        <v>621</v>
      </c>
      <c r="B572" s="359"/>
      <c r="C572" s="1021"/>
      <c r="D572" s="1280"/>
      <c r="E572" s="1280"/>
      <c r="F572" s="1280"/>
      <c r="G572" s="1280"/>
      <c r="H572" s="1280"/>
      <c r="I572" s="1280"/>
      <c r="J572" s="283"/>
      <c r="K572" s="1278"/>
      <c r="L572" s="1279"/>
      <c r="M572" s="1280"/>
      <c r="N572" s="1277"/>
      <c r="O572" s="1281"/>
      <c r="P572" s="1277"/>
      <c r="Q572" s="1395">
        <f>SUM(Q573:Q573)</f>
        <v>0</v>
      </c>
      <c r="R572" s="287"/>
      <c r="S572" s="1395">
        <f t="shared" ref="S572:AF572" si="148">SUM(S573:S573)</f>
        <v>0</v>
      </c>
      <c r="T572" s="1395">
        <f t="shared" si="148"/>
        <v>0</v>
      </c>
      <c r="U572" s="1395">
        <f t="shared" si="148"/>
        <v>0</v>
      </c>
      <c r="V572" s="1395">
        <f t="shared" si="148"/>
        <v>0</v>
      </c>
      <c r="W572" s="1395">
        <f t="shared" si="148"/>
        <v>0</v>
      </c>
      <c r="X572" s="1395">
        <f t="shared" si="148"/>
        <v>0</v>
      </c>
      <c r="Y572" s="1395">
        <f t="shared" si="148"/>
        <v>0</v>
      </c>
      <c r="Z572" s="361">
        <f t="shared" si="148"/>
        <v>0</v>
      </c>
      <c r="AA572" s="361">
        <f t="shared" si="148"/>
        <v>0</v>
      </c>
      <c r="AB572" s="361">
        <f t="shared" si="148"/>
        <v>0</v>
      </c>
      <c r="AC572" s="361">
        <f t="shared" si="148"/>
        <v>0</v>
      </c>
      <c r="AD572" s="361">
        <f t="shared" si="148"/>
        <v>0</v>
      </c>
      <c r="AE572" s="361">
        <f t="shared" si="148"/>
        <v>0</v>
      </c>
      <c r="AF572" s="361">
        <f t="shared" si="148"/>
        <v>0</v>
      </c>
      <c r="AG572" s="1395">
        <f>SUM(S572:AF572)</f>
        <v>0</v>
      </c>
    </row>
    <row r="573" spans="1:33">
      <c r="A573" s="294">
        <v>6211</v>
      </c>
      <c r="B573" s="973"/>
      <c r="C573" s="824"/>
      <c r="D573" s="326"/>
      <c r="E573" s="294"/>
      <c r="F573" s="293"/>
      <c r="G573" s="293"/>
      <c r="H573" s="293"/>
      <c r="I573" s="294"/>
      <c r="J573" s="307"/>
      <c r="K573" s="326"/>
      <c r="L573" s="1237"/>
      <c r="M573" s="326"/>
      <c r="N573" s="294"/>
      <c r="O573" s="354"/>
      <c r="P573" s="294"/>
      <c r="Q573" s="355"/>
      <c r="R573" s="299"/>
      <c r="S573" s="355"/>
      <c r="T573" s="355"/>
      <c r="U573" s="355"/>
      <c r="V573" s="355"/>
      <c r="W573" s="355"/>
      <c r="X573" s="1137"/>
      <c r="Y573" s="1126"/>
      <c r="Z573" s="1126"/>
      <c r="AA573" s="1126"/>
      <c r="AB573" s="1126"/>
      <c r="AC573" s="1126"/>
      <c r="AD573" s="1126"/>
      <c r="AE573" s="1126"/>
      <c r="AF573" s="1126"/>
      <c r="AG573" s="1282">
        <f>SUM(S573:AF573)</f>
        <v>0</v>
      </c>
    </row>
    <row r="574" spans="1:33" ht="16.5" customHeight="1">
      <c r="A574" s="1275">
        <v>622</v>
      </c>
      <c r="B574" s="359"/>
      <c r="C574" s="1021"/>
      <c r="D574" s="1280"/>
      <c r="E574" s="1280"/>
      <c r="F574" s="1280"/>
      <c r="G574" s="1280"/>
      <c r="H574" s="1280"/>
      <c r="I574" s="1280"/>
      <c r="J574" s="283"/>
      <c r="K574" s="1278"/>
      <c r="L574" s="1279"/>
      <c r="M574" s="1280"/>
      <c r="N574" s="1277"/>
      <c r="O574" s="1281"/>
      <c r="P574" s="1277"/>
      <c r="Q574" s="1395">
        <f>SUM(Q575:Q575)</f>
        <v>0</v>
      </c>
      <c r="R574" s="287"/>
      <c r="S574" s="1395">
        <f t="shared" ref="S574:AF574" si="149">SUM(S575:S575)</f>
        <v>0</v>
      </c>
      <c r="T574" s="1395">
        <f t="shared" si="149"/>
        <v>0</v>
      </c>
      <c r="U574" s="1395">
        <f t="shared" si="149"/>
        <v>0</v>
      </c>
      <c r="V574" s="1395">
        <f t="shared" si="149"/>
        <v>0</v>
      </c>
      <c r="W574" s="1395">
        <f t="shared" si="149"/>
        <v>0</v>
      </c>
      <c r="X574" s="1395">
        <f t="shared" si="149"/>
        <v>0</v>
      </c>
      <c r="Y574" s="1395">
        <f t="shared" si="149"/>
        <v>0</v>
      </c>
      <c r="Z574" s="361">
        <f t="shared" si="149"/>
        <v>0</v>
      </c>
      <c r="AA574" s="361">
        <f t="shared" si="149"/>
        <v>0</v>
      </c>
      <c r="AB574" s="361">
        <f t="shared" si="149"/>
        <v>0</v>
      </c>
      <c r="AC574" s="361">
        <f t="shared" si="149"/>
        <v>0</v>
      </c>
      <c r="AD574" s="361">
        <f t="shared" si="149"/>
        <v>0</v>
      </c>
      <c r="AE574" s="361">
        <f t="shared" si="149"/>
        <v>0</v>
      </c>
      <c r="AF574" s="361">
        <f t="shared" si="149"/>
        <v>0</v>
      </c>
      <c r="AG574" s="1395">
        <f>SUM(S574:AF574)</f>
        <v>0</v>
      </c>
    </row>
    <row r="575" spans="1:33">
      <c r="A575" s="294">
        <v>6221</v>
      </c>
      <c r="B575" s="973"/>
      <c r="C575" s="824"/>
      <c r="D575" s="326"/>
      <c r="E575" s="294"/>
      <c r="F575" s="293"/>
      <c r="G575" s="293"/>
      <c r="H575" s="293"/>
      <c r="I575" s="294"/>
      <c r="J575" s="307"/>
      <c r="K575" s="326"/>
      <c r="L575" s="1237"/>
      <c r="M575" s="326"/>
      <c r="N575" s="294"/>
      <c r="O575" s="354"/>
      <c r="P575" s="294"/>
      <c r="Q575" s="355"/>
      <c r="R575" s="299"/>
      <c r="S575" s="355"/>
      <c r="T575" s="355"/>
      <c r="U575" s="355"/>
      <c r="V575" s="355"/>
      <c r="W575" s="355"/>
      <c r="X575" s="1137"/>
      <c r="Y575" s="1126"/>
      <c r="Z575" s="1126"/>
      <c r="AA575" s="1126"/>
      <c r="AB575" s="1126"/>
      <c r="AC575" s="1126"/>
      <c r="AD575" s="1126"/>
      <c r="AE575" s="1126"/>
      <c r="AF575" s="1126"/>
      <c r="AG575" s="1282">
        <f>SUM(S575:AF575)</f>
        <v>0</v>
      </c>
    </row>
    <row r="576" spans="1:33" ht="38.25" customHeight="1">
      <c r="A576" s="1248" t="s">
        <v>284</v>
      </c>
      <c r="B576" s="274"/>
      <c r="C576" s="278"/>
      <c r="D576" s="1270"/>
      <c r="E576" s="1270"/>
      <c r="F576" s="1270"/>
      <c r="G576" s="1270"/>
      <c r="H576" s="1270"/>
      <c r="I576" s="1270"/>
      <c r="J576" s="273"/>
      <c r="K576" s="1248"/>
      <c r="L576" s="1269"/>
      <c r="M576" s="1270"/>
      <c r="N576" s="1268"/>
      <c r="O576" s="1271"/>
      <c r="P576" s="1268"/>
      <c r="Q576" s="1272">
        <f>Q577+Q585</f>
        <v>129744.98000000001</v>
      </c>
      <c r="R576" s="1273">
        <f>+'[7]Compil Costing PPA 3 millions'!F20</f>
        <v>129747.66</v>
      </c>
      <c r="S576" s="1272">
        <f t="shared" ref="S576:AG576" si="150">S577+S585</f>
        <v>0</v>
      </c>
      <c r="T576" s="1272">
        <f t="shared" si="150"/>
        <v>10350</v>
      </c>
      <c r="U576" s="1272">
        <f t="shared" si="150"/>
        <v>27783</v>
      </c>
      <c r="V576" s="1272">
        <f t="shared" si="150"/>
        <v>30319.986666666668</v>
      </c>
      <c r="W576" s="1272">
        <f t="shared" si="150"/>
        <v>35925.993333333332</v>
      </c>
      <c r="X576" s="1272">
        <f t="shared" si="150"/>
        <v>25366</v>
      </c>
      <c r="Y576" s="1272">
        <f t="shared" si="150"/>
        <v>0</v>
      </c>
      <c r="Z576" s="276">
        <f t="shared" si="150"/>
        <v>0</v>
      </c>
      <c r="AA576" s="276">
        <f t="shared" si="150"/>
        <v>0</v>
      </c>
      <c r="AB576" s="276">
        <f t="shared" si="150"/>
        <v>0</v>
      </c>
      <c r="AC576" s="276">
        <f t="shared" si="150"/>
        <v>0</v>
      </c>
      <c r="AD576" s="276">
        <f t="shared" si="150"/>
        <v>0</v>
      </c>
      <c r="AE576" s="276">
        <f t="shared" si="150"/>
        <v>0</v>
      </c>
      <c r="AF576" s="276">
        <f t="shared" si="150"/>
        <v>0</v>
      </c>
      <c r="AG576" s="1272">
        <f t="shared" si="150"/>
        <v>129744.98</v>
      </c>
    </row>
    <row r="577" spans="1:33" ht="47.25">
      <c r="A577" s="1275">
        <v>631</v>
      </c>
      <c r="B577" s="359" t="s">
        <v>140</v>
      </c>
      <c r="C577" s="1021"/>
      <c r="D577" s="1280"/>
      <c r="E577" s="1280"/>
      <c r="F577" s="1280"/>
      <c r="G577" s="1280"/>
      <c r="H577" s="1280"/>
      <c r="I577" s="1280"/>
      <c r="J577" s="283"/>
      <c r="K577" s="1278"/>
      <c r="L577" s="1279"/>
      <c r="M577" s="1280"/>
      <c r="N577" s="1277"/>
      <c r="O577" s="1281"/>
      <c r="P577" s="1277"/>
      <c r="Q577" s="1282">
        <f>SUM(Q578:Q584)</f>
        <v>39400.000000000007</v>
      </c>
      <c r="R577" s="287"/>
      <c r="S577" s="1282">
        <f t="shared" ref="S577:AF577" si="151">SUM(S578:S584)</f>
        <v>0</v>
      </c>
      <c r="T577" s="1282">
        <f t="shared" si="151"/>
        <v>3600</v>
      </c>
      <c r="U577" s="1282">
        <f t="shared" si="151"/>
        <v>10200</v>
      </c>
      <c r="V577" s="1282">
        <f t="shared" si="151"/>
        <v>10200</v>
      </c>
      <c r="W577" s="1282">
        <f t="shared" si="151"/>
        <v>8200.0000000000018</v>
      </c>
      <c r="X577" s="1282">
        <f t="shared" si="151"/>
        <v>7200</v>
      </c>
      <c r="Y577" s="1282">
        <f t="shared" si="151"/>
        <v>0</v>
      </c>
      <c r="Z577" s="1282">
        <f t="shared" si="151"/>
        <v>0</v>
      </c>
      <c r="AA577" s="1282">
        <f t="shared" si="151"/>
        <v>0</v>
      </c>
      <c r="AB577" s="1282">
        <f t="shared" si="151"/>
        <v>0</v>
      </c>
      <c r="AC577" s="1282">
        <f t="shared" si="151"/>
        <v>0</v>
      </c>
      <c r="AD577" s="1282">
        <f t="shared" si="151"/>
        <v>0</v>
      </c>
      <c r="AE577" s="1282">
        <f t="shared" si="151"/>
        <v>0</v>
      </c>
      <c r="AF577" s="1282">
        <f t="shared" si="151"/>
        <v>0</v>
      </c>
      <c r="AG577" s="1282">
        <f>SUM(S577:AF577)</f>
        <v>39400</v>
      </c>
    </row>
    <row r="578" spans="1:33">
      <c r="A578" s="294">
        <v>6311</v>
      </c>
      <c r="B578" s="291" t="s">
        <v>404</v>
      </c>
      <c r="C578" s="824" t="s">
        <v>405</v>
      </c>
      <c r="D578" s="326"/>
      <c r="E578" s="294"/>
      <c r="F578" s="1012">
        <v>43205</v>
      </c>
      <c r="G578" s="1012">
        <v>43342</v>
      </c>
      <c r="H578" s="1874" t="s">
        <v>406</v>
      </c>
      <c r="I578" s="294" t="s">
        <v>181</v>
      </c>
      <c r="J578" s="307" t="s">
        <v>407</v>
      </c>
      <c r="K578" s="326" t="s">
        <v>408</v>
      </c>
      <c r="L578" s="1237">
        <v>2313</v>
      </c>
      <c r="M578" s="326"/>
      <c r="N578" s="294"/>
      <c r="O578" s="354">
        <v>18000</v>
      </c>
      <c r="P578" s="1014">
        <v>1</v>
      </c>
      <c r="Q578" s="487">
        <f t="shared" ref="Q578:Q584" si="152">O578*P578</f>
        <v>18000</v>
      </c>
      <c r="R578" s="299"/>
      <c r="S578" s="299"/>
      <c r="T578" s="299">
        <v>3600</v>
      </c>
      <c r="U578" s="299"/>
      <c r="V578" s="299"/>
      <c r="W578" s="299">
        <v>7200</v>
      </c>
      <c r="X578" s="1142">
        <v>7200</v>
      </c>
      <c r="Y578" s="1127"/>
      <c r="Z578" s="1127"/>
      <c r="AA578" s="1127"/>
      <c r="AB578" s="1127"/>
      <c r="AC578" s="1127"/>
      <c r="AD578" s="1127"/>
      <c r="AE578" s="1127"/>
      <c r="AF578" s="1127"/>
      <c r="AG578" s="1282">
        <f t="shared" ref="AG578:AG584" si="153">SUM(S578:AF578)</f>
        <v>18000</v>
      </c>
    </row>
    <row r="579" spans="1:33" ht="94.5">
      <c r="A579" s="294">
        <v>6312</v>
      </c>
      <c r="B579" s="291" t="s">
        <v>409</v>
      </c>
      <c r="C579" s="824" t="s">
        <v>410</v>
      </c>
      <c r="D579" s="326"/>
      <c r="E579" s="294"/>
      <c r="F579" s="293">
        <v>43241</v>
      </c>
      <c r="G579" s="293">
        <v>43273</v>
      </c>
      <c r="H579" s="1875" t="s">
        <v>406</v>
      </c>
      <c r="I579" s="294" t="s">
        <v>181</v>
      </c>
      <c r="J579" s="307" t="s">
        <v>411</v>
      </c>
      <c r="K579" s="326" t="s">
        <v>412</v>
      </c>
      <c r="L579" s="1237">
        <v>23174</v>
      </c>
      <c r="M579" s="326"/>
      <c r="N579" s="294"/>
      <c r="O579" s="354">
        <v>2100</v>
      </c>
      <c r="P579" s="1014">
        <v>4</v>
      </c>
      <c r="Q579" s="355">
        <f t="shared" si="152"/>
        <v>8400</v>
      </c>
      <c r="R579" s="299"/>
      <c r="S579" s="299"/>
      <c r="T579" s="299"/>
      <c r="U579" s="299">
        <v>4200</v>
      </c>
      <c r="V579" s="299">
        <v>4200</v>
      </c>
      <c r="W579" s="299"/>
      <c r="X579" s="1142"/>
      <c r="Y579" s="1127"/>
      <c r="Z579" s="1127"/>
      <c r="AA579" s="1127"/>
      <c r="AB579" s="1127"/>
      <c r="AC579" s="1127"/>
      <c r="AD579" s="1127"/>
      <c r="AE579" s="1127"/>
      <c r="AF579" s="1127"/>
      <c r="AG579" s="1282">
        <f t="shared" si="153"/>
        <v>8400</v>
      </c>
    </row>
    <row r="580" spans="1:33" ht="94.5">
      <c r="A580" s="294">
        <v>6312</v>
      </c>
      <c r="B580" s="291" t="s">
        <v>409</v>
      </c>
      <c r="C580" s="824" t="s">
        <v>410</v>
      </c>
      <c r="D580" s="326"/>
      <c r="E580" s="294"/>
      <c r="F580" s="293">
        <v>43241</v>
      </c>
      <c r="G580" s="293">
        <v>43273</v>
      </c>
      <c r="H580" s="1875" t="s">
        <v>406</v>
      </c>
      <c r="I580" s="294" t="s">
        <v>181</v>
      </c>
      <c r="J580" s="307" t="s">
        <v>411</v>
      </c>
      <c r="K580" s="326" t="s">
        <v>413</v>
      </c>
      <c r="L580" s="1237">
        <v>23174</v>
      </c>
      <c r="M580" s="326"/>
      <c r="N580" s="294"/>
      <c r="O580" s="354">
        <v>2000</v>
      </c>
      <c r="P580" s="1014">
        <v>4</v>
      </c>
      <c r="Q580" s="355">
        <f t="shared" si="152"/>
        <v>8000</v>
      </c>
      <c r="R580" s="299"/>
      <c r="S580" s="299"/>
      <c r="T580" s="299"/>
      <c r="U580" s="299">
        <v>4000</v>
      </c>
      <c r="V580" s="299">
        <v>4000</v>
      </c>
      <c r="W580" s="299"/>
      <c r="X580" s="1142"/>
      <c r="Y580" s="1127"/>
      <c r="Z580" s="1127"/>
      <c r="AA580" s="1127"/>
      <c r="AB580" s="1127"/>
      <c r="AC580" s="1127"/>
      <c r="AD580" s="1127"/>
      <c r="AE580" s="1127"/>
      <c r="AF580" s="1127"/>
      <c r="AG580" s="1282">
        <f t="shared" si="153"/>
        <v>8000</v>
      </c>
    </row>
    <row r="581" spans="1:33" ht="94.5">
      <c r="A581" s="294">
        <v>6312</v>
      </c>
      <c r="B581" s="291" t="s">
        <v>409</v>
      </c>
      <c r="C581" s="824" t="s">
        <v>410</v>
      </c>
      <c r="D581" s="326"/>
      <c r="E581" s="294"/>
      <c r="F581" s="293">
        <v>43241</v>
      </c>
      <c r="G581" s="293">
        <v>43273</v>
      </c>
      <c r="H581" s="1875" t="s">
        <v>406</v>
      </c>
      <c r="I581" s="294" t="s">
        <v>181</v>
      </c>
      <c r="J581" s="307" t="s">
        <v>411</v>
      </c>
      <c r="K581" s="326" t="s">
        <v>414</v>
      </c>
      <c r="L581" s="1237">
        <v>23174</v>
      </c>
      <c r="M581" s="326"/>
      <c r="N581" s="294"/>
      <c r="O581" s="354">
        <v>833.25</v>
      </c>
      <c r="P581" s="1014">
        <v>4</v>
      </c>
      <c r="Q581" s="355">
        <f t="shared" si="152"/>
        <v>3333</v>
      </c>
      <c r="R581" s="299"/>
      <c r="S581" s="299"/>
      <c r="T581" s="299"/>
      <c r="U581" s="299">
        <v>1666.5</v>
      </c>
      <c r="V581" s="299">
        <v>1666.5</v>
      </c>
      <c r="W581" s="299"/>
      <c r="X581" s="1142"/>
      <c r="Y581" s="1127"/>
      <c r="Z581" s="1127"/>
      <c r="AA581" s="1127"/>
      <c r="AB581" s="1127"/>
      <c r="AC581" s="1127"/>
      <c r="AD581" s="1127"/>
      <c r="AE581" s="1127"/>
      <c r="AF581" s="1127"/>
      <c r="AG581" s="1282">
        <f t="shared" si="153"/>
        <v>3333</v>
      </c>
    </row>
    <row r="582" spans="1:33" ht="94.5">
      <c r="A582" s="294">
        <v>6312</v>
      </c>
      <c r="B582" s="291" t="s">
        <v>409</v>
      </c>
      <c r="C582" s="824" t="s">
        <v>410</v>
      </c>
      <c r="D582" s="326"/>
      <c r="E582" s="294"/>
      <c r="F582" s="293">
        <v>43241</v>
      </c>
      <c r="G582" s="293">
        <v>43273</v>
      </c>
      <c r="H582" s="1875" t="s">
        <v>406</v>
      </c>
      <c r="I582" s="294" t="s">
        <v>181</v>
      </c>
      <c r="J582" s="307" t="s">
        <v>411</v>
      </c>
      <c r="K582" s="326" t="s">
        <v>415</v>
      </c>
      <c r="L582" s="1237">
        <v>23173</v>
      </c>
      <c r="M582" s="326"/>
      <c r="N582" s="294"/>
      <c r="O582" s="354">
        <v>166.75</v>
      </c>
      <c r="P582" s="1014">
        <v>4</v>
      </c>
      <c r="Q582" s="355">
        <f t="shared" si="152"/>
        <v>667</v>
      </c>
      <c r="R582" s="299"/>
      <c r="S582" s="299"/>
      <c r="T582" s="299"/>
      <c r="U582" s="299">
        <v>333.5</v>
      </c>
      <c r="V582" s="299">
        <v>333.5</v>
      </c>
      <c r="W582" s="299"/>
      <c r="X582" s="1142"/>
      <c r="Y582" s="1127"/>
      <c r="Z582" s="1127"/>
      <c r="AA582" s="1127"/>
      <c r="AB582" s="1127"/>
      <c r="AC582" s="1127"/>
      <c r="AD582" s="1127"/>
      <c r="AE582" s="1127"/>
      <c r="AF582" s="1127"/>
      <c r="AG582" s="1282">
        <f t="shared" si="153"/>
        <v>667</v>
      </c>
    </row>
    <row r="583" spans="1:33" ht="94.5">
      <c r="A583" s="294">
        <v>6313</v>
      </c>
      <c r="B583" s="291" t="s">
        <v>416</v>
      </c>
      <c r="C583" s="824" t="s">
        <v>417</v>
      </c>
      <c r="D583" s="326"/>
      <c r="E583" s="294"/>
      <c r="F583" s="293">
        <v>43294</v>
      </c>
      <c r="G583" s="293">
        <v>43294</v>
      </c>
      <c r="H583" s="1875" t="s">
        <v>406</v>
      </c>
      <c r="I583" s="294" t="s">
        <v>181</v>
      </c>
      <c r="J583" s="307" t="s">
        <v>411</v>
      </c>
      <c r="K583" s="326" t="s">
        <v>418</v>
      </c>
      <c r="L583" s="1237">
        <v>23173</v>
      </c>
      <c r="M583" s="326"/>
      <c r="N583" s="294"/>
      <c r="O583" s="354">
        <v>666.66666666666799</v>
      </c>
      <c r="P583" s="1014">
        <v>1</v>
      </c>
      <c r="Q583" s="355">
        <f t="shared" si="152"/>
        <v>666.66666666666799</v>
      </c>
      <c r="R583" s="299"/>
      <c r="S583" s="299"/>
      <c r="T583" s="299"/>
      <c r="U583" s="299"/>
      <c r="V583" s="299"/>
      <c r="W583" s="299">
        <v>666.66666666666799</v>
      </c>
      <c r="X583" s="1142"/>
      <c r="Y583" s="1127"/>
      <c r="Z583" s="1127"/>
      <c r="AA583" s="1127"/>
      <c r="AB583" s="1127"/>
      <c r="AC583" s="1127"/>
      <c r="AD583" s="1127"/>
      <c r="AE583" s="1127"/>
      <c r="AF583" s="1127"/>
      <c r="AG583" s="1282">
        <f t="shared" si="153"/>
        <v>666.66666666666799</v>
      </c>
    </row>
    <row r="584" spans="1:33" ht="94.5">
      <c r="A584" s="294">
        <v>6313</v>
      </c>
      <c r="B584" s="291" t="s">
        <v>416</v>
      </c>
      <c r="C584" s="824" t="s">
        <v>417</v>
      </c>
      <c r="D584" s="326"/>
      <c r="E584" s="294"/>
      <c r="F584" s="293">
        <v>43294</v>
      </c>
      <c r="G584" s="293">
        <v>43294</v>
      </c>
      <c r="H584" s="1875" t="s">
        <v>406</v>
      </c>
      <c r="I584" s="294" t="s">
        <v>181</v>
      </c>
      <c r="J584" s="307" t="s">
        <v>411</v>
      </c>
      <c r="K584" s="326" t="s">
        <v>415</v>
      </c>
      <c r="L584" s="1237">
        <v>23173</v>
      </c>
      <c r="M584" s="326"/>
      <c r="N584" s="294"/>
      <c r="O584" s="354">
        <v>333.33333333333331</v>
      </c>
      <c r="P584" s="1014">
        <v>1</v>
      </c>
      <c r="Q584" s="355">
        <f t="shared" si="152"/>
        <v>333.33333333333331</v>
      </c>
      <c r="R584" s="299"/>
      <c r="S584" s="299"/>
      <c r="T584" s="299"/>
      <c r="U584" s="299"/>
      <c r="V584" s="299"/>
      <c r="W584" s="299">
        <v>333.33333333333331</v>
      </c>
      <c r="X584" s="1142"/>
      <c r="Y584" s="1127"/>
      <c r="Z584" s="1127"/>
      <c r="AA584" s="1127"/>
      <c r="AB584" s="1127"/>
      <c r="AC584" s="1127"/>
      <c r="AD584" s="1127"/>
      <c r="AE584" s="1127"/>
      <c r="AF584" s="1127"/>
      <c r="AG584" s="1282">
        <f t="shared" si="153"/>
        <v>333.33333333333331</v>
      </c>
    </row>
    <row r="585" spans="1:33" ht="47.25">
      <c r="A585" s="1275">
        <v>632</v>
      </c>
      <c r="B585" s="359" t="s">
        <v>141</v>
      </c>
      <c r="C585" s="1021"/>
      <c r="D585" s="1280"/>
      <c r="E585" s="1280"/>
      <c r="F585" s="1280"/>
      <c r="G585" s="1280"/>
      <c r="H585" s="1280"/>
      <c r="I585" s="1280"/>
      <c r="J585" s="283"/>
      <c r="K585" s="1278"/>
      <c r="L585" s="1279"/>
      <c r="M585" s="1280"/>
      <c r="N585" s="1277"/>
      <c r="O585" s="1281"/>
      <c r="P585" s="1452"/>
      <c r="Q585" s="1282">
        <f>SUM(Q586:Q599)</f>
        <v>90344.98</v>
      </c>
      <c r="R585" s="287"/>
      <c r="S585" s="1282">
        <f t="shared" ref="S585:AF585" si="154">SUM(S586:S599)</f>
        <v>0</v>
      </c>
      <c r="T585" s="1282">
        <f t="shared" si="154"/>
        <v>6750</v>
      </c>
      <c r="U585" s="1282">
        <f t="shared" si="154"/>
        <v>17583</v>
      </c>
      <c r="V585" s="1282">
        <f t="shared" si="154"/>
        <v>20119.986666666668</v>
      </c>
      <c r="W585" s="1282">
        <f t="shared" si="154"/>
        <v>27725.993333333332</v>
      </c>
      <c r="X585" s="1282">
        <f t="shared" si="154"/>
        <v>18166</v>
      </c>
      <c r="Y585" s="1282">
        <f t="shared" si="154"/>
        <v>0</v>
      </c>
      <c r="Z585" s="1282">
        <f t="shared" si="154"/>
        <v>0</v>
      </c>
      <c r="AA585" s="1282">
        <f t="shared" si="154"/>
        <v>0</v>
      </c>
      <c r="AB585" s="1282">
        <f t="shared" si="154"/>
        <v>0</v>
      </c>
      <c r="AC585" s="1282">
        <f t="shared" si="154"/>
        <v>0</v>
      </c>
      <c r="AD585" s="1282">
        <f t="shared" si="154"/>
        <v>0</v>
      </c>
      <c r="AE585" s="1282">
        <f t="shared" si="154"/>
        <v>0</v>
      </c>
      <c r="AF585" s="1282">
        <f t="shared" si="154"/>
        <v>0</v>
      </c>
      <c r="AG585" s="1282">
        <f>SUM(S585:AF585)</f>
        <v>90344.98</v>
      </c>
    </row>
    <row r="586" spans="1:33" ht="62.45" customHeight="1">
      <c r="A586" s="294">
        <v>6321</v>
      </c>
      <c r="B586" s="291" t="s">
        <v>419</v>
      </c>
      <c r="C586" s="824" t="s">
        <v>420</v>
      </c>
      <c r="D586" s="326"/>
      <c r="E586" s="294"/>
      <c r="F586" s="1016">
        <v>43205</v>
      </c>
      <c r="G586" s="1016">
        <v>43311</v>
      </c>
      <c r="H586" s="1875" t="s">
        <v>421</v>
      </c>
      <c r="I586" s="294" t="s">
        <v>181</v>
      </c>
      <c r="J586" s="307" t="s">
        <v>407</v>
      </c>
      <c r="K586" s="326" t="s">
        <v>408</v>
      </c>
      <c r="L586" s="1237">
        <v>2313</v>
      </c>
      <c r="M586" s="326"/>
      <c r="N586" s="294"/>
      <c r="O586" s="354">
        <v>33750</v>
      </c>
      <c r="P586" s="1014">
        <v>1</v>
      </c>
      <c r="Q586" s="487">
        <f t="shared" ref="Q586:Q599" si="155">O586*P586</f>
        <v>33750</v>
      </c>
      <c r="R586" s="299"/>
      <c r="S586" s="299"/>
      <c r="T586" s="299">
        <v>6750</v>
      </c>
      <c r="U586" s="299"/>
      <c r="V586" s="299"/>
      <c r="W586" s="299">
        <v>13500</v>
      </c>
      <c r="X586" s="1142">
        <v>13500</v>
      </c>
      <c r="Y586" s="1127"/>
      <c r="Z586" s="1127"/>
      <c r="AA586" s="1127"/>
      <c r="AB586" s="1127"/>
      <c r="AC586" s="1127"/>
      <c r="AD586" s="1127"/>
      <c r="AE586" s="1127"/>
      <c r="AF586" s="1127"/>
      <c r="AG586" s="1282">
        <f t="shared" ref="AG586:AG599" si="156">SUM(S586:AF586)</f>
        <v>33750</v>
      </c>
    </row>
    <row r="587" spans="1:33" ht="141.75">
      <c r="A587" s="294">
        <v>6322</v>
      </c>
      <c r="B587" s="291" t="s">
        <v>422</v>
      </c>
      <c r="C587" s="824"/>
      <c r="D587" s="326"/>
      <c r="E587" s="294"/>
      <c r="F587" s="1017">
        <v>43227</v>
      </c>
      <c r="G587" s="1017">
        <v>43238</v>
      </c>
      <c r="H587" s="1875" t="s">
        <v>421</v>
      </c>
      <c r="I587" s="294" t="s">
        <v>181</v>
      </c>
      <c r="J587" s="307" t="s">
        <v>423</v>
      </c>
      <c r="K587" s="326" t="s">
        <v>424</v>
      </c>
      <c r="L587" s="1237">
        <v>23174</v>
      </c>
      <c r="M587" s="326"/>
      <c r="N587" s="294"/>
      <c r="O587" s="354">
        <v>3360</v>
      </c>
      <c r="P587" s="1014">
        <v>2</v>
      </c>
      <c r="Q587" s="355">
        <f t="shared" si="155"/>
        <v>6720</v>
      </c>
      <c r="R587" s="299"/>
      <c r="S587" s="355"/>
      <c r="T587" s="355"/>
      <c r="U587" s="355">
        <v>6720</v>
      </c>
      <c r="V587" s="355"/>
      <c r="W587" s="355"/>
      <c r="X587" s="1137"/>
      <c r="Y587" s="1126"/>
      <c r="Z587" s="1126"/>
      <c r="AA587" s="1126"/>
      <c r="AB587" s="1126"/>
      <c r="AC587" s="1126"/>
      <c r="AD587" s="1126"/>
      <c r="AE587" s="1126"/>
      <c r="AF587" s="1126"/>
      <c r="AG587" s="1282">
        <f t="shared" si="156"/>
        <v>6720</v>
      </c>
    </row>
    <row r="588" spans="1:33" ht="141.75">
      <c r="A588" s="294">
        <v>6322</v>
      </c>
      <c r="B588" s="291" t="s">
        <v>422</v>
      </c>
      <c r="C588" s="824"/>
      <c r="D588" s="326"/>
      <c r="E588" s="294"/>
      <c r="F588" s="1017">
        <v>43227</v>
      </c>
      <c r="G588" s="1017">
        <v>43238</v>
      </c>
      <c r="H588" s="1875" t="s">
        <v>421</v>
      </c>
      <c r="I588" s="294" t="s">
        <v>181</v>
      </c>
      <c r="J588" s="307" t="s">
        <v>423</v>
      </c>
      <c r="K588" s="326" t="s">
        <v>425</v>
      </c>
      <c r="L588" s="1237">
        <v>23174</v>
      </c>
      <c r="M588" s="326"/>
      <c r="N588" s="294"/>
      <c r="O588" s="354">
        <v>3200</v>
      </c>
      <c r="P588" s="1014">
        <v>2</v>
      </c>
      <c r="Q588" s="355">
        <f t="shared" si="155"/>
        <v>6400</v>
      </c>
      <c r="R588" s="299"/>
      <c r="S588" s="355"/>
      <c r="T588" s="355"/>
      <c r="U588" s="355">
        <v>6400</v>
      </c>
      <c r="V588" s="355"/>
      <c r="W588" s="355"/>
      <c r="X588" s="1137"/>
      <c r="Y588" s="1126"/>
      <c r="Z588" s="1126"/>
      <c r="AA588" s="1126"/>
      <c r="AB588" s="1126"/>
      <c r="AC588" s="1126"/>
      <c r="AD588" s="1126"/>
      <c r="AE588" s="1126"/>
      <c r="AF588" s="1126"/>
      <c r="AG588" s="1282">
        <f t="shared" si="156"/>
        <v>6400</v>
      </c>
    </row>
    <row r="589" spans="1:33" ht="141.75">
      <c r="A589" s="294">
        <v>6322</v>
      </c>
      <c r="B589" s="291" t="s">
        <v>422</v>
      </c>
      <c r="C589" s="824"/>
      <c r="D589" s="326"/>
      <c r="E589" s="294"/>
      <c r="F589" s="1017">
        <v>43227</v>
      </c>
      <c r="G589" s="1017">
        <v>43238</v>
      </c>
      <c r="H589" s="1875" t="s">
        <v>421</v>
      </c>
      <c r="I589" s="294" t="s">
        <v>181</v>
      </c>
      <c r="J589" s="307" t="s">
        <v>423</v>
      </c>
      <c r="K589" s="326" t="s">
        <v>426</v>
      </c>
      <c r="L589" s="1237">
        <v>23174</v>
      </c>
      <c r="M589" s="326"/>
      <c r="N589" s="294"/>
      <c r="O589" s="354">
        <v>1333.3333333333333</v>
      </c>
      <c r="P589" s="1014">
        <v>2</v>
      </c>
      <c r="Q589" s="355">
        <f t="shared" si="155"/>
        <v>2666.6666666666665</v>
      </c>
      <c r="R589" s="299"/>
      <c r="S589" s="355"/>
      <c r="T589" s="355"/>
      <c r="U589" s="355">
        <v>2666.6666666666665</v>
      </c>
      <c r="V589" s="355"/>
      <c r="W589" s="355"/>
      <c r="X589" s="1137"/>
      <c r="Y589" s="1126"/>
      <c r="Z589" s="1126"/>
      <c r="AA589" s="1126"/>
      <c r="AB589" s="1126"/>
      <c r="AC589" s="1126"/>
      <c r="AD589" s="1126"/>
      <c r="AE589" s="1126"/>
      <c r="AF589" s="1126"/>
      <c r="AG589" s="1282">
        <f t="shared" si="156"/>
        <v>2666.6666666666665</v>
      </c>
    </row>
    <row r="590" spans="1:33" ht="141.75">
      <c r="A590" s="294">
        <v>6322</v>
      </c>
      <c r="B590" s="291" t="s">
        <v>422</v>
      </c>
      <c r="C590" s="824"/>
      <c r="D590" s="326"/>
      <c r="E590" s="294"/>
      <c r="F590" s="1017">
        <v>43227</v>
      </c>
      <c r="G590" s="1017">
        <v>43238</v>
      </c>
      <c r="H590" s="1875" t="s">
        <v>421</v>
      </c>
      <c r="I590" s="294" t="s">
        <v>181</v>
      </c>
      <c r="J590" s="307" t="s">
        <v>423</v>
      </c>
      <c r="K590" s="326" t="s">
        <v>415</v>
      </c>
      <c r="L590" s="1237">
        <v>23173</v>
      </c>
      <c r="M590" s="326"/>
      <c r="N590" s="294"/>
      <c r="O590" s="354">
        <v>166.66666666666666</v>
      </c>
      <c r="P590" s="1014">
        <v>2</v>
      </c>
      <c r="Q590" s="355">
        <f t="shared" si="155"/>
        <v>333.33333333333331</v>
      </c>
      <c r="R590" s="299"/>
      <c r="S590" s="355"/>
      <c r="T590" s="355"/>
      <c r="U590" s="355">
        <v>333.33333333333331</v>
      </c>
      <c r="V590" s="355"/>
      <c r="W590" s="355"/>
      <c r="X590" s="1137"/>
      <c r="Y590" s="1126"/>
      <c r="Z590" s="1126"/>
      <c r="AA590" s="1126"/>
      <c r="AB590" s="1126"/>
      <c r="AC590" s="1126"/>
      <c r="AD590" s="1126"/>
      <c r="AE590" s="1126"/>
      <c r="AF590" s="1126"/>
      <c r="AG590" s="1282">
        <f t="shared" si="156"/>
        <v>333.33333333333331</v>
      </c>
    </row>
    <row r="591" spans="1:33" ht="141.75">
      <c r="A591" s="294">
        <v>6322</v>
      </c>
      <c r="B591" s="291" t="s">
        <v>422</v>
      </c>
      <c r="C591" s="824"/>
      <c r="D591" s="326"/>
      <c r="E591" s="294"/>
      <c r="F591" s="1017">
        <v>43227</v>
      </c>
      <c r="G591" s="1017">
        <v>43238</v>
      </c>
      <c r="H591" s="1875" t="s">
        <v>421</v>
      </c>
      <c r="I591" s="294" t="s">
        <v>181</v>
      </c>
      <c r="J591" s="307" t="s">
        <v>423</v>
      </c>
      <c r="K591" s="326" t="s">
        <v>427</v>
      </c>
      <c r="L591" s="1237">
        <v>23173</v>
      </c>
      <c r="M591" s="326"/>
      <c r="N591" s="294"/>
      <c r="O591" s="354">
        <v>1463</v>
      </c>
      <c r="P591" s="1014">
        <v>1</v>
      </c>
      <c r="Q591" s="355">
        <f t="shared" si="155"/>
        <v>1463</v>
      </c>
      <c r="R591" s="299"/>
      <c r="S591" s="355"/>
      <c r="T591" s="355"/>
      <c r="U591" s="355">
        <v>1463</v>
      </c>
      <c r="V591" s="355"/>
      <c r="W591" s="355"/>
      <c r="X591" s="1137"/>
      <c r="Y591" s="1126"/>
      <c r="Z591" s="1126"/>
      <c r="AA591" s="1126"/>
      <c r="AB591" s="1126"/>
      <c r="AC591" s="1126"/>
      <c r="AD591" s="1126"/>
      <c r="AE591" s="1126"/>
      <c r="AF591" s="1126"/>
      <c r="AG591" s="1282">
        <f t="shared" si="156"/>
        <v>1463</v>
      </c>
    </row>
    <row r="592" spans="1:33" ht="141.75">
      <c r="A592" s="294">
        <v>6323</v>
      </c>
      <c r="B592" s="291" t="s">
        <v>428</v>
      </c>
      <c r="C592" s="824" t="s">
        <v>429</v>
      </c>
      <c r="D592" s="326"/>
      <c r="E592" s="294"/>
      <c r="F592" s="1017">
        <v>43264</v>
      </c>
      <c r="G592" s="1017">
        <v>43264</v>
      </c>
      <c r="H592" s="1875" t="s">
        <v>421</v>
      </c>
      <c r="I592" s="294" t="s">
        <v>181</v>
      </c>
      <c r="J592" s="307" t="s">
        <v>423</v>
      </c>
      <c r="K592" s="326" t="s">
        <v>418</v>
      </c>
      <c r="L592" s="1237">
        <v>23173</v>
      </c>
      <c r="M592" s="326"/>
      <c r="N592" s="294"/>
      <c r="O592" s="354">
        <v>666.66666666666663</v>
      </c>
      <c r="P592" s="1014">
        <v>1</v>
      </c>
      <c r="Q592" s="355">
        <f t="shared" si="155"/>
        <v>666.66666666666663</v>
      </c>
      <c r="R592" s="299"/>
      <c r="S592" s="355"/>
      <c r="T592" s="355"/>
      <c r="U592" s="355"/>
      <c r="V592" s="355">
        <v>666.66666666666663</v>
      </c>
      <c r="W592" s="355"/>
      <c r="X592" s="1137"/>
      <c r="Y592" s="1126"/>
      <c r="Z592" s="1126"/>
      <c r="AA592" s="1126"/>
      <c r="AB592" s="1126"/>
      <c r="AC592" s="1126"/>
      <c r="AD592" s="1126"/>
      <c r="AE592" s="1126"/>
      <c r="AF592" s="1126"/>
      <c r="AG592" s="1282">
        <f t="shared" si="156"/>
        <v>666.66666666666663</v>
      </c>
    </row>
    <row r="593" spans="1:33" ht="141.75">
      <c r="A593" s="294">
        <v>6323</v>
      </c>
      <c r="B593" s="291" t="s">
        <v>428</v>
      </c>
      <c r="C593" s="824" t="s">
        <v>429</v>
      </c>
      <c r="D593" s="326"/>
      <c r="E593" s="294"/>
      <c r="F593" s="1017">
        <v>43264</v>
      </c>
      <c r="G593" s="1017">
        <v>43264</v>
      </c>
      <c r="H593" s="1875" t="s">
        <v>421</v>
      </c>
      <c r="I593" s="294" t="s">
        <v>181</v>
      </c>
      <c r="J593" s="307" t="s">
        <v>423</v>
      </c>
      <c r="K593" s="326" t="s">
        <v>415</v>
      </c>
      <c r="L593" s="1237">
        <v>23173</v>
      </c>
      <c r="M593" s="326"/>
      <c r="N593" s="294"/>
      <c r="O593" s="354">
        <v>333.33333333333331</v>
      </c>
      <c r="P593" s="1014">
        <v>1</v>
      </c>
      <c r="Q593" s="355">
        <f t="shared" si="155"/>
        <v>333.33333333333331</v>
      </c>
      <c r="R593" s="299"/>
      <c r="S593" s="355"/>
      <c r="T593" s="355"/>
      <c r="U593" s="355"/>
      <c r="V593" s="355">
        <v>333.33333333333331</v>
      </c>
      <c r="W593" s="355"/>
      <c r="X593" s="1137"/>
      <c r="Y593" s="1126"/>
      <c r="Z593" s="1126"/>
      <c r="AA593" s="1126"/>
      <c r="AB593" s="1126"/>
      <c r="AC593" s="1126"/>
      <c r="AD593" s="1126"/>
      <c r="AE593" s="1126"/>
      <c r="AF593" s="1126"/>
      <c r="AG593" s="1282">
        <f t="shared" si="156"/>
        <v>333.33333333333331</v>
      </c>
    </row>
    <row r="594" spans="1:33" ht="141.75">
      <c r="A594" s="294">
        <v>6323</v>
      </c>
      <c r="B594" s="291" t="s">
        <v>428</v>
      </c>
      <c r="C594" s="824" t="s">
        <v>429</v>
      </c>
      <c r="D594" s="326"/>
      <c r="E594" s="294"/>
      <c r="F594" s="1017">
        <v>43264</v>
      </c>
      <c r="G594" s="1017">
        <v>43264</v>
      </c>
      <c r="H594" s="1875" t="s">
        <v>421</v>
      </c>
      <c r="I594" s="294" t="s">
        <v>181</v>
      </c>
      <c r="J594" s="307" t="s">
        <v>423</v>
      </c>
      <c r="K594" s="326" t="s">
        <v>430</v>
      </c>
      <c r="L594" s="1237">
        <v>23173</v>
      </c>
      <c r="M594" s="326"/>
      <c r="N594" s="294"/>
      <c r="O594" s="354">
        <v>23.33</v>
      </c>
      <c r="P594" s="1014">
        <v>200</v>
      </c>
      <c r="Q594" s="355">
        <f t="shared" si="155"/>
        <v>4666</v>
      </c>
      <c r="R594" s="299"/>
      <c r="S594" s="355"/>
      <c r="T594" s="355"/>
      <c r="U594" s="355"/>
      <c r="V594" s="355"/>
      <c r="W594" s="355">
        <v>4666</v>
      </c>
      <c r="X594" s="1137"/>
      <c r="Y594" s="1126"/>
      <c r="Z594" s="1126"/>
      <c r="AA594" s="1126"/>
      <c r="AB594" s="1126"/>
      <c r="AC594" s="1126"/>
      <c r="AD594" s="1126"/>
      <c r="AE594" s="1126"/>
      <c r="AF594" s="1126"/>
      <c r="AG594" s="1282">
        <f t="shared" si="156"/>
        <v>4666</v>
      </c>
    </row>
    <row r="595" spans="1:33" ht="141.75">
      <c r="A595" s="294">
        <v>6324</v>
      </c>
      <c r="B595" s="291" t="s">
        <v>431</v>
      </c>
      <c r="C595" s="824" t="s">
        <v>432</v>
      </c>
      <c r="D595" s="326"/>
      <c r="E595" s="294"/>
      <c r="F595" s="1017">
        <v>43255</v>
      </c>
      <c r="G595" s="1017">
        <v>43287</v>
      </c>
      <c r="H595" s="1875" t="s">
        <v>421</v>
      </c>
      <c r="I595" s="294" t="s">
        <v>181</v>
      </c>
      <c r="J595" s="307" t="s">
        <v>423</v>
      </c>
      <c r="K595" s="326" t="s">
        <v>433</v>
      </c>
      <c r="L595" s="1237">
        <v>23174</v>
      </c>
      <c r="M595" s="326"/>
      <c r="N595" s="294"/>
      <c r="O595" s="354">
        <v>3360</v>
      </c>
      <c r="P595" s="1014">
        <v>3</v>
      </c>
      <c r="Q595" s="355">
        <f t="shared" si="155"/>
        <v>10080</v>
      </c>
      <c r="R595" s="299"/>
      <c r="S595" s="355"/>
      <c r="T595" s="355"/>
      <c r="U595" s="355"/>
      <c r="V595" s="299">
        <v>6720</v>
      </c>
      <c r="W595" s="299">
        <v>3360</v>
      </c>
      <c r="X595" s="1137"/>
      <c r="Y595" s="1126"/>
      <c r="Z595" s="1126"/>
      <c r="AA595" s="1126"/>
      <c r="AB595" s="1126"/>
      <c r="AC595" s="1126"/>
      <c r="AD595" s="1126"/>
      <c r="AE595" s="1126"/>
      <c r="AF595" s="1126"/>
      <c r="AG595" s="1282">
        <f t="shared" si="156"/>
        <v>10080</v>
      </c>
    </row>
    <row r="596" spans="1:33" ht="141.75">
      <c r="A596" s="294">
        <v>6324</v>
      </c>
      <c r="B596" s="291" t="s">
        <v>431</v>
      </c>
      <c r="C596" s="824" t="s">
        <v>432</v>
      </c>
      <c r="D596" s="326"/>
      <c r="E596" s="294"/>
      <c r="F596" s="1017">
        <v>43255</v>
      </c>
      <c r="G596" s="1017">
        <v>43287</v>
      </c>
      <c r="H596" s="1875" t="s">
        <v>421</v>
      </c>
      <c r="I596" s="294" t="s">
        <v>181</v>
      </c>
      <c r="J596" s="307" t="s">
        <v>423</v>
      </c>
      <c r="K596" s="326" t="s">
        <v>434</v>
      </c>
      <c r="L596" s="1237">
        <v>23174</v>
      </c>
      <c r="M596" s="326"/>
      <c r="N596" s="294"/>
      <c r="O596" s="354">
        <v>3200</v>
      </c>
      <c r="P596" s="1014">
        <v>3</v>
      </c>
      <c r="Q596" s="355">
        <f t="shared" si="155"/>
        <v>9600</v>
      </c>
      <c r="R596" s="299"/>
      <c r="S596" s="355"/>
      <c r="T596" s="355"/>
      <c r="U596" s="355"/>
      <c r="V596" s="299">
        <v>6400</v>
      </c>
      <c r="W596" s="299">
        <v>3200</v>
      </c>
      <c r="X596" s="1137"/>
      <c r="Y596" s="1126"/>
      <c r="Z596" s="1126"/>
      <c r="AA596" s="1126"/>
      <c r="AB596" s="1126"/>
      <c r="AC596" s="1126"/>
      <c r="AD596" s="1126"/>
      <c r="AE596" s="1126"/>
      <c r="AF596" s="1126"/>
      <c r="AG596" s="1282">
        <f t="shared" si="156"/>
        <v>9600</v>
      </c>
    </row>
    <row r="597" spans="1:33" ht="141.75">
      <c r="A597" s="294">
        <v>6324</v>
      </c>
      <c r="B597" s="291" t="s">
        <v>431</v>
      </c>
      <c r="C597" s="824" t="s">
        <v>432</v>
      </c>
      <c r="D597" s="326"/>
      <c r="E597" s="294"/>
      <c r="F597" s="1017">
        <v>43255</v>
      </c>
      <c r="G597" s="1017">
        <v>43287</v>
      </c>
      <c r="H597" s="1875" t="s">
        <v>421</v>
      </c>
      <c r="I597" s="294" t="s">
        <v>181</v>
      </c>
      <c r="J597" s="307" t="s">
        <v>423</v>
      </c>
      <c r="K597" s="326" t="s">
        <v>435</v>
      </c>
      <c r="L597" s="1237">
        <v>23174</v>
      </c>
      <c r="M597" s="326"/>
      <c r="N597" s="294"/>
      <c r="O597" s="354">
        <v>1333.3333333333333</v>
      </c>
      <c r="P597" s="1014">
        <v>3</v>
      </c>
      <c r="Q597" s="355">
        <f t="shared" si="155"/>
        <v>4000</v>
      </c>
      <c r="R597" s="299"/>
      <c r="S597" s="355"/>
      <c r="T597" s="355"/>
      <c r="U597" s="355"/>
      <c r="V597" s="299">
        <v>2666.6666666666665</v>
      </c>
      <c r="W597" s="299">
        <v>1333.3333333333333</v>
      </c>
      <c r="X597" s="1137"/>
      <c r="Y597" s="1126"/>
      <c r="Z597" s="1126"/>
      <c r="AA597" s="1126"/>
      <c r="AB597" s="1126"/>
      <c r="AC597" s="1126"/>
      <c r="AD597" s="1126"/>
      <c r="AE597" s="1126"/>
      <c r="AF597" s="1126"/>
      <c r="AG597" s="1282">
        <f t="shared" si="156"/>
        <v>4000</v>
      </c>
    </row>
    <row r="598" spans="1:33" ht="141.75">
      <c r="A598" s="294">
        <v>6324</v>
      </c>
      <c r="B598" s="291" t="s">
        <v>431</v>
      </c>
      <c r="C598" s="824" t="s">
        <v>432</v>
      </c>
      <c r="D598" s="326"/>
      <c r="E598" s="294"/>
      <c r="F598" s="1017">
        <v>43255</v>
      </c>
      <c r="G598" s="1017">
        <v>43287</v>
      </c>
      <c r="H598" s="1875" t="s">
        <v>421</v>
      </c>
      <c r="I598" s="294" t="s">
        <v>181</v>
      </c>
      <c r="J598" s="307" t="s">
        <v>423</v>
      </c>
      <c r="K598" s="326" t="s">
        <v>415</v>
      </c>
      <c r="L598" s="1237">
        <v>23173</v>
      </c>
      <c r="M598" s="326"/>
      <c r="N598" s="294"/>
      <c r="O598" s="354">
        <v>1666.66</v>
      </c>
      <c r="P598" s="1014">
        <v>3</v>
      </c>
      <c r="Q598" s="355">
        <f t="shared" si="155"/>
        <v>4999.9800000000005</v>
      </c>
      <c r="R598" s="299"/>
      <c r="S598" s="355"/>
      <c r="T598" s="355"/>
      <c r="U598" s="355"/>
      <c r="V598" s="299">
        <v>3333.3199999999997</v>
      </c>
      <c r="W598" s="299">
        <v>1666.6599999999999</v>
      </c>
      <c r="X598" s="1137"/>
      <c r="Y598" s="1126"/>
      <c r="Z598" s="1126"/>
      <c r="AA598" s="1126"/>
      <c r="AB598" s="1126"/>
      <c r="AC598" s="1126"/>
      <c r="AD598" s="1126"/>
      <c r="AE598" s="1126"/>
      <c r="AF598" s="1126"/>
      <c r="AG598" s="1282">
        <f t="shared" si="156"/>
        <v>4999.9799999999996</v>
      </c>
    </row>
    <row r="599" spans="1:33" ht="141.75">
      <c r="A599" s="294">
        <v>6324</v>
      </c>
      <c r="B599" s="291" t="s">
        <v>431</v>
      </c>
      <c r="C599" s="824" t="s">
        <v>432</v>
      </c>
      <c r="D599" s="326"/>
      <c r="E599" s="294"/>
      <c r="F599" s="1017">
        <v>43255</v>
      </c>
      <c r="G599" s="1017">
        <v>43287</v>
      </c>
      <c r="H599" s="1875" t="s">
        <v>421</v>
      </c>
      <c r="I599" s="294" t="s">
        <v>181</v>
      </c>
      <c r="J599" s="307" t="s">
        <v>423</v>
      </c>
      <c r="K599" s="326" t="s">
        <v>436</v>
      </c>
      <c r="L599" s="1237">
        <v>23173</v>
      </c>
      <c r="M599" s="326"/>
      <c r="N599" s="294"/>
      <c r="O599" s="354">
        <v>23.33</v>
      </c>
      <c r="P599" s="1014">
        <v>200</v>
      </c>
      <c r="Q599" s="355">
        <f t="shared" si="155"/>
        <v>4666</v>
      </c>
      <c r="R599" s="913"/>
      <c r="S599" s="1111"/>
      <c r="T599" s="1111"/>
      <c r="U599" s="1111"/>
      <c r="V599" s="1111"/>
      <c r="W599" s="1111"/>
      <c r="X599" s="1600">
        <v>4666</v>
      </c>
      <c r="Y599" s="1126"/>
      <c r="Z599" s="1126"/>
      <c r="AA599" s="1126"/>
      <c r="AB599" s="1126"/>
      <c r="AC599" s="1126"/>
      <c r="AD599" s="1126"/>
      <c r="AE599" s="1126"/>
      <c r="AF599" s="1126"/>
      <c r="AG599" s="1282">
        <f t="shared" si="156"/>
        <v>4666</v>
      </c>
    </row>
    <row r="600" spans="1:33" ht="29.25" customHeight="1">
      <c r="A600" s="1876" t="s">
        <v>967</v>
      </c>
      <c r="B600" s="1877"/>
      <c r="C600" s="1878"/>
      <c r="D600" s="1879"/>
      <c r="E600" s="1879"/>
      <c r="F600" s="1879"/>
      <c r="G600" s="1879"/>
      <c r="H600" s="1879"/>
      <c r="I600" s="1879"/>
      <c r="J600" s="1877"/>
      <c r="K600" s="1880"/>
      <c r="L600" s="1879"/>
      <c r="M600" s="1879"/>
      <c r="N600" s="1879"/>
      <c r="O600" s="1879"/>
      <c r="P600" s="1881"/>
      <c r="Q600" s="1882">
        <f>Q7+Q222+Q360+Q437+Q561+Q565</f>
        <v>3000000.2165516666</v>
      </c>
      <c r="R600" s="1882">
        <f>+R7+R222+R360+R437+R561+R565</f>
        <v>3000000.2195833335</v>
      </c>
      <c r="S600" s="1882">
        <f t="shared" ref="S600:AG600" si="157">S7+S222+S360+S437+S561+S565</f>
        <v>0</v>
      </c>
      <c r="T600" s="1882">
        <f t="shared" si="157"/>
        <v>528087.73300000001</v>
      </c>
      <c r="U600" s="1882">
        <f t="shared" si="157"/>
        <v>700099.02746833337</v>
      </c>
      <c r="V600" s="1882">
        <f t="shared" si="157"/>
        <v>722283.3158333333</v>
      </c>
      <c r="W600" s="1882">
        <f t="shared" si="157"/>
        <v>393363.10145833332</v>
      </c>
      <c r="X600" s="1882">
        <f t="shared" si="157"/>
        <v>321211.94487500004</v>
      </c>
      <c r="Y600" s="1882">
        <f t="shared" si="157"/>
        <v>276848.42725000001</v>
      </c>
      <c r="Z600" s="1882">
        <f t="shared" si="157"/>
        <v>34266.666666666672</v>
      </c>
      <c r="AA600" s="1882">
        <f t="shared" si="157"/>
        <v>11640</v>
      </c>
      <c r="AB600" s="1882">
        <f t="shared" si="157"/>
        <v>500</v>
      </c>
      <c r="AC600" s="1882">
        <f t="shared" si="157"/>
        <v>500</v>
      </c>
      <c r="AD600" s="1882">
        <f t="shared" si="157"/>
        <v>10200</v>
      </c>
      <c r="AE600" s="1882">
        <f t="shared" si="157"/>
        <v>500</v>
      </c>
      <c r="AF600" s="1882">
        <f t="shared" si="157"/>
        <v>500</v>
      </c>
      <c r="AG600" s="1882">
        <f t="shared" si="157"/>
        <v>3000000.2165516666</v>
      </c>
    </row>
    <row r="601" spans="1:33">
      <c r="AE601" s="357"/>
      <c r="AG601" s="1614"/>
    </row>
    <row r="602" spans="1:33">
      <c r="R602" s="577"/>
      <c r="AE602" s="357"/>
      <c r="AG602" s="357"/>
    </row>
    <row r="603" spans="1:33">
      <c r="AE603" s="357"/>
      <c r="AG603" s="357"/>
    </row>
  </sheetData>
  <mergeCells count="6">
    <mergeCell ref="A558:I558"/>
    <mergeCell ref="A2:AG2"/>
    <mergeCell ref="F5:G5"/>
    <mergeCell ref="I5:J5"/>
    <mergeCell ref="S5:Y5"/>
    <mergeCell ref="A535:I535"/>
  </mergeCells>
  <conditionalFormatting sqref="F483 G496:G499">
    <cfRule type="cellIs" dxfId="370" priority="68" operator="lessThanOrEqual">
      <formula>0</formula>
    </cfRule>
  </conditionalFormatting>
  <conditionalFormatting sqref="G483">
    <cfRule type="cellIs" dxfId="369" priority="67" operator="lessThanOrEqual">
      <formula>0</formula>
    </cfRule>
  </conditionalFormatting>
  <conditionalFormatting sqref="G483">
    <cfRule type="cellIs" dxfId="368" priority="66" operator="lessThanOrEqual">
      <formula>0</formula>
    </cfRule>
  </conditionalFormatting>
  <conditionalFormatting sqref="F496">
    <cfRule type="cellIs" dxfId="367" priority="59" operator="lessThanOrEqual">
      <formula>0</formula>
    </cfRule>
  </conditionalFormatting>
  <conditionalFormatting sqref="F498">
    <cfRule type="cellIs" dxfId="366" priority="58" operator="lessThanOrEqual">
      <formula>0</formula>
    </cfRule>
  </conditionalFormatting>
  <conditionalFormatting sqref="F488">
    <cfRule type="cellIs" dxfId="365" priority="65" operator="lessThanOrEqual">
      <formula>0</formula>
    </cfRule>
  </conditionalFormatting>
  <conditionalFormatting sqref="F490">
    <cfRule type="cellIs" dxfId="364" priority="64" operator="lessThanOrEqual">
      <formula>0</formula>
    </cfRule>
  </conditionalFormatting>
  <conditionalFormatting sqref="F492">
    <cfRule type="cellIs" dxfId="363" priority="63" operator="lessThanOrEqual">
      <formula>0</formula>
    </cfRule>
  </conditionalFormatting>
  <conditionalFormatting sqref="F494">
    <cfRule type="cellIs" dxfId="362" priority="62" operator="lessThanOrEqual">
      <formula>0</formula>
    </cfRule>
  </conditionalFormatting>
  <conditionalFormatting sqref="F499">
    <cfRule type="cellIs" dxfId="361" priority="61" operator="lessThanOrEqual">
      <formula>0</formula>
    </cfRule>
  </conditionalFormatting>
  <conditionalFormatting sqref="F497">
    <cfRule type="cellIs" dxfId="360" priority="60" operator="lessThanOrEqual">
      <formula>0</formula>
    </cfRule>
  </conditionalFormatting>
  <conditionalFormatting sqref="F502">
    <cfRule type="cellIs" dxfId="359" priority="57" operator="lessThanOrEqual">
      <formula>0</formula>
    </cfRule>
  </conditionalFormatting>
  <conditionalFormatting sqref="F511">
    <cfRule type="cellIs" dxfId="358" priority="55" operator="lessThanOrEqual">
      <formula>0</formula>
    </cfRule>
  </conditionalFormatting>
  <conditionalFormatting sqref="F505">
    <cfRule type="cellIs" dxfId="357" priority="56" operator="lessThanOrEqual">
      <formula>0</formula>
    </cfRule>
  </conditionalFormatting>
  <conditionalFormatting sqref="F512">
    <cfRule type="cellIs" dxfId="356" priority="54" operator="lessThanOrEqual">
      <formula>0</formula>
    </cfRule>
  </conditionalFormatting>
  <conditionalFormatting sqref="F514">
    <cfRule type="cellIs" dxfId="355" priority="53" operator="lessThanOrEqual">
      <formula>0</formula>
    </cfRule>
  </conditionalFormatting>
  <conditionalFormatting sqref="F487">
    <cfRule type="cellIs" dxfId="354" priority="48" operator="lessThanOrEqual">
      <formula>0</formula>
    </cfRule>
  </conditionalFormatting>
  <conditionalFormatting sqref="F509">
    <cfRule type="cellIs" dxfId="353" priority="52" operator="lessThanOrEqual">
      <formula>0</formula>
    </cfRule>
  </conditionalFormatting>
  <conditionalFormatting sqref="G488">
    <cfRule type="cellIs" dxfId="352" priority="45" operator="lessThanOrEqual">
      <formula>0</formula>
    </cfRule>
  </conditionalFormatting>
  <conditionalFormatting sqref="G487">
    <cfRule type="cellIs" dxfId="351" priority="47" operator="lessThanOrEqual">
      <formula>0</formula>
    </cfRule>
  </conditionalFormatting>
  <conditionalFormatting sqref="G487">
    <cfRule type="cellIs" dxfId="350" priority="46" operator="lessThanOrEqual">
      <formula>0</formula>
    </cfRule>
  </conditionalFormatting>
  <conditionalFormatting sqref="G488">
    <cfRule type="cellIs" dxfId="349" priority="44" operator="lessThanOrEqual">
      <formula>0</formula>
    </cfRule>
  </conditionalFormatting>
  <conditionalFormatting sqref="F489">
    <cfRule type="cellIs" dxfId="348" priority="43" operator="lessThanOrEqual">
      <formula>0</formula>
    </cfRule>
  </conditionalFormatting>
  <conditionalFormatting sqref="G489">
    <cfRule type="cellIs" dxfId="347" priority="42" operator="lessThanOrEqual">
      <formula>0</formula>
    </cfRule>
  </conditionalFormatting>
  <conditionalFormatting sqref="G489">
    <cfRule type="cellIs" dxfId="346" priority="41" operator="lessThanOrEqual">
      <formula>0</formula>
    </cfRule>
  </conditionalFormatting>
  <conditionalFormatting sqref="G490">
    <cfRule type="cellIs" dxfId="345" priority="40" operator="lessThanOrEqual">
      <formula>0</formula>
    </cfRule>
  </conditionalFormatting>
  <conditionalFormatting sqref="G490">
    <cfRule type="cellIs" dxfId="344" priority="39" operator="lessThanOrEqual">
      <formula>0</formula>
    </cfRule>
  </conditionalFormatting>
  <conditionalFormatting sqref="G492">
    <cfRule type="cellIs" dxfId="343" priority="38" operator="lessThanOrEqual">
      <formula>0</formula>
    </cfRule>
  </conditionalFormatting>
  <conditionalFormatting sqref="G492">
    <cfRule type="cellIs" dxfId="342" priority="37" operator="lessThanOrEqual">
      <formula>0</formula>
    </cfRule>
  </conditionalFormatting>
  <conditionalFormatting sqref="G494">
    <cfRule type="cellIs" dxfId="341" priority="36" operator="lessThanOrEqual">
      <formula>0</formula>
    </cfRule>
  </conditionalFormatting>
  <conditionalFormatting sqref="G494">
    <cfRule type="cellIs" dxfId="340" priority="35" operator="lessThanOrEqual">
      <formula>0</formula>
    </cfRule>
  </conditionalFormatting>
  <conditionalFormatting sqref="F501">
    <cfRule type="cellIs" dxfId="339" priority="34" operator="lessThanOrEqual">
      <formula>0</formula>
    </cfRule>
  </conditionalFormatting>
  <conditionalFormatting sqref="G509">
    <cfRule type="cellIs" dxfId="338" priority="26" operator="lessThanOrEqual">
      <formula>0</formula>
    </cfRule>
  </conditionalFormatting>
  <conditionalFormatting sqref="G501">
    <cfRule type="cellIs" dxfId="337" priority="33" operator="lessThanOrEqual">
      <formula>0</formula>
    </cfRule>
  </conditionalFormatting>
  <conditionalFormatting sqref="G502">
    <cfRule type="cellIs" dxfId="336" priority="32" operator="lessThanOrEqual">
      <formula>0</formula>
    </cfRule>
  </conditionalFormatting>
  <conditionalFormatting sqref="F503:F504">
    <cfRule type="cellIs" dxfId="335" priority="31" operator="lessThanOrEqual">
      <formula>0</formula>
    </cfRule>
  </conditionalFormatting>
  <conditionalFormatting sqref="G503:G504">
    <cfRule type="cellIs" dxfId="334" priority="30" operator="lessThanOrEqual">
      <formula>0</formula>
    </cfRule>
  </conditionalFormatting>
  <conditionalFormatting sqref="G505">
    <cfRule type="cellIs" dxfId="333" priority="29" operator="lessThanOrEqual">
      <formula>0</formula>
    </cfRule>
  </conditionalFormatting>
  <conditionalFormatting sqref="F506:F507">
    <cfRule type="cellIs" dxfId="332" priority="28" operator="lessThanOrEqual">
      <formula>0</formula>
    </cfRule>
  </conditionalFormatting>
  <conditionalFormatting sqref="G506:G507">
    <cfRule type="cellIs" dxfId="331" priority="27" operator="lessThanOrEqual">
      <formula>0</formula>
    </cfRule>
  </conditionalFormatting>
  <conditionalFormatting sqref="G511:G512">
    <cfRule type="cellIs" dxfId="330" priority="25" operator="lessThanOrEqual">
      <formula>0</formula>
    </cfRule>
  </conditionalFormatting>
  <conditionalFormatting sqref="F515">
    <cfRule type="cellIs" dxfId="329" priority="23" operator="lessThanOrEqual">
      <formula>0</formula>
    </cfRule>
  </conditionalFormatting>
  <conditionalFormatting sqref="G514:G515">
    <cfRule type="cellIs" dxfId="328" priority="24" operator="lessThanOrEqual">
      <formula>0</formula>
    </cfRule>
  </conditionalFormatting>
  <conditionalFormatting sqref="F519">
    <cfRule type="cellIs" dxfId="327" priority="19" operator="lessThanOrEqual">
      <formula>0</formula>
    </cfRule>
  </conditionalFormatting>
  <conditionalFormatting sqref="F516:F518">
    <cfRule type="cellIs" dxfId="326" priority="22" operator="lessThanOrEqual">
      <formula>0</formula>
    </cfRule>
  </conditionalFormatting>
  <conditionalFormatting sqref="G519">
    <cfRule type="cellIs" dxfId="325" priority="20" operator="lessThanOrEqual">
      <formula>0</formula>
    </cfRule>
  </conditionalFormatting>
  <conditionalFormatting sqref="F484">
    <cfRule type="cellIs" dxfId="324" priority="16" operator="lessThanOrEqual">
      <formula>0</formula>
    </cfRule>
  </conditionalFormatting>
  <conditionalFormatting sqref="G516:G518">
    <cfRule type="cellIs" dxfId="323" priority="21" operator="lessThanOrEqual">
      <formula>0</formula>
    </cfRule>
  </conditionalFormatting>
  <conditionalFormatting sqref="F508">
    <cfRule type="cellIs" dxfId="322" priority="18" operator="lessThanOrEqual">
      <formula>0</formula>
    </cfRule>
  </conditionalFormatting>
  <conditionalFormatting sqref="G508">
    <cfRule type="cellIs" dxfId="321" priority="17" operator="lessThanOrEqual">
      <formula>0</formula>
    </cfRule>
  </conditionalFormatting>
  <conditionalFormatting sqref="G484">
    <cfRule type="cellIs" dxfId="320" priority="15" operator="lessThanOrEqual">
      <formula>0</formula>
    </cfRule>
  </conditionalFormatting>
  <conditionalFormatting sqref="G484">
    <cfRule type="cellIs" dxfId="319" priority="14" operator="lessThanOrEqual">
      <formula>0</formula>
    </cfRule>
  </conditionalFormatting>
  <conditionalFormatting sqref="F485">
    <cfRule type="cellIs" dxfId="318" priority="13" operator="lessThanOrEqual">
      <formula>0</formula>
    </cfRule>
  </conditionalFormatting>
  <conditionalFormatting sqref="G485">
    <cfRule type="cellIs" dxfId="317" priority="12" operator="lessThanOrEqual">
      <formula>0</formula>
    </cfRule>
  </conditionalFormatting>
  <conditionalFormatting sqref="G485">
    <cfRule type="cellIs" dxfId="316" priority="11" operator="lessThanOrEqual">
      <formula>0</formula>
    </cfRule>
  </conditionalFormatting>
  <conditionalFormatting sqref="F152:G152">
    <cfRule type="timePeriod" dxfId="315" priority="3" timePeriod="lastWeek">
      <formula>AND(TODAY()-ROUNDDOWN(F152,0)&gt;=(WEEKDAY(TODAY())),TODAY()-ROUNDDOWN(F152,0)&lt;(WEEKDAY(TODAY())+7))</formula>
    </cfRule>
    <cfRule type="timePeriod" dxfId="314" priority="4" timePeriod="lastWeek">
      <formula>AND(TODAY()-ROUNDDOWN(F152,0)&gt;=(WEEKDAY(TODAY())),TODAY()-ROUNDDOWN(F152,0)&lt;(WEEKDAY(TODAY())+7))</formula>
    </cfRule>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AG541"/>
  <sheetViews>
    <sheetView topLeftCell="I472" zoomScale="85" zoomScaleNormal="85" workbookViewId="0">
      <selection activeCell="S535" sqref="S535"/>
    </sheetView>
  </sheetViews>
  <sheetFormatPr baseColWidth="10" defaultColWidth="11.42578125" defaultRowHeight="15.75" outlineLevelRow="2"/>
  <cols>
    <col min="1" max="1" width="11.85546875" style="2710" bestFit="1" customWidth="1"/>
    <col min="2" max="2" width="57.28515625" style="2711" customWidth="1"/>
    <col min="3" max="3" width="60.5703125" style="2712" customWidth="1"/>
    <col min="4" max="4" width="13.28515625" style="356" hidden="1" customWidth="1"/>
    <col min="5" max="5" width="18.7109375" style="2710" hidden="1" customWidth="1"/>
    <col min="6" max="6" width="14.7109375" style="2710" hidden="1" customWidth="1"/>
    <col min="7" max="7" width="14.140625" style="2710" hidden="1" customWidth="1"/>
    <col min="8" max="8" width="39" style="2710" hidden="1" customWidth="1"/>
    <col min="9" max="9" width="22.28515625" style="2710" bestFit="1" customWidth="1"/>
    <col min="10" max="10" width="28.28515625" style="2713" customWidth="1"/>
    <col min="11" max="11" width="44.7109375" style="356" customWidth="1"/>
    <col min="12" max="12" width="14.5703125" style="2710" bestFit="1" customWidth="1"/>
    <col min="13" max="13" width="19" style="356" hidden="1" customWidth="1"/>
    <col min="14" max="14" width="33" style="2710" hidden="1" customWidth="1"/>
    <col min="15" max="15" width="19.5703125" style="2370" bestFit="1" customWidth="1"/>
    <col min="16" max="16" width="15" style="2710" bestFit="1" customWidth="1"/>
    <col min="17" max="17" width="23.28515625" style="344" customWidth="1"/>
    <col min="18" max="18" width="18.85546875" style="344" customWidth="1"/>
    <col min="19" max="19" width="17.5703125" style="344" customWidth="1"/>
    <col min="20" max="20" width="20" style="344" bestFit="1" customWidth="1"/>
    <col min="21" max="24" width="20.7109375" style="344" bestFit="1" customWidth="1"/>
    <col min="25" max="25" width="18.42578125" style="344" customWidth="1"/>
    <col min="26" max="26" width="18" style="2365" customWidth="1"/>
    <col min="27" max="27" width="17.7109375" style="2365" customWidth="1"/>
    <col min="28" max="28" width="16.7109375" style="2365" bestFit="1" customWidth="1"/>
    <col min="29" max="29" width="14.42578125" style="356" bestFit="1" customWidth="1"/>
    <col min="30" max="30" width="18.28515625" style="356" customWidth="1"/>
    <col min="31" max="31" width="14.42578125" style="98" bestFit="1" customWidth="1"/>
    <col min="32" max="32" width="14.42578125" style="356" bestFit="1" customWidth="1"/>
    <col min="33" max="33" width="22.42578125" style="2366" bestFit="1" customWidth="1"/>
    <col min="34" max="16384" width="11.42578125" style="357"/>
  </cols>
  <sheetData>
    <row r="1" spans="1:33" s="238" customFormat="1">
      <c r="A1" s="2388"/>
      <c r="B1" s="2389"/>
      <c r="C1" s="2389"/>
      <c r="D1" s="2390"/>
      <c r="E1" s="2388"/>
      <c r="F1" s="2391"/>
      <c r="G1" s="2391"/>
      <c r="H1" s="2391"/>
      <c r="I1" s="2391"/>
      <c r="J1" s="2392"/>
      <c r="K1" s="2297"/>
      <c r="L1" s="2391"/>
      <c r="M1" s="2297"/>
      <c r="N1" s="2391"/>
      <c r="O1" s="2318"/>
      <c r="P1" s="2391"/>
      <c r="Q1" s="241"/>
      <c r="R1" s="241"/>
      <c r="S1" s="2318"/>
      <c r="T1" s="2318"/>
      <c r="U1" s="2318"/>
      <c r="V1" s="2318"/>
      <c r="W1" s="2318"/>
      <c r="X1" s="2318"/>
      <c r="Y1" s="2318"/>
      <c r="Z1" s="2319"/>
      <c r="AA1" s="2319"/>
      <c r="AB1" s="2319"/>
      <c r="AC1" s="2297"/>
      <c r="AD1" s="2297"/>
      <c r="AE1" s="2297"/>
      <c r="AF1" s="2297"/>
      <c r="AG1" s="2318"/>
    </row>
    <row r="2" spans="1:33" s="238" customFormat="1" ht="31.5" customHeight="1">
      <c r="A2" s="3400" t="s">
        <v>202</v>
      </c>
      <c r="B2" s="3400"/>
      <c r="C2" s="3400"/>
      <c r="D2" s="3400"/>
      <c r="E2" s="3400"/>
      <c r="F2" s="3400"/>
      <c r="G2" s="3400"/>
      <c r="H2" s="3400"/>
      <c r="I2" s="3400"/>
      <c r="J2" s="3400"/>
      <c r="K2" s="3400"/>
      <c r="L2" s="3400"/>
      <c r="M2" s="3400"/>
      <c r="N2" s="3400"/>
      <c r="O2" s="3400"/>
      <c r="P2" s="3400"/>
      <c r="Q2" s="3400"/>
      <c r="R2" s="3400"/>
      <c r="S2" s="3400"/>
      <c r="T2" s="3400"/>
      <c r="U2" s="3400"/>
      <c r="V2" s="3400"/>
      <c r="W2" s="3400"/>
      <c r="X2" s="3400"/>
      <c r="Y2" s="3400"/>
      <c r="Z2" s="3400"/>
      <c r="AA2" s="3400"/>
      <c r="AB2" s="3400"/>
      <c r="AC2" s="3400"/>
      <c r="AD2" s="3400"/>
      <c r="AE2" s="3400"/>
      <c r="AF2" s="3400"/>
      <c r="AG2" s="3400"/>
    </row>
    <row r="3" spans="1:33" s="249" customFormat="1" ht="15.75" customHeight="1">
      <c r="A3" s="2393"/>
      <c r="B3" s="2394"/>
      <c r="C3" s="2395"/>
      <c r="D3" s="2320"/>
      <c r="E3" s="2393"/>
      <c r="F3" s="2393"/>
      <c r="G3" s="2393"/>
      <c r="H3" s="2320"/>
      <c r="I3" s="2393"/>
      <c r="J3" s="2396"/>
      <c r="K3" s="2397"/>
      <c r="L3" s="2393"/>
      <c r="M3" s="2320"/>
      <c r="N3" s="2393"/>
      <c r="O3" s="2398"/>
      <c r="P3" s="2393"/>
      <c r="Q3" s="1257"/>
      <c r="R3" s="1257"/>
      <c r="S3" s="2320"/>
      <c r="T3" s="2320"/>
      <c r="U3" s="2320"/>
      <c r="V3" s="2320"/>
      <c r="W3" s="2321"/>
      <c r="X3" s="2321"/>
      <c r="Y3" s="2321"/>
      <c r="Z3" s="2322"/>
      <c r="AA3" s="2322"/>
      <c r="AB3" s="2322"/>
      <c r="AC3" s="2321"/>
      <c r="AD3" s="2321"/>
      <c r="AE3" s="2321"/>
      <c r="AF3" s="2321"/>
      <c r="AG3" s="2321"/>
    </row>
    <row r="4" spans="1:33" s="255" customFormat="1" ht="15">
      <c r="A4" s="2399"/>
      <c r="B4" s="2400"/>
      <c r="C4" s="2400"/>
      <c r="D4" s="2401"/>
      <c r="E4" s="2399"/>
      <c r="F4" s="2402"/>
      <c r="G4" s="2402"/>
      <c r="H4" s="2402"/>
      <c r="I4" s="2402"/>
      <c r="J4" s="2403"/>
      <c r="K4" s="2325"/>
      <c r="L4" s="2402"/>
      <c r="M4" s="2325"/>
      <c r="N4" s="2402"/>
      <c r="O4" s="2323"/>
      <c r="P4" s="2402"/>
      <c r="Q4" s="258"/>
      <c r="R4" s="258"/>
      <c r="S4" s="2323"/>
      <c r="T4" s="2323"/>
      <c r="U4" s="2323"/>
      <c r="V4" s="2323"/>
      <c r="W4" s="2323"/>
      <c r="X4" s="2323"/>
      <c r="Y4" s="2323"/>
      <c r="Z4" s="2324"/>
      <c r="AA4" s="2324"/>
      <c r="AB4" s="2324"/>
      <c r="AC4" s="2325"/>
      <c r="AD4" s="2325"/>
      <c r="AE4" s="2325"/>
      <c r="AF4" s="2325"/>
      <c r="AG4" s="2325"/>
    </row>
    <row r="5" spans="1:33" s="238" customFormat="1" ht="34.5" customHeight="1">
      <c r="A5" s="2404"/>
      <c r="B5" s="2405"/>
      <c r="C5" s="2405"/>
      <c r="D5" s="2401"/>
      <c r="E5" s="2399"/>
      <c r="F5" s="3401" t="s">
        <v>208</v>
      </c>
      <c r="G5" s="3401"/>
      <c r="H5" s="2406"/>
      <c r="I5" s="3402" t="s">
        <v>210</v>
      </c>
      <c r="J5" s="3403"/>
      <c r="K5" s="2297"/>
      <c r="L5" s="2297"/>
      <c r="M5" s="2297"/>
      <c r="N5" s="2297"/>
      <c r="O5" s="2297"/>
      <c r="P5" s="2297"/>
      <c r="Q5" s="2297"/>
      <c r="R5" s="2297"/>
      <c r="S5" s="3404" t="s">
        <v>219</v>
      </c>
      <c r="T5" s="3405"/>
      <c r="U5" s="3405"/>
      <c r="V5" s="3405"/>
      <c r="W5" s="3405"/>
      <c r="X5" s="3405"/>
      <c r="Y5" s="3406"/>
      <c r="Z5" s="2326"/>
      <c r="AA5" s="2326"/>
      <c r="AB5" s="2326"/>
      <c r="AC5" s="2297"/>
      <c r="AD5" s="2297"/>
      <c r="AE5" s="2297"/>
      <c r="AF5" s="2297"/>
      <c r="AG5" s="2297"/>
    </row>
    <row r="6" spans="1:33" s="237" customFormat="1" ht="31.5">
      <c r="A6" s="2298" t="s">
        <v>203</v>
      </c>
      <c r="B6" s="2298" t="s">
        <v>204</v>
      </c>
      <c r="C6" s="2298" t="s">
        <v>205</v>
      </c>
      <c r="D6" s="2298" t="s">
        <v>206</v>
      </c>
      <c r="E6" s="2298" t="s">
        <v>207</v>
      </c>
      <c r="F6" s="2298" t="s">
        <v>220</v>
      </c>
      <c r="G6" s="2298" t="s">
        <v>221</v>
      </c>
      <c r="H6" s="2298" t="s">
        <v>209</v>
      </c>
      <c r="I6" s="2298" t="s">
        <v>222</v>
      </c>
      <c r="J6" s="2298" t="s">
        <v>288</v>
      </c>
      <c r="K6" s="2298" t="s">
        <v>211</v>
      </c>
      <c r="L6" s="2298" t="s">
        <v>212</v>
      </c>
      <c r="M6" s="2298" t="s">
        <v>213</v>
      </c>
      <c r="N6" s="2298" t="s">
        <v>214</v>
      </c>
      <c r="O6" s="2298" t="s">
        <v>215</v>
      </c>
      <c r="P6" s="2298" t="s">
        <v>216</v>
      </c>
      <c r="Q6" s="2298" t="s">
        <v>286</v>
      </c>
      <c r="R6" s="1485" t="s">
        <v>287</v>
      </c>
      <c r="S6" s="2407" t="s">
        <v>224</v>
      </c>
      <c r="T6" s="2407" t="s">
        <v>225</v>
      </c>
      <c r="U6" s="2407" t="s">
        <v>226</v>
      </c>
      <c r="V6" s="2407" t="s">
        <v>227</v>
      </c>
      <c r="W6" s="2407" t="s">
        <v>228</v>
      </c>
      <c r="X6" s="2407" t="s">
        <v>229</v>
      </c>
      <c r="Y6" s="2407" t="s">
        <v>230</v>
      </c>
      <c r="Z6" s="2408" t="s">
        <v>289</v>
      </c>
      <c r="AA6" s="2408" t="s">
        <v>290</v>
      </c>
      <c r="AB6" s="2408" t="s">
        <v>291</v>
      </c>
      <c r="AC6" s="2408" t="s">
        <v>975</v>
      </c>
      <c r="AD6" s="2408" t="s">
        <v>976</v>
      </c>
      <c r="AE6" s="2408" t="s">
        <v>224</v>
      </c>
      <c r="AF6" s="2408" t="s">
        <v>225</v>
      </c>
      <c r="AG6" s="2408" t="s">
        <v>41</v>
      </c>
    </row>
    <row r="7" spans="1:33" ht="31.5" outlineLevel="2">
      <c r="A7" s="2409">
        <v>1217</v>
      </c>
      <c r="B7" s="2410" t="s">
        <v>499</v>
      </c>
      <c r="C7" s="2411" t="s">
        <v>767</v>
      </c>
      <c r="D7" s="2412"/>
      <c r="E7" s="2413">
        <f>+G7-F7+1</f>
        <v>189</v>
      </c>
      <c r="F7" s="2413">
        <v>43185</v>
      </c>
      <c r="G7" s="2413">
        <v>43373</v>
      </c>
      <c r="H7" s="2414"/>
      <c r="I7" s="2413" t="s">
        <v>768</v>
      </c>
      <c r="J7" s="2415"/>
      <c r="K7" s="2416"/>
      <c r="L7" s="2409">
        <v>2313</v>
      </c>
      <c r="M7" s="2412"/>
      <c r="N7" s="2412"/>
      <c r="O7" s="2299">
        <v>50000</v>
      </c>
      <c r="P7" s="2412"/>
      <c r="Q7" s="2299">
        <v>50000</v>
      </c>
      <c r="R7" s="2299"/>
      <c r="S7" s="2299"/>
      <c r="T7" s="2299">
        <v>50000</v>
      </c>
      <c r="U7" s="2299"/>
      <c r="V7" s="2299"/>
      <c r="W7" s="2299"/>
      <c r="X7" s="2299"/>
      <c r="Y7" s="2299"/>
      <c r="Z7" s="2284"/>
      <c r="AA7" s="2284"/>
      <c r="AB7" s="2284"/>
      <c r="AC7" s="2284"/>
      <c r="AD7" s="2284"/>
      <c r="AE7" s="2284"/>
      <c r="AF7" s="2284"/>
      <c r="AG7" s="547">
        <f t="shared" ref="AG7:AG30" si="0">SUM(S7:AF7)</f>
        <v>50000</v>
      </c>
    </row>
    <row r="8" spans="1:33" ht="31.5" outlineLevel="2">
      <c r="A8" s="2409">
        <v>1218</v>
      </c>
      <c r="B8" s="2410" t="s">
        <v>769</v>
      </c>
      <c r="C8" s="2411" t="s">
        <v>770</v>
      </c>
      <c r="D8" s="2412"/>
      <c r="E8" s="2413">
        <f>+G8-F8+1</f>
        <v>189</v>
      </c>
      <c r="F8" s="2413">
        <v>43185</v>
      </c>
      <c r="G8" s="2413">
        <v>43373</v>
      </c>
      <c r="H8" s="2414"/>
      <c r="I8" s="2413" t="s">
        <v>768</v>
      </c>
      <c r="J8" s="2415"/>
      <c r="K8" s="2416"/>
      <c r="L8" s="2409">
        <v>2313</v>
      </c>
      <c r="M8" s="2412"/>
      <c r="N8" s="2412"/>
      <c r="O8" s="2299">
        <v>15000</v>
      </c>
      <c r="P8" s="2412"/>
      <c r="Q8" s="2299">
        <v>15000</v>
      </c>
      <c r="R8" s="2299"/>
      <c r="S8" s="2299"/>
      <c r="T8" s="2299">
        <v>15000</v>
      </c>
      <c r="U8" s="2299"/>
      <c r="V8" s="2299"/>
      <c r="W8" s="2299"/>
      <c r="X8" s="2299"/>
      <c r="Y8" s="2299"/>
      <c r="Z8" s="2284"/>
      <c r="AA8" s="2284"/>
      <c r="AB8" s="2284"/>
      <c r="AC8" s="2284"/>
      <c r="AD8" s="2284"/>
      <c r="AE8" s="2284"/>
      <c r="AF8" s="2284"/>
      <c r="AG8" s="547">
        <f t="shared" si="0"/>
        <v>15000</v>
      </c>
    </row>
    <row r="9" spans="1:33" outlineLevel="2">
      <c r="A9" s="2417">
        <v>2122</v>
      </c>
      <c r="B9" s="2418" t="s">
        <v>313</v>
      </c>
      <c r="C9" s="2419" t="s">
        <v>314</v>
      </c>
      <c r="D9" s="1777"/>
      <c r="E9" s="2330">
        <v>60</v>
      </c>
      <c r="F9" s="2330">
        <v>43221</v>
      </c>
      <c r="G9" s="2330">
        <f>+E9+F9</f>
        <v>43281</v>
      </c>
      <c r="H9" s="2330" t="s">
        <v>294</v>
      </c>
      <c r="I9" s="2330" t="s">
        <v>171</v>
      </c>
      <c r="J9" s="2420" t="s">
        <v>295</v>
      </c>
      <c r="K9" s="2284" t="s">
        <v>315</v>
      </c>
      <c r="L9" s="2417">
        <v>2313</v>
      </c>
      <c r="M9" s="2284"/>
      <c r="N9" s="2417"/>
      <c r="O9" s="910">
        <v>3333.3333333333335</v>
      </c>
      <c r="P9" s="2417">
        <v>1</v>
      </c>
      <c r="Q9" s="299">
        <f>+O9*P9</f>
        <v>3333.3333333333335</v>
      </c>
      <c r="R9" s="299"/>
      <c r="S9" s="299"/>
      <c r="T9" s="299"/>
      <c r="U9" s="299">
        <v>3333.3333333333335</v>
      </c>
      <c r="V9" s="299"/>
      <c r="W9" s="299"/>
      <c r="X9" s="299"/>
      <c r="Y9" s="299"/>
      <c r="Z9" s="2327"/>
      <c r="AA9" s="2327"/>
      <c r="AB9" s="2327"/>
      <c r="AC9" s="2284"/>
      <c r="AD9" s="2284"/>
      <c r="AE9" s="2284"/>
      <c r="AF9" s="2284"/>
      <c r="AG9" s="547">
        <f t="shared" si="0"/>
        <v>3333.3333333333335</v>
      </c>
    </row>
    <row r="10" spans="1:33" outlineLevel="2">
      <c r="A10" s="2330">
        <v>2123</v>
      </c>
      <c r="B10" s="2421" t="s">
        <v>316</v>
      </c>
      <c r="C10" s="2419" t="s">
        <v>314</v>
      </c>
      <c r="D10" s="1777"/>
      <c r="E10" s="2330">
        <v>60</v>
      </c>
      <c r="F10" s="2330">
        <v>43221</v>
      </c>
      <c r="G10" s="2330">
        <f>+E10+F10</f>
        <v>43281</v>
      </c>
      <c r="H10" s="2330" t="s">
        <v>294</v>
      </c>
      <c r="I10" s="2330" t="s">
        <v>171</v>
      </c>
      <c r="J10" s="2422" t="s">
        <v>295</v>
      </c>
      <c r="K10" s="1777" t="s">
        <v>317</v>
      </c>
      <c r="L10" s="2423">
        <v>2313</v>
      </c>
      <c r="M10" s="1777"/>
      <c r="N10" s="2330"/>
      <c r="O10" s="962">
        <v>2666.6666666666665</v>
      </c>
      <c r="P10" s="2330">
        <v>1</v>
      </c>
      <c r="Q10" s="800">
        <f>+O10*P10</f>
        <v>2666.6666666666665</v>
      </c>
      <c r="R10" s="800"/>
      <c r="S10" s="800"/>
      <c r="T10" s="800"/>
      <c r="U10" s="800">
        <v>2666.6666666666665</v>
      </c>
      <c r="V10" s="800"/>
      <c r="W10" s="800"/>
      <c r="X10" s="1142"/>
      <c r="Y10" s="1127"/>
      <c r="Z10" s="2328"/>
      <c r="AA10" s="2328"/>
      <c r="AB10" s="2328"/>
      <c r="AC10" s="1199"/>
      <c r="AD10" s="1199"/>
      <c r="AE10" s="1199"/>
      <c r="AF10" s="1199"/>
      <c r="AG10" s="547">
        <f t="shared" si="0"/>
        <v>2666.6666666666665</v>
      </c>
    </row>
    <row r="11" spans="1:33" outlineLevel="2">
      <c r="A11" s="2330">
        <v>2141</v>
      </c>
      <c r="B11" s="2421" t="s">
        <v>341</v>
      </c>
      <c r="C11" s="2419" t="s">
        <v>314</v>
      </c>
      <c r="D11" s="1777"/>
      <c r="E11" s="2330">
        <v>5</v>
      </c>
      <c r="F11" s="2330">
        <v>43227</v>
      </c>
      <c r="G11" s="2330">
        <f>+E11+F11</f>
        <v>43232</v>
      </c>
      <c r="H11" s="2330" t="s">
        <v>294</v>
      </c>
      <c r="I11" s="2330" t="s">
        <v>171</v>
      </c>
      <c r="J11" s="2422" t="s">
        <v>295</v>
      </c>
      <c r="K11" s="1777" t="s">
        <v>315</v>
      </c>
      <c r="L11" s="2423">
        <v>2313</v>
      </c>
      <c r="M11" s="1777"/>
      <c r="N11" s="2330"/>
      <c r="O11" s="962">
        <v>2666.6666666666665</v>
      </c>
      <c r="P11" s="2330">
        <v>1</v>
      </c>
      <c r="Q11" s="800">
        <f>+O11*P11</f>
        <v>2666.6666666666665</v>
      </c>
      <c r="R11" s="800"/>
      <c r="S11" s="800"/>
      <c r="T11" s="800"/>
      <c r="U11" s="800">
        <v>2666.6666666666665</v>
      </c>
      <c r="V11" s="800"/>
      <c r="W11" s="800"/>
      <c r="X11" s="1142"/>
      <c r="Y11" s="1127"/>
      <c r="Z11" s="2328"/>
      <c r="AA11" s="2328"/>
      <c r="AB11" s="2328"/>
      <c r="AC11" s="1199"/>
      <c r="AD11" s="1199"/>
      <c r="AE11" s="1199"/>
      <c r="AF11" s="1199"/>
      <c r="AG11" s="547">
        <f t="shared" si="0"/>
        <v>2666.6666666666665</v>
      </c>
    </row>
    <row r="12" spans="1:33" outlineLevel="2">
      <c r="A12" s="2330">
        <v>2211</v>
      </c>
      <c r="B12" s="2424" t="s">
        <v>845</v>
      </c>
      <c r="C12" s="2425" t="s">
        <v>848</v>
      </c>
      <c r="D12" s="2330" t="s">
        <v>849</v>
      </c>
      <c r="E12" s="2330">
        <v>150</v>
      </c>
      <c r="F12" s="2330">
        <f>+G11</f>
        <v>43232</v>
      </c>
      <c r="G12" s="2330">
        <f>+G11+E12</f>
        <v>43382</v>
      </c>
      <c r="H12" s="2330" t="s">
        <v>368</v>
      </c>
      <c r="I12" s="2330" t="s">
        <v>174</v>
      </c>
      <c r="J12" s="2422" t="s">
        <v>169</v>
      </c>
      <c r="K12" s="1777" t="s">
        <v>365</v>
      </c>
      <c r="L12" s="2423">
        <v>2313</v>
      </c>
      <c r="M12" s="1777"/>
      <c r="N12" s="2330" t="s">
        <v>366</v>
      </c>
      <c r="O12" s="800">
        <v>27000</v>
      </c>
      <c r="P12" s="2330">
        <v>1</v>
      </c>
      <c r="Q12" s="800">
        <f>+O12*P12</f>
        <v>27000</v>
      </c>
      <c r="R12" s="800"/>
      <c r="S12" s="800"/>
      <c r="T12" s="800"/>
      <c r="U12" s="800"/>
      <c r="V12" s="800"/>
      <c r="W12" s="800"/>
      <c r="X12" s="1142">
        <v>5400</v>
      </c>
      <c r="Y12" s="1127">
        <v>5400</v>
      </c>
      <c r="Z12" s="1127">
        <v>8100</v>
      </c>
      <c r="AA12" s="2329">
        <v>8100</v>
      </c>
      <c r="AB12" s="2329"/>
      <c r="AC12" s="1199"/>
      <c r="AD12" s="1199"/>
      <c r="AE12" s="1199"/>
      <c r="AF12" s="1199"/>
      <c r="AG12" s="547">
        <f t="shared" si="0"/>
        <v>27000</v>
      </c>
    </row>
    <row r="13" spans="1:33" outlineLevel="2">
      <c r="A13" s="2330">
        <v>2212</v>
      </c>
      <c r="B13" s="2424" t="s">
        <v>851</v>
      </c>
      <c r="C13" s="2425" t="s">
        <v>852</v>
      </c>
      <c r="D13" s="2330" t="s">
        <v>849</v>
      </c>
      <c r="E13" s="2330">
        <v>95</v>
      </c>
      <c r="F13" s="2330">
        <v>43249</v>
      </c>
      <c r="G13" s="2330">
        <v>43341</v>
      </c>
      <c r="H13" s="2330" t="s">
        <v>368</v>
      </c>
      <c r="I13" s="2330" t="s">
        <v>174</v>
      </c>
      <c r="J13" s="2422" t="s">
        <v>169</v>
      </c>
      <c r="K13" s="1777" t="s">
        <v>365</v>
      </c>
      <c r="L13" s="2423">
        <v>2313</v>
      </c>
      <c r="M13" s="1777"/>
      <c r="N13" s="2330" t="s">
        <v>366</v>
      </c>
      <c r="O13" s="962">
        <v>5000</v>
      </c>
      <c r="P13" s="2330">
        <v>1</v>
      </c>
      <c r="Q13" s="800">
        <f t="shared" ref="Q13:Q20" si="1">O13*P13</f>
        <v>5000</v>
      </c>
      <c r="R13" s="800"/>
      <c r="S13" s="800"/>
      <c r="T13" s="800"/>
      <c r="U13" s="800"/>
      <c r="V13" s="800">
        <v>500</v>
      </c>
      <c r="W13" s="800"/>
      <c r="X13" s="1142">
        <v>2000</v>
      </c>
      <c r="Y13" s="1127">
        <v>2500</v>
      </c>
      <c r="Z13" s="2329"/>
      <c r="AA13" s="2329"/>
      <c r="AB13" s="2329"/>
      <c r="AC13" s="1199"/>
      <c r="AD13" s="1199"/>
      <c r="AE13" s="1199"/>
      <c r="AF13" s="1199"/>
      <c r="AG13" s="547">
        <f t="shared" si="0"/>
        <v>5000</v>
      </c>
    </row>
    <row r="14" spans="1:33" outlineLevel="2">
      <c r="A14" s="2330">
        <v>2213</v>
      </c>
      <c r="B14" s="2424" t="s">
        <v>854</v>
      </c>
      <c r="C14" s="2418" t="s">
        <v>367</v>
      </c>
      <c r="D14" s="2330" t="s">
        <v>849</v>
      </c>
      <c r="E14" s="2330">
        <v>95</v>
      </c>
      <c r="F14" s="2330">
        <v>43309</v>
      </c>
      <c r="G14" s="2330">
        <v>43403</v>
      </c>
      <c r="H14" s="2330" t="s">
        <v>368</v>
      </c>
      <c r="I14" s="2330" t="s">
        <v>174</v>
      </c>
      <c r="J14" s="2422" t="s">
        <v>169</v>
      </c>
      <c r="K14" s="1777" t="s">
        <v>365</v>
      </c>
      <c r="L14" s="2423">
        <v>2313</v>
      </c>
      <c r="M14" s="1777"/>
      <c r="N14" s="2330" t="s">
        <v>366</v>
      </c>
      <c r="O14" s="962">
        <v>6000</v>
      </c>
      <c r="P14" s="2330">
        <v>1</v>
      </c>
      <c r="Q14" s="800">
        <f t="shared" si="1"/>
        <v>6000</v>
      </c>
      <c r="R14" s="800"/>
      <c r="S14" s="800"/>
      <c r="T14" s="800"/>
      <c r="U14" s="800"/>
      <c r="V14" s="800"/>
      <c r="W14" s="800"/>
      <c r="X14" s="1142">
        <v>600</v>
      </c>
      <c r="Y14" s="1127">
        <v>2400</v>
      </c>
      <c r="Z14" s="2329">
        <v>3000</v>
      </c>
      <c r="AA14" s="2329"/>
      <c r="AB14" s="2329"/>
      <c r="AC14" s="1199"/>
      <c r="AD14" s="1199"/>
      <c r="AE14" s="1199"/>
      <c r="AF14" s="1199"/>
      <c r="AG14" s="547">
        <f t="shared" si="0"/>
        <v>6000</v>
      </c>
    </row>
    <row r="15" spans="1:33" ht="31.5" outlineLevel="2">
      <c r="A15" s="2330">
        <v>2223</v>
      </c>
      <c r="B15" s="2426" t="s">
        <v>99</v>
      </c>
      <c r="C15" s="2418" t="s">
        <v>868</v>
      </c>
      <c r="D15" s="2427"/>
      <c r="E15" s="2330">
        <v>2</v>
      </c>
      <c r="F15" s="2330">
        <v>43279</v>
      </c>
      <c r="G15" s="2330">
        <f>+F15+E15</f>
        <v>43281</v>
      </c>
      <c r="H15" s="2330" t="s">
        <v>869</v>
      </c>
      <c r="I15" s="2330" t="s">
        <v>174</v>
      </c>
      <c r="J15" s="2422" t="s">
        <v>169</v>
      </c>
      <c r="K15" s="1777" t="s">
        <v>365</v>
      </c>
      <c r="L15" s="2423">
        <v>2313</v>
      </c>
      <c r="M15" s="1777"/>
      <c r="N15" s="2330"/>
      <c r="O15" s="962">
        <v>2711.4</v>
      </c>
      <c r="P15" s="2330">
        <v>1</v>
      </c>
      <c r="Q15" s="800">
        <f t="shared" si="1"/>
        <v>2711.4</v>
      </c>
      <c r="R15" s="800"/>
      <c r="S15" s="800"/>
      <c r="T15" s="800"/>
      <c r="U15" s="800"/>
      <c r="V15" s="800"/>
      <c r="W15" s="962">
        <v>2711.4</v>
      </c>
      <c r="X15" s="1142"/>
      <c r="Y15" s="1127"/>
      <c r="Z15" s="1199"/>
      <c r="AA15" s="1199"/>
      <c r="AB15" s="1199"/>
      <c r="AC15" s="1199"/>
      <c r="AD15" s="1199"/>
      <c r="AE15" s="1199"/>
      <c r="AF15" s="1199"/>
      <c r="AG15" s="547">
        <f t="shared" si="0"/>
        <v>2711.4</v>
      </c>
    </row>
    <row r="16" spans="1:33" ht="31.5" outlineLevel="2">
      <c r="A16" s="2330">
        <v>2224</v>
      </c>
      <c r="B16" s="2426" t="s">
        <v>99</v>
      </c>
      <c r="C16" s="2418" t="s">
        <v>870</v>
      </c>
      <c r="D16" s="2427"/>
      <c r="E16" s="2330">
        <v>2</v>
      </c>
      <c r="F16" s="2330">
        <v>43500</v>
      </c>
      <c r="G16" s="2330">
        <f>+F16+E16</f>
        <v>43502</v>
      </c>
      <c r="H16" s="2330" t="s">
        <v>871</v>
      </c>
      <c r="I16" s="2330" t="s">
        <v>174</v>
      </c>
      <c r="J16" s="2422" t="s">
        <v>169</v>
      </c>
      <c r="K16" s="1777" t="s">
        <v>365</v>
      </c>
      <c r="L16" s="2423">
        <v>2313</v>
      </c>
      <c r="M16" s="1777"/>
      <c r="N16" s="2330"/>
      <c r="O16" s="962">
        <v>2711.4</v>
      </c>
      <c r="P16" s="2330">
        <v>1</v>
      </c>
      <c r="Q16" s="800">
        <f t="shared" si="1"/>
        <v>2711.4</v>
      </c>
      <c r="R16" s="800"/>
      <c r="S16" s="800"/>
      <c r="T16" s="800"/>
      <c r="U16" s="800"/>
      <c r="V16" s="800"/>
      <c r="W16" s="800"/>
      <c r="X16" s="1142"/>
      <c r="Y16" s="1127"/>
      <c r="Z16" s="1199"/>
      <c r="AA16" s="1199"/>
      <c r="AB16" s="1199"/>
      <c r="AC16" s="1199"/>
      <c r="AD16" s="1127">
        <v>2711.4</v>
      </c>
      <c r="AE16" s="1199"/>
      <c r="AF16" s="1199"/>
      <c r="AG16" s="547">
        <f t="shared" si="0"/>
        <v>2711.4</v>
      </c>
    </row>
    <row r="17" spans="1:33" ht="31.5" outlineLevel="2">
      <c r="A17" s="2330">
        <v>2231</v>
      </c>
      <c r="B17" s="2424" t="s">
        <v>1027</v>
      </c>
      <c r="C17" s="2418" t="s">
        <v>875</v>
      </c>
      <c r="D17" s="2330" t="s">
        <v>849</v>
      </c>
      <c r="E17" s="2330">
        <v>30</v>
      </c>
      <c r="F17" s="2330">
        <v>43205</v>
      </c>
      <c r="G17" s="2330">
        <v>43235</v>
      </c>
      <c r="H17" s="2330" t="s">
        <v>368</v>
      </c>
      <c r="I17" s="2330" t="s">
        <v>174</v>
      </c>
      <c r="J17" s="2422" t="s">
        <v>169</v>
      </c>
      <c r="K17" s="1777" t="s">
        <v>365</v>
      </c>
      <c r="L17" s="2423">
        <v>2313</v>
      </c>
      <c r="M17" s="1777"/>
      <c r="N17" s="2330"/>
      <c r="O17" s="800">
        <v>5000</v>
      </c>
      <c r="P17" s="2330">
        <v>1</v>
      </c>
      <c r="Q17" s="800">
        <f t="shared" si="1"/>
        <v>5000</v>
      </c>
      <c r="R17" s="800"/>
      <c r="S17" s="800"/>
      <c r="T17" s="2330">
        <v>500</v>
      </c>
      <c r="U17" s="2330">
        <v>4500</v>
      </c>
      <c r="V17" s="800"/>
      <c r="W17" s="800"/>
      <c r="X17" s="1142"/>
      <c r="Y17" s="1127"/>
      <c r="Z17" s="1199"/>
      <c r="AA17" s="1199"/>
      <c r="AB17" s="1199"/>
      <c r="AC17" s="1199"/>
      <c r="AD17" s="1199"/>
      <c r="AE17" s="1199"/>
      <c r="AF17" s="1199"/>
      <c r="AG17" s="547">
        <f t="shared" si="0"/>
        <v>5000</v>
      </c>
    </row>
    <row r="18" spans="1:33" ht="31.5" outlineLevel="2">
      <c r="A18" s="2330">
        <v>2241</v>
      </c>
      <c r="B18" s="2421" t="s">
        <v>906</v>
      </c>
      <c r="C18" s="2418" t="s">
        <v>908</v>
      </c>
      <c r="D18" s="2427"/>
      <c r="E18" s="2428">
        <v>115</v>
      </c>
      <c r="F18" s="2330">
        <v>43232</v>
      </c>
      <c r="G18" s="2330">
        <v>43346</v>
      </c>
      <c r="H18" s="2330" t="s">
        <v>368</v>
      </c>
      <c r="I18" s="2330" t="s">
        <v>174</v>
      </c>
      <c r="J18" s="2422" t="s">
        <v>169</v>
      </c>
      <c r="K18" s="1777" t="s">
        <v>365</v>
      </c>
      <c r="L18" s="2423">
        <v>2313</v>
      </c>
      <c r="M18" s="1777"/>
      <c r="N18" s="2330"/>
      <c r="O18" s="962">
        <v>22000</v>
      </c>
      <c r="P18" s="2330">
        <v>1</v>
      </c>
      <c r="Q18" s="800">
        <f t="shared" si="1"/>
        <v>22000</v>
      </c>
      <c r="R18" s="800"/>
      <c r="S18" s="800"/>
      <c r="T18" s="800"/>
      <c r="U18" s="800"/>
      <c r="V18" s="800"/>
      <c r="W18" s="800"/>
      <c r="X18" s="1142">
        <v>11000</v>
      </c>
      <c r="Y18" s="1127">
        <v>11000</v>
      </c>
      <c r="Z18" s="1199"/>
      <c r="AA18" s="1199"/>
      <c r="AB18" s="1199"/>
      <c r="AC18" s="1199"/>
      <c r="AD18" s="1199"/>
      <c r="AE18" s="1199"/>
      <c r="AF18" s="1199"/>
      <c r="AG18" s="547">
        <f t="shared" si="0"/>
        <v>22000</v>
      </c>
    </row>
    <row r="19" spans="1:33" ht="47.25" outlineLevel="2">
      <c r="A19" s="2429">
        <v>3111</v>
      </c>
      <c r="B19" s="2430" t="s">
        <v>244</v>
      </c>
      <c r="C19" s="2431" t="s">
        <v>245</v>
      </c>
      <c r="D19" s="2429" t="s">
        <v>246</v>
      </c>
      <c r="E19" s="2429">
        <f>70+55</f>
        <v>125</v>
      </c>
      <c r="F19" s="2429">
        <v>43193</v>
      </c>
      <c r="G19" s="2429">
        <f>+F19+E19</f>
        <v>43318</v>
      </c>
      <c r="H19" s="2429" t="s">
        <v>247</v>
      </c>
      <c r="I19" s="2429" t="s">
        <v>176</v>
      </c>
      <c r="J19" s="2432" t="s">
        <v>169</v>
      </c>
      <c r="K19" s="2367" t="s">
        <v>248</v>
      </c>
      <c r="L19" s="2433">
        <v>2313</v>
      </c>
      <c r="M19" s="2367"/>
      <c r="N19" s="2429">
        <v>2313</v>
      </c>
      <c r="O19" s="2281">
        <v>10643</v>
      </c>
      <c r="P19" s="2429">
        <v>1</v>
      </c>
      <c r="Q19" s="2300">
        <f t="shared" si="1"/>
        <v>10643</v>
      </c>
      <c r="R19" s="2331"/>
      <c r="S19" s="2331"/>
      <c r="T19" s="2331"/>
      <c r="U19" s="2331"/>
      <c r="V19" s="2331"/>
      <c r="W19" s="2331"/>
      <c r="X19" s="2332">
        <v>10643</v>
      </c>
      <c r="Y19" s="2333"/>
      <c r="Z19" s="2334"/>
      <c r="AA19" s="2334"/>
      <c r="AB19" s="2334"/>
      <c r="AC19" s="2334"/>
      <c r="AD19" s="2334"/>
      <c r="AE19" s="2334"/>
      <c r="AF19" s="2334"/>
      <c r="AG19" s="547">
        <f t="shared" si="0"/>
        <v>10643</v>
      </c>
    </row>
    <row r="20" spans="1:33" ht="47.25" outlineLevel="2">
      <c r="A20" s="2330">
        <v>4132</v>
      </c>
      <c r="B20" s="2424" t="s">
        <v>1045</v>
      </c>
      <c r="C20" s="2434" t="s">
        <v>962</v>
      </c>
      <c r="D20" s="1777"/>
      <c r="E20" s="2428">
        <f>10</f>
        <v>10</v>
      </c>
      <c r="F20" s="2435">
        <v>43360</v>
      </c>
      <c r="G20" s="2435">
        <f>E20+F20-1</f>
        <v>43369</v>
      </c>
      <c r="H20" s="2330" t="s">
        <v>914</v>
      </c>
      <c r="I20" s="2436" t="s">
        <v>169</v>
      </c>
      <c r="J20" s="2269" t="s">
        <v>178</v>
      </c>
      <c r="K20" s="2437" t="s">
        <v>963</v>
      </c>
      <c r="L20" s="2438">
        <v>2313</v>
      </c>
      <c r="M20" s="1777"/>
      <c r="N20" s="2330"/>
      <c r="O20" s="800">
        <v>750</v>
      </c>
      <c r="P20" s="2330">
        <v>14</v>
      </c>
      <c r="Q20" s="800">
        <f t="shared" si="1"/>
        <v>10500</v>
      </c>
      <c r="R20" s="2279"/>
      <c r="S20" s="800"/>
      <c r="T20" s="800"/>
      <c r="U20" s="800"/>
      <c r="V20" s="800"/>
      <c r="W20" s="800"/>
      <c r="X20" s="1142"/>
      <c r="Y20" s="1127">
        <v>10500</v>
      </c>
      <c r="Z20" s="1199"/>
      <c r="AA20" s="1199"/>
      <c r="AB20" s="1199"/>
      <c r="AC20" s="1199"/>
      <c r="AD20" s="1199"/>
      <c r="AE20" s="1199"/>
      <c r="AF20" s="1199"/>
      <c r="AG20" s="547">
        <f t="shared" si="0"/>
        <v>10500</v>
      </c>
    </row>
    <row r="21" spans="1:33" ht="47.25" outlineLevel="2">
      <c r="A21" s="2330">
        <v>4211</v>
      </c>
      <c r="B21" s="2421" t="s">
        <v>440</v>
      </c>
      <c r="C21" s="2439" t="s">
        <v>1047</v>
      </c>
      <c r="D21" s="1777"/>
      <c r="E21" s="2330">
        <f>50</f>
        <v>50</v>
      </c>
      <c r="F21" s="2440">
        <v>43186</v>
      </c>
      <c r="G21" s="2441">
        <f>+F21+E21</f>
        <v>43236</v>
      </c>
      <c r="H21" s="2330" t="s">
        <v>368</v>
      </c>
      <c r="I21" s="2330" t="s">
        <v>169</v>
      </c>
      <c r="J21" s="2422" t="s">
        <v>442</v>
      </c>
      <c r="K21" s="1777" t="s">
        <v>443</v>
      </c>
      <c r="L21" s="2438">
        <v>2313</v>
      </c>
      <c r="M21" s="1777"/>
      <c r="N21" s="2330"/>
      <c r="O21" s="1779">
        <v>217.5</v>
      </c>
      <c r="P21" s="2301">
        <v>15</v>
      </c>
      <c r="Q21" s="1779">
        <v>3262.5</v>
      </c>
      <c r="R21" s="1779"/>
      <c r="S21" s="2301"/>
      <c r="T21" s="2301"/>
      <c r="U21" s="2301"/>
      <c r="V21" s="2301">
        <v>3262.5</v>
      </c>
      <c r="W21" s="2301"/>
      <c r="X21" s="2335"/>
      <c r="Y21" s="2336"/>
      <c r="Z21" s="1199"/>
      <c r="AA21" s="1199"/>
      <c r="AB21" s="1199"/>
      <c r="AC21" s="1199"/>
      <c r="AD21" s="1199"/>
      <c r="AE21" s="1199"/>
      <c r="AF21" s="1199"/>
      <c r="AG21" s="547">
        <f t="shared" si="0"/>
        <v>3262.5</v>
      </c>
    </row>
    <row r="22" spans="1:33" ht="47.25" outlineLevel="2">
      <c r="A22" s="2330">
        <v>4212</v>
      </c>
      <c r="B22" s="2418" t="s">
        <v>446</v>
      </c>
      <c r="C22" s="2439" t="s">
        <v>1046</v>
      </c>
      <c r="D22" s="1777"/>
      <c r="E22" s="2330">
        <v>70</v>
      </c>
      <c r="F22" s="2440">
        <v>43186</v>
      </c>
      <c r="G22" s="2441">
        <f>+F22+E22</f>
        <v>43256</v>
      </c>
      <c r="H22" s="2330" t="s">
        <v>368</v>
      </c>
      <c r="I22" s="2330" t="s">
        <v>169</v>
      </c>
      <c r="J22" s="2422" t="s">
        <v>442</v>
      </c>
      <c r="K22" s="1777" t="s">
        <v>443</v>
      </c>
      <c r="L22" s="2438">
        <v>2313</v>
      </c>
      <c r="M22" s="1777"/>
      <c r="N22" s="2330"/>
      <c r="O22" s="1779">
        <v>217.5</v>
      </c>
      <c r="P22" s="2301">
        <v>5</v>
      </c>
      <c r="Q22" s="2301">
        <f>O22*P22</f>
        <v>1087.5</v>
      </c>
      <c r="R22" s="1779"/>
      <c r="S22" s="2301"/>
      <c r="T22" s="2301"/>
      <c r="U22" s="2301"/>
      <c r="V22" s="2301"/>
      <c r="W22" s="2301">
        <v>1087.5</v>
      </c>
      <c r="X22" s="2335"/>
      <c r="Y22" s="2336"/>
      <c r="Z22" s="1199"/>
      <c r="AA22" s="1199"/>
      <c r="AB22" s="1199"/>
      <c r="AC22" s="1199"/>
      <c r="AD22" s="1199"/>
      <c r="AE22" s="1199"/>
      <c r="AF22" s="1199"/>
      <c r="AG22" s="547">
        <f t="shared" si="0"/>
        <v>1087.5</v>
      </c>
    </row>
    <row r="23" spans="1:33" ht="63" outlineLevel="2">
      <c r="A23" s="2330">
        <v>4213</v>
      </c>
      <c r="B23" s="2418" t="s">
        <v>448</v>
      </c>
      <c r="C23" s="2439" t="s">
        <v>1048</v>
      </c>
      <c r="D23" s="1777"/>
      <c r="E23" s="2330">
        <v>70</v>
      </c>
      <c r="F23" s="2440">
        <v>43186</v>
      </c>
      <c r="G23" s="2441">
        <f>+F23+E23</f>
        <v>43256</v>
      </c>
      <c r="H23" s="2330" t="s">
        <v>368</v>
      </c>
      <c r="I23" s="2330" t="s">
        <v>169</v>
      </c>
      <c r="J23" s="2422" t="s">
        <v>442</v>
      </c>
      <c r="K23" s="1777" t="s">
        <v>443</v>
      </c>
      <c r="L23" s="2438">
        <v>2313</v>
      </c>
      <c r="M23" s="1777"/>
      <c r="N23" s="2330"/>
      <c r="O23" s="1779">
        <v>217.5</v>
      </c>
      <c r="P23" s="2301">
        <v>5</v>
      </c>
      <c r="Q23" s="2301">
        <f>O23*P23</f>
        <v>1087.5</v>
      </c>
      <c r="R23" s="1779"/>
      <c r="S23" s="2301"/>
      <c r="T23" s="2301"/>
      <c r="U23" s="2301"/>
      <c r="V23" s="2301"/>
      <c r="W23" s="2301"/>
      <c r="X23" s="2335">
        <v>1087.5</v>
      </c>
      <c r="Y23" s="2336"/>
      <c r="Z23" s="1199"/>
      <c r="AA23" s="1199"/>
      <c r="AB23" s="1199"/>
      <c r="AC23" s="1199"/>
      <c r="AD23" s="1199"/>
      <c r="AE23" s="1199"/>
      <c r="AF23" s="1199"/>
      <c r="AG23" s="547">
        <f t="shared" si="0"/>
        <v>1087.5</v>
      </c>
    </row>
    <row r="24" spans="1:33" ht="31.5" outlineLevel="2">
      <c r="A24" s="2330">
        <v>4221</v>
      </c>
      <c r="B24" s="2418" t="s">
        <v>451</v>
      </c>
      <c r="C24" s="2439" t="s">
        <v>452</v>
      </c>
      <c r="D24" s="1777"/>
      <c r="E24" s="2330">
        <f>50</f>
        <v>50</v>
      </c>
      <c r="F24" s="2440">
        <v>43186</v>
      </c>
      <c r="G24" s="2441">
        <f>+F24+E24</f>
        <v>43236</v>
      </c>
      <c r="H24" s="2330" t="s">
        <v>368</v>
      </c>
      <c r="I24" s="2330" t="s">
        <v>169</v>
      </c>
      <c r="J24" s="2422" t="s">
        <v>179</v>
      </c>
      <c r="K24" s="1777" t="s">
        <v>365</v>
      </c>
      <c r="L24" s="2438">
        <v>2313</v>
      </c>
      <c r="M24" s="1777"/>
      <c r="N24" s="2330"/>
      <c r="O24" s="1779">
        <v>174</v>
      </c>
      <c r="P24" s="1777">
        <v>30</v>
      </c>
      <c r="Q24" s="2301">
        <f>O24*P24</f>
        <v>5220</v>
      </c>
      <c r="R24" s="1779"/>
      <c r="S24" s="2301"/>
      <c r="T24" s="2301"/>
      <c r="U24" s="2301"/>
      <c r="V24" s="2301">
        <v>5220</v>
      </c>
      <c r="W24" s="800"/>
      <c r="X24" s="1142"/>
      <c r="Y24" s="1127"/>
      <c r="Z24" s="1199"/>
      <c r="AA24" s="1199"/>
      <c r="AB24" s="1199"/>
      <c r="AC24" s="1199"/>
      <c r="AD24" s="1199"/>
      <c r="AE24" s="1199"/>
      <c r="AF24" s="1199"/>
      <c r="AG24" s="547">
        <f t="shared" si="0"/>
        <v>5220</v>
      </c>
    </row>
    <row r="25" spans="1:33" ht="31.5" outlineLevel="2">
      <c r="A25" s="2330">
        <v>4261</v>
      </c>
      <c r="B25" s="2442" t="s">
        <v>482</v>
      </c>
      <c r="C25" s="2439" t="s">
        <v>483</v>
      </c>
      <c r="D25" s="1777"/>
      <c r="E25" s="2330">
        <v>50</v>
      </c>
      <c r="F25" s="2440">
        <v>43186</v>
      </c>
      <c r="G25" s="2441">
        <f>+F25+E25-3</f>
        <v>43233</v>
      </c>
      <c r="H25" s="2330" t="s">
        <v>368</v>
      </c>
      <c r="I25" s="2330" t="s">
        <v>169</v>
      </c>
      <c r="J25" s="2422" t="s">
        <v>179</v>
      </c>
      <c r="K25" s="2437" t="s">
        <v>365</v>
      </c>
      <c r="L25" s="2438">
        <v>2313</v>
      </c>
      <c r="M25" s="1777"/>
      <c r="N25" s="2330"/>
      <c r="O25" s="1779">
        <v>174</v>
      </c>
      <c r="P25" s="1779">
        <v>45</v>
      </c>
      <c r="Q25" s="1779">
        <f>O25*P25</f>
        <v>7830</v>
      </c>
      <c r="R25" s="1779"/>
      <c r="S25" s="1779"/>
      <c r="T25" s="1779"/>
      <c r="U25" s="1779"/>
      <c r="V25" s="1779">
        <v>7830</v>
      </c>
      <c r="W25" s="1779"/>
      <c r="X25" s="1142"/>
      <c r="Y25" s="1127"/>
      <c r="Z25" s="1127"/>
      <c r="AA25" s="1127"/>
      <c r="AB25" s="1127"/>
      <c r="AC25" s="1127"/>
      <c r="AD25" s="1127"/>
      <c r="AE25" s="1127"/>
      <c r="AF25" s="1127"/>
      <c r="AG25" s="547">
        <f t="shared" si="0"/>
        <v>7830</v>
      </c>
    </row>
    <row r="26" spans="1:33" ht="47.25" outlineLevel="2">
      <c r="A26" s="2330">
        <v>4271</v>
      </c>
      <c r="B26" s="2418" t="s">
        <v>495</v>
      </c>
      <c r="C26" s="2439" t="s">
        <v>496</v>
      </c>
      <c r="D26" s="1777"/>
      <c r="E26" s="2330">
        <v>50</v>
      </c>
      <c r="F26" s="2440">
        <v>43186</v>
      </c>
      <c r="G26" s="2441">
        <f>+F26+E26-1</f>
        <v>43235</v>
      </c>
      <c r="H26" s="2330"/>
      <c r="I26" s="2330" t="s">
        <v>169</v>
      </c>
      <c r="J26" s="2422" t="s">
        <v>179</v>
      </c>
      <c r="K26" s="1777" t="s">
        <v>365</v>
      </c>
      <c r="L26" s="2438">
        <v>2313</v>
      </c>
      <c r="M26" s="1777"/>
      <c r="N26" s="2330"/>
      <c r="O26" s="1779">
        <v>217.5</v>
      </c>
      <c r="P26" s="1779">
        <v>15</v>
      </c>
      <c r="Q26" s="1779">
        <f>O26*P26</f>
        <v>3262.5</v>
      </c>
      <c r="R26" s="1779"/>
      <c r="S26" s="800"/>
      <c r="T26" s="800"/>
      <c r="U26" s="800"/>
      <c r="V26" s="800">
        <v>3262.5</v>
      </c>
      <c r="W26" s="800"/>
      <c r="X26" s="1142"/>
      <c r="Y26" s="1127"/>
      <c r="Z26" s="1127"/>
      <c r="AA26" s="1127"/>
      <c r="AB26" s="1127"/>
      <c r="AC26" s="1127"/>
      <c r="AD26" s="1127"/>
      <c r="AE26" s="1127"/>
      <c r="AF26" s="1127"/>
      <c r="AG26" s="547">
        <f t="shared" si="0"/>
        <v>3262.5</v>
      </c>
    </row>
    <row r="27" spans="1:33" outlineLevel="2">
      <c r="A27" s="2330">
        <v>4281</v>
      </c>
      <c r="B27" s="2443" t="s">
        <v>499</v>
      </c>
      <c r="C27" s="2444" t="s">
        <v>500</v>
      </c>
      <c r="D27" s="1777"/>
      <c r="E27" s="2330">
        <v>50</v>
      </c>
      <c r="F27" s="2440">
        <v>43186</v>
      </c>
      <c r="G27" s="2441">
        <f>+F27+E27-1</f>
        <v>43235</v>
      </c>
      <c r="H27" s="2330" t="s">
        <v>501</v>
      </c>
      <c r="I27" s="2330" t="s">
        <v>169</v>
      </c>
      <c r="J27" s="2422" t="s">
        <v>179</v>
      </c>
      <c r="K27" s="1777" t="s">
        <v>502</v>
      </c>
      <c r="L27" s="2438">
        <v>2313</v>
      </c>
      <c r="M27" s="1777"/>
      <c r="N27" s="1779"/>
      <c r="O27" s="1779">
        <v>907.67376190476193</v>
      </c>
      <c r="P27" s="1779">
        <v>14</v>
      </c>
      <c r="Q27" s="1779">
        <f>+O27*P27</f>
        <v>12707.432666666668</v>
      </c>
      <c r="R27" s="1779"/>
      <c r="S27" s="1779"/>
      <c r="T27" s="800"/>
      <c r="U27" s="1779"/>
      <c r="V27" s="1779">
        <v>12707.432666666668</v>
      </c>
      <c r="W27" s="800"/>
      <c r="X27" s="1142"/>
      <c r="Y27" s="1127"/>
      <c r="Z27" s="1199"/>
      <c r="AA27" s="1199"/>
      <c r="AB27" s="1199"/>
      <c r="AC27" s="1199"/>
      <c r="AD27" s="1199"/>
      <c r="AE27" s="1199"/>
      <c r="AF27" s="1199"/>
      <c r="AG27" s="547">
        <f t="shared" si="0"/>
        <v>12707.432666666668</v>
      </c>
    </row>
    <row r="28" spans="1:33" outlineLevel="2">
      <c r="A28" s="2330">
        <v>4282</v>
      </c>
      <c r="B28" s="2443" t="s">
        <v>503</v>
      </c>
      <c r="C28" s="2444" t="s">
        <v>504</v>
      </c>
      <c r="D28" s="1777"/>
      <c r="E28" s="2330">
        <v>50</v>
      </c>
      <c r="F28" s="2440">
        <v>43186</v>
      </c>
      <c r="G28" s="2441">
        <f>+F28+E28-1</f>
        <v>43235</v>
      </c>
      <c r="H28" s="2330" t="s">
        <v>501</v>
      </c>
      <c r="I28" s="2330" t="s">
        <v>169</v>
      </c>
      <c r="J28" s="2422" t="s">
        <v>179</v>
      </c>
      <c r="K28" s="1777" t="s">
        <v>502</v>
      </c>
      <c r="L28" s="2438">
        <v>2313</v>
      </c>
      <c r="M28" s="1777"/>
      <c r="N28" s="2330"/>
      <c r="O28" s="1779">
        <v>208.73557142857143</v>
      </c>
      <c r="P28" s="1779">
        <f>14*3</f>
        <v>42</v>
      </c>
      <c r="Q28" s="1779">
        <f>+O28*P28</f>
        <v>8766.8940000000002</v>
      </c>
      <c r="R28" s="1779"/>
      <c r="S28" s="1779"/>
      <c r="T28" s="800"/>
      <c r="U28" s="1779"/>
      <c r="V28" s="1779">
        <v>8766.8940000000002</v>
      </c>
      <c r="W28" s="800"/>
      <c r="X28" s="1142"/>
      <c r="Y28" s="1127"/>
      <c r="Z28" s="1199"/>
      <c r="AA28" s="1199"/>
      <c r="AB28" s="1199"/>
      <c r="AC28" s="1199"/>
      <c r="AD28" s="1199"/>
      <c r="AE28" s="1199"/>
      <c r="AF28" s="1199"/>
      <c r="AG28" s="547">
        <f t="shared" si="0"/>
        <v>8766.8940000000002</v>
      </c>
    </row>
    <row r="29" spans="1:33" ht="31.5" outlineLevel="2">
      <c r="A29" s="2330">
        <v>4321</v>
      </c>
      <c r="B29" s="2445" t="s">
        <v>377</v>
      </c>
      <c r="C29" s="2446" t="s">
        <v>1014</v>
      </c>
      <c r="D29" s="1777"/>
      <c r="E29" s="2330">
        <f>60+15</f>
        <v>75</v>
      </c>
      <c r="F29" s="2330">
        <f>G29-E29</f>
        <v>43188</v>
      </c>
      <c r="G29" s="2330">
        <v>43263</v>
      </c>
      <c r="H29" s="2330"/>
      <c r="I29" s="2330" t="s">
        <v>169</v>
      </c>
      <c r="J29" s="2422" t="s">
        <v>180</v>
      </c>
      <c r="K29" s="1777" t="s">
        <v>365</v>
      </c>
      <c r="L29" s="2423">
        <v>2313</v>
      </c>
      <c r="M29" s="1777"/>
      <c r="N29" s="2330"/>
      <c r="O29" s="962">
        <v>11250</v>
      </c>
      <c r="P29" s="2330">
        <v>1</v>
      </c>
      <c r="Q29" s="800">
        <f>O29*P29</f>
        <v>11250</v>
      </c>
      <c r="R29" s="800"/>
      <c r="S29" s="800"/>
      <c r="T29" s="800"/>
      <c r="U29" s="800">
        <v>2250</v>
      </c>
      <c r="V29" s="800">
        <v>4500</v>
      </c>
      <c r="W29" s="800">
        <v>4500</v>
      </c>
      <c r="X29" s="1142"/>
      <c r="Y29" s="1127"/>
      <c r="Z29" s="1199"/>
      <c r="AA29" s="1199"/>
      <c r="AB29" s="1199"/>
      <c r="AC29" s="1199"/>
      <c r="AD29" s="1199"/>
      <c r="AE29" s="1199"/>
      <c r="AF29" s="1199"/>
      <c r="AG29" s="547">
        <f t="shared" si="0"/>
        <v>11250</v>
      </c>
    </row>
    <row r="30" spans="1:33" ht="31.5" outlineLevel="2">
      <c r="A30" s="2330">
        <v>4322</v>
      </c>
      <c r="B30" s="2445" t="s">
        <v>379</v>
      </c>
      <c r="C30" s="2446" t="s">
        <v>1015</v>
      </c>
      <c r="D30" s="1777"/>
      <c r="E30" s="2330">
        <v>20</v>
      </c>
      <c r="F30" s="2330">
        <f>G30-E30</f>
        <v>43266</v>
      </c>
      <c r="G30" s="2330">
        <v>43286</v>
      </c>
      <c r="H30" s="2330" t="s">
        <v>372</v>
      </c>
      <c r="I30" s="2330" t="s">
        <v>169</v>
      </c>
      <c r="J30" s="2422" t="s">
        <v>180</v>
      </c>
      <c r="K30" s="1777" t="s">
        <v>365</v>
      </c>
      <c r="L30" s="2423">
        <v>2313</v>
      </c>
      <c r="M30" s="1777"/>
      <c r="N30" s="2330"/>
      <c r="O30" s="962">
        <v>94</v>
      </c>
      <c r="P30" s="2330">
        <v>60</v>
      </c>
      <c r="Q30" s="800">
        <f>O30*P30</f>
        <v>5640</v>
      </c>
      <c r="R30" s="800"/>
      <c r="S30" s="800"/>
      <c r="T30" s="800"/>
      <c r="U30" s="800"/>
      <c r="V30" s="800">
        <v>5640</v>
      </c>
      <c r="W30" s="800"/>
      <c r="X30" s="1142"/>
      <c r="Y30" s="1127"/>
      <c r="Z30" s="1199"/>
      <c r="AA30" s="1199"/>
      <c r="AB30" s="1199"/>
      <c r="AC30" s="1199"/>
      <c r="AD30" s="1199"/>
      <c r="AE30" s="1199"/>
      <c r="AF30" s="1199"/>
      <c r="AG30" s="547">
        <f t="shared" si="0"/>
        <v>5640</v>
      </c>
    </row>
    <row r="31" spans="1:33" ht="27.75" customHeight="1" outlineLevel="2">
      <c r="A31" s="2447">
        <v>4411</v>
      </c>
      <c r="B31" s="2448" t="s">
        <v>44</v>
      </c>
      <c r="C31" s="2448" t="s">
        <v>972</v>
      </c>
      <c r="D31" s="2449"/>
      <c r="E31" s="2449"/>
      <c r="F31" s="2449"/>
      <c r="G31" s="2449"/>
      <c r="H31" s="2449"/>
      <c r="I31" s="2450" t="s">
        <v>169</v>
      </c>
      <c r="J31" s="2450"/>
      <c r="K31" s="2449"/>
      <c r="L31" s="2451">
        <v>2313</v>
      </c>
      <c r="M31" s="2448"/>
      <c r="N31" s="2450"/>
      <c r="O31" s="2302">
        <v>92060</v>
      </c>
      <c r="P31" s="2450">
        <v>1</v>
      </c>
      <c r="Q31" s="2302">
        <f>+O31*P31</f>
        <v>92060</v>
      </c>
      <c r="R31" s="1658"/>
      <c r="S31" s="2302"/>
      <c r="T31" s="2337"/>
      <c r="U31" s="2302"/>
      <c r="V31" s="2337"/>
      <c r="W31" s="2337"/>
      <c r="X31" s="2302">
        <v>92060</v>
      </c>
      <c r="Y31" s="2337"/>
      <c r="Z31" s="2337"/>
      <c r="AA31" s="2337"/>
      <c r="AB31" s="2337"/>
      <c r="AC31" s="2337"/>
      <c r="AD31" s="2337"/>
      <c r="AE31" s="2337"/>
      <c r="AF31" s="2337"/>
      <c r="AG31" s="547">
        <f>SUM(S31:AF31)</f>
        <v>92060</v>
      </c>
    </row>
    <row r="32" spans="1:33" outlineLevel="2">
      <c r="A32" s="2330">
        <v>6311</v>
      </c>
      <c r="B32" s="2418" t="s">
        <v>404</v>
      </c>
      <c r="C32" s="2439" t="s">
        <v>405</v>
      </c>
      <c r="D32" s="1777"/>
      <c r="E32" s="2330"/>
      <c r="F32" s="2452">
        <v>43205</v>
      </c>
      <c r="G32" s="2452">
        <v>43342</v>
      </c>
      <c r="H32" s="2453" t="s">
        <v>406</v>
      </c>
      <c r="I32" s="2330" t="s">
        <v>181</v>
      </c>
      <c r="J32" s="2422" t="s">
        <v>407</v>
      </c>
      <c r="K32" s="1777" t="s">
        <v>408</v>
      </c>
      <c r="L32" s="2423">
        <v>2313</v>
      </c>
      <c r="M32" s="1777"/>
      <c r="N32" s="2330"/>
      <c r="O32" s="962">
        <v>18000</v>
      </c>
      <c r="P32" s="2330">
        <v>1</v>
      </c>
      <c r="Q32" s="2285">
        <f>O32*P32</f>
        <v>18000</v>
      </c>
      <c r="R32" s="800"/>
      <c r="S32" s="800"/>
      <c r="T32" s="800">
        <v>3600</v>
      </c>
      <c r="U32" s="800"/>
      <c r="V32" s="800"/>
      <c r="W32" s="800">
        <v>7200</v>
      </c>
      <c r="X32" s="1142">
        <v>7200</v>
      </c>
      <c r="Y32" s="1127"/>
      <c r="Z32" s="1127"/>
      <c r="AA32" s="1127"/>
      <c r="AB32" s="1127"/>
      <c r="AC32" s="1127"/>
      <c r="AD32" s="1127"/>
      <c r="AE32" s="1127"/>
      <c r="AF32" s="1127"/>
      <c r="AG32" s="547">
        <f>SUM(S32:AF32)</f>
        <v>18000</v>
      </c>
    </row>
    <row r="33" spans="1:33" ht="63" outlineLevel="2">
      <c r="A33" s="2330">
        <v>6321</v>
      </c>
      <c r="B33" s="2418" t="s">
        <v>419</v>
      </c>
      <c r="C33" s="2439" t="s">
        <v>420</v>
      </c>
      <c r="D33" s="1777"/>
      <c r="E33" s="2330"/>
      <c r="F33" s="2436">
        <v>43205</v>
      </c>
      <c r="G33" s="2436">
        <v>43311</v>
      </c>
      <c r="H33" s="2453" t="s">
        <v>421</v>
      </c>
      <c r="I33" s="2330" t="s">
        <v>181</v>
      </c>
      <c r="J33" s="2422" t="s">
        <v>407</v>
      </c>
      <c r="K33" s="1777" t="s">
        <v>408</v>
      </c>
      <c r="L33" s="2423">
        <v>2313</v>
      </c>
      <c r="M33" s="1777"/>
      <c r="N33" s="2330"/>
      <c r="O33" s="962">
        <v>33750</v>
      </c>
      <c r="P33" s="2330">
        <v>1</v>
      </c>
      <c r="Q33" s="2285">
        <f>O33*P33</f>
        <v>33750</v>
      </c>
      <c r="R33" s="800"/>
      <c r="S33" s="800"/>
      <c r="T33" s="800">
        <v>6750</v>
      </c>
      <c r="U33" s="800"/>
      <c r="V33" s="800"/>
      <c r="W33" s="800">
        <v>13500</v>
      </c>
      <c r="X33" s="1142">
        <v>13500</v>
      </c>
      <c r="Y33" s="1127"/>
      <c r="Z33" s="1127"/>
      <c r="AA33" s="1127"/>
      <c r="AB33" s="1127"/>
      <c r="AC33" s="1127"/>
      <c r="AD33" s="1127"/>
      <c r="AE33" s="1127"/>
      <c r="AF33" s="1127"/>
      <c r="AG33" s="547">
        <f>SUM(S33:AF33)</f>
        <v>33750</v>
      </c>
    </row>
    <row r="34" spans="1:33" s="1028" customFormat="1" ht="24.95" customHeight="1" outlineLevel="1">
      <c r="A34" s="2454"/>
      <c r="B34" s="2455"/>
      <c r="C34" s="2456"/>
      <c r="D34" s="2454"/>
      <c r="E34" s="2454"/>
      <c r="F34" s="2457"/>
      <c r="G34" s="2457"/>
      <c r="H34" s="2454"/>
      <c r="I34" s="2454"/>
      <c r="J34" s="2455"/>
      <c r="K34" s="2454"/>
      <c r="L34" s="2458" t="s">
        <v>1016</v>
      </c>
      <c r="M34" s="2454"/>
      <c r="N34" s="2454"/>
      <c r="O34" s="2294"/>
      <c r="P34" s="2454"/>
      <c r="Q34" s="2294">
        <f>SUBTOTAL(9,Q7:Q33)</f>
        <v>369156.79333333333</v>
      </c>
      <c r="R34" s="2294"/>
      <c r="S34" s="2294">
        <f t="shared" ref="S34:AG34" si="2">SUBTOTAL(9,S7:S33)</f>
        <v>0</v>
      </c>
      <c r="T34" s="2294">
        <f t="shared" si="2"/>
        <v>75850</v>
      </c>
      <c r="U34" s="2294">
        <f t="shared" si="2"/>
        <v>15416.666666666666</v>
      </c>
      <c r="V34" s="2294">
        <f t="shared" si="2"/>
        <v>51689.326666666668</v>
      </c>
      <c r="W34" s="2294">
        <f t="shared" si="2"/>
        <v>28998.9</v>
      </c>
      <c r="X34" s="2380">
        <f t="shared" si="2"/>
        <v>143490.5</v>
      </c>
      <c r="Y34" s="2294">
        <f t="shared" si="2"/>
        <v>31800</v>
      </c>
      <c r="Z34" s="2294">
        <f t="shared" si="2"/>
        <v>11100</v>
      </c>
      <c r="AA34" s="2294">
        <f t="shared" si="2"/>
        <v>8100</v>
      </c>
      <c r="AB34" s="2294">
        <f t="shared" si="2"/>
        <v>0</v>
      </c>
      <c r="AC34" s="2294">
        <f t="shared" si="2"/>
        <v>0</v>
      </c>
      <c r="AD34" s="2294">
        <f t="shared" si="2"/>
        <v>2711.4</v>
      </c>
      <c r="AE34" s="2294">
        <f t="shared" si="2"/>
        <v>0</v>
      </c>
      <c r="AF34" s="2294">
        <f t="shared" si="2"/>
        <v>0</v>
      </c>
      <c r="AG34" s="2296">
        <f t="shared" si="2"/>
        <v>369156.79333333333</v>
      </c>
    </row>
    <row r="35" spans="1:33" ht="47.25" outlineLevel="2">
      <c r="A35" s="2330">
        <v>4131</v>
      </c>
      <c r="B35" s="2439" t="s">
        <v>1039</v>
      </c>
      <c r="C35" s="2439" t="s">
        <v>944</v>
      </c>
      <c r="D35" s="2459"/>
      <c r="E35" s="2428">
        <f>45+21</f>
        <v>66</v>
      </c>
      <c r="F35" s="2435">
        <v>43192</v>
      </c>
      <c r="G35" s="2435">
        <f>E35+F35-1</f>
        <v>43257</v>
      </c>
      <c r="H35" s="2330" t="s">
        <v>178</v>
      </c>
      <c r="I35" s="2330" t="s">
        <v>169</v>
      </c>
      <c r="J35" s="2422" t="s">
        <v>178</v>
      </c>
      <c r="K35" s="2437" t="s">
        <v>946</v>
      </c>
      <c r="L35" s="2438">
        <v>2314</v>
      </c>
      <c r="M35" s="1777"/>
      <c r="N35" s="2330"/>
      <c r="O35" s="962">
        <v>125</v>
      </c>
      <c r="P35" s="2330">
        <v>1</v>
      </c>
      <c r="Q35" s="800">
        <f>O35*P35</f>
        <v>125</v>
      </c>
      <c r="R35" s="2281"/>
      <c r="S35" s="800"/>
      <c r="T35" s="800"/>
      <c r="U35" s="800">
        <v>125</v>
      </c>
      <c r="V35" s="800"/>
      <c r="W35" s="800"/>
      <c r="X35" s="1142"/>
      <c r="Y35" s="1127"/>
      <c r="Z35" s="1199"/>
      <c r="AA35" s="1199"/>
      <c r="AB35" s="1199"/>
      <c r="AC35" s="1199"/>
      <c r="AD35" s="1199"/>
      <c r="AE35" s="1199"/>
      <c r="AF35" s="1199"/>
      <c r="AG35" s="547">
        <f>SUM(S35:AF35)</f>
        <v>125</v>
      </c>
    </row>
    <row r="36" spans="1:33" s="1028" customFormat="1" ht="24.95" customHeight="1" outlineLevel="1">
      <c r="A36" s="2454"/>
      <c r="B36" s="2456"/>
      <c r="C36" s="2456"/>
      <c r="D36" s="2457"/>
      <c r="E36" s="2454"/>
      <c r="F36" s="2460"/>
      <c r="G36" s="2460"/>
      <c r="H36" s="2454"/>
      <c r="I36" s="2454"/>
      <c r="J36" s="2455"/>
      <c r="K36" s="2461"/>
      <c r="L36" s="2462" t="s">
        <v>1017</v>
      </c>
      <c r="M36" s="2454"/>
      <c r="N36" s="2454"/>
      <c r="O36" s="2294"/>
      <c r="P36" s="2454"/>
      <c r="Q36" s="2294">
        <f>SUBTOTAL(9,Q35:Q35)</f>
        <v>125</v>
      </c>
      <c r="R36" s="2295"/>
      <c r="S36" s="2294">
        <f t="shared" ref="S36:AG36" si="3">SUBTOTAL(9,S35:S35)</f>
        <v>0</v>
      </c>
      <c r="T36" s="2294">
        <f t="shared" si="3"/>
        <v>0</v>
      </c>
      <c r="U36" s="2294">
        <f t="shared" si="3"/>
        <v>125</v>
      </c>
      <c r="V36" s="2294">
        <f t="shared" si="3"/>
        <v>0</v>
      </c>
      <c r="W36" s="2294">
        <f t="shared" si="3"/>
        <v>0</v>
      </c>
      <c r="X36" s="2380">
        <f t="shared" si="3"/>
        <v>0</v>
      </c>
      <c r="Y36" s="2294">
        <f t="shared" si="3"/>
        <v>0</v>
      </c>
      <c r="Z36" s="2454">
        <f t="shared" si="3"/>
        <v>0</v>
      </c>
      <c r="AA36" s="2454">
        <f t="shared" si="3"/>
        <v>0</v>
      </c>
      <c r="AB36" s="2454">
        <f t="shared" si="3"/>
        <v>0</v>
      </c>
      <c r="AC36" s="2454">
        <f t="shared" si="3"/>
        <v>0</v>
      </c>
      <c r="AD36" s="2454">
        <f t="shared" si="3"/>
        <v>0</v>
      </c>
      <c r="AE36" s="2454">
        <f t="shared" si="3"/>
        <v>0</v>
      </c>
      <c r="AF36" s="2454">
        <f t="shared" si="3"/>
        <v>0</v>
      </c>
      <c r="AG36" s="2296">
        <f t="shared" si="3"/>
        <v>125</v>
      </c>
    </row>
    <row r="37" spans="1:33" ht="31.5" outlineLevel="2">
      <c r="A37" s="2330">
        <v>2125</v>
      </c>
      <c r="B37" s="2418" t="s">
        <v>61</v>
      </c>
      <c r="C37" s="2463" t="s">
        <v>321</v>
      </c>
      <c r="D37" s="1777"/>
      <c r="E37" s="2330">
        <v>15</v>
      </c>
      <c r="F37" s="2330">
        <v>43304</v>
      </c>
      <c r="G37" s="2330">
        <f>+E37+F37</f>
        <v>43319</v>
      </c>
      <c r="H37" s="2330" t="s">
        <v>294</v>
      </c>
      <c r="I37" s="2330" t="s">
        <v>171</v>
      </c>
      <c r="J37" s="2422" t="s">
        <v>295</v>
      </c>
      <c r="K37" s="1777" t="s">
        <v>322</v>
      </c>
      <c r="L37" s="2423">
        <v>2315</v>
      </c>
      <c r="M37" s="1777"/>
      <c r="N37" s="2330"/>
      <c r="O37" s="962">
        <v>333.33333333333331</v>
      </c>
      <c r="P37" s="2330">
        <v>60</v>
      </c>
      <c r="Q37" s="800">
        <f>+O37*P37</f>
        <v>20000</v>
      </c>
      <c r="R37" s="800"/>
      <c r="S37" s="800"/>
      <c r="T37" s="800"/>
      <c r="U37" s="800"/>
      <c r="V37" s="800"/>
      <c r="W37" s="800">
        <v>20000</v>
      </c>
      <c r="X37" s="1142"/>
      <c r="Y37" s="1127"/>
      <c r="Z37" s="2328"/>
      <c r="AA37" s="2328"/>
      <c r="AB37" s="2328"/>
      <c r="AC37" s="1199"/>
      <c r="AD37" s="1199"/>
      <c r="AE37" s="1199"/>
      <c r="AF37" s="1199"/>
      <c r="AG37" s="547">
        <f>SUM(S37:AF37)</f>
        <v>20000</v>
      </c>
    </row>
    <row r="38" spans="1:33" s="1028" customFormat="1" ht="24.95" customHeight="1" outlineLevel="1">
      <c r="A38" s="2454"/>
      <c r="B38" s="2455"/>
      <c r="C38" s="2464"/>
      <c r="D38" s="2454"/>
      <c r="E38" s="2454"/>
      <c r="F38" s="2454"/>
      <c r="G38" s="2454"/>
      <c r="H38" s="2454"/>
      <c r="I38" s="2454"/>
      <c r="J38" s="2455"/>
      <c r="K38" s="2454"/>
      <c r="L38" s="2458" t="s">
        <v>1018</v>
      </c>
      <c r="M38" s="2454"/>
      <c r="N38" s="2454"/>
      <c r="O38" s="2294"/>
      <c r="P38" s="2454"/>
      <c r="Q38" s="2294">
        <f>SUBTOTAL(9,Q37:Q37)</f>
        <v>20000</v>
      </c>
      <c r="R38" s="2294"/>
      <c r="S38" s="2294">
        <f t="shared" ref="S38:AG38" si="4">SUBTOTAL(9,S37:S37)</f>
        <v>0</v>
      </c>
      <c r="T38" s="2294">
        <f t="shared" si="4"/>
        <v>0</v>
      </c>
      <c r="U38" s="2294">
        <f t="shared" si="4"/>
        <v>0</v>
      </c>
      <c r="V38" s="2294">
        <f t="shared" si="4"/>
        <v>0</v>
      </c>
      <c r="W38" s="2294">
        <f t="shared" si="4"/>
        <v>20000</v>
      </c>
      <c r="X38" s="2380">
        <f t="shared" si="4"/>
        <v>0</v>
      </c>
      <c r="Y38" s="2294">
        <f t="shared" si="4"/>
        <v>0</v>
      </c>
      <c r="Z38" s="2465">
        <f t="shared" si="4"/>
        <v>0</v>
      </c>
      <c r="AA38" s="2465">
        <f t="shared" si="4"/>
        <v>0</v>
      </c>
      <c r="AB38" s="2465">
        <f t="shared" si="4"/>
        <v>0</v>
      </c>
      <c r="AC38" s="2454">
        <f t="shared" si="4"/>
        <v>0</v>
      </c>
      <c r="AD38" s="2454">
        <f t="shared" si="4"/>
        <v>0</v>
      </c>
      <c r="AE38" s="2454">
        <f t="shared" si="4"/>
        <v>0</v>
      </c>
      <c r="AF38" s="2454">
        <f t="shared" si="4"/>
        <v>0</v>
      </c>
      <c r="AG38" s="2296">
        <f t="shared" si="4"/>
        <v>20000</v>
      </c>
    </row>
    <row r="39" spans="1:33" ht="19.5" outlineLevel="2">
      <c r="A39" s="2466">
        <v>4426</v>
      </c>
      <c r="B39" s="2442" t="s">
        <v>1074</v>
      </c>
      <c r="C39" s="2467"/>
      <c r="D39" s="2467"/>
      <c r="E39" s="2467"/>
      <c r="F39" s="2467"/>
      <c r="G39" s="2467"/>
      <c r="H39" s="2467"/>
      <c r="I39" s="2468"/>
      <c r="J39" s="2468"/>
      <c r="K39" s="2469"/>
      <c r="L39" s="2470">
        <v>2318</v>
      </c>
      <c r="M39" s="2467"/>
      <c r="N39" s="2468"/>
      <c r="O39" s="2339">
        <f>114062.5</f>
        <v>114062.5</v>
      </c>
      <c r="P39" s="2338">
        <v>1</v>
      </c>
      <c r="Q39" s="2303">
        <f>O39*P39</f>
        <v>114062.5</v>
      </c>
      <c r="R39" s="653"/>
      <c r="S39" s="2338"/>
      <c r="T39" s="653"/>
      <c r="U39" s="2339"/>
      <c r="V39" s="2339">
        <v>114062.5</v>
      </c>
      <c r="W39" s="2285"/>
      <c r="X39" s="2340"/>
      <c r="Y39" s="2341"/>
      <c r="Z39" s="1164"/>
      <c r="AA39" s="1164"/>
      <c r="AB39" s="1164"/>
      <c r="AC39" s="1164"/>
      <c r="AD39" s="1164"/>
      <c r="AE39" s="1164"/>
      <c r="AF39" s="1164"/>
      <c r="AG39" s="547">
        <f>SUM(S39:AF39)</f>
        <v>114062.5</v>
      </c>
    </row>
    <row r="40" spans="1:33" outlineLevel="2">
      <c r="A40" s="2447">
        <v>4511</v>
      </c>
      <c r="B40" s="2448" t="s">
        <v>970</v>
      </c>
      <c r="C40" s="2448" t="s">
        <v>998</v>
      </c>
      <c r="D40" s="2448"/>
      <c r="E40" s="2448"/>
      <c r="F40" s="2448"/>
      <c r="G40" s="2448"/>
      <c r="H40" s="2448"/>
      <c r="I40" s="2450" t="s">
        <v>169</v>
      </c>
      <c r="J40" s="2450"/>
      <c r="K40" s="2449"/>
      <c r="L40" s="2451">
        <v>2318</v>
      </c>
      <c r="M40" s="2448"/>
      <c r="N40" s="2450"/>
      <c r="O40" s="2302">
        <v>322694</v>
      </c>
      <c r="P40" s="2450">
        <v>1</v>
      </c>
      <c r="Q40" s="2302">
        <f>+O40*P40</f>
        <v>322694</v>
      </c>
      <c r="R40" s="1658"/>
      <c r="S40" s="2302"/>
      <c r="T40" s="2302">
        <v>322694</v>
      </c>
      <c r="U40" s="2337"/>
      <c r="V40" s="2337"/>
      <c r="W40" s="2337"/>
      <c r="X40" s="2342"/>
      <c r="Y40" s="2337"/>
      <c r="Z40" s="2337"/>
      <c r="AA40" s="2337"/>
      <c r="AB40" s="2337"/>
      <c r="AC40" s="2337"/>
      <c r="AD40" s="2337"/>
      <c r="AE40" s="2337"/>
      <c r="AF40" s="2337"/>
      <c r="AG40" s="547">
        <f>SUM(S40:AF40)</f>
        <v>322694</v>
      </c>
    </row>
    <row r="41" spans="1:33" s="1028" customFormat="1" ht="24.95" customHeight="1" outlineLevel="1">
      <c r="A41" s="2455"/>
      <c r="B41" s="2471"/>
      <c r="C41" s="2471"/>
      <c r="D41" s="2471"/>
      <c r="E41" s="2471"/>
      <c r="F41" s="2471"/>
      <c r="G41" s="2471"/>
      <c r="H41" s="2471"/>
      <c r="I41" s="2471"/>
      <c r="J41" s="2471"/>
      <c r="K41" s="2471"/>
      <c r="L41" s="2472" t="s">
        <v>1079</v>
      </c>
      <c r="M41" s="2471"/>
      <c r="N41" s="2471"/>
      <c r="O41" s="2304"/>
      <c r="P41" s="2471"/>
      <c r="Q41" s="2304">
        <f>SUBTOTAL(9,Q39:Q40)</f>
        <v>436756.5</v>
      </c>
      <c r="R41" s="2296"/>
      <c r="S41" s="2304">
        <f t="shared" ref="S41:AG41" si="5">SUBTOTAL(9,S39:S40)</f>
        <v>0</v>
      </c>
      <c r="T41" s="2304">
        <f t="shared" si="5"/>
        <v>322694</v>
      </c>
      <c r="U41" s="2294">
        <f t="shared" si="5"/>
        <v>0</v>
      </c>
      <c r="V41" s="2294">
        <f t="shared" si="5"/>
        <v>114062.5</v>
      </c>
      <c r="W41" s="2294">
        <f t="shared" si="5"/>
        <v>0</v>
      </c>
      <c r="X41" s="2380">
        <f t="shared" si="5"/>
        <v>0</v>
      </c>
      <c r="Y41" s="2294">
        <f t="shared" si="5"/>
        <v>0</v>
      </c>
      <c r="Z41" s="2294">
        <f t="shared" si="5"/>
        <v>0</v>
      </c>
      <c r="AA41" s="2294">
        <f t="shared" si="5"/>
        <v>0</v>
      </c>
      <c r="AB41" s="2294">
        <f t="shared" si="5"/>
        <v>0</v>
      </c>
      <c r="AC41" s="2294">
        <f t="shared" si="5"/>
        <v>0</v>
      </c>
      <c r="AD41" s="2294">
        <f t="shared" si="5"/>
        <v>0</v>
      </c>
      <c r="AE41" s="2294">
        <f t="shared" si="5"/>
        <v>0</v>
      </c>
      <c r="AF41" s="2294">
        <f t="shared" si="5"/>
        <v>0</v>
      </c>
      <c r="AG41" s="2296">
        <f t="shared" si="5"/>
        <v>436756.5</v>
      </c>
    </row>
    <row r="42" spans="1:33" ht="47.25" outlineLevel="2">
      <c r="A42" s="2330">
        <v>4131</v>
      </c>
      <c r="B42" s="2439" t="s">
        <v>1039</v>
      </c>
      <c r="C42" s="2439" t="s">
        <v>944</v>
      </c>
      <c r="D42" s="2459"/>
      <c r="E42" s="2428">
        <f>45+21</f>
        <v>66</v>
      </c>
      <c r="F42" s="2435">
        <v>43192</v>
      </c>
      <c r="G42" s="2435">
        <f>E42+F42-1</f>
        <v>43257</v>
      </c>
      <c r="H42" s="2330" t="s">
        <v>178</v>
      </c>
      <c r="I42" s="2330" t="s">
        <v>169</v>
      </c>
      <c r="J42" s="2422" t="s">
        <v>178</v>
      </c>
      <c r="K42" s="2437" t="s">
        <v>948</v>
      </c>
      <c r="L42" s="2438">
        <v>2431</v>
      </c>
      <c r="M42" s="1777"/>
      <c r="N42" s="2330"/>
      <c r="O42" s="962">
        <v>7375</v>
      </c>
      <c r="P42" s="2330">
        <v>1</v>
      </c>
      <c r="Q42" s="800">
        <f>O42*P42</f>
        <v>7375</v>
      </c>
      <c r="R42" s="2281"/>
      <c r="S42" s="800"/>
      <c r="T42" s="800"/>
      <c r="U42" s="800">
        <v>7375</v>
      </c>
      <c r="V42" s="800"/>
      <c r="W42" s="800"/>
      <c r="X42" s="1142"/>
      <c r="Y42" s="1127"/>
      <c r="Z42" s="1199"/>
      <c r="AA42" s="1199"/>
      <c r="AB42" s="1199"/>
      <c r="AC42" s="1199"/>
      <c r="AD42" s="1199"/>
      <c r="AE42" s="1199"/>
      <c r="AF42" s="1199"/>
      <c r="AG42" s="547">
        <f>SUM(S42:AF42)</f>
        <v>7375</v>
      </c>
    </row>
    <row r="43" spans="1:33" s="1028" customFormat="1" ht="24.95" customHeight="1" outlineLevel="1">
      <c r="A43" s="2454"/>
      <c r="B43" s="2456"/>
      <c r="C43" s="2456"/>
      <c r="D43" s="2457"/>
      <c r="E43" s="2454"/>
      <c r="F43" s="2460"/>
      <c r="G43" s="2460"/>
      <c r="H43" s="2454"/>
      <c r="I43" s="2454"/>
      <c r="J43" s="2455"/>
      <c r="K43" s="2461"/>
      <c r="L43" s="2462" t="s">
        <v>1019</v>
      </c>
      <c r="M43" s="2454"/>
      <c r="N43" s="2454"/>
      <c r="O43" s="2294"/>
      <c r="P43" s="2454"/>
      <c r="Q43" s="2294">
        <f>SUBTOTAL(9,Q42:Q42)</f>
        <v>7375</v>
      </c>
      <c r="R43" s="2295"/>
      <c r="S43" s="2294">
        <f t="shared" ref="S43:AG43" si="6">SUBTOTAL(9,S42:S42)</f>
        <v>0</v>
      </c>
      <c r="T43" s="2294">
        <f t="shared" si="6"/>
        <v>0</v>
      </c>
      <c r="U43" s="2294">
        <f t="shared" si="6"/>
        <v>7375</v>
      </c>
      <c r="V43" s="2294">
        <f t="shared" si="6"/>
        <v>0</v>
      </c>
      <c r="W43" s="2294">
        <f t="shared" si="6"/>
        <v>0</v>
      </c>
      <c r="X43" s="2380">
        <f t="shared" si="6"/>
        <v>0</v>
      </c>
      <c r="Y43" s="2294">
        <f t="shared" si="6"/>
        <v>0</v>
      </c>
      <c r="Z43" s="2454">
        <f t="shared" si="6"/>
        <v>0</v>
      </c>
      <c r="AA43" s="2454">
        <f t="shared" si="6"/>
        <v>0</v>
      </c>
      <c r="AB43" s="2454">
        <f t="shared" si="6"/>
        <v>0</v>
      </c>
      <c r="AC43" s="2454">
        <f t="shared" si="6"/>
        <v>0</v>
      </c>
      <c r="AD43" s="2454">
        <f t="shared" si="6"/>
        <v>0</v>
      </c>
      <c r="AE43" s="2454">
        <f t="shared" si="6"/>
        <v>0</v>
      </c>
      <c r="AF43" s="2454">
        <f t="shared" si="6"/>
        <v>0</v>
      </c>
      <c r="AG43" s="2296">
        <f t="shared" si="6"/>
        <v>7375</v>
      </c>
    </row>
    <row r="44" spans="1:33" ht="31.5" outlineLevel="2">
      <c r="A44" s="2330">
        <v>2112</v>
      </c>
      <c r="B44" s="2418" t="s">
        <v>303</v>
      </c>
      <c r="C44" s="2439" t="s">
        <v>304</v>
      </c>
      <c r="D44" s="1777"/>
      <c r="E44" s="2330">
        <v>60</v>
      </c>
      <c r="F44" s="2330">
        <v>43221</v>
      </c>
      <c r="G44" s="2330">
        <f>+E44+F44</f>
        <v>43281</v>
      </c>
      <c r="H44" s="2330" t="s">
        <v>294</v>
      </c>
      <c r="I44" s="2330" t="s">
        <v>171</v>
      </c>
      <c r="J44" s="2422" t="s">
        <v>295</v>
      </c>
      <c r="K44" s="1777" t="s">
        <v>305</v>
      </c>
      <c r="L44" s="2423">
        <v>2461</v>
      </c>
      <c r="M44" s="1777"/>
      <c r="N44" s="2330"/>
      <c r="O44" s="962">
        <v>504.68333333333334</v>
      </c>
      <c r="P44" s="2330">
        <v>45</v>
      </c>
      <c r="Q44" s="800">
        <f>+O44*P44</f>
        <v>22710.75</v>
      </c>
      <c r="R44" s="800"/>
      <c r="S44" s="800"/>
      <c r="T44" s="800"/>
      <c r="U44" s="800">
        <v>22710.75</v>
      </c>
      <c r="V44" s="800"/>
      <c r="W44" s="800"/>
      <c r="X44" s="1142"/>
      <c r="Y44" s="1127"/>
      <c r="Z44" s="2328"/>
      <c r="AA44" s="2328"/>
      <c r="AB44" s="2328"/>
      <c r="AC44" s="1199"/>
      <c r="AD44" s="1199"/>
      <c r="AE44" s="1199"/>
      <c r="AF44" s="1199"/>
      <c r="AG44" s="547">
        <f>SUM(S44:AF44)</f>
        <v>22710.75</v>
      </c>
    </row>
    <row r="45" spans="1:33" ht="31.5" outlineLevel="2">
      <c r="A45" s="2330">
        <v>2134</v>
      </c>
      <c r="B45" s="2418" t="s">
        <v>333</v>
      </c>
      <c r="C45" s="2419" t="s">
        <v>334</v>
      </c>
      <c r="D45" s="1777"/>
      <c r="E45" s="2330">
        <v>15</v>
      </c>
      <c r="F45" s="2330">
        <v>43304</v>
      </c>
      <c r="G45" s="2330">
        <f>+E45+F45</f>
        <v>43319</v>
      </c>
      <c r="H45" s="2330" t="s">
        <v>294</v>
      </c>
      <c r="I45" s="2330" t="s">
        <v>171</v>
      </c>
      <c r="J45" s="2422" t="s">
        <v>295</v>
      </c>
      <c r="K45" s="2437" t="s">
        <v>335</v>
      </c>
      <c r="L45" s="2438">
        <v>2461</v>
      </c>
      <c r="M45" s="2330"/>
      <c r="N45" s="2330"/>
      <c r="O45" s="962">
        <v>504.68333333333334</v>
      </c>
      <c r="P45" s="2436">
        <v>60</v>
      </c>
      <c r="Q45" s="800">
        <f>+O45*P45</f>
        <v>30281</v>
      </c>
      <c r="R45" s="800"/>
      <c r="S45" s="800"/>
      <c r="T45" s="800"/>
      <c r="U45" s="800"/>
      <c r="V45" s="800"/>
      <c r="W45" s="800"/>
      <c r="X45" s="1142">
        <v>30281</v>
      </c>
      <c r="Y45" s="1127"/>
      <c r="Z45" s="2328"/>
      <c r="AA45" s="2328"/>
      <c r="AB45" s="2328"/>
      <c r="AC45" s="1199"/>
      <c r="AD45" s="1199"/>
      <c r="AE45" s="1199"/>
      <c r="AF45" s="1199"/>
      <c r="AG45" s="547">
        <f>SUM(S45:AF45)</f>
        <v>30281</v>
      </c>
    </row>
    <row r="46" spans="1:33" ht="47.25" outlineLevel="2">
      <c r="A46" s="2330">
        <v>4131</v>
      </c>
      <c r="B46" s="2439" t="s">
        <v>1039</v>
      </c>
      <c r="C46" s="2439" t="s">
        <v>944</v>
      </c>
      <c r="D46" s="2459"/>
      <c r="E46" s="2428">
        <f>45+21</f>
        <v>66</v>
      </c>
      <c r="F46" s="2435">
        <v>43192</v>
      </c>
      <c r="G46" s="2435">
        <f>E46+F46-1</f>
        <v>43257</v>
      </c>
      <c r="H46" s="2330" t="s">
        <v>178</v>
      </c>
      <c r="I46" s="2330" t="s">
        <v>169</v>
      </c>
      <c r="J46" s="2422" t="s">
        <v>178</v>
      </c>
      <c r="K46" s="2437" t="s">
        <v>945</v>
      </c>
      <c r="L46" s="2438">
        <v>2461</v>
      </c>
      <c r="M46" s="1777"/>
      <c r="N46" s="2330"/>
      <c r="O46" s="962">
        <v>3356.25</v>
      </c>
      <c r="P46" s="2330">
        <v>1</v>
      </c>
      <c r="Q46" s="800">
        <f>O46*P46</f>
        <v>3356.25</v>
      </c>
      <c r="R46" s="2281"/>
      <c r="S46" s="800"/>
      <c r="T46" s="800"/>
      <c r="U46" s="800">
        <v>3356.25</v>
      </c>
      <c r="V46" s="800"/>
      <c r="W46" s="800"/>
      <c r="X46" s="1142"/>
      <c r="Y46" s="1127"/>
      <c r="Z46" s="1199"/>
      <c r="AA46" s="1199"/>
      <c r="AB46" s="1199"/>
      <c r="AC46" s="1199"/>
      <c r="AD46" s="1199"/>
      <c r="AE46" s="1199"/>
      <c r="AF46" s="1199"/>
      <c r="AG46" s="547">
        <f>SUM(S46:AF46)</f>
        <v>3356.25</v>
      </c>
    </row>
    <row r="47" spans="1:33" s="1028" customFormat="1" ht="24.95" customHeight="1" outlineLevel="1">
      <c r="A47" s="2454"/>
      <c r="B47" s="2456"/>
      <c r="C47" s="2456"/>
      <c r="D47" s="2457"/>
      <c r="E47" s="2454"/>
      <c r="F47" s="2460"/>
      <c r="G47" s="2460"/>
      <c r="H47" s="2454"/>
      <c r="I47" s="2454"/>
      <c r="J47" s="2455"/>
      <c r="K47" s="2461"/>
      <c r="L47" s="2462" t="s">
        <v>1020</v>
      </c>
      <c r="M47" s="2454"/>
      <c r="N47" s="2454"/>
      <c r="O47" s="2294"/>
      <c r="P47" s="2454"/>
      <c r="Q47" s="2294">
        <f>SUBTOTAL(9,Q44:Q46)</f>
        <v>56348</v>
      </c>
      <c r="R47" s="2295"/>
      <c r="S47" s="2294">
        <f t="shared" ref="S47:AG47" si="7">SUBTOTAL(9,S44:S46)</f>
        <v>0</v>
      </c>
      <c r="T47" s="2294">
        <f t="shared" si="7"/>
        <v>0</v>
      </c>
      <c r="U47" s="2294">
        <f t="shared" si="7"/>
        <v>26067</v>
      </c>
      <c r="V47" s="2294">
        <f t="shared" si="7"/>
        <v>0</v>
      </c>
      <c r="W47" s="2294">
        <f t="shared" si="7"/>
        <v>0</v>
      </c>
      <c r="X47" s="2380">
        <f t="shared" si="7"/>
        <v>30281</v>
      </c>
      <c r="Y47" s="2294">
        <f t="shared" si="7"/>
        <v>0</v>
      </c>
      <c r="Z47" s="2454">
        <f t="shared" si="7"/>
        <v>0</v>
      </c>
      <c r="AA47" s="2454">
        <f t="shared" si="7"/>
        <v>0</v>
      </c>
      <c r="AB47" s="2454">
        <f t="shared" si="7"/>
        <v>0</v>
      </c>
      <c r="AC47" s="2454">
        <f t="shared" si="7"/>
        <v>0</v>
      </c>
      <c r="AD47" s="2454">
        <f t="shared" si="7"/>
        <v>0</v>
      </c>
      <c r="AE47" s="2454">
        <f t="shared" si="7"/>
        <v>0</v>
      </c>
      <c r="AF47" s="2454">
        <f t="shared" si="7"/>
        <v>0</v>
      </c>
      <c r="AG47" s="2296">
        <f t="shared" si="7"/>
        <v>56348</v>
      </c>
    </row>
    <row r="48" spans="1:33" ht="31.5" outlineLevel="2">
      <c r="A48" s="2330">
        <v>2232</v>
      </c>
      <c r="B48" s="2418" t="s">
        <v>1028</v>
      </c>
      <c r="C48" s="2418" t="s">
        <v>878</v>
      </c>
      <c r="D48" s="2427"/>
      <c r="E48" s="2428">
        <v>66</v>
      </c>
      <c r="F48" s="2330">
        <v>43195</v>
      </c>
      <c r="G48" s="2330">
        <f>F48+E48</f>
        <v>43261</v>
      </c>
      <c r="H48" s="2330" t="s">
        <v>368</v>
      </c>
      <c r="I48" s="2330" t="s">
        <v>169</v>
      </c>
      <c r="J48" s="2422" t="s">
        <v>174</v>
      </c>
      <c r="K48" s="1777" t="s">
        <v>879</v>
      </c>
      <c r="L48" s="2423">
        <v>2463</v>
      </c>
      <c r="M48" s="1777"/>
      <c r="N48" s="2330"/>
      <c r="O48" s="962">
        <v>1500</v>
      </c>
      <c r="P48" s="2330">
        <v>4</v>
      </c>
      <c r="Q48" s="800">
        <f t="shared" ref="Q48:Q53" si="8">O48*P48</f>
        <v>6000</v>
      </c>
      <c r="R48" s="800"/>
      <c r="S48" s="800"/>
      <c r="T48" s="800"/>
      <c r="U48" s="800"/>
      <c r="V48" s="800">
        <v>6000</v>
      </c>
      <c r="W48" s="800"/>
      <c r="X48" s="1142"/>
      <c r="Y48" s="1127"/>
      <c r="Z48" s="1199"/>
      <c r="AA48" s="1199"/>
      <c r="AB48" s="1199"/>
      <c r="AC48" s="1199"/>
      <c r="AD48" s="1199"/>
      <c r="AE48" s="1199"/>
      <c r="AF48" s="1199"/>
      <c r="AG48" s="547">
        <f t="shared" ref="AG48:AG53" si="9">SUM(S48:AF48)</f>
        <v>6000</v>
      </c>
    </row>
    <row r="49" spans="1:33" ht="31.5" outlineLevel="2">
      <c r="A49" s="2330">
        <v>2232</v>
      </c>
      <c r="B49" s="2418" t="s">
        <v>1030</v>
      </c>
      <c r="C49" s="2418" t="s">
        <v>883</v>
      </c>
      <c r="D49" s="2427"/>
      <c r="E49" s="2428">
        <v>125</v>
      </c>
      <c r="F49" s="2330">
        <v>43196</v>
      </c>
      <c r="G49" s="2330">
        <f>F49+E49</f>
        <v>43321</v>
      </c>
      <c r="H49" s="2330" t="s">
        <v>368</v>
      </c>
      <c r="I49" s="2330" t="s">
        <v>169</v>
      </c>
      <c r="J49" s="2422" t="s">
        <v>884</v>
      </c>
      <c r="K49" s="1777" t="s">
        <v>879</v>
      </c>
      <c r="L49" s="2423">
        <v>2463</v>
      </c>
      <c r="M49" s="1777"/>
      <c r="N49" s="2330"/>
      <c r="O49" s="962">
        <v>19200</v>
      </c>
      <c r="P49" s="2330">
        <v>1</v>
      </c>
      <c r="Q49" s="800">
        <f t="shared" si="8"/>
        <v>19200</v>
      </c>
      <c r="R49" s="800"/>
      <c r="S49" s="800"/>
      <c r="T49" s="800"/>
      <c r="U49" s="800"/>
      <c r="V49" s="800"/>
      <c r="W49" s="800"/>
      <c r="X49" s="1142">
        <v>19200</v>
      </c>
      <c r="Y49" s="1127"/>
      <c r="Z49" s="1199"/>
      <c r="AA49" s="1199"/>
      <c r="AB49" s="1199"/>
      <c r="AC49" s="1199"/>
      <c r="AD49" s="1199"/>
      <c r="AE49" s="1199"/>
      <c r="AF49" s="1199"/>
      <c r="AG49" s="547">
        <f t="shared" si="9"/>
        <v>19200</v>
      </c>
    </row>
    <row r="50" spans="1:33" ht="47.25" outlineLevel="2">
      <c r="A50" s="2330">
        <v>2341</v>
      </c>
      <c r="B50" s="2473" t="s">
        <v>540</v>
      </c>
      <c r="C50" s="2474" t="s">
        <v>541</v>
      </c>
      <c r="D50" s="2475" t="s">
        <v>542</v>
      </c>
      <c r="E50" s="2476">
        <v>135</v>
      </c>
      <c r="F50" s="2476">
        <v>43193</v>
      </c>
      <c r="G50" s="2476">
        <f>E50+F50</f>
        <v>43328</v>
      </c>
      <c r="H50" s="2476" t="s">
        <v>525</v>
      </c>
      <c r="I50" s="2476" t="s">
        <v>169</v>
      </c>
      <c r="J50" s="2338" t="s">
        <v>526</v>
      </c>
      <c r="K50" s="2477" t="s">
        <v>543</v>
      </c>
      <c r="L50" s="2478">
        <v>2463</v>
      </c>
      <c r="M50" s="2479"/>
      <c r="N50" s="2476" t="s">
        <v>366</v>
      </c>
      <c r="O50" s="2275">
        <v>6277</v>
      </c>
      <c r="P50" s="2480">
        <v>1</v>
      </c>
      <c r="Q50" s="653">
        <f t="shared" si="8"/>
        <v>6277</v>
      </c>
      <c r="R50" s="653"/>
      <c r="S50" s="2285"/>
      <c r="T50" s="2287"/>
      <c r="U50" s="2285">
        <v>6277</v>
      </c>
      <c r="V50" s="2285"/>
      <c r="W50" s="2285"/>
      <c r="X50" s="2340"/>
      <c r="Y50" s="1164"/>
      <c r="Z50" s="1164"/>
      <c r="AA50" s="1164"/>
      <c r="AB50" s="1164"/>
      <c r="AC50" s="1164"/>
      <c r="AD50" s="1164"/>
      <c r="AE50" s="1164"/>
      <c r="AF50" s="1164"/>
      <c r="AG50" s="547">
        <f t="shared" si="9"/>
        <v>6277</v>
      </c>
    </row>
    <row r="51" spans="1:33" ht="31.5" outlineLevel="2">
      <c r="A51" s="2429">
        <v>3112</v>
      </c>
      <c r="B51" s="2481" t="s">
        <v>249</v>
      </c>
      <c r="C51" s="2431" t="s">
        <v>250</v>
      </c>
      <c r="D51" s="2429"/>
      <c r="E51" s="2429">
        <v>45</v>
      </c>
      <c r="F51" s="2429">
        <v>43193</v>
      </c>
      <c r="G51" s="2429">
        <f>F51+E51</f>
        <v>43238</v>
      </c>
      <c r="H51" s="2429" t="s">
        <v>247</v>
      </c>
      <c r="I51" s="2429" t="s">
        <v>169</v>
      </c>
      <c r="J51" s="2432" t="s">
        <v>176</v>
      </c>
      <c r="K51" s="1777" t="s">
        <v>258</v>
      </c>
      <c r="L51" s="2433">
        <v>2463</v>
      </c>
      <c r="M51" s="2367"/>
      <c r="N51" s="2429">
        <v>23173</v>
      </c>
      <c r="O51" s="1779">
        <f>1850000/3000</f>
        <v>616.66666666666663</v>
      </c>
      <c r="P51" s="2436">
        <v>1</v>
      </c>
      <c r="Q51" s="2300">
        <f t="shared" si="8"/>
        <v>616.66666666666663</v>
      </c>
      <c r="R51" s="2331"/>
      <c r="S51" s="2331"/>
      <c r="T51" s="2331"/>
      <c r="U51" s="2331">
        <v>616.66666666666663</v>
      </c>
      <c r="V51" s="2331"/>
      <c r="W51" s="2331"/>
      <c r="X51" s="2332"/>
      <c r="Y51" s="2333"/>
      <c r="Z51" s="2334"/>
      <c r="AA51" s="2334"/>
      <c r="AB51" s="2334"/>
      <c r="AC51" s="2334"/>
      <c r="AD51" s="2334"/>
      <c r="AE51" s="2334"/>
      <c r="AF51" s="2334"/>
      <c r="AG51" s="547">
        <f t="shared" si="9"/>
        <v>616.66666666666663</v>
      </c>
    </row>
    <row r="52" spans="1:33" ht="31.5" outlineLevel="2">
      <c r="A52" s="2429">
        <v>3112</v>
      </c>
      <c r="B52" s="2481" t="s">
        <v>249</v>
      </c>
      <c r="C52" s="2431" t="s">
        <v>250</v>
      </c>
      <c r="D52" s="2429"/>
      <c r="E52" s="2429">
        <v>45</v>
      </c>
      <c r="F52" s="2429">
        <v>43193</v>
      </c>
      <c r="G52" s="2429">
        <f>F52+E52</f>
        <v>43238</v>
      </c>
      <c r="H52" s="2429" t="s">
        <v>247</v>
      </c>
      <c r="I52" s="2429" t="s">
        <v>169</v>
      </c>
      <c r="J52" s="2432" t="s">
        <v>176</v>
      </c>
      <c r="K52" s="1777" t="s">
        <v>259</v>
      </c>
      <c r="L52" s="2433">
        <v>2463</v>
      </c>
      <c r="M52" s="2367"/>
      <c r="N52" s="2429">
        <v>23173</v>
      </c>
      <c r="O52" s="1779">
        <f>6000000/3000</f>
        <v>2000</v>
      </c>
      <c r="P52" s="2436">
        <v>1</v>
      </c>
      <c r="Q52" s="2300">
        <f t="shared" si="8"/>
        <v>2000</v>
      </c>
      <c r="R52" s="2331"/>
      <c r="S52" s="2331"/>
      <c r="T52" s="2331"/>
      <c r="U52" s="2331">
        <v>2000</v>
      </c>
      <c r="V52" s="2331"/>
      <c r="W52" s="2331"/>
      <c r="X52" s="2332"/>
      <c r="Y52" s="2333"/>
      <c r="Z52" s="2334"/>
      <c r="AA52" s="2334"/>
      <c r="AB52" s="2334"/>
      <c r="AC52" s="2334"/>
      <c r="AD52" s="2334"/>
      <c r="AE52" s="2334"/>
      <c r="AF52" s="2334"/>
      <c r="AG52" s="547">
        <f t="shared" si="9"/>
        <v>2000</v>
      </c>
    </row>
    <row r="53" spans="1:33" ht="47.25" outlineLevel="2">
      <c r="A53" s="2330">
        <v>4131</v>
      </c>
      <c r="B53" s="2439" t="s">
        <v>1039</v>
      </c>
      <c r="C53" s="2439" t="s">
        <v>944</v>
      </c>
      <c r="D53" s="2459"/>
      <c r="E53" s="2428">
        <f>45+21</f>
        <v>66</v>
      </c>
      <c r="F53" s="2435">
        <v>43192</v>
      </c>
      <c r="G53" s="2435">
        <f>E53+F53-1</f>
        <v>43257</v>
      </c>
      <c r="H53" s="2330" t="s">
        <v>178</v>
      </c>
      <c r="I53" s="2330" t="s">
        <v>169</v>
      </c>
      <c r="J53" s="2422" t="s">
        <v>178</v>
      </c>
      <c r="K53" s="2437" t="s">
        <v>947</v>
      </c>
      <c r="L53" s="2438">
        <v>2463</v>
      </c>
      <c r="M53" s="1777"/>
      <c r="N53" s="2330"/>
      <c r="O53" s="962">
        <v>23062.5</v>
      </c>
      <c r="P53" s="2330">
        <v>1</v>
      </c>
      <c r="Q53" s="800">
        <f t="shared" si="8"/>
        <v>23062.5</v>
      </c>
      <c r="R53" s="2281"/>
      <c r="S53" s="800"/>
      <c r="T53" s="800"/>
      <c r="U53" s="800">
        <v>23062.5</v>
      </c>
      <c r="V53" s="800"/>
      <c r="W53" s="800"/>
      <c r="X53" s="1142"/>
      <c r="Y53" s="1127"/>
      <c r="Z53" s="1199"/>
      <c r="AA53" s="1199"/>
      <c r="AB53" s="1199"/>
      <c r="AC53" s="1199"/>
      <c r="AD53" s="1199"/>
      <c r="AE53" s="1199"/>
      <c r="AF53" s="1199"/>
      <c r="AG53" s="547">
        <f t="shared" si="9"/>
        <v>23062.5</v>
      </c>
    </row>
    <row r="54" spans="1:33" s="1028" customFormat="1" ht="24.95" customHeight="1" outlineLevel="1">
      <c r="A54" s="2454"/>
      <c r="B54" s="2456"/>
      <c r="C54" s="2456"/>
      <c r="D54" s="2457"/>
      <c r="E54" s="2454"/>
      <c r="F54" s="2460"/>
      <c r="G54" s="2460"/>
      <c r="H54" s="2454"/>
      <c r="I54" s="2454"/>
      <c r="J54" s="2455"/>
      <c r="K54" s="2461"/>
      <c r="L54" s="2462" t="s">
        <v>1021</v>
      </c>
      <c r="M54" s="2454"/>
      <c r="N54" s="2454"/>
      <c r="O54" s="2294"/>
      <c r="P54" s="2454"/>
      <c r="Q54" s="2294">
        <f>SUBTOTAL(9,Q48:Q53)</f>
        <v>57156.166666666672</v>
      </c>
      <c r="R54" s="2295"/>
      <c r="S54" s="2294">
        <f t="shared" ref="S54:AG54" si="10">SUBTOTAL(9,S48:S53)</f>
        <v>0</v>
      </c>
      <c r="T54" s="2294">
        <f t="shared" si="10"/>
        <v>0</v>
      </c>
      <c r="U54" s="2294">
        <f t="shared" si="10"/>
        <v>31956.166666666668</v>
      </c>
      <c r="V54" s="2294">
        <f t="shared" si="10"/>
        <v>6000</v>
      </c>
      <c r="W54" s="2294">
        <f t="shared" si="10"/>
        <v>0</v>
      </c>
      <c r="X54" s="2380">
        <f t="shared" si="10"/>
        <v>19200</v>
      </c>
      <c r="Y54" s="2294">
        <f t="shared" si="10"/>
        <v>0</v>
      </c>
      <c r="Z54" s="2454">
        <f t="shared" si="10"/>
        <v>0</v>
      </c>
      <c r="AA54" s="2454">
        <f t="shared" si="10"/>
        <v>0</v>
      </c>
      <c r="AB54" s="2454">
        <f t="shared" si="10"/>
        <v>0</v>
      </c>
      <c r="AC54" s="2454">
        <f t="shared" si="10"/>
        <v>0</v>
      </c>
      <c r="AD54" s="2454">
        <f t="shared" si="10"/>
        <v>0</v>
      </c>
      <c r="AE54" s="2454">
        <f t="shared" si="10"/>
        <v>0</v>
      </c>
      <c r="AF54" s="2454">
        <f t="shared" si="10"/>
        <v>0</v>
      </c>
      <c r="AG54" s="2296">
        <f t="shared" si="10"/>
        <v>57156.166666666672</v>
      </c>
    </row>
    <row r="55" spans="1:33" outlineLevel="2">
      <c r="A55" s="2330">
        <v>4284</v>
      </c>
      <c r="B55" s="2442" t="s">
        <v>508</v>
      </c>
      <c r="C55" s="2439" t="s">
        <v>509</v>
      </c>
      <c r="D55" s="1777"/>
      <c r="E55" s="2330">
        <v>50</v>
      </c>
      <c r="F55" s="2440">
        <v>43186</v>
      </c>
      <c r="G55" s="2441">
        <f>+F55+E55-1</f>
        <v>43235</v>
      </c>
      <c r="H55" s="2330" t="s">
        <v>179</v>
      </c>
      <c r="I55" s="2330" t="s">
        <v>169</v>
      </c>
      <c r="J55" s="2422"/>
      <c r="K55" s="1777" t="s">
        <v>510</v>
      </c>
      <c r="L55" s="2438">
        <v>2472</v>
      </c>
      <c r="M55" s="1777"/>
      <c r="N55" s="2330"/>
      <c r="O55" s="1779">
        <v>28275</v>
      </c>
      <c r="P55" s="1779">
        <v>2</v>
      </c>
      <c r="Q55" s="1779">
        <f>O55*P55</f>
        <v>56550</v>
      </c>
      <c r="R55" s="1779"/>
      <c r="S55" s="800"/>
      <c r="T55" s="800"/>
      <c r="U55" s="1779">
        <v>56550</v>
      </c>
      <c r="V55" s="1779"/>
      <c r="W55" s="800"/>
      <c r="X55" s="1142"/>
      <c r="Y55" s="1127"/>
      <c r="Z55" s="1199"/>
      <c r="AA55" s="1199"/>
      <c r="AB55" s="1199"/>
      <c r="AC55" s="1199"/>
      <c r="AD55" s="1199"/>
      <c r="AE55" s="1199"/>
      <c r="AF55" s="1199"/>
      <c r="AG55" s="547">
        <f>SUM(S55:AF55)</f>
        <v>56550</v>
      </c>
    </row>
    <row r="56" spans="1:33" s="1028" customFormat="1" ht="24.95" customHeight="1" outlineLevel="1">
      <c r="A56" s="2454"/>
      <c r="B56" s="2455"/>
      <c r="C56" s="2456"/>
      <c r="D56" s="2454"/>
      <c r="E56" s="2454"/>
      <c r="F56" s="2482"/>
      <c r="G56" s="2483"/>
      <c r="H56" s="2454"/>
      <c r="I56" s="2454"/>
      <c r="J56" s="2455"/>
      <c r="K56" s="2454"/>
      <c r="L56" s="2462" t="s">
        <v>1022</v>
      </c>
      <c r="M56" s="2454"/>
      <c r="N56" s="2454"/>
      <c r="O56" s="2294"/>
      <c r="P56" s="2294"/>
      <c r="Q56" s="2294">
        <f>SUBTOTAL(9,Q55:Q55)</f>
        <v>56550</v>
      </c>
      <c r="R56" s="2294"/>
      <c r="S56" s="2294">
        <f t="shared" ref="S56:AG56" si="11">SUBTOTAL(9,S55:S55)</f>
        <v>0</v>
      </c>
      <c r="T56" s="2294">
        <f t="shared" si="11"/>
        <v>0</v>
      </c>
      <c r="U56" s="2294">
        <f t="shared" si="11"/>
        <v>56550</v>
      </c>
      <c r="V56" s="2294">
        <f t="shared" si="11"/>
        <v>0</v>
      </c>
      <c r="W56" s="2294">
        <f t="shared" si="11"/>
        <v>0</v>
      </c>
      <c r="X56" s="2380">
        <f t="shared" si="11"/>
        <v>0</v>
      </c>
      <c r="Y56" s="2294">
        <f t="shared" si="11"/>
        <v>0</v>
      </c>
      <c r="Z56" s="2454">
        <f t="shared" si="11"/>
        <v>0</v>
      </c>
      <c r="AA56" s="2454">
        <f t="shared" si="11"/>
        <v>0</v>
      </c>
      <c r="AB56" s="2454">
        <f t="shared" si="11"/>
        <v>0</v>
      </c>
      <c r="AC56" s="2454">
        <f t="shared" si="11"/>
        <v>0</v>
      </c>
      <c r="AD56" s="2454">
        <f t="shared" si="11"/>
        <v>0</v>
      </c>
      <c r="AE56" s="2454">
        <f t="shared" si="11"/>
        <v>0</v>
      </c>
      <c r="AF56" s="2454">
        <f t="shared" si="11"/>
        <v>0</v>
      </c>
      <c r="AG56" s="2296">
        <f t="shared" si="11"/>
        <v>56550</v>
      </c>
    </row>
    <row r="57" spans="1:33" outlineLevel="2">
      <c r="A57" s="2330">
        <v>2135</v>
      </c>
      <c r="B57" s="2418" t="s">
        <v>65</v>
      </c>
      <c r="C57" s="2419" t="s">
        <v>336</v>
      </c>
      <c r="D57" s="1777"/>
      <c r="E57" s="2330">
        <v>30</v>
      </c>
      <c r="F57" s="2330">
        <v>43346</v>
      </c>
      <c r="G57" s="2330">
        <f>+E57+F57</f>
        <v>43376</v>
      </c>
      <c r="H57" s="2330" t="s">
        <v>294</v>
      </c>
      <c r="I57" s="2330" t="s">
        <v>171</v>
      </c>
      <c r="J57" s="2422" t="s">
        <v>295</v>
      </c>
      <c r="K57" s="1777" t="s">
        <v>337</v>
      </c>
      <c r="L57" s="2423">
        <v>6552</v>
      </c>
      <c r="M57" s="1777"/>
      <c r="N57" s="2330"/>
      <c r="O57" s="962">
        <v>1166.6666666666667</v>
      </c>
      <c r="P57" s="2436">
        <v>60</v>
      </c>
      <c r="Q57" s="800">
        <f>+O57*P57</f>
        <v>70000</v>
      </c>
      <c r="R57" s="800"/>
      <c r="S57" s="800"/>
      <c r="T57" s="800"/>
      <c r="U57" s="800"/>
      <c r="V57" s="800"/>
      <c r="W57" s="800"/>
      <c r="X57" s="1142"/>
      <c r="Y57" s="1127">
        <v>70000</v>
      </c>
      <c r="Z57" s="2328"/>
      <c r="AA57" s="2328"/>
      <c r="AB57" s="2328"/>
      <c r="AC57" s="1199"/>
      <c r="AD57" s="1199"/>
      <c r="AE57" s="1199"/>
      <c r="AF57" s="1199"/>
      <c r="AG57" s="547">
        <f>SUM(S57:AF57)</f>
        <v>70000</v>
      </c>
    </row>
    <row r="58" spans="1:33" s="1028" customFormat="1" ht="24.95" customHeight="1" outlineLevel="1">
      <c r="A58" s="2454"/>
      <c r="B58" s="2455"/>
      <c r="C58" s="2464"/>
      <c r="D58" s="2454"/>
      <c r="E58" s="2454"/>
      <c r="F58" s="2454"/>
      <c r="G58" s="2454"/>
      <c r="H58" s="2454"/>
      <c r="I58" s="2454"/>
      <c r="J58" s="2455"/>
      <c r="K58" s="2454"/>
      <c r="L58" s="2458" t="s">
        <v>1023</v>
      </c>
      <c r="M58" s="2454"/>
      <c r="N58" s="2454"/>
      <c r="O58" s="2294"/>
      <c r="P58" s="2457"/>
      <c r="Q58" s="2294">
        <f>SUBTOTAL(9,Q57:Q57)</f>
        <v>70000</v>
      </c>
      <c r="R58" s="2294"/>
      <c r="S58" s="2294">
        <f t="shared" ref="S58:AG58" si="12">SUBTOTAL(9,S57:S57)</f>
        <v>0</v>
      </c>
      <c r="T58" s="2294">
        <f t="shared" si="12"/>
        <v>0</v>
      </c>
      <c r="U58" s="2294">
        <f t="shared" si="12"/>
        <v>0</v>
      </c>
      <c r="V58" s="2294">
        <f t="shared" si="12"/>
        <v>0</v>
      </c>
      <c r="W58" s="2294">
        <f t="shared" si="12"/>
        <v>0</v>
      </c>
      <c r="X58" s="2380">
        <f t="shared" si="12"/>
        <v>0</v>
      </c>
      <c r="Y58" s="2294">
        <f t="shared" si="12"/>
        <v>70000</v>
      </c>
      <c r="Z58" s="2465">
        <f t="shared" si="12"/>
        <v>0</v>
      </c>
      <c r="AA58" s="2465">
        <f t="shared" si="12"/>
        <v>0</v>
      </c>
      <c r="AB58" s="2465">
        <f t="shared" si="12"/>
        <v>0</v>
      </c>
      <c r="AC58" s="2454">
        <f t="shared" si="12"/>
        <v>0</v>
      </c>
      <c r="AD58" s="2454">
        <f t="shared" si="12"/>
        <v>0</v>
      </c>
      <c r="AE58" s="2454">
        <f t="shared" si="12"/>
        <v>0</v>
      </c>
      <c r="AF58" s="2454">
        <f t="shared" si="12"/>
        <v>0</v>
      </c>
      <c r="AG58" s="2296">
        <f t="shared" si="12"/>
        <v>70000</v>
      </c>
    </row>
    <row r="59" spans="1:33" outlineLevel="2">
      <c r="A59" s="2330">
        <v>2136</v>
      </c>
      <c r="B59" s="2418" t="s">
        <v>66</v>
      </c>
      <c r="C59" s="2463" t="s">
        <v>338</v>
      </c>
      <c r="D59" s="1777"/>
      <c r="E59" s="2330">
        <v>30</v>
      </c>
      <c r="F59" s="2330">
        <v>43346</v>
      </c>
      <c r="G59" s="2330">
        <f>+E59+F59</f>
        <v>43376</v>
      </c>
      <c r="H59" s="2330" t="s">
        <v>294</v>
      </c>
      <c r="I59" s="2330" t="s">
        <v>171</v>
      </c>
      <c r="J59" s="2422" t="s">
        <v>295</v>
      </c>
      <c r="K59" s="1777" t="s">
        <v>339</v>
      </c>
      <c r="L59" s="2438">
        <v>6565</v>
      </c>
      <c r="M59" s="1777"/>
      <c r="N59" s="2330"/>
      <c r="O59" s="962">
        <v>60</v>
      </c>
      <c r="P59" s="2436">
        <v>120</v>
      </c>
      <c r="Q59" s="800">
        <f>+O59*P59</f>
        <v>7200</v>
      </c>
      <c r="R59" s="800"/>
      <c r="S59" s="800"/>
      <c r="T59" s="800"/>
      <c r="U59" s="800"/>
      <c r="V59" s="800"/>
      <c r="W59" s="800"/>
      <c r="X59" s="1142"/>
      <c r="Y59" s="1127">
        <v>7200</v>
      </c>
      <c r="Z59" s="2328"/>
      <c r="AA59" s="2328"/>
      <c r="AB59" s="2328"/>
      <c r="AC59" s="1199"/>
      <c r="AD59" s="1199"/>
      <c r="AE59" s="1199"/>
      <c r="AF59" s="1199"/>
      <c r="AG59" s="547">
        <f>SUM(S59:AF59)</f>
        <v>7200</v>
      </c>
    </row>
    <row r="60" spans="1:33" s="1028" customFormat="1" ht="24.95" customHeight="1" outlineLevel="1">
      <c r="A60" s="2454"/>
      <c r="B60" s="2455"/>
      <c r="C60" s="2464"/>
      <c r="D60" s="2454"/>
      <c r="E60" s="2454"/>
      <c r="F60" s="2454"/>
      <c r="G60" s="2454"/>
      <c r="H60" s="2454"/>
      <c r="I60" s="2454"/>
      <c r="J60" s="2455"/>
      <c r="K60" s="2454"/>
      <c r="L60" s="2462" t="s">
        <v>1024</v>
      </c>
      <c r="M60" s="2454"/>
      <c r="N60" s="2454"/>
      <c r="O60" s="2294"/>
      <c r="P60" s="2457"/>
      <c r="Q60" s="2294">
        <f>SUBTOTAL(9,Q59:Q59)</f>
        <v>7200</v>
      </c>
      <c r="R60" s="2294"/>
      <c r="S60" s="2294">
        <f t="shared" ref="S60:AG60" si="13">SUBTOTAL(9,S59:S59)</f>
        <v>0</v>
      </c>
      <c r="T60" s="2294">
        <f t="shared" si="13"/>
        <v>0</v>
      </c>
      <c r="U60" s="2294">
        <f t="shared" si="13"/>
        <v>0</v>
      </c>
      <c r="V60" s="2294">
        <f t="shared" si="13"/>
        <v>0</v>
      </c>
      <c r="W60" s="2294">
        <f t="shared" si="13"/>
        <v>0</v>
      </c>
      <c r="X60" s="2380">
        <f t="shared" si="13"/>
        <v>0</v>
      </c>
      <c r="Y60" s="2294">
        <f t="shared" si="13"/>
        <v>7200</v>
      </c>
      <c r="Z60" s="2465">
        <f t="shared" si="13"/>
        <v>0</v>
      </c>
      <c r="AA60" s="2465">
        <f t="shared" si="13"/>
        <v>0</v>
      </c>
      <c r="AB60" s="2465">
        <f t="shared" si="13"/>
        <v>0</v>
      </c>
      <c r="AC60" s="2454">
        <f t="shared" si="13"/>
        <v>0</v>
      </c>
      <c r="AD60" s="2454">
        <f t="shared" si="13"/>
        <v>0</v>
      </c>
      <c r="AE60" s="2454">
        <f t="shared" si="13"/>
        <v>0</v>
      </c>
      <c r="AF60" s="2454">
        <f t="shared" si="13"/>
        <v>0</v>
      </c>
      <c r="AG60" s="2296">
        <f t="shared" si="13"/>
        <v>7200</v>
      </c>
    </row>
    <row r="61" spans="1:33" ht="31.5" outlineLevel="2">
      <c r="A61" s="2330">
        <v>2221</v>
      </c>
      <c r="B61" s="2418" t="s">
        <v>862</v>
      </c>
      <c r="C61" s="2418" t="s">
        <v>863</v>
      </c>
      <c r="D61" s="2427"/>
      <c r="E61" s="2330">
        <f>56+365</f>
        <v>421</v>
      </c>
      <c r="F61" s="2330">
        <v>43181</v>
      </c>
      <c r="G61" s="2330">
        <v>43581</v>
      </c>
      <c r="H61" s="2330" t="s">
        <v>368</v>
      </c>
      <c r="I61" s="2330" t="s">
        <v>174</v>
      </c>
      <c r="J61" s="2422" t="s">
        <v>169</v>
      </c>
      <c r="K61" s="1777" t="s">
        <v>864</v>
      </c>
      <c r="L61" s="2423">
        <v>23171</v>
      </c>
      <c r="M61" s="1777"/>
      <c r="N61" s="2330"/>
      <c r="O61" s="962">
        <v>250</v>
      </c>
      <c r="P61" s="2330">
        <v>12</v>
      </c>
      <c r="Q61" s="800">
        <f>O61*P61</f>
        <v>3000</v>
      </c>
      <c r="R61" s="800"/>
      <c r="S61" s="800"/>
      <c r="T61" s="800"/>
      <c r="U61" s="800">
        <v>250</v>
      </c>
      <c r="V61" s="800">
        <v>250</v>
      </c>
      <c r="W61" s="800">
        <v>250</v>
      </c>
      <c r="X61" s="1142">
        <v>250</v>
      </c>
      <c r="Y61" s="1127">
        <v>250</v>
      </c>
      <c r="Z61" s="1127">
        <v>250</v>
      </c>
      <c r="AA61" s="1127">
        <v>250</v>
      </c>
      <c r="AB61" s="1127">
        <v>250</v>
      </c>
      <c r="AC61" s="1127">
        <v>250</v>
      </c>
      <c r="AD61" s="1127">
        <v>250</v>
      </c>
      <c r="AE61" s="1127">
        <v>250</v>
      </c>
      <c r="AF61" s="1127">
        <v>250</v>
      </c>
      <c r="AG61" s="547">
        <f>SUM(S61:AF61)</f>
        <v>3000</v>
      </c>
    </row>
    <row r="62" spans="1:33" ht="31.5" outlineLevel="2">
      <c r="A62" s="2330">
        <v>2222</v>
      </c>
      <c r="B62" s="2418" t="s">
        <v>865</v>
      </c>
      <c r="C62" s="2418" t="s">
        <v>866</v>
      </c>
      <c r="D62" s="2427"/>
      <c r="E62" s="2330">
        <f>56+365</f>
        <v>421</v>
      </c>
      <c r="F62" s="2330">
        <v>43181</v>
      </c>
      <c r="G62" s="2330">
        <v>43581</v>
      </c>
      <c r="H62" s="2330" t="s">
        <v>368</v>
      </c>
      <c r="I62" s="2330" t="s">
        <v>174</v>
      </c>
      <c r="J62" s="2422" t="s">
        <v>169</v>
      </c>
      <c r="K62" s="1777" t="s">
        <v>864</v>
      </c>
      <c r="L62" s="2423">
        <v>23171</v>
      </c>
      <c r="M62" s="1777"/>
      <c r="N62" s="2330"/>
      <c r="O62" s="962">
        <v>250</v>
      </c>
      <c r="P62" s="2330">
        <v>12</v>
      </c>
      <c r="Q62" s="800">
        <f>O62*P62</f>
        <v>3000</v>
      </c>
      <c r="R62" s="800"/>
      <c r="S62" s="800"/>
      <c r="T62" s="800"/>
      <c r="U62" s="800">
        <v>250</v>
      </c>
      <c r="V62" s="800">
        <v>250</v>
      </c>
      <c r="W62" s="800">
        <v>250</v>
      </c>
      <c r="X62" s="1142">
        <v>250</v>
      </c>
      <c r="Y62" s="1127">
        <v>250</v>
      </c>
      <c r="Z62" s="1127">
        <v>250</v>
      </c>
      <c r="AA62" s="1127">
        <v>250</v>
      </c>
      <c r="AB62" s="1127">
        <v>250</v>
      </c>
      <c r="AC62" s="1127">
        <v>250</v>
      </c>
      <c r="AD62" s="1127">
        <v>250</v>
      </c>
      <c r="AE62" s="1127">
        <v>250</v>
      </c>
      <c r="AF62" s="1127">
        <v>250</v>
      </c>
      <c r="AG62" s="547">
        <f>SUM(S62:AF62)</f>
        <v>3000</v>
      </c>
    </row>
    <row r="63" spans="1:33" ht="31.5" outlineLevel="2">
      <c r="A63" s="2466">
        <v>4421</v>
      </c>
      <c r="B63" s="2484" t="s">
        <v>999</v>
      </c>
      <c r="C63" s="2484" t="s">
        <v>974</v>
      </c>
      <c r="D63" s="2484"/>
      <c r="E63" s="2338">
        <v>150</v>
      </c>
      <c r="F63" s="2484">
        <v>43221</v>
      </c>
      <c r="G63" s="2484">
        <f>F63+E63+2</f>
        <v>43373</v>
      </c>
      <c r="H63" s="2484"/>
      <c r="I63" s="2338" t="s">
        <v>169</v>
      </c>
      <c r="J63" s="2338"/>
      <c r="K63" s="2473" t="s">
        <v>443</v>
      </c>
      <c r="L63" s="2478">
        <v>23171</v>
      </c>
      <c r="M63" s="2484"/>
      <c r="N63" s="2338"/>
      <c r="O63" s="2339">
        <v>17187.5</v>
      </c>
      <c r="P63" s="2338">
        <v>5</v>
      </c>
      <c r="Q63" s="2305">
        <f>O63*P63</f>
        <v>85937.5</v>
      </c>
      <c r="R63" s="653"/>
      <c r="S63" s="2305"/>
      <c r="T63" s="2285"/>
      <c r="U63" s="2339">
        <v>17187.5</v>
      </c>
      <c r="V63" s="2339">
        <v>17187.5</v>
      </c>
      <c r="W63" s="2339">
        <v>17187.5</v>
      </c>
      <c r="X63" s="2343">
        <v>17187.5</v>
      </c>
      <c r="Y63" s="2341">
        <v>17187.5</v>
      </c>
      <c r="Z63" s="1164"/>
      <c r="AA63" s="1164"/>
      <c r="AB63" s="1164"/>
      <c r="AC63" s="1164"/>
      <c r="AD63" s="1164"/>
      <c r="AE63" s="1164"/>
      <c r="AF63" s="1164"/>
      <c r="AG63" s="547">
        <f>SUM(S63:AF63)</f>
        <v>85937.5</v>
      </c>
    </row>
    <row r="64" spans="1:33" s="1028" customFormat="1" ht="24.95" customHeight="1" outlineLevel="1">
      <c r="A64" s="2455"/>
      <c r="B64" s="2471"/>
      <c r="C64" s="2471"/>
      <c r="D64" s="2471"/>
      <c r="E64" s="2471"/>
      <c r="F64" s="2471"/>
      <c r="G64" s="2471"/>
      <c r="H64" s="2471"/>
      <c r="I64" s="2471"/>
      <c r="J64" s="2471"/>
      <c r="K64" s="2471"/>
      <c r="L64" s="2472" t="s">
        <v>1025</v>
      </c>
      <c r="M64" s="2471"/>
      <c r="N64" s="2471"/>
      <c r="O64" s="2304"/>
      <c r="P64" s="2471"/>
      <c r="Q64" s="2304">
        <f>SUBTOTAL(9,Q61:Q63)</f>
        <v>91937.5</v>
      </c>
      <c r="R64" s="2296"/>
      <c r="S64" s="2304">
        <f t="shared" ref="S64:AG64" si="14">SUBTOTAL(9,S61:S63)</f>
        <v>0</v>
      </c>
      <c r="T64" s="2294">
        <f t="shared" si="14"/>
        <v>0</v>
      </c>
      <c r="U64" s="2304">
        <f t="shared" si="14"/>
        <v>17687.5</v>
      </c>
      <c r="V64" s="2304">
        <f t="shared" si="14"/>
        <v>17687.5</v>
      </c>
      <c r="W64" s="2304">
        <f t="shared" si="14"/>
        <v>17687.5</v>
      </c>
      <c r="X64" s="2485">
        <f t="shared" si="14"/>
        <v>17687.5</v>
      </c>
      <c r="Y64" s="2304">
        <f t="shared" si="14"/>
        <v>17687.5</v>
      </c>
      <c r="Z64" s="2294">
        <f t="shared" si="14"/>
        <v>500</v>
      </c>
      <c r="AA64" s="2294">
        <f t="shared" si="14"/>
        <v>500</v>
      </c>
      <c r="AB64" s="2294">
        <f t="shared" si="14"/>
        <v>500</v>
      </c>
      <c r="AC64" s="2294">
        <f t="shared" si="14"/>
        <v>500</v>
      </c>
      <c r="AD64" s="2294">
        <f t="shared" si="14"/>
        <v>500</v>
      </c>
      <c r="AE64" s="2294">
        <f t="shared" si="14"/>
        <v>500</v>
      </c>
      <c r="AF64" s="2294">
        <f t="shared" si="14"/>
        <v>500</v>
      </c>
      <c r="AG64" s="2296">
        <f t="shared" si="14"/>
        <v>91937.5</v>
      </c>
    </row>
    <row r="65" spans="1:33" outlineLevel="2">
      <c r="A65" s="2330">
        <v>2153</v>
      </c>
      <c r="B65" s="2418" t="s">
        <v>72</v>
      </c>
      <c r="C65" s="2439" t="s">
        <v>359</v>
      </c>
      <c r="D65" s="1777"/>
      <c r="E65" s="2330">
        <v>30</v>
      </c>
      <c r="F65" s="2330">
        <v>43255</v>
      </c>
      <c r="G65" s="2330">
        <f>+E65+F65</f>
        <v>43285</v>
      </c>
      <c r="H65" s="2330" t="s">
        <v>294</v>
      </c>
      <c r="I65" s="2330" t="s">
        <v>171</v>
      </c>
      <c r="J65" s="2422" t="s">
        <v>295</v>
      </c>
      <c r="K65" s="1777" t="s">
        <v>360</v>
      </c>
      <c r="L65" s="2423">
        <v>23172</v>
      </c>
      <c r="M65" s="1777"/>
      <c r="N65" s="2330"/>
      <c r="O65" s="962">
        <v>133333.33333333334</v>
      </c>
      <c r="P65" s="2330">
        <v>0.2</v>
      </c>
      <c r="Q65" s="800">
        <f>+O65*P65</f>
        <v>26666.666666666672</v>
      </c>
      <c r="R65" s="800"/>
      <c r="S65" s="800"/>
      <c r="T65" s="800"/>
      <c r="U65" s="800"/>
      <c r="V65" s="800">
        <v>26666.666666666672</v>
      </c>
      <c r="W65" s="800"/>
      <c r="X65" s="1142"/>
      <c r="Y65" s="1127"/>
      <c r="Z65" s="2328"/>
      <c r="AA65" s="2328"/>
      <c r="AB65" s="2328"/>
      <c r="AC65" s="1199"/>
      <c r="AD65" s="1199"/>
      <c r="AE65" s="1199"/>
      <c r="AF65" s="1199"/>
      <c r="AG65" s="547">
        <f t="shared" ref="AG65:AG76" si="15">SUM(S65:AF65)</f>
        <v>26666.666666666672</v>
      </c>
    </row>
    <row r="66" spans="1:33" outlineLevel="2">
      <c r="A66" s="2330">
        <v>2154</v>
      </c>
      <c r="B66" s="2418" t="s">
        <v>73</v>
      </c>
      <c r="C66" s="2439" t="s">
        <v>361</v>
      </c>
      <c r="D66" s="1777"/>
      <c r="E66" s="2330">
        <v>30</v>
      </c>
      <c r="F66" s="2330">
        <v>43255</v>
      </c>
      <c r="G66" s="2330">
        <f>+E66+F66</f>
        <v>43285</v>
      </c>
      <c r="H66" s="2330" t="s">
        <v>294</v>
      </c>
      <c r="I66" s="2330" t="s">
        <v>171</v>
      </c>
      <c r="J66" s="2422" t="s">
        <v>295</v>
      </c>
      <c r="K66" s="1777" t="s">
        <v>360</v>
      </c>
      <c r="L66" s="2423">
        <v>23172</v>
      </c>
      <c r="M66" s="1777"/>
      <c r="N66" s="2330"/>
      <c r="O66" s="962">
        <v>2000</v>
      </c>
      <c r="P66" s="2330">
        <v>3</v>
      </c>
      <c r="Q66" s="800">
        <f>+O66*P66</f>
        <v>6000</v>
      </c>
      <c r="R66" s="800"/>
      <c r="S66" s="800"/>
      <c r="T66" s="800"/>
      <c r="U66" s="800"/>
      <c r="V66" s="800">
        <v>6000</v>
      </c>
      <c r="W66" s="800"/>
      <c r="X66" s="1142"/>
      <c r="Y66" s="1127"/>
      <c r="Z66" s="2328"/>
      <c r="AA66" s="2328"/>
      <c r="AB66" s="2328"/>
      <c r="AC66" s="1199"/>
      <c r="AD66" s="1199"/>
      <c r="AE66" s="1199"/>
      <c r="AF66" s="1199"/>
      <c r="AG66" s="547">
        <f t="shared" si="15"/>
        <v>6000</v>
      </c>
    </row>
    <row r="67" spans="1:33" outlineLevel="2">
      <c r="A67" s="2330">
        <v>2155</v>
      </c>
      <c r="B67" s="2418" t="s">
        <v>74</v>
      </c>
      <c r="C67" s="2419" t="s">
        <v>362</v>
      </c>
      <c r="D67" s="1777"/>
      <c r="E67" s="2330">
        <v>30</v>
      </c>
      <c r="F67" s="2330">
        <v>43255</v>
      </c>
      <c r="G67" s="2330">
        <f>+E67+F67</f>
        <v>43285</v>
      </c>
      <c r="H67" s="2330" t="s">
        <v>294</v>
      </c>
      <c r="I67" s="2330" t="s">
        <v>171</v>
      </c>
      <c r="J67" s="2422" t="s">
        <v>295</v>
      </c>
      <c r="K67" s="1777" t="s">
        <v>360</v>
      </c>
      <c r="L67" s="2423">
        <v>23172</v>
      </c>
      <c r="M67" s="1777"/>
      <c r="N67" s="2330"/>
      <c r="O67" s="962">
        <v>833.33333333333337</v>
      </c>
      <c r="P67" s="2330">
        <v>3</v>
      </c>
      <c r="Q67" s="800">
        <f>+O67*P67</f>
        <v>2500</v>
      </c>
      <c r="R67" s="800"/>
      <c r="S67" s="800"/>
      <c r="T67" s="800"/>
      <c r="U67" s="800"/>
      <c r="V67" s="800">
        <v>2500</v>
      </c>
      <c r="W67" s="800"/>
      <c r="X67" s="1142"/>
      <c r="Y67" s="1127"/>
      <c r="Z67" s="2328"/>
      <c r="AA67" s="2328"/>
      <c r="AB67" s="2328"/>
      <c r="AC67" s="1199"/>
      <c r="AD67" s="1199"/>
      <c r="AE67" s="1199"/>
      <c r="AF67" s="1199"/>
      <c r="AG67" s="547">
        <f t="shared" si="15"/>
        <v>2500</v>
      </c>
    </row>
    <row r="68" spans="1:33" ht="47.25" outlineLevel="2">
      <c r="A68" s="2330">
        <v>2322</v>
      </c>
      <c r="B68" s="2473" t="s">
        <v>523</v>
      </c>
      <c r="C68" s="2474" t="s">
        <v>531</v>
      </c>
      <c r="D68" s="2476" t="s">
        <v>514</v>
      </c>
      <c r="E68" s="2476">
        <v>56</v>
      </c>
      <c r="F68" s="2476">
        <v>43210</v>
      </c>
      <c r="G68" s="2476">
        <f>E68+F68</f>
        <v>43266</v>
      </c>
      <c r="H68" s="2476" t="s">
        <v>529</v>
      </c>
      <c r="I68" s="2476" t="s">
        <v>526</v>
      </c>
      <c r="J68" s="2338" t="s">
        <v>532</v>
      </c>
      <c r="K68" s="2477" t="s">
        <v>533</v>
      </c>
      <c r="L68" s="2478">
        <v>23172</v>
      </c>
      <c r="M68" s="2479"/>
      <c r="N68" s="2476" t="s">
        <v>366</v>
      </c>
      <c r="O68" s="2275">
        <v>787</v>
      </c>
      <c r="P68" s="2476">
        <v>1</v>
      </c>
      <c r="Q68" s="653">
        <f t="shared" ref="Q68:Q76" si="16">O68*P68</f>
        <v>787</v>
      </c>
      <c r="R68" s="653"/>
      <c r="S68" s="2285"/>
      <c r="T68" s="2285"/>
      <c r="U68" s="2285"/>
      <c r="V68" s="2287">
        <v>787</v>
      </c>
      <c r="W68" s="2285"/>
      <c r="X68" s="2340"/>
      <c r="Y68" s="1164"/>
      <c r="Z68" s="1199"/>
      <c r="AA68" s="1199"/>
      <c r="AB68" s="1199"/>
      <c r="AC68" s="1199"/>
      <c r="AD68" s="1199"/>
      <c r="AE68" s="1199"/>
      <c r="AF68" s="1199"/>
      <c r="AG68" s="547">
        <f t="shared" si="15"/>
        <v>787</v>
      </c>
    </row>
    <row r="69" spans="1:33" outlineLevel="2">
      <c r="A69" s="2330">
        <v>2332</v>
      </c>
      <c r="B69" s="2473" t="s">
        <v>535</v>
      </c>
      <c r="C69" s="2474" t="s">
        <v>536</v>
      </c>
      <c r="D69" s="2476" t="s">
        <v>514</v>
      </c>
      <c r="E69" s="2476">
        <v>4</v>
      </c>
      <c r="F69" s="2476">
        <v>43234</v>
      </c>
      <c r="G69" s="2476">
        <f>E69+F69</f>
        <v>43238</v>
      </c>
      <c r="H69" s="2476" t="s">
        <v>525</v>
      </c>
      <c r="I69" s="2476" t="s">
        <v>526</v>
      </c>
      <c r="J69" s="2338" t="s">
        <v>537</v>
      </c>
      <c r="K69" s="2477" t="s">
        <v>538</v>
      </c>
      <c r="L69" s="2478">
        <v>23172</v>
      </c>
      <c r="M69" s="2479"/>
      <c r="N69" s="2476" t="s">
        <v>366</v>
      </c>
      <c r="O69" s="2275">
        <v>480</v>
      </c>
      <c r="P69" s="2476">
        <v>1</v>
      </c>
      <c r="Q69" s="653">
        <f t="shared" si="16"/>
        <v>480</v>
      </c>
      <c r="R69" s="653"/>
      <c r="S69" s="2285"/>
      <c r="T69" s="2285"/>
      <c r="U69" s="2287">
        <v>480</v>
      </c>
      <c r="V69" s="2285"/>
      <c r="W69" s="2285"/>
      <c r="X69" s="2340"/>
      <c r="Y69" s="1164"/>
      <c r="Z69" s="1164"/>
      <c r="AA69" s="1164"/>
      <c r="AB69" s="1164"/>
      <c r="AC69" s="1164"/>
      <c r="AD69" s="1164"/>
      <c r="AE69" s="1164"/>
      <c r="AF69" s="1164"/>
      <c r="AG69" s="547">
        <f t="shared" si="15"/>
        <v>480</v>
      </c>
    </row>
    <row r="70" spans="1:33" ht="47.25" outlineLevel="2">
      <c r="A70" s="2330">
        <v>4118</v>
      </c>
      <c r="B70" s="2418" t="s">
        <v>930</v>
      </c>
      <c r="C70" s="2439" t="s">
        <v>931</v>
      </c>
      <c r="D70" s="1777"/>
      <c r="E70" s="2428">
        <f>3</f>
        <v>3</v>
      </c>
      <c r="F70" s="2435">
        <v>43304</v>
      </c>
      <c r="G70" s="2435">
        <f>F70+E70-1</f>
        <v>43306</v>
      </c>
      <c r="H70" s="2330" t="s">
        <v>914</v>
      </c>
      <c r="I70" s="2330" t="s">
        <v>178</v>
      </c>
      <c r="J70" s="2422" t="s">
        <v>932</v>
      </c>
      <c r="K70" s="2437" t="s">
        <v>933</v>
      </c>
      <c r="L70" s="2438">
        <v>23172</v>
      </c>
      <c r="M70" s="1777"/>
      <c r="N70" s="2330"/>
      <c r="O70" s="962">
        <v>15.625</v>
      </c>
      <c r="P70" s="2330">
        <f>45</f>
        <v>45</v>
      </c>
      <c r="Q70" s="2279">
        <f t="shared" si="16"/>
        <v>703.125</v>
      </c>
      <c r="R70" s="800"/>
      <c r="S70" s="800"/>
      <c r="T70" s="800"/>
      <c r="U70" s="800"/>
      <c r="V70" s="800">
        <v>703.125</v>
      </c>
      <c r="W70" s="800"/>
      <c r="X70" s="1142"/>
      <c r="Y70" s="1199"/>
      <c r="Z70" s="1199"/>
      <c r="AA70" s="1199"/>
      <c r="AB70" s="1199"/>
      <c r="AC70" s="1199"/>
      <c r="AD70" s="1199"/>
      <c r="AE70" s="1199"/>
      <c r="AF70" s="1199"/>
      <c r="AG70" s="547">
        <f t="shared" si="15"/>
        <v>703.125</v>
      </c>
    </row>
    <row r="71" spans="1:33" ht="63" outlineLevel="2">
      <c r="A71" s="2330">
        <v>4131</v>
      </c>
      <c r="B71" s="2445" t="s">
        <v>1040</v>
      </c>
      <c r="C71" s="2486" t="s">
        <v>950</v>
      </c>
      <c r="D71" s="1777"/>
      <c r="E71" s="2428">
        <f>9</f>
        <v>9</v>
      </c>
      <c r="F71" s="2435">
        <v>43283</v>
      </c>
      <c r="G71" s="2435">
        <f>E71+F71-1</f>
        <v>43291</v>
      </c>
      <c r="H71" s="2330" t="s">
        <v>914</v>
      </c>
      <c r="I71" s="2330" t="s">
        <v>169</v>
      </c>
      <c r="J71" s="2422" t="s">
        <v>178</v>
      </c>
      <c r="K71" s="2437" t="s">
        <v>951</v>
      </c>
      <c r="L71" s="2438">
        <v>23172</v>
      </c>
      <c r="M71" s="1777"/>
      <c r="N71" s="2330"/>
      <c r="O71" s="962">
        <v>312.5</v>
      </c>
      <c r="P71" s="2330">
        <v>1</v>
      </c>
      <c r="Q71" s="800">
        <f t="shared" si="16"/>
        <v>312.5</v>
      </c>
      <c r="R71" s="2281"/>
      <c r="S71" s="800"/>
      <c r="T71" s="800"/>
      <c r="U71" s="800"/>
      <c r="V71" s="800"/>
      <c r="W71" s="800">
        <v>312.5</v>
      </c>
      <c r="X71" s="1142"/>
      <c r="Y71" s="1127"/>
      <c r="Z71" s="1199"/>
      <c r="AA71" s="1199"/>
      <c r="AB71" s="1199"/>
      <c r="AC71" s="1199"/>
      <c r="AD71" s="1199"/>
      <c r="AE71" s="1199"/>
      <c r="AF71" s="1199"/>
      <c r="AG71" s="547">
        <f t="shared" si="15"/>
        <v>312.5</v>
      </c>
    </row>
    <row r="72" spans="1:33" ht="31.5" outlineLevel="2">
      <c r="A72" s="2330">
        <v>4132</v>
      </c>
      <c r="B72" s="2445" t="s">
        <v>1043</v>
      </c>
      <c r="C72" s="2486" t="s">
        <v>958</v>
      </c>
      <c r="D72" s="1777"/>
      <c r="E72" s="2428">
        <f>4+30+4+4+4+2+5+4+6+4</f>
        <v>67</v>
      </c>
      <c r="F72" s="2435">
        <v>43311</v>
      </c>
      <c r="G72" s="2435">
        <f>E72+F72-1</f>
        <v>43377</v>
      </c>
      <c r="H72" s="2330" t="s">
        <v>914</v>
      </c>
      <c r="I72" s="2436" t="s">
        <v>169</v>
      </c>
      <c r="J72" s="2269" t="s">
        <v>178</v>
      </c>
      <c r="K72" s="2437" t="s">
        <v>951</v>
      </c>
      <c r="L72" s="2438">
        <v>23172</v>
      </c>
      <c r="M72" s="1777"/>
      <c r="N72" s="2330"/>
      <c r="O72" s="800">
        <v>312.5</v>
      </c>
      <c r="P72" s="2330">
        <v>1</v>
      </c>
      <c r="Q72" s="800">
        <f t="shared" si="16"/>
        <v>312.5</v>
      </c>
      <c r="R72" s="2281"/>
      <c r="S72" s="800"/>
      <c r="T72" s="800"/>
      <c r="U72" s="800"/>
      <c r="V72" s="800"/>
      <c r="W72" s="800">
        <v>25</v>
      </c>
      <c r="X72" s="1142">
        <v>59.375</v>
      </c>
      <c r="Y72" s="1127">
        <v>228.125</v>
      </c>
      <c r="Z72" s="1199"/>
      <c r="AA72" s="1199"/>
      <c r="AB72" s="1199"/>
      <c r="AC72" s="1199"/>
      <c r="AD72" s="1199"/>
      <c r="AE72" s="1199"/>
      <c r="AF72" s="1199"/>
      <c r="AG72" s="547">
        <f t="shared" si="15"/>
        <v>312.5</v>
      </c>
    </row>
    <row r="73" spans="1:33" ht="31.5" outlineLevel="2">
      <c r="A73" s="2466">
        <v>4421</v>
      </c>
      <c r="B73" s="2484" t="s">
        <v>999</v>
      </c>
      <c r="C73" s="2484" t="s">
        <v>974</v>
      </c>
      <c r="D73" s="2484"/>
      <c r="E73" s="2338">
        <v>150</v>
      </c>
      <c r="F73" s="2484">
        <v>43221</v>
      </c>
      <c r="G73" s="2484">
        <f>F73+E73+2</f>
        <v>43373</v>
      </c>
      <c r="H73" s="2484"/>
      <c r="I73" s="2338" t="s">
        <v>169</v>
      </c>
      <c r="J73" s="2338"/>
      <c r="K73" s="2473" t="s">
        <v>985</v>
      </c>
      <c r="L73" s="2478">
        <v>23172</v>
      </c>
      <c r="M73" s="2484"/>
      <c r="N73" s="2338"/>
      <c r="O73" s="2344">
        <v>700</v>
      </c>
      <c r="P73" s="2422">
        <v>5</v>
      </c>
      <c r="Q73" s="2305">
        <f t="shared" si="16"/>
        <v>3500</v>
      </c>
      <c r="R73" s="653"/>
      <c r="S73" s="2305"/>
      <c r="T73" s="2285"/>
      <c r="U73" s="2344">
        <v>700</v>
      </c>
      <c r="V73" s="2344">
        <v>700</v>
      </c>
      <c r="W73" s="2344">
        <v>700</v>
      </c>
      <c r="X73" s="2345">
        <v>700</v>
      </c>
      <c r="Y73" s="2346">
        <v>700</v>
      </c>
      <c r="Z73" s="1164"/>
      <c r="AA73" s="1164"/>
      <c r="AB73" s="1164"/>
      <c r="AC73" s="1164"/>
      <c r="AD73" s="1164"/>
      <c r="AE73" s="1164"/>
      <c r="AF73" s="1164"/>
      <c r="AG73" s="547">
        <f t="shared" si="15"/>
        <v>3500</v>
      </c>
    </row>
    <row r="74" spans="1:33" ht="31.5" outlineLevel="2">
      <c r="A74" s="2466">
        <v>4421</v>
      </c>
      <c r="B74" s="2484" t="s">
        <v>999</v>
      </c>
      <c r="C74" s="2484" t="s">
        <v>974</v>
      </c>
      <c r="D74" s="2484"/>
      <c r="E74" s="2338">
        <v>150</v>
      </c>
      <c r="F74" s="2484">
        <v>43221</v>
      </c>
      <c r="G74" s="2484">
        <f>F74+E74+2</f>
        <v>43373</v>
      </c>
      <c r="H74" s="2484"/>
      <c r="I74" s="2338" t="s">
        <v>169</v>
      </c>
      <c r="J74" s="2338"/>
      <c r="K74" s="2473" t="s">
        <v>987</v>
      </c>
      <c r="L74" s="2478">
        <v>23172</v>
      </c>
      <c r="M74" s="2484"/>
      <c r="N74" s="2338"/>
      <c r="O74" s="2344">
        <v>7000</v>
      </c>
      <c r="P74" s="2422">
        <v>5</v>
      </c>
      <c r="Q74" s="2305">
        <f t="shared" si="16"/>
        <v>35000</v>
      </c>
      <c r="R74" s="653"/>
      <c r="S74" s="2305"/>
      <c r="T74" s="2285"/>
      <c r="U74" s="2344">
        <v>7000</v>
      </c>
      <c r="V74" s="2344">
        <v>7000</v>
      </c>
      <c r="W74" s="2344">
        <v>7000</v>
      </c>
      <c r="X74" s="2345">
        <v>7000</v>
      </c>
      <c r="Y74" s="2346">
        <v>7000</v>
      </c>
      <c r="Z74" s="1164"/>
      <c r="AA74" s="1164"/>
      <c r="AB74" s="1164"/>
      <c r="AC74" s="1164"/>
      <c r="AD74" s="1164"/>
      <c r="AE74" s="1164"/>
      <c r="AF74" s="1164"/>
      <c r="AG74" s="547">
        <f t="shared" si="15"/>
        <v>35000</v>
      </c>
    </row>
    <row r="75" spans="1:33" ht="31.5" outlineLevel="2">
      <c r="A75" s="2466">
        <v>4421</v>
      </c>
      <c r="B75" s="2484" t="s">
        <v>999</v>
      </c>
      <c r="C75" s="2484" t="s">
        <v>974</v>
      </c>
      <c r="D75" s="2484"/>
      <c r="E75" s="2338">
        <v>150</v>
      </c>
      <c r="F75" s="2484">
        <v>43221</v>
      </c>
      <c r="G75" s="2484">
        <f>F75+E75+2</f>
        <v>43373</v>
      </c>
      <c r="H75" s="2484"/>
      <c r="I75" s="2338" t="s">
        <v>169</v>
      </c>
      <c r="J75" s="2338"/>
      <c r="K75" s="2473" t="s">
        <v>989</v>
      </c>
      <c r="L75" s="2478">
        <v>23172</v>
      </c>
      <c r="M75" s="2484"/>
      <c r="N75" s="2338"/>
      <c r="O75" s="2344">
        <v>200</v>
      </c>
      <c r="P75" s="2422">
        <v>5</v>
      </c>
      <c r="Q75" s="2305">
        <f t="shared" si="16"/>
        <v>1000</v>
      </c>
      <c r="R75" s="653"/>
      <c r="S75" s="2305"/>
      <c r="T75" s="2285"/>
      <c r="U75" s="2344">
        <v>200</v>
      </c>
      <c r="V75" s="2344">
        <v>200</v>
      </c>
      <c r="W75" s="2344">
        <v>200</v>
      </c>
      <c r="X75" s="2345">
        <v>200</v>
      </c>
      <c r="Y75" s="2346">
        <v>200</v>
      </c>
      <c r="Z75" s="1164"/>
      <c r="AA75" s="1164"/>
      <c r="AB75" s="1164"/>
      <c r="AC75" s="1164"/>
      <c r="AD75" s="1164"/>
      <c r="AE75" s="1164"/>
      <c r="AF75" s="1164"/>
      <c r="AG75" s="547">
        <f t="shared" si="15"/>
        <v>1000</v>
      </c>
    </row>
    <row r="76" spans="1:33" ht="31.5" outlineLevel="2">
      <c r="A76" s="2466">
        <v>4421</v>
      </c>
      <c r="B76" s="2484" t="s">
        <v>999</v>
      </c>
      <c r="C76" s="2484" t="s">
        <v>974</v>
      </c>
      <c r="D76" s="2484"/>
      <c r="E76" s="2338">
        <v>150</v>
      </c>
      <c r="F76" s="2484">
        <v>43221</v>
      </c>
      <c r="G76" s="2484">
        <f>F76+E76+2</f>
        <v>43373</v>
      </c>
      <c r="H76" s="2484"/>
      <c r="I76" s="2338" t="s">
        <v>169</v>
      </c>
      <c r="J76" s="2338"/>
      <c r="K76" s="2473" t="s">
        <v>990</v>
      </c>
      <c r="L76" s="2478">
        <v>23172</v>
      </c>
      <c r="M76" s="2484"/>
      <c r="N76" s="2338"/>
      <c r="O76" s="2344">
        <v>2500</v>
      </c>
      <c r="P76" s="2422">
        <v>5</v>
      </c>
      <c r="Q76" s="2305">
        <f t="shared" si="16"/>
        <v>12500</v>
      </c>
      <c r="R76" s="653"/>
      <c r="S76" s="2305"/>
      <c r="T76" s="2285"/>
      <c r="U76" s="2344">
        <v>2500</v>
      </c>
      <c r="V76" s="2344">
        <v>2500</v>
      </c>
      <c r="W76" s="2344">
        <v>2500</v>
      </c>
      <c r="X76" s="2345">
        <v>2500</v>
      </c>
      <c r="Y76" s="2346">
        <v>2500</v>
      </c>
      <c r="Z76" s="1164"/>
      <c r="AA76" s="1164"/>
      <c r="AB76" s="1164"/>
      <c r="AC76" s="1164"/>
      <c r="AD76" s="1164"/>
      <c r="AE76" s="1164"/>
      <c r="AF76" s="1164"/>
      <c r="AG76" s="547">
        <f t="shared" si="15"/>
        <v>12500</v>
      </c>
    </row>
    <row r="77" spans="1:33" s="1028" customFormat="1" ht="24.95" customHeight="1" outlineLevel="1">
      <c r="A77" s="2455"/>
      <c r="B77" s="2471"/>
      <c r="C77" s="2471"/>
      <c r="D77" s="2471"/>
      <c r="E77" s="2471"/>
      <c r="F77" s="2471"/>
      <c r="G77" s="2471"/>
      <c r="H77" s="2471"/>
      <c r="I77" s="2471"/>
      <c r="J77" s="2471"/>
      <c r="K77" s="2471"/>
      <c r="L77" s="2472" t="s">
        <v>1026</v>
      </c>
      <c r="M77" s="2471"/>
      <c r="N77" s="2471"/>
      <c r="O77" s="2347"/>
      <c r="P77" s="2455"/>
      <c r="Q77" s="2304">
        <f>SUBTOTAL(9,Q65:Q76)</f>
        <v>89761.791666666672</v>
      </c>
      <c r="R77" s="2296"/>
      <c r="S77" s="2304">
        <f t="shared" ref="S77:AG77" si="17">SUBTOTAL(9,S65:S76)</f>
        <v>0</v>
      </c>
      <c r="T77" s="2294">
        <f t="shared" si="17"/>
        <v>0</v>
      </c>
      <c r="U77" s="2347">
        <f t="shared" si="17"/>
        <v>10880</v>
      </c>
      <c r="V77" s="2347">
        <f t="shared" si="17"/>
        <v>47056.791666666672</v>
      </c>
      <c r="W77" s="2347">
        <f t="shared" si="17"/>
        <v>10737.5</v>
      </c>
      <c r="X77" s="2487">
        <f t="shared" si="17"/>
        <v>10459.375</v>
      </c>
      <c r="Y77" s="2347">
        <f t="shared" si="17"/>
        <v>10628.125</v>
      </c>
      <c r="Z77" s="2294">
        <f t="shared" si="17"/>
        <v>0</v>
      </c>
      <c r="AA77" s="2294">
        <f t="shared" si="17"/>
        <v>0</v>
      </c>
      <c r="AB77" s="2294">
        <f t="shared" si="17"/>
        <v>0</v>
      </c>
      <c r="AC77" s="2294">
        <f t="shared" si="17"/>
        <v>0</v>
      </c>
      <c r="AD77" s="2294">
        <f t="shared" si="17"/>
        <v>0</v>
      </c>
      <c r="AE77" s="2294">
        <f t="shared" si="17"/>
        <v>0</v>
      </c>
      <c r="AF77" s="2294">
        <f t="shared" si="17"/>
        <v>0</v>
      </c>
      <c r="AG77" s="2296">
        <f t="shared" si="17"/>
        <v>89761.791666666672</v>
      </c>
    </row>
    <row r="78" spans="1:33" ht="78.75" outlineLevel="2">
      <c r="A78" s="2330">
        <v>1111</v>
      </c>
      <c r="B78" s="2418" t="s">
        <v>620</v>
      </c>
      <c r="C78" s="2474" t="s">
        <v>621</v>
      </c>
      <c r="D78" s="2477"/>
      <c r="E78" s="2476">
        <v>5</v>
      </c>
      <c r="F78" s="2476">
        <v>43206</v>
      </c>
      <c r="G78" s="2476">
        <f t="shared" ref="G78:G88" si="18">F78+E78-1</f>
        <v>43210</v>
      </c>
      <c r="H78" s="2477" t="s">
        <v>622</v>
      </c>
      <c r="I78" s="2476" t="s">
        <v>170</v>
      </c>
      <c r="J78" s="2338" t="s">
        <v>623</v>
      </c>
      <c r="K78" s="2477" t="s">
        <v>638</v>
      </c>
      <c r="L78" s="2488">
        <v>23173</v>
      </c>
      <c r="M78" s="2477"/>
      <c r="N78" s="2477"/>
      <c r="O78" s="2305">
        <v>300</v>
      </c>
      <c r="P78" s="2477">
        <v>1</v>
      </c>
      <c r="Q78" s="2381">
        <f t="shared" ref="Q78:Q88" si="19">O78*P78</f>
        <v>300</v>
      </c>
      <c r="R78" s="956"/>
      <c r="S78" s="1779"/>
      <c r="T78" s="1777">
        <v>300</v>
      </c>
      <c r="U78" s="1779"/>
      <c r="V78" s="1779"/>
      <c r="W78" s="1779"/>
      <c r="X78" s="1783"/>
      <c r="Y78" s="1743"/>
      <c r="Z78" s="1199"/>
      <c r="AA78" s="1199"/>
      <c r="AB78" s="1199"/>
      <c r="AC78" s="1199"/>
      <c r="AD78" s="1199"/>
      <c r="AE78" s="1199"/>
      <c r="AF78" s="1199"/>
      <c r="AG78" s="547">
        <f t="shared" ref="AG78:AG109" si="20">SUM(S78:AF78)</f>
        <v>300</v>
      </c>
    </row>
    <row r="79" spans="1:33" ht="47.25" outlineLevel="2">
      <c r="A79" s="2330">
        <v>1112</v>
      </c>
      <c r="B79" s="2418" t="s">
        <v>640</v>
      </c>
      <c r="C79" s="2474" t="s">
        <v>641</v>
      </c>
      <c r="D79" s="2477"/>
      <c r="E79" s="2476">
        <v>5</v>
      </c>
      <c r="F79" s="2476">
        <v>43220</v>
      </c>
      <c r="G79" s="2476">
        <f t="shared" si="18"/>
        <v>43224</v>
      </c>
      <c r="H79" s="2477" t="s">
        <v>622</v>
      </c>
      <c r="I79" s="2476" t="s">
        <v>170</v>
      </c>
      <c r="J79" s="2338" t="s">
        <v>642</v>
      </c>
      <c r="K79" s="2477" t="s">
        <v>638</v>
      </c>
      <c r="L79" s="2488">
        <v>23173</v>
      </c>
      <c r="M79" s="2477"/>
      <c r="N79" s="2477"/>
      <c r="O79" s="2305">
        <v>833.33333333333337</v>
      </c>
      <c r="P79" s="2477">
        <v>1</v>
      </c>
      <c r="Q79" s="2381">
        <f t="shared" si="19"/>
        <v>833.33333333333337</v>
      </c>
      <c r="R79" s="956"/>
      <c r="S79" s="1779"/>
      <c r="T79" s="1777">
        <v>833.33333333333337</v>
      </c>
      <c r="U79" s="1777"/>
      <c r="V79" s="1779"/>
      <c r="W79" s="1779"/>
      <c r="X79" s="1783"/>
      <c r="Y79" s="1743"/>
      <c r="Z79" s="1199"/>
      <c r="AA79" s="1199"/>
      <c r="AB79" s="1199"/>
      <c r="AC79" s="1199"/>
      <c r="AD79" s="1199"/>
      <c r="AE79" s="1199"/>
      <c r="AF79" s="1199"/>
      <c r="AG79" s="547">
        <f t="shared" si="20"/>
        <v>833.33333333333337</v>
      </c>
    </row>
    <row r="80" spans="1:33" ht="63" outlineLevel="2">
      <c r="A80" s="2330">
        <v>1112</v>
      </c>
      <c r="B80" s="2418" t="s">
        <v>640</v>
      </c>
      <c r="C80" s="2474" t="s">
        <v>666</v>
      </c>
      <c r="D80" s="2477"/>
      <c r="E80" s="2476">
        <v>1</v>
      </c>
      <c r="F80" s="2476">
        <v>43225</v>
      </c>
      <c r="G80" s="2476">
        <f t="shared" si="18"/>
        <v>43225</v>
      </c>
      <c r="H80" s="2477" t="s">
        <v>667</v>
      </c>
      <c r="I80" s="2476" t="s">
        <v>170</v>
      </c>
      <c r="J80" s="2338" t="s">
        <v>642</v>
      </c>
      <c r="K80" s="2477" t="s">
        <v>668</v>
      </c>
      <c r="L80" s="2488">
        <v>23173</v>
      </c>
      <c r="M80" s="2477"/>
      <c r="N80" s="2477"/>
      <c r="O80" s="2305">
        <v>333.33333333333331</v>
      </c>
      <c r="P80" s="2477">
        <v>1</v>
      </c>
      <c r="Q80" s="2381">
        <f t="shared" si="19"/>
        <v>333.33333333333331</v>
      </c>
      <c r="R80" s="956"/>
      <c r="S80" s="1779"/>
      <c r="T80" s="1777"/>
      <c r="U80" s="1777">
        <v>333.33333333333331</v>
      </c>
      <c r="V80" s="1779"/>
      <c r="W80" s="1779"/>
      <c r="X80" s="1783"/>
      <c r="Y80" s="1743"/>
      <c r="Z80" s="1199"/>
      <c r="AA80" s="1199"/>
      <c r="AB80" s="1199"/>
      <c r="AC80" s="1199"/>
      <c r="AD80" s="1199"/>
      <c r="AE80" s="1199"/>
      <c r="AF80" s="1199"/>
      <c r="AG80" s="547">
        <f t="shared" si="20"/>
        <v>333.33333333333331</v>
      </c>
    </row>
    <row r="81" spans="1:33" ht="63" outlineLevel="2">
      <c r="A81" s="2330">
        <v>1112</v>
      </c>
      <c r="B81" s="2418" t="s">
        <v>640</v>
      </c>
      <c r="C81" s="2474" t="s">
        <v>666</v>
      </c>
      <c r="D81" s="2477"/>
      <c r="E81" s="2476">
        <v>1</v>
      </c>
      <c r="F81" s="2476">
        <v>43225</v>
      </c>
      <c r="G81" s="2476">
        <f t="shared" si="18"/>
        <v>43225</v>
      </c>
      <c r="H81" s="2477" t="s">
        <v>667</v>
      </c>
      <c r="I81" s="2476" t="s">
        <v>170</v>
      </c>
      <c r="J81" s="2338" t="s">
        <v>642</v>
      </c>
      <c r="K81" s="2477" t="s">
        <v>670</v>
      </c>
      <c r="L81" s="2488">
        <v>23173</v>
      </c>
      <c r="M81" s="2477"/>
      <c r="N81" s="2477"/>
      <c r="O81" s="2305">
        <v>466.66666666666669</v>
      </c>
      <c r="P81" s="2477">
        <v>1</v>
      </c>
      <c r="Q81" s="2381">
        <f t="shared" si="19"/>
        <v>466.66666666666669</v>
      </c>
      <c r="R81" s="956"/>
      <c r="S81" s="1779"/>
      <c r="T81" s="1777"/>
      <c r="U81" s="1777">
        <v>466.66666666666669</v>
      </c>
      <c r="V81" s="1779"/>
      <c r="W81" s="1779"/>
      <c r="X81" s="1783"/>
      <c r="Y81" s="1743"/>
      <c r="Z81" s="1199"/>
      <c r="AA81" s="1199"/>
      <c r="AB81" s="1199"/>
      <c r="AC81" s="1199"/>
      <c r="AD81" s="1199"/>
      <c r="AE81" s="1199"/>
      <c r="AF81" s="1199"/>
      <c r="AG81" s="547">
        <f t="shared" si="20"/>
        <v>466.66666666666669</v>
      </c>
    </row>
    <row r="82" spans="1:33" ht="47.25" outlineLevel="2">
      <c r="A82" s="2330">
        <v>1113</v>
      </c>
      <c r="B82" s="2418" t="s">
        <v>671</v>
      </c>
      <c r="C82" s="2474" t="s">
        <v>672</v>
      </c>
      <c r="D82" s="2477"/>
      <c r="E82" s="2476">
        <v>5</v>
      </c>
      <c r="F82" s="2476">
        <v>43227</v>
      </c>
      <c r="G82" s="2476">
        <f t="shared" si="18"/>
        <v>43231</v>
      </c>
      <c r="H82" s="2477" t="s">
        <v>667</v>
      </c>
      <c r="I82" s="2476" t="s">
        <v>170</v>
      </c>
      <c r="J82" s="2338" t="s">
        <v>673</v>
      </c>
      <c r="K82" s="2477" t="s">
        <v>677</v>
      </c>
      <c r="L82" s="2488">
        <v>23173</v>
      </c>
      <c r="M82" s="2477"/>
      <c r="N82" s="2477"/>
      <c r="O82" s="2305">
        <v>3833</v>
      </c>
      <c r="P82" s="2477">
        <v>1</v>
      </c>
      <c r="Q82" s="2381">
        <f t="shared" si="19"/>
        <v>3833</v>
      </c>
      <c r="R82" s="956"/>
      <c r="S82" s="1779"/>
      <c r="T82" s="1779"/>
      <c r="U82" s="1777">
        <v>3833</v>
      </c>
      <c r="V82" s="1779"/>
      <c r="W82" s="1779"/>
      <c r="X82" s="1783"/>
      <c r="Y82" s="1743"/>
      <c r="Z82" s="1199"/>
      <c r="AA82" s="1199"/>
      <c r="AB82" s="1199"/>
      <c r="AC82" s="1199"/>
      <c r="AD82" s="1199"/>
      <c r="AE82" s="1199"/>
      <c r="AF82" s="1199"/>
      <c r="AG82" s="547">
        <f t="shared" si="20"/>
        <v>3833</v>
      </c>
    </row>
    <row r="83" spans="1:33" ht="47.25" outlineLevel="2">
      <c r="A83" s="2330">
        <v>1113</v>
      </c>
      <c r="B83" s="2418" t="s">
        <v>671</v>
      </c>
      <c r="C83" s="2474" t="s">
        <v>672</v>
      </c>
      <c r="D83" s="2477"/>
      <c r="E83" s="2476">
        <v>5</v>
      </c>
      <c r="F83" s="2476">
        <v>43227</v>
      </c>
      <c r="G83" s="2476">
        <f t="shared" si="18"/>
        <v>43231</v>
      </c>
      <c r="H83" s="2477" t="s">
        <v>667</v>
      </c>
      <c r="I83" s="2476" t="s">
        <v>170</v>
      </c>
      <c r="J83" s="2338" t="s">
        <v>673</v>
      </c>
      <c r="K83" s="2477" t="s">
        <v>678</v>
      </c>
      <c r="L83" s="2488">
        <v>23173</v>
      </c>
      <c r="M83" s="2477"/>
      <c r="N83" s="2477"/>
      <c r="O83" s="2305">
        <v>766.66666666666674</v>
      </c>
      <c r="P83" s="2477">
        <v>1</v>
      </c>
      <c r="Q83" s="2381">
        <f t="shared" si="19"/>
        <v>766.66666666666674</v>
      </c>
      <c r="R83" s="956"/>
      <c r="S83" s="1779"/>
      <c r="T83" s="1779"/>
      <c r="U83" s="1777">
        <v>766.66666666666674</v>
      </c>
      <c r="V83" s="1779"/>
      <c r="W83" s="1779"/>
      <c r="X83" s="1783"/>
      <c r="Y83" s="1743"/>
      <c r="Z83" s="1199"/>
      <c r="AA83" s="1199"/>
      <c r="AB83" s="1199"/>
      <c r="AC83" s="1199"/>
      <c r="AD83" s="1199"/>
      <c r="AE83" s="1199"/>
      <c r="AF83" s="1199"/>
      <c r="AG83" s="547">
        <f t="shared" si="20"/>
        <v>766.66666666666674</v>
      </c>
    </row>
    <row r="84" spans="1:33" ht="63" outlineLevel="2">
      <c r="A84" s="2330">
        <v>1115</v>
      </c>
      <c r="B84" s="2418" t="s">
        <v>694</v>
      </c>
      <c r="C84" s="2474" t="s">
        <v>695</v>
      </c>
      <c r="D84" s="2477"/>
      <c r="E84" s="2476">
        <v>10</v>
      </c>
      <c r="F84" s="2476">
        <v>43257</v>
      </c>
      <c r="G84" s="2476">
        <f t="shared" si="18"/>
        <v>43266</v>
      </c>
      <c r="H84" s="2477" t="s">
        <v>681</v>
      </c>
      <c r="I84" s="2476" t="s">
        <v>170</v>
      </c>
      <c r="J84" s="2338" t="s">
        <v>696</v>
      </c>
      <c r="K84" s="2477" t="s">
        <v>704</v>
      </c>
      <c r="L84" s="2488">
        <v>23173</v>
      </c>
      <c r="M84" s="2477"/>
      <c r="N84" s="2477"/>
      <c r="O84" s="2305">
        <v>1117</v>
      </c>
      <c r="P84" s="2477">
        <v>1</v>
      </c>
      <c r="Q84" s="2381">
        <f t="shared" si="19"/>
        <v>1117</v>
      </c>
      <c r="R84" s="956"/>
      <c r="S84" s="1779"/>
      <c r="T84" s="1779"/>
      <c r="U84" s="1779"/>
      <c r="V84" s="1777">
        <v>1117</v>
      </c>
      <c r="W84" s="1777"/>
      <c r="X84" s="1783"/>
      <c r="Y84" s="1743"/>
      <c r="Z84" s="1199"/>
      <c r="AA84" s="1199"/>
      <c r="AB84" s="1199"/>
      <c r="AC84" s="1199"/>
      <c r="AD84" s="1199"/>
      <c r="AE84" s="1199"/>
      <c r="AF84" s="1199"/>
      <c r="AG84" s="547">
        <f t="shared" si="20"/>
        <v>1117</v>
      </c>
    </row>
    <row r="85" spans="1:33" ht="63" outlineLevel="2">
      <c r="A85" s="2330">
        <v>1115</v>
      </c>
      <c r="B85" s="2418" t="s">
        <v>694</v>
      </c>
      <c r="C85" s="2474" t="s">
        <v>695</v>
      </c>
      <c r="D85" s="2477"/>
      <c r="E85" s="2476">
        <v>10</v>
      </c>
      <c r="F85" s="2476">
        <v>43257</v>
      </c>
      <c r="G85" s="2476">
        <f t="shared" si="18"/>
        <v>43266</v>
      </c>
      <c r="H85" s="2477" t="s">
        <v>681</v>
      </c>
      <c r="I85" s="2476" t="s">
        <v>170</v>
      </c>
      <c r="J85" s="2338" t="s">
        <v>696</v>
      </c>
      <c r="K85" s="2477" t="s">
        <v>706</v>
      </c>
      <c r="L85" s="2488">
        <v>23173</v>
      </c>
      <c r="M85" s="2477"/>
      <c r="N85" s="2477"/>
      <c r="O85" s="2305">
        <v>6450</v>
      </c>
      <c r="P85" s="2477">
        <v>1</v>
      </c>
      <c r="Q85" s="2381">
        <f t="shared" si="19"/>
        <v>6450</v>
      </c>
      <c r="R85" s="956"/>
      <c r="S85" s="1779"/>
      <c r="T85" s="1779"/>
      <c r="U85" s="1779"/>
      <c r="V85" s="1777">
        <v>6450</v>
      </c>
      <c r="W85" s="1777"/>
      <c r="X85" s="1783"/>
      <c r="Y85" s="1743"/>
      <c r="Z85" s="1199"/>
      <c r="AA85" s="1199"/>
      <c r="AB85" s="1199"/>
      <c r="AC85" s="1199"/>
      <c r="AD85" s="1199"/>
      <c r="AE85" s="1199"/>
      <c r="AF85" s="1199"/>
      <c r="AG85" s="547">
        <f t="shared" si="20"/>
        <v>6450</v>
      </c>
    </row>
    <row r="86" spans="1:33" ht="63" outlineLevel="2">
      <c r="A86" s="2330">
        <v>1115</v>
      </c>
      <c r="B86" s="2418" t="s">
        <v>694</v>
      </c>
      <c r="C86" s="2474" t="s">
        <v>695</v>
      </c>
      <c r="D86" s="2477"/>
      <c r="E86" s="2476">
        <v>10</v>
      </c>
      <c r="F86" s="2476">
        <v>43257</v>
      </c>
      <c r="G86" s="2476">
        <f t="shared" si="18"/>
        <v>43266</v>
      </c>
      <c r="H86" s="2477" t="s">
        <v>681</v>
      </c>
      <c r="I86" s="2476" t="s">
        <v>170</v>
      </c>
      <c r="J86" s="2338" t="s">
        <v>696</v>
      </c>
      <c r="K86" s="2477" t="s">
        <v>638</v>
      </c>
      <c r="L86" s="2488">
        <v>23173</v>
      </c>
      <c r="M86" s="2477"/>
      <c r="N86" s="2477"/>
      <c r="O86" s="2305">
        <v>4300</v>
      </c>
      <c r="P86" s="2477">
        <v>1</v>
      </c>
      <c r="Q86" s="2381">
        <f t="shared" si="19"/>
        <v>4300</v>
      </c>
      <c r="R86" s="956"/>
      <c r="S86" s="1779"/>
      <c r="T86" s="1779"/>
      <c r="U86" s="1779"/>
      <c r="V86" s="1777">
        <v>4300</v>
      </c>
      <c r="W86" s="1777"/>
      <c r="X86" s="1783"/>
      <c r="Y86" s="1743"/>
      <c r="Z86" s="1199"/>
      <c r="AA86" s="1199"/>
      <c r="AB86" s="1199"/>
      <c r="AC86" s="1199"/>
      <c r="AD86" s="1199"/>
      <c r="AE86" s="1199"/>
      <c r="AF86" s="1199"/>
      <c r="AG86" s="547">
        <f t="shared" si="20"/>
        <v>4300</v>
      </c>
    </row>
    <row r="87" spans="1:33" ht="31.5" outlineLevel="2">
      <c r="A87" s="2330">
        <v>1116</v>
      </c>
      <c r="B87" s="2418" t="s">
        <v>707</v>
      </c>
      <c r="C87" s="2474" t="s">
        <v>708</v>
      </c>
      <c r="D87" s="2477"/>
      <c r="E87" s="2476">
        <v>1</v>
      </c>
      <c r="F87" s="2476">
        <v>43315</v>
      </c>
      <c r="G87" s="2476">
        <f t="shared" si="18"/>
        <v>43315</v>
      </c>
      <c r="H87" s="2477" t="s">
        <v>667</v>
      </c>
      <c r="I87" s="2476" t="s">
        <v>170</v>
      </c>
      <c r="J87" s="2338" t="s">
        <v>696</v>
      </c>
      <c r="K87" s="2477" t="s">
        <v>714</v>
      </c>
      <c r="L87" s="2488">
        <v>23173</v>
      </c>
      <c r="M87" s="2477"/>
      <c r="N87" s="2477"/>
      <c r="O87" s="2305">
        <v>333.33333333333331</v>
      </c>
      <c r="P87" s="2477">
        <v>1</v>
      </c>
      <c r="Q87" s="2381">
        <f t="shared" si="19"/>
        <v>333.33333333333331</v>
      </c>
      <c r="R87" s="956"/>
      <c r="S87" s="1779"/>
      <c r="T87" s="1779"/>
      <c r="U87" s="1779"/>
      <c r="V87" s="1779"/>
      <c r="W87" s="1779"/>
      <c r="X87" s="1780">
        <v>333.33333333333331</v>
      </c>
      <c r="Y87" s="1743"/>
      <c r="Z87" s="1199"/>
      <c r="AA87" s="1199"/>
      <c r="AB87" s="1199"/>
      <c r="AC87" s="1199"/>
      <c r="AD87" s="1199"/>
      <c r="AE87" s="1199"/>
      <c r="AF87" s="1199"/>
      <c r="AG87" s="547">
        <f t="shared" si="20"/>
        <v>333.33333333333331</v>
      </c>
    </row>
    <row r="88" spans="1:33" ht="31.5" outlineLevel="2">
      <c r="A88" s="2330">
        <v>1116</v>
      </c>
      <c r="B88" s="2418" t="s">
        <v>707</v>
      </c>
      <c r="C88" s="2474" t="s">
        <v>708</v>
      </c>
      <c r="D88" s="2477"/>
      <c r="E88" s="2476">
        <v>1</v>
      </c>
      <c r="F88" s="2476">
        <v>43315</v>
      </c>
      <c r="G88" s="2476">
        <f t="shared" si="18"/>
        <v>43315</v>
      </c>
      <c r="H88" s="2477" t="s">
        <v>667</v>
      </c>
      <c r="I88" s="2476" t="s">
        <v>170</v>
      </c>
      <c r="J88" s="2338" t="s">
        <v>696</v>
      </c>
      <c r="K88" s="2477" t="s">
        <v>670</v>
      </c>
      <c r="L88" s="2488">
        <v>23173</v>
      </c>
      <c r="M88" s="2477"/>
      <c r="N88" s="2477"/>
      <c r="O88" s="2305">
        <v>583.33333333333337</v>
      </c>
      <c r="P88" s="2477">
        <v>1</v>
      </c>
      <c r="Q88" s="2381">
        <f t="shared" si="19"/>
        <v>583.33333333333337</v>
      </c>
      <c r="R88" s="956"/>
      <c r="S88" s="1779"/>
      <c r="T88" s="1779"/>
      <c r="U88" s="1779"/>
      <c r="V88" s="1779"/>
      <c r="W88" s="1779"/>
      <c r="X88" s="1780">
        <v>583.33333333333337</v>
      </c>
      <c r="Y88" s="1743"/>
      <c r="Z88" s="1199"/>
      <c r="AA88" s="1199"/>
      <c r="AB88" s="1199"/>
      <c r="AC88" s="1199"/>
      <c r="AD88" s="1199"/>
      <c r="AE88" s="1199"/>
      <c r="AF88" s="1199"/>
      <c r="AG88" s="547">
        <f t="shared" si="20"/>
        <v>583.33333333333337</v>
      </c>
    </row>
    <row r="89" spans="1:33" outlineLevel="2">
      <c r="A89" s="2489">
        <v>1211</v>
      </c>
      <c r="B89" s="2439" t="s">
        <v>716</v>
      </c>
      <c r="C89" s="2474" t="s">
        <v>717</v>
      </c>
      <c r="D89" s="2490"/>
      <c r="E89" s="2491">
        <f t="shared" ref="E89:E94" si="21">+G89-F89+1</f>
        <v>-83</v>
      </c>
      <c r="F89" s="2491">
        <f>+F88</f>
        <v>43315</v>
      </c>
      <c r="G89" s="2491">
        <v>43231</v>
      </c>
      <c r="H89" s="2492" t="s">
        <v>718</v>
      </c>
      <c r="I89" s="2491" t="s">
        <v>170</v>
      </c>
      <c r="J89" s="2493" t="s">
        <v>719</v>
      </c>
      <c r="K89" s="2494" t="s">
        <v>415</v>
      </c>
      <c r="L89" s="2488">
        <v>23173</v>
      </c>
      <c r="M89" s="2490"/>
      <c r="N89" s="2490"/>
      <c r="O89" s="2382">
        <v>156</v>
      </c>
      <c r="P89" s="2490">
        <v>10</v>
      </c>
      <c r="Q89" s="2382">
        <f t="shared" ref="Q89:Q107" si="22">+O89*P89</f>
        <v>1560</v>
      </c>
      <c r="R89" s="2382"/>
      <c r="S89" s="2382"/>
      <c r="T89" s="2382"/>
      <c r="U89" s="2382">
        <v>1560</v>
      </c>
      <c r="V89" s="2382"/>
      <c r="W89" s="2382"/>
      <c r="X89" s="2495"/>
      <c r="Y89" s="2496"/>
      <c r="Z89" s="1199"/>
      <c r="AA89" s="1199"/>
      <c r="AB89" s="1199"/>
      <c r="AC89" s="1199"/>
      <c r="AD89" s="1199"/>
      <c r="AE89" s="1199"/>
      <c r="AF89" s="1199"/>
      <c r="AG89" s="547">
        <f t="shared" si="20"/>
        <v>1560</v>
      </c>
    </row>
    <row r="90" spans="1:33" outlineLevel="2">
      <c r="A90" s="2489">
        <v>1211</v>
      </c>
      <c r="B90" s="2439" t="s">
        <v>716</v>
      </c>
      <c r="C90" s="2474" t="s">
        <v>717</v>
      </c>
      <c r="D90" s="2490"/>
      <c r="E90" s="2491">
        <f t="shared" si="21"/>
        <v>-83</v>
      </c>
      <c r="F90" s="2491">
        <f>+F89</f>
        <v>43315</v>
      </c>
      <c r="G90" s="2491">
        <v>43231</v>
      </c>
      <c r="H90" s="2492" t="s">
        <v>718</v>
      </c>
      <c r="I90" s="2491" t="s">
        <v>170</v>
      </c>
      <c r="J90" s="2493" t="s">
        <v>719</v>
      </c>
      <c r="K90" s="2494" t="s">
        <v>638</v>
      </c>
      <c r="L90" s="2488">
        <v>23173</v>
      </c>
      <c r="M90" s="2490"/>
      <c r="N90" s="2490"/>
      <c r="O90" s="2382">
        <v>10</v>
      </c>
      <c r="P90" s="2490">
        <v>28</v>
      </c>
      <c r="Q90" s="2382">
        <f t="shared" si="22"/>
        <v>280</v>
      </c>
      <c r="R90" s="2382"/>
      <c r="S90" s="2382"/>
      <c r="T90" s="2382"/>
      <c r="U90" s="2382">
        <v>280</v>
      </c>
      <c r="V90" s="2382"/>
      <c r="W90" s="2382"/>
      <c r="X90" s="2495"/>
      <c r="Y90" s="2496"/>
      <c r="Z90" s="1199"/>
      <c r="AA90" s="1199"/>
      <c r="AB90" s="1199"/>
      <c r="AC90" s="1199"/>
      <c r="AD90" s="1199"/>
      <c r="AE90" s="1199"/>
      <c r="AF90" s="1199"/>
      <c r="AG90" s="547">
        <f t="shared" si="20"/>
        <v>280</v>
      </c>
    </row>
    <row r="91" spans="1:33" outlineLevel="2">
      <c r="A91" s="2489">
        <v>1211</v>
      </c>
      <c r="B91" s="2439" t="s">
        <v>716</v>
      </c>
      <c r="C91" s="2474" t="s">
        <v>717</v>
      </c>
      <c r="D91" s="2490"/>
      <c r="E91" s="2491">
        <f t="shared" si="21"/>
        <v>-83</v>
      </c>
      <c r="F91" s="2491">
        <f>+F90</f>
        <v>43315</v>
      </c>
      <c r="G91" s="2491">
        <v>43231</v>
      </c>
      <c r="H91" s="2492" t="s">
        <v>718</v>
      </c>
      <c r="I91" s="2491" t="s">
        <v>170</v>
      </c>
      <c r="J91" s="2493" t="s">
        <v>719</v>
      </c>
      <c r="K91" s="2494" t="s">
        <v>724</v>
      </c>
      <c r="L91" s="2488">
        <v>23173</v>
      </c>
      <c r="M91" s="2490"/>
      <c r="N91" s="2490"/>
      <c r="O91" s="2382">
        <v>10</v>
      </c>
      <c r="P91" s="2490">
        <v>28</v>
      </c>
      <c r="Q91" s="2382">
        <f t="shared" si="22"/>
        <v>280</v>
      </c>
      <c r="R91" s="2382"/>
      <c r="S91" s="2382"/>
      <c r="T91" s="2382"/>
      <c r="U91" s="2382">
        <v>280</v>
      </c>
      <c r="V91" s="2382"/>
      <c r="W91" s="2382"/>
      <c r="X91" s="2495"/>
      <c r="Y91" s="2496"/>
      <c r="Z91" s="1199"/>
      <c r="AA91" s="1199"/>
      <c r="AB91" s="1199"/>
      <c r="AC91" s="1199"/>
      <c r="AD91" s="1199"/>
      <c r="AE91" s="1199"/>
      <c r="AF91" s="1199"/>
      <c r="AG91" s="547">
        <f t="shared" si="20"/>
        <v>280</v>
      </c>
    </row>
    <row r="92" spans="1:33" outlineLevel="2">
      <c r="A92" s="2489">
        <v>1212</v>
      </c>
      <c r="B92" s="2497" t="s">
        <v>730</v>
      </c>
      <c r="C92" s="2474" t="s">
        <v>731</v>
      </c>
      <c r="D92" s="2490"/>
      <c r="E92" s="2491">
        <f t="shared" si="21"/>
        <v>5</v>
      </c>
      <c r="F92" s="2491">
        <v>43248</v>
      </c>
      <c r="G92" s="2491">
        <f>+F92+5-1</f>
        <v>43252</v>
      </c>
      <c r="H92" s="2492" t="s">
        <v>732</v>
      </c>
      <c r="I92" s="2491" t="s">
        <v>170</v>
      </c>
      <c r="J92" s="2493" t="s">
        <v>719</v>
      </c>
      <c r="K92" s="2494" t="s">
        <v>734</v>
      </c>
      <c r="L92" s="2488">
        <v>23173</v>
      </c>
      <c r="M92" s="2490"/>
      <c r="N92" s="2490"/>
      <c r="O92" s="2382">
        <v>875</v>
      </c>
      <c r="P92" s="2490">
        <v>7</v>
      </c>
      <c r="Q92" s="2382">
        <f t="shared" si="22"/>
        <v>6125</v>
      </c>
      <c r="R92" s="2382"/>
      <c r="S92" s="2382"/>
      <c r="T92" s="2382"/>
      <c r="U92" s="2382"/>
      <c r="V92" s="2382">
        <v>6125</v>
      </c>
      <c r="W92" s="2382"/>
      <c r="X92" s="2495"/>
      <c r="Y92" s="2496"/>
      <c r="Z92" s="1199"/>
      <c r="AA92" s="1199"/>
      <c r="AB92" s="1199"/>
      <c r="AC92" s="1199"/>
      <c r="AD92" s="1199"/>
      <c r="AE92" s="1199"/>
      <c r="AF92" s="1199"/>
      <c r="AG92" s="547">
        <f t="shared" si="20"/>
        <v>6125</v>
      </c>
    </row>
    <row r="93" spans="1:33" ht="47.25" outlineLevel="2">
      <c r="A93" s="2489">
        <v>1213</v>
      </c>
      <c r="B93" s="2497" t="s">
        <v>738</v>
      </c>
      <c r="C93" s="2474" t="s">
        <v>739</v>
      </c>
      <c r="D93" s="2490"/>
      <c r="E93" s="2491">
        <f t="shared" si="21"/>
        <v>26</v>
      </c>
      <c r="F93" s="2491">
        <v>43262</v>
      </c>
      <c r="G93" s="2491">
        <v>43287</v>
      </c>
      <c r="H93" s="2492"/>
      <c r="I93" s="2491" t="s">
        <v>170</v>
      </c>
      <c r="J93" s="2493" t="s">
        <v>719</v>
      </c>
      <c r="K93" s="2494" t="s">
        <v>302</v>
      </c>
      <c r="L93" s="2488">
        <v>23173</v>
      </c>
      <c r="M93" s="2490"/>
      <c r="N93" s="2490"/>
      <c r="O93" s="2382">
        <v>15</v>
      </c>
      <c r="P93" s="2490">
        <v>28</v>
      </c>
      <c r="Q93" s="2382">
        <f t="shared" si="22"/>
        <v>420</v>
      </c>
      <c r="R93" s="2382"/>
      <c r="S93" s="2382"/>
      <c r="T93" s="2382"/>
      <c r="U93" s="2382"/>
      <c r="V93" s="2382"/>
      <c r="W93" s="2382">
        <v>420</v>
      </c>
      <c r="X93" s="2495"/>
      <c r="Y93" s="2496"/>
      <c r="Z93" s="1199"/>
      <c r="AA93" s="1199"/>
      <c r="AB93" s="1199"/>
      <c r="AC93" s="1199"/>
      <c r="AD93" s="1199"/>
      <c r="AE93" s="1199"/>
      <c r="AF93" s="1199"/>
      <c r="AG93" s="547">
        <f t="shared" si="20"/>
        <v>420</v>
      </c>
    </row>
    <row r="94" spans="1:33" ht="47.25" outlineLevel="2">
      <c r="A94" s="2489">
        <v>1213</v>
      </c>
      <c r="B94" s="2497" t="s">
        <v>738</v>
      </c>
      <c r="C94" s="2474" t="s">
        <v>739</v>
      </c>
      <c r="D94" s="2490"/>
      <c r="E94" s="2491">
        <f t="shared" si="21"/>
        <v>26</v>
      </c>
      <c r="F94" s="2491">
        <v>43262</v>
      </c>
      <c r="G94" s="2491">
        <v>43287</v>
      </c>
      <c r="H94" s="2492"/>
      <c r="I94" s="2491" t="s">
        <v>170</v>
      </c>
      <c r="J94" s="2493" t="s">
        <v>719</v>
      </c>
      <c r="K94" s="2494" t="s">
        <v>486</v>
      </c>
      <c r="L94" s="2488">
        <v>23173</v>
      </c>
      <c r="M94" s="2490"/>
      <c r="N94" s="2490"/>
      <c r="O94" s="2382">
        <v>156</v>
      </c>
      <c r="P94" s="2490">
        <v>15</v>
      </c>
      <c r="Q94" s="2382">
        <f t="shared" si="22"/>
        <v>2340</v>
      </c>
      <c r="R94" s="2382"/>
      <c r="S94" s="2382"/>
      <c r="T94" s="2382"/>
      <c r="U94" s="2382"/>
      <c r="V94" s="2382"/>
      <c r="W94" s="2382">
        <v>2340</v>
      </c>
      <c r="X94" s="2495"/>
      <c r="Y94" s="2496"/>
      <c r="Z94" s="1199"/>
      <c r="AA94" s="1199"/>
      <c r="AB94" s="1199"/>
      <c r="AC94" s="1199"/>
      <c r="AD94" s="1199"/>
      <c r="AE94" s="1199"/>
      <c r="AF94" s="1199"/>
      <c r="AG94" s="547">
        <f t="shared" si="20"/>
        <v>2340</v>
      </c>
    </row>
    <row r="95" spans="1:33" ht="47.25" outlineLevel="2">
      <c r="A95" s="2489">
        <v>1213</v>
      </c>
      <c r="B95" s="2497" t="s">
        <v>738</v>
      </c>
      <c r="C95" s="2474" t="s">
        <v>739</v>
      </c>
      <c r="D95" s="2490"/>
      <c r="E95" s="2491"/>
      <c r="F95" s="2491"/>
      <c r="G95" s="2491"/>
      <c r="H95" s="2492"/>
      <c r="I95" s="2491" t="s">
        <v>170</v>
      </c>
      <c r="J95" s="2493" t="s">
        <v>719</v>
      </c>
      <c r="K95" s="2494" t="s">
        <v>1013</v>
      </c>
      <c r="L95" s="2488">
        <v>23173</v>
      </c>
      <c r="M95" s="2490"/>
      <c r="N95" s="2490"/>
      <c r="O95" s="2382">
        <v>1</v>
      </c>
      <c r="P95" s="2490">
        <v>60</v>
      </c>
      <c r="Q95" s="2382">
        <f t="shared" si="22"/>
        <v>60</v>
      </c>
      <c r="R95" s="2382"/>
      <c r="S95" s="2382"/>
      <c r="T95" s="2382"/>
      <c r="U95" s="2382"/>
      <c r="V95" s="2382"/>
      <c r="W95" s="2382">
        <v>60</v>
      </c>
      <c r="X95" s="2495"/>
      <c r="Y95" s="2496"/>
      <c r="Z95" s="1199"/>
      <c r="AA95" s="1199"/>
      <c r="AB95" s="1199"/>
      <c r="AC95" s="1199"/>
      <c r="AD95" s="1199"/>
      <c r="AE95" s="1199"/>
      <c r="AF95" s="1199"/>
      <c r="AG95" s="547">
        <f t="shared" si="20"/>
        <v>60</v>
      </c>
    </row>
    <row r="96" spans="1:33" ht="31.5" outlineLevel="2">
      <c r="A96" s="2489">
        <v>1214</v>
      </c>
      <c r="B96" s="2497" t="s">
        <v>747</v>
      </c>
      <c r="C96" s="2474" t="s">
        <v>748</v>
      </c>
      <c r="D96" s="2490"/>
      <c r="E96" s="2491">
        <f t="shared" ref="E96:E107" si="23">+G96-F96+1</f>
        <v>3</v>
      </c>
      <c r="F96" s="2491">
        <v>43304</v>
      </c>
      <c r="G96" s="2491">
        <f>+F96+3-1</f>
        <v>43306</v>
      </c>
      <c r="H96" s="2492"/>
      <c r="I96" s="2491" t="s">
        <v>170</v>
      </c>
      <c r="J96" s="2493"/>
      <c r="K96" s="2494" t="s">
        <v>670</v>
      </c>
      <c r="L96" s="2488">
        <v>23173</v>
      </c>
      <c r="M96" s="2490"/>
      <c r="N96" s="2490"/>
      <c r="O96" s="2382">
        <f>16*3</f>
        <v>48</v>
      </c>
      <c r="P96" s="2490">
        <v>40</v>
      </c>
      <c r="Q96" s="2382">
        <f t="shared" si="22"/>
        <v>1920</v>
      </c>
      <c r="R96" s="2382"/>
      <c r="S96" s="2382"/>
      <c r="T96" s="2382"/>
      <c r="U96" s="2382"/>
      <c r="V96" s="2382"/>
      <c r="W96" s="2382">
        <v>1920</v>
      </c>
      <c r="X96" s="2495"/>
      <c r="Y96" s="2496"/>
      <c r="Z96" s="1199"/>
      <c r="AA96" s="1199"/>
      <c r="AB96" s="1199"/>
      <c r="AC96" s="1199"/>
      <c r="AD96" s="1199"/>
      <c r="AE96" s="1199"/>
      <c r="AF96" s="1199"/>
      <c r="AG96" s="547">
        <f t="shared" si="20"/>
        <v>1920</v>
      </c>
    </row>
    <row r="97" spans="1:33" ht="31.5" outlineLevel="2">
      <c r="A97" s="2489">
        <v>1214</v>
      </c>
      <c r="B97" s="2497" t="s">
        <v>747</v>
      </c>
      <c r="C97" s="2474" t="s">
        <v>748</v>
      </c>
      <c r="D97" s="2490"/>
      <c r="E97" s="2491">
        <f t="shared" si="23"/>
        <v>3</v>
      </c>
      <c r="F97" s="2491">
        <v>43304</v>
      </c>
      <c r="G97" s="2491">
        <f>+F97+3-1</f>
        <v>43306</v>
      </c>
      <c r="H97" s="2492"/>
      <c r="I97" s="2491" t="s">
        <v>170</v>
      </c>
      <c r="J97" s="2493"/>
      <c r="K97" s="2494" t="s">
        <v>638</v>
      </c>
      <c r="L97" s="2488">
        <v>23173</v>
      </c>
      <c r="M97" s="2490"/>
      <c r="N97" s="2490"/>
      <c r="O97" s="2382">
        <v>5</v>
      </c>
      <c r="P97" s="2490">
        <v>40</v>
      </c>
      <c r="Q97" s="2382">
        <f t="shared" si="22"/>
        <v>200</v>
      </c>
      <c r="R97" s="2382"/>
      <c r="S97" s="2382"/>
      <c r="T97" s="2382"/>
      <c r="U97" s="2382"/>
      <c r="V97" s="2382"/>
      <c r="W97" s="2382">
        <v>200</v>
      </c>
      <c r="X97" s="2495"/>
      <c r="Y97" s="2496"/>
      <c r="Z97" s="1199"/>
      <c r="AA97" s="1199"/>
      <c r="AB97" s="1199"/>
      <c r="AC97" s="1199"/>
      <c r="AD97" s="1199"/>
      <c r="AE97" s="1199"/>
      <c r="AF97" s="1199"/>
      <c r="AG97" s="547">
        <f t="shared" si="20"/>
        <v>200</v>
      </c>
    </row>
    <row r="98" spans="1:33" ht="31.5" outlineLevel="2">
      <c r="A98" s="2489">
        <v>1214</v>
      </c>
      <c r="B98" s="2497" t="s">
        <v>747</v>
      </c>
      <c r="C98" s="2474" t="s">
        <v>748</v>
      </c>
      <c r="D98" s="2490"/>
      <c r="E98" s="2491">
        <f t="shared" si="23"/>
        <v>3</v>
      </c>
      <c r="F98" s="2491">
        <v>43304</v>
      </c>
      <c r="G98" s="2491">
        <f>+F98+3-1</f>
        <v>43306</v>
      </c>
      <c r="H98" s="2492"/>
      <c r="I98" s="2491" t="s">
        <v>170</v>
      </c>
      <c r="J98" s="2493"/>
      <c r="K98" s="2494" t="s">
        <v>486</v>
      </c>
      <c r="L98" s="2488">
        <v>23173</v>
      </c>
      <c r="M98" s="2490"/>
      <c r="N98" s="2490"/>
      <c r="O98" s="2382">
        <v>312</v>
      </c>
      <c r="P98" s="2490">
        <v>3</v>
      </c>
      <c r="Q98" s="2382">
        <f t="shared" si="22"/>
        <v>936</v>
      </c>
      <c r="R98" s="2382"/>
      <c r="S98" s="2382"/>
      <c r="T98" s="2382"/>
      <c r="U98" s="2382"/>
      <c r="V98" s="2382"/>
      <c r="W98" s="2382">
        <v>936</v>
      </c>
      <c r="X98" s="2495"/>
      <c r="Y98" s="2496"/>
      <c r="Z98" s="1199"/>
      <c r="AA98" s="1199"/>
      <c r="AB98" s="1199"/>
      <c r="AC98" s="1199"/>
      <c r="AD98" s="1199"/>
      <c r="AE98" s="1199"/>
      <c r="AF98" s="1199"/>
      <c r="AG98" s="547">
        <f t="shared" si="20"/>
        <v>936</v>
      </c>
    </row>
    <row r="99" spans="1:33" outlineLevel="2">
      <c r="A99" s="2489">
        <v>1215</v>
      </c>
      <c r="B99" s="2497" t="s">
        <v>749</v>
      </c>
      <c r="C99" s="2474" t="s">
        <v>750</v>
      </c>
      <c r="D99" s="2490"/>
      <c r="E99" s="2491">
        <f t="shared" si="23"/>
        <v>6</v>
      </c>
      <c r="F99" s="2491">
        <v>43318</v>
      </c>
      <c r="G99" s="2491">
        <f>F99+6-1</f>
        <v>43323</v>
      </c>
      <c r="H99" s="2492"/>
      <c r="I99" s="2491" t="s">
        <v>170</v>
      </c>
      <c r="J99" s="2493"/>
      <c r="K99" s="2494" t="s">
        <v>302</v>
      </c>
      <c r="L99" s="2488">
        <v>23173</v>
      </c>
      <c r="M99" s="2490"/>
      <c r="N99" s="2490"/>
      <c r="O99" s="2382">
        <v>5</v>
      </c>
      <c r="P99" s="2490">
        <v>26</v>
      </c>
      <c r="Q99" s="2382">
        <f t="shared" si="22"/>
        <v>130</v>
      </c>
      <c r="R99" s="2382"/>
      <c r="S99" s="2382"/>
      <c r="T99" s="2382"/>
      <c r="U99" s="2382"/>
      <c r="V99" s="2382"/>
      <c r="W99" s="2382"/>
      <c r="X99" s="2495">
        <v>130</v>
      </c>
      <c r="Y99" s="2496"/>
      <c r="Z99" s="1199"/>
      <c r="AA99" s="1199"/>
      <c r="AB99" s="1199"/>
      <c r="AC99" s="1199"/>
      <c r="AD99" s="1199"/>
      <c r="AE99" s="1199"/>
      <c r="AF99" s="1199"/>
      <c r="AG99" s="547">
        <f t="shared" si="20"/>
        <v>130</v>
      </c>
    </row>
    <row r="100" spans="1:33" outlineLevel="2">
      <c r="A100" s="2489">
        <v>1215</v>
      </c>
      <c r="B100" s="2497" t="s">
        <v>749</v>
      </c>
      <c r="C100" s="2474" t="s">
        <v>750</v>
      </c>
      <c r="D100" s="2490"/>
      <c r="E100" s="2491">
        <f t="shared" si="23"/>
        <v>6</v>
      </c>
      <c r="F100" s="2491">
        <v>43318</v>
      </c>
      <c r="G100" s="2491">
        <f>F100+6-1</f>
        <v>43323</v>
      </c>
      <c r="H100" s="2492"/>
      <c r="I100" s="2491" t="s">
        <v>170</v>
      </c>
      <c r="J100" s="2493"/>
      <c r="K100" s="2494" t="s">
        <v>486</v>
      </c>
      <c r="L100" s="2488">
        <v>23173</v>
      </c>
      <c r="M100" s="2490"/>
      <c r="N100" s="2490"/>
      <c r="O100" s="2382">
        <v>156</v>
      </c>
      <c r="P100" s="2490">
        <v>6</v>
      </c>
      <c r="Q100" s="2382">
        <f t="shared" si="22"/>
        <v>936</v>
      </c>
      <c r="R100" s="2382"/>
      <c r="S100" s="2382"/>
      <c r="T100" s="2382"/>
      <c r="U100" s="2382"/>
      <c r="V100" s="2382"/>
      <c r="W100" s="2382"/>
      <c r="X100" s="2495">
        <v>936</v>
      </c>
      <c r="Y100" s="2496"/>
      <c r="Z100" s="1199"/>
      <c r="AA100" s="1199"/>
      <c r="AB100" s="1199"/>
      <c r="AC100" s="1199"/>
      <c r="AD100" s="1199"/>
      <c r="AE100" s="1199"/>
      <c r="AF100" s="1199"/>
      <c r="AG100" s="547">
        <f t="shared" si="20"/>
        <v>936</v>
      </c>
    </row>
    <row r="101" spans="1:33" outlineLevel="2">
      <c r="A101" s="2489">
        <v>1215</v>
      </c>
      <c r="B101" s="2497" t="s">
        <v>749</v>
      </c>
      <c r="C101" s="2474" t="s">
        <v>750</v>
      </c>
      <c r="D101" s="2490"/>
      <c r="E101" s="2491">
        <f t="shared" si="23"/>
        <v>6</v>
      </c>
      <c r="F101" s="2491">
        <v>43318</v>
      </c>
      <c r="G101" s="2491">
        <f>F101+6-1</f>
        <v>43323</v>
      </c>
      <c r="H101" s="2492"/>
      <c r="I101" s="2491" t="s">
        <v>170</v>
      </c>
      <c r="J101" s="2493"/>
      <c r="K101" s="2494" t="s">
        <v>755</v>
      </c>
      <c r="L101" s="2488">
        <v>23173</v>
      </c>
      <c r="M101" s="2490"/>
      <c r="N101" s="2490"/>
      <c r="O101" s="2382">
        <v>10</v>
      </c>
      <c r="P101" s="2490">
        <v>60</v>
      </c>
      <c r="Q101" s="2382">
        <f t="shared" si="22"/>
        <v>600</v>
      </c>
      <c r="R101" s="2382"/>
      <c r="S101" s="2382"/>
      <c r="T101" s="2382"/>
      <c r="U101" s="2382"/>
      <c r="V101" s="2382"/>
      <c r="W101" s="2382"/>
      <c r="X101" s="2495">
        <v>600</v>
      </c>
      <c r="Y101" s="2496"/>
      <c r="Z101" s="1199"/>
      <c r="AA101" s="1199"/>
      <c r="AB101" s="1199"/>
      <c r="AC101" s="1199"/>
      <c r="AD101" s="1199"/>
      <c r="AE101" s="1199"/>
      <c r="AF101" s="1199"/>
      <c r="AG101" s="547">
        <f t="shared" si="20"/>
        <v>600</v>
      </c>
    </row>
    <row r="102" spans="1:33" ht="47.25" outlineLevel="2">
      <c r="A102" s="2489">
        <v>1216</v>
      </c>
      <c r="B102" s="2497" t="s">
        <v>756</v>
      </c>
      <c r="C102" s="2474" t="s">
        <v>757</v>
      </c>
      <c r="D102" s="2490"/>
      <c r="E102" s="2491">
        <f t="shared" si="23"/>
        <v>27</v>
      </c>
      <c r="F102" s="2491">
        <v>43332</v>
      </c>
      <c r="G102" s="2491">
        <v>43358</v>
      </c>
      <c r="H102" s="2492"/>
      <c r="I102" s="2491" t="s">
        <v>170</v>
      </c>
      <c r="J102" s="2493"/>
      <c r="K102" s="2494" t="s">
        <v>302</v>
      </c>
      <c r="L102" s="2489">
        <v>23173</v>
      </c>
      <c r="M102" s="2490"/>
      <c r="N102" s="2490"/>
      <c r="O102" s="2382">
        <v>15</v>
      </c>
      <c r="P102" s="2490">
        <v>30</v>
      </c>
      <c r="Q102" s="2382">
        <f t="shared" si="22"/>
        <v>450</v>
      </c>
      <c r="R102" s="2382"/>
      <c r="S102" s="2382"/>
      <c r="T102" s="2382"/>
      <c r="U102" s="2382"/>
      <c r="V102" s="2382"/>
      <c r="W102" s="2382"/>
      <c r="X102" s="2382"/>
      <c r="Y102" s="2382">
        <v>450</v>
      </c>
      <c r="Z102" s="1777"/>
      <c r="AA102" s="1777"/>
      <c r="AB102" s="1777"/>
      <c r="AC102" s="1777"/>
      <c r="AD102" s="1777"/>
      <c r="AE102" s="1777"/>
      <c r="AF102" s="1777"/>
      <c r="AG102" s="2348">
        <f t="shared" si="20"/>
        <v>450</v>
      </c>
    </row>
    <row r="103" spans="1:33" ht="47.25" outlineLevel="2">
      <c r="A103" s="2489">
        <v>1216</v>
      </c>
      <c r="B103" s="2497" t="s">
        <v>756</v>
      </c>
      <c r="C103" s="2474" t="s">
        <v>757</v>
      </c>
      <c r="D103" s="2490"/>
      <c r="E103" s="2491">
        <f t="shared" si="23"/>
        <v>27</v>
      </c>
      <c r="F103" s="2491">
        <v>43332</v>
      </c>
      <c r="G103" s="2491">
        <v>43358</v>
      </c>
      <c r="H103" s="2492"/>
      <c r="I103" s="2491" t="s">
        <v>170</v>
      </c>
      <c r="J103" s="2493"/>
      <c r="K103" s="2494" t="s">
        <v>486</v>
      </c>
      <c r="L103" s="2489">
        <v>23173</v>
      </c>
      <c r="M103" s="2490"/>
      <c r="N103" s="2490"/>
      <c r="O103" s="2382">
        <v>156</v>
      </c>
      <c r="P103" s="2490">
        <v>15</v>
      </c>
      <c r="Q103" s="2382">
        <f t="shared" si="22"/>
        <v>2340</v>
      </c>
      <c r="R103" s="2382"/>
      <c r="S103" s="2382"/>
      <c r="T103" s="2382"/>
      <c r="U103" s="2382"/>
      <c r="V103" s="2382"/>
      <c r="W103" s="2382"/>
      <c r="X103" s="2382"/>
      <c r="Y103" s="2382">
        <v>2340</v>
      </c>
      <c r="Z103" s="1777"/>
      <c r="AA103" s="1777"/>
      <c r="AB103" s="1777"/>
      <c r="AC103" s="1777"/>
      <c r="AD103" s="1777"/>
      <c r="AE103" s="1777"/>
      <c r="AF103" s="1777"/>
      <c r="AG103" s="2348">
        <f t="shared" si="20"/>
        <v>2340</v>
      </c>
    </row>
    <row r="104" spans="1:33" s="1826" customFormat="1" ht="47.25" outlineLevel="2">
      <c r="A104" s="2489">
        <v>1216</v>
      </c>
      <c r="B104" s="2498" t="s">
        <v>756</v>
      </c>
      <c r="C104" s="2474" t="s">
        <v>757</v>
      </c>
      <c r="D104" s="2490"/>
      <c r="E104" s="2491">
        <f t="shared" si="23"/>
        <v>27</v>
      </c>
      <c r="F104" s="2491">
        <v>43332</v>
      </c>
      <c r="G104" s="2491">
        <v>43358</v>
      </c>
      <c r="H104" s="2492"/>
      <c r="I104" s="2491" t="s">
        <v>170</v>
      </c>
      <c r="J104" s="2493"/>
      <c r="K104" s="2494" t="s">
        <v>761</v>
      </c>
      <c r="L104" s="2489">
        <v>23173</v>
      </c>
      <c r="M104" s="2490"/>
      <c r="N104" s="2490"/>
      <c r="O104" s="2382">
        <v>10</v>
      </c>
      <c r="P104" s="2490">
        <v>50</v>
      </c>
      <c r="Q104" s="2382">
        <f t="shared" si="22"/>
        <v>500</v>
      </c>
      <c r="R104" s="2382"/>
      <c r="S104" s="2382"/>
      <c r="T104" s="2382"/>
      <c r="U104" s="2382"/>
      <c r="V104" s="2382"/>
      <c r="W104" s="2382"/>
      <c r="X104" s="2495"/>
      <c r="Y104" s="2496">
        <v>500</v>
      </c>
      <c r="Z104" s="1199"/>
      <c r="AA104" s="1199"/>
      <c r="AB104" s="1199"/>
      <c r="AC104" s="1199"/>
      <c r="AD104" s="1199"/>
      <c r="AE104" s="1199"/>
      <c r="AF104" s="1199"/>
      <c r="AG104" s="547">
        <f t="shared" si="20"/>
        <v>500</v>
      </c>
    </row>
    <row r="105" spans="1:33" s="1826" customFormat="1" ht="47.25" outlineLevel="2">
      <c r="A105" s="2489">
        <v>1216</v>
      </c>
      <c r="B105" s="2498" t="s">
        <v>756</v>
      </c>
      <c r="C105" s="2474" t="s">
        <v>757</v>
      </c>
      <c r="D105" s="2490"/>
      <c r="E105" s="2491">
        <f t="shared" si="23"/>
        <v>27</v>
      </c>
      <c r="F105" s="2491">
        <v>43332</v>
      </c>
      <c r="G105" s="2491">
        <v>43358</v>
      </c>
      <c r="H105" s="2492"/>
      <c r="I105" s="2491" t="s">
        <v>170</v>
      </c>
      <c r="J105" s="2493"/>
      <c r="K105" s="2499" t="s">
        <v>762</v>
      </c>
      <c r="L105" s="2489">
        <v>23173</v>
      </c>
      <c r="M105" s="2490"/>
      <c r="N105" s="2490"/>
      <c r="O105" s="2382">
        <v>15</v>
      </c>
      <c r="P105" s="2490">
        <v>50</v>
      </c>
      <c r="Q105" s="2382">
        <f t="shared" si="22"/>
        <v>750</v>
      </c>
      <c r="R105" s="2382"/>
      <c r="S105" s="2382"/>
      <c r="T105" s="2382"/>
      <c r="U105" s="2382"/>
      <c r="V105" s="2382"/>
      <c r="W105" s="2382"/>
      <c r="X105" s="2495"/>
      <c r="Y105" s="2496">
        <v>750</v>
      </c>
      <c r="Z105" s="1199"/>
      <c r="AA105" s="1199"/>
      <c r="AB105" s="1199"/>
      <c r="AC105" s="1199"/>
      <c r="AD105" s="1199"/>
      <c r="AE105" s="1199"/>
      <c r="AF105" s="1199"/>
      <c r="AG105" s="547">
        <f t="shared" si="20"/>
        <v>750</v>
      </c>
    </row>
    <row r="106" spans="1:33" s="1826" customFormat="1" ht="47.25" outlineLevel="2">
      <c r="A106" s="2489">
        <v>1216</v>
      </c>
      <c r="B106" s="2498" t="s">
        <v>756</v>
      </c>
      <c r="C106" s="2474" t="s">
        <v>757</v>
      </c>
      <c r="D106" s="2490"/>
      <c r="E106" s="2491">
        <f t="shared" si="23"/>
        <v>27</v>
      </c>
      <c r="F106" s="2491">
        <v>43332</v>
      </c>
      <c r="G106" s="2491">
        <v>43358</v>
      </c>
      <c r="H106" s="2492"/>
      <c r="I106" s="2491" t="s">
        <v>170</v>
      </c>
      <c r="J106" s="2493"/>
      <c r="K106" s="2499" t="s">
        <v>763</v>
      </c>
      <c r="L106" s="2489">
        <v>23173</v>
      </c>
      <c r="M106" s="2490"/>
      <c r="N106" s="2490"/>
      <c r="O106" s="2382">
        <v>10</v>
      </c>
      <c r="P106" s="2490">
        <f>22+114+28+23+10+10</f>
        <v>207</v>
      </c>
      <c r="Q106" s="2382">
        <f t="shared" si="22"/>
        <v>2070</v>
      </c>
      <c r="R106" s="2382"/>
      <c r="S106" s="2382"/>
      <c r="T106" s="2382"/>
      <c r="U106" s="2382"/>
      <c r="V106" s="2382"/>
      <c r="W106" s="2382"/>
      <c r="X106" s="2495"/>
      <c r="Y106" s="2496">
        <v>2070</v>
      </c>
      <c r="Z106" s="1199"/>
      <c r="AA106" s="1199"/>
      <c r="AB106" s="1199"/>
      <c r="AC106" s="1199"/>
      <c r="AD106" s="1199"/>
      <c r="AE106" s="1199"/>
      <c r="AF106" s="1199"/>
      <c r="AG106" s="547">
        <f t="shared" si="20"/>
        <v>2070</v>
      </c>
    </row>
    <row r="107" spans="1:33" s="1826" customFormat="1" ht="47.25" outlineLevel="2">
      <c r="A107" s="2489">
        <v>1216</v>
      </c>
      <c r="B107" s="2498" t="s">
        <v>756</v>
      </c>
      <c r="C107" s="2474" t="s">
        <v>757</v>
      </c>
      <c r="D107" s="2490"/>
      <c r="E107" s="2491">
        <f t="shared" si="23"/>
        <v>27</v>
      </c>
      <c r="F107" s="2491">
        <v>43332</v>
      </c>
      <c r="G107" s="2491">
        <v>43358</v>
      </c>
      <c r="H107" s="2492"/>
      <c r="I107" s="2491" t="s">
        <v>170</v>
      </c>
      <c r="J107" s="2493"/>
      <c r="K107" s="2499" t="s">
        <v>764</v>
      </c>
      <c r="L107" s="2488">
        <v>23173</v>
      </c>
      <c r="M107" s="2490"/>
      <c r="N107" s="2490"/>
      <c r="O107" s="2382">
        <v>5</v>
      </c>
      <c r="P107" s="2490">
        <v>207</v>
      </c>
      <c r="Q107" s="2382">
        <f t="shared" si="22"/>
        <v>1035</v>
      </c>
      <c r="R107" s="2382"/>
      <c r="S107" s="2382"/>
      <c r="T107" s="2382"/>
      <c r="U107" s="2382"/>
      <c r="V107" s="2382"/>
      <c r="W107" s="2382"/>
      <c r="X107" s="2495"/>
      <c r="Y107" s="2496">
        <v>1035</v>
      </c>
      <c r="Z107" s="1199"/>
      <c r="AA107" s="1199"/>
      <c r="AB107" s="1199"/>
      <c r="AC107" s="1199"/>
      <c r="AD107" s="1199"/>
      <c r="AE107" s="1199"/>
      <c r="AF107" s="1199"/>
      <c r="AG107" s="547">
        <f t="shared" si="20"/>
        <v>1035</v>
      </c>
    </row>
    <row r="108" spans="1:33" s="1826" customFormat="1" outlineLevel="2">
      <c r="A108" s="2330">
        <v>1221</v>
      </c>
      <c r="B108" s="2500" t="s">
        <v>772</v>
      </c>
      <c r="C108" s="2439" t="s">
        <v>773</v>
      </c>
      <c r="D108" s="1777"/>
      <c r="E108" s="2330"/>
      <c r="F108" s="2330"/>
      <c r="G108" s="2330"/>
      <c r="H108" s="1777" t="s">
        <v>774</v>
      </c>
      <c r="I108" s="2330" t="s">
        <v>170</v>
      </c>
      <c r="J108" s="2422"/>
      <c r="K108" s="2501" t="s">
        <v>782</v>
      </c>
      <c r="L108" s="2502">
        <v>23173</v>
      </c>
      <c r="M108" s="1777"/>
      <c r="N108" s="1777"/>
      <c r="O108" s="1779">
        <v>74.332999999999998</v>
      </c>
      <c r="P108" s="1777">
        <v>1</v>
      </c>
      <c r="Q108" s="1779">
        <f t="shared" ref="Q108:Q119" si="24">O108*P108</f>
        <v>74.332999999999998</v>
      </c>
      <c r="R108" s="1777"/>
      <c r="S108" s="1779"/>
      <c r="T108" s="1779">
        <v>74.332999999999998</v>
      </c>
      <c r="U108" s="1779"/>
      <c r="V108" s="1777"/>
      <c r="W108" s="1777"/>
      <c r="X108" s="1780"/>
      <c r="Y108" s="1199"/>
      <c r="Z108" s="1199"/>
      <c r="AA108" s="1199"/>
      <c r="AB108" s="1199"/>
      <c r="AC108" s="1199"/>
      <c r="AD108" s="1199"/>
      <c r="AE108" s="1199"/>
      <c r="AF108" s="1199"/>
      <c r="AG108" s="547">
        <f t="shared" si="20"/>
        <v>74.332999999999998</v>
      </c>
    </row>
    <row r="109" spans="1:33" s="1826" customFormat="1" outlineLevel="2">
      <c r="A109" s="2330">
        <v>1221</v>
      </c>
      <c r="B109" s="2500" t="s">
        <v>772</v>
      </c>
      <c r="C109" s="2439" t="s">
        <v>773</v>
      </c>
      <c r="D109" s="1777"/>
      <c r="E109" s="2330"/>
      <c r="F109" s="2330"/>
      <c r="G109" s="2330"/>
      <c r="H109" s="1777" t="s">
        <v>774</v>
      </c>
      <c r="I109" s="2330" t="s">
        <v>170</v>
      </c>
      <c r="J109" s="2422"/>
      <c r="K109" s="2503" t="s">
        <v>415</v>
      </c>
      <c r="L109" s="2502">
        <v>23173</v>
      </c>
      <c r="M109" s="1777"/>
      <c r="N109" s="1777"/>
      <c r="O109" s="1779">
        <v>1666.6666666666667</v>
      </c>
      <c r="P109" s="1777">
        <v>1</v>
      </c>
      <c r="Q109" s="1779">
        <f t="shared" si="24"/>
        <v>1666.6666666666667</v>
      </c>
      <c r="R109" s="1777"/>
      <c r="S109" s="1779"/>
      <c r="T109" s="1779">
        <v>1666.6666666666667</v>
      </c>
      <c r="U109" s="1779"/>
      <c r="V109" s="1777"/>
      <c r="W109" s="1777"/>
      <c r="X109" s="1780"/>
      <c r="Y109" s="1199"/>
      <c r="Z109" s="1199"/>
      <c r="AA109" s="1199"/>
      <c r="AB109" s="1199"/>
      <c r="AC109" s="1199"/>
      <c r="AD109" s="1199"/>
      <c r="AE109" s="1199"/>
      <c r="AF109" s="1199"/>
      <c r="AG109" s="547">
        <f t="shared" si="20"/>
        <v>1666.6666666666667</v>
      </c>
    </row>
    <row r="110" spans="1:33" s="1826" customFormat="1" outlineLevel="2">
      <c r="A110" s="2330">
        <v>1222</v>
      </c>
      <c r="B110" s="2500" t="s">
        <v>783</v>
      </c>
      <c r="C110" s="2439" t="s">
        <v>784</v>
      </c>
      <c r="D110" s="1777"/>
      <c r="E110" s="2330"/>
      <c r="F110" s="2330"/>
      <c r="G110" s="2330"/>
      <c r="H110" s="1777" t="s">
        <v>785</v>
      </c>
      <c r="I110" s="2330" t="s">
        <v>170</v>
      </c>
      <c r="J110" s="2422"/>
      <c r="K110" s="2501" t="s">
        <v>782</v>
      </c>
      <c r="L110" s="2502">
        <v>23173</v>
      </c>
      <c r="M110" s="1777"/>
      <c r="N110" s="1777"/>
      <c r="O110" s="1779">
        <v>74.332999999999998</v>
      </c>
      <c r="P110" s="1777">
        <v>1</v>
      </c>
      <c r="Q110" s="1779">
        <f t="shared" si="24"/>
        <v>74.332999999999998</v>
      </c>
      <c r="R110" s="1777"/>
      <c r="S110" s="1779"/>
      <c r="T110" s="1779"/>
      <c r="U110" s="1779">
        <v>74.332999999999998</v>
      </c>
      <c r="V110" s="1777"/>
      <c r="W110" s="1777"/>
      <c r="X110" s="1780"/>
      <c r="Y110" s="1199"/>
      <c r="Z110" s="1199"/>
      <c r="AA110" s="1199"/>
      <c r="AB110" s="1199"/>
      <c r="AC110" s="1199"/>
      <c r="AD110" s="1199"/>
      <c r="AE110" s="1199"/>
      <c r="AF110" s="1199"/>
      <c r="AG110" s="547">
        <f t="shared" ref="AG110:AG141" si="25">SUM(S110:AF110)</f>
        <v>74.332999999999998</v>
      </c>
    </row>
    <row r="111" spans="1:33" s="1826" customFormat="1" outlineLevel="2">
      <c r="A111" s="2330">
        <v>1222</v>
      </c>
      <c r="B111" s="2500" t="s">
        <v>783</v>
      </c>
      <c r="C111" s="2439" t="s">
        <v>784</v>
      </c>
      <c r="D111" s="1777"/>
      <c r="E111" s="2330"/>
      <c r="F111" s="2330"/>
      <c r="G111" s="2330"/>
      <c r="H111" s="1777" t="s">
        <v>785</v>
      </c>
      <c r="I111" s="2330" t="s">
        <v>170</v>
      </c>
      <c r="J111" s="2422"/>
      <c r="K111" s="2503" t="s">
        <v>415</v>
      </c>
      <c r="L111" s="2502">
        <v>23173</v>
      </c>
      <c r="M111" s="1777"/>
      <c r="N111" s="1777"/>
      <c r="O111" s="1779">
        <v>1666.6666666666667</v>
      </c>
      <c r="P111" s="1777">
        <v>1</v>
      </c>
      <c r="Q111" s="1779">
        <f t="shared" si="24"/>
        <v>1666.6666666666667</v>
      </c>
      <c r="R111" s="1777"/>
      <c r="S111" s="1779"/>
      <c r="T111" s="1779"/>
      <c r="U111" s="1779">
        <v>1666.6666666666667</v>
      </c>
      <c r="V111" s="1777"/>
      <c r="W111" s="1777"/>
      <c r="X111" s="1780"/>
      <c r="Y111" s="1199"/>
      <c r="Z111" s="1199"/>
      <c r="AA111" s="1199"/>
      <c r="AB111" s="1199"/>
      <c r="AC111" s="1199"/>
      <c r="AD111" s="1199"/>
      <c r="AE111" s="1199"/>
      <c r="AF111" s="1199"/>
      <c r="AG111" s="547">
        <f t="shared" si="25"/>
        <v>1666.6666666666667</v>
      </c>
    </row>
    <row r="112" spans="1:33" s="1826" customFormat="1" outlineLevel="2">
      <c r="A112" s="2330">
        <v>1223</v>
      </c>
      <c r="B112" s="2500" t="s">
        <v>786</v>
      </c>
      <c r="C112" s="2439" t="s">
        <v>787</v>
      </c>
      <c r="D112" s="1777"/>
      <c r="E112" s="2330"/>
      <c r="F112" s="2330"/>
      <c r="G112" s="2330"/>
      <c r="H112" s="1777" t="s">
        <v>785</v>
      </c>
      <c r="I112" s="2330" t="s">
        <v>170</v>
      </c>
      <c r="J112" s="2422"/>
      <c r="K112" s="2501" t="s">
        <v>782</v>
      </c>
      <c r="L112" s="2502">
        <v>23173</v>
      </c>
      <c r="M112" s="1777"/>
      <c r="N112" s="1777"/>
      <c r="O112" s="1779">
        <v>74.332999999999998</v>
      </c>
      <c r="P112" s="1777">
        <v>1</v>
      </c>
      <c r="Q112" s="1779">
        <f t="shared" si="24"/>
        <v>74.332999999999998</v>
      </c>
      <c r="R112" s="1777"/>
      <c r="S112" s="1779"/>
      <c r="T112" s="1779"/>
      <c r="U112" s="1779">
        <v>74.332999999999998</v>
      </c>
      <c r="V112" s="1777"/>
      <c r="W112" s="1777"/>
      <c r="X112" s="1780"/>
      <c r="Y112" s="1199"/>
      <c r="Z112" s="1199"/>
      <c r="AA112" s="1199"/>
      <c r="AB112" s="1199"/>
      <c r="AC112" s="1199"/>
      <c r="AD112" s="1199"/>
      <c r="AE112" s="1199"/>
      <c r="AF112" s="1199"/>
      <c r="AG112" s="547">
        <f t="shared" si="25"/>
        <v>74.332999999999998</v>
      </c>
    </row>
    <row r="113" spans="1:33" s="1826" customFormat="1" outlineLevel="2">
      <c r="A113" s="2330">
        <v>1223</v>
      </c>
      <c r="B113" s="2500" t="s">
        <v>786</v>
      </c>
      <c r="C113" s="2439" t="s">
        <v>787</v>
      </c>
      <c r="D113" s="1777"/>
      <c r="E113" s="2330"/>
      <c r="F113" s="2330"/>
      <c r="G113" s="2330"/>
      <c r="H113" s="1777" t="s">
        <v>785</v>
      </c>
      <c r="I113" s="2330" t="s">
        <v>170</v>
      </c>
      <c r="J113" s="2422"/>
      <c r="K113" s="2503" t="s">
        <v>415</v>
      </c>
      <c r="L113" s="2502">
        <v>23173</v>
      </c>
      <c r="M113" s="1777"/>
      <c r="N113" s="1777"/>
      <c r="O113" s="1779">
        <v>1666.6666666666667</v>
      </c>
      <c r="P113" s="1777">
        <v>1</v>
      </c>
      <c r="Q113" s="1779">
        <f t="shared" si="24"/>
        <v>1666.6666666666667</v>
      </c>
      <c r="R113" s="1777"/>
      <c r="S113" s="1779"/>
      <c r="T113" s="1779"/>
      <c r="U113" s="1779">
        <v>1666.6666666666667</v>
      </c>
      <c r="V113" s="1777"/>
      <c r="W113" s="1777"/>
      <c r="X113" s="1780"/>
      <c r="Y113" s="1199"/>
      <c r="Z113" s="1199"/>
      <c r="AA113" s="1199"/>
      <c r="AB113" s="1199"/>
      <c r="AC113" s="1199"/>
      <c r="AD113" s="1199"/>
      <c r="AE113" s="1199"/>
      <c r="AF113" s="1199"/>
      <c r="AG113" s="547">
        <f t="shared" si="25"/>
        <v>1666.6666666666667</v>
      </c>
    </row>
    <row r="114" spans="1:33" s="1826" customFormat="1" outlineLevel="2">
      <c r="A114" s="2330">
        <v>1224</v>
      </c>
      <c r="B114" s="2500" t="s">
        <v>788</v>
      </c>
      <c r="C114" s="2439" t="s">
        <v>789</v>
      </c>
      <c r="D114" s="1777"/>
      <c r="E114" s="2330">
        <v>1</v>
      </c>
      <c r="F114" s="2330">
        <v>43279</v>
      </c>
      <c r="G114" s="2330">
        <f>F114+E114-1</f>
        <v>43279</v>
      </c>
      <c r="H114" s="1777" t="s">
        <v>790</v>
      </c>
      <c r="I114" s="2330" t="s">
        <v>170</v>
      </c>
      <c r="J114" s="2422"/>
      <c r="K114" s="2503" t="s">
        <v>670</v>
      </c>
      <c r="L114" s="2502">
        <v>23173</v>
      </c>
      <c r="M114" s="1777"/>
      <c r="N114" s="1777"/>
      <c r="O114" s="1779">
        <v>666.66666666666663</v>
      </c>
      <c r="P114" s="1777">
        <v>1</v>
      </c>
      <c r="Q114" s="1779">
        <f t="shared" si="24"/>
        <v>666.66666666666663</v>
      </c>
      <c r="R114" s="1777"/>
      <c r="S114" s="1779"/>
      <c r="T114" s="1779"/>
      <c r="U114" s="1779">
        <v>666.66666666666663</v>
      </c>
      <c r="V114" s="1777"/>
      <c r="W114" s="1777"/>
      <c r="X114" s="1780"/>
      <c r="Y114" s="1199"/>
      <c r="Z114" s="1199"/>
      <c r="AA114" s="1199"/>
      <c r="AB114" s="1199"/>
      <c r="AC114" s="1199"/>
      <c r="AD114" s="1199"/>
      <c r="AE114" s="1199"/>
      <c r="AF114" s="1199"/>
      <c r="AG114" s="547">
        <f t="shared" si="25"/>
        <v>666.66666666666663</v>
      </c>
    </row>
    <row r="115" spans="1:33" s="1826" customFormat="1" outlineLevel="2">
      <c r="A115" s="2330">
        <v>1224</v>
      </c>
      <c r="B115" s="2500" t="s">
        <v>788</v>
      </c>
      <c r="C115" s="2439" t="s">
        <v>789</v>
      </c>
      <c r="D115" s="1777"/>
      <c r="E115" s="2330">
        <v>1</v>
      </c>
      <c r="F115" s="2330">
        <v>43279</v>
      </c>
      <c r="G115" s="2330">
        <f>F115+E115-1</f>
        <v>43279</v>
      </c>
      <c r="H115" s="1777" t="s">
        <v>790</v>
      </c>
      <c r="I115" s="2330" t="s">
        <v>170</v>
      </c>
      <c r="J115" s="2422"/>
      <c r="K115" s="2503" t="s">
        <v>415</v>
      </c>
      <c r="L115" s="2502">
        <v>23173</v>
      </c>
      <c r="M115" s="1777"/>
      <c r="N115" s="1777"/>
      <c r="O115" s="1779">
        <v>333.33333333333331</v>
      </c>
      <c r="P115" s="1777">
        <v>1</v>
      </c>
      <c r="Q115" s="1779">
        <f t="shared" si="24"/>
        <v>333.33333333333331</v>
      </c>
      <c r="R115" s="1777"/>
      <c r="S115" s="1779"/>
      <c r="T115" s="1779"/>
      <c r="U115" s="1779">
        <v>333.33333333333331</v>
      </c>
      <c r="V115" s="1777"/>
      <c r="W115" s="1777"/>
      <c r="X115" s="1780"/>
      <c r="Y115" s="1199"/>
      <c r="Z115" s="1199"/>
      <c r="AA115" s="1199"/>
      <c r="AB115" s="1199"/>
      <c r="AC115" s="1199"/>
      <c r="AD115" s="1199"/>
      <c r="AE115" s="1199"/>
      <c r="AF115" s="1199"/>
      <c r="AG115" s="547">
        <f t="shared" si="25"/>
        <v>333.33333333333331</v>
      </c>
    </row>
    <row r="116" spans="1:33" s="1826" customFormat="1" outlineLevel="2">
      <c r="A116" s="2330">
        <v>1224</v>
      </c>
      <c r="B116" s="2500" t="s">
        <v>788</v>
      </c>
      <c r="C116" s="2439" t="s">
        <v>789</v>
      </c>
      <c r="D116" s="1777"/>
      <c r="E116" s="2330">
        <v>1</v>
      </c>
      <c r="F116" s="2330">
        <v>43279</v>
      </c>
      <c r="G116" s="2330">
        <f>F116+E116-1</f>
        <v>43279</v>
      </c>
      <c r="H116" s="1777" t="s">
        <v>790</v>
      </c>
      <c r="I116" s="2330" t="s">
        <v>170</v>
      </c>
      <c r="J116" s="2422"/>
      <c r="K116" s="2503" t="s">
        <v>638</v>
      </c>
      <c r="L116" s="2502">
        <v>23173</v>
      </c>
      <c r="M116" s="1777"/>
      <c r="N116" s="1777"/>
      <c r="O116" s="1779">
        <v>216</v>
      </c>
      <c r="P116" s="1777">
        <v>1</v>
      </c>
      <c r="Q116" s="1779">
        <f t="shared" si="24"/>
        <v>216</v>
      </c>
      <c r="R116" s="1777"/>
      <c r="S116" s="1779"/>
      <c r="T116" s="1779"/>
      <c r="U116" s="1779">
        <v>216</v>
      </c>
      <c r="V116" s="1777"/>
      <c r="W116" s="1777"/>
      <c r="X116" s="1780"/>
      <c r="Y116" s="1199"/>
      <c r="Z116" s="1199"/>
      <c r="AA116" s="1199"/>
      <c r="AB116" s="1199"/>
      <c r="AC116" s="1199"/>
      <c r="AD116" s="1199"/>
      <c r="AE116" s="1199"/>
      <c r="AF116" s="1199"/>
      <c r="AG116" s="547">
        <f t="shared" si="25"/>
        <v>216</v>
      </c>
    </row>
    <row r="117" spans="1:33" s="1826" customFormat="1" outlineLevel="2">
      <c r="A117" s="2330">
        <v>1225</v>
      </c>
      <c r="B117" s="2500" t="s">
        <v>791</v>
      </c>
      <c r="C117" s="2439" t="s">
        <v>792</v>
      </c>
      <c r="D117" s="1777"/>
      <c r="E117" s="2330"/>
      <c r="F117" s="2330">
        <v>43283</v>
      </c>
      <c r="G117" s="2330"/>
      <c r="H117" s="1777" t="s">
        <v>793</v>
      </c>
      <c r="I117" s="2330" t="s">
        <v>170</v>
      </c>
      <c r="J117" s="2422"/>
      <c r="K117" s="2503" t="s">
        <v>794</v>
      </c>
      <c r="L117" s="2502">
        <v>23173</v>
      </c>
      <c r="M117" s="1777"/>
      <c r="N117" s="1777"/>
      <c r="O117" s="1779">
        <v>12705</v>
      </c>
      <c r="P117" s="1777">
        <v>1</v>
      </c>
      <c r="Q117" s="1779">
        <f t="shared" si="24"/>
        <v>12705</v>
      </c>
      <c r="R117" s="1777"/>
      <c r="S117" s="1779"/>
      <c r="T117" s="1779"/>
      <c r="U117" s="1779"/>
      <c r="V117" s="1779">
        <v>12705</v>
      </c>
      <c r="W117" s="1779"/>
      <c r="X117" s="1783"/>
      <c r="Y117" s="1743"/>
      <c r="Z117" s="1743"/>
      <c r="AA117" s="1743"/>
      <c r="AB117" s="1743"/>
      <c r="AC117" s="1743"/>
      <c r="AD117" s="1743"/>
      <c r="AE117" s="1743"/>
      <c r="AF117" s="1743"/>
      <c r="AG117" s="547">
        <f t="shared" si="25"/>
        <v>12705</v>
      </c>
    </row>
    <row r="118" spans="1:33" s="1826" customFormat="1" ht="31.5" outlineLevel="2">
      <c r="A118" s="2330">
        <v>1226</v>
      </c>
      <c r="B118" s="2500" t="s">
        <v>795</v>
      </c>
      <c r="C118" s="2439" t="s">
        <v>796</v>
      </c>
      <c r="D118" s="1777"/>
      <c r="E118" s="2330"/>
      <c r="F118" s="2330"/>
      <c r="G118" s="2330"/>
      <c r="H118" s="1777" t="s">
        <v>785</v>
      </c>
      <c r="I118" s="2330" t="s">
        <v>170</v>
      </c>
      <c r="J118" s="2422"/>
      <c r="K118" s="2503" t="s">
        <v>415</v>
      </c>
      <c r="L118" s="2438">
        <v>23173</v>
      </c>
      <c r="M118" s="1777"/>
      <c r="N118" s="1777"/>
      <c r="O118" s="1779">
        <v>833.33333333333337</v>
      </c>
      <c r="P118" s="1777">
        <v>1</v>
      </c>
      <c r="Q118" s="1779">
        <f t="shared" si="24"/>
        <v>833.33333333333337</v>
      </c>
      <c r="R118" s="1777"/>
      <c r="S118" s="1779"/>
      <c r="T118" s="1779"/>
      <c r="U118" s="1779"/>
      <c r="V118" s="1779">
        <v>833.33333333333337</v>
      </c>
      <c r="W118" s="1777"/>
      <c r="X118" s="1780"/>
      <c r="Y118" s="1199"/>
      <c r="Z118" s="1199"/>
      <c r="AA118" s="1199"/>
      <c r="AB118" s="1199"/>
      <c r="AC118" s="1199"/>
      <c r="AD118" s="1199"/>
      <c r="AE118" s="1199"/>
      <c r="AF118" s="1199"/>
      <c r="AG118" s="547">
        <f t="shared" si="25"/>
        <v>833.33333333333337</v>
      </c>
    </row>
    <row r="119" spans="1:33" s="1826" customFormat="1" ht="31.5" outlineLevel="2">
      <c r="A119" s="2330">
        <v>1226</v>
      </c>
      <c r="B119" s="2500" t="s">
        <v>795</v>
      </c>
      <c r="C119" s="2439" t="s">
        <v>796</v>
      </c>
      <c r="D119" s="1777"/>
      <c r="E119" s="2330"/>
      <c r="F119" s="2330"/>
      <c r="G119" s="2330"/>
      <c r="H119" s="1777" t="s">
        <v>785</v>
      </c>
      <c r="I119" s="2330" t="s">
        <v>170</v>
      </c>
      <c r="J119" s="2422"/>
      <c r="K119" s="2503" t="s">
        <v>804</v>
      </c>
      <c r="L119" s="2502">
        <v>23173</v>
      </c>
      <c r="M119" s="1777"/>
      <c r="N119" s="1777"/>
      <c r="O119" s="1779">
        <v>35.833333333333336</v>
      </c>
      <c r="P119" s="1777">
        <v>1</v>
      </c>
      <c r="Q119" s="1779">
        <f t="shared" si="24"/>
        <v>35.833333333333336</v>
      </c>
      <c r="R119" s="1777"/>
      <c r="S119" s="1779"/>
      <c r="T119" s="1779"/>
      <c r="U119" s="1779"/>
      <c r="V119" s="1779">
        <v>35.833333333333336</v>
      </c>
      <c r="W119" s="1777"/>
      <c r="X119" s="1780"/>
      <c r="Y119" s="1199"/>
      <c r="Z119" s="1199"/>
      <c r="AA119" s="1199"/>
      <c r="AB119" s="1199"/>
      <c r="AC119" s="1199"/>
      <c r="AD119" s="1199"/>
      <c r="AE119" s="1199"/>
      <c r="AF119" s="1199"/>
      <c r="AG119" s="547">
        <f t="shared" si="25"/>
        <v>35.833333333333336</v>
      </c>
    </row>
    <row r="120" spans="1:33" s="1826" customFormat="1" outlineLevel="2">
      <c r="A120" s="2330">
        <v>1227</v>
      </c>
      <c r="B120" s="2500" t="s">
        <v>805</v>
      </c>
      <c r="C120" s="2439" t="s">
        <v>806</v>
      </c>
      <c r="D120" s="1777"/>
      <c r="E120" s="2330"/>
      <c r="F120" s="2330">
        <v>43304</v>
      </c>
      <c r="G120" s="2330"/>
      <c r="H120" s="1777" t="s">
        <v>793</v>
      </c>
      <c r="I120" s="2330" t="s">
        <v>170</v>
      </c>
      <c r="J120" s="2422"/>
      <c r="K120" s="2503" t="s">
        <v>807</v>
      </c>
      <c r="L120" s="2502">
        <v>23173</v>
      </c>
      <c r="M120" s="1777"/>
      <c r="N120" s="1777"/>
      <c r="O120" s="1779">
        <v>1089</v>
      </c>
      <c r="P120" s="1777">
        <v>1</v>
      </c>
      <c r="Q120" s="1779">
        <f>P120*O120</f>
        <v>1089</v>
      </c>
      <c r="R120" s="1777"/>
      <c r="S120" s="1777"/>
      <c r="T120" s="1777"/>
      <c r="U120" s="1777"/>
      <c r="V120" s="1779">
        <v>1089</v>
      </c>
      <c r="W120" s="1777"/>
      <c r="X120" s="1780"/>
      <c r="Y120" s="1199"/>
      <c r="Z120" s="1199"/>
      <c r="AA120" s="1199"/>
      <c r="AB120" s="1199"/>
      <c r="AC120" s="1199"/>
      <c r="AD120" s="1199"/>
      <c r="AE120" s="1199"/>
      <c r="AF120" s="1199"/>
      <c r="AG120" s="547">
        <f t="shared" si="25"/>
        <v>1089</v>
      </c>
    </row>
    <row r="121" spans="1:33" s="1826" customFormat="1" outlineLevel="2">
      <c r="A121" s="2330">
        <v>1228</v>
      </c>
      <c r="B121" s="2500" t="s">
        <v>808</v>
      </c>
      <c r="C121" s="2439" t="s">
        <v>809</v>
      </c>
      <c r="D121" s="1777"/>
      <c r="E121" s="2330">
        <v>45</v>
      </c>
      <c r="F121" s="2330"/>
      <c r="G121" s="2330"/>
      <c r="H121" s="1777" t="s">
        <v>810</v>
      </c>
      <c r="I121" s="2330" t="s">
        <v>170</v>
      </c>
      <c r="J121" s="2422"/>
      <c r="K121" s="2503" t="s">
        <v>818</v>
      </c>
      <c r="L121" s="2502">
        <v>23173</v>
      </c>
      <c r="M121" s="1777"/>
      <c r="N121" s="1777"/>
      <c r="O121" s="1779">
        <v>205.625</v>
      </c>
      <c r="P121" s="1777">
        <v>1</v>
      </c>
      <c r="Q121" s="1779">
        <f>O121*P121</f>
        <v>205.625</v>
      </c>
      <c r="R121" s="1777"/>
      <c r="S121" s="1779"/>
      <c r="T121" s="1779"/>
      <c r="U121" s="1779"/>
      <c r="V121" s="1779">
        <v>205.625</v>
      </c>
      <c r="W121" s="1777"/>
      <c r="X121" s="1780"/>
      <c r="Y121" s="1199"/>
      <c r="Z121" s="1199"/>
      <c r="AA121" s="1199"/>
      <c r="AB121" s="1199"/>
      <c r="AC121" s="1199"/>
      <c r="AD121" s="1199"/>
      <c r="AE121" s="1199"/>
      <c r="AF121" s="1199"/>
      <c r="AG121" s="547">
        <f t="shared" si="25"/>
        <v>205.625</v>
      </c>
    </row>
    <row r="122" spans="1:33" s="1826" customFormat="1" outlineLevel="2">
      <c r="A122" s="2330">
        <v>1229</v>
      </c>
      <c r="B122" s="2500" t="s">
        <v>819</v>
      </c>
      <c r="C122" s="2439" t="s">
        <v>820</v>
      </c>
      <c r="D122" s="1777"/>
      <c r="E122" s="2330"/>
      <c r="F122" s="2330"/>
      <c r="G122" s="2330"/>
      <c r="H122" s="1777" t="s">
        <v>774</v>
      </c>
      <c r="I122" s="2330" t="s">
        <v>170</v>
      </c>
      <c r="J122" s="2422"/>
      <c r="K122" s="2501" t="s">
        <v>818</v>
      </c>
      <c r="L122" s="2502">
        <v>23173</v>
      </c>
      <c r="M122" s="1777"/>
      <c r="N122" s="1777"/>
      <c r="O122" s="1779">
        <v>534.88800000000003</v>
      </c>
      <c r="P122" s="1779">
        <v>1</v>
      </c>
      <c r="Q122" s="1779">
        <f>O122*P122</f>
        <v>534.88800000000003</v>
      </c>
      <c r="R122" s="1777"/>
      <c r="S122" s="1779"/>
      <c r="T122" s="1779"/>
      <c r="U122" s="1779"/>
      <c r="V122" s="1777"/>
      <c r="W122" s="1779">
        <v>534.88800000000003</v>
      </c>
      <c r="X122" s="1780"/>
      <c r="Y122" s="1199"/>
      <c r="Z122" s="1199"/>
      <c r="AA122" s="1199"/>
      <c r="AB122" s="1199"/>
      <c r="AC122" s="1199"/>
      <c r="AD122" s="1199"/>
      <c r="AE122" s="1199"/>
      <c r="AF122" s="1199"/>
      <c r="AG122" s="547">
        <f t="shared" si="25"/>
        <v>534.88800000000003</v>
      </c>
    </row>
    <row r="123" spans="1:33" s="1826" customFormat="1" outlineLevel="2">
      <c r="A123" s="2330">
        <v>1229</v>
      </c>
      <c r="B123" s="2500" t="s">
        <v>819</v>
      </c>
      <c r="C123" s="2439" t="s">
        <v>820</v>
      </c>
      <c r="D123" s="1777"/>
      <c r="E123" s="2330"/>
      <c r="F123" s="2330"/>
      <c r="G123" s="2330"/>
      <c r="H123" s="1777" t="s">
        <v>774</v>
      </c>
      <c r="I123" s="2330" t="s">
        <v>170</v>
      </c>
      <c r="J123" s="2422"/>
      <c r="K123" s="2503" t="s">
        <v>415</v>
      </c>
      <c r="L123" s="2502">
        <v>23173</v>
      </c>
      <c r="M123" s="1777"/>
      <c r="N123" s="1777"/>
      <c r="O123" s="1779">
        <v>1666.6666666666667</v>
      </c>
      <c r="P123" s="1777">
        <v>1</v>
      </c>
      <c r="Q123" s="1779">
        <f>O123*P123</f>
        <v>1666.6666666666667</v>
      </c>
      <c r="R123" s="1777"/>
      <c r="S123" s="1779"/>
      <c r="T123" s="1779"/>
      <c r="U123" s="1779"/>
      <c r="V123" s="1777"/>
      <c r="W123" s="1779">
        <v>1666.6666666666667</v>
      </c>
      <c r="X123" s="1780"/>
      <c r="Y123" s="1199"/>
      <c r="Z123" s="1199"/>
      <c r="AA123" s="1199"/>
      <c r="AB123" s="1199"/>
      <c r="AC123" s="1199"/>
      <c r="AD123" s="1199"/>
      <c r="AE123" s="1199"/>
      <c r="AF123" s="1199"/>
      <c r="AG123" s="547">
        <f t="shared" si="25"/>
        <v>1666.6666666666667</v>
      </c>
    </row>
    <row r="124" spans="1:33" s="1826" customFormat="1" outlineLevel="2">
      <c r="A124" s="2330">
        <v>1230</v>
      </c>
      <c r="B124" s="2500" t="s">
        <v>826</v>
      </c>
      <c r="C124" s="2439" t="s">
        <v>827</v>
      </c>
      <c r="D124" s="1777"/>
      <c r="E124" s="2330"/>
      <c r="F124" s="2330"/>
      <c r="G124" s="2330"/>
      <c r="H124" s="1777" t="s">
        <v>785</v>
      </c>
      <c r="I124" s="2330" t="s">
        <v>170</v>
      </c>
      <c r="J124" s="2422"/>
      <c r="K124" s="2501" t="s">
        <v>835</v>
      </c>
      <c r="L124" s="2502">
        <v>23173</v>
      </c>
      <c r="M124" s="1777"/>
      <c r="N124" s="1777"/>
      <c r="O124" s="1779">
        <v>30.331</v>
      </c>
      <c r="P124" s="1777">
        <v>1</v>
      </c>
      <c r="Q124" s="1779">
        <f>O124*P124</f>
        <v>30.331</v>
      </c>
      <c r="R124" s="1777"/>
      <c r="S124" s="1779"/>
      <c r="T124" s="1779"/>
      <c r="U124" s="1779"/>
      <c r="V124" s="1777"/>
      <c r="W124" s="1779">
        <v>30.331</v>
      </c>
      <c r="X124" s="1780"/>
      <c r="Y124" s="1199"/>
      <c r="Z124" s="1199"/>
      <c r="AA124" s="1199"/>
      <c r="AB124" s="1199"/>
      <c r="AC124" s="1199"/>
      <c r="AD124" s="1199"/>
      <c r="AE124" s="1199"/>
      <c r="AF124" s="1199"/>
      <c r="AG124" s="547">
        <f t="shared" si="25"/>
        <v>30.331</v>
      </c>
    </row>
    <row r="125" spans="1:33" s="1826" customFormat="1" outlineLevel="2">
      <c r="A125" s="2330">
        <v>1230</v>
      </c>
      <c r="B125" s="2500" t="s">
        <v>826</v>
      </c>
      <c r="C125" s="2439" t="s">
        <v>827</v>
      </c>
      <c r="D125" s="1777"/>
      <c r="E125" s="2330"/>
      <c r="F125" s="2330"/>
      <c r="G125" s="2330"/>
      <c r="H125" s="1777" t="s">
        <v>785</v>
      </c>
      <c r="I125" s="2330" t="s">
        <v>170</v>
      </c>
      <c r="J125" s="2422"/>
      <c r="K125" s="2503" t="s">
        <v>415</v>
      </c>
      <c r="L125" s="2502">
        <v>23173</v>
      </c>
      <c r="M125" s="1777"/>
      <c r="N125" s="1777"/>
      <c r="O125" s="1779">
        <v>833.33333333333337</v>
      </c>
      <c r="P125" s="1777">
        <v>1</v>
      </c>
      <c r="Q125" s="1779">
        <f>O125*P125</f>
        <v>833.33333333333337</v>
      </c>
      <c r="R125" s="1777"/>
      <c r="S125" s="1779"/>
      <c r="T125" s="1779"/>
      <c r="U125" s="1779"/>
      <c r="V125" s="1777"/>
      <c r="W125" s="1779">
        <v>833.33333333333337</v>
      </c>
      <c r="X125" s="1780"/>
      <c r="Y125" s="1199"/>
      <c r="Z125" s="1199"/>
      <c r="AA125" s="1199"/>
      <c r="AB125" s="1199"/>
      <c r="AC125" s="1199"/>
      <c r="AD125" s="1199"/>
      <c r="AE125" s="1199"/>
      <c r="AF125" s="1199"/>
      <c r="AG125" s="547">
        <f t="shared" si="25"/>
        <v>833.33333333333337</v>
      </c>
    </row>
    <row r="126" spans="1:33" s="1826" customFormat="1" outlineLevel="2">
      <c r="A126" s="2330">
        <v>2111</v>
      </c>
      <c r="B126" s="2500" t="s">
        <v>59</v>
      </c>
      <c r="C126" s="2439" t="s">
        <v>293</v>
      </c>
      <c r="D126" s="1777"/>
      <c r="E126" s="2330">
        <v>5</v>
      </c>
      <c r="F126" s="2330">
        <v>43221</v>
      </c>
      <c r="G126" s="2330">
        <f t="shared" ref="G126:G150" si="26">+E126+F126</f>
        <v>43226</v>
      </c>
      <c r="H126" s="2330" t="s">
        <v>294</v>
      </c>
      <c r="I126" s="2330" t="s">
        <v>171</v>
      </c>
      <c r="J126" s="2422" t="s">
        <v>295</v>
      </c>
      <c r="K126" s="2503" t="s">
        <v>301</v>
      </c>
      <c r="L126" s="2330">
        <v>23173</v>
      </c>
      <c r="M126" s="1777"/>
      <c r="N126" s="2330"/>
      <c r="O126" s="962">
        <v>166.66666666666666</v>
      </c>
      <c r="P126" s="2330">
        <v>3</v>
      </c>
      <c r="Q126" s="800">
        <f>+O126*P126</f>
        <v>500</v>
      </c>
      <c r="R126" s="800"/>
      <c r="S126" s="800"/>
      <c r="T126" s="800"/>
      <c r="U126" s="800">
        <v>500</v>
      </c>
      <c r="V126" s="800"/>
      <c r="W126" s="800"/>
      <c r="X126" s="1142"/>
      <c r="Y126" s="1127"/>
      <c r="Z126" s="2328"/>
      <c r="AA126" s="2328"/>
      <c r="AB126" s="2328"/>
      <c r="AC126" s="1199"/>
      <c r="AD126" s="1199"/>
      <c r="AE126" s="1199"/>
      <c r="AF126" s="1199"/>
      <c r="AG126" s="547">
        <f t="shared" si="25"/>
        <v>500</v>
      </c>
    </row>
    <row r="127" spans="1:33" s="1826" customFormat="1" outlineLevel="2">
      <c r="A127" s="2330">
        <v>2111</v>
      </c>
      <c r="B127" s="2500" t="s">
        <v>59</v>
      </c>
      <c r="C127" s="2439" t="s">
        <v>293</v>
      </c>
      <c r="D127" s="1777"/>
      <c r="E127" s="2330">
        <v>5</v>
      </c>
      <c r="F127" s="2330">
        <v>43221</v>
      </c>
      <c r="G127" s="2330">
        <f t="shared" si="26"/>
        <v>43226</v>
      </c>
      <c r="H127" s="2330" t="s">
        <v>294</v>
      </c>
      <c r="I127" s="2330" t="s">
        <v>171</v>
      </c>
      <c r="J127" s="2422" t="s">
        <v>295</v>
      </c>
      <c r="K127" s="2503" t="s">
        <v>302</v>
      </c>
      <c r="L127" s="2330">
        <v>23173</v>
      </c>
      <c r="M127" s="1777"/>
      <c r="N127" s="2330"/>
      <c r="O127" s="962">
        <v>343.66666666666669</v>
      </c>
      <c r="P127" s="2330">
        <v>3</v>
      </c>
      <c r="Q127" s="800">
        <f>+O127*P127</f>
        <v>1031</v>
      </c>
      <c r="R127" s="800"/>
      <c r="S127" s="800"/>
      <c r="T127" s="800"/>
      <c r="U127" s="800">
        <v>1031</v>
      </c>
      <c r="V127" s="800"/>
      <c r="W127" s="800"/>
      <c r="X127" s="1142"/>
      <c r="Y127" s="1127"/>
      <c r="Z127" s="2328"/>
      <c r="AA127" s="2328"/>
      <c r="AB127" s="2328"/>
      <c r="AC127" s="1199"/>
      <c r="AD127" s="1199"/>
      <c r="AE127" s="1199"/>
      <c r="AF127" s="1199"/>
      <c r="AG127" s="547">
        <f t="shared" si="25"/>
        <v>1031</v>
      </c>
    </row>
    <row r="128" spans="1:33" s="1826" customFormat="1" outlineLevel="2">
      <c r="A128" s="2330">
        <v>2121</v>
      </c>
      <c r="B128" s="2500" t="s">
        <v>60</v>
      </c>
      <c r="C128" s="2439" t="s">
        <v>307</v>
      </c>
      <c r="D128" s="1777"/>
      <c r="E128" s="2330">
        <v>2</v>
      </c>
      <c r="F128" s="2330">
        <v>43227</v>
      </c>
      <c r="G128" s="2330">
        <f t="shared" si="26"/>
        <v>43229</v>
      </c>
      <c r="H128" s="2330" t="s">
        <v>294</v>
      </c>
      <c r="I128" s="2330" t="s">
        <v>171</v>
      </c>
      <c r="J128" s="2422" t="s">
        <v>295</v>
      </c>
      <c r="K128" s="2503" t="s">
        <v>308</v>
      </c>
      <c r="L128" s="2330">
        <v>23173</v>
      </c>
      <c r="M128" s="1777"/>
      <c r="N128" s="2330"/>
      <c r="O128" s="2279">
        <v>270</v>
      </c>
      <c r="P128" s="2330">
        <v>1</v>
      </c>
      <c r="Q128" s="800">
        <v>90</v>
      </c>
      <c r="R128" s="800"/>
      <c r="S128" s="800"/>
      <c r="T128" s="800"/>
      <c r="U128" s="800">
        <v>90</v>
      </c>
      <c r="V128" s="800"/>
      <c r="W128" s="800"/>
      <c r="X128" s="1142"/>
      <c r="Y128" s="1127"/>
      <c r="Z128" s="2328"/>
      <c r="AA128" s="2328"/>
      <c r="AB128" s="2328"/>
      <c r="AC128" s="1199"/>
      <c r="AD128" s="1199"/>
      <c r="AE128" s="1199"/>
      <c r="AF128" s="1199"/>
      <c r="AG128" s="547">
        <f t="shared" si="25"/>
        <v>90</v>
      </c>
    </row>
    <row r="129" spans="1:33" s="1826" customFormat="1" outlineLevel="2">
      <c r="A129" s="2330">
        <v>2121</v>
      </c>
      <c r="B129" s="2500" t="s">
        <v>60</v>
      </c>
      <c r="C129" s="2439" t="s">
        <v>307</v>
      </c>
      <c r="D129" s="1777"/>
      <c r="E129" s="2330">
        <v>2</v>
      </c>
      <c r="F129" s="2330">
        <v>43227</v>
      </c>
      <c r="G129" s="2330">
        <f t="shared" si="26"/>
        <v>43229</v>
      </c>
      <c r="H129" s="2330" t="s">
        <v>294</v>
      </c>
      <c r="I129" s="2330" t="s">
        <v>171</v>
      </c>
      <c r="J129" s="2422" t="s">
        <v>295</v>
      </c>
      <c r="K129" s="2503" t="s">
        <v>309</v>
      </c>
      <c r="L129" s="2330">
        <v>23173</v>
      </c>
      <c r="M129" s="1777"/>
      <c r="N129" s="2330"/>
      <c r="O129" s="2279">
        <v>1260</v>
      </c>
      <c r="P129" s="2330">
        <v>1</v>
      </c>
      <c r="Q129" s="800">
        <v>420</v>
      </c>
      <c r="R129" s="800"/>
      <c r="S129" s="800"/>
      <c r="T129" s="800"/>
      <c r="U129" s="800">
        <v>420</v>
      </c>
      <c r="V129" s="800"/>
      <c r="W129" s="800"/>
      <c r="X129" s="1142"/>
      <c r="Y129" s="1127"/>
      <c r="Z129" s="2328"/>
      <c r="AA129" s="2328"/>
      <c r="AB129" s="2328"/>
      <c r="AC129" s="1199"/>
      <c r="AD129" s="1199"/>
      <c r="AE129" s="1199"/>
      <c r="AF129" s="1199"/>
      <c r="AG129" s="547">
        <f t="shared" si="25"/>
        <v>420</v>
      </c>
    </row>
    <row r="130" spans="1:33" s="1826" customFormat="1" outlineLevel="2">
      <c r="A130" s="2330">
        <v>2121</v>
      </c>
      <c r="B130" s="2500" t="s">
        <v>60</v>
      </c>
      <c r="C130" s="2439" t="s">
        <v>307</v>
      </c>
      <c r="D130" s="1777"/>
      <c r="E130" s="2330">
        <v>2</v>
      </c>
      <c r="F130" s="2330">
        <v>43227</v>
      </c>
      <c r="G130" s="2330">
        <f t="shared" si="26"/>
        <v>43229</v>
      </c>
      <c r="H130" s="2330" t="s">
        <v>294</v>
      </c>
      <c r="I130" s="2330" t="s">
        <v>171</v>
      </c>
      <c r="J130" s="2422" t="s">
        <v>295</v>
      </c>
      <c r="K130" s="2503" t="s">
        <v>301</v>
      </c>
      <c r="L130" s="2330">
        <v>23173</v>
      </c>
      <c r="M130" s="1777"/>
      <c r="N130" s="2330"/>
      <c r="O130" s="2279">
        <v>900</v>
      </c>
      <c r="P130" s="2330">
        <v>1</v>
      </c>
      <c r="Q130" s="800">
        <v>300</v>
      </c>
      <c r="R130" s="800"/>
      <c r="S130" s="800"/>
      <c r="T130" s="800"/>
      <c r="U130" s="800">
        <v>300</v>
      </c>
      <c r="V130" s="800"/>
      <c r="W130" s="800"/>
      <c r="X130" s="1142"/>
      <c r="Y130" s="1127"/>
      <c r="Z130" s="2328"/>
      <c r="AA130" s="2328"/>
      <c r="AB130" s="2328"/>
      <c r="AC130" s="1199"/>
      <c r="AD130" s="1199"/>
      <c r="AE130" s="1199"/>
      <c r="AF130" s="1199"/>
      <c r="AG130" s="547">
        <f t="shared" si="25"/>
        <v>300</v>
      </c>
    </row>
    <row r="131" spans="1:33" s="1826" customFormat="1" outlineLevel="2">
      <c r="A131" s="2330">
        <v>2121</v>
      </c>
      <c r="B131" s="2500" t="s">
        <v>60</v>
      </c>
      <c r="C131" s="2439" t="s">
        <v>307</v>
      </c>
      <c r="D131" s="1777"/>
      <c r="E131" s="2330">
        <v>2</v>
      </c>
      <c r="F131" s="2330">
        <v>43227</v>
      </c>
      <c r="G131" s="2330">
        <f t="shared" si="26"/>
        <v>43229</v>
      </c>
      <c r="H131" s="2330" t="s">
        <v>294</v>
      </c>
      <c r="I131" s="2330" t="s">
        <v>171</v>
      </c>
      <c r="J131" s="2422" t="s">
        <v>295</v>
      </c>
      <c r="K131" s="2504" t="s">
        <v>312</v>
      </c>
      <c r="L131" s="2330">
        <v>23173</v>
      </c>
      <c r="M131" s="1777"/>
      <c r="N131" s="2330"/>
      <c r="O131" s="2279">
        <v>300</v>
      </c>
      <c r="P131" s="2330">
        <v>1</v>
      </c>
      <c r="Q131" s="800">
        <v>100</v>
      </c>
      <c r="R131" s="800"/>
      <c r="S131" s="800"/>
      <c r="T131" s="800"/>
      <c r="U131" s="800">
        <v>100</v>
      </c>
      <c r="V131" s="800"/>
      <c r="W131" s="800"/>
      <c r="X131" s="1142"/>
      <c r="Y131" s="1127"/>
      <c r="Z131" s="2328"/>
      <c r="AA131" s="2328"/>
      <c r="AB131" s="2328"/>
      <c r="AC131" s="1199"/>
      <c r="AD131" s="1199"/>
      <c r="AE131" s="1199"/>
      <c r="AF131" s="1199"/>
      <c r="AG131" s="547">
        <f t="shared" si="25"/>
        <v>100</v>
      </c>
    </row>
    <row r="132" spans="1:33" s="1826" customFormat="1" outlineLevel="2">
      <c r="A132" s="2330">
        <v>2121</v>
      </c>
      <c r="B132" s="2500" t="s">
        <v>60</v>
      </c>
      <c r="C132" s="2439" t="s">
        <v>307</v>
      </c>
      <c r="D132" s="1777"/>
      <c r="E132" s="2330">
        <v>2</v>
      </c>
      <c r="F132" s="2330">
        <v>43227</v>
      </c>
      <c r="G132" s="2330">
        <f t="shared" si="26"/>
        <v>43229</v>
      </c>
      <c r="H132" s="2330" t="s">
        <v>294</v>
      </c>
      <c r="I132" s="2330" t="s">
        <v>171</v>
      </c>
      <c r="J132" s="2422" t="s">
        <v>295</v>
      </c>
      <c r="K132" s="2503" t="s">
        <v>302</v>
      </c>
      <c r="L132" s="2330">
        <v>23173</v>
      </c>
      <c r="M132" s="1777"/>
      <c r="N132" s="2330"/>
      <c r="O132" s="2279">
        <v>713</v>
      </c>
      <c r="P132" s="2330">
        <v>1</v>
      </c>
      <c r="Q132" s="800">
        <v>237.66666666666666</v>
      </c>
      <c r="R132" s="800"/>
      <c r="S132" s="800"/>
      <c r="T132" s="800"/>
      <c r="U132" s="800">
        <v>237.66666666666666</v>
      </c>
      <c r="V132" s="800"/>
      <c r="W132" s="800"/>
      <c r="X132" s="1142"/>
      <c r="Y132" s="1127"/>
      <c r="Z132" s="2328"/>
      <c r="AA132" s="2328"/>
      <c r="AB132" s="2328"/>
      <c r="AC132" s="1199"/>
      <c r="AD132" s="1199"/>
      <c r="AE132" s="1199"/>
      <c r="AF132" s="1199"/>
      <c r="AG132" s="547">
        <f t="shared" si="25"/>
        <v>237.66666666666666</v>
      </c>
    </row>
    <row r="133" spans="1:33" s="1826" customFormat="1" ht="31.5" outlineLevel="2">
      <c r="A133" s="2330">
        <v>2124</v>
      </c>
      <c r="B133" s="2500" t="s">
        <v>318</v>
      </c>
      <c r="C133" s="2419" t="s">
        <v>319</v>
      </c>
      <c r="D133" s="1777"/>
      <c r="E133" s="2330">
        <v>15</v>
      </c>
      <c r="F133" s="2330">
        <v>43283</v>
      </c>
      <c r="G133" s="2330">
        <f t="shared" si="26"/>
        <v>43298</v>
      </c>
      <c r="H133" s="2330" t="s">
        <v>294</v>
      </c>
      <c r="I133" s="2330" t="s">
        <v>171</v>
      </c>
      <c r="J133" s="2422" t="s">
        <v>295</v>
      </c>
      <c r="K133" s="2505" t="s">
        <v>320</v>
      </c>
      <c r="L133" s="2330">
        <v>23173</v>
      </c>
      <c r="M133" s="1777"/>
      <c r="N133" s="2330"/>
      <c r="O133" s="962">
        <v>16666.666666666668</v>
      </c>
      <c r="P133" s="962">
        <v>0.5</v>
      </c>
      <c r="Q133" s="800">
        <f t="shared" ref="Q133:Q150" si="27">+O133*P133</f>
        <v>8333.3333333333339</v>
      </c>
      <c r="R133" s="800"/>
      <c r="S133" s="800"/>
      <c r="T133" s="800"/>
      <c r="U133" s="800"/>
      <c r="V133" s="800"/>
      <c r="W133" s="800">
        <v>8333.3333333333339</v>
      </c>
      <c r="X133" s="1142"/>
      <c r="Y133" s="1127"/>
      <c r="Z133" s="2328"/>
      <c r="AA133" s="2328"/>
      <c r="AB133" s="2328"/>
      <c r="AC133" s="1199"/>
      <c r="AD133" s="1199"/>
      <c r="AE133" s="1199"/>
      <c r="AF133" s="1199"/>
      <c r="AG133" s="547">
        <f t="shared" si="25"/>
        <v>8333.3333333333339</v>
      </c>
    </row>
    <row r="134" spans="1:33" s="1826" customFormat="1" ht="47.25" outlineLevel="2">
      <c r="A134" s="2330">
        <v>2131</v>
      </c>
      <c r="B134" s="2500" t="s">
        <v>62</v>
      </c>
      <c r="C134" s="2419" t="s">
        <v>324</v>
      </c>
      <c r="D134" s="1777"/>
      <c r="E134" s="2330">
        <v>1</v>
      </c>
      <c r="F134" s="2330">
        <v>43304</v>
      </c>
      <c r="G134" s="2330">
        <f t="shared" si="26"/>
        <v>43305</v>
      </c>
      <c r="H134" s="2330" t="s">
        <v>294</v>
      </c>
      <c r="I134" s="2330" t="s">
        <v>171</v>
      </c>
      <c r="J134" s="2422" t="s">
        <v>295</v>
      </c>
      <c r="K134" s="2506" t="s">
        <v>312</v>
      </c>
      <c r="L134" s="2423">
        <v>23173</v>
      </c>
      <c r="M134" s="1777"/>
      <c r="N134" s="2330"/>
      <c r="O134" s="962">
        <v>10</v>
      </c>
      <c r="P134" s="2436">
        <v>60</v>
      </c>
      <c r="Q134" s="800">
        <f t="shared" si="27"/>
        <v>600</v>
      </c>
      <c r="R134" s="800"/>
      <c r="S134" s="800"/>
      <c r="T134" s="800"/>
      <c r="U134" s="800"/>
      <c r="V134" s="800"/>
      <c r="W134" s="800">
        <v>300</v>
      </c>
      <c r="X134" s="1142">
        <v>300</v>
      </c>
      <c r="Y134" s="1127"/>
      <c r="Z134" s="2328"/>
      <c r="AA134" s="2328"/>
      <c r="AB134" s="2328"/>
      <c r="AC134" s="1199"/>
      <c r="AD134" s="1199"/>
      <c r="AE134" s="1199"/>
      <c r="AF134" s="1199"/>
      <c r="AG134" s="547">
        <f t="shared" si="25"/>
        <v>600</v>
      </c>
    </row>
    <row r="135" spans="1:33" s="1826" customFormat="1" outlineLevel="2">
      <c r="A135" s="2330">
        <v>2133</v>
      </c>
      <c r="B135" s="2500" t="s">
        <v>64</v>
      </c>
      <c r="C135" s="2463" t="s">
        <v>330</v>
      </c>
      <c r="D135" s="1777"/>
      <c r="E135" s="2330">
        <v>2</v>
      </c>
      <c r="F135" s="2330">
        <v>43325</v>
      </c>
      <c r="G135" s="2330">
        <f t="shared" si="26"/>
        <v>43327</v>
      </c>
      <c r="H135" s="2330" t="s">
        <v>294</v>
      </c>
      <c r="I135" s="2330" t="s">
        <v>171</v>
      </c>
      <c r="J135" s="2422" t="s">
        <v>295</v>
      </c>
      <c r="K135" s="2507" t="s">
        <v>301</v>
      </c>
      <c r="L135" s="2330">
        <v>23173</v>
      </c>
      <c r="M135" s="2330"/>
      <c r="N135" s="2330"/>
      <c r="O135" s="962">
        <v>33.333333333333336</v>
      </c>
      <c r="P135" s="2436">
        <v>3</v>
      </c>
      <c r="Q135" s="800">
        <f t="shared" si="27"/>
        <v>100</v>
      </c>
      <c r="R135" s="800"/>
      <c r="S135" s="800"/>
      <c r="T135" s="800"/>
      <c r="U135" s="800"/>
      <c r="V135" s="800"/>
      <c r="W135" s="800"/>
      <c r="X135" s="1142">
        <v>100</v>
      </c>
      <c r="Y135" s="1127"/>
      <c r="Z135" s="2328"/>
      <c r="AA135" s="2328"/>
      <c r="AB135" s="2328"/>
      <c r="AC135" s="1199"/>
      <c r="AD135" s="1199"/>
      <c r="AE135" s="1199"/>
      <c r="AF135" s="1199"/>
      <c r="AG135" s="547">
        <f t="shared" si="25"/>
        <v>100</v>
      </c>
    </row>
    <row r="136" spans="1:33" s="1826" customFormat="1" outlineLevel="2">
      <c r="A136" s="2330">
        <v>2133</v>
      </c>
      <c r="B136" s="2500" t="s">
        <v>64</v>
      </c>
      <c r="C136" s="2463" t="s">
        <v>330</v>
      </c>
      <c r="D136" s="1777"/>
      <c r="E136" s="2330">
        <v>2</v>
      </c>
      <c r="F136" s="2330">
        <v>43325</v>
      </c>
      <c r="G136" s="2330">
        <f t="shared" si="26"/>
        <v>43327</v>
      </c>
      <c r="H136" s="2330" t="s">
        <v>294</v>
      </c>
      <c r="I136" s="2330" t="s">
        <v>171</v>
      </c>
      <c r="J136" s="2422" t="s">
        <v>295</v>
      </c>
      <c r="K136" s="2508" t="s">
        <v>302</v>
      </c>
      <c r="L136" s="2330">
        <v>23173</v>
      </c>
      <c r="M136" s="2330"/>
      <c r="N136" s="2330"/>
      <c r="O136" s="962">
        <v>237.66666666666666</v>
      </c>
      <c r="P136" s="2436">
        <v>3</v>
      </c>
      <c r="Q136" s="800">
        <f t="shared" si="27"/>
        <v>713</v>
      </c>
      <c r="R136" s="800"/>
      <c r="S136" s="800"/>
      <c r="T136" s="800"/>
      <c r="U136" s="800"/>
      <c r="V136" s="800"/>
      <c r="W136" s="800"/>
      <c r="X136" s="1142">
        <v>713</v>
      </c>
      <c r="Y136" s="1127"/>
      <c r="Z136" s="2328"/>
      <c r="AA136" s="2328"/>
      <c r="AB136" s="2328"/>
      <c r="AC136" s="1199"/>
      <c r="AD136" s="1199"/>
      <c r="AE136" s="1199"/>
      <c r="AF136" s="1199"/>
      <c r="AG136" s="547">
        <f t="shared" si="25"/>
        <v>713</v>
      </c>
    </row>
    <row r="137" spans="1:33" s="1826" customFormat="1" outlineLevel="2">
      <c r="A137" s="2330">
        <v>2141</v>
      </c>
      <c r="B137" s="2509" t="s">
        <v>341</v>
      </c>
      <c r="C137" s="2419" t="s">
        <v>342</v>
      </c>
      <c r="D137" s="1777"/>
      <c r="E137" s="2330">
        <v>5</v>
      </c>
      <c r="F137" s="2330">
        <v>43227</v>
      </c>
      <c r="G137" s="2330">
        <f t="shared" si="26"/>
        <v>43232</v>
      </c>
      <c r="H137" s="2330" t="s">
        <v>294</v>
      </c>
      <c r="I137" s="2330" t="s">
        <v>171</v>
      </c>
      <c r="J137" s="2422" t="s">
        <v>295</v>
      </c>
      <c r="K137" s="1741" t="s">
        <v>343</v>
      </c>
      <c r="L137" s="2330">
        <v>23173</v>
      </c>
      <c r="M137" s="2330"/>
      <c r="N137" s="2330"/>
      <c r="O137" s="962">
        <v>770</v>
      </c>
      <c r="P137" s="2510">
        <v>2</v>
      </c>
      <c r="Q137" s="800">
        <f t="shared" si="27"/>
        <v>1540</v>
      </c>
      <c r="R137" s="800"/>
      <c r="S137" s="800"/>
      <c r="T137" s="800"/>
      <c r="U137" s="800">
        <v>1540</v>
      </c>
      <c r="V137" s="800"/>
      <c r="W137" s="800"/>
      <c r="X137" s="1142"/>
      <c r="Y137" s="1127"/>
      <c r="Z137" s="2328"/>
      <c r="AA137" s="2328"/>
      <c r="AB137" s="2328"/>
      <c r="AC137" s="1199"/>
      <c r="AD137" s="1199"/>
      <c r="AE137" s="1199"/>
      <c r="AF137" s="1199"/>
      <c r="AG137" s="547">
        <f t="shared" si="25"/>
        <v>1540</v>
      </c>
    </row>
    <row r="138" spans="1:33" s="1826" customFormat="1" outlineLevel="2">
      <c r="A138" s="2330">
        <v>2141</v>
      </c>
      <c r="B138" s="2509" t="s">
        <v>341</v>
      </c>
      <c r="C138" s="2419" t="s">
        <v>342</v>
      </c>
      <c r="D138" s="1777"/>
      <c r="E138" s="2330">
        <v>5</v>
      </c>
      <c r="F138" s="2330">
        <v>43227</v>
      </c>
      <c r="G138" s="2330">
        <f t="shared" si="26"/>
        <v>43232</v>
      </c>
      <c r="H138" s="2330" t="s">
        <v>294</v>
      </c>
      <c r="I138" s="2330" t="s">
        <v>171</v>
      </c>
      <c r="J138" s="2422" t="s">
        <v>295</v>
      </c>
      <c r="K138" s="2274" t="s">
        <v>344</v>
      </c>
      <c r="L138" s="2330">
        <v>23173</v>
      </c>
      <c r="M138" s="2330"/>
      <c r="N138" s="2330"/>
      <c r="O138" s="962">
        <v>165</v>
      </c>
      <c r="P138" s="2510">
        <v>2</v>
      </c>
      <c r="Q138" s="800">
        <f t="shared" si="27"/>
        <v>330</v>
      </c>
      <c r="R138" s="800"/>
      <c r="S138" s="800"/>
      <c r="T138" s="800"/>
      <c r="U138" s="800">
        <v>330</v>
      </c>
      <c r="V138" s="800"/>
      <c r="W138" s="800"/>
      <c r="X138" s="1142"/>
      <c r="Y138" s="1127"/>
      <c r="Z138" s="2328"/>
      <c r="AA138" s="2328"/>
      <c r="AB138" s="2328"/>
      <c r="AC138" s="1199"/>
      <c r="AD138" s="1199"/>
      <c r="AE138" s="1199"/>
      <c r="AF138" s="1199"/>
      <c r="AG138" s="547">
        <f t="shared" si="25"/>
        <v>330</v>
      </c>
    </row>
    <row r="139" spans="1:33" s="1826" customFormat="1" outlineLevel="2">
      <c r="A139" s="2330">
        <v>2141</v>
      </c>
      <c r="B139" s="2509" t="s">
        <v>341</v>
      </c>
      <c r="C139" s="2419" t="s">
        <v>342</v>
      </c>
      <c r="D139" s="1777"/>
      <c r="E139" s="2330">
        <v>5</v>
      </c>
      <c r="F139" s="2330">
        <v>43227</v>
      </c>
      <c r="G139" s="2330">
        <f t="shared" si="26"/>
        <v>43232</v>
      </c>
      <c r="H139" s="2330" t="s">
        <v>294</v>
      </c>
      <c r="I139" s="2330" t="s">
        <v>171</v>
      </c>
      <c r="J139" s="2422" t="s">
        <v>295</v>
      </c>
      <c r="K139" s="2270" t="s">
        <v>301</v>
      </c>
      <c r="L139" s="2423">
        <v>23173</v>
      </c>
      <c r="M139" s="2330"/>
      <c r="N139" s="2330"/>
      <c r="O139" s="962">
        <v>500</v>
      </c>
      <c r="P139" s="2510">
        <v>2</v>
      </c>
      <c r="Q139" s="800">
        <f t="shared" si="27"/>
        <v>1000</v>
      </c>
      <c r="R139" s="800"/>
      <c r="S139" s="800"/>
      <c r="T139" s="800"/>
      <c r="U139" s="800">
        <v>1000</v>
      </c>
      <c r="V139" s="800"/>
      <c r="W139" s="800"/>
      <c r="X139" s="1142"/>
      <c r="Y139" s="1127"/>
      <c r="Z139" s="2328"/>
      <c r="AA139" s="2328"/>
      <c r="AB139" s="2328"/>
      <c r="AC139" s="1199"/>
      <c r="AD139" s="1199"/>
      <c r="AE139" s="1199"/>
      <c r="AF139" s="1199"/>
      <c r="AG139" s="547">
        <f t="shared" si="25"/>
        <v>1000</v>
      </c>
    </row>
    <row r="140" spans="1:33" s="1826" customFormat="1" outlineLevel="2">
      <c r="A140" s="2330">
        <v>2141</v>
      </c>
      <c r="B140" s="2509" t="s">
        <v>341</v>
      </c>
      <c r="C140" s="2419" t="s">
        <v>342</v>
      </c>
      <c r="D140" s="1777"/>
      <c r="E140" s="2330">
        <v>5</v>
      </c>
      <c r="F140" s="2330">
        <v>43227</v>
      </c>
      <c r="G140" s="2330">
        <f t="shared" si="26"/>
        <v>43232</v>
      </c>
      <c r="H140" s="2330" t="s">
        <v>294</v>
      </c>
      <c r="I140" s="2330" t="s">
        <v>171</v>
      </c>
      <c r="J140" s="2422" t="s">
        <v>295</v>
      </c>
      <c r="K140" s="1741" t="s">
        <v>302</v>
      </c>
      <c r="L140" s="2330">
        <v>23173</v>
      </c>
      <c r="M140" s="1777"/>
      <c r="N140" s="2330"/>
      <c r="O140" s="962">
        <v>677</v>
      </c>
      <c r="P140" s="2510">
        <v>2</v>
      </c>
      <c r="Q140" s="800">
        <f t="shared" si="27"/>
        <v>1354</v>
      </c>
      <c r="R140" s="800"/>
      <c r="S140" s="800"/>
      <c r="T140" s="800"/>
      <c r="U140" s="800">
        <v>1354</v>
      </c>
      <c r="V140" s="800"/>
      <c r="W140" s="800"/>
      <c r="X140" s="1142"/>
      <c r="Y140" s="1127"/>
      <c r="Z140" s="2328"/>
      <c r="AA140" s="2328"/>
      <c r="AB140" s="2328"/>
      <c r="AC140" s="1199"/>
      <c r="AD140" s="1199"/>
      <c r="AE140" s="1199"/>
      <c r="AF140" s="1199"/>
      <c r="AG140" s="547">
        <f t="shared" si="25"/>
        <v>1354</v>
      </c>
    </row>
    <row r="141" spans="1:33" s="1826" customFormat="1" outlineLevel="2">
      <c r="A141" s="2330">
        <v>2142</v>
      </c>
      <c r="B141" s="2509" t="s">
        <v>347</v>
      </c>
      <c r="C141" s="2463" t="s">
        <v>348</v>
      </c>
      <c r="D141" s="1777"/>
      <c r="E141" s="2330">
        <v>10</v>
      </c>
      <c r="F141" s="2330">
        <v>43283</v>
      </c>
      <c r="G141" s="2330">
        <f t="shared" si="26"/>
        <v>43293</v>
      </c>
      <c r="H141" s="2330" t="s">
        <v>294</v>
      </c>
      <c r="I141" s="2330" t="s">
        <v>171</v>
      </c>
      <c r="J141" s="2422" t="s">
        <v>295</v>
      </c>
      <c r="K141" s="2273" t="s">
        <v>301</v>
      </c>
      <c r="L141" s="2330">
        <v>23173</v>
      </c>
      <c r="M141" s="1777"/>
      <c r="N141" s="2330"/>
      <c r="O141" s="962">
        <v>166.66666666666666</v>
      </c>
      <c r="P141" s="2330">
        <v>4</v>
      </c>
      <c r="Q141" s="800">
        <f t="shared" si="27"/>
        <v>666.66666666666663</v>
      </c>
      <c r="R141" s="800"/>
      <c r="S141" s="800"/>
      <c r="T141" s="800"/>
      <c r="U141" s="800"/>
      <c r="V141" s="800"/>
      <c r="W141" s="800">
        <v>666.66666666666663</v>
      </c>
      <c r="X141" s="1142"/>
      <c r="Y141" s="1127"/>
      <c r="Z141" s="2328"/>
      <c r="AA141" s="2328"/>
      <c r="AB141" s="2328"/>
      <c r="AC141" s="1199"/>
      <c r="AD141" s="1199"/>
      <c r="AE141" s="1199"/>
      <c r="AF141" s="1199"/>
      <c r="AG141" s="547">
        <f t="shared" si="25"/>
        <v>666.66666666666663</v>
      </c>
    </row>
    <row r="142" spans="1:33" s="1826" customFormat="1" outlineLevel="2">
      <c r="A142" s="2330">
        <v>2142</v>
      </c>
      <c r="B142" s="2509" t="s">
        <v>347</v>
      </c>
      <c r="C142" s="2463" t="s">
        <v>348</v>
      </c>
      <c r="D142" s="1777"/>
      <c r="E142" s="2330">
        <v>10</v>
      </c>
      <c r="F142" s="2330">
        <v>43283</v>
      </c>
      <c r="G142" s="2330">
        <f t="shared" si="26"/>
        <v>43293</v>
      </c>
      <c r="H142" s="2330" t="s">
        <v>294</v>
      </c>
      <c r="I142" s="2330" t="s">
        <v>171</v>
      </c>
      <c r="J142" s="2422" t="s">
        <v>295</v>
      </c>
      <c r="K142" s="2272" t="s">
        <v>302</v>
      </c>
      <c r="L142" s="2330">
        <v>23173</v>
      </c>
      <c r="M142" s="1777"/>
      <c r="N142" s="2330"/>
      <c r="O142" s="962">
        <v>870.33333333333337</v>
      </c>
      <c r="P142" s="2330">
        <v>4</v>
      </c>
      <c r="Q142" s="800">
        <f t="shared" si="27"/>
        <v>3481.3333333333335</v>
      </c>
      <c r="R142" s="800"/>
      <c r="S142" s="800"/>
      <c r="T142" s="800"/>
      <c r="U142" s="800"/>
      <c r="V142" s="800"/>
      <c r="W142" s="800">
        <v>3481.3333333333335</v>
      </c>
      <c r="X142" s="1142"/>
      <c r="Y142" s="1127"/>
      <c r="Z142" s="2328"/>
      <c r="AA142" s="2328"/>
      <c r="AB142" s="2328"/>
      <c r="AC142" s="1199"/>
      <c r="AD142" s="1199"/>
      <c r="AE142" s="1199"/>
      <c r="AF142" s="1199"/>
      <c r="AG142" s="547">
        <f t="shared" ref="AG142:AG173" si="28">SUM(S142:AF142)</f>
        <v>3481.3333333333335</v>
      </c>
    </row>
    <row r="143" spans="1:33" s="1826" customFormat="1" ht="31.5" outlineLevel="2">
      <c r="A143" s="2330">
        <v>2151</v>
      </c>
      <c r="B143" s="2509" t="s">
        <v>70</v>
      </c>
      <c r="C143" s="2419" t="s">
        <v>307</v>
      </c>
      <c r="D143" s="1777"/>
      <c r="E143" s="2330">
        <v>2</v>
      </c>
      <c r="F143" s="2330">
        <v>43269</v>
      </c>
      <c r="G143" s="2330">
        <f t="shared" si="26"/>
        <v>43271</v>
      </c>
      <c r="H143" s="2330" t="s">
        <v>294</v>
      </c>
      <c r="I143" s="2330" t="s">
        <v>171</v>
      </c>
      <c r="J143" s="2422" t="s">
        <v>295</v>
      </c>
      <c r="K143" s="2503" t="s">
        <v>309</v>
      </c>
      <c r="L143" s="2330">
        <v>23173</v>
      </c>
      <c r="M143" s="2330"/>
      <c r="N143" s="2330"/>
      <c r="O143" s="962">
        <v>205.33333333333334</v>
      </c>
      <c r="P143" s="2436">
        <v>3</v>
      </c>
      <c r="Q143" s="800">
        <f t="shared" si="27"/>
        <v>616</v>
      </c>
      <c r="R143" s="800"/>
      <c r="S143" s="800"/>
      <c r="T143" s="800"/>
      <c r="U143" s="800"/>
      <c r="V143" s="800">
        <v>616</v>
      </c>
      <c r="W143" s="800"/>
      <c r="X143" s="1142"/>
      <c r="Y143" s="1127"/>
      <c r="Z143" s="2328"/>
      <c r="AA143" s="2328"/>
      <c r="AB143" s="2328"/>
      <c r="AC143" s="1199"/>
      <c r="AD143" s="1199"/>
      <c r="AE143" s="1199"/>
      <c r="AF143" s="1199"/>
      <c r="AG143" s="547">
        <f t="shared" si="28"/>
        <v>616</v>
      </c>
    </row>
    <row r="144" spans="1:33" s="1826" customFormat="1" ht="31.5" outlineLevel="2">
      <c r="A144" s="2330">
        <v>2151</v>
      </c>
      <c r="B144" s="2509" t="s">
        <v>70</v>
      </c>
      <c r="C144" s="2419" t="s">
        <v>307</v>
      </c>
      <c r="D144" s="1777"/>
      <c r="E144" s="2330">
        <v>2</v>
      </c>
      <c r="F144" s="2330">
        <v>43269</v>
      </c>
      <c r="G144" s="2330">
        <f t="shared" si="26"/>
        <v>43271</v>
      </c>
      <c r="H144" s="2330" t="s">
        <v>294</v>
      </c>
      <c r="I144" s="2330" t="s">
        <v>171</v>
      </c>
      <c r="J144" s="2422" t="s">
        <v>295</v>
      </c>
      <c r="K144" s="2503" t="s">
        <v>308</v>
      </c>
      <c r="L144" s="2330">
        <v>23173</v>
      </c>
      <c r="M144" s="1777"/>
      <c r="N144" s="2330"/>
      <c r="O144" s="962">
        <v>44</v>
      </c>
      <c r="P144" s="2436">
        <v>3</v>
      </c>
      <c r="Q144" s="800">
        <f t="shared" si="27"/>
        <v>132</v>
      </c>
      <c r="R144" s="800"/>
      <c r="S144" s="800"/>
      <c r="T144" s="800"/>
      <c r="U144" s="800"/>
      <c r="V144" s="800">
        <v>132</v>
      </c>
      <c r="W144" s="800"/>
      <c r="X144" s="1142"/>
      <c r="Y144" s="1127"/>
      <c r="Z144" s="2328"/>
      <c r="AA144" s="2328"/>
      <c r="AB144" s="2328"/>
      <c r="AC144" s="1199"/>
      <c r="AD144" s="1199"/>
      <c r="AE144" s="1199"/>
      <c r="AF144" s="1199"/>
      <c r="AG144" s="547">
        <f t="shared" si="28"/>
        <v>132</v>
      </c>
    </row>
    <row r="145" spans="1:33" s="1826" customFormat="1" ht="31.5" outlineLevel="2">
      <c r="A145" s="2330">
        <v>2151</v>
      </c>
      <c r="B145" s="2509" t="s">
        <v>70</v>
      </c>
      <c r="C145" s="2419" t="s">
        <v>307</v>
      </c>
      <c r="D145" s="1777"/>
      <c r="E145" s="2330">
        <v>2</v>
      </c>
      <c r="F145" s="2330">
        <v>43269</v>
      </c>
      <c r="G145" s="2330">
        <f t="shared" si="26"/>
        <v>43271</v>
      </c>
      <c r="H145" s="2330" t="s">
        <v>294</v>
      </c>
      <c r="I145" s="2330" t="s">
        <v>171</v>
      </c>
      <c r="J145" s="2422" t="s">
        <v>295</v>
      </c>
      <c r="K145" s="2503" t="s">
        <v>301</v>
      </c>
      <c r="L145" s="2330">
        <v>23173</v>
      </c>
      <c r="M145" s="1777"/>
      <c r="N145" s="2330"/>
      <c r="O145" s="962">
        <v>200</v>
      </c>
      <c r="P145" s="2436">
        <v>3</v>
      </c>
      <c r="Q145" s="800">
        <f t="shared" si="27"/>
        <v>600</v>
      </c>
      <c r="R145" s="800"/>
      <c r="S145" s="800"/>
      <c r="T145" s="800"/>
      <c r="U145" s="800"/>
      <c r="V145" s="800">
        <v>600</v>
      </c>
      <c r="W145" s="800"/>
      <c r="X145" s="1142"/>
      <c r="Y145" s="1127"/>
      <c r="Z145" s="2328"/>
      <c r="AA145" s="2328"/>
      <c r="AB145" s="2328"/>
      <c r="AC145" s="1199"/>
      <c r="AD145" s="1199"/>
      <c r="AE145" s="1199"/>
      <c r="AF145" s="1199"/>
      <c r="AG145" s="547">
        <f t="shared" si="28"/>
        <v>600</v>
      </c>
    </row>
    <row r="146" spans="1:33" s="1826" customFormat="1" ht="31.5" outlineLevel="2">
      <c r="A146" s="2330">
        <v>2151</v>
      </c>
      <c r="B146" s="2509" t="s">
        <v>70</v>
      </c>
      <c r="C146" s="2419" t="s">
        <v>307</v>
      </c>
      <c r="D146" s="1777"/>
      <c r="E146" s="2330">
        <v>2</v>
      </c>
      <c r="F146" s="2330">
        <v>43269</v>
      </c>
      <c r="G146" s="2330">
        <f t="shared" si="26"/>
        <v>43271</v>
      </c>
      <c r="H146" s="2330" t="s">
        <v>294</v>
      </c>
      <c r="I146" s="2330" t="s">
        <v>171</v>
      </c>
      <c r="J146" s="2422" t="s">
        <v>295</v>
      </c>
      <c r="K146" s="2503" t="s">
        <v>302</v>
      </c>
      <c r="L146" s="2330">
        <v>23173</v>
      </c>
      <c r="M146" s="1777"/>
      <c r="N146" s="2330"/>
      <c r="O146" s="962">
        <v>207</v>
      </c>
      <c r="P146" s="2436">
        <v>3</v>
      </c>
      <c r="Q146" s="800">
        <f t="shared" si="27"/>
        <v>621</v>
      </c>
      <c r="R146" s="800"/>
      <c r="S146" s="800"/>
      <c r="T146" s="800"/>
      <c r="U146" s="800"/>
      <c r="V146" s="800">
        <v>621</v>
      </c>
      <c r="W146" s="800"/>
      <c r="X146" s="1142"/>
      <c r="Y146" s="1127"/>
      <c r="Z146" s="2328"/>
      <c r="AA146" s="2328"/>
      <c r="AB146" s="2328"/>
      <c r="AC146" s="1199"/>
      <c r="AD146" s="1199"/>
      <c r="AE146" s="1199"/>
      <c r="AF146" s="1199"/>
      <c r="AG146" s="547">
        <f t="shared" si="28"/>
        <v>621</v>
      </c>
    </row>
    <row r="147" spans="1:33" s="1826" customFormat="1" outlineLevel="2">
      <c r="A147" s="2330">
        <v>2152</v>
      </c>
      <c r="B147" s="2509" t="s">
        <v>71</v>
      </c>
      <c r="C147" s="2463" t="s">
        <v>307</v>
      </c>
      <c r="D147" s="1777"/>
      <c r="E147" s="2330">
        <v>5</v>
      </c>
      <c r="F147" s="2330">
        <v>43234</v>
      </c>
      <c r="G147" s="2330">
        <f t="shared" si="26"/>
        <v>43239</v>
      </c>
      <c r="H147" s="2330" t="s">
        <v>294</v>
      </c>
      <c r="I147" s="2330" t="s">
        <v>171</v>
      </c>
      <c r="J147" s="2422" t="s">
        <v>295</v>
      </c>
      <c r="K147" s="2503" t="s">
        <v>309</v>
      </c>
      <c r="L147" s="2423">
        <v>23173</v>
      </c>
      <c r="M147" s="1777"/>
      <c r="N147" s="2330"/>
      <c r="O147" s="962">
        <v>933.33333333333337</v>
      </c>
      <c r="P147" s="2330">
        <v>1</v>
      </c>
      <c r="Q147" s="800">
        <f t="shared" si="27"/>
        <v>933.33333333333337</v>
      </c>
      <c r="R147" s="800"/>
      <c r="S147" s="800"/>
      <c r="T147" s="800"/>
      <c r="U147" s="800">
        <v>933.33333333333337</v>
      </c>
      <c r="V147" s="800"/>
      <c r="W147" s="800"/>
      <c r="X147" s="1142"/>
      <c r="Y147" s="1127"/>
      <c r="Z147" s="2328"/>
      <c r="AA147" s="2328"/>
      <c r="AB147" s="2328"/>
      <c r="AC147" s="1199"/>
      <c r="AD147" s="1199"/>
      <c r="AE147" s="1199"/>
      <c r="AF147" s="1199"/>
      <c r="AG147" s="547">
        <f t="shared" si="28"/>
        <v>933.33333333333337</v>
      </c>
    </row>
    <row r="148" spans="1:33" s="1826" customFormat="1" outlineLevel="2">
      <c r="A148" s="2330">
        <v>2152</v>
      </c>
      <c r="B148" s="2509" t="s">
        <v>71</v>
      </c>
      <c r="C148" s="2463" t="s">
        <v>307</v>
      </c>
      <c r="D148" s="1777"/>
      <c r="E148" s="2330">
        <v>5</v>
      </c>
      <c r="F148" s="2330">
        <v>43234</v>
      </c>
      <c r="G148" s="2330">
        <f t="shared" si="26"/>
        <v>43239</v>
      </c>
      <c r="H148" s="2330" t="s">
        <v>294</v>
      </c>
      <c r="I148" s="2330" t="s">
        <v>171</v>
      </c>
      <c r="J148" s="2422" t="s">
        <v>295</v>
      </c>
      <c r="K148" s="2503" t="s">
        <v>308</v>
      </c>
      <c r="L148" s="2330">
        <v>23173</v>
      </c>
      <c r="M148" s="1777"/>
      <c r="N148" s="2330"/>
      <c r="O148" s="962">
        <v>200</v>
      </c>
      <c r="P148" s="2330">
        <v>1</v>
      </c>
      <c r="Q148" s="800">
        <f t="shared" si="27"/>
        <v>200</v>
      </c>
      <c r="R148" s="800"/>
      <c r="S148" s="800"/>
      <c r="T148" s="800"/>
      <c r="U148" s="800">
        <v>200</v>
      </c>
      <c r="V148" s="800"/>
      <c r="W148" s="800"/>
      <c r="X148" s="1142"/>
      <c r="Y148" s="1127"/>
      <c r="Z148" s="2328"/>
      <c r="AA148" s="2328"/>
      <c r="AB148" s="2328"/>
      <c r="AC148" s="1199"/>
      <c r="AD148" s="1199"/>
      <c r="AE148" s="1199"/>
      <c r="AF148" s="1199"/>
      <c r="AG148" s="547">
        <f t="shared" si="28"/>
        <v>200</v>
      </c>
    </row>
    <row r="149" spans="1:33" s="1826" customFormat="1" outlineLevel="2">
      <c r="A149" s="2330">
        <v>2152</v>
      </c>
      <c r="B149" s="2509" t="s">
        <v>71</v>
      </c>
      <c r="C149" s="2463" t="s">
        <v>307</v>
      </c>
      <c r="D149" s="1777"/>
      <c r="E149" s="2330">
        <v>5</v>
      </c>
      <c r="F149" s="2330">
        <v>43234</v>
      </c>
      <c r="G149" s="2330">
        <f t="shared" si="26"/>
        <v>43239</v>
      </c>
      <c r="H149" s="2330" t="s">
        <v>294</v>
      </c>
      <c r="I149" s="2330" t="s">
        <v>171</v>
      </c>
      <c r="J149" s="2422" t="s">
        <v>295</v>
      </c>
      <c r="K149" s="2271" t="s">
        <v>301</v>
      </c>
      <c r="L149" s="2330">
        <v>23173</v>
      </c>
      <c r="M149" s="1777"/>
      <c r="N149" s="2330"/>
      <c r="O149" s="962">
        <v>666.66666666666663</v>
      </c>
      <c r="P149" s="2330">
        <v>1</v>
      </c>
      <c r="Q149" s="800">
        <f t="shared" si="27"/>
        <v>666.66666666666663</v>
      </c>
      <c r="R149" s="800"/>
      <c r="S149" s="800"/>
      <c r="T149" s="800"/>
      <c r="U149" s="800">
        <v>666.66666666666663</v>
      </c>
      <c r="V149" s="800"/>
      <c r="W149" s="800"/>
      <c r="X149" s="1142"/>
      <c r="Y149" s="1127"/>
      <c r="Z149" s="2328"/>
      <c r="AA149" s="2328"/>
      <c r="AB149" s="2328"/>
      <c r="AC149" s="1199"/>
      <c r="AD149" s="1199"/>
      <c r="AE149" s="1199"/>
      <c r="AF149" s="1199"/>
      <c r="AG149" s="547">
        <f t="shared" si="28"/>
        <v>666.66666666666663</v>
      </c>
    </row>
    <row r="150" spans="1:33" s="1826" customFormat="1" outlineLevel="2">
      <c r="A150" s="2330">
        <v>2152</v>
      </c>
      <c r="B150" s="2500" t="s">
        <v>71</v>
      </c>
      <c r="C150" s="2463" t="s">
        <v>307</v>
      </c>
      <c r="D150" s="1777"/>
      <c r="E150" s="2330">
        <v>5</v>
      </c>
      <c r="F150" s="2330">
        <v>43234</v>
      </c>
      <c r="G150" s="2330">
        <f t="shared" si="26"/>
        <v>43239</v>
      </c>
      <c r="H150" s="2330" t="s">
        <v>294</v>
      </c>
      <c r="I150" s="2330" t="s">
        <v>171</v>
      </c>
      <c r="J150" s="2422" t="s">
        <v>295</v>
      </c>
      <c r="K150" s="2271" t="s">
        <v>302</v>
      </c>
      <c r="L150" s="2330">
        <v>23173</v>
      </c>
      <c r="M150" s="1777"/>
      <c r="N150" s="2330"/>
      <c r="O150" s="962">
        <v>276</v>
      </c>
      <c r="P150" s="2330">
        <v>1</v>
      </c>
      <c r="Q150" s="800">
        <f t="shared" si="27"/>
        <v>276</v>
      </c>
      <c r="R150" s="800"/>
      <c r="S150" s="800"/>
      <c r="T150" s="800"/>
      <c r="U150" s="800">
        <v>276</v>
      </c>
      <c r="V150" s="800"/>
      <c r="W150" s="800"/>
      <c r="X150" s="1142"/>
      <c r="Y150" s="1127"/>
      <c r="Z150" s="2328"/>
      <c r="AA150" s="2328"/>
      <c r="AB150" s="2328"/>
      <c r="AC150" s="1199"/>
      <c r="AD150" s="1199"/>
      <c r="AE150" s="1199"/>
      <c r="AF150" s="1199"/>
      <c r="AG150" s="547">
        <f t="shared" si="28"/>
        <v>276</v>
      </c>
    </row>
    <row r="151" spans="1:33" s="1826" customFormat="1" outlineLevel="2">
      <c r="A151" s="2330">
        <v>2211</v>
      </c>
      <c r="B151" s="2511" t="s">
        <v>845</v>
      </c>
      <c r="C151" s="2418" t="s">
        <v>846</v>
      </c>
      <c r="D151" s="2330"/>
      <c r="E151" s="2330">
        <v>15</v>
      </c>
      <c r="F151" s="2330">
        <v>43199</v>
      </c>
      <c r="G151" s="2330">
        <f>+F151+E151</f>
        <v>43214</v>
      </c>
      <c r="H151" s="2330" t="s">
        <v>368</v>
      </c>
      <c r="I151" s="2330" t="s">
        <v>169</v>
      </c>
      <c r="J151" s="2422" t="s">
        <v>174</v>
      </c>
      <c r="K151" s="2503" t="s">
        <v>847</v>
      </c>
      <c r="L151" s="2330">
        <v>23173</v>
      </c>
      <c r="M151" s="1777"/>
      <c r="N151" s="2330" t="s">
        <v>366</v>
      </c>
      <c r="O151" s="800">
        <v>80</v>
      </c>
      <c r="P151" s="2330">
        <v>3</v>
      </c>
      <c r="Q151" s="800">
        <f>+P151*O151</f>
        <v>240</v>
      </c>
      <c r="R151" s="800"/>
      <c r="S151" s="800"/>
      <c r="T151" s="800">
        <v>240</v>
      </c>
      <c r="U151" s="800"/>
      <c r="V151" s="800"/>
      <c r="W151" s="800"/>
      <c r="X151" s="1142"/>
      <c r="Y151" s="1127"/>
      <c r="Z151" s="2329"/>
      <c r="AA151" s="2329"/>
      <c r="AB151" s="2329"/>
      <c r="AC151" s="1199"/>
      <c r="AD151" s="1199"/>
      <c r="AE151" s="1199"/>
      <c r="AF151" s="1199"/>
      <c r="AG151" s="547">
        <f t="shared" si="28"/>
        <v>240</v>
      </c>
    </row>
    <row r="152" spans="1:33" s="1826" customFormat="1" outlineLevel="2">
      <c r="A152" s="2330">
        <v>2212</v>
      </c>
      <c r="B152" s="2511" t="s">
        <v>850</v>
      </c>
      <c r="C152" s="2418" t="s">
        <v>846</v>
      </c>
      <c r="D152" s="2330"/>
      <c r="E152" s="2330">
        <v>20</v>
      </c>
      <c r="F152" s="2330">
        <v>43226</v>
      </c>
      <c r="G152" s="2330">
        <v>43246</v>
      </c>
      <c r="H152" s="2330" t="s">
        <v>368</v>
      </c>
      <c r="I152" s="2330" t="s">
        <v>169</v>
      </c>
      <c r="J152" s="2422" t="s">
        <v>174</v>
      </c>
      <c r="K152" s="2503" t="s">
        <v>847</v>
      </c>
      <c r="L152" s="2330">
        <v>23173</v>
      </c>
      <c r="M152" s="1777"/>
      <c r="N152" s="2330" t="s">
        <v>366</v>
      </c>
      <c r="O152" s="800">
        <v>80</v>
      </c>
      <c r="P152" s="2330">
        <v>3</v>
      </c>
      <c r="Q152" s="800">
        <f t="shared" ref="Q152:Q184" si="29">O152*P152</f>
        <v>240</v>
      </c>
      <c r="R152" s="800"/>
      <c r="S152" s="800"/>
      <c r="T152" s="800"/>
      <c r="U152" s="800"/>
      <c r="V152" s="800">
        <v>240</v>
      </c>
      <c r="W152" s="800"/>
      <c r="X152" s="1142"/>
      <c r="Y152" s="1127"/>
      <c r="Z152" s="2329"/>
      <c r="AA152" s="2329"/>
      <c r="AB152" s="2329"/>
      <c r="AC152" s="1199"/>
      <c r="AD152" s="1199"/>
      <c r="AE152" s="1199"/>
      <c r="AF152" s="1199"/>
      <c r="AG152" s="547">
        <f t="shared" si="28"/>
        <v>240</v>
      </c>
    </row>
    <row r="153" spans="1:33" s="1826" customFormat="1" outlineLevel="2">
      <c r="A153" s="2330">
        <v>2213</v>
      </c>
      <c r="B153" s="2511" t="s">
        <v>853</v>
      </c>
      <c r="C153" s="2418" t="s">
        <v>846</v>
      </c>
      <c r="D153" s="2330"/>
      <c r="E153" s="2330">
        <v>20</v>
      </c>
      <c r="F153" s="2330">
        <v>43288</v>
      </c>
      <c r="G153" s="2330">
        <v>43308</v>
      </c>
      <c r="H153" s="2330" t="s">
        <v>368</v>
      </c>
      <c r="I153" s="2330" t="s">
        <v>169</v>
      </c>
      <c r="J153" s="2422" t="s">
        <v>174</v>
      </c>
      <c r="K153" s="2503" t="s">
        <v>847</v>
      </c>
      <c r="L153" s="2330">
        <v>23173</v>
      </c>
      <c r="M153" s="1777"/>
      <c r="N153" s="2330" t="s">
        <v>366</v>
      </c>
      <c r="O153" s="962">
        <v>80</v>
      </c>
      <c r="P153" s="2330">
        <v>3</v>
      </c>
      <c r="Q153" s="800">
        <f t="shared" si="29"/>
        <v>240</v>
      </c>
      <c r="R153" s="800"/>
      <c r="S153" s="800"/>
      <c r="T153" s="800"/>
      <c r="U153" s="800"/>
      <c r="V153" s="800"/>
      <c r="W153" s="800"/>
      <c r="X153" s="1142">
        <v>240</v>
      </c>
      <c r="Y153" s="1127"/>
      <c r="Z153" s="2329"/>
      <c r="AA153" s="2329"/>
      <c r="AB153" s="2329"/>
      <c r="AC153" s="1199"/>
      <c r="AD153" s="1199"/>
      <c r="AE153" s="1199"/>
      <c r="AF153" s="1199"/>
      <c r="AG153" s="547">
        <f t="shared" si="28"/>
        <v>240</v>
      </c>
    </row>
    <row r="154" spans="1:33" s="1826" customFormat="1" ht="47.25" outlineLevel="2">
      <c r="A154" s="2330">
        <v>2214</v>
      </c>
      <c r="B154" s="2511" t="s">
        <v>855</v>
      </c>
      <c r="C154" s="2418" t="s">
        <v>856</v>
      </c>
      <c r="D154" s="2427"/>
      <c r="E154" s="2330">
        <v>5</v>
      </c>
      <c r="F154" s="2480">
        <v>43318</v>
      </c>
      <c r="G154" s="2480">
        <v>43321</v>
      </c>
      <c r="H154" s="2330" t="s">
        <v>368</v>
      </c>
      <c r="I154" s="2330" t="s">
        <v>174</v>
      </c>
      <c r="J154" s="2422" t="s">
        <v>169</v>
      </c>
      <c r="K154" s="2503" t="s">
        <v>486</v>
      </c>
      <c r="L154" s="2330">
        <v>23173</v>
      </c>
      <c r="M154" s="1777"/>
      <c r="N154" s="2330" t="s">
        <v>366</v>
      </c>
      <c r="O154" s="2512">
        <v>343</v>
      </c>
      <c r="P154" s="2330">
        <v>1</v>
      </c>
      <c r="Q154" s="800">
        <f t="shared" si="29"/>
        <v>343</v>
      </c>
      <c r="R154" s="800"/>
      <c r="S154" s="800"/>
      <c r="T154" s="800"/>
      <c r="U154" s="800"/>
      <c r="V154" s="800"/>
      <c r="W154" s="800"/>
      <c r="X154" s="2513">
        <v>343</v>
      </c>
      <c r="Y154" s="1127"/>
      <c r="Z154" s="2329"/>
      <c r="AA154" s="2329"/>
      <c r="AB154" s="2329"/>
      <c r="AC154" s="1199"/>
      <c r="AD154" s="1199"/>
      <c r="AE154" s="1199"/>
      <c r="AF154" s="1199"/>
      <c r="AG154" s="547">
        <f t="shared" si="28"/>
        <v>343</v>
      </c>
    </row>
    <row r="155" spans="1:33" s="1826" customFormat="1" outlineLevel="2">
      <c r="A155" s="2330">
        <v>2215</v>
      </c>
      <c r="B155" s="2511" t="s">
        <v>858</v>
      </c>
      <c r="C155" s="2418" t="s">
        <v>859</v>
      </c>
      <c r="D155" s="2330" t="s">
        <v>514</v>
      </c>
      <c r="E155" s="2330">
        <v>20</v>
      </c>
      <c r="F155" s="2330">
        <v>43288</v>
      </c>
      <c r="G155" s="2330">
        <v>43308</v>
      </c>
      <c r="H155" s="2330" t="s">
        <v>368</v>
      </c>
      <c r="I155" s="2330" t="s">
        <v>174</v>
      </c>
      <c r="J155" s="2422" t="s">
        <v>169</v>
      </c>
      <c r="K155" s="2503" t="s">
        <v>860</v>
      </c>
      <c r="L155" s="2330">
        <v>23173</v>
      </c>
      <c r="M155" s="1777"/>
      <c r="N155" s="2330"/>
      <c r="O155" s="962">
        <v>80</v>
      </c>
      <c r="P155" s="2330">
        <v>3</v>
      </c>
      <c r="Q155" s="800">
        <f t="shared" si="29"/>
        <v>240</v>
      </c>
      <c r="R155" s="800"/>
      <c r="S155" s="800"/>
      <c r="T155" s="800"/>
      <c r="U155" s="800"/>
      <c r="V155" s="800"/>
      <c r="W155" s="800"/>
      <c r="X155" s="1142">
        <v>240</v>
      </c>
      <c r="Y155" s="1127"/>
      <c r="Z155" s="2329"/>
      <c r="AA155" s="2329"/>
      <c r="AB155" s="2329"/>
      <c r="AC155" s="1199"/>
      <c r="AD155" s="1199"/>
      <c r="AE155" s="1199"/>
      <c r="AF155" s="1199"/>
      <c r="AG155" s="547">
        <f t="shared" si="28"/>
        <v>240</v>
      </c>
    </row>
    <row r="156" spans="1:33" s="1826" customFormat="1" ht="31.5" outlineLevel="2">
      <c r="A156" s="2330">
        <v>2221</v>
      </c>
      <c r="B156" s="2500" t="s">
        <v>862</v>
      </c>
      <c r="C156" s="2418" t="s">
        <v>846</v>
      </c>
      <c r="D156" s="2427"/>
      <c r="E156" s="2330">
        <v>20</v>
      </c>
      <c r="F156" s="2330">
        <v>43199</v>
      </c>
      <c r="G156" s="2330">
        <v>43219</v>
      </c>
      <c r="H156" s="2330" t="s">
        <v>368</v>
      </c>
      <c r="I156" s="2330" t="s">
        <v>169</v>
      </c>
      <c r="J156" s="2422" t="s">
        <v>174</v>
      </c>
      <c r="K156" s="2503" t="s">
        <v>847</v>
      </c>
      <c r="L156" s="2330">
        <v>23173</v>
      </c>
      <c r="M156" s="1777"/>
      <c r="N156" s="2330"/>
      <c r="O156" s="962">
        <v>80</v>
      </c>
      <c r="P156" s="2330">
        <v>3</v>
      </c>
      <c r="Q156" s="800">
        <f t="shared" si="29"/>
        <v>240</v>
      </c>
      <c r="R156" s="800"/>
      <c r="S156" s="800"/>
      <c r="T156" s="800">
        <v>240</v>
      </c>
      <c r="U156" s="800"/>
      <c r="V156" s="800"/>
      <c r="W156" s="800"/>
      <c r="X156" s="1142"/>
      <c r="Y156" s="1127"/>
      <c r="Z156" s="1199"/>
      <c r="AA156" s="1199"/>
      <c r="AB156" s="1199"/>
      <c r="AC156" s="1199"/>
      <c r="AD156" s="1199"/>
      <c r="AE156" s="1199"/>
      <c r="AF156" s="1199"/>
      <c r="AG156" s="547">
        <f t="shared" si="28"/>
        <v>240</v>
      </c>
    </row>
    <row r="157" spans="1:33" s="1826" customFormat="1" ht="31.5" outlineLevel="2">
      <c r="A157" s="2330">
        <v>2222</v>
      </c>
      <c r="B157" s="2500" t="s">
        <v>865</v>
      </c>
      <c r="C157" s="2418" t="s">
        <v>846</v>
      </c>
      <c r="D157" s="2427"/>
      <c r="E157" s="2330">
        <v>20</v>
      </c>
      <c r="F157" s="2330">
        <v>43199</v>
      </c>
      <c r="G157" s="2330">
        <v>43219</v>
      </c>
      <c r="H157" s="2330" t="s">
        <v>368</v>
      </c>
      <c r="I157" s="2330" t="s">
        <v>169</v>
      </c>
      <c r="J157" s="2422" t="s">
        <v>174</v>
      </c>
      <c r="K157" s="2503" t="s">
        <v>847</v>
      </c>
      <c r="L157" s="2330">
        <v>23173</v>
      </c>
      <c r="M157" s="1777"/>
      <c r="N157" s="2330"/>
      <c r="O157" s="962">
        <v>80</v>
      </c>
      <c r="P157" s="2330">
        <v>3</v>
      </c>
      <c r="Q157" s="800">
        <f t="shared" si="29"/>
        <v>240</v>
      </c>
      <c r="R157" s="800"/>
      <c r="S157" s="800"/>
      <c r="T157" s="800">
        <v>240</v>
      </c>
      <c r="U157" s="800"/>
      <c r="V157" s="800"/>
      <c r="W157" s="800"/>
      <c r="X157" s="1142"/>
      <c r="Y157" s="1127"/>
      <c r="Z157" s="1199"/>
      <c r="AA157" s="1199"/>
      <c r="AB157" s="1199"/>
      <c r="AC157" s="1199"/>
      <c r="AD157" s="1199"/>
      <c r="AE157" s="1199"/>
      <c r="AF157" s="1199"/>
      <c r="AG157" s="547">
        <f t="shared" si="28"/>
        <v>240</v>
      </c>
    </row>
    <row r="158" spans="1:33" s="1826" customFormat="1" ht="31.5" outlineLevel="2">
      <c r="A158" s="2330">
        <v>2223</v>
      </c>
      <c r="B158" s="2514" t="s">
        <v>99</v>
      </c>
      <c r="C158" s="2418" t="s">
        <v>846</v>
      </c>
      <c r="D158" s="2427"/>
      <c r="E158" s="2330">
        <v>20</v>
      </c>
      <c r="F158" s="2330">
        <v>43196</v>
      </c>
      <c r="G158" s="2330">
        <v>43215</v>
      </c>
      <c r="H158" s="2330" t="s">
        <v>368</v>
      </c>
      <c r="I158" s="2330" t="s">
        <v>867</v>
      </c>
      <c r="J158" s="2422" t="s">
        <v>169</v>
      </c>
      <c r="K158" s="2503" t="s">
        <v>847</v>
      </c>
      <c r="L158" s="2330">
        <v>23173</v>
      </c>
      <c r="M158" s="1777"/>
      <c r="N158" s="2330"/>
      <c r="O158" s="962">
        <v>80</v>
      </c>
      <c r="P158" s="2330">
        <v>3</v>
      </c>
      <c r="Q158" s="800">
        <f t="shared" si="29"/>
        <v>240</v>
      </c>
      <c r="R158" s="800"/>
      <c r="S158" s="800"/>
      <c r="T158" s="800">
        <v>240</v>
      </c>
      <c r="U158" s="800"/>
      <c r="V158" s="800"/>
      <c r="W158" s="800"/>
      <c r="X158" s="1142"/>
      <c r="Y158" s="1127"/>
      <c r="Z158" s="1199"/>
      <c r="AA158" s="1199"/>
      <c r="AB158" s="1199"/>
      <c r="AC158" s="1199"/>
      <c r="AD158" s="1199"/>
      <c r="AE158" s="1199"/>
      <c r="AF158" s="1199"/>
      <c r="AG158" s="547">
        <f t="shared" si="28"/>
        <v>240</v>
      </c>
    </row>
    <row r="159" spans="1:33" s="1826" customFormat="1" ht="31.5" outlineLevel="2">
      <c r="A159" s="2330">
        <v>2223</v>
      </c>
      <c r="B159" s="2514" t="s">
        <v>99</v>
      </c>
      <c r="C159" s="2418" t="s">
        <v>868</v>
      </c>
      <c r="D159" s="2427"/>
      <c r="E159" s="2330">
        <v>2</v>
      </c>
      <c r="F159" s="2330">
        <v>43279</v>
      </c>
      <c r="G159" s="2330">
        <f>+F159+E159</f>
        <v>43281</v>
      </c>
      <c r="H159" s="2330" t="s">
        <v>869</v>
      </c>
      <c r="I159" s="2330" t="s">
        <v>169</v>
      </c>
      <c r="J159" s="2422" t="s">
        <v>174</v>
      </c>
      <c r="K159" s="2503" t="s">
        <v>486</v>
      </c>
      <c r="L159" s="2423">
        <v>23173</v>
      </c>
      <c r="M159" s="1777"/>
      <c r="N159" s="2330"/>
      <c r="O159" s="962">
        <v>257.33</v>
      </c>
      <c r="P159" s="2330">
        <v>1</v>
      </c>
      <c r="Q159" s="800">
        <f t="shared" si="29"/>
        <v>257.33</v>
      </c>
      <c r="R159" s="800"/>
      <c r="S159" s="800"/>
      <c r="T159" s="800"/>
      <c r="U159" s="800"/>
      <c r="V159" s="800"/>
      <c r="W159" s="962">
        <v>257.33</v>
      </c>
      <c r="X159" s="1142"/>
      <c r="Y159" s="1127"/>
      <c r="Z159" s="1199"/>
      <c r="AA159" s="1199"/>
      <c r="AB159" s="1199"/>
      <c r="AC159" s="1199"/>
      <c r="AD159" s="1199"/>
      <c r="AE159" s="1199"/>
      <c r="AF159" s="1199"/>
      <c r="AG159" s="547">
        <f t="shared" si="28"/>
        <v>257.33</v>
      </c>
    </row>
    <row r="160" spans="1:33" s="1826" customFormat="1" ht="31.5" outlineLevel="2">
      <c r="A160" s="2330">
        <v>2224</v>
      </c>
      <c r="B160" s="2514" t="s">
        <v>99</v>
      </c>
      <c r="C160" s="2418" t="s">
        <v>870</v>
      </c>
      <c r="D160" s="2427"/>
      <c r="E160" s="2330">
        <v>2</v>
      </c>
      <c r="F160" s="2330">
        <v>43500</v>
      </c>
      <c r="G160" s="2330">
        <v>43502</v>
      </c>
      <c r="H160" s="2330" t="s">
        <v>871</v>
      </c>
      <c r="I160" s="2330" t="s">
        <v>169</v>
      </c>
      <c r="J160" s="2422" t="s">
        <v>174</v>
      </c>
      <c r="K160" s="2503" t="s">
        <v>486</v>
      </c>
      <c r="L160" s="2330">
        <v>23173</v>
      </c>
      <c r="M160" s="1777"/>
      <c r="N160" s="2330"/>
      <c r="O160" s="962">
        <v>431.33</v>
      </c>
      <c r="P160" s="2330">
        <v>1</v>
      </c>
      <c r="Q160" s="800">
        <f t="shared" si="29"/>
        <v>431.33</v>
      </c>
      <c r="R160" s="800"/>
      <c r="S160" s="800"/>
      <c r="T160" s="800"/>
      <c r="U160" s="800"/>
      <c r="V160" s="800"/>
      <c r="W160" s="800"/>
      <c r="X160" s="1142"/>
      <c r="Y160" s="1127"/>
      <c r="Z160" s="1199"/>
      <c r="AA160" s="1199"/>
      <c r="AB160" s="1199"/>
      <c r="AC160" s="1199"/>
      <c r="AD160" s="1127">
        <v>431.33</v>
      </c>
      <c r="AE160" s="1199"/>
      <c r="AF160" s="1199"/>
      <c r="AG160" s="547">
        <f t="shared" si="28"/>
        <v>431.33</v>
      </c>
    </row>
    <row r="161" spans="1:33" s="1826" customFormat="1" ht="31.5" outlineLevel="2">
      <c r="A161" s="2330">
        <v>2231</v>
      </c>
      <c r="B161" s="2511" t="s">
        <v>1027</v>
      </c>
      <c r="C161" s="2418" t="s">
        <v>846</v>
      </c>
      <c r="D161" s="2330" t="s">
        <v>849</v>
      </c>
      <c r="E161" s="2330">
        <v>20</v>
      </c>
      <c r="F161" s="2330">
        <v>43196</v>
      </c>
      <c r="G161" s="2330">
        <v>43215</v>
      </c>
      <c r="H161" s="2330" t="s">
        <v>368</v>
      </c>
      <c r="I161" s="2330" t="s">
        <v>169</v>
      </c>
      <c r="J161" s="2422" t="s">
        <v>174</v>
      </c>
      <c r="K161" s="2503" t="s">
        <v>847</v>
      </c>
      <c r="L161" s="2330">
        <v>23173</v>
      </c>
      <c r="M161" s="2515"/>
      <c r="N161" s="2480"/>
      <c r="O161" s="800">
        <v>80</v>
      </c>
      <c r="P161" s="2330">
        <v>3</v>
      </c>
      <c r="Q161" s="800">
        <f t="shared" si="29"/>
        <v>240</v>
      </c>
      <c r="R161" s="2287"/>
      <c r="S161" s="2287"/>
      <c r="T161" s="2330">
        <v>240</v>
      </c>
      <c r="U161" s="2287"/>
      <c r="V161" s="2287"/>
      <c r="W161" s="2287"/>
      <c r="X161" s="1587"/>
      <c r="Y161" s="1588"/>
      <c r="Z161" s="2516"/>
      <c r="AA161" s="2516"/>
      <c r="AB161" s="2516"/>
      <c r="AC161" s="2516"/>
      <c r="AD161" s="2516"/>
      <c r="AE161" s="2516"/>
      <c r="AF161" s="2516"/>
      <c r="AG161" s="547">
        <f t="shared" si="28"/>
        <v>240</v>
      </c>
    </row>
    <row r="162" spans="1:33" s="1826" customFormat="1" ht="31.5" outlineLevel="2">
      <c r="A162" s="2330">
        <v>2232</v>
      </c>
      <c r="B162" s="2500" t="s">
        <v>1029</v>
      </c>
      <c r="C162" s="2418" t="s">
        <v>881</v>
      </c>
      <c r="D162" s="2427"/>
      <c r="E162" s="2428">
        <v>77</v>
      </c>
      <c r="F162" s="2330">
        <v>43196</v>
      </c>
      <c r="G162" s="2330">
        <f>F162+E162</f>
        <v>43273</v>
      </c>
      <c r="H162" s="2330" t="s">
        <v>368</v>
      </c>
      <c r="I162" s="2330" t="s">
        <v>169</v>
      </c>
      <c r="J162" s="2422" t="s">
        <v>174</v>
      </c>
      <c r="K162" s="2503" t="s">
        <v>320</v>
      </c>
      <c r="L162" s="2330">
        <v>23173</v>
      </c>
      <c r="M162" s="1777"/>
      <c r="N162" s="2330"/>
      <c r="O162" s="962">
        <v>2000</v>
      </c>
      <c r="P162" s="2330">
        <v>1</v>
      </c>
      <c r="Q162" s="800">
        <f t="shared" si="29"/>
        <v>2000</v>
      </c>
      <c r="R162" s="800"/>
      <c r="S162" s="800"/>
      <c r="T162" s="800"/>
      <c r="U162" s="800"/>
      <c r="V162" s="800">
        <v>2000</v>
      </c>
      <c r="W162" s="800"/>
      <c r="X162" s="1142"/>
      <c r="Y162" s="1127"/>
      <c r="Z162" s="1199"/>
      <c r="AA162" s="1199"/>
      <c r="AB162" s="1199"/>
      <c r="AC162" s="1199"/>
      <c r="AD162" s="1199"/>
      <c r="AE162" s="1199"/>
      <c r="AF162" s="1199"/>
      <c r="AG162" s="547">
        <f t="shared" si="28"/>
        <v>2000</v>
      </c>
    </row>
    <row r="163" spans="1:33" s="1826" customFormat="1" ht="31.5" outlineLevel="2">
      <c r="A163" s="2330">
        <v>2233</v>
      </c>
      <c r="B163" s="2500" t="s">
        <v>1031</v>
      </c>
      <c r="C163" s="2418" t="s">
        <v>887</v>
      </c>
      <c r="D163" s="1777"/>
      <c r="E163" s="2330">
        <v>1</v>
      </c>
      <c r="F163" s="2330">
        <v>43235</v>
      </c>
      <c r="G163" s="2330">
        <v>43235</v>
      </c>
      <c r="H163" s="2330" t="s">
        <v>368</v>
      </c>
      <c r="I163" s="2330" t="s">
        <v>867</v>
      </c>
      <c r="J163" s="2422" t="s">
        <v>169</v>
      </c>
      <c r="K163" s="2503" t="s">
        <v>320</v>
      </c>
      <c r="L163" s="2330">
        <v>23173</v>
      </c>
      <c r="M163" s="1777"/>
      <c r="N163" s="2330"/>
      <c r="O163" s="962">
        <v>3000</v>
      </c>
      <c r="P163" s="2330">
        <v>1</v>
      </c>
      <c r="Q163" s="800">
        <f t="shared" si="29"/>
        <v>3000</v>
      </c>
      <c r="R163" s="800"/>
      <c r="S163" s="800"/>
      <c r="T163" s="800"/>
      <c r="U163" s="800">
        <v>3000</v>
      </c>
      <c r="V163" s="800"/>
      <c r="W163" s="800"/>
      <c r="X163" s="1142"/>
      <c r="Y163" s="1127"/>
      <c r="Z163" s="1199"/>
      <c r="AA163" s="1199"/>
      <c r="AB163" s="1199"/>
      <c r="AC163" s="1199"/>
      <c r="AD163" s="1199"/>
      <c r="AE163" s="1199"/>
      <c r="AF163" s="1199"/>
      <c r="AG163" s="547">
        <f t="shared" si="28"/>
        <v>3000</v>
      </c>
    </row>
    <row r="164" spans="1:33" s="1826" customFormat="1" ht="31.5" outlineLevel="2">
      <c r="A164" s="2330">
        <v>2233</v>
      </c>
      <c r="B164" s="2500" t="s">
        <v>1032</v>
      </c>
      <c r="C164" s="2418" t="s">
        <v>846</v>
      </c>
      <c r="D164" s="2330"/>
      <c r="E164" s="2330">
        <v>20</v>
      </c>
      <c r="F164" s="2330">
        <v>43235</v>
      </c>
      <c r="G164" s="2330">
        <v>43256</v>
      </c>
      <c r="H164" s="2330" t="s">
        <v>368</v>
      </c>
      <c r="I164" s="2330" t="s">
        <v>867</v>
      </c>
      <c r="J164" s="2422" t="s">
        <v>169</v>
      </c>
      <c r="K164" s="2503" t="s">
        <v>847</v>
      </c>
      <c r="L164" s="2330">
        <v>23173</v>
      </c>
      <c r="M164" s="1777"/>
      <c r="N164" s="2330"/>
      <c r="O164" s="962">
        <v>80</v>
      </c>
      <c r="P164" s="2330">
        <v>3</v>
      </c>
      <c r="Q164" s="800">
        <f t="shared" si="29"/>
        <v>240</v>
      </c>
      <c r="R164" s="800"/>
      <c r="S164" s="800"/>
      <c r="T164" s="800"/>
      <c r="U164" s="800">
        <v>240</v>
      </c>
      <c r="V164" s="800"/>
      <c r="W164" s="800"/>
      <c r="X164" s="1142"/>
      <c r="Y164" s="1127"/>
      <c r="Z164" s="1199"/>
      <c r="AA164" s="1199"/>
      <c r="AB164" s="1199"/>
      <c r="AC164" s="1199"/>
      <c r="AD164" s="1199"/>
      <c r="AE164" s="1199"/>
      <c r="AF164" s="1199"/>
      <c r="AG164" s="547">
        <f t="shared" si="28"/>
        <v>240</v>
      </c>
    </row>
    <row r="165" spans="1:33" s="1826" customFormat="1" ht="31.5" outlineLevel="2">
      <c r="A165" s="2330">
        <v>2233</v>
      </c>
      <c r="B165" s="2500" t="s">
        <v>1032</v>
      </c>
      <c r="C165" s="2418" t="s">
        <v>890</v>
      </c>
      <c r="D165" s="2427"/>
      <c r="E165" s="2330">
        <v>66</v>
      </c>
      <c r="F165" s="2330">
        <v>43257</v>
      </c>
      <c r="G165" s="2330">
        <v>43278</v>
      </c>
      <c r="H165" s="2330" t="s">
        <v>368</v>
      </c>
      <c r="I165" s="2330" t="s">
        <v>867</v>
      </c>
      <c r="J165" s="2422" t="s">
        <v>169</v>
      </c>
      <c r="K165" s="2503" t="s">
        <v>302</v>
      </c>
      <c r="L165" s="2330">
        <v>23173</v>
      </c>
      <c r="M165" s="1777"/>
      <c r="N165" s="2330"/>
      <c r="O165" s="962">
        <v>8000</v>
      </c>
      <c r="P165" s="2330">
        <v>2</v>
      </c>
      <c r="Q165" s="800">
        <f t="shared" si="29"/>
        <v>16000</v>
      </c>
      <c r="R165" s="800"/>
      <c r="S165" s="800"/>
      <c r="T165" s="800"/>
      <c r="U165" s="800"/>
      <c r="V165" s="800">
        <v>16000</v>
      </c>
      <c r="W165" s="800"/>
      <c r="X165" s="1142"/>
      <c r="Y165" s="1127"/>
      <c r="Z165" s="1199"/>
      <c r="AA165" s="1199"/>
      <c r="AB165" s="1199"/>
      <c r="AC165" s="1199"/>
      <c r="AD165" s="1199"/>
      <c r="AE165" s="1199"/>
      <c r="AF165" s="1199"/>
      <c r="AG165" s="547">
        <f t="shared" si="28"/>
        <v>16000</v>
      </c>
    </row>
    <row r="166" spans="1:33" s="1826" customFormat="1" ht="31.5" outlineLevel="2">
      <c r="A166" s="2330">
        <v>2233</v>
      </c>
      <c r="B166" s="2500" t="s">
        <v>1033</v>
      </c>
      <c r="C166" s="2418" t="s">
        <v>892</v>
      </c>
      <c r="D166" s="2427"/>
      <c r="E166" s="2330">
        <v>6</v>
      </c>
      <c r="F166" s="2330">
        <v>43241</v>
      </c>
      <c r="G166" s="2330">
        <v>43246</v>
      </c>
      <c r="H166" s="2330" t="s">
        <v>368</v>
      </c>
      <c r="I166" s="2330" t="s">
        <v>867</v>
      </c>
      <c r="J166" s="2422" t="s">
        <v>169</v>
      </c>
      <c r="K166" s="2503" t="s">
        <v>486</v>
      </c>
      <c r="L166" s="2330">
        <v>23173</v>
      </c>
      <c r="M166" s="1777"/>
      <c r="N166" s="2330"/>
      <c r="O166" s="962">
        <v>1081</v>
      </c>
      <c r="P166" s="2330">
        <v>4</v>
      </c>
      <c r="Q166" s="800">
        <f t="shared" si="29"/>
        <v>4324</v>
      </c>
      <c r="R166" s="800"/>
      <c r="S166" s="800"/>
      <c r="T166" s="800"/>
      <c r="U166" s="800"/>
      <c r="V166" s="800">
        <v>4324</v>
      </c>
      <c r="W166" s="800"/>
      <c r="X166" s="1142"/>
      <c r="Y166" s="1127"/>
      <c r="Z166" s="1199"/>
      <c r="AA166" s="1199"/>
      <c r="AB166" s="1199"/>
      <c r="AC166" s="1199"/>
      <c r="AD166" s="1199"/>
      <c r="AE166" s="1199"/>
      <c r="AF166" s="1199"/>
      <c r="AG166" s="547">
        <f t="shared" si="28"/>
        <v>4324</v>
      </c>
    </row>
    <row r="167" spans="1:33" ht="31.5" outlineLevel="2">
      <c r="A167" s="2330">
        <v>2233</v>
      </c>
      <c r="B167" s="2418" t="s">
        <v>1034</v>
      </c>
      <c r="C167" s="2418" t="s">
        <v>894</v>
      </c>
      <c r="D167" s="2427"/>
      <c r="E167" s="2330">
        <v>2</v>
      </c>
      <c r="F167" s="2330">
        <v>43283</v>
      </c>
      <c r="G167" s="2330">
        <v>43284</v>
      </c>
      <c r="H167" s="2330" t="s">
        <v>895</v>
      </c>
      <c r="I167" s="2330" t="s">
        <v>169</v>
      </c>
      <c r="J167" s="2422" t="s">
        <v>867</v>
      </c>
      <c r="K167" s="1777" t="s">
        <v>896</v>
      </c>
      <c r="L167" s="2330">
        <v>23173</v>
      </c>
      <c r="M167" s="1777"/>
      <c r="N167" s="2330"/>
      <c r="O167" s="962">
        <v>1000</v>
      </c>
      <c r="P167" s="2330">
        <v>1</v>
      </c>
      <c r="Q167" s="800">
        <f t="shared" si="29"/>
        <v>1000</v>
      </c>
      <c r="R167" s="800"/>
      <c r="S167" s="800"/>
      <c r="T167" s="800"/>
      <c r="U167" s="800"/>
      <c r="V167" s="800"/>
      <c r="W167" s="800">
        <v>1000</v>
      </c>
      <c r="X167" s="800"/>
      <c r="Y167" s="800"/>
      <c r="Z167" s="1777"/>
      <c r="AA167" s="1777"/>
      <c r="AB167" s="1777"/>
      <c r="AC167" s="1777"/>
      <c r="AD167" s="1777"/>
      <c r="AE167" s="1777"/>
      <c r="AF167" s="1777"/>
      <c r="AG167" s="2348">
        <f t="shared" si="28"/>
        <v>1000</v>
      </c>
    </row>
    <row r="168" spans="1:33" ht="31.5" outlineLevel="2">
      <c r="A168" s="2330">
        <v>2233</v>
      </c>
      <c r="B168" s="2517" t="s">
        <v>1036</v>
      </c>
      <c r="C168" s="2418" t="s">
        <v>894</v>
      </c>
      <c r="D168" s="2427"/>
      <c r="E168" s="2330">
        <v>2</v>
      </c>
      <c r="F168" s="2330" t="s">
        <v>899</v>
      </c>
      <c r="G168" s="2330" t="s">
        <v>900</v>
      </c>
      <c r="H168" s="2330" t="s">
        <v>895</v>
      </c>
      <c r="I168" s="2330" t="s">
        <v>169</v>
      </c>
      <c r="J168" s="2422" t="s">
        <v>867</v>
      </c>
      <c r="K168" s="1777" t="s">
        <v>896</v>
      </c>
      <c r="L168" s="2330">
        <v>23173</v>
      </c>
      <c r="M168" s="1777"/>
      <c r="N168" s="2330"/>
      <c r="O168" s="962">
        <v>1000</v>
      </c>
      <c r="P168" s="2330">
        <v>1</v>
      </c>
      <c r="Q168" s="2290">
        <f t="shared" si="29"/>
        <v>1000</v>
      </c>
      <c r="R168" s="800"/>
      <c r="S168" s="2290"/>
      <c r="T168" s="2290"/>
      <c r="U168" s="800"/>
      <c r="V168" s="800"/>
      <c r="W168" s="800"/>
      <c r="X168" s="1142">
        <v>1000</v>
      </c>
      <c r="Y168" s="1127"/>
      <c r="Z168" s="1199"/>
      <c r="AA168" s="1199"/>
      <c r="AB168" s="1199"/>
      <c r="AC168" s="1199"/>
      <c r="AD168" s="1199"/>
      <c r="AE168" s="1199"/>
      <c r="AF168" s="1199"/>
      <c r="AG168" s="547">
        <f t="shared" si="28"/>
        <v>1000</v>
      </c>
    </row>
    <row r="169" spans="1:33" ht="31.5" outlineLevel="2">
      <c r="A169" s="2330">
        <v>2234</v>
      </c>
      <c r="B169" s="2518" t="s">
        <v>1038</v>
      </c>
      <c r="C169" s="2418" t="s">
        <v>846</v>
      </c>
      <c r="D169" s="2427"/>
      <c r="E169" s="2330">
        <v>45</v>
      </c>
      <c r="F169" s="2330">
        <v>43200</v>
      </c>
      <c r="G169" s="2330">
        <v>43245</v>
      </c>
      <c r="H169" s="2330" t="s">
        <v>368</v>
      </c>
      <c r="I169" s="2330" t="s">
        <v>174</v>
      </c>
      <c r="J169" s="2422" t="s">
        <v>169</v>
      </c>
      <c r="K169" s="1777" t="s">
        <v>847</v>
      </c>
      <c r="L169" s="2330">
        <v>23173</v>
      </c>
      <c r="M169" s="1777"/>
      <c r="N169" s="2330"/>
      <c r="O169" s="800">
        <v>80</v>
      </c>
      <c r="P169" s="2330">
        <v>3</v>
      </c>
      <c r="Q169" s="2290">
        <f t="shared" si="29"/>
        <v>240</v>
      </c>
      <c r="R169" s="800"/>
      <c r="S169" s="2290"/>
      <c r="T169" s="2290"/>
      <c r="U169" s="800"/>
      <c r="V169" s="2330">
        <v>240</v>
      </c>
      <c r="W169" s="800"/>
      <c r="X169" s="1142"/>
      <c r="Y169" s="1127"/>
      <c r="Z169" s="1199"/>
      <c r="AA169" s="1199"/>
      <c r="AB169" s="1199"/>
      <c r="AC169" s="1199"/>
      <c r="AD169" s="1199"/>
      <c r="AE169" s="1199"/>
      <c r="AF169" s="1199"/>
      <c r="AG169" s="547">
        <f t="shared" si="28"/>
        <v>240</v>
      </c>
    </row>
    <row r="170" spans="1:33" outlineLevel="2">
      <c r="A170" s="2330">
        <v>2241</v>
      </c>
      <c r="B170" s="2517" t="s">
        <v>906</v>
      </c>
      <c r="C170" s="2418" t="s">
        <v>907</v>
      </c>
      <c r="D170" s="2427"/>
      <c r="E170" s="2428">
        <v>20</v>
      </c>
      <c r="F170" s="2330">
        <v>43212</v>
      </c>
      <c r="G170" s="2330">
        <v>43231</v>
      </c>
      <c r="H170" s="2330" t="s">
        <v>368</v>
      </c>
      <c r="I170" s="2330" t="s">
        <v>169</v>
      </c>
      <c r="J170" s="2422" t="s">
        <v>174</v>
      </c>
      <c r="K170" s="1777" t="s">
        <v>847</v>
      </c>
      <c r="L170" s="2330">
        <v>23173</v>
      </c>
      <c r="M170" s="1777"/>
      <c r="N170" s="2330"/>
      <c r="O170" s="962">
        <v>80</v>
      </c>
      <c r="P170" s="2330">
        <v>3</v>
      </c>
      <c r="Q170" s="2290">
        <f t="shared" si="29"/>
        <v>240</v>
      </c>
      <c r="R170" s="800"/>
      <c r="S170" s="2290"/>
      <c r="T170" s="2290"/>
      <c r="U170" s="800">
        <v>240</v>
      </c>
      <c r="V170" s="800"/>
      <c r="W170" s="800"/>
      <c r="X170" s="1142"/>
      <c r="Y170" s="1127"/>
      <c r="Z170" s="1199"/>
      <c r="AA170" s="1199"/>
      <c r="AB170" s="1199"/>
      <c r="AC170" s="1199"/>
      <c r="AD170" s="1199"/>
      <c r="AE170" s="1199"/>
      <c r="AF170" s="1199"/>
      <c r="AG170" s="547">
        <f t="shared" si="28"/>
        <v>240</v>
      </c>
    </row>
    <row r="171" spans="1:33" ht="31.5" outlineLevel="2">
      <c r="A171" s="2330">
        <v>2311</v>
      </c>
      <c r="B171" s="2519" t="s">
        <v>512</v>
      </c>
      <c r="C171" s="2474" t="s">
        <v>513</v>
      </c>
      <c r="D171" s="2476" t="s">
        <v>514</v>
      </c>
      <c r="E171" s="2476">
        <v>150</v>
      </c>
      <c r="F171" s="2476">
        <v>43193</v>
      </c>
      <c r="G171" s="2476">
        <f>E171+F171</f>
        <v>43343</v>
      </c>
      <c r="H171" s="2476" t="s">
        <v>515</v>
      </c>
      <c r="I171" s="2476" t="s">
        <v>516</v>
      </c>
      <c r="J171" s="2338" t="s">
        <v>517</v>
      </c>
      <c r="K171" s="2477" t="s">
        <v>518</v>
      </c>
      <c r="L171" s="2476">
        <v>23173</v>
      </c>
      <c r="M171" s="2476"/>
      <c r="N171" s="2476" t="s">
        <v>366</v>
      </c>
      <c r="O171" s="653">
        <v>0.12</v>
      </c>
      <c r="P171" s="653">
        <v>52301.824000000001</v>
      </c>
      <c r="Q171" s="2306">
        <f t="shared" si="29"/>
        <v>6276.2188799999994</v>
      </c>
      <c r="R171" s="653"/>
      <c r="S171" s="2308"/>
      <c r="T171" s="2287"/>
      <c r="U171" s="2285">
        <v>6276.2188799999994</v>
      </c>
      <c r="V171" s="2285"/>
      <c r="W171" s="2285"/>
      <c r="X171" s="2340"/>
      <c r="Y171" s="1164"/>
      <c r="Z171" s="1199"/>
      <c r="AA171" s="1199"/>
      <c r="AB171" s="1199"/>
      <c r="AC171" s="1199"/>
      <c r="AD171" s="1199"/>
      <c r="AE171" s="1199"/>
      <c r="AF171" s="1199"/>
      <c r="AG171" s="547">
        <f t="shared" si="28"/>
        <v>6276.2188799999994</v>
      </c>
    </row>
    <row r="172" spans="1:33" ht="31.5" outlineLevel="2">
      <c r="A172" s="2330">
        <v>2312</v>
      </c>
      <c r="B172" s="2519" t="s">
        <v>519</v>
      </c>
      <c r="C172" s="2474" t="s">
        <v>520</v>
      </c>
      <c r="D172" s="2476" t="s">
        <v>514</v>
      </c>
      <c r="E172" s="2476">
        <v>150</v>
      </c>
      <c r="F172" s="2476">
        <v>43193</v>
      </c>
      <c r="G172" s="2476">
        <f>E172+F172</f>
        <v>43343</v>
      </c>
      <c r="H172" s="2476" t="s">
        <v>515</v>
      </c>
      <c r="I172" s="2476" t="s">
        <v>516</v>
      </c>
      <c r="J172" s="2338" t="s">
        <v>517</v>
      </c>
      <c r="K172" s="2477" t="s">
        <v>521</v>
      </c>
      <c r="L172" s="2476">
        <v>23173</v>
      </c>
      <c r="M172" s="2479"/>
      <c r="N172" s="2476" t="s">
        <v>366</v>
      </c>
      <c r="O172" s="2275">
        <v>0.11</v>
      </c>
      <c r="P172" s="2275">
        <v>355473.40800000005</v>
      </c>
      <c r="Q172" s="2306">
        <f t="shared" si="29"/>
        <v>39102.074880000007</v>
      </c>
      <c r="R172" s="653"/>
      <c r="S172" s="2308"/>
      <c r="T172" s="2291"/>
      <c r="U172" s="2285">
        <v>39102.074880000007</v>
      </c>
      <c r="V172" s="2285"/>
      <c r="W172" s="2285"/>
      <c r="X172" s="2340"/>
      <c r="Y172" s="1164"/>
      <c r="Z172" s="1199"/>
      <c r="AA172" s="1199"/>
      <c r="AB172" s="1199"/>
      <c r="AC172" s="1199"/>
      <c r="AD172" s="1199"/>
      <c r="AE172" s="1199"/>
      <c r="AF172" s="1199"/>
      <c r="AG172" s="547">
        <f t="shared" si="28"/>
        <v>39102.074880000007</v>
      </c>
    </row>
    <row r="173" spans="1:33" ht="31.5" outlineLevel="2">
      <c r="A173" s="2330">
        <v>2351</v>
      </c>
      <c r="B173" s="2519" t="s">
        <v>545</v>
      </c>
      <c r="C173" s="2474" t="s">
        <v>546</v>
      </c>
      <c r="D173" s="2476" t="s">
        <v>514</v>
      </c>
      <c r="E173" s="2476">
        <v>70</v>
      </c>
      <c r="F173" s="2476">
        <v>43248</v>
      </c>
      <c r="G173" s="2476">
        <f>E173+F173</f>
        <v>43318</v>
      </c>
      <c r="H173" s="2476" t="s">
        <v>529</v>
      </c>
      <c r="I173" s="2476" t="s">
        <v>169</v>
      </c>
      <c r="J173" s="2338" t="s">
        <v>526</v>
      </c>
      <c r="K173" s="2477" t="s">
        <v>547</v>
      </c>
      <c r="L173" s="2476">
        <v>23173</v>
      </c>
      <c r="M173" s="1777"/>
      <c r="N173" s="2476" t="s">
        <v>366</v>
      </c>
      <c r="O173" s="653">
        <v>340</v>
      </c>
      <c r="P173" s="2476">
        <v>1</v>
      </c>
      <c r="Q173" s="2306">
        <f t="shared" si="29"/>
        <v>340</v>
      </c>
      <c r="R173" s="2285"/>
      <c r="S173" s="2308"/>
      <c r="T173" s="2308"/>
      <c r="U173" s="2287"/>
      <c r="V173" s="2285">
        <v>340</v>
      </c>
      <c r="W173" s="2285"/>
      <c r="X173" s="2340"/>
      <c r="Y173" s="1164"/>
      <c r="Z173" s="1164"/>
      <c r="AA173" s="1164"/>
      <c r="AB173" s="1164"/>
      <c r="AC173" s="1164"/>
      <c r="AD173" s="1164"/>
      <c r="AE173" s="1164"/>
      <c r="AF173" s="1164"/>
      <c r="AG173" s="547">
        <f t="shared" si="28"/>
        <v>340</v>
      </c>
    </row>
    <row r="174" spans="1:33" ht="31.5" outlineLevel="2">
      <c r="A174" s="2429">
        <v>3112</v>
      </c>
      <c r="B174" s="2520" t="s">
        <v>249</v>
      </c>
      <c r="C174" s="2431" t="s">
        <v>250</v>
      </c>
      <c r="D174" s="2429"/>
      <c r="E174" s="2429">
        <v>45</v>
      </c>
      <c r="F174" s="2429">
        <v>43193</v>
      </c>
      <c r="G174" s="2429">
        <f t="shared" ref="G174:G182" si="30">F174+E174</f>
        <v>43238</v>
      </c>
      <c r="H174" s="2429" t="s">
        <v>247</v>
      </c>
      <c r="I174" s="2429" t="s">
        <v>169</v>
      </c>
      <c r="J174" s="2432" t="s">
        <v>176</v>
      </c>
      <c r="K174" s="1777" t="s">
        <v>256</v>
      </c>
      <c r="L174" s="2429">
        <v>23173</v>
      </c>
      <c r="M174" s="2367"/>
      <c r="N174" s="2429">
        <v>23173</v>
      </c>
      <c r="O174" s="2521">
        <f>765000/3000</f>
        <v>255</v>
      </c>
      <c r="P174" s="2436">
        <v>1</v>
      </c>
      <c r="Q174" s="2307">
        <f t="shared" si="29"/>
        <v>255</v>
      </c>
      <c r="R174" s="2331"/>
      <c r="S174" s="2349"/>
      <c r="T174" s="2349"/>
      <c r="U174" s="2331">
        <v>255</v>
      </c>
      <c r="V174" s="2331"/>
      <c r="W174" s="2331"/>
      <c r="X174" s="2332"/>
      <c r="Y174" s="2333"/>
      <c r="Z174" s="2334"/>
      <c r="AA174" s="2334"/>
      <c r="AB174" s="2334"/>
      <c r="AC174" s="2334"/>
      <c r="AD174" s="2334"/>
      <c r="AE174" s="2334"/>
      <c r="AF174" s="2334"/>
      <c r="AG174" s="547">
        <f t="shared" ref="AG174:AG205" si="31">SUM(S174:AF174)</f>
        <v>255</v>
      </c>
    </row>
    <row r="175" spans="1:33" ht="31.5" outlineLevel="2">
      <c r="A175" s="2429">
        <v>3112</v>
      </c>
      <c r="B175" s="2520" t="s">
        <v>249</v>
      </c>
      <c r="C175" s="2431" t="s">
        <v>250</v>
      </c>
      <c r="D175" s="2429"/>
      <c r="E175" s="2429">
        <v>10</v>
      </c>
      <c r="F175" s="2429">
        <v>43238</v>
      </c>
      <c r="G175" s="2429">
        <f t="shared" si="30"/>
        <v>43248</v>
      </c>
      <c r="H175" s="2429" t="s">
        <v>247</v>
      </c>
      <c r="I175" s="2429" t="s">
        <v>169</v>
      </c>
      <c r="J175" s="2432" t="s">
        <v>176</v>
      </c>
      <c r="K175" s="2367" t="s">
        <v>257</v>
      </c>
      <c r="L175" s="2429">
        <v>23173</v>
      </c>
      <c r="M175" s="2367"/>
      <c r="N175" s="2429">
        <v>23172</v>
      </c>
      <c r="O175" s="2521">
        <f>200000/3000</f>
        <v>66.666666666666671</v>
      </c>
      <c r="P175" s="2436">
        <v>5</v>
      </c>
      <c r="Q175" s="2307">
        <f t="shared" si="29"/>
        <v>333.33333333333337</v>
      </c>
      <c r="R175" s="2331"/>
      <c r="S175" s="2349"/>
      <c r="T175" s="2349"/>
      <c r="U175" s="2331">
        <v>333.33333333333337</v>
      </c>
      <c r="V175" s="2331"/>
      <c r="W175" s="2331"/>
      <c r="X175" s="2332"/>
      <c r="Y175" s="2333"/>
      <c r="Z175" s="2334"/>
      <c r="AA175" s="2334"/>
      <c r="AB175" s="2334"/>
      <c r="AC175" s="2334"/>
      <c r="AD175" s="2334"/>
      <c r="AE175" s="2334"/>
      <c r="AF175" s="2334"/>
      <c r="AG175" s="547">
        <f t="shared" si="31"/>
        <v>333.33333333333337</v>
      </c>
    </row>
    <row r="176" spans="1:33" ht="47.25" outlineLevel="2">
      <c r="A176" s="2429">
        <v>3114</v>
      </c>
      <c r="B176" s="2520" t="s">
        <v>266</v>
      </c>
      <c r="C176" s="2431" t="s">
        <v>267</v>
      </c>
      <c r="D176" s="2429"/>
      <c r="E176" s="2429">
        <v>45</v>
      </c>
      <c r="F176" s="2429">
        <v>43193</v>
      </c>
      <c r="G176" s="2429">
        <f t="shared" si="30"/>
        <v>43238</v>
      </c>
      <c r="H176" s="2429" t="s">
        <v>247</v>
      </c>
      <c r="I176" s="2429" t="s">
        <v>169</v>
      </c>
      <c r="J176" s="2432" t="s">
        <v>176</v>
      </c>
      <c r="K176" s="1777" t="s">
        <v>256</v>
      </c>
      <c r="L176" s="2429">
        <v>23173</v>
      </c>
      <c r="M176" s="2367"/>
      <c r="N176" s="2429">
        <v>23173</v>
      </c>
      <c r="O176" s="2521">
        <f>45000/3000</f>
        <v>15</v>
      </c>
      <c r="P176" s="2436">
        <v>1</v>
      </c>
      <c r="Q176" s="2307">
        <f t="shared" si="29"/>
        <v>15</v>
      </c>
      <c r="R176" s="2331"/>
      <c r="S176" s="2349"/>
      <c r="T176" s="2349"/>
      <c r="U176" s="2331">
        <v>15</v>
      </c>
      <c r="V176" s="2367"/>
      <c r="W176" s="2331"/>
      <c r="X176" s="2332"/>
      <c r="Y176" s="2333"/>
      <c r="Z176" s="2334"/>
      <c r="AA176" s="2334"/>
      <c r="AB176" s="2334"/>
      <c r="AC176" s="2334"/>
      <c r="AD176" s="2334"/>
      <c r="AE176" s="2334"/>
      <c r="AF176" s="2334"/>
      <c r="AG176" s="547">
        <f t="shared" si="31"/>
        <v>15</v>
      </c>
    </row>
    <row r="177" spans="1:33" ht="47.25" outlineLevel="2">
      <c r="A177" s="2429">
        <v>3114</v>
      </c>
      <c r="B177" s="2481" t="s">
        <v>266</v>
      </c>
      <c r="C177" s="2522" t="s">
        <v>267</v>
      </c>
      <c r="D177" s="2429"/>
      <c r="E177" s="2429">
        <v>15</v>
      </c>
      <c r="F177" s="2429">
        <v>43269</v>
      </c>
      <c r="G177" s="2429">
        <f t="shared" si="30"/>
        <v>43284</v>
      </c>
      <c r="H177" s="2429" t="s">
        <v>247</v>
      </c>
      <c r="I177" s="2429" t="s">
        <v>169</v>
      </c>
      <c r="J177" s="2432" t="s">
        <v>176</v>
      </c>
      <c r="K177" s="2367" t="s">
        <v>257</v>
      </c>
      <c r="L177" s="2429">
        <v>23173</v>
      </c>
      <c r="M177" s="2367"/>
      <c r="N177" s="2429">
        <v>23172</v>
      </c>
      <c r="O177" s="2521">
        <f>200000/3000</f>
        <v>66.666666666666671</v>
      </c>
      <c r="P177" s="2436">
        <v>6</v>
      </c>
      <c r="Q177" s="2307">
        <f t="shared" si="29"/>
        <v>400</v>
      </c>
      <c r="R177" s="2331"/>
      <c r="S177" s="2349"/>
      <c r="T177" s="2349"/>
      <c r="U177" s="2331"/>
      <c r="V177" s="2331">
        <v>400</v>
      </c>
      <c r="W177" s="2331"/>
      <c r="X177" s="2332"/>
      <c r="Y177" s="2333"/>
      <c r="Z177" s="2334"/>
      <c r="AA177" s="2334"/>
      <c r="AB177" s="2334"/>
      <c r="AC177" s="2334"/>
      <c r="AD177" s="2334"/>
      <c r="AE177" s="2334"/>
      <c r="AF177" s="2334"/>
      <c r="AG177" s="547">
        <f t="shared" si="31"/>
        <v>400</v>
      </c>
    </row>
    <row r="178" spans="1:33" ht="31.5" outlineLevel="2">
      <c r="A178" s="2429">
        <v>3115</v>
      </c>
      <c r="B178" s="2481" t="s">
        <v>269</v>
      </c>
      <c r="C178" s="2522" t="s">
        <v>270</v>
      </c>
      <c r="D178" s="2429"/>
      <c r="E178" s="2429">
        <v>45</v>
      </c>
      <c r="F178" s="2429">
        <v>43193</v>
      </c>
      <c r="G178" s="2429">
        <f t="shared" si="30"/>
        <v>43238</v>
      </c>
      <c r="H178" s="2429" t="s">
        <v>247</v>
      </c>
      <c r="I178" s="2429" t="s">
        <v>169</v>
      </c>
      <c r="J178" s="2432" t="s">
        <v>176</v>
      </c>
      <c r="K178" s="1777" t="s">
        <v>256</v>
      </c>
      <c r="L178" s="2429">
        <v>23173</v>
      </c>
      <c r="M178" s="2367"/>
      <c r="N178" s="2429">
        <v>23173</v>
      </c>
      <c r="O178" s="2521">
        <f>217000/3000</f>
        <v>72.333333333333329</v>
      </c>
      <c r="P178" s="2436">
        <v>1</v>
      </c>
      <c r="Q178" s="2307">
        <f t="shared" si="29"/>
        <v>72.333333333333329</v>
      </c>
      <c r="R178" s="2331"/>
      <c r="S178" s="2349"/>
      <c r="T178" s="2349"/>
      <c r="U178" s="2331">
        <v>72.333333333333329</v>
      </c>
      <c r="V178" s="2331"/>
      <c r="W178" s="2367"/>
      <c r="X178" s="2332"/>
      <c r="Y178" s="2333"/>
      <c r="Z178" s="2334"/>
      <c r="AA178" s="2334"/>
      <c r="AB178" s="2334"/>
      <c r="AC178" s="2334"/>
      <c r="AD178" s="2334"/>
      <c r="AE178" s="2334"/>
      <c r="AF178" s="2334"/>
      <c r="AG178" s="547">
        <f t="shared" si="31"/>
        <v>72.333333333333329</v>
      </c>
    </row>
    <row r="179" spans="1:33" ht="31.5" outlineLevel="2">
      <c r="A179" s="2429">
        <v>3115</v>
      </c>
      <c r="B179" s="2481" t="s">
        <v>269</v>
      </c>
      <c r="C179" s="2522" t="s">
        <v>270</v>
      </c>
      <c r="D179" s="2429"/>
      <c r="E179" s="2429">
        <v>15</v>
      </c>
      <c r="F179" s="2429">
        <v>43290</v>
      </c>
      <c r="G179" s="2429">
        <f t="shared" si="30"/>
        <v>43305</v>
      </c>
      <c r="H179" s="2429" t="s">
        <v>247</v>
      </c>
      <c r="I179" s="2429" t="s">
        <v>169</v>
      </c>
      <c r="J179" s="2432" t="s">
        <v>176</v>
      </c>
      <c r="K179" s="2367" t="s">
        <v>257</v>
      </c>
      <c r="L179" s="2429">
        <v>23173</v>
      </c>
      <c r="M179" s="2367"/>
      <c r="N179" s="2429">
        <v>23172</v>
      </c>
      <c r="O179" s="2521">
        <f>200000/3000</f>
        <v>66.666666666666671</v>
      </c>
      <c r="P179" s="2436">
        <v>7</v>
      </c>
      <c r="Q179" s="2307">
        <f t="shared" si="29"/>
        <v>466.66666666666669</v>
      </c>
      <c r="R179" s="2331"/>
      <c r="S179" s="2349"/>
      <c r="T179" s="2349"/>
      <c r="U179" s="2331"/>
      <c r="V179" s="2331"/>
      <c r="W179" s="2331">
        <v>466.66666666666669</v>
      </c>
      <c r="X179" s="2332"/>
      <c r="Y179" s="2333"/>
      <c r="Z179" s="2334"/>
      <c r="AA179" s="2334"/>
      <c r="AB179" s="2334"/>
      <c r="AC179" s="2334"/>
      <c r="AD179" s="2334"/>
      <c r="AE179" s="2334"/>
      <c r="AF179" s="2334"/>
      <c r="AG179" s="547">
        <f t="shared" si="31"/>
        <v>466.66666666666669</v>
      </c>
    </row>
    <row r="180" spans="1:33" ht="47.25" outlineLevel="2">
      <c r="A180" s="2429">
        <v>3116</v>
      </c>
      <c r="B180" s="2481" t="s">
        <v>271</v>
      </c>
      <c r="C180" s="2522" t="s">
        <v>272</v>
      </c>
      <c r="D180" s="2429"/>
      <c r="E180" s="2429">
        <v>15</v>
      </c>
      <c r="F180" s="2429">
        <v>43311</v>
      </c>
      <c r="G180" s="2429">
        <f t="shared" si="30"/>
        <v>43326</v>
      </c>
      <c r="H180" s="2429" t="s">
        <v>247</v>
      </c>
      <c r="I180" s="2429" t="s">
        <v>169</v>
      </c>
      <c r="J180" s="2432" t="s">
        <v>176</v>
      </c>
      <c r="K180" s="2367" t="s">
        <v>273</v>
      </c>
      <c r="L180" s="2429">
        <v>23173</v>
      </c>
      <c r="M180" s="2367"/>
      <c r="N180" s="2429">
        <v>23173</v>
      </c>
      <c r="O180" s="2521">
        <f>(0.15*4000*2)/3000</f>
        <v>0.4</v>
      </c>
      <c r="P180" s="2436">
        <v>170</v>
      </c>
      <c r="Q180" s="2307">
        <f t="shared" si="29"/>
        <v>68</v>
      </c>
      <c r="R180" s="2331"/>
      <c r="S180" s="2349"/>
      <c r="T180" s="2349"/>
      <c r="U180" s="2331"/>
      <c r="V180" s="2331"/>
      <c r="W180" s="2331"/>
      <c r="X180" s="2332">
        <v>68</v>
      </c>
      <c r="Y180" s="2333"/>
      <c r="Z180" s="2334"/>
      <c r="AA180" s="2334"/>
      <c r="AB180" s="2334"/>
      <c r="AC180" s="2334"/>
      <c r="AD180" s="2334"/>
      <c r="AE180" s="2334"/>
      <c r="AF180" s="2334"/>
      <c r="AG180" s="547">
        <f t="shared" si="31"/>
        <v>68</v>
      </c>
    </row>
    <row r="181" spans="1:33" ht="47.25" outlineLevel="2">
      <c r="A181" s="2429">
        <v>3116</v>
      </c>
      <c r="B181" s="2481" t="s">
        <v>271</v>
      </c>
      <c r="C181" s="2522" t="s">
        <v>272</v>
      </c>
      <c r="D181" s="2429"/>
      <c r="E181" s="2429">
        <v>45</v>
      </c>
      <c r="F181" s="2429">
        <v>43193</v>
      </c>
      <c r="G181" s="2429">
        <f t="shared" si="30"/>
        <v>43238</v>
      </c>
      <c r="H181" s="2429" t="s">
        <v>247</v>
      </c>
      <c r="I181" s="2429" t="s">
        <v>169</v>
      </c>
      <c r="J181" s="2432" t="s">
        <v>176</v>
      </c>
      <c r="K181" s="1777" t="s">
        <v>256</v>
      </c>
      <c r="L181" s="2429">
        <v>23173</v>
      </c>
      <c r="M181" s="2367"/>
      <c r="N181" s="2429">
        <v>23173</v>
      </c>
      <c r="O181" s="2521">
        <f>146000/3000</f>
        <v>48.666666666666664</v>
      </c>
      <c r="P181" s="2436">
        <v>1</v>
      </c>
      <c r="Q181" s="2307">
        <f t="shared" si="29"/>
        <v>48.666666666666664</v>
      </c>
      <c r="R181" s="2331"/>
      <c r="S181" s="2349"/>
      <c r="T181" s="2349"/>
      <c r="U181" s="2331">
        <v>48.666666666666664</v>
      </c>
      <c r="V181" s="2331"/>
      <c r="W181" s="2331"/>
      <c r="X181" s="2523"/>
      <c r="Y181" s="2333"/>
      <c r="Z181" s="2334"/>
      <c r="AA181" s="2334"/>
      <c r="AB181" s="2334"/>
      <c r="AC181" s="2334"/>
      <c r="AD181" s="2334"/>
      <c r="AE181" s="2334"/>
      <c r="AF181" s="2334"/>
      <c r="AG181" s="547">
        <f t="shared" si="31"/>
        <v>48.666666666666664</v>
      </c>
    </row>
    <row r="182" spans="1:33" ht="47.25" outlineLevel="2">
      <c r="A182" s="2429">
        <v>3116</v>
      </c>
      <c r="B182" s="2481" t="s">
        <v>271</v>
      </c>
      <c r="C182" s="2522" t="s">
        <v>272</v>
      </c>
      <c r="D182" s="2429"/>
      <c r="E182" s="2429">
        <v>15</v>
      </c>
      <c r="F182" s="2429">
        <v>43311</v>
      </c>
      <c r="G182" s="2429">
        <f t="shared" si="30"/>
        <v>43326</v>
      </c>
      <c r="H182" s="2429" t="s">
        <v>247</v>
      </c>
      <c r="I182" s="2429" t="s">
        <v>169</v>
      </c>
      <c r="J182" s="2432" t="s">
        <v>176</v>
      </c>
      <c r="K182" s="2367" t="s">
        <v>257</v>
      </c>
      <c r="L182" s="2429">
        <v>23173</v>
      </c>
      <c r="M182" s="2367"/>
      <c r="N182" s="2429">
        <v>23172</v>
      </c>
      <c r="O182" s="2521">
        <f>200000/3000</f>
        <v>66.666666666666671</v>
      </c>
      <c r="P182" s="2436">
        <v>1</v>
      </c>
      <c r="Q182" s="2307">
        <f t="shared" si="29"/>
        <v>66.666666666666671</v>
      </c>
      <c r="R182" s="2331"/>
      <c r="S182" s="2349"/>
      <c r="T182" s="2349"/>
      <c r="U182" s="2331"/>
      <c r="V182" s="2331"/>
      <c r="W182" s="2331"/>
      <c r="X182" s="2332">
        <v>66.666666666666671</v>
      </c>
      <c r="Y182" s="2333"/>
      <c r="Z182" s="2334"/>
      <c r="AA182" s="2334"/>
      <c r="AB182" s="2334"/>
      <c r="AC182" s="2334"/>
      <c r="AD182" s="2334"/>
      <c r="AE182" s="2334"/>
      <c r="AF182" s="2334"/>
      <c r="AG182" s="547">
        <f t="shared" si="31"/>
        <v>66.666666666666671</v>
      </c>
    </row>
    <row r="183" spans="1:33" outlineLevel="2">
      <c r="A183" s="2330">
        <v>3212</v>
      </c>
      <c r="B183" s="2418" t="s">
        <v>556</v>
      </c>
      <c r="C183" s="2524" t="s">
        <v>559</v>
      </c>
      <c r="D183" s="2330" t="s">
        <v>514</v>
      </c>
      <c r="E183" s="2330">
        <v>45</v>
      </c>
      <c r="F183" s="2330">
        <v>43194</v>
      </c>
      <c r="G183" s="2330">
        <f>+E183+F183</f>
        <v>43239</v>
      </c>
      <c r="H183" s="2428" t="s">
        <v>555</v>
      </c>
      <c r="I183" s="2330" t="s">
        <v>169</v>
      </c>
      <c r="J183" s="2422" t="s">
        <v>177</v>
      </c>
      <c r="K183" s="1777" t="s">
        <v>302</v>
      </c>
      <c r="L183" s="2330">
        <v>23173</v>
      </c>
      <c r="M183" s="1777"/>
      <c r="N183" s="2330"/>
      <c r="O183" s="800">
        <v>202.6</v>
      </c>
      <c r="P183" s="2330">
        <v>1</v>
      </c>
      <c r="Q183" s="2290">
        <f t="shared" si="29"/>
        <v>202.6</v>
      </c>
      <c r="R183" s="800"/>
      <c r="S183" s="2290"/>
      <c r="T183" s="2290"/>
      <c r="U183" s="800"/>
      <c r="V183" s="800"/>
      <c r="W183" s="800">
        <v>202.6</v>
      </c>
      <c r="X183" s="1142"/>
      <c r="Y183" s="1127"/>
      <c r="Z183" s="1127"/>
      <c r="AA183" s="1127"/>
      <c r="AB183" s="1127"/>
      <c r="AC183" s="1127"/>
      <c r="AD183" s="1127"/>
      <c r="AE183" s="1127"/>
      <c r="AF183" s="1127"/>
      <c r="AG183" s="547">
        <f t="shared" si="31"/>
        <v>202.6</v>
      </c>
    </row>
    <row r="184" spans="1:33" outlineLevel="2">
      <c r="A184" s="2330">
        <v>3212</v>
      </c>
      <c r="B184" s="2418" t="s">
        <v>556</v>
      </c>
      <c r="C184" s="2524" t="s">
        <v>566</v>
      </c>
      <c r="D184" s="2428"/>
      <c r="E184" s="2330">
        <f>10</f>
        <v>10</v>
      </c>
      <c r="F184" s="2330">
        <v>43252</v>
      </c>
      <c r="G184" s="2330">
        <f>+F184+E184</f>
        <v>43262</v>
      </c>
      <c r="H184" s="2428" t="s">
        <v>555</v>
      </c>
      <c r="I184" s="2330" t="s">
        <v>169</v>
      </c>
      <c r="J184" s="2422" t="s">
        <v>177</v>
      </c>
      <c r="K184" s="1777" t="s">
        <v>486</v>
      </c>
      <c r="L184" s="2330">
        <v>23173</v>
      </c>
      <c r="M184" s="1777"/>
      <c r="N184" s="2330"/>
      <c r="O184" s="800">
        <v>333.33333333333331</v>
      </c>
      <c r="P184" s="2330">
        <v>1</v>
      </c>
      <c r="Q184" s="2290">
        <f t="shared" si="29"/>
        <v>333.33333333333331</v>
      </c>
      <c r="R184" s="800"/>
      <c r="S184" s="2290"/>
      <c r="T184" s="2290"/>
      <c r="U184" s="800"/>
      <c r="V184" s="800"/>
      <c r="W184" s="800">
        <v>333.33333333333331</v>
      </c>
      <c r="X184" s="1142"/>
      <c r="Y184" s="1127"/>
      <c r="Z184" s="1127"/>
      <c r="AA184" s="1127"/>
      <c r="AB184" s="1127"/>
      <c r="AC184" s="1127"/>
      <c r="AD184" s="1127"/>
      <c r="AE184" s="1127"/>
      <c r="AF184" s="1127"/>
      <c r="AG184" s="547">
        <f t="shared" si="31"/>
        <v>333.33333333333331</v>
      </c>
    </row>
    <row r="185" spans="1:33" outlineLevel="2">
      <c r="A185" s="2330">
        <v>3214</v>
      </c>
      <c r="B185" s="2418" t="s">
        <v>570</v>
      </c>
      <c r="C185" s="2524" t="s">
        <v>571</v>
      </c>
      <c r="D185" s="2330"/>
      <c r="E185" s="2330"/>
      <c r="F185" s="2330">
        <v>43282</v>
      </c>
      <c r="G185" s="2330"/>
      <c r="H185" s="2330" t="s">
        <v>555</v>
      </c>
      <c r="I185" s="2330" t="s">
        <v>169</v>
      </c>
      <c r="J185" s="2422" t="s">
        <v>177</v>
      </c>
      <c r="K185" s="1777" t="s">
        <v>302</v>
      </c>
      <c r="L185" s="2330">
        <v>23173</v>
      </c>
      <c r="M185" s="1777"/>
      <c r="N185" s="2330"/>
      <c r="O185" s="2285">
        <v>0.63</v>
      </c>
      <c r="P185" s="2330">
        <v>25600</v>
      </c>
      <c r="Q185" s="2308">
        <f t="shared" ref="Q185:Q197" si="32">+O185*P185</f>
        <v>16128</v>
      </c>
      <c r="R185" s="2285"/>
      <c r="S185" s="2308"/>
      <c r="T185" s="2308"/>
      <c r="U185" s="2285"/>
      <c r="V185" s="2285"/>
      <c r="W185" s="2285">
        <v>16128</v>
      </c>
      <c r="X185" s="2340"/>
      <c r="Y185" s="1164"/>
      <c r="Z185" s="1164"/>
      <c r="AA185" s="1164"/>
      <c r="AB185" s="1164"/>
      <c r="AC185" s="1164"/>
      <c r="AD185" s="1164"/>
      <c r="AE185" s="1164"/>
      <c r="AF185" s="1164"/>
      <c r="AG185" s="547">
        <f t="shared" si="31"/>
        <v>16128</v>
      </c>
    </row>
    <row r="186" spans="1:33" outlineLevel="2">
      <c r="A186" s="2330">
        <v>3222</v>
      </c>
      <c r="B186" s="2442" t="s">
        <v>575</v>
      </c>
      <c r="C186" s="2524" t="s">
        <v>579</v>
      </c>
      <c r="D186" s="2330" t="s">
        <v>514</v>
      </c>
      <c r="E186" s="2330">
        <v>45</v>
      </c>
      <c r="F186" s="2330">
        <v>43194</v>
      </c>
      <c r="G186" s="2330">
        <f t="shared" ref="G186:G193" si="33">+F186+E186</f>
        <v>43239</v>
      </c>
      <c r="H186" s="2428" t="s">
        <v>555</v>
      </c>
      <c r="I186" s="2330" t="s">
        <v>169</v>
      </c>
      <c r="J186" s="2422"/>
      <c r="K186" s="1777" t="s">
        <v>302</v>
      </c>
      <c r="L186" s="2330">
        <v>23173</v>
      </c>
      <c r="M186" s="1777"/>
      <c r="N186" s="2330"/>
      <c r="O186" s="800">
        <v>202.6</v>
      </c>
      <c r="P186" s="2330">
        <f>1</f>
        <v>1</v>
      </c>
      <c r="Q186" s="2290">
        <f t="shared" si="32"/>
        <v>202.6</v>
      </c>
      <c r="R186" s="800"/>
      <c r="S186" s="2290"/>
      <c r="T186" s="2290"/>
      <c r="U186" s="800"/>
      <c r="V186" s="800"/>
      <c r="W186" s="800"/>
      <c r="X186" s="1142"/>
      <c r="Y186" s="1127"/>
      <c r="Z186" s="1127">
        <v>202.6</v>
      </c>
      <c r="AA186" s="1127"/>
      <c r="AB186" s="1127"/>
      <c r="AC186" s="1127"/>
      <c r="AD186" s="1127"/>
      <c r="AE186" s="1127"/>
      <c r="AF186" s="1127"/>
      <c r="AG186" s="547">
        <f t="shared" si="31"/>
        <v>202.6</v>
      </c>
    </row>
    <row r="187" spans="1:33" outlineLevel="2">
      <c r="A187" s="2330">
        <v>3222</v>
      </c>
      <c r="B187" s="2442" t="s">
        <v>575</v>
      </c>
      <c r="C187" s="2524" t="s">
        <v>566</v>
      </c>
      <c r="D187" s="2428"/>
      <c r="E187" s="2330">
        <f>10</f>
        <v>10</v>
      </c>
      <c r="F187" s="2330">
        <v>43313</v>
      </c>
      <c r="G187" s="2330">
        <f t="shared" si="33"/>
        <v>43323</v>
      </c>
      <c r="H187" s="2428" t="s">
        <v>555</v>
      </c>
      <c r="I187" s="2330" t="s">
        <v>169</v>
      </c>
      <c r="J187" s="2422" t="s">
        <v>177</v>
      </c>
      <c r="K187" s="1777" t="s">
        <v>486</v>
      </c>
      <c r="L187" s="2330">
        <v>23173</v>
      </c>
      <c r="M187" s="1777"/>
      <c r="N187" s="2330"/>
      <c r="O187" s="800">
        <v>333.33333333333331</v>
      </c>
      <c r="P187" s="2330">
        <f>1</f>
        <v>1</v>
      </c>
      <c r="Q187" s="2290">
        <f t="shared" si="32"/>
        <v>333.33333333333331</v>
      </c>
      <c r="R187" s="800"/>
      <c r="S187" s="2290"/>
      <c r="T187" s="2290"/>
      <c r="U187" s="800"/>
      <c r="V187" s="800"/>
      <c r="W187" s="800"/>
      <c r="X187" s="1142"/>
      <c r="Y187" s="1127"/>
      <c r="Z187" s="1127">
        <v>333.33333333333331</v>
      </c>
      <c r="AA187" s="1127"/>
      <c r="AB187" s="1127"/>
      <c r="AC187" s="1127"/>
      <c r="AD187" s="1127"/>
      <c r="AE187" s="1127"/>
      <c r="AF187" s="1127"/>
      <c r="AG187" s="547">
        <f t="shared" si="31"/>
        <v>333.33333333333331</v>
      </c>
    </row>
    <row r="188" spans="1:33" outlineLevel="2">
      <c r="A188" s="2330">
        <v>3224</v>
      </c>
      <c r="B188" s="2418" t="s">
        <v>583</v>
      </c>
      <c r="C188" s="2524" t="s">
        <v>584</v>
      </c>
      <c r="D188" s="2525"/>
      <c r="E188" s="2428">
        <v>5</v>
      </c>
      <c r="F188" s="2330">
        <v>43381</v>
      </c>
      <c r="G188" s="2330">
        <f t="shared" si="33"/>
        <v>43386</v>
      </c>
      <c r="H188" s="2428" t="s">
        <v>555</v>
      </c>
      <c r="I188" s="2330" t="s">
        <v>169</v>
      </c>
      <c r="J188" s="2422" t="s">
        <v>177</v>
      </c>
      <c r="K188" s="1777"/>
      <c r="L188" s="2330">
        <v>23173</v>
      </c>
      <c r="M188" s="1777"/>
      <c r="N188" s="2330"/>
      <c r="O188" s="2285">
        <v>1000</v>
      </c>
      <c r="P188" s="2330">
        <v>1</v>
      </c>
      <c r="Q188" s="2308">
        <f t="shared" si="32"/>
        <v>1000</v>
      </c>
      <c r="R188" s="2285"/>
      <c r="S188" s="2308"/>
      <c r="T188" s="2308"/>
      <c r="U188" s="2285"/>
      <c r="V188" s="2285"/>
      <c r="W188" s="2285"/>
      <c r="X188" s="2350"/>
      <c r="Y188" s="1164"/>
      <c r="Z188" s="1164">
        <v>1000</v>
      </c>
      <c r="AA188" s="1164"/>
      <c r="AB188" s="1164"/>
      <c r="AC188" s="1164"/>
      <c r="AD188" s="1164"/>
      <c r="AE188" s="1164"/>
      <c r="AF188" s="1164"/>
      <c r="AG188" s="547">
        <f t="shared" si="31"/>
        <v>1000</v>
      </c>
    </row>
    <row r="189" spans="1:33" outlineLevel="2">
      <c r="A189" s="2330">
        <v>3232</v>
      </c>
      <c r="B189" s="2418" t="s">
        <v>588</v>
      </c>
      <c r="C189" s="2524" t="s">
        <v>579</v>
      </c>
      <c r="D189" s="2330"/>
      <c r="E189" s="2330">
        <v>45</v>
      </c>
      <c r="F189" s="2330">
        <v>43194</v>
      </c>
      <c r="G189" s="2330">
        <f t="shared" si="33"/>
        <v>43239</v>
      </c>
      <c r="H189" s="2428"/>
      <c r="I189" s="2330" t="s">
        <v>169</v>
      </c>
      <c r="J189" s="2422" t="s">
        <v>177</v>
      </c>
      <c r="K189" s="1777" t="s">
        <v>302</v>
      </c>
      <c r="L189" s="2330">
        <v>23173</v>
      </c>
      <c r="M189" s="1777"/>
      <c r="N189" s="2330"/>
      <c r="O189" s="800">
        <f>'[4]BUDGET CAPITALISATION'!$D$29</f>
        <v>79.5</v>
      </c>
      <c r="P189" s="2330">
        <v>1</v>
      </c>
      <c r="Q189" s="2290">
        <f t="shared" si="32"/>
        <v>79.5</v>
      </c>
      <c r="R189" s="800"/>
      <c r="S189" s="2290"/>
      <c r="T189" s="2290"/>
      <c r="U189" s="800"/>
      <c r="V189" s="800"/>
      <c r="W189" s="800"/>
      <c r="X189" s="1142">
        <v>79.5</v>
      </c>
      <c r="Y189" s="1127"/>
      <c r="Z189" s="1199"/>
      <c r="AA189" s="1199"/>
      <c r="AB189" s="1199"/>
      <c r="AC189" s="1199"/>
      <c r="AD189" s="1199"/>
      <c r="AE189" s="1199"/>
      <c r="AF189" s="1199"/>
      <c r="AG189" s="547">
        <f t="shared" si="31"/>
        <v>79.5</v>
      </c>
    </row>
    <row r="190" spans="1:33" outlineLevel="2">
      <c r="A190" s="2330">
        <v>3232</v>
      </c>
      <c r="B190" s="2418" t="s">
        <v>588</v>
      </c>
      <c r="C190" s="2524" t="s">
        <v>566</v>
      </c>
      <c r="D190" s="2428"/>
      <c r="E190" s="2330">
        <v>6</v>
      </c>
      <c r="F190" s="2330">
        <v>43287</v>
      </c>
      <c r="G190" s="2330">
        <f t="shared" si="33"/>
        <v>43293</v>
      </c>
      <c r="H190" s="2428"/>
      <c r="I190" s="2330" t="s">
        <v>169</v>
      </c>
      <c r="J190" s="2422" t="s">
        <v>177</v>
      </c>
      <c r="K190" s="1777" t="s">
        <v>486</v>
      </c>
      <c r="L190" s="2330">
        <v>23173</v>
      </c>
      <c r="M190" s="1777"/>
      <c r="N190" s="2330"/>
      <c r="O190" s="800">
        <f>'[4]BUDGET CAPITALISATION'!$D$30</f>
        <v>500</v>
      </c>
      <c r="P190" s="2330">
        <v>1</v>
      </c>
      <c r="Q190" s="2290">
        <f t="shared" si="32"/>
        <v>500</v>
      </c>
      <c r="R190" s="800"/>
      <c r="S190" s="2290"/>
      <c r="T190" s="2290"/>
      <c r="U190" s="800"/>
      <c r="V190" s="800"/>
      <c r="W190" s="800"/>
      <c r="X190" s="1142">
        <v>500</v>
      </c>
      <c r="Y190" s="1127"/>
      <c r="Z190" s="1199"/>
      <c r="AA190" s="1199"/>
      <c r="AB190" s="1199"/>
      <c r="AC190" s="1199"/>
      <c r="AD190" s="1199"/>
      <c r="AE190" s="1199"/>
      <c r="AF190" s="1199"/>
      <c r="AG190" s="547">
        <f t="shared" si="31"/>
        <v>500</v>
      </c>
    </row>
    <row r="191" spans="1:33" outlineLevel="2">
      <c r="A191" s="2330">
        <v>3232</v>
      </c>
      <c r="B191" s="2418" t="s">
        <v>588</v>
      </c>
      <c r="C191" s="2524" t="s">
        <v>591</v>
      </c>
      <c r="D191" s="2330" t="s">
        <v>514</v>
      </c>
      <c r="E191" s="2330">
        <v>45</v>
      </c>
      <c r="F191" s="2330">
        <v>43298</v>
      </c>
      <c r="G191" s="2330">
        <f t="shared" si="33"/>
        <v>43343</v>
      </c>
      <c r="H191" s="2428"/>
      <c r="I191" s="2330" t="s">
        <v>169</v>
      </c>
      <c r="J191" s="2422" t="s">
        <v>177</v>
      </c>
      <c r="K191" s="1777"/>
      <c r="L191" s="2526">
        <v>23173</v>
      </c>
      <c r="M191" s="1777"/>
      <c r="N191" s="2330"/>
      <c r="O191" s="800">
        <v>377.33</v>
      </c>
      <c r="P191" s="2330">
        <v>1</v>
      </c>
      <c r="Q191" s="2290">
        <f t="shared" si="32"/>
        <v>377.33</v>
      </c>
      <c r="R191" s="800"/>
      <c r="S191" s="2290"/>
      <c r="T191" s="2290"/>
      <c r="U191" s="800"/>
      <c r="V191" s="800"/>
      <c r="W191" s="800"/>
      <c r="X191" s="1142">
        <v>377.33</v>
      </c>
      <c r="Y191" s="1127"/>
      <c r="Z191" s="1199"/>
      <c r="AA191" s="1199"/>
      <c r="AB191" s="1199"/>
      <c r="AC191" s="1199"/>
      <c r="AD191" s="1199"/>
      <c r="AE191" s="1199"/>
      <c r="AF191" s="1199"/>
      <c r="AG191" s="547">
        <f t="shared" si="31"/>
        <v>377.33</v>
      </c>
    </row>
    <row r="192" spans="1:33" outlineLevel="2">
      <c r="A192" s="2330">
        <v>3234</v>
      </c>
      <c r="B192" s="2418" t="s">
        <v>593</v>
      </c>
      <c r="C192" s="2524" t="s">
        <v>579</v>
      </c>
      <c r="D192" s="2330" t="s">
        <v>514</v>
      </c>
      <c r="E192" s="2330">
        <v>45</v>
      </c>
      <c r="F192" s="2330">
        <v>43194</v>
      </c>
      <c r="G192" s="2330">
        <f t="shared" si="33"/>
        <v>43239</v>
      </c>
      <c r="H192" s="2428"/>
      <c r="I192" s="2330" t="s">
        <v>169</v>
      </c>
      <c r="J192" s="2422"/>
      <c r="K192" s="1777" t="s">
        <v>302</v>
      </c>
      <c r="L192" s="2330">
        <v>23173</v>
      </c>
      <c r="M192" s="1777"/>
      <c r="N192" s="2330"/>
      <c r="O192" s="800">
        <f>[4]FINALISATION!$D$27</f>
        <v>57.333333333333336</v>
      </c>
      <c r="P192" s="2330">
        <v>1</v>
      </c>
      <c r="Q192" s="2290">
        <f t="shared" si="32"/>
        <v>57.333333333333336</v>
      </c>
      <c r="R192" s="800"/>
      <c r="S192" s="2290"/>
      <c r="T192" s="2290"/>
      <c r="U192" s="800"/>
      <c r="V192" s="800"/>
      <c r="W192" s="800"/>
      <c r="X192" s="1142">
        <v>57.333333333333336</v>
      </c>
      <c r="Y192" s="1127"/>
      <c r="Z192" s="1199"/>
      <c r="AA192" s="1199"/>
      <c r="AB192" s="1199"/>
      <c r="AC192" s="1199"/>
      <c r="AD192" s="1199"/>
      <c r="AE192" s="1199"/>
      <c r="AF192" s="1199"/>
      <c r="AG192" s="547">
        <f t="shared" si="31"/>
        <v>57.333333333333336</v>
      </c>
    </row>
    <row r="193" spans="1:33" outlineLevel="2">
      <c r="A193" s="2330">
        <v>3234</v>
      </c>
      <c r="B193" s="2418" t="s">
        <v>593</v>
      </c>
      <c r="C193" s="2524" t="s">
        <v>566</v>
      </c>
      <c r="D193" s="2428"/>
      <c r="E193" s="2330">
        <v>4</v>
      </c>
      <c r="F193" s="2330">
        <v>43367</v>
      </c>
      <c r="G193" s="2330">
        <f t="shared" si="33"/>
        <v>43371</v>
      </c>
      <c r="H193" s="2428"/>
      <c r="I193" s="2330" t="s">
        <v>169</v>
      </c>
      <c r="J193" s="2422"/>
      <c r="K193" s="1777" t="s">
        <v>486</v>
      </c>
      <c r="L193" s="2330">
        <v>23173</v>
      </c>
      <c r="M193" s="1777"/>
      <c r="N193" s="2330"/>
      <c r="O193" s="800">
        <f>[4]FINALISATION!$D$28</f>
        <v>133.33333333333334</v>
      </c>
      <c r="P193" s="2330">
        <v>1</v>
      </c>
      <c r="Q193" s="2290">
        <f t="shared" si="32"/>
        <v>133.33333333333334</v>
      </c>
      <c r="R193" s="800"/>
      <c r="S193" s="2290"/>
      <c r="T193" s="2290"/>
      <c r="U193" s="800"/>
      <c r="V193" s="800"/>
      <c r="W193" s="800"/>
      <c r="X193" s="1142">
        <v>133.33333333333334</v>
      </c>
      <c r="Y193" s="1127"/>
      <c r="Z193" s="1199"/>
      <c r="AA193" s="1199"/>
      <c r="AB193" s="1199"/>
      <c r="AC193" s="1199"/>
      <c r="AD193" s="1199"/>
      <c r="AE193" s="1199"/>
      <c r="AF193" s="1199"/>
      <c r="AG193" s="547">
        <f t="shared" si="31"/>
        <v>133.33333333333334</v>
      </c>
    </row>
    <row r="194" spans="1:33" outlineLevel="2">
      <c r="A194" s="2330">
        <v>3241</v>
      </c>
      <c r="B194" s="2418" t="s">
        <v>599</v>
      </c>
      <c r="C194" s="2524" t="s">
        <v>579</v>
      </c>
      <c r="D194" s="2330" t="s">
        <v>514</v>
      </c>
      <c r="E194" s="2330">
        <v>45</v>
      </c>
      <c r="F194" s="2330">
        <v>43194</v>
      </c>
      <c r="G194" s="2330">
        <f>+E194+F194</f>
        <v>43239</v>
      </c>
      <c r="H194" s="2428"/>
      <c r="I194" s="2330"/>
      <c r="J194" s="2422"/>
      <c r="K194" s="1777" t="s">
        <v>302</v>
      </c>
      <c r="L194" s="2330">
        <v>23173</v>
      </c>
      <c r="M194" s="1777"/>
      <c r="N194" s="2330"/>
      <c r="O194" s="800">
        <f>[5]Feuil1!$E$34</f>
        <v>157.33333333333334</v>
      </c>
      <c r="P194" s="2480">
        <v>1</v>
      </c>
      <c r="Q194" s="2291">
        <f t="shared" si="32"/>
        <v>157.33333333333334</v>
      </c>
      <c r="R194" s="800"/>
      <c r="S194" s="2290"/>
      <c r="T194" s="2290"/>
      <c r="U194" s="800"/>
      <c r="V194" s="800"/>
      <c r="W194" s="800"/>
      <c r="X194" s="1142">
        <v>157.33333333333334</v>
      </c>
      <c r="Y194" s="1127"/>
      <c r="Z194" s="1127"/>
      <c r="AA194" s="1127"/>
      <c r="AB194" s="1127"/>
      <c r="AC194" s="1127"/>
      <c r="AD194" s="1127"/>
      <c r="AE194" s="1127"/>
      <c r="AF194" s="1127"/>
      <c r="AG194" s="547">
        <f t="shared" si="31"/>
        <v>157.33333333333334</v>
      </c>
    </row>
    <row r="195" spans="1:33" outlineLevel="2">
      <c r="A195" s="2330">
        <v>3241</v>
      </c>
      <c r="B195" s="2418" t="s">
        <v>599</v>
      </c>
      <c r="C195" s="2439" t="s">
        <v>566</v>
      </c>
      <c r="D195" s="2428"/>
      <c r="E195" s="2330">
        <v>5</v>
      </c>
      <c r="F195" s="2330">
        <v>43332</v>
      </c>
      <c r="G195" s="2330">
        <f>+E195+F195</f>
        <v>43337</v>
      </c>
      <c r="H195" s="2428"/>
      <c r="I195" s="2330"/>
      <c r="J195" s="2422"/>
      <c r="K195" s="1777" t="s">
        <v>486</v>
      </c>
      <c r="L195" s="2330">
        <v>23173</v>
      </c>
      <c r="M195" s="1777"/>
      <c r="N195" s="2330"/>
      <c r="O195" s="800">
        <f>[5]Feuil1!$E$33</f>
        <v>233.33333333333334</v>
      </c>
      <c r="P195" s="2480">
        <v>1</v>
      </c>
      <c r="Q195" s="2291">
        <f t="shared" si="32"/>
        <v>233.33333333333334</v>
      </c>
      <c r="R195" s="800"/>
      <c r="S195" s="2290"/>
      <c r="T195" s="800"/>
      <c r="U195" s="800"/>
      <c r="V195" s="800"/>
      <c r="W195" s="800"/>
      <c r="X195" s="1142">
        <v>233.33333333333334</v>
      </c>
      <c r="Y195" s="1127"/>
      <c r="Z195" s="1127"/>
      <c r="AA195" s="1127"/>
      <c r="AB195" s="1127"/>
      <c r="AC195" s="1127"/>
      <c r="AD195" s="1127"/>
      <c r="AE195" s="1127"/>
      <c r="AF195" s="1127"/>
      <c r="AG195" s="547">
        <f t="shared" si="31"/>
        <v>233.33333333333334</v>
      </c>
    </row>
    <row r="196" spans="1:33" outlineLevel="2">
      <c r="A196" s="2330">
        <v>3251</v>
      </c>
      <c r="B196" s="2418" t="s">
        <v>606</v>
      </c>
      <c r="C196" s="2439" t="s">
        <v>579</v>
      </c>
      <c r="D196" s="2330" t="s">
        <v>514</v>
      </c>
      <c r="E196" s="2330">
        <v>45</v>
      </c>
      <c r="F196" s="2330">
        <v>43194</v>
      </c>
      <c r="G196" s="2330">
        <f>+F196+E196</f>
        <v>43239</v>
      </c>
      <c r="H196" s="2428"/>
      <c r="I196" s="2330"/>
      <c r="J196" s="2422"/>
      <c r="K196" s="1777" t="s">
        <v>302</v>
      </c>
      <c r="L196" s="2330">
        <v>23173</v>
      </c>
      <c r="M196" s="1777"/>
      <c r="N196" s="2330"/>
      <c r="O196" s="2527">
        <f>[6]Feuil3!$H$11</f>
        <v>155.66666666666666</v>
      </c>
      <c r="P196" s="2330">
        <v>1</v>
      </c>
      <c r="Q196" s="2290">
        <f t="shared" si="32"/>
        <v>155.66666666666666</v>
      </c>
      <c r="R196" s="800"/>
      <c r="S196" s="2290"/>
      <c r="T196" s="2290"/>
      <c r="U196" s="800"/>
      <c r="V196" s="800"/>
      <c r="W196" s="800">
        <v>155.66666666666666</v>
      </c>
      <c r="X196" s="1142"/>
      <c r="Y196" s="1127"/>
      <c r="Z196" s="1127"/>
      <c r="AA196" s="1127"/>
      <c r="AB196" s="1127"/>
      <c r="AC196" s="1127"/>
      <c r="AD196" s="1127"/>
      <c r="AE196" s="1127"/>
      <c r="AF196" s="1127"/>
      <c r="AG196" s="547">
        <f t="shared" si="31"/>
        <v>155.66666666666666</v>
      </c>
    </row>
    <row r="197" spans="1:33" outlineLevel="2">
      <c r="A197" s="2330">
        <v>3251</v>
      </c>
      <c r="B197" s="2418" t="s">
        <v>606</v>
      </c>
      <c r="C197" s="2439" t="s">
        <v>566</v>
      </c>
      <c r="D197" s="2428"/>
      <c r="E197" s="2330">
        <v>10</v>
      </c>
      <c r="F197" s="2330">
        <v>43299</v>
      </c>
      <c r="G197" s="2330">
        <f>+E197+F197</f>
        <v>43309</v>
      </c>
      <c r="H197" s="2428"/>
      <c r="I197" s="2330"/>
      <c r="J197" s="2422"/>
      <c r="K197" s="1777" t="s">
        <v>486</v>
      </c>
      <c r="L197" s="2330">
        <v>23173</v>
      </c>
      <c r="M197" s="1777"/>
      <c r="N197" s="2330"/>
      <c r="O197" s="800">
        <f>[6]Feuil3!$H$12</f>
        <v>333.33333333333331</v>
      </c>
      <c r="P197" s="2330">
        <v>1</v>
      </c>
      <c r="Q197" s="2290">
        <f t="shared" si="32"/>
        <v>333.33333333333331</v>
      </c>
      <c r="R197" s="800"/>
      <c r="S197" s="2290"/>
      <c r="T197" s="2290"/>
      <c r="U197" s="800"/>
      <c r="V197" s="800"/>
      <c r="W197" s="800">
        <v>333.33333333333331</v>
      </c>
      <c r="X197" s="1142"/>
      <c r="Y197" s="1127"/>
      <c r="Z197" s="1127"/>
      <c r="AA197" s="1127"/>
      <c r="AB197" s="1127"/>
      <c r="AC197" s="1127"/>
      <c r="AD197" s="1127"/>
      <c r="AE197" s="1127"/>
      <c r="AF197" s="1127"/>
      <c r="AG197" s="547">
        <f t="shared" si="31"/>
        <v>333.33333333333331</v>
      </c>
    </row>
    <row r="198" spans="1:33" ht="31.5" outlineLevel="2">
      <c r="A198" s="2330">
        <v>3261</v>
      </c>
      <c r="B198" s="2418" t="s">
        <v>609</v>
      </c>
      <c r="C198" s="2439" t="s">
        <v>610</v>
      </c>
      <c r="D198" s="2330" t="s">
        <v>246</v>
      </c>
      <c r="E198" s="2330">
        <f>70+30</f>
        <v>100</v>
      </c>
      <c r="F198" s="2330">
        <v>43192</v>
      </c>
      <c r="G198" s="2330">
        <f>+E198+F198</f>
        <v>43292</v>
      </c>
      <c r="H198" s="2428"/>
      <c r="I198" s="2330" t="s">
        <v>611</v>
      </c>
      <c r="J198" s="2422"/>
      <c r="K198" s="1777"/>
      <c r="L198" s="2526">
        <v>23173</v>
      </c>
      <c r="M198" s="1777"/>
      <c r="N198" s="2330"/>
      <c r="O198" s="2285">
        <v>10000</v>
      </c>
      <c r="P198" s="2330">
        <v>1</v>
      </c>
      <c r="Q198" s="2308">
        <v>10000</v>
      </c>
      <c r="R198" s="2285"/>
      <c r="S198" s="2308"/>
      <c r="T198" s="2351"/>
      <c r="U198" s="2308"/>
      <c r="V198" s="2308"/>
      <c r="W198" s="2308">
        <v>5000</v>
      </c>
      <c r="X198" s="2340"/>
      <c r="Y198" s="1164"/>
      <c r="Z198" s="1164">
        <v>5000</v>
      </c>
      <c r="AA198" s="1164"/>
      <c r="AB198" s="1164"/>
      <c r="AC198" s="1164"/>
      <c r="AD198" s="1164"/>
      <c r="AE198" s="1164"/>
      <c r="AF198" s="1164"/>
      <c r="AG198" s="547">
        <f t="shared" si="31"/>
        <v>10000</v>
      </c>
    </row>
    <row r="199" spans="1:33" ht="31.5" outlineLevel="2">
      <c r="A199" s="2330">
        <v>3262</v>
      </c>
      <c r="B199" s="2418" t="s">
        <v>612</v>
      </c>
      <c r="C199" s="2439" t="s">
        <v>610</v>
      </c>
      <c r="D199" s="2330" t="s">
        <v>246</v>
      </c>
      <c r="E199" s="2330">
        <f>70+30</f>
        <v>100</v>
      </c>
      <c r="F199" s="2330">
        <v>43192</v>
      </c>
      <c r="G199" s="2330">
        <f>+E199+F199</f>
        <v>43292</v>
      </c>
      <c r="H199" s="2428"/>
      <c r="I199" s="2330" t="s">
        <v>611</v>
      </c>
      <c r="J199" s="2422"/>
      <c r="K199" s="1777"/>
      <c r="L199" s="2526">
        <v>23173</v>
      </c>
      <c r="M199" s="1777"/>
      <c r="N199" s="2330"/>
      <c r="O199" s="2285">
        <v>20000</v>
      </c>
      <c r="P199" s="2330">
        <v>1</v>
      </c>
      <c r="Q199" s="2308">
        <f>+O199*P199</f>
        <v>20000</v>
      </c>
      <c r="R199" s="2285"/>
      <c r="S199" s="2308"/>
      <c r="T199" s="2351"/>
      <c r="U199" s="2285"/>
      <c r="V199" s="2285"/>
      <c r="W199" s="2285">
        <v>10000</v>
      </c>
      <c r="X199" s="2340"/>
      <c r="Y199" s="1164"/>
      <c r="Z199" s="1164">
        <v>10000</v>
      </c>
      <c r="AA199" s="1164"/>
      <c r="AB199" s="1164"/>
      <c r="AC199" s="1164"/>
      <c r="AD199" s="1164"/>
      <c r="AE199" s="1164"/>
      <c r="AF199" s="1164"/>
      <c r="AG199" s="547">
        <f t="shared" si="31"/>
        <v>20000</v>
      </c>
    </row>
    <row r="200" spans="1:33" ht="31.5" outlineLevel="2">
      <c r="A200" s="2330">
        <v>4111</v>
      </c>
      <c r="B200" s="2439" t="s">
        <v>912</v>
      </c>
      <c r="C200" s="2439" t="s">
        <v>913</v>
      </c>
      <c r="D200" s="2525"/>
      <c r="E200" s="2428">
        <f>45+21+5</f>
        <v>71</v>
      </c>
      <c r="F200" s="2435">
        <v>43192</v>
      </c>
      <c r="G200" s="2435">
        <f>F200+E200</f>
        <v>43263</v>
      </c>
      <c r="H200" s="2330" t="s">
        <v>914</v>
      </c>
      <c r="I200" s="2330" t="s">
        <v>169</v>
      </c>
      <c r="J200" s="2422" t="s">
        <v>178</v>
      </c>
      <c r="K200" s="2528" t="s">
        <v>320</v>
      </c>
      <c r="L200" s="2502">
        <v>23173</v>
      </c>
      <c r="M200" s="1777"/>
      <c r="N200" s="2330"/>
      <c r="O200" s="962">
        <v>164.0625</v>
      </c>
      <c r="P200" s="2330">
        <v>1</v>
      </c>
      <c r="Q200" s="1415">
        <f t="shared" ref="Q200:Q232" si="34">O200*P200</f>
        <v>164.0625</v>
      </c>
      <c r="R200" s="800"/>
      <c r="S200" s="2290"/>
      <c r="T200" s="2290"/>
      <c r="U200" s="800">
        <v>164.0625</v>
      </c>
      <c r="V200" s="800"/>
      <c r="W200" s="800"/>
      <c r="X200" s="1142"/>
      <c r="Y200" s="1199"/>
      <c r="Z200" s="1199"/>
      <c r="AA200" s="1199"/>
      <c r="AB200" s="1199"/>
      <c r="AC200" s="1199"/>
      <c r="AD200" s="1199"/>
      <c r="AE200" s="1199"/>
      <c r="AF200" s="1199"/>
      <c r="AG200" s="547">
        <f t="shared" si="31"/>
        <v>164.0625</v>
      </c>
    </row>
    <row r="201" spans="1:33" ht="31.5" outlineLevel="2">
      <c r="A201" s="2330">
        <v>4111</v>
      </c>
      <c r="B201" s="2439" t="s">
        <v>912</v>
      </c>
      <c r="C201" s="2439" t="s">
        <v>913</v>
      </c>
      <c r="D201" s="2525"/>
      <c r="E201" s="2428">
        <f>45+21+5</f>
        <v>71</v>
      </c>
      <c r="F201" s="2435">
        <v>43192</v>
      </c>
      <c r="G201" s="2435">
        <f>F201+E201</f>
        <v>43263</v>
      </c>
      <c r="H201" s="2330" t="s">
        <v>914</v>
      </c>
      <c r="I201" s="2330" t="s">
        <v>169</v>
      </c>
      <c r="J201" s="2422" t="s">
        <v>178</v>
      </c>
      <c r="K201" s="2528" t="s">
        <v>916</v>
      </c>
      <c r="L201" s="2502">
        <v>23173</v>
      </c>
      <c r="M201" s="1777"/>
      <c r="N201" s="2330"/>
      <c r="O201" s="962">
        <v>31.25</v>
      </c>
      <c r="P201" s="2330">
        <v>5</v>
      </c>
      <c r="Q201" s="1415">
        <f t="shared" si="34"/>
        <v>156.25</v>
      </c>
      <c r="R201" s="800"/>
      <c r="S201" s="2290"/>
      <c r="T201" s="2290"/>
      <c r="U201" s="800">
        <v>156.25</v>
      </c>
      <c r="V201" s="800"/>
      <c r="W201" s="800"/>
      <c r="X201" s="1142"/>
      <c r="Y201" s="1199"/>
      <c r="Z201" s="1199"/>
      <c r="AA201" s="1199"/>
      <c r="AB201" s="1199"/>
      <c r="AC201" s="1199"/>
      <c r="AD201" s="1199"/>
      <c r="AE201" s="1199"/>
      <c r="AF201" s="1199"/>
      <c r="AG201" s="547">
        <f t="shared" si="31"/>
        <v>156.25</v>
      </c>
    </row>
    <row r="202" spans="1:33" ht="31.5" outlineLevel="2">
      <c r="A202" s="2330">
        <v>4112</v>
      </c>
      <c r="B202" s="2439" t="s">
        <v>917</v>
      </c>
      <c r="C202" s="2439" t="s">
        <v>918</v>
      </c>
      <c r="D202" s="2525"/>
      <c r="E202" s="2428">
        <f>3</f>
        <v>3</v>
      </c>
      <c r="F202" s="2435">
        <v>43265</v>
      </c>
      <c r="G202" s="2435">
        <f t="shared" ref="G202:G211" si="35">F202+E202-1</f>
        <v>43267</v>
      </c>
      <c r="H202" s="2330" t="s">
        <v>914</v>
      </c>
      <c r="I202" s="2330" t="s">
        <v>169</v>
      </c>
      <c r="J202" s="2422" t="s">
        <v>178</v>
      </c>
      <c r="K202" s="2528" t="s">
        <v>320</v>
      </c>
      <c r="L202" s="2502">
        <v>23173</v>
      </c>
      <c r="M202" s="1777"/>
      <c r="N202" s="2330"/>
      <c r="O202" s="962">
        <v>523.125</v>
      </c>
      <c r="P202" s="2330">
        <v>1</v>
      </c>
      <c r="Q202" s="1415">
        <f t="shared" si="34"/>
        <v>523.125</v>
      </c>
      <c r="R202" s="800"/>
      <c r="S202" s="2290"/>
      <c r="T202" s="2290"/>
      <c r="U202" s="800">
        <v>523.125</v>
      </c>
      <c r="V202" s="800"/>
      <c r="W202" s="800"/>
      <c r="X202" s="1142"/>
      <c r="Y202" s="1199"/>
      <c r="Z202" s="1199"/>
      <c r="AA202" s="1199"/>
      <c r="AB202" s="1199"/>
      <c r="AC202" s="1199"/>
      <c r="AD202" s="1199"/>
      <c r="AE202" s="1199"/>
      <c r="AF202" s="1199"/>
      <c r="AG202" s="547">
        <f t="shared" si="31"/>
        <v>523.125</v>
      </c>
    </row>
    <row r="203" spans="1:33" ht="31.5" outlineLevel="2">
      <c r="A203" s="2330">
        <v>4113</v>
      </c>
      <c r="B203" s="2439" t="s">
        <v>919</v>
      </c>
      <c r="C203" s="2439" t="s">
        <v>920</v>
      </c>
      <c r="D203" s="2525"/>
      <c r="E203" s="2428">
        <f>2</f>
        <v>2</v>
      </c>
      <c r="F203" s="2435">
        <v>43271</v>
      </c>
      <c r="G203" s="2435">
        <f t="shared" si="35"/>
        <v>43272</v>
      </c>
      <c r="H203" s="2330" t="s">
        <v>914</v>
      </c>
      <c r="I203" s="2330" t="s">
        <v>169</v>
      </c>
      <c r="J203" s="2422" t="s">
        <v>178</v>
      </c>
      <c r="K203" s="2528" t="s">
        <v>320</v>
      </c>
      <c r="L203" s="2502">
        <v>23173</v>
      </c>
      <c r="M203" s="1777"/>
      <c r="N203" s="2330"/>
      <c r="O203" s="962">
        <v>5156.25</v>
      </c>
      <c r="P203" s="2330">
        <v>1</v>
      </c>
      <c r="Q203" s="1415">
        <f t="shared" si="34"/>
        <v>5156.25</v>
      </c>
      <c r="R203" s="800"/>
      <c r="S203" s="2290"/>
      <c r="T203" s="2290"/>
      <c r="U203" s="800">
        <v>5156.25</v>
      </c>
      <c r="V203" s="800"/>
      <c r="W203" s="800"/>
      <c r="X203" s="1142"/>
      <c r="Y203" s="1199"/>
      <c r="Z203" s="1199"/>
      <c r="AA203" s="1199"/>
      <c r="AB203" s="1199"/>
      <c r="AC203" s="1199"/>
      <c r="AD203" s="1199"/>
      <c r="AE203" s="1199"/>
      <c r="AF203" s="1199"/>
      <c r="AG203" s="547">
        <f t="shared" si="31"/>
        <v>5156.25</v>
      </c>
    </row>
    <row r="204" spans="1:33" ht="31.5" outlineLevel="2">
      <c r="A204" s="2330">
        <v>4113</v>
      </c>
      <c r="B204" s="2439" t="s">
        <v>919</v>
      </c>
      <c r="C204" s="2439" t="s">
        <v>920</v>
      </c>
      <c r="D204" s="2525"/>
      <c r="E204" s="2428">
        <f>2</f>
        <v>2</v>
      </c>
      <c r="F204" s="2435">
        <v>43271</v>
      </c>
      <c r="G204" s="2435">
        <f t="shared" si="35"/>
        <v>43272</v>
      </c>
      <c r="H204" s="2330" t="s">
        <v>914</v>
      </c>
      <c r="I204" s="2330" t="s">
        <v>169</v>
      </c>
      <c r="J204" s="2422" t="s">
        <v>178</v>
      </c>
      <c r="K204" s="2528" t="s">
        <v>916</v>
      </c>
      <c r="L204" s="2502">
        <v>23173</v>
      </c>
      <c r="M204" s="1777"/>
      <c r="N204" s="2330"/>
      <c r="O204" s="962">
        <v>31.25</v>
      </c>
      <c r="P204" s="2330">
        <f>2*22</f>
        <v>44</v>
      </c>
      <c r="Q204" s="1415">
        <f t="shared" si="34"/>
        <v>1375</v>
      </c>
      <c r="R204" s="800"/>
      <c r="S204" s="2290"/>
      <c r="T204" s="2290"/>
      <c r="U204" s="800">
        <v>1375</v>
      </c>
      <c r="V204" s="800"/>
      <c r="W204" s="800"/>
      <c r="X204" s="1142"/>
      <c r="Y204" s="1199"/>
      <c r="Z204" s="1199"/>
      <c r="AA204" s="1199"/>
      <c r="AB204" s="1199"/>
      <c r="AC204" s="1199"/>
      <c r="AD204" s="1199"/>
      <c r="AE204" s="1199"/>
      <c r="AF204" s="1199"/>
      <c r="AG204" s="547">
        <f t="shared" si="31"/>
        <v>1375</v>
      </c>
    </row>
    <row r="205" spans="1:33" ht="31.5" outlineLevel="2">
      <c r="A205" s="2330">
        <v>4114</v>
      </c>
      <c r="B205" s="2439" t="s">
        <v>921</v>
      </c>
      <c r="C205" s="2439" t="s">
        <v>922</v>
      </c>
      <c r="D205" s="2525"/>
      <c r="E205" s="2428">
        <f>3</f>
        <v>3</v>
      </c>
      <c r="F205" s="2436">
        <v>43279</v>
      </c>
      <c r="G205" s="2435">
        <f t="shared" si="35"/>
        <v>43281</v>
      </c>
      <c r="H205" s="2330" t="s">
        <v>914</v>
      </c>
      <c r="I205" s="2330" t="s">
        <v>169</v>
      </c>
      <c r="J205" s="2422" t="s">
        <v>178</v>
      </c>
      <c r="K205" s="2528" t="s">
        <v>670</v>
      </c>
      <c r="L205" s="2502">
        <v>23173</v>
      </c>
      <c r="M205" s="1777"/>
      <c r="N205" s="2330"/>
      <c r="O205" s="962">
        <v>153.125</v>
      </c>
      <c r="P205" s="2330">
        <v>2</v>
      </c>
      <c r="Q205" s="1415">
        <f t="shared" si="34"/>
        <v>306.25</v>
      </c>
      <c r="R205" s="800"/>
      <c r="S205" s="2290"/>
      <c r="T205" s="2290"/>
      <c r="U205" s="800">
        <v>306.25</v>
      </c>
      <c r="V205" s="800"/>
      <c r="W205" s="800"/>
      <c r="X205" s="1142"/>
      <c r="Y205" s="1199"/>
      <c r="Z205" s="1199"/>
      <c r="AA205" s="1199"/>
      <c r="AB205" s="1199"/>
      <c r="AC205" s="1199"/>
      <c r="AD205" s="1199"/>
      <c r="AE205" s="1199"/>
      <c r="AF205" s="1199"/>
      <c r="AG205" s="547">
        <f t="shared" si="31"/>
        <v>306.25</v>
      </c>
    </row>
    <row r="206" spans="1:33" ht="31.5" outlineLevel="2">
      <c r="A206" s="2330">
        <v>4116</v>
      </c>
      <c r="B206" s="2418" t="s">
        <v>926</v>
      </c>
      <c r="C206" s="2439" t="s">
        <v>927</v>
      </c>
      <c r="D206" s="1777"/>
      <c r="E206" s="2428">
        <f>30</f>
        <v>30</v>
      </c>
      <c r="F206" s="2435">
        <v>43290</v>
      </c>
      <c r="G206" s="2435">
        <f t="shared" si="35"/>
        <v>43319</v>
      </c>
      <c r="H206" s="2330" t="s">
        <v>914</v>
      </c>
      <c r="I206" s="2330" t="s">
        <v>169</v>
      </c>
      <c r="J206" s="2422" t="s">
        <v>178</v>
      </c>
      <c r="K206" s="2528" t="s">
        <v>320</v>
      </c>
      <c r="L206" s="2502">
        <v>23173</v>
      </c>
      <c r="M206" s="1777"/>
      <c r="N206" s="2330"/>
      <c r="O206" s="962">
        <v>12270.9375</v>
      </c>
      <c r="P206" s="2330">
        <v>1</v>
      </c>
      <c r="Q206" s="1415">
        <f t="shared" si="34"/>
        <v>12270.9375</v>
      </c>
      <c r="R206" s="800"/>
      <c r="S206" s="2290"/>
      <c r="T206" s="2290"/>
      <c r="U206" s="800"/>
      <c r="V206" s="800">
        <v>12270.9375</v>
      </c>
      <c r="W206" s="800"/>
      <c r="X206" s="1142"/>
      <c r="Y206" s="1199"/>
      <c r="Z206" s="1199"/>
      <c r="AA206" s="1199"/>
      <c r="AB206" s="1199"/>
      <c r="AC206" s="1199"/>
      <c r="AD206" s="1199"/>
      <c r="AE206" s="1199"/>
      <c r="AF206" s="1199"/>
      <c r="AG206" s="547">
        <f t="shared" ref="AG206:AG232" si="36">SUM(S206:AF206)</f>
        <v>12270.9375</v>
      </c>
    </row>
    <row r="207" spans="1:33" outlineLevel="2">
      <c r="A207" s="2330">
        <v>4117</v>
      </c>
      <c r="B207" s="2418" t="s">
        <v>928</v>
      </c>
      <c r="C207" s="2439" t="s">
        <v>929</v>
      </c>
      <c r="D207" s="1777"/>
      <c r="E207" s="2428">
        <f>6</f>
        <v>6</v>
      </c>
      <c r="F207" s="2435">
        <v>43290</v>
      </c>
      <c r="G207" s="2435">
        <f t="shared" si="35"/>
        <v>43295</v>
      </c>
      <c r="H207" s="2330" t="s">
        <v>914</v>
      </c>
      <c r="I207" s="2330" t="s">
        <v>169</v>
      </c>
      <c r="J207" s="2422" t="s">
        <v>178</v>
      </c>
      <c r="K207" s="2528" t="s">
        <v>320</v>
      </c>
      <c r="L207" s="2502">
        <v>23173</v>
      </c>
      <c r="M207" s="1777"/>
      <c r="N207" s="2330"/>
      <c r="O207" s="962">
        <v>599.375</v>
      </c>
      <c r="P207" s="2330">
        <v>1</v>
      </c>
      <c r="Q207" s="1415">
        <f t="shared" si="34"/>
        <v>599.375</v>
      </c>
      <c r="R207" s="800"/>
      <c r="S207" s="2290"/>
      <c r="T207" s="2290"/>
      <c r="U207" s="800"/>
      <c r="V207" s="800">
        <v>599.375</v>
      </c>
      <c r="W207" s="800"/>
      <c r="X207" s="1142"/>
      <c r="Y207" s="1199"/>
      <c r="Z207" s="1199"/>
      <c r="AA207" s="1199"/>
      <c r="AB207" s="1199"/>
      <c r="AC207" s="1199"/>
      <c r="AD207" s="1199"/>
      <c r="AE207" s="1199"/>
      <c r="AF207" s="1199"/>
      <c r="AG207" s="547">
        <f t="shared" si="36"/>
        <v>599.375</v>
      </c>
    </row>
    <row r="208" spans="1:33" ht="31.5" outlineLevel="2">
      <c r="A208" s="2330">
        <v>4119</v>
      </c>
      <c r="B208" s="2418" t="s">
        <v>934</v>
      </c>
      <c r="C208" s="2439" t="s">
        <v>935</v>
      </c>
      <c r="D208" s="1777"/>
      <c r="E208" s="2428">
        <f>5</f>
        <v>5</v>
      </c>
      <c r="F208" s="2435">
        <v>43325</v>
      </c>
      <c r="G208" s="2435">
        <f t="shared" si="35"/>
        <v>43329</v>
      </c>
      <c r="H208" s="2330" t="s">
        <v>914</v>
      </c>
      <c r="I208" s="2330" t="s">
        <v>169</v>
      </c>
      <c r="J208" s="2422" t="s">
        <v>178</v>
      </c>
      <c r="K208" s="2528" t="s">
        <v>320</v>
      </c>
      <c r="L208" s="2502">
        <v>23173</v>
      </c>
      <c r="M208" s="1777"/>
      <c r="N208" s="2330"/>
      <c r="O208" s="962">
        <v>1000</v>
      </c>
      <c r="P208" s="2330">
        <v>1</v>
      </c>
      <c r="Q208" s="2279">
        <f t="shared" si="34"/>
        <v>1000</v>
      </c>
      <c r="R208" s="800"/>
      <c r="S208" s="800"/>
      <c r="T208" s="800"/>
      <c r="U208" s="800"/>
      <c r="V208" s="800"/>
      <c r="W208" s="800">
        <v>1000</v>
      </c>
      <c r="X208" s="1142"/>
      <c r="Y208" s="1199"/>
      <c r="Z208" s="1199"/>
      <c r="AA208" s="1199"/>
      <c r="AB208" s="1199"/>
      <c r="AC208" s="1199"/>
      <c r="AD208" s="1199"/>
      <c r="AE208" s="1199"/>
      <c r="AF208" s="1199"/>
      <c r="AG208" s="547">
        <f t="shared" si="36"/>
        <v>1000</v>
      </c>
    </row>
    <row r="209" spans="1:33" outlineLevel="2">
      <c r="A209" s="2480">
        <v>4121</v>
      </c>
      <c r="B209" s="2486" t="s">
        <v>937</v>
      </c>
      <c r="C209" s="2486" t="s">
        <v>939</v>
      </c>
      <c r="D209" s="2529"/>
      <c r="E209" s="2530">
        <f>2</f>
        <v>2</v>
      </c>
      <c r="F209" s="2435">
        <v>43297</v>
      </c>
      <c r="G209" s="2435">
        <f t="shared" si="35"/>
        <v>43298</v>
      </c>
      <c r="H209" s="2436" t="s">
        <v>178</v>
      </c>
      <c r="I209" s="2436" t="s">
        <v>169</v>
      </c>
      <c r="J209" s="2422" t="s">
        <v>178</v>
      </c>
      <c r="K209" s="2528" t="s">
        <v>486</v>
      </c>
      <c r="L209" s="2502">
        <v>23173</v>
      </c>
      <c r="M209" s="2531"/>
      <c r="N209" s="2532"/>
      <c r="O209" s="2287">
        <v>46.875</v>
      </c>
      <c r="P209" s="2532">
        <v>2</v>
      </c>
      <c r="Q209" s="2383">
        <f t="shared" si="34"/>
        <v>93.75</v>
      </c>
      <c r="R209" s="2281"/>
      <c r="S209" s="2291"/>
      <c r="T209" s="2291"/>
      <c r="U209" s="2287"/>
      <c r="V209" s="2287"/>
      <c r="W209" s="2287">
        <v>93.75</v>
      </c>
      <c r="X209" s="1587"/>
      <c r="Y209" s="1588"/>
      <c r="Z209" s="2516"/>
      <c r="AA209" s="2516"/>
      <c r="AB209" s="2516"/>
      <c r="AC209" s="2516"/>
      <c r="AD209" s="2516"/>
      <c r="AE209" s="2516"/>
      <c r="AF209" s="2516"/>
      <c r="AG209" s="547">
        <f t="shared" si="36"/>
        <v>93.75</v>
      </c>
    </row>
    <row r="210" spans="1:33" outlineLevel="2">
      <c r="A210" s="2480">
        <v>4122</v>
      </c>
      <c r="B210" s="2486" t="s">
        <v>23</v>
      </c>
      <c r="C210" s="2486" t="s">
        <v>940</v>
      </c>
      <c r="D210" s="2529"/>
      <c r="E210" s="2530">
        <f>3</f>
        <v>3</v>
      </c>
      <c r="F210" s="2435">
        <v>43300</v>
      </c>
      <c r="G210" s="2435">
        <f t="shared" si="35"/>
        <v>43302</v>
      </c>
      <c r="H210" s="2436" t="s">
        <v>178</v>
      </c>
      <c r="I210" s="2436" t="s">
        <v>169</v>
      </c>
      <c r="J210" s="2422" t="s">
        <v>178</v>
      </c>
      <c r="K210" s="2528" t="s">
        <v>486</v>
      </c>
      <c r="L210" s="2502">
        <v>23173</v>
      </c>
      <c r="M210" s="2533"/>
      <c r="N210" s="2532"/>
      <c r="O210" s="2287">
        <v>31.25</v>
      </c>
      <c r="P210" s="2532">
        <v>3</v>
      </c>
      <c r="Q210" s="2383">
        <f t="shared" si="34"/>
        <v>93.75</v>
      </c>
      <c r="R210" s="2281"/>
      <c r="S210" s="2291"/>
      <c r="T210" s="2291"/>
      <c r="U210" s="2287"/>
      <c r="V210" s="2287"/>
      <c r="W210" s="2287">
        <v>93.75</v>
      </c>
      <c r="X210" s="1587"/>
      <c r="Y210" s="1588"/>
      <c r="Z210" s="2516"/>
      <c r="AA210" s="2516"/>
      <c r="AB210" s="2516"/>
      <c r="AC210" s="2516"/>
      <c r="AD210" s="2516"/>
      <c r="AE210" s="2516"/>
      <c r="AF210" s="2516"/>
      <c r="AG210" s="547">
        <f t="shared" si="36"/>
        <v>93.75</v>
      </c>
    </row>
    <row r="211" spans="1:33" outlineLevel="2">
      <c r="A211" s="2480">
        <v>4122</v>
      </c>
      <c r="B211" s="2486" t="s">
        <v>23</v>
      </c>
      <c r="C211" s="2486" t="s">
        <v>940</v>
      </c>
      <c r="D211" s="2529"/>
      <c r="E211" s="2530">
        <f>3</f>
        <v>3</v>
      </c>
      <c r="F211" s="2435">
        <v>43300</v>
      </c>
      <c r="G211" s="2435">
        <f t="shared" si="35"/>
        <v>43302</v>
      </c>
      <c r="H211" s="2436" t="s">
        <v>178</v>
      </c>
      <c r="I211" s="2436" t="s">
        <v>169</v>
      </c>
      <c r="J211" s="2422" t="s">
        <v>178</v>
      </c>
      <c r="K211" s="2528" t="s">
        <v>320</v>
      </c>
      <c r="L211" s="2502">
        <v>23173</v>
      </c>
      <c r="M211" s="2531"/>
      <c r="N211" s="2532"/>
      <c r="O211" s="2287">
        <v>164.0625</v>
      </c>
      <c r="P211" s="2532">
        <v>1</v>
      </c>
      <c r="Q211" s="2383">
        <f t="shared" si="34"/>
        <v>164.0625</v>
      </c>
      <c r="R211" s="2281"/>
      <c r="S211" s="2291"/>
      <c r="T211" s="2291"/>
      <c r="U211" s="2287"/>
      <c r="V211" s="2287"/>
      <c r="W211" s="2287">
        <v>164.0625</v>
      </c>
      <c r="X211" s="1587"/>
      <c r="Y211" s="1588"/>
      <c r="Z211" s="2516"/>
      <c r="AA211" s="2516"/>
      <c r="AB211" s="2516"/>
      <c r="AC211" s="2516"/>
      <c r="AD211" s="2516"/>
      <c r="AE211" s="2516"/>
      <c r="AF211" s="2516"/>
      <c r="AG211" s="547">
        <f t="shared" si="36"/>
        <v>164.0625</v>
      </c>
    </row>
    <row r="212" spans="1:33" ht="47.25" outlineLevel="2">
      <c r="A212" s="2330">
        <v>4131</v>
      </c>
      <c r="B212" s="2439" t="s">
        <v>1039</v>
      </c>
      <c r="C212" s="2439" t="s">
        <v>944</v>
      </c>
      <c r="D212" s="2459"/>
      <c r="E212" s="2428">
        <f>45+21</f>
        <v>66</v>
      </c>
      <c r="F212" s="2435">
        <v>43192</v>
      </c>
      <c r="G212" s="2435">
        <f t="shared" ref="G212:G220" si="37">E212+F212-1</f>
        <v>43257</v>
      </c>
      <c r="H212" s="2330" t="s">
        <v>178</v>
      </c>
      <c r="I212" s="2330" t="s">
        <v>169</v>
      </c>
      <c r="J212" s="2422" t="s">
        <v>178</v>
      </c>
      <c r="K212" s="2437" t="s">
        <v>320</v>
      </c>
      <c r="L212" s="2502">
        <v>23173</v>
      </c>
      <c r="M212" s="1777"/>
      <c r="N212" s="2330"/>
      <c r="O212" s="962">
        <v>4340.625</v>
      </c>
      <c r="P212" s="2330">
        <v>1</v>
      </c>
      <c r="Q212" s="800">
        <f t="shared" si="34"/>
        <v>4340.625</v>
      </c>
      <c r="R212" s="2281"/>
      <c r="S212" s="2290"/>
      <c r="T212" s="2290"/>
      <c r="U212" s="800">
        <v>4340.625</v>
      </c>
      <c r="V212" s="800"/>
      <c r="W212" s="800"/>
      <c r="X212" s="1142"/>
      <c r="Y212" s="1127"/>
      <c r="Z212" s="1199"/>
      <c r="AA212" s="1199"/>
      <c r="AB212" s="1199"/>
      <c r="AC212" s="1199"/>
      <c r="AD212" s="1199"/>
      <c r="AE212" s="1199"/>
      <c r="AF212" s="1199"/>
      <c r="AG212" s="547">
        <f t="shared" si="36"/>
        <v>4340.625</v>
      </c>
    </row>
    <row r="213" spans="1:33" ht="63" outlineLevel="2">
      <c r="A213" s="2330">
        <v>4131</v>
      </c>
      <c r="B213" s="2445" t="s">
        <v>1040</v>
      </c>
      <c r="C213" s="2486" t="s">
        <v>950</v>
      </c>
      <c r="D213" s="1777"/>
      <c r="E213" s="2428">
        <f>9</f>
        <v>9</v>
      </c>
      <c r="F213" s="2435">
        <v>43283</v>
      </c>
      <c r="G213" s="2435">
        <f t="shared" si="37"/>
        <v>43291</v>
      </c>
      <c r="H213" s="2330" t="s">
        <v>914</v>
      </c>
      <c r="I213" s="2330" t="s">
        <v>169</v>
      </c>
      <c r="J213" s="2422" t="s">
        <v>178</v>
      </c>
      <c r="K213" s="2528" t="s">
        <v>320</v>
      </c>
      <c r="L213" s="2502">
        <v>23173</v>
      </c>
      <c r="M213" s="1777"/>
      <c r="N213" s="2330"/>
      <c r="O213" s="962">
        <v>941.5625</v>
      </c>
      <c r="P213" s="2330">
        <v>1</v>
      </c>
      <c r="Q213" s="800">
        <f t="shared" si="34"/>
        <v>941.5625</v>
      </c>
      <c r="R213" s="2281"/>
      <c r="S213" s="2290"/>
      <c r="T213" s="2290"/>
      <c r="U213" s="800"/>
      <c r="V213" s="800"/>
      <c r="W213" s="800">
        <v>941.5625</v>
      </c>
      <c r="X213" s="1142"/>
      <c r="Y213" s="1127"/>
      <c r="Z213" s="1199"/>
      <c r="AA213" s="1199"/>
      <c r="AB213" s="1199"/>
      <c r="AC213" s="1199"/>
      <c r="AD213" s="1199"/>
      <c r="AE213" s="1199"/>
      <c r="AF213" s="1199"/>
      <c r="AG213" s="547">
        <f t="shared" si="36"/>
        <v>941.5625</v>
      </c>
    </row>
    <row r="214" spans="1:33" ht="63" outlineLevel="2">
      <c r="A214" s="2330">
        <v>4131</v>
      </c>
      <c r="B214" s="2445" t="s">
        <v>1040</v>
      </c>
      <c r="C214" s="2486" t="s">
        <v>950</v>
      </c>
      <c r="D214" s="1777"/>
      <c r="E214" s="2428">
        <f>9</f>
        <v>9</v>
      </c>
      <c r="F214" s="2435">
        <v>43283</v>
      </c>
      <c r="G214" s="2435">
        <f t="shared" si="37"/>
        <v>43291</v>
      </c>
      <c r="H214" s="2330" t="s">
        <v>914</v>
      </c>
      <c r="I214" s="2330" t="s">
        <v>169</v>
      </c>
      <c r="J214" s="2422" t="s">
        <v>178</v>
      </c>
      <c r="K214" s="2528" t="s">
        <v>916</v>
      </c>
      <c r="L214" s="2502">
        <v>23173</v>
      </c>
      <c r="M214" s="1777"/>
      <c r="N214" s="2330"/>
      <c r="O214" s="962">
        <v>31.25</v>
      </c>
      <c r="P214" s="2330">
        <v>8</v>
      </c>
      <c r="Q214" s="800">
        <f t="shared" si="34"/>
        <v>250</v>
      </c>
      <c r="R214" s="2281"/>
      <c r="S214" s="2290"/>
      <c r="T214" s="2290"/>
      <c r="U214" s="800"/>
      <c r="V214" s="800"/>
      <c r="W214" s="800">
        <v>250</v>
      </c>
      <c r="X214" s="1142"/>
      <c r="Y214" s="1127"/>
      <c r="Z214" s="1199"/>
      <c r="AA214" s="1199"/>
      <c r="AB214" s="1199"/>
      <c r="AC214" s="1199"/>
      <c r="AD214" s="1199"/>
      <c r="AE214" s="1199"/>
      <c r="AF214" s="1199"/>
      <c r="AG214" s="547">
        <f t="shared" si="36"/>
        <v>250</v>
      </c>
    </row>
    <row r="215" spans="1:33" ht="63" outlineLevel="2">
      <c r="A215" s="2330">
        <v>4131</v>
      </c>
      <c r="B215" s="2418" t="s">
        <v>1041</v>
      </c>
      <c r="C215" s="2439" t="s">
        <v>953</v>
      </c>
      <c r="D215" s="1777"/>
      <c r="E215" s="2428">
        <f>2</f>
        <v>2</v>
      </c>
      <c r="F215" s="2435">
        <v>43306</v>
      </c>
      <c r="G215" s="2435">
        <f t="shared" si="37"/>
        <v>43307</v>
      </c>
      <c r="H215" s="2330" t="s">
        <v>914</v>
      </c>
      <c r="I215" s="2330" t="s">
        <v>169</v>
      </c>
      <c r="J215" s="2422" t="s">
        <v>178</v>
      </c>
      <c r="K215" s="2528" t="s">
        <v>320</v>
      </c>
      <c r="L215" s="2502">
        <v>23173</v>
      </c>
      <c r="M215" s="1777"/>
      <c r="N215" s="2330"/>
      <c r="O215" s="962">
        <v>11320.09375</v>
      </c>
      <c r="P215" s="2330">
        <v>1</v>
      </c>
      <c r="Q215" s="800">
        <f t="shared" si="34"/>
        <v>11320.09375</v>
      </c>
      <c r="R215" s="2279"/>
      <c r="S215" s="2290"/>
      <c r="T215" s="2290"/>
      <c r="U215" s="800"/>
      <c r="V215" s="800"/>
      <c r="W215" s="800">
        <v>11320.09375</v>
      </c>
      <c r="X215" s="1142"/>
      <c r="Y215" s="1127"/>
      <c r="Z215" s="1199"/>
      <c r="AA215" s="1199"/>
      <c r="AB215" s="1199"/>
      <c r="AC215" s="1199"/>
      <c r="AD215" s="1199"/>
      <c r="AE215" s="1199"/>
      <c r="AF215" s="1199"/>
      <c r="AG215" s="547">
        <f t="shared" si="36"/>
        <v>11320.09375</v>
      </c>
    </row>
    <row r="216" spans="1:33" ht="63" outlineLevel="2">
      <c r="A216" s="2330">
        <v>4131</v>
      </c>
      <c r="B216" s="2418" t="s">
        <v>1041</v>
      </c>
      <c r="C216" s="2439" t="s">
        <v>953</v>
      </c>
      <c r="D216" s="1777"/>
      <c r="E216" s="2428">
        <f>2</f>
        <v>2</v>
      </c>
      <c r="F216" s="2435">
        <v>43306</v>
      </c>
      <c r="G216" s="2435">
        <f t="shared" si="37"/>
        <v>43307</v>
      </c>
      <c r="H216" s="2330" t="s">
        <v>914</v>
      </c>
      <c r="I216" s="2330" t="s">
        <v>169</v>
      </c>
      <c r="J216" s="2422" t="s">
        <v>178</v>
      </c>
      <c r="K216" s="2528" t="s">
        <v>916</v>
      </c>
      <c r="L216" s="2502">
        <v>23173</v>
      </c>
      <c r="M216" s="1777"/>
      <c r="N216" s="2330"/>
      <c r="O216" s="962">
        <v>46.875</v>
      </c>
      <c r="P216" s="2330">
        <f>2*22</f>
        <v>44</v>
      </c>
      <c r="Q216" s="800">
        <f t="shared" si="34"/>
        <v>2062.5</v>
      </c>
      <c r="R216" s="2279"/>
      <c r="S216" s="2290"/>
      <c r="T216" s="2290"/>
      <c r="U216" s="800"/>
      <c r="V216" s="800"/>
      <c r="W216" s="800">
        <v>2062.5</v>
      </c>
      <c r="X216" s="1142"/>
      <c r="Y216" s="1127"/>
      <c r="Z216" s="1199"/>
      <c r="AA216" s="1199"/>
      <c r="AB216" s="1199"/>
      <c r="AC216" s="1199"/>
      <c r="AD216" s="1199"/>
      <c r="AE216" s="1199"/>
      <c r="AF216" s="1199"/>
      <c r="AG216" s="547">
        <f t="shared" si="36"/>
        <v>2062.5</v>
      </c>
    </row>
    <row r="217" spans="1:33" ht="31.5" outlineLevel="2">
      <c r="A217" s="2330">
        <v>4132</v>
      </c>
      <c r="B217" s="2445" t="s">
        <v>1043</v>
      </c>
      <c r="C217" s="2534" t="s">
        <v>958</v>
      </c>
      <c r="D217" s="1777"/>
      <c r="E217" s="2428">
        <f>4+30+4+4+4+2+5+4+6+4</f>
        <v>67</v>
      </c>
      <c r="F217" s="2435">
        <v>43311</v>
      </c>
      <c r="G217" s="2435">
        <f t="shared" si="37"/>
        <v>43377</v>
      </c>
      <c r="H217" s="2330" t="s">
        <v>914</v>
      </c>
      <c r="I217" s="2436" t="s">
        <v>169</v>
      </c>
      <c r="J217" s="2269" t="s">
        <v>178</v>
      </c>
      <c r="K217" s="2528" t="s">
        <v>320</v>
      </c>
      <c r="L217" s="2502">
        <v>23173</v>
      </c>
      <c r="M217" s="1777"/>
      <c r="N217" s="2330"/>
      <c r="O217" s="800">
        <v>5254.34375</v>
      </c>
      <c r="P217" s="2330">
        <v>1</v>
      </c>
      <c r="Q217" s="800">
        <f t="shared" si="34"/>
        <v>5254.34375</v>
      </c>
      <c r="R217" s="2281"/>
      <c r="S217" s="2290"/>
      <c r="T217" s="2290"/>
      <c r="U217" s="800"/>
      <c r="V217" s="800"/>
      <c r="W217" s="800">
        <v>420.34750000000003</v>
      </c>
      <c r="X217" s="1142">
        <v>998.3253125</v>
      </c>
      <c r="Y217" s="1127">
        <v>3835.6709375</v>
      </c>
      <c r="Z217" s="1199"/>
      <c r="AA217" s="1199"/>
      <c r="AB217" s="1199"/>
      <c r="AC217" s="1199"/>
      <c r="AD217" s="1199"/>
      <c r="AE217" s="1199"/>
      <c r="AF217" s="1199"/>
      <c r="AG217" s="547">
        <f t="shared" si="36"/>
        <v>5254.34375</v>
      </c>
    </row>
    <row r="218" spans="1:33" ht="31.5" outlineLevel="2">
      <c r="A218" s="2330">
        <v>4132</v>
      </c>
      <c r="B218" s="2445" t="s">
        <v>1043</v>
      </c>
      <c r="C218" s="2534" t="s">
        <v>958</v>
      </c>
      <c r="D218" s="1777"/>
      <c r="E218" s="2428">
        <f>4+30+4+4+4+2+5+4+6+4</f>
        <v>67</v>
      </c>
      <c r="F218" s="2435">
        <v>43311</v>
      </c>
      <c r="G218" s="2435">
        <f t="shared" si="37"/>
        <v>43377</v>
      </c>
      <c r="H218" s="2330" t="s">
        <v>914</v>
      </c>
      <c r="I218" s="2436" t="s">
        <v>169</v>
      </c>
      <c r="J218" s="2269" t="s">
        <v>178</v>
      </c>
      <c r="K218" s="2528" t="s">
        <v>486</v>
      </c>
      <c r="L218" s="2502">
        <v>23173</v>
      </c>
      <c r="M218" s="1777"/>
      <c r="N218" s="2330"/>
      <c r="O218" s="800">
        <v>31.25</v>
      </c>
      <c r="P218" s="2330">
        <f>(4+4+5+4+5)</f>
        <v>22</v>
      </c>
      <c r="Q218" s="800">
        <f t="shared" si="34"/>
        <v>687.5</v>
      </c>
      <c r="R218" s="2281"/>
      <c r="S218" s="2290"/>
      <c r="T218" s="2290"/>
      <c r="U218" s="800"/>
      <c r="V218" s="800"/>
      <c r="W218" s="800">
        <v>55</v>
      </c>
      <c r="X218" s="1142">
        <v>130.625</v>
      </c>
      <c r="Y218" s="1127">
        <v>501.875</v>
      </c>
      <c r="Z218" s="1199"/>
      <c r="AA218" s="1199"/>
      <c r="AB218" s="1199"/>
      <c r="AC218" s="1199"/>
      <c r="AD218" s="1199"/>
      <c r="AE218" s="1199"/>
      <c r="AF218" s="1199"/>
      <c r="AG218" s="547">
        <f t="shared" si="36"/>
        <v>687.5</v>
      </c>
    </row>
    <row r="219" spans="1:33" ht="47.25" outlineLevel="2">
      <c r="A219" s="2330">
        <v>4132</v>
      </c>
      <c r="B219" s="2445" t="s">
        <v>1044</v>
      </c>
      <c r="C219" s="2534" t="s">
        <v>960</v>
      </c>
      <c r="D219" s="1777"/>
      <c r="E219" s="2428">
        <f>5</f>
        <v>5</v>
      </c>
      <c r="F219" s="2435">
        <v>43318</v>
      </c>
      <c r="G219" s="2435">
        <f t="shared" si="37"/>
        <v>43322</v>
      </c>
      <c r="H219" s="2330" t="s">
        <v>914</v>
      </c>
      <c r="I219" s="2436" t="s">
        <v>169</v>
      </c>
      <c r="J219" s="2269" t="s">
        <v>178</v>
      </c>
      <c r="K219" s="2528" t="s">
        <v>320</v>
      </c>
      <c r="L219" s="2502">
        <v>23173</v>
      </c>
      <c r="M219" s="1777"/>
      <c r="N219" s="2330"/>
      <c r="O219" s="800">
        <v>164.0625</v>
      </c>
      <c r="P219" s="2330">
        <v>1</v>
      </c>
      <c r="Q219" s="800">
        <f t="shared" si="34"/>
        <v>164.0625</v>
      </c>
      <c r="R219" s="2281"/>
      <c r="S219" s="2290"/>
      <c r="T219" s="2290"/>
      <c r="U219" s="800"/>
      <c r="V219" s="800"/>
      <c r="W219" s="800"/>
      <c r="X219" s="1142">
        <v>164.0625</v>
      </c>
      <c r="Y219" s="1127"/>
      <c r="Z219" s="1199"/>
      <c r="AA219" s="1199"/>
      <c r="AB219" s="1199"/>
      <c r="AC219" s="1199"/>
      <c r="AD219" s="1199"/>
      <c r="AE219" s="1199"/>
      <c r="AF219" s="1199"/>
      <c r="AG219" s="547">
        <f t="shared" si="36"/>
        <v>164.0625</v>
      </c>
    </row>
    <row r="220" spans="1:33" ht="47.25" outlineLevel="2">
      <c r="A220" s="2330">
        <v>4132</v>
      </c>
      <c r="B220" s="2445" t="s">
        <v>1044</v>
      </c>
      <c r="C220" s="2534" t="s">
        <v>960</v>
      </c>
      <c r="D220" s="1777"/>
      <c r="E220" s="2428">
        <f>5</f>
        <v>5</v>
      </c>
      <c r="F220" s="2435">
        <v>43318</v>
      </c>
      <c r="G220" s="2435">
        <f t="shared" si="37"/>
        <v>43322</v>
      </c>
      <c r="H220" s="2330" t="s">
        <v>914</v>
      </c>
      <c r="I220" s="2436" t="s">
        <v>169</v>
      </c>
      <c r="J220" s="2269" t="s">
        <v>178</v>
      </c>
      <c r="K220" s="2528" t="s">
        <v>486</v>
      </c>
      <c r="L220" s="2502">
        <v>23173</v>
      </c>
      <c r="M220" s="1777"/>
      <c r="N220" s="2330"/>
      <c r="O220" s="800">
        <v>31.25</v>
      </c>
      <c r="P220" s="2330">
        <v>5</v>
      </c>
      <c r="Q220" s="800">
        <f t="shared" si="34"/>
        <v>156.25</v>
      </c>
      <c r="R220" s="2281"/>
      <c r="S220" s="2290"/>
      <c r="T220" s="2290"/>
      <c r="U220" s="800"/>
      <c r="V220" s="800"/>
      <c r="W220" s="800"/>
      <c r="X220" s="1142">
        <v>156.25</v>
      </c>
      <c r="Y220" s="1127"/>
      <c r="Z220" s="1199"/>
      <c r="AA220" s="1199"/>
      <c r="AB220" s="1199"/>
      <c r="AC220" s="1199"/>
      <c r="AD220" s="1199"/>
      <c r="AE220" s="1199"/>
      <c r="AF220" s="1199"/>
      <c r="AG220" s="547">
        <f t="shared" si="36"/>
        <v>156.25</v>
      </c>
    </row>
    <row r="221" spans="1:33" ht="31.5" outlineLevel="2">
      <c r="A221" s="2330">
        <v>4262</v>
      </c>
      <c r="B221" s="2442" t="s">
        <v>484</v>
      </c>
      <c r="C221" s="2524" t="s">
        <v>485</v>
      </c>
      <c r="D221" s="1777"/>
      <c r="E221" s="2330">
        <v>6</v>
      </c>
      <c r="F221" s="2440">
        <v>43234</v>
      </c>
      <c r="G221" s="2441">
        <f t="shared" ref="G221:G226" si="38">+F221+E221-1</f>
        <v>43239</v>
      </c>
      <c r="H221" s="2330" t="s">
        <v>368</v>
      </c>
      <c r="I221" s="2330" t="s">
        <v>179</v>
      </c>
      <c r="J221" s="2422"/>
      <c r="K221" s="1777" t="s">
        <v>320</v>
      </c>
      <c r="L221" s="2502">
        <v>23173</v>
      </c>
      <c r="M221" s="1777"/>
      <c r="N221" s="2330"/>
      <c r="O221" s="1779">
        <v>165.83333333333334</v>
      </c>
      <c r="P221" s="1779">
        <v>1</v>
      </c>
      <c r="Q221" s="1779">
        <f t="shared" si="34"/>
        <v>165.83333333333334</v>
      </c>
      <c r="R221" s="1779"/>
      <c r="S221" s="1778"/>
      <c r="T221" s="1778"/>
      <c r="U221" s="1779">
        <v>165.83333333333334</v>
      </c>
      <c r="V221" s="1779"/>
      <c r="W221" s="1779"/>
      <c r="X221" s="1142"/>
      <c r="Y221" s="1127"/>
      <c r="Z221" s="1127"/>
      <c r="AA221" s="1127"/>
      <c r="AB221" s="1127"/>
      <c r="AC221" s="1127"/>
      <c r="AD221" s="1127"/>
      <c r="AE221" s="1127"/>
      <c r="AF221" s="1127"/>
      <c r="AG221" s="547">
        <f t="shared" si="36"/>
        <v>165.83333333333334</v>
      </c>
    </row>
    <row r="222" spans="1:33" ht="31.5" outlineLevel="2">
      <c r="A222" s="2330">
        <v>4262</v>
      </c>
      <c r="B222" s="2442" t="s">
        <v>484</v>
      </c>
      <c r="C222" s="2524" t="s">
        <v>485</v>
      </c>
      <c r="D222" s="1777"/>
      <c r="E222" s="2330">
        <v>6</v>
      </c>
      <c r="F222" s="2440">
        <v>43234</v>
      </c>
      <c r="G222" s="2441">
        <f t="shared" si="38"/>
        <v>43239</v>
      </c>
      <c r="H222" s="2330" t="s">
        <v>368</v>
      </c>
      <c r="I222" s="2330" t="s">
        <v>179</v>
      </c>
      <c r="J222" s="2422"/>
      <c r="K222" s="1777" t="s">
        <v>486</v>
      </c>
      <c r="L222" s="2502">
        <v>23173</v>
      </c>
      <c r="M222" s="1777"/>
      <c r="N222" s="2330"/>
      <c r="O222" s="1779">
        <v>10</v>
      </c>
      <c r="P222" s="1779">
        <v>5</v>
      </c>
      <c r="Q222" s="1779">
        <f t="shared" si="34"/>
        <v>50</v>
      </c>
      <c r="R222" s="1779"/>
      <c r="S222" s="1778"/>
      <c r="T222" s="1778"/>
      <c r="U222" s="1779">
        <v>50</v>
      </c>
      <c r="V222" s="1779"/>
      <c r="W222" s="1779"/>
      <c r="X222" s="1142"/>
      <c r="Y222" s="1127"/>
      <c r="Z222" s="1127"/>
      <c r="AA222" s="1127"/>
      <c r="AB222" s="1127"/>
      <c r="AC222" s="1127"/>
      <c r="AD222" s="1127"/>
      <c r="AE222" s="1127"/>
      <c r="AF222" s="1127"/>
      <c r="AG222" s="547">
        <f t="shared" si="36"/>
        <v>50</v>
      </c>
    </row>
    <row r="223" spans="1:33" outlineLevel="2">
      <c r="A223" s="2330">
        <v>4263</v>
      </c>
      <c r="B223" s="2442" t="s">
        <v>487</v>
      </c>
      <c r="C223" s="2524" t="s">
        <v>488</v>
      </c>
      <c r="D223" s="1777"/>
      <c r="E223" s="2330">
        <v>10</v>
      </c>
      <c r="F223" s="2440">
        <v>43241</v>
      </c>
      <c r="G223" s="2441">
        <f t="shared" si="38"/>
        <v>43250</v>
      </c>
      <c r="H223" s="2330" t="s">
        <v>372</v>
      </c>
      <c r="I223" s="2330" t="s">
        <v>179</v>
      </c>
      <c r="J223" s="2422"/>
      <c r="K223" s="1777" t="s">
        <v>320</v>
      </c>
      <c r="L223" s="2502">
        <v>23173</v>
      </c>
      <c r="M223" s="1777"/>
      <c r="N223" s="2330"/>
      <c r="O223" s="1779">
        <v>356.33333333333331</v>
      </c>
      <c r="P223" s="1779">
        <v>1</v>
      </c>
      <c r="Q223" s="1779">
        <f t="shared" si="34"/>
        <v>356.33333333333331</v>
      </c>
      <c r="R223" s="1779"/>
      <c r="S223" s="2290"/>
      <c r="T223" s="2290"/>
      <c r="U223" s="1779">
        <v>356.33333333333331</v>
      </c>
      <c r="V223" s="800"/>
      <c r="W223" s="800"/>
      <c r="X223" s="1142"/>
      <c r="Y223" s="1127"/>
      <c r="Z223" s="1127"/>
      <c r="AA223" s="1127"/>
      <c r="AB223" s="1127"/>
      <c r="AC223" s="1127"/>
      <c r="AD223" s="1127"/>
      <c r="AE223" s="1127"/>
      <c r="AF223" s="1127"/>
      <c r="AG223" s="547">
        <f t="shared" si="36"/>
        <v>356.33333333333331</v>
      </c>
    </row>
    <row r="224" spans="1:33" outlineLevel="2">
      <c r="A224" s="2330">
        <v>4263</v>
      </c>
      <c r="B224" s="2442" t="s">
        <v>487</v>
      </c>
      <c r="C224" s="2524" t="s">
        <v>488</v>
      </c>
      <c r="D224" s="1777"/>
      <c r="E224" s="2330">
        <v>10</v>
      </c>
      <c r="F224" s="2440">
        <v>43241</v>
      </c>
      <c r="G224" s="2441">
        <f t="shared" si="38"/>
        <v>43250</v>
      </c>
      <c r="H224" s="2330" t="s">
        <v>372</v>
      </c>
      <c r="I224" s="2330" t="s">
        <v>179</v>
      </c>
      <c r="J224" s="2422"/>
      <c r="K224" s="1777" t="s">
        <v>486</v>
      </c>
      <c r="L224" s="2502">
        <v>23173</v>
      </c>
      <c r="M224" s="1777"/>
      <c r="N224" s="2330"/>
      <c r="O224" s="1779">
        <v>10</v>
      </c>
      <c r="P224" s="1779">
        <v>10</v>
      </c>
      <c r="Q224" s="1779">
        <f t="shared" si="34"/>
        <v>100</v>
      </c>
      <c r="R224" s="1779"/>
      <c r="S224" s="2290"/>
      <c r="T224" s="2290"/>
      <c r="U224" s="1779">
        <v>100</v>
      </c>
      <c r="V224" s="800"/>
      <c r="W224" s="800"/>
      <c r="X224" s="1142"/>
      <c r="Y224" s="1127"/>
      <c r="Z224" s="1127"/>
      <c r="AA224" s="1127"/>
      <c r="AB224" s="1127"/>
      <c r="AC224" s="1127"/>
      <c r="AD224" s="1127"/>
      <c r="AE224" s="1127"/>
      <c r="AF224" s="1127"/>
      <c r="AG224" s="547">
        <f t="shared" si="36"/>
        <v>100</v>
      </c>
    </row>
    <row r="225" spans="1:33" ht="31.5" outlineLevel="2">
      <c r="A225" s="2330">
        <v>4283</v>
      </c>
      <c r="B225" s="2443" t="s">
        <v>505</v>
      </c>
      <c r="C225" s="2535" t="s">
        <v>506</v>
      </c>
      <c r="D225" s="1777"/>
      <c r="E225" s="2436">
        <v>15</v>
      </c>
      <c r="F225" s="2440">
        <v>43255</v>
      </c>
      <c r="G225" s="2441">
        <f t="shared" si="38"/>
        <v>43269</v>
      </c>
      <c r="H225" s="2330" t="s">
        <v>501</v>
      </c>
      <c r="I225" s="2330" t="s">
        <v>179</v>
      </c>
      <c r="J225" s="2422" t="s">
        <v>507</v>
      </c>
      <c r="K225" s="1777" t="s">
        <v>320</v>
      </c>
      <c r="L225" s="2502">
        <v>23173</v>
      </c>
      <c r="M225" s="1777"/>
      <c r="N225" s="2330"/>
      <c r="O225" s="1779">
        <v>1060.0740000000001</v>
      </c>
      <c r="P225" s="1779">
        <v>1</v>
      </c>
      <c r="Q225" s="1779">
        <f t="shared" si="34"/>
        <v>1060.0740000000001</v>
      </c>
      <c r="R225" s="1779"/>
      <c r="S225" s="1778"/>
      <c r="T225" s="2290"/>
      <c r="U225" s="1779"/>
      <c r="V225" s="1779">
        <v>1060.0740000000001</v>
      </c>
      <c r="W225" s="800"/>
      <c r="X225" s="1142"/>
      <c r="Y225" s="1127"/>
      <c r="Z225" s="1199"/>
      <c r="AA225" s="1199"/>
      <c r="AB225" s="1199"/>
      <c r="AC225" s="1199"/>
      <c r="AD225" s="1199"/>
      <c r="AE225" s="1199"/>
      <c r="AF225" s="1199"/>
      <c r="AG225" s="547">
        <f t="shared" si="36"/>
        <v>1060.0740000000001</v>
      </c>
    </row>
    <row r="226" spans="1:33" ht="31.5" outlineLevel="2">
      <c r="A226" s="2330">
        <v>4283</v>
      </c>
      <c r="B226" s="2443" t="s">
        <v>505</v>
      </c>
      <c r="C226" s="2444" t="s">
        <v>506</v>
      </c>
      <c r="D226" s="1777"/>
      <c r="E226" s="2436">
        <v>15</v>
      </c>
      <c r="F226" s="2440">
        <v>43255</v>
      </c>
      <c r="G226" s="2441">
        <f t="shared" si="38"/>
        <v>43269</v>
      </c>
      <c r="H226" s="2330" t="s">
        <v>501</v>
      </c>
      <c r="I226" s="2330" t="s">
        <v>179</v>
      </c>
      <c r="J226" s="2422" t="s">
        <v>507</v>
      </c>
      <c r="K226" s="1777" t="s">
        <v>486</v>
      </c>
      <c r="L226" s="2502">
        <v>23173</v>
      </c>
      <c r="M226" s="1777"/>
      <c r="N226" s="2330"/>
      <c r="O226" s="1779">
        <v>33.333333333333336</v>
      </c>
      <c r="P226" s="1779">
        <v>12</v>
      </c>
      <c r="Q226" s="1779">
        <f t="shared" si="34"/>
        <v>400</v>
      </c>
      <c r="R226" s="1779"/>
      <c r="S226" s="1778"/>
      <c r="T226" s="2290"/>
      <c r="U226" s="1779"/>
      <c r="V226" s="1779">
        <v>400</v>
      </c>
      <c r="W226" s="800"/>
      <c r="X226" s="1142"/>
      <c r="Y226" s="1127"/>
      <c r="Z226" s="1199"/>
      <c r="AA226" s="1199"/>
      <c r="AB226" s="1199"/>
      <c r="AC226" s="1199"/>
      <c r="AD226" s="1199"/>
      <c r="AE226" s="1199"/>
      <c r="AF226" s="1199"/>
      <c r="AG226" s="547">
        <f t="shared" si="36"/>
        <v>400</v>
      </c>
    </row>
    <row r="227" spans="1:33" ht="63" outlineLevel="2">
      <c r="A227" s="2330">
        <v>4311</v>
      </c>
      <c r="B227" s="2445" t="s">
        <v>370</v>
      </c>
      <c r="C227" s="2439" t="s">
        <v>371</v>
      </c>
      <c r="D227" s="1777"/>
      <c r="E227" s="2330">
        <f>3+30</f>
        <v>33</v>
      </c>
      <c r="F227" s="2330">
        <f t="shared" ref="F227:F232" si="39">G227-E227</f>
        <v>43184</v>
      </c>
      <c r="G227" s="2330">
        <v>43217</v>
      </c>
      <c r="H227" s="2330" t="s">
        <v>372</v>
      </c>
      <c r="I227" s="2330" t="s">
        <v>169</v>
      </c>
      <c r="J227" s="2422" t="s">
        <v>373</v>
      </c>
      <c r="K227" s="1777" t="s">
        <v>374</v>
      </c>
      <c r="L227" s="2330">
        <v>23173</v>
      </c>
      <c r="M227" s="1777"/>
      <c r="N227" s="2330"/>
      <c r="O227" s="962">
        <v>214</v>
      </c>
      <c r="P227" s="2330">
        <v>1</v>
      </c>
      <c r="Q227" s="800">
        <f t="shared" si="34"/>
        <v>214</v>
      </c>
      <c r="R227" s="800"/>
      <c r="S227" s="2290"/>
      <c r="T227" s="2290">
        <v>214</v>
      </c>
      <c r="U227" s="800"/>
      <c r="V227" s="800"/>
      <c r="W227" s="800"/>
      <c r="X227" s="1142"/>
      <c r="Y227" s="1127"/>
      <c r="Z227" s="1199"/>
      <c r="AA227" s="1199"/>
      <c r="AB227" s="1199"/>
      <c r="AC227" s="1199"/>
      <c r="AD227" s="1199"/>
      <c r="AE227" s="1199"/>
      <c r="AF227" s="1199"/>
      <c r="AG227" s="547">
        <f t="shared" si="36"/>
        <v>214</v>
      </c>
    </row>
    <row r="228" spans="1:33" outlineLevel="2">
      <c r="A228" s="2330">
        <v>4323</v>
      </c>
      <c r="B228" s="2445" t="s">
        <v>1007</v>
      </c>
      <c r="C228" s="2446" t="s">
        <v>382</v>
      </c>
      <c r="D228" s="1777"/>
      <c r="E228" s="2330">
        <f>3+30</f>
        <v>33</v>
      </c>
      <c r="F228" s="2330">
        <f t="shared" si="39"/>
        <v>43263</v>
      </c>
      <c r="G228" s="2330">
        <v>43296</v>
      </c>
      <c r="H228" s="2330" t="s">
        <v>372</v>
      </c>
      <c r="I228" s="2330" t="s">
        <v>169</v>
      </c>
      <c r="J228" s="2422"/>
      <c r="K228" s="1777" t="s">
        <v>384</v>
      </c>
      <c r="L228" s="2330">
        <v>23173</v>
      </c>
      <c r="M228" s="1777"/>
      <c r="N228" s="2330"/>
      <c r="O228" s="962">
        <v>147</v>
      </c>
      <c r="P228" s="2330">
        <v>6</v>
      </c>
      <c r="Q228" s="800">
        <f t="shared" si="34"/>
        <v>882</v>
      </c>
      <c r="R228" s="800"/>
      <c r="S228" s="2290"/>
      <c r="T228" s="2290"/>
      <c r="U228" s="800"/>
      <c r="V228" s="800"/>
      <c r="W228" s="800">
        <v>882</v>
      </c>
      <c r="X228" s="1142"/>
      <c r="Y228" s="1127"/>
      <c r="Z228" s="1199"/>
      <c r="AA228" s="1199"/>
      <c r="AB228" s="1199"/>
      <c r="AC228" s="1199"/>
      <c r="AD228" s="1199"/>
      <c r="AE228" s="1199"/>
      <c r="AF228" s="1199"/>
      <c r="AG228" s="547">
        <f t="shared" si="36"/>
        <v>882</v>
      </c>
    </row>
    <row r="229" spans="1:33" ht="47.25" outlineLevel="2">
      <c r="A229" s="2330">
        <v>4324</v>
      </c>
      <c r="B229" s="2445" t="s">
        <v>385</v>
      </c>
      <c r="C229" s="2446" t="s">
        <v>386</v>
      </c>
      <c r="D229" s="1777"/>
      <c r="E229" s="2330">
        <f>10+45</f>
        <v>55</v>
      </c>
      <c r="F229" s="2330">
        <f t="shared" si="39"/>
        <v>43211</v>
      </c>
      <c r="G229" s="2330">
        <v>43266</v>
      </c>
      <c r="H229" s="2330" t="s">
        <v>390</v>
      </c>
      <c r="I229" s="2330" t="s">
        <v>169</v>
      </c>
      <c r="J229" s="2422" t="s">
        <v>387</v>
      </c>
      <c r="K229" s="2445" t="s">
        <v>388</v>
      </c>
      <c r="L229" s="2330">
        <v>23173</v>
      </c>
      <c r="M229" s="1777"/>
      <c r="N229" s="2330"/>
      <c r="O229" s="962">
        <v>469</v>
      </c>
      <c r="P229" s="2330">
        <v>22</v>
      </c>
      <c r="Q229" s="800">
        <f t="shared" si="34"/>
        <v>10318</v>
      </c>
      <c r="R229" s="800"/>
      <c r="S229" s="2290"/>
      <c r="T229" s="2290"/>
      <c r="U229" s="800"/>
      <c r="V229" s="800">
        <v>10318</v>
      </c>
      <c r="W229" s="800"/>
      <c r="X229" s="1142"/>
      <c r="Y229" s="1127"/>
      <c r="Z229" s="1199"/>
      <c r="AA229" s="1199"/>
      <c r="AB229" s="1199"/>
      <c r="AC229" s="1199"/>
      <c r="AD229" s="1199"/>
      <c r="AE229" s="1199"/>
      <c r="AF229" s="1199"/>
      <c r="AG229" s="547">
        <f t="shared" si="36"/>
        <v>10318</v>
      </c>
    </row>
    <row r="230" spans="1:33" ht="47.25" outlineLevel="2">
      <c r="A230" s="2330">
        <v>4324</v>
      </c>
      <c r="B230" s="2445" t="s">
        <v>385</v>
      </c>
      <c r="C230" s="2446" t="s">
        <v>386</v>
      </c>
      <c r="D230" s="1777"/>
      <c r="E230" s="2330">
        <f>10+45</f>
        <v>55</v>
      </c>
      <c r="F230" s="2330">
        <f t="shared" si="39"/>
        <v>43211</v>
      </c>
      <c r="G230" s="2330">
        <v>43266</v>
      </c>
      <c r="H230" s="2330" t="s">
        <v>390</v>
      </c>
      <c r="I230" s="2330" t="s">
        <v>169</v>
      </c>
      <c r="J230" s="2422" t="s">
        <v>387</v>
      </c>
      <c r="K230" s="1777" t="s">
        <v>1049</v>
      </c>
      <c r="L230" s="2330">
        <v>23173</v>
      </c>
      <c r="M230" s="1777"/>
      <c r="N230" s="2330"/>
      <c r="O230" s="962">
        <v>313</v>
      </c>
      <c r="P230" s="2330">
        <v>22</v>
      </c>
      <c r="Q230" s="800">
        <f t="shared" si="34"/>
        <v>6886</v>
      </c>
      <c r="R230" s="800"/>
      <c r="S230" s="2290"/>
      <c r="T230" s="2290"/>
      <c r="U230" s="800"/>
      <c r="V230" s="800">
        <v>6886</v>
      </c>
      <c r="W230" s="800"/>
      <c r="X230" s="1142"/>
      <c r="Y230" s="1127"/>
      <c r="Z230" s="1199"/>
      <c r="AA230" s="1199"/>
      <c r="AB230" s="1199"/>
      <c r="AC230" s="1199"/>
      <c r="AD230" s="1199"/>
      <c r="AE230" s="1199"/>
      <c r="AF230" s="1199"/>
      <c r="AG230" s="547">
        <f t="shared" si="36"/>
        <v>6886</v>
      </c>
    </row>
    <row r="231" spans="1:33" ht="78.75" outlineLevel="2">
      <c r="A231" s="2330">
        <v>4324</v>
      </c>
      <c r="B231" s="2445" t="s">
        <v>400</v>
      </c>
      <c r="C231" s="2439" t="s">
        <v>401</v>
      </c>
      <c r="D231" s="1777"/>
      <c r="E231" s="2330">
        <f>45+10</f>
        <v>55</v>
      </c>
      <c r="F231" s="2330">
        <f t="shared" si="39"/>
        <v>43211</v>
      </c>
      <c r="G231" s="2330">
        <v>43266</v>
      </c>
      <c r="H231" s="2330" t="s">
        <v>390</v>
      </c>
      <c r="I231" s="2330" t="s">
        <v>169</v>
      </c>
      <c r="J231" s="2422"/>
      <c r="K231" s="1777" t="s">
        <v>384</v>
      </c>
      <c r="L231" s="2330">
        <v>23173</v>
      </c>
      <c r="M231" s="1777"/>
      <c r="N231" s="2330"/>
      <c r="O231" s="962">
        <v>577</v>
      </c>
      <c r="P231" s="2330">
        <v>22</v>
      </c>
      <c r="Q231" s="800">
        <f t="shared" si="34"/>
        <v>12694</v>
      </c>
      <c r="R231" s="800"/>
      <c r="S231" s="2290"/>
      <c r="T231" s="2290"/>
      <c r="U231" s="800"/>
      <c r="V231" s="800">
        <v>12694</v>
      </c>
      <c r="W231" s="800"/>
      <c r="X231" s="1142"/>
      <c r="Y231" s="1127"/>
      <c r="Z231" s="1199"/>
      <c r="AA231" s="1199"/>
      <c r="AB231" s="1199"/>
      <c r="AC231" s="1199"/>
      <c r="AD231" s="1199"/>
      <c r="AE231" s="1199"/>
      <c r="AF231" s="1199"/>
      <c r="AG231" s="547">
        <f t="shared" si="36"/>
        <v>12694</v>
      </c>
    </row>
    <row r="232" spans="1:33" outlineLevel="2">
      <c r="A232" s="2330">
        <v>4324</v>
      </c>
      <c r="B232" s="2418" t="s">
        <v>402</v>
      </c>
      <c r="C232" s="2446" t="s">
        <v>403</v>
      </c>
      <c r="D232" s="1777"/>
      <c r="E232" s="2330">
        <f>3+30</f>
        <v>33</v>
      </c>
      <c r="F232" s="2330">
        <f t="shared" si="39"/>
        <v>43233</v>
      </c>
      <c r="G232" s="2330">
        <v>43266</v>
      </c>
      <c r="H232" s="2330" t="s">
        <v>372</v>
      </c>
      <c r="I232" s="2330" t="s">
        <v>180</v>
      </c>
      <c r="J232" s="2422"/>
      <c r="K232" s="1777" t="s">
        <v>384</v>
      </c>
      <c r="L232" s="2330">
        <v>23173</v>
      </c>
      <c r="M232" s="1777"/>
      <c r="N232" s="2330"/>
      <c r="O232" s="962">
        <v>47.5</v>
      </c>
      <c r="P232" s="2330">
        <v>64</v>
      </c>
      <c r="Q232" s="800">
        <f t="shared" si="34"/>
        <v>3040</v>
      </c>
      <c r="R232" s="800"/>
      <c r="S232" s="2290"/>
      <c r="T232" s="2290"/>
      <c r="U232" s="800"/>
      <c r="V232" s="800">
        <v>3040</v>
      </c>
      <c r="W232" s="800"/>
      <c r="X232" s="1142"/>
      <c r="Y232" s="1127"/>
      <c r="Z232" s="1199"/>
      <c r="AA232" s="1199"/>
      <c r="AB232" s="1199"/>
      <c r="AC232" s="1199"/>
      <c r="AD232" s="1199"/>
      <c r="AE232" s="1199"/>
      <c r="AF232" s="1199"/>
      <c r="AG232" s="547">
        <f t="shared" si="36"/>
        <v>3040</v>
      </c>
    </row>
    <row r="233" spans="1:33" ht="27.75" customHeight="1" outlineLevel="2">
      <c r="A233" s="2447">
        <v>4412</v>
      </c>
      <c r="B233" s="2448" t="s">
        <v>43</v>
      </c>
      <c r="C233" s="2448" t="s">
        <v>973</v>
      </c>
      <c r="D233" s="2448"/>
      <c r="E233" s="2448"/>
      <c r="F233" s="2448"/>
      <c r="G233" s="2448"/>
      <c r="H233" s="2448"/>
      <c r="I233" s="2450" t="s">
        <v>169</v>
      </c>
      <c r="J233" s="2450"/>
      <c r="K233" s="2449"/>
      <c r="L233" s="2451">
        <v>23173</v>
      </c>
      <c r="M233" s="2448"/>
      <c r="N233" s="2450"/>
      <c r="O233" s="2302">
        <v>10636.17</v>
      </c>
      <c r="P233" s="2450">
        <v>1</v>
      </c>
      <c r="Q233" s="2302">
        <f>+O233*P233</f>
        <v>10636.17</v>
      </c>
      <c r="R233" s="1658"/>
      <c r="S233" s="2302"/>
      <c r="T233" s="2337"/>
      <c r="U233" s="2302"/>
      <c r="V233" s="2337"/>
      <c r="W233" s="2302">
        <v>10636.17</v>
      </c>
      <c r="X233" s="2342"/>
      <c r="Y233" s="2337"/>
      <c r="Z233" s="2337"/>
      <c r="AA233" s="2337"/>
      <c r="AB233" s="2337"/>
      <c r="AC233" s="2337"/>
      <c r="AD233" s="2337"/>
      <c r="AE233" s="2337"/>
      <c r="AF233" s="2337"/>
      <c r="AG233" s="547">
        <f>SUM(S233:AF233)</f>
        <v>10636.17</v>
      </c>
    </row>
    <row r="234" spans="1:33" ht="31.5" outlineLevel="2">
      <c r="A234" s="2466">
        <v>4421</v>
      </c>
      <c r="B234" s="2484" t="s">
        <v>999</v>
      </c>
      <c r="C234" s="2484" t="s">
        <v>974</v>
      </c>
      <c r="D234" s="2484"/>
      <c r="E234" s="2338">
        <v>150</v>
      </c>
      <c r="F234" s="2484">
        <v>43221</v>
      </c>
      <c r="G234" s="2484">
        <f>F234+E234+2</f>
        <v>43373</v>
      </c>
      <c r="H234" s="2484"/>
      <c r="I234" s="2338" t="s">
        <v>169</v>
      </c>
      <c r="J234" s="2338"/>
      <c r="K234" s="2473" t="s">
        <v>1004</v>
      </c>
      <c r="L234" s="2476">
        <v>23173</v>
      </c>
      <c r="M234" s="2484"/>
      <c r="N234" s="2338"/>
      <c r="O234" s="2344">
        <v>1700</v>
      </c>
      <c r="P234" s="2422">
        <v>5</v>
      </c>
      <c r="Q234" s="2305">
        <f>O234*P234</f>
        <v>8500</v>
      </c>
      <c r="R234" s="653"/>
      <c r="S234" s="2352"/>
      <c r="T234" s="2308"/>
      <c r="U234" s="2344">
        <v>1700</v>
      </c>
      <c r="V234" s="2344">
        <v>1700</v>
      </c>
      <c r="W234" s="2344">
        <v>1700</v>
      </c>
      <c r="X234" s="2345">
        <v>1700</v>
      </c>
      <c r="Y234" s="2346">
        <v>1700</v>
      </c>
      <c r="Z234" s="1164"/>
      <c r="AA234" s="1164"/>
      <c r="AB234" s="1164"/>
      <c r="AC234" s="1164"/>
      <c r="AD234" s="1164"/>
      <c r="AE234" s="1164"/>
      <c r="AF234" s="1164"/>
      <c r="AG234" s="547">
        <f t="shared" ref="AG234:AG250" si="40">SUM(S234:AF234)</f>
        <v>8500</v>
      </c>
    </row>
    <row r="235" spans="1:33" ht="31.5" outlineLevel="2">
      <c r="A235" s="2466">
        <v>4421</v>
      </c>
      <c r="B235" s="2484" t="s">
        <v>999</v>
      </c>
      <c r="C235" s="2484" t="s">
        <v>974</v>
      </c>
      <c r="D235" s="2484"/>
      <c r="E235" s="2338">
        <v>150</v>
      </c>
      <c r="F235" s="2484">
        <v>43221</v>
      </c>
      <c r="G235" s="2484">
        <f>F235+E235+2</f>
        <v>43373</v>
      </c>
      <c r="H235" s="2484"/>
      <c r="I235" s="2338" t="s">
        <v>169</v>
      </c>
      <c r="J235" s="2338"/>
      <c r="K235" s="2473" t="s">
        <v>255</v>
      </c>
      <c r="L235" s="2476">
        <v>23173</v>
      </c>
      <c r="M235" s="2484"/>
      <c r="N235" s="2338"/>
      <c r="O235" s="2344">
        <v>2500</v>
      </c>
      <c r="P235" s="2422">
        <v>5</v>
      </c>
      <c r="Q235" s="2305">
        <f>O235*P235</f>
        <v>12500</v>
      </c>
      <c r="R235" s="653"/>
      <c r="S235" s="2352"/>
      <c r="T235" s="2308"/>
      <c r="U235" s="2344">
        <v>2500</v>
      </c>
      <c r="V235" s="2344">
        <v>2500</v>
      </c>
      <c r="W235" s="2344">
        <v>2500</v>
      </c>
      <c r="X235" s="2345">
        <v>2500</v>
      </c>
      <c r="Y235" s="2346">
        <v>2500</v>
      </c>
      <c r="Z235" s="1164"/>
      <c r="AA235" s="1164"/>
      <c r="AB235" s="1164"/>
      <c r="AC235" s="1164"/>
      <c r="AD235" s="1164"/>
      <c r="AE235" s="1164"/>
      <c r="AF235" s="1164"/>
      <c r="AG235" s="547">
        <f t="shared" si="40"/>
        <v>12500</v>
      </c>
    </row>
    <row r="236" spans="1:33" ht="31.5" outlineLevel="2">
      <c r="A236" s="2536">
        <v>4421</v>
      </c>
      <c r="B236" s="2537" t="s">
        <v>999</v>
      </c>
      <c r="C236" s="2537" t="s">
        <v>974</v>
      </c>
      <c r="D236" s="2537"/>
      <c r="E236" s="2538">
        <v>150</v>
      </c>
      <c r="F236" s="2537">
        <v>43221</v>
      </c>
      <c r="G236" s="2537">
        <f>F236+E236+2</f>
        <v>43373</v>
      </c>
      <c r="H236" s="2537"/>
      <c r="I236" s="2539" t="s">
        <v>169</v>
      </c>
      <c r="J236" s="2354"/>
      <c r="K236" s="2540" t="s">
        <v>992</v>
      </c>
      <c r="L236" s="2541">
        <v>23173</v>
      </c>
      <c r="M236" s="2542"/>
      <c r="N236" s="2354"/>
      <c r="O236" s="2353">
        <v>100</v>
      </c>
      <c r="P236" s="2420">
        <v>5</v>
      </c>
      <c r="Q236" s="485">
        <f>O236*P236</f>
        <v>500</v>
      </c>
      <c r="R236" s="486"/>
      <c r="S236" s="485"/>
      <c r="T236" s="518"/>
      <c r="U236" s="2353">
        <v>100</v>
      </c>
      <c r="V236" s="2353">
        <v>100</v>
      </c>
      <c r="W236" s="2353">
        <v>100</v>
      </c>
      <c r="X236" s="2345">
        <v>100</v>
      </c>
      <c r="Y236" s="2346">
        <v>100</v>
      </c>
      <c r="Z236" s="1164"/>
      <c r="AA236" s="1164"/>
      <c r="AB236" s="1164"/>
      <c r="AC236" s="1164"/>
      <c r="AD236" s="1164"/>
      <c r="AE236" s="1164"/>
      <c r="AF236" s="1164"/>
      <c r="AG236" s="547">
        <f t="shared" si="40"/>
        <v>500</v>
      </c>
    </row>
    <row r="237" spans="1:33" ht="31.5" outlineLevel="2">
      <c r="A237" s="2536">
        <v>4421</v>
      </c>
      <c r="B237" s="2537" t="s">
        <v>999</v>
      </c>
      <c r="C237" s="2537" t="s">
        <v>974</v>
      </c>
      <c r="D237" s="2537"/>
      <c r="E237" s="2538">
        <v>150</v>
      </c>
      <c r="F237" s="2537">
        <v>43221</v>
      </c>
      <c r="G237" s="2537">
        <f>F237+E237+2</f>
        <v>43373</v>
      </c>
      <c r="H237" s="2537"/>
      <c r="I237" s="2539" t="s">
        <v>169</v>
      </c>
      <c r="J237" s="2354"/>
      <c r="K237" s="2540" t="s">
        <v>993</v>
      </c>
      <c r="L237" s="2541">
        <v>23173</v>
      </c>
      <c r="M237" s="2542"/>
      <c r="N237" s="2354"/>
      <c r="O237" s="2353">
        <v>200</v>
      </c>
      <c r="P237" s="2420">
        <v>5</v>
      </c>
      <c r="Q237" s="485">
        <f>O237*P237</f>
        <v>1000</v>
      </c>
      <c r="R237" s="486"/>
      <c r="S237" s="485"/>
      <c r="T237" s="518"/>
      <c r="U237" s="2353">
        <v>200</v>
      </c>
      <c r="V237" s="2353">
        <v>200</v>
      </c>
      <c r="W237" s="2353">
        <v>200</v>
      </c>
      <c r="X237" s="2353">
        <v>200</v>
      </c>
      <c r="Y237" s="2353">
        <v>200</v>
      </c>
      <c r="Z237" s="518"/>
      <c r="AA237" s="518"/>
      <c r="AB237" s="518"/>
      <c r="AC237" s="518"/>
      <c r="AD237" s="518"/>
      <c r="AE237" s="518"/>
      <c r="AF237" s="518"/>
      <c r="AG237" s="547">
        <f t="shared" si="40"/>
        <v>1000</v>
      </c>
    </row>
    <row r="238" spans="1:33" ht="31.5" outlineLevel="2">
      <c r="A238" s="2466">
        <v>4421</v>
      </c>
      <c r="B238" s="2484" t="s">
        <v>999</v>
      </c>
      <c r="C238" s="2484" t="s">
        <v>974</v>
      </c>
      <c r="D238" s="2484"/>
      <c r="E238" s="2338">
        <v>150</v>
      </c>
      <c r="F238" s="2484">
        <v>43221</v>
      </c>
      <c r="G238" s="2484">
        <f>F238+E238+2</f>
        <v>43373</v>
      </c>
      <c r="H238" s="2484"/>
      <c r="I238" s="2338" t="s">
        <v>169</v>
      </c>
      <c r="J238" s="2338"/>
      <c r="K238" s="2473" t="s">
        <v>991</v>
      </c>
      <c r="L238" s="2478">
        <v>23173</v>
      </c>
      <c r="M238" s="2484"/>
      <c r="N238" s="2338"/>
      <c r="O238" s="2344">
        <v>300</v>
      </c>
      <c r="P238" s="2422">
        <v>5</v>
      </c>
      <c r="Q238" s="2305">
        <f>O238*P238</f>
        <v>1500</v>
      </c>
      <c r="R238" s="653"/>
      <c r="S238" s="2305"/>
      <c r="T238" s="2285"/>
      <c r="U238" s="2344">
        <v>300</v>
      </c>
      <c r="V238" s="2344">
        <v>300</v>
      </c>
      <c r="W238" s="2344">
        <v>300</v>
      </c>
      <c r="X238" s="2345">
        <v>300</v>
      </c>
      <c r="Y238" s="2346">
        <v>300</v>
      </c>
      <c r="Z238" s="1164"/>
      <c r="AA238" s="1164"/>
      <c r="AB238" s="1164"/>
      <c r="AC238" s="1164"/>
      <c r="AD238" s="1164"/>
      <c r="AE238" s="1164"/>
      <c r="AF238" s="1164"/>
      <c r="AG238" s="547">
        <f t="shared" si="40"/>
        <v>1500</v>
      </c>
    </row>
    <row r="239" spans="1:33" outlineLevel="2">
      <c r="A239" s="2543">
        <v>4424</v>
      </c>
      <c r="B239" s="2544" t="s">
        <v>1002</v>
      </c>
      <c r="C239" s="2544" t="s">
        <v>1072</v>
      </c>
      <c r="D239" s="2544"/>
      <c r="E239" s="2545">
        <v>30</v>
      </c>
      <c r="F239" s="2544">
        <v>43221</v>
      </c>
      <c r="G239" s="2544">
        <f>F239+E239</f>
        <v>43251</v>
      </c>
      <c r="H239" s="2544"/>
      <c r="I239" s="2546" t="s">
        <v>169</v>
      </c>
      <c r="J239" s="2354"/>
      <c r="K239" s="2540" t="s">
        <v>1077</v>
      </c>
      <c r="L239" s="2541">
        <v>23173</v>
      </c>
      <c r="M239" s="2542"/>
      <c r="N239" s="2354"/>
      <c r="O239" s="492">
        <v>5000</v>
      </c>
      <c r="P239" s="2354">
        <v>1</v>
      </c>
      <c r="Q239" s="485">
        <v>5000</v>
      </c>
      <c r="R239" s="486"/>
      <c r="S239" s="2354"/>
      <c r="T239" s="518"/>
      <c r="U239" s="485">
        <v>5000</v>
      </c>
      <c r="V239" s="518"/>
      <c r="W239" s="518"/>
      <c r="X239" s="518"/>
      <c r="Y239" s="518"/>
      <c r="Z239" s="518"/>
      <c r="AA239" s="518"/>
      <c r="AB239" s="518"/>
      <c r="AC239" s="518"/>
      <c r="AD239" s="518"/>
      <c r="AE239" s="518"/>
      <c r="AF239" s="518"/>
      <c r="AG239" s="547">
        <f t="shared" si="40"/>
        <v>5000</v>
      </c>
    </row>
    <row r="240" spans="1:33" outlineLevel="2">
      <c r="A240" s="2543">
        <v>4425</v>
      </c>
      <c r="B240" s="2542" t="s">
        <v>1003</v>
      </c>
      <c r="C240" s="2542" t="s">
        <v>1073</v>
      </c>
      <c r="D240" s="2542"/>
      <c r="E240" s="2354">
        <v>30</v>
      </c>
      <c r="F240" s="2542">
        <v>43221</v>
      </c>
      <c r="G240" s="2542">
        <f>F240+E240</f>
        <v>43251</v>
      </c>
      <c r="H240" s="2542"/>
      <c r="I240" s="2354" t="s">
        <v>169</v>
      </c>
      <c r="J240" s="2354"/>
      <c r="K240" s="2540" t="s">
        <v>1078</v>
      </c>
      <c r="L240" s="2541">
        <v>23173</v>
      </c>
      <c r="M240" s="2542"/>
      <c r="N240" s="2354"/>
      <c r="O240" s="492">
        <v>45000</v>
      </c>
      <c r="P240" s="2354">
        <v>1</v>
      </c>
      <c r="Q240" s="485">
        <f t="shared" ref="Q240:Q250" si="41">O240*P240</f>
        <v>45000</v>
      </c>
      <c r="R240" s="486"/>
      <c r="S240" s="2354"/>
      <c r="T240" s="518"/>
      <c r="U240" s="485">
        <v>45000</v>
      </c>
      <c r="V240" s="518"/>
      <c r="W240" s="518"/>
      <c r="X240" s="2340"/>
      <c r="Y240" s="1164"/>
      <c r="Z240" s="1164"/>
      <c r="AA240" s="1164"/>
      <c r="AB240" s="1164"/>
      <c r="AC240" s="1164"/>
      <c r="AD240" s="1164"/>
      <c r="AE240" s="1164"/>
      <c r="AF240" s="1164"/>
      <c r="AG240" s="547">
        <f t="shared" si="40"/>
        <v>45000</v>
      </c>
    </row>
    <row r="241" spans="1:33" ht="94.5" outlineLevel="2">
      <c r="A241" s="2417">
        <v>6312</v>
      </c>
      <c r="B241" s="2363" t="s">
        <v>409</v>
      </c>
      <c r="C241" s="2547" t="s">
        <v>410</v>
      </c>
      <c r="D241" s="2284"/>
      <c r="E241" s="2417"/>
      <c r="F241" s="2417">
        <v>43241</v>
      </c>
      <c r="G241" s="2417">
        <v>43273</v>
      </c>
      <c r="H241" s="2548" t="s">
        <v>406</v>
      </c>
      <c r="I241" s="2417" t="s">
        <v>181</v>
      </c>
      <c r="J241" s="2420" t="s">
        <v>411</v>
      </c>
      <c r="K241" s="2284" t="s">
        <v>415</v>
      </c>
      <c r="L241" s="2417">
        <v>23173</v>
      </c>
      <c r="M241" s="2284"/>
      <c r="N241" s="2417"/>
      <c r="O241" s="910">
        <v>166.75</v>
      </c>
      <c r="P241" s="2417">
        <v>4</v>
      </c>
      <c r="Q241" s="299">
        <f t="shared" si="41"/>
        <v>667</v>
      </c>
      <c r="R241" s="299"/>
      <c r="S241" s="299"/>
      <c r="T241" s="299"/>
      <c r="U241" s="299">
        <v>333.5</v>
      </c>
      <c r="V241" s="299">
        <v>333.5</v>
      </c>
      <c r="W241" s="299"/>
      <c r="X241" s="1142"/>
      <c r="Y241" s="1127"/>
      <c r="Z241" s="1127"/>
      <c r="AA241" s="1127"/>
      <c r="AB241" s="1127"/>
      <c r="AC241" s="1127"/>
      <c r="AD241" s="1127"/>
      <c r="AE241" s="1127"/>
      <c r="AF241" s="1127"/>
      <c r="AG241" s="547">
        <f t="shared" si="40"/>
        <v>667</v>
      </c>
    </row>
    <row r="242" spans="1:33" ht="94.5" outlineLevel="2">
      <c r="A242" s="2417">
        <v>6313</v>
      </c>
      <c r="B242" s="2363" t="s">
        <v>416</v>
      </c>
      <c r="C242" s="2547" t="s">
        <v>417</v>
      </c>
      <c r="D242" s="2284"/>
      <c r="E242" s="2417"/>
      <c r="F242" s="2417">
        <v>43294</v>
      </c>
      <c r="G242" s="2417">
        <v>43294</v>
      </c>
      <c r="H242" s="2548" t="s">
        <v>406</v>
      </c>
      <c r="I242" s="2417" t="s">
        <v>181</v>
      </c>
      <c r="J242" s="2420" t="s">
        <v>411</v>
      </c>
      <c r="K242" s="2284" t="s">
        <v>418</v>
      </c>
      <c r="L242" s="2417">
        <v>23173</v>
      </c>
      <c r="M242" s="2284"/>
      <c r="N242" s="2417"/>
      <c r="O242" s="910">
        <v>666.66666666666799</v>
      </c>
      <c r="P242" s="2417">
        <v>1</v>
      </c>
      <c r="Q242" s="299">
        <f t="shared" si="41"/>
        <v>666.66666666666799</v>
      </c>
      <c r="R242" s="299"/>
      <c r="S242" s="299"/>
      <c r="T242" s="299"/>
      <c r="U242" s="299"/>
      <c r="V242" s="299"/>
      <c r="W242" s="299">
        <v>666.66666666666799</v>
      </c>
      <c r="X242" s="1142"/>
      <c r="Y242" s="1127"/>
      <c r="Z242" s="1127"/>
      <c r="AA242" s="1127"/>
      <c r="AB242" s="1127"/>
      <c r="AC242" s="1127"/>
      <c r="AD242" s="1127"/>
      <c r="AE242" s="1127"/>
      <c r="AF242" s="1127"/>
      <c r="AG242" s="547">
        <f t="shared" si="40"/>
        <v>666.66666666666799</v>
      </c>
    </row>
    <row r="243" spans="1:33" ht="94.5" outlineLevel="2">
      <c r="A243" s="2417">
        <v>6313</v>
      </c>
      <c r="B243" s="2363" t="s">
        <v>416</v>
      </c>
      <c r="C243" s="2547" t="s">
        <v>417</v>
      </c>
      <c r="D243" s="2284"/>
      <c r="E243" s="2417"/>
      <c r="F243" s="2417">
        <v>43294</v>
      </c>
      <c r="G243" s="2417">
        <v>43294</v>
      </c>
      <c r="H243" s="2548" t="s">
        <v>406</v>
      </c>
      <c r="I243" s="2417" t="s">
        <v>181</v>
      </c>
      <c r="J243" s="2420" t="s">
        <v>411</v>
      </c>
      <c r="K243" s="2284" t="s">
        <v>415</v>
      </c>
      <c r="L243" s="2417">
        <v>23173</v>
      </c>
      <c r="M243" s="2284"/>
      <c r="N243" s="2417"/>
      <c r="O243" s="910">
        <v>333.33333333333331</v>
      </c>
      <c r="P243" s="2417">
        <v>1</v>
      </c>
      <c r="Q243" s="299">
        <f t="shared" si="41"/>
        <v>333.33333333333331</v>
      </c>
      <c r="R243" s="299"/>
      <c r="S243" s="299"/>
      <c r="T243" s="299"/>
      <c r="U243" s="299"/>
      <c r="V243" s="299"/>
      <c r="W243" s="299">
        <v>333.33333333333331</v>
      </c>
      <c r="X243" s="1142"/>
      <c r="Y243" s="1127"/>
      <c r="Z243" s="1127"/>
      <c r="AA243" s="1127"/>
      <c r="AB243" s="1127"/>
      <c r="AC243" s="1127"/>
      <c r="AD243" s="1127"/>
      <c r="AE243" s="1127"/>
      <c r="AF243" s="1127"/>
      <c r="AG243" s="547">
        <f t="shared" si="40"/>
        <v>333.33333333333331</v>
      </c>
    </row>
    <row r="244" spans="1:33" ht="141.75" outlineLevel="2">
      <c r="A244" s="2417">
        <v>6322</v>
      </c>
      <c r="B244" s="2363" t="s">
        <v>422</v>
      </c>
      <c r="C244" s="2547"/>
      <c r="D244" s="2284"/>
      <c r="E244" s="2417"/>
      <c r="F244" s="2549">
        <v>43227</v>
      </c>
      <c r="G244" s="2549">
        <v>43238</v>
      </c>
      <c r="H244" s="2548" t="s">
        <v>421</v>
      </c>
      <c r="I244" s="2417" t="s">
        <v>181</v>
      </c>
      <c r="J244" s="2420" t="s">
        <v>423</v>
      </c>
      <c r="K244" s="2284" t="s">
        <v>415</v>
      </c>
      <c r="L244" s="2417">
        <v>23173</v>
      </c>
      <c r="M244" s="2284"/>
      <c r="N244" s="2417"/>
      <c r="O244" s="910">
        <v>166.66666666666666</v>
      </c>
      <c r="P244" s="2417">
        <v>2</v>
      </c>
      <c r="Q244" s="299">
        <f t="shared" si="41"/>
        <v>333.33333333333331</v>
      </c>
      <c r="R244" s="299"/>
      <c r="S244" s="299"/>
      <c r="T244" s="299"/>
      <c r="U244" s="299">
        <v>333.33333333333331</v>
      </c>
      <c r="V244" s="299"/>
      <c r="W244" s="299"/>
      <c r="X244" s="1142"/>
      <c r="Y244" s="1127"/>
      <c r="Z244" s="1127"/>
      <c r="AA244" s="1127"/>
      <c r="AB244" s="1127"/>
      <c r="AC244" s="1127"/>
      <c r="AD244" s="1127"/>
      <c r="AE244" s="1127"/>
      <c r="AF244" s="1127"/>
      <c r="AG244" s="547">
        <f t="shared" si="40"/>
        <v>333.33333333333331</v>
      </c>
    </row>
    <row r="245" spans="1:33" ht="141.75" outlineLevel="2">
      <c r="A245" s="2417">
        <v>6322</v>
      </c>
      <c r="B245" s="2363" t="s">
        <v>422</v>
      </c>
      <c r="C245" s="2547"/>
      <c r="D245" s="2284"/>
      <c r="E245" s="2417"/>
      <c r="F245" s="2549">
        <v>43227</v>
      </c>
      <c r="G245" s="2549">
        <v>43238</v>
      </c>
      <c r="H245" s="2548" t="s">
        <v>421</v>
      </c>
      <c r="I245" s="2417" t="s">
        <v>181</v>
      </c>
      <c r="J245" s="2420" t="s">
        <v>423</v>
      </c>
      <c r="K245" s="2284" t="s">
        <v>427</v>
      </c>
      <c r="L245" s="2417">
        <v>23173</v>
      </c>
      <c r="M245" s="2284"/>
      <c r="N245" s="2417"/>
      <c r="O245" s="910">
        <v>1463</v>
      </c>
      <c r="P245" s="2417">
        <v>1</v>
      </c>
      <c r="Q245" s="299">
        <f t="shared" si="41"/>
        <v>1463</v>
      </c>
      <c r="R245" s="299"/>
      <c r="S245" s="299"/>
      <c r="T245" s="299"/>
      <c r="U245" s="299">
        <v>1463</v>
      </c>
      <c r="V245" s="299"/>
      <c r="W245" s="299"/>
      <c r="X245" s="1142"/>
      <c r="Y245" s="1127"/>
      <c r="Z245" s="1127"/>
      <c r="AA245" s="1127"/>
      <c r="AB245" s="1127"/>
      <c r="AC245" s="1127"/>
      <c r="AD245" s="1127"/>
      <c r="AE245" s="1127"/>
      <c r="AF245" s="1127"/>
      <c r="AG245" s="547">
        <f t="shared" si="40"/>
        <v>1463</v>
      </c>
    </row>
    <row r="246" spans="1:33" ht="141.75" outlineLevel="2">
      <c r="A246" s="2417">
        <v>6323</v>
      </c>
      <c r="B246" s="2363" t="s">
        <v>428</v>
      </c>
      <c r="C246" s="2547" t="s">
        <v>429</v>
      </c>
      <c r="D246" s="2284"/>
      <c r="E246" s="2417"/>
      <c r="F246" s="2549">
        <v>43264</v>
      </c>
      <c r="G246" s="2549">
        <v>43264</v>
      </c>
      <c r="H246" s="2548" t="s">
        <v>421</v>
      </c>
      <c r="I246" s="2417" t="s">
        <v>181</v>
      </c>
      <c r="J246" s="2420" t="s">
        <v>423</v>
      </c>
      <c r="K246" s="2284" t="s">
        <v>418</v>
      </c>
      <c r="L246" s="2417">
        <v>23173</v>
      </c>
      <c r="M246" s="2284"/>
      <c r="N246" s="2417"/>
      <c r="O246" s="910">
        <v>666.66666666666663</v>
      </c>
      <c r="P246" s="2417">
        <v>1</v>
      </c>
      <c r="Q246" s="299">
        <f t="shared" si="41"/>
        <v>666.66666666666663</v>
      </c>
      <c r="R246" s="299"/>
      <c r="S246" s="299"/>
      <c r="T246" s="299"/>
      <c r="U246" s="299"/>
      <c r="V246" s="299">
        <v>666.66666666666663</v>
      </c>
      <c r="W246" s="299"/>
      <c r="X246" s="1142"/>
      <c r="Y246" s="1127"/>
      <c r="Z246" s="1127"/>
      <c r="AA246" s="1127"/>
      <c r="AB246" s="1127"/>
      <c r="AC246" s="1127"/>
      <c r="AD246" s="1127"/>
      <c r="AE246" s="1127"/>
      <c r="AF246" s="1127"/>
      <c r="AG246" s="547">
        <f t="shared" si="40"/>
        <v>666.66666666666663</v>
      </c>
    </row>
    <row r="247" spans="1:33" ht="141.75" outlineLevel="2">
      <c r="A247" s="2417">
        <v>6323</v>
      </c>
      <c r="B247" s="2363" t="s">
        <v>428</v>
      </c>
      <c r="C247" s="2547" t="s">
        <v>429</v>
      </c>
      <c r="D247" s="2284"/>
      <c r="E247" s="2417"/>
      <c r="F247" s="2549">
        <v>43264</v>
      </c>
      <c r="G247" s="2549">
        <v>43264</v>
      </c>
      <c r="H247" s="2548" t="s">
        <v>421</v>
      </c>
      <c r="I247" s="2417" t="s">
        <v>181</v>
      </c>
      <c r="J247" s="2420" t="s">
        <v>423</v>
      </c>
      <c r="K247" s="2284" t="s">
        <v>415</v>
      </c>
      <c r="L247" s="2417">
        <v>23173</v>
      </c>
      <c r="M247" s="2284"/>
      <c r="N247" s="2417"/>
      <c r="O247" s="910">
        <v>333.33333333333331</v>
      </c>
      <c r="P247" s="2417">
        <v>1</v>
      </c>
      <c r="Q247" s="299">
        <f t="shared" si="41"/>
        <v>333.33333333333331</v>
      </c>
      <c r="R247" s="299"/>
      <c r="S247" s="299"/>
      <c r="T247" s="299"/>
      <c r="U247" s="299"/>
      <c r="V247" s="299">
        <v>333.33333333333331</v>
      </c>
      <c r="W247" s="299"/>
      <c r="X247" s="1142"/>
      <c r="Y247" s="1127"/>
      <c r="Z247" s="1127"/>
      <c r="AA247" s="1127"/>
      <c r="AB247" s="1127"/>
      <c r="AC247" s="1127"/>
      <c r="AD247" s="1127"/>
      <c r="AE247" s="1127"/>
      <c r="AF247" s="1127"/>
      <c r="AG247" s="547">
        <f t="shared" si="40"/>
        <v>333.33333333333331</v>
      </c>
    </row>
    <row r="248" spans="1:33" ht="141.75" outlineLevel="2">
      <c r="A248" s="2417">
        <v>6323</v>
      </c>
      <c r="B248" s="2550" t="s">
        <v>428</v>
      </c>
      <c r="C248" s="2551" t="s">
        <v>429</v>
      </c>
      <c r="D248" s="2552"/>
      <c r="E248" s="2553"/>
      <c r="F248" s="2554">
        <v>43264</v>
      </c>
      <c r="G248" s="2554">
        <v>43264</v>
      </c>
      <c r="H248" s="2555" t="s">
        <v>421</v>
      </c>
      <c r="I248" s="2556" t="s">
        <v>181</v>
      </c>
      <c r="J248" s="2420" t="s">
        <v>423</v>
      </c>
      <c r="K248" s="2284" t="s">
        <v>430</v>
      </c>
      <c r="L248" s="2417">
        <v>23173</v>
      </c>
      <c r="M248" s="2284"/>
      <c r="N248" s="2417"/>
      <c r="O248" s="910">
        <v>23.33</v>
      </c>
      <c r="P248" s="2417">
        <v>200</v>
      </c>
      <c r="Q248" s="299">
        <f t="shared" si="41"/>
        <v>4666</v>
      </c>
      <c r="R248" s="299"/>
      <c r="S248" s="299"/>
      <c r="T248" s="299"/>
      <c r="U248" s="299"/>
      <c r="V248" s="299"/>
      <c r="W248" s="299">
        <v>4666</v>
      </c>
      <c r="X248" s="299"/>
      <c r="Y248" s="299"/>
      <c r="Z248" s="299"/>
      <c r="AA248" s="299"/>
      <c r="AB248" s="299"/>
      <c r="AC248" s="299"/>
      <c r="AD248" s="299"/>
      <c r="AE248" s="299"/>
      <c r="AF248" s="299"/>
      <c r="AG248" s="547">
        <f t="shared" si="40"/>
        <v>4666</v>
      </c>
    </row>
    <row r="249" spans="1:33" ht="141.75" outlineLevel="2">
      <c r="A249" s="2417">
        <v>6324</v>
      </c>
      <c r="B249" s="2363" t="s">
        <v>431</v>
      </c>
      <c r="C249" s="2547" t="s">
        <v>432</v>
      </c>
      <c r="D249" s="2284"/>
      <c r="E249" s="2417"/>
      <c r="F249" s="2549">
        <v>43255</v>
      </c>
      <c r="G249" s="2549">
        <v>43287</v>
      </c>
      <c r="H249" s="2548" t="s">
        <v>421</v>
      </c>
      <c r="I249" s="2417" t="s">
        <v>181</v>
      </c>
      <c r="J249" s="2420" t="s">
        <v>423</v>
      </c>
      <c r="K249" s="2284" t="s">
        <v>415</v>
      </c>
      <c r="L249" s="2417">
        <v>23173</v>
      </c>
      <c r="M249" s="2284"/>
      <c r="N249" s="2417"/>
      <c r="O249" s="910">
        <v>1666.66</v>
      </c>
      <c r="P249" s="2417">
        <v>3</v>
      </c>
      <c r="Q249" s="299">
        <f t="shared" si="41"/>
        <v>4999.9800000000005</v>
      </c>
      <c r="R249" s="299"/>
      <c r="S249" s="299"/>
      <c r="T249" s="299"/>
      <c r="U249" s="299"/>
      <c r="V249" s="299">
        <v>3333.3199999999997</v>
      </c>
      <c r="W249" s="299">
        <v>1666.6599999999999</v>
      </c>
      <c r="X249" s="1142"/>
      <c r="Y249" s="1127"/>
      <c r="Z249" s="1127"/>
      <c r="AA249" s="1127"/>
      <c r="AB249" s="1127"/>
      <c r="AC249" s="1127"/>
      <c r="AD249" s="1127"/>
      <c r="AE249" s="1127"/>
      <c r="AF249" s="1127"/>
      <c r="AG249" s="547">
        <f t="shared" si="40"/>
        <v>4999.9799999999996</v>
      </c>
    </row>
    <row r="250" spans="1:33" ht="141.75" outlineLevel="2">
      <c r="A250" s="2417">
        <v>6324</v>
      </c>
      <c r="B250" s="2363" t="s">
        <v>431</v>
      </c>
      <c r="C250" s="2547" t="s">
        <v>432</v>
      </c>
      <c r="D250" s="2284"/>
      <c r="E250" s="2417"/>
      <c r="F250" s="2549">
        <v>43255</v>
      </c>
      <c r="G250" s="2549">
        <v>43287</v>
      </c>
      <c r="H250" s="2548" t="s">
        <v>421</v>
      </c>
      <c r="I250" s="2417" t="s">
        <v>181</v>
      </c>
      <c r="J250" s="2420" t="s">
        <v>423</v>
      </c>
      <c r="K250" s="2284" t="s">
        <v>436</v>
      </c>
      <c r="L250" s="2417">
        <v>23173</v>
      </c>
      <c r="M250" s="2284"/>
      <c r="N250" s="2417"/>
      <c r="O250" s="910">
        <v>23.33</v>
      </c>
      <c r="P250" s="2417">
        <v>200</v>
      </c>
      <c r="Q250" s="299">
        <f t="shared" si="41"/>
        <v>4666</v>
      </c>
      <c r="R250" s="299"/>
      <c r="S250" s="299"/>
      <c r="T250" s="299"/>
      <c r="U250" s="299"/>
      <c r="V250" s="299"/>
      <c r="W250" s="299"/>
      <c r="X250" s="1142">
        <v>4666</v>
      </c>
      <c r="Y250" s="1127"/>
      <c r="Z250" s="1127"/>
      <c r="AA250" s="1127"/>
      <c r="AB250" s="1127"/>
      <c r="AC250" s="1127"/>
      <c r="AD250" s="1127"/>
      <c r="AE250" s="1127"/>
      <c r="AF250" s="1127"/>
      <c r="AG250" s="547">
        <f t="shared" si="40"/>
        <v>4666</v>
      </c>
    </row>
    <row r="251" spans="1:33" s="1028" customFormat="1" ht="24.95" customHeight="1" outlineLevel="1">
      <c r="A251" s="2454"/>
      <c r="B251" s="2455"/>
      <c r="C251" s="2456"/>
      <c r="D251" s="2454"/>
      <c r="E251" s="2454"/>
      <c r="F251" s="2454"/>
      <c r="G251" s="2454"/>
      <c r="H251" s="2454"/>
      <c r="I251" s="2454"/>
      <c r="J251" s="2455"/>
      <c r="K251" s="2454"/>
      <c r="L251" s="2454" t="s">
        <v>1010</v>
      </c>
      <c r="M251" s="2454"/>
      <c r="N251" s="2454"/>
      <c r="O251" s="2294"/>
      <c r="P251" s="2454"/>
      <c r="Q251" s="2294">
        <f>SUBTOTAL(9,Q78:Q250)</f>
        <v>406807.80076000001</v>
      </c>
      <c r="R251" s="2294"/>
      <c r="S251" s="2294">
        <f t="shared" ref="S251:AG251" si="42">SUBTOTAL(9,S78:S250)</f>
        <v>0</v>
      </c>
      <c r="T251" s="2294">
        <f t="shared" si="42"/>
        <v>4288.3330000000005</v>
      </c>
      <c r="U251" s="2294">
        <f t="shared" si="42"/>
        <v>140402.52226</v>
      </c>
      <c r="V251" s="2294">
        <f t="shared" si="42"/>
        <v>115108.99816666666</v>
      </c>
      <c r="W251" s="2294">
        <f t="shared" si="42"/>
        <v>95651.378583333339</v>
      </c>
      <c r="X251" s="2380">
        <f t="shared" si="42"/>
        <v>18106.759479166667</v>
      </c>
      <c r="Y251" s="2294">
        <f t="shared" si="42"/>
        <v>16282.545937499999</v>
      </c>
      <c r="Z251" s="2294">
        <f t="shared" si="42"/>
        <v>16535.933333333334</v>
      </c>
      <c r="AA251" s="2294">
        <f t="shared" si="42"/>
        <v>0</v>
      </c>
      <c r="AB251" s="2294">
        <f t="shared" si="42"/>
        <v>0</v>
      </c>
      <c r="AC251" s="2294">
        <f t="shared" si="42"/>
        <v>0</v>
      </c>
      <c r="AD251" s="2294">
        <f t="shared" si="42"/>
        <v>431.33</v>
      </c>
      <c r="AE251" s="2294">
        <f t="shared" si="42"/>
        <v>0</v>
      </c>
      <c r="AF251" s="2294">
        <f t="shared" si="42"/>
        <v>0</v>
      </c>
      <c r="AG251" s="2296">
        <f t="shared" si="42"/>
        <v>406807.80076000001</v>
      </c>
    </row>
    <row r="252" spans="1:33" ht="78.75" outlineLevel="2">
      <c r="A252" s="2417">
        <v>1111</v>
      </c>
      <c r="B252" s="2363" t="s">
        <v>620</v>
      </c>
      <c r="C252" s="2411" t="s">
        <v>621</v>
      </c>
      <c r="D252" s="2557"/>
      <c r="E252" s="2541">
        <v>5</v>
      </c>
      <c r="F252" s="2541">
        <v>43206</v>
      </c>
      <c r="G252" s="2541">
        <f t="shared" ref="G252:G283" si="43">F252+E252-1</f>
        <v>43210</v>
      </c>
      <c r="H252" s="2557" t="s">
        <v>622</v>
      </c>
      <c r="I252" s="2541" t="s">
        <v>170</v>
      </c>
      <c r="J252" s="2354" t="s">
        <v>623</v>
      </c>
      <c r="K252" s="2557" t="s">
        <v>624</v>
      </c>
      <c r="L252" s="2409">
        <v>23174</v>
      </c>
      <c r="M252" s="2557"/>
      <c r="N252" s="2557"/>
      <c r="O252" s="485">
        <v>84</v>
      </c>
      <c r="P252" s="2557">
        <v>1</v>
      </c>
      <c r="Q252" s="2384">
        <f t="shared" ref="Q252:Q283" si="44">O252*P252</f>
        <v>84</v>
      </c>
      <c r="R252" s="2276"/>
      <c r="S252" s="1858"/>
      <c r="T252" s="2284">
        <v>84</v>
      </c>
      <c r="U252" s="1858"/>
      <c r="V252" s="1858"/>
      <c r="W252" s="1858"/>
      <c r="X252" s="1783"/>
      <c r="Y252" s="1743"/>
      <c r="Z252" s="1199"/>
      <c r="AA252" s="1199"/>
      <c r="AB252" s="1199"/>
      <c r="AC252" s="1199"/>
      <c r="AD252" s="1199"/>
      <c r="AE252" s="1199"/>
      <c r="AF252" s="1199"/>
      <c r="AG252" s="547">
        <f t="shared" ref="AG252:AG315" si="45">SUM(S252:AF252)</f>
        <v>84</v>
      </c>
    </row>
    <row r="253" spans="1:33" ht="78.75" outlineLevel="2">
      <c r="A253" s="2417">
        <v>1111</v>
      </c>
      <c r="B253" s="2363" t="s">
        <v>620</v>
      </c>
      <c r="C253" s="2411" t="s">
        <v>621</v>
      </c>
      <c r="D253" s="2557"/>
      <c r="E253" s="2541">
        <v>5</v>
      </c>
      <c r="F253" s="2541">
        <v>43206</v>
      </c>
      <c r="G253" s="2541">
        <f t="shared" si="43"/>
        <v>43210</v>
      </c>
      <c r="H253" s="2557" t="s">
        <v>622</v>
      </c>
      <c r="I253" s="2541" t="s">
        <v>170</v>
      </c>
      <c r="J253" s="2354" t="s">
        <v>623</v>
      </c>
      <c r="K253" s="2557" t="s">
        <v>626</v>
      </c>
      <c r="L253" s="2409">
        <v>23174</v>
      </c>
      <c r="M253" s="2557"/>
      <c r="N253" s="2557"/>
      <c r="O253" s="485">
        <v>93.333333333333343</v>
      </c>
      <c r="P253" s="2557">
        <v>1</v>
      </c>
      <c r="Q253" s="2384">
        <f t="shared" si="44"/>
        <v>93.333333333333343</v>
      </c>
      <c r="R253" s="2276"/>
      <c r="S253" s="1858"/>
      <c r="T253" s="2284">
        <v>93.333333333333343</v>
      </c>
      <c r="U253" s="1858"/>
      <c r="V253" s="1858"/>
      <c r="W253" s="1858"/>
      <c r="X253" s="1783"/>
      <c r="Y253" s="1743"/>
      <c r="Z253" s="1199"/>
      <c r="AA253" s="1199"/>
      <c r="AB253" s="1199"/>
      <c r="AC253" s="1199"/>
      <c r="AD253" s="1199"/>
      <c r="AE253" s="1199"/>
      <c r="AF253" s="1199"/>
      <c r="AG253" s="547">
        <f t="shared" si="45"/>
        <v>93.333333333333343</v>
      </c>
    </row>
    <row r="254" spans="1:33" ht="78.75" outlineLevel="2">
      <c r="A254" s="2417">
        <v>1111</v>
      </c>
      <c r="B254" s="2363" t="s">
        <v>620</v>
      </c>
      <c r="C254" s="2411" t="s">
        <v>621</v>
      </c>
      <c r="D254" s="2557"/>
      <c r="E254" s="2541">
        <v>5</v>
      </c>
      <c r="F254" s="2541">
        <v>43206</v>
      </c>
      <c r="G254" s="2541">
        <f t="shared" si="43"/>
        <v>43210</v>
      </c>
      <c r="H254" s="2557" t="s">
        <v>622</v>
      </c>
      <c r="I254" s="2541" t="s">
        <v>170</v>
      </c>
      <c r="J254" s="2354" t="s">
        <v>623</v>
      </c>
      <c r="K254" s="2557" t="s">
        <v>627</v>
      </c>
      <c r="L254" s="2409">
        <v>23174</v>
      </c>
      <c r="M254" s="2557"/>
      <c r="N254" s="2557"/>
      <c r="O254" s="485">
        <v>70</v>
      </c>
      <c r="P254" s="2557">
        <v>1</v>
      </c>
      <c r="Q254" s="2384">
        <f t="shared" si="44"/>
        <v>70</v>
      </c>
      <c r="R254" s="2276"/>
      <c r="S254" s="1858"/>
      <c r="T254" s="2284">
        <v>70</v>
      </c>
      <c r="U254" s="1858"/>
      <c r="V254" s="1858"/>
      <c r="W254" s="1858"/>
      <c r="X254" s="1783"/>
      <c r="Y254" s="1743"/>
      <c r="Z254" s="1199"/>
      <c r="AA254" s="1199"/>
      <c r="AB254" s="1199"/>
      <c r="AC254" s="1199"/>
      <c r="AD254" s="1199"/>
      <c r="AE254" s="1199"/>
      <c r="AF254" s="1199"/>
      <c r="AG254" s="547">
        <f t="shared" si="45"/>
        <v>70</v>
      </c>
    </row>
    <row r="255" spans="1:33" ht="78.75" outlineLevel="2">
      <c r="A255" s="2417">
        <v>1111</v>
      </c>
      <c r="B255" s="2363" t="s">
        <v>620</v>
      </c>
      <c r="C255" s="2411" t="s">
        <v>621</v>
      </c>
      <c r="D255" s="2557"/>
      <c r="E255" s="2541">
        <v>5</v>
      </c>
      <c r="F255" s="2541">
        <v>43206</v>
      </c>
      <c r="G255" s="2541">
        <f t="shared" si="43"/>
        <v>43210</v>
      </c>
      <c r="H255" s="2557" t="s">
        <v>622</v>
      </c>
      <c r="I255" s="2541" t="s">
        <v>170</v>
      </c>
      <c r="J255" s="2354" t="s">
        <v>623</v>
      </c>
      <c r="K255" s="2557" t="s">
        <v>628</v>
      </c>
      <c r="L255" s="2409">
        <v>23174</v>
      </c>
      <c r="M255" s="2557"/>
      <c r="N255" s="2557"/>
      <c r="O255" s="485">
        <v>46.666666666666671</v>
      </c>
      <c r="P255" s="2557">
        <v>1</v>
      </c>
      <c r="Q255" s="2384">
        <f t="shared" si="44"/>
        <v>46.666666666666671</v>
      </c>
      <c r="R255" s="2276"/>
      <c r="S255" s="1858"/>
      <c r="T255" s="2284">
        <v>46.666666666666671</v>
      </c>
      <c r="U255" s="1858"/>
      <c r="V255" s="1858"/>
      <c r="W255" s="1858"/>
      <c r="X255" s="1783"/>
      <c r="Y255" s="1743"/>
      <c r="Z255" s="1199"/>
      <c r="AA255" s="1199"/>
      <c r="AB255" s="1199"/>
      <c r="AC255" s="1199"/>
      <c r="AD255" s="1199"/>
      <c r="AE255" s="1199"/>
      <c r="AF255" s="1199"/>
      <c r="AG255" s="547">
        <f t="shared" si="45"/>
        <v>46.666666666666671</v>
      </c>
    </row>
    <row r="256" spans="1:33" ht="78.75" outlineLevel="2">
      <c r="A256" s="2417">
        <v>1111</v>
      </c>
      <c r="B256" s="2363" t="s">
        <v>620</v>
      </c>
      <c r="C256" s="2411" t="s">
        <v>621</v>
      </c>
      <c r="D256" s="2557"/>
      <c r="E256" s="2541">
        <v>5</v>
      </c>
      <c r="F256" s="2541">
        <v>43206</v>
      </c>
      <c r="G256" s="2541">
        <f t="shared" si="43"/>
        <v>43210</v>
      </c>
      <c r="H256" s="2557" t="s">
        <v>622</v>
      </c>
      <c r="I256" s="2541" t="s">
        <v>170</v>
      </c>
      <c r="J256" s="2354" t="s">
        <v>623</v>
      </c>
      <c r="K256" s="2557" t="s">
        <v>629</v>
      </c>
      <c r="L256" s="2409">
        <v>23174</v>
      </c>
      <c r="M256" s="2557"/>
      <c r="N256" s="2557"/>
      <c r="O256" s="485">
        <v>336</v>
      </c>
      <c r="P256" s="2557">
        <v>1</v>
      </c>
      <c r="Q256" s="2384">
        <f t="shared" si="44"/>
        <v>336</v>
      </c>
      <c r="R256" s="2276"/>
      <c r="S256" s="1858"/>
      <c r="T256" s="2284">
        <v>336</v>
      </c>
      <c r="U256" s="1858"/>
      <c r="V256" s="1858"/>
      <c r="W256" s="1858"/>
      <c r="X256" s="1783"/>
      <c r="Y256" s="1743"/>
      <c r="Z256" s="1199"/>
      <c r="AA256" s="1199"/>
      <c r="AB256" s="1199"/>
      <c r="AC256" s="1199"/>
      <c r="AD256" s="1199"/>
      <c r="AE256" s="1199"/>
      <c r="AF256" s="1199"/>
      <c r="AG256" s="547">
        <f t="shared" si="45"/>
        <v>336</v>
      </c>
    </row>
    <row r="257" spans="1:33" ht="78.75" outlineLevel="2">
      <c r="A257" s="2417">
        <v>1111</v>
      </c>
      <c r="B257" s="2363" t="s">
        <v>620</v>
      </c>
      <c r="C257" s="2411" t="s">
        <v>621</v>
      </c>
      <c r="D257" s="2557"/>
      <c r="E257" s="2541">
        <v>5</v>
      </c>
      <c r="F257" s="2541">
        <v>43206</v>
      </c>
      <c r="G257" s="2541">
        <f t="shared" si="43"/>
        <v>43210</v>
      </c>
      <c r="H257" s="2557" t="s">
        <v>622</v>
      </c>
      <c r="I257" s="2541" t="s">
        <v>170</v>
      </c>
      <c r="J257" s="2354" t="s">
        <v>623</v>
      </c>
      <c r="K257" s="2557" t="s">
        <v>630</v>
      </c>
      <c r="L257" s="2409">
        <v>23174</v>
      </c>
      <c r="M257" s="2557"/>
      <c r="N257" s="2557"/>
      <c r="O257" s="485">
        <v>373.33333333333337</v>
      </c>
      <c r="P257" s="2557">
        <v>1</v>
      </c>
      <c r="Q257" s="2384">
        <f t="shared" si="44"/>
        <v>373.33333333333337</v>
      </c>
      <c r="R257" s="2276"/>
      <c r="S257" s="1858"/>
      <c r="T257" s="2284">
        <v>373.33333333333337</v>
      </c>
      <c r="U257" s="1858"/>
      <c r="V257" s="1858"/>
      <c r="W257" s="1858"/>
      <c r="X257" s="1783"/>
      <c r="Y257" s="1743"/>
      <c r="Z257" s="1199"/>
      <c r="AA257" s="1199"/>
      <c r="AB257" s="1199"/>
      <c r="AC257" s="1199"/>
      <c r="AD257" s="1199"/>
      <c r="AE257" s="1199"/>
      <c r="AF257" s="1199"/>
      <c r="AG257" s="547">
        <f t="shared" si="45"/>
        <v>373.33333333333337</v>
      </c>
    </row>
    <row r="258" spans="1:33" ht="78.75" outlineLevel="2">
      <c r="A258" s="2417">
        <v>1111</v>
      </c>
      <c r="B258" s="2363" t="s">
        <v>620</v>
      </c>
      <c r="C258" s="2411" t="s">
        <v>621</v>
      </c>
      <c r="D258" s="2557"/>
      <c r="E258" s="2541">
        <v>5</v>
      </c>
      <c r="F258" s="2541">
        <v>43206</v>
      </c>
      <c r="G258" s="2541">
        <f t="shared" si="43"/>
        <v>43210</v>
      </c>
      <c r="H258" s="2557" t="s">
        <v>622</v>
      </c>
      <c r="I258" s="2541" t="s">
        <v>170</v>
      </c>
      <c r="J258" s="2354" t="s">
        <v>623</v>
      </c>
      <c r="K258" s="2557" t="s">
        <v>631</v>
      </c>
      <c r="L258" s="2409">
        <v>23174</v>
      </c>
      <c r="M258" s="2557"/>
      <c r="N258" s="2557"/>
      <c r="O258" s="485">
        <v>107</v>
      </c>
      <c r="P258" s="2557">
        <v>1</v>
      </c>
      <c r="Q258" s="2384">
        <f t="shared" si="44"/>
        <v>107</v>
      </c>
      <c r="R258" s="2276"/>
      <c r="S258" s="1858"/>
      <c r="T258" s="2284">
        <v>107</v>
      </c>
      <c r="U258" s="1858"/>
      <c r="V258" s="1858"/>
      <c r="W258" s="1858"/>
      <c r="X258" s="1783"/>
      <c r="Y258" s="1743"/>
      <c r="Z258" s="1199"/>
      <c r="AA258" s="1199"/>
      <c r="AB258" s="1199"/>
      <c r="AC258" s="1199"/>
      <c r="AD258" s="1199"/>
      <c r="AE258" s="1199"/>
      <c r="AF258" s="1199"/>
      <c r="AG258" s="547">
        <f t="shared" si="45"/>
        <v>107</v>
      </c>
    </row>
    <row r="259" spans="1:33" ht="78.75" outlineLevel="2">
      <c r="A259" s="2417">
        <v>1111</v>
      </c>
      <c r="B259" s="2363" t="s">
        <v>620</v>
      </c>
      <c r="C259" s="2411" t="s">
        <v>621</v>
      </c>
      <c r="D259" s="2557"/>
      <c r="E259" s="2541">
        <v>5</v>
      </c>
      <c r="F259" s="2541">
        <v>43206</v>
      </c>
      <c r="G259" s="2541">
        <f t="shared" si="43"/>
        <v>43210</v>
      </c>
      <c r="H259" s="2557" t="s">
        <v>622</v>
      </c>
      <c r="I259" s="2541" t="s">
        <v>170</v>
      </c>
      <c r="J259" s="2354" t="s">
        <v>623</v>
      </c>
      <c r="K259" s="2557" t="s">
        <v>633</v>
      </c>
      <c r="L259" s="2409">
        <v>23174</v>
      </c>
      <c r="M259" s="2557"/>
      <c r="N259" s="2557"/>
      <c r="O259" s="485">
        <v>91</v>
      </c>
      <c r="P259" s="2557">
        <v>1</v>
      </c>
      <c r="Q259" s="2384">
        <f t="shared" si="44"/>
        <v>91</v>
      </c>
      <c r="R259" s="2276"/>
      <c r="S259" s="1858"/>
      <c r="T259" s="2284">
        <v>91</v>
      </c>
      <c r="U259" s="1858"/>
      <c r="V259" s="1858"/>
      <c r="W259" s="1858"/>
      <c r="X259" s="1783"/>
      <c r="Y259" s="1743"/>
      <c r="Z259" s="1199"/>
      <c r="AA259" s="1199"/>
      <c r="AB259" s="1199"/>
      <c r="AC259" s="1199"/>
      <c r="AD259" s="1199"/>
      <c r="AE259" s="1199"/>
      <c r="AF259" s="1199"/>
      <c r="AG259" s="547">
        <f t="shared" si="45"/>
        <v>91</v>
      </c>
    </row>
    <row r="260" spans="1:33" ht="78.75" outlineLevel="2">
      <c r="A260" s="2417">
        <v>1111</v>
      </c>
      <c r="B260" s="2363" t="s">
        <v>620</v>
      </c>
      <c r="C260" s="2411" t="s">
        <v>621</v>
      </c>
      <c r="D260" s="2557"/>
      <c r="E260" s="2541">
        <v>5</v>
      </c>
      <c r="F260" s="2541">
        <v>43206</v>
      </c>
      <c r="G260" s="2541">
        <f t="shared" si="43"/>
        <v>43210</v>
      </c>
      <c r="H260" s="2557" t="s">
        <v>622</v>
      </c>
      <c r="I260" s="2541" t="s">
        <v>170</v>
      </c>
      <c r="J260" s="2354" t="s">
        <v>623</v>
      </c>
      <c r="K260" s="2557" t="s">
        <v>635</v>
      </c>
      <c r="L260" s="2409">
        <v>23174</v>
      </c>
      <c r="M260" s="2557"/>
      <c r="N260" s="2557"/>
      <c r="O260" s="485">
        <v>1092</v>
      </c>
      <c r="P260" s="2557">
        <v>1</v>
      </c>
      <c r="Q260" s="2384">
        <f t="shared" si="44"/>
        <v>1092</v>
      </c>
      <c r="R260" s="2276"/>
      <c r="S260" s="1858"/>
      <c r="T260" s="2284">
        <v>1092</v>
      </c>
      <c r="U260" s="1858"/>
      <c r="V260" s="1858"/>
      <c r="W260" s="1858"/>
      <c r="X260" s="1783"/>
      <c r="Y260" s="1743"/>
      <c r="Z260" s="1199"/>
      <c r="AA260" s="1199"/>
      <c r="AB260" s="1199"/>
      <c r="AC260" s="1199"/>
      <c r="AD260" s="1199"/>
      <c r="AE260" s="1199"/>
      <c r="AF260" s="1199"/>
      <c r="AG260" s="547">
        <f t="shared" si="45"/>
        <v>1092</v>
      </c>
    </row>
    <row r="261" spans="1:33" ht="78.75" outlineLevel="2">
      <c r="A261" s="2417">
        <v>1111</v>
      </c>
      <c r="B261" s="2550" t="s">
        <v>620</v>
      </c>
      <c r="C261" s="2558" t="s">
        <v>621</v>
      </c>
      <c r="D261" s="2559"/>
      <c r="E261" s="2560">
        <v>5</v>
      </c>
      <c r="F261" s="2560">
        <v>43206</v>
      </c>
      <c r="G261" s="2560">
        <f t="shared" si="43"/>
        <v>43210</v>
      </c>
      <c r="H261" s="2559" t="s">
        <v>622</v>
      </c>
      <c r="I261" s="2561" t="s">
        <v>170</v>
      </c>
      <c r="J261" s="2354" t="s">
        <v>623</v>
      </c>
      <c r="K261" s="2557" t="s">
        <v>636</v>
      </c>
      <c r="L261" s="2409">
        <v>23174</v>
      </c>
      <c r="M261" s="2557"/>
      <c r="N261" s="2557"/>
      <c r="O261" s="485">
        <v>1213</v>
      </c>
      <c r="P261" s="2557">
        <v>1</v>
      </c>
      <c r="Q261" s="2384">
        <f t="shared" si="44"/>
        <v>1213</v>
      </c>
      <c r="R261" s="2276"/>
      <c r="S261" s="1858"/>
      <c r="T261" s="2284">
        <v>1213</v>
      </c>
      <c r="U261" s="1858"/>
      <c r="V261" s="1858"/>
      <c r="W261" s="1858"/>
      <c r="X261" s="1783"/>
      <c r="Y261" s="1743"/>
      <c r="Z261" s="1199"/>
      <c r="AA261" s="1199"/>
      <c r="AB261" s="1199"/>
      <c r="AC261" s="1199"/>
      <c r="AD261" s="1199"/>
      <c r="AE261" s="1199"/>
      <c r="AF261" s="1199"/>
      <c r="AG261" s="2355">
        <f t="shared" si="45"/>
        <v>1213</v>
      </c>
    </row>
    <row r="262" spans="1:33" ht="78.75" outlineLevel="2">
      <c r="A262" s="2417">
        <v>1111</v>
      </c>
      <c r="B262" s="2363" t="s">
        <v>620</v>
      </c>
      <c r="C262" s="2411" t="s">
        <v>621</v>
      </c>
      <c r="D262" s="2557"/>
      <c r="E262" s="2541">
        <v>5</v>
      </c>
      <c r="F262" s="2541">
        <v>43206</v>
      </c>
      <c r="G262" s="2541">
        <f t="shared" si="43"/>
        <v>43210</v>
      </c>
      <c r="H262" s="2557" t="s">
        <v>622</v>
      </c>
      <c r="I262" s="2541" t="s">
        <v>170</v>
      </c>
      <c r="J262" s="2354" t="s">
        <v>623</v>
      </c>
      <c r="K262" s="2557" t="s">
        <v>637</v>
      </c>
      <c r="L262" s="2409">
        <v>23174</v>
      </c>
      <c r="M262" s="2557"/>
      <c r="N262" s="2557"/>
      <c r="O262" s="485">
        <v>173</v>
      </c>
      <c r="P262" s="2557">
        <v>1</v>
      </c>
      <c r="Q262" s="2384">
        <f t="shared" si="44"/>
        <v>173</v>
      </c>
      <c r="R262" s="2276"/>
      <c r="S262" s="1858"/>
      <c r="T262" s="2284">
        <v>173</v>
      </c>
      <c r="U262" s="1858"/>
      <c r="V262" s="1858"/>
      <c r="W262" s="1858"/>
      <c r="X262" s="1783"/>
      <c r="Y262" s="1743"/>
      <c r="Z262" s="1199"/>
      <c r="AA262" s="1199"/>
      <c r="AB262" s="1199"/>
      <c r="AC262" s="1199"/>
      <c r="AD262" s="1199"/>
      <c r="AE262" s="1199"/>
      <c r="AF262" s="1199"/>
      <c r="AG262" s="547">
        <f t="shared" si="45"/>
        <v>173</v>
      </c>
    </row>
    <row r="263" spans="1:33" ht="47.25" outlineLevel="2">
      <c r="A263" s="2417">
        <v>1112</v>
      </c>
      <c r="B263" s="2363" t="s">
        <v>640</v>
      </c>
      <c r="C263" s="2411" t="s">
        <v>641</v>
      </c>
      <c r="D263" s="2557"/>
      <c r="E263" s="2541">
        <v>5</v>
      </c>
      <c r="F263" s="2541">
        <v>43220</v>
      </c>
      <c r="G263" s="2541">
        <f t="shared" si="43"/>
        <v>43224</v>
      </c>
      <c r="H263" s="2557" t="s">
        <v>622</v>
      </c>
      <c r="I263" s="2541" t="s">
        <v>170</v>
      </c>
      <c r="J263" s="2354" t="s">
        <v>642</v>
      </c>
      <c r="K263" s="2557" t="s">
        <v>643</v>
      </c>
      <c r="L263" s="2409">
        <v>23174</v>
      </c>
      <c r="M263" s="2557"/>
      <c r="N263" s="2557"/>
      <c r="O263" s="485">
        <v>60</v>
      </c>
      <c r="P263" s="2557">
        <v>1</v>
      </c>
      <c r="Q263" s="2384">
        <f t="shared" si="44"/>
        <v>60</v>
      </c>
      <c r="R263" s="2276"/>
      <c r="S263" s="1858"/>
      <c r="T263" s="2284">
        <v>60</v>
      </c>
      <c r="U263" s="2284"/>
      <c r="V263" s="1858"/>
      <c r="W263" s="1858"/>
      <c r="X263" s="1783"/>
      <c r="Y263" s="1743"/>
      <c r="Z263" s="1199"/>
      <c r="AA263" s="1199"/>
      <c r="AB263" s="1199"/>
      <c r="AC263" s="1199"/>
      <c r="AD263" s="1199"/>
      <c r="AE263" s="1199"/>
      <c r="AF263" s="1199"/>
      <c r="AG263" s="547">
        <f t="shared" si="45"/>
        <v>60</v>
      </c>
    </row>
    <row r="264" spans="1:33" ht="47.25" outlineLevel="2">
      <c r="A264" s="2417">
        <v>1112</v>
      </c>
      <c r="B264" s="2363" t="s">
        <v>640</v>
      </c>
      <c r="C264" s="2411" t="s">
        <v>641</v>
      </c>
      <c r="D264" s="2557"/>
      <c r="E264" s="2541">
        <v>5</v>
      </c>
      <c r="F264" s="2541">
        <v>43220</v>
      </c>
      <c r="G264" s="2541">
        <f t="shared" si="43"/>
        <v>43224</v>
      </c>
      <c r="H264" s="2557" t="s">
        <v>622</v>
      </c>
      <c r="I264" s="2541" t="s">
        <v>170</v>
      </c>
      <c r="J264" s="2354" t="s">
        <v>642</v>
      </c>
      <c r="K264" s="2557" t="s">
        <v>644</v>
      </c>
      <c r="L264" s="2409">
        <v>23174</v>
      </c>
      <c r="M264" s="2557"/>
      <c r="N264" s="2557"/>
      <c r="O264" s="485">
        <v>66.666666666666671</v>
      </c>
      <c r="P264" s="2557">
        <v>1</v>
      </c>
      <c r="Q264" s="2384">
        <f t="shared" si="44"/>
        <v>66.666666666666671</v>
      </c>
      <c r="R264" s="2276"/>
      <c r="S264" s="1858"/>
      <c r="T264" s="2284">
        <v>66.666666666666671</v>
      </c>
      <c r="U264" s="2284"/>
      <c r="V264" s="1858"/>
      <c r="W264" s="1858"/>
      <c r="X264" s="1783"/>
      <c r="Y264" s="1743"/>
      <c r="Z264" s="1199"/>
      <c r="AA264" s="1199"/>
      <c r="AB264" s="1199"/>
      <c r="AC264" s="1199"/>
      <c r="AD264" s="1199"/>
      <c r="AE264" s="1199"/>
      <c r="AF264" s="1199"/>
      <c r="AG264" s="547">
        <f t="shared" si="45"/>
        <v>66.666666666666671</v>
      </c>
    </row>
    <row r="265" spans="1:33" ht="47.25" outlineLevel="2">
      <c r="A265" s="2417">
        <v>1112</v>
      </c>
      <c r="B265" s="2363" t="s">
        <v>640</v>
      </c>
      <c r="C265" s="2411" t="s">
        <v>641</v>
      </c>
      <c r="D265" s="2557"/>
      <c r="E265" s="2541">
        <v>5</v>
      </c>
      <c r="F265" s="2541">
        <v>43220</v>
      </c>
      <c r="G265" s="2541">
        <f t="shared" si="43"/>
        <v>43224</v>
      </c>
      <c r="H265" s="2557" t="s">
        <v>622</v>
      </c>
      <c r="I265" s="2541" t="s">
        <v>170</v>
      </c>
      <c r="J265" s="2354" t="s">
        <v>642</v>
      </c>
      <c r="K265" s="2557" t="s">
        <v>645</v>
      </c>
      <c r="L265" s="2409">
        <v>23174</v>
      </c>
      <c r="M265" s="2557"/>
      <c r="N265" s="2557"/>
      <c r="O265" s="485">
        <v>50</v>
      </c>
      <c r="P265" s="2557">
        <v>1</v>
      </c>
      <c r="Q265" s="2384">
        <f t="shared" si="44"/>
        <v>50</v>
      </c>
      <c r="R265" s="2276"/>
      <c r="S265" s="1858"/>
      <c r="T265" s="2284">
        <v>50</v>
      </c>
      <c r="U265" s="2284"/>
      <c r="V265" s="1858"/>
      <c r="W265" s="1858"/>
      <c r="X265" s="1783"/>
      <c r="Y265" s="1743"/>
      <c r="Z265" s="1199"/>
      <c r="AA265" s="1199"/>
      <c r="AB265" s="1199"/>
      <c r="AC265" s="1199"/>
      <c r="AD265" s="1199"/>
      <c r="AE265" s="1199"/>
      <c r="AF265" s="1199"/>
      <c r="AG265" s="547">
        <f t="shared" si="45"/>
        <v>50</v>
      </c>
    </row>
    <row r="266" spans="1:33" ht="47.25" outlineLevel="2">
      <c r="A266" s="2417">
        <v>1112</v>
      </c>
      <c r="B266" s="2363" t="s">
        <v>640</v>
      </c>
      <c r="C266" s="2411" t="s">
        <v>641</v>
      </c>
      <c r="D266" s="2557"/>
      <c r="E266" s="2541">
        <v>5</v>
      </c>
      <c r="F266" s="2541">
        <v>43220</v>
      </c>
      <c r="G266" s="2541">
        <f t="shared" si="43"/>
        <v>43224</v>
      </c>
      <c r="H266" s="2557" t="s">
        <v>622</v>
      </c>
      <c r="I266" s="2541" t="s">
        <v>170</v>
      </c>
      <c r="J266" s="2354" t="s">
        <v>642</v>
      </c>
      <c r="K266" s="2557" t="s">
        <v>646</v>
      </c>
      <c r="L266" s="2409">
        <v>23174</v>
      </c>
      <c r="M266" s="2557"/>
      <c r="N266" s="2557"/>
      <c r="O266" s="485">
        <v>33.333333333333336</v>
      </c>
      <c r="P266" s="2557">
        <v>1</v>
      </c>
      <c r="Q266" s="2384">
        <f t="shared" si="44"/>
        <v>33.333333333333336</v>
      </c>
      <c r="R266" s="2276"/>
      <c r="S266" s="1858"/>
      <c r="T266" s="2284">
        <v>33.333333333333336</v>
      </c>
      <c r="U266" s="2284"/>
      <c r="V266" s="1858"/>
      <c r="W266" s="1858"/>
      <c r="X266" s="1783"/>
      <c r="Y266" s="1743"/>
      <c r="Z266" s="1199"/>
      <c r="AA266" s="1199"/>
      <c r="AB266" s="1199"/>
      <c r="AC266" s="1199"/>
      <c r="AD266" s="1199"/>
      <c r="AE266" s="1199"/>
      <c r="AF266" s="1199"/>
      <c r="AG266" s="547">
        <f t="shared" si="45"/>
        <v>33.333333333333336</v>
      </c>
    </row>
    <row r="267" spans="1:33" ht="47.25" outlineLevel="2">
      <c r="A267" s="2417">
        <v>1112</v>
      </c>
      <c r="B267" s="2363" t="s">
        <v>640</v>
      </c>
      <c r="C267" s="2411" t="s">
        <v>641</v>
      </c>
      <c r="D267" s="2557"/>
      <c r="E267" s="2541">
        <v>5</v>
      </c>
      <c r="F267" s="2541">
        <v>43220</v>
      </c>
      <c r="G267" s="2541">
        <f t="shared" si="43"/>
        <v>43224</v>
      </c>
      <c r="H267" s="2557" t="s">
        <v>622</v>
      </c>
      <c r="I267" s="2541" t="s">
        <v>170</v>
      </c>
      <c r="J267" s="2354" t="s">
        <v>642</v>
      </c>
      <c r="K267" s="2557" t="s">
        <v>647</v>
      </c>
      <c r="L267" s="2409">
        <v>23174</v>
      </c>
      <c r="M267" s="2557"/>
      <c r="N267" s="2557"/>
      <c r="O267" s="485">
        <v>588</v>
      </c>
      <c r="P267" s="2557">
        <v>1</v>
      </c>
      <c r="Q267" s="2384">
        <f t="shared" si="44"/>
        <v>588</v>
      </c>
      <c r="R267" s="2276"/>
      <c r="S267" s="1858"/>
      <c r="T267" s="2284"/>
      <c r="U267" s="2284">
        <v>588</v>
      </c>
      <c r="V267" s="1858"/>
      <c r="W267" s="1858"/>
      <c r="X267" s="1783"/>
      <c r="Y267" s="1743"/>
      <c r="Z267" s="1199"/>
      <c r="AA267" s="1199"/>
      <c r="AB267" s="1199"/>
      <c r="AC267" s="1199"/>
      <c r="AD267" s="1199"/>
      <c r="AE267" s="1199"/>
      <c r="AF267" s="1199"/>
      <c r="AG267" s="547">
        <f t="shared" si="45"/>
        <v>588</v>
      </c>
    </row>
    <row r="268" spans="1:33" ht="47.25" outlineLevel="2">
      <c r="A268" s="2417">
        <v>1112</v>
      </c>
      <c r="B268" s="2363" t="s">
        <v>640</v>
      </c>
      <c r="C268" s="2411" t="s">
        <v>641</v>
      </c>
      <c r="D268" s="2557"/>
      <c r="E268" s="2541">
        <v>5</v>
      </c>
      <c r="F268" s="2541">
        <v>43220</v>
      </c>
      <c r="G268" s="2541">
        <f t="shared" si="43"/>
        <v>43224</v>
      </c>
      <c r="H268" s="2557" t="s">
        <v>622</v>
      </c>
      <c r="I268" s="2541" t="s">
        <v>170</v>
      </c>
      <c r="J268" s="2354" t="s">
        <v>642</v>
      </c>
      <c r="K268" s="2557" t="s">
        <v>648</v>
      </c>
      <c r="L268" s="2409">
        <v>23174</v>
      </c>
      <c r="M268" s="2557"/>
      <c r="N268" s="2557"/>
      <c r="O268" s="485">
        <v>653.33333333333337</v>
      </c>
      <c r="P268" s="2557">
        <v>1</v>
      </c>
      <c r="Q268" s="2384">
        <f t="shared" si="44"/>
        <v>653.33333333333337</v>
      </c>
      <c r="R268" s="2276"/>
      <c r="S268" s="1858"/>
      <c r="T268" s="2284"/>
      <c r="U268" s="2284">
        <v>653.33333333333337</v>
      </c>
      <c r="V268" s="1858"/>
      <c r="W268" s="1858"/>
      <c r="X268" s="1783"/>
      <c r="Y268" s="1743"/>
      <c r="Z268" s="1199"/>
      <c r="AA268" s="1199"/>
      <c r="AB268" s="1199"/>
      <c r="AC268" s="1199"/>
      <c r="AD268" s="1199"/>
      <c r="AE268" s="1199"/>
      <c r="AF268" s="1199"/>
      <c r="AG268" s="547">
        <f t="shared" si="45"/>
        <v>653.33333333333337</v>
      </c>
    </row>
    <row r="269" spans="1:33" ht="47.25" outlineLevel="2">
      <c r="A269" s="2417">
        <v>1112</v>
      </c>
      <c r="B269" s="2363" t="s">
        <v>640</v>
      </c>
      <c r="C269" s="2411" t="s">
        <v>641</v>
      </c>
      <c r="D269" s="2557"/>
      <c r="E269" s="2541">
        <v>5</v>
      </c>
      <c r="F269" s="2541">
        <v>43220</v>
      </c>
      <c r="G269" s="2541">
        <f t="shared" si="43"/>
        <v>43224</v>
      </c>
      <c r="H269" s="2557" t="s">
        <v>622</v>
      </c>
      <c r="I269" s="2541" t="s">
        <v>170</v>
      </c>
      <c r="J269" s="2354" t="s">
        <v>642</v>
      </c>
      <c r="K269" s="2557" t="s">
        <v>649</v>
      </c>
      <c r="L269" s="2409">
        <v>23174</v>
      </c>
      <c r="M269" s="2557"/>
      <c r="N269" s="2557"/>
      <c r="O269" s="485">
        <v>490</v>
      </c>
      <c r="P269" s="2557">
        <v>1</v>
      </c>
      <c r="Q269" s="2384">
        <f t="shared" si="44"/>
        <v>490</v>
      </c>
      <c r="R269" s="2276"/>
      <c r="S269" s="1858"/>
      <c r="T269" s="2284"/>
      <c r="U269" s="2284">
        <v>490</v>
      </c>
      <c r="V269" s="1858"/>
      <c r="W269" s="1858"/>
      <c r="X269" s="1783"/>
      <c r="Y269" s="1743"/>
      <c r="Z269" s="1199"/>
      <c r="AA269" s="1199"/>
      <c r="AB269" s="1199"/>
      <c r="AC269" s="1199"/>
      <c r="AD269" s="1199"/>
      <c r="AE269" s="1199"/>
      <c r="AF269" s="1199"/>
      <c r="AG269" s="547">
        <f t="shared" si="45"/>
        <v>490</v>
      </c>
    </row>
    <row r="270" spans="1:33" ht="47.25" outlineLevel="2">
      <c r="A270" s="2417">
        <v>1112</v>
      </c>
      <c r="B270" s="2363" t="s">
        <v>640</v>
      </c>
      <c r="C270" s="2411" t="s">
        <v>641</v>
      </c>
      <c r="D270" s="2557"/>
      <c r="E270" s="2541">
        <v>5</v>
      </c>
      <c r="F270" s="2541">
        <v>43220</v>
      </c>
      <c r="G270" s="2541">
        <f t="shared" si="43"/>
        <v>43224</v>
      </c>
      <c r="H270" s="2557" t="s">
        <v>622</v>
      </c>
      <c r="I270" s="2541" t="s">
        <v>170</v>
      </c>
      <c r="J270" s="2354" t="s">
        <v>642</v>
      </c>
      <c r="K270" s="2557" t="s">
        <v>650</v>
      </c>
      <c r="L270" s="2409">
        <v>23174</v>
      </c>
      <c r="M270" s="2557"/>
      <c r="N270" s="2557"/>
      <c r="O270" s="485">
        <v>326.66666666666669</v>
      </c>
      <c r="P270" s="2557">
        <v>1</v>
      </c>
      <c r="Q270" s="2384">
        <f t="shared" si="44"/>
        <v>326.66666666666669</v>
      </c>
      <c r="R270" s="2276"/>
      <c r="S270" s="1858"/>
      <c r="T270" s="2284"/>
      <c r="U270" s="2284">
        <v>326.66666666666669</v>
      </c>
      <c r="V270" s="1858"/>
      <c r="W270" s="1858"/>
      <c r="X270" s="1783"/>
      <c r="Y270" s="1743"/>
      <c r="Z270" s="1199"/>
      <c r="AA270" s="1199"/>
      <c r="AB270" s="1199"/>
      <c r="AC270" s="1199"/>
      <c r="AD270" s="1199"/>
      <c r="AE270" s="1199"/>
      <c r="AF270" s="1199"/>
      <c r="AG270" s="547">
        <f t="shared" si="45"/>
        <v>326.66666666666669</v>
      </c>
    </row>
    <row r="271" spans="1:33" ht="47.25" outlineLevel="2">
      <c r="A271" s="2417">
        <v>1112</v>
      </c>
      <c r="B271" s="2363" t="s">
        <v>640</v>
      </c>
      <c r="C271" s="2411" t="s">
        <v>641</v>
      </c>
      <c r="D271" s="2557"/>
      <c r="E271" s="2541">
        <v>5</v>
      </c>
      <c r="F271" s="2541">
        <v>43220</v>
      </c>
      <c r="G271" s="2541">
        <f t="shared" si="43"/>
        <v>43224</v>
      </c>
      <c r="H271" s="2557" t="s">
        <v>622</v>
      </c>
      <c r="I271" s="2541" t="s">
        <v>170</v>
      </c>
      <c r="J271" s="2354" t="s">
        <v>642</v>
      </c>
      <c r="K271" s="2557" t="s">
        <v>651</v>
      </c>
      <c r="L271" s="2409">
        <v>23174</v>
      </c>
      <c r="M271" s="2557"/>
      <c r="N271" s="2557"/>
      <c r="O271" s="485">
        <v>6347</v>
      </c>
      <c r="P271" s="2557">
        <v>1</v>
      </c>
      <c r="Q271" s="2384">
        <f t="shared" si="44"/>
        <v>6347</v>
      </c>
      <c r="R271" s="2276"/>
      <c r="S271" s="1858"/>
      <c r="T271" s="2284">
        <v>6347</v>
      </c>
      <c r="U271" s="2284"/>
      <c r="V271" s="1858"/>
      <c r="W271" s="1858"/>
      <c r="X271" s="1783"/>
      <c r="Y271" s="1743"/>
      <c r="Z271" s="1199"/>
      <c r="AA271" s="1199"/>
      <c r="AB271" s="1199"/>
      <c r="AC271" s="1199"/>
      <c r="AD271" s="1199"/>
      <c r="AE271" s="1199"/>
      <c r="AF271" s="1199"/>
      <c r="AG271" s="547">
        <f t="shared" si="45"/>
        <v>6347</v>
      </c>
    </row>
    <row r="272" spans="1:33" ht="47.25" outlineLevel="2">
      <c r="A272" s="2417">
        <v>1112</v>
      </c>
      <c r="B272" s="2363" t="s">
        <v>640</v>
      </c>
      <c r="C272" s="2411" t="s">
        <v>641</v>
      </c>
      <c r="D272" s="2557"/>
      <c r="E272" s="2541">
        <v>5</v>
      </c>
      <c r="F272" s="2541">
        <v>43220</v>
      </c>
      <c r="G272" s="2541">
        <f t="shared" si="43"/>
        <v>43224</v>
      </c>
      <c r="H272" s="2557" t="s">
        <v>622</v>
      </c>
      <c r="I272" s="2541" t="s">
        <v>170</v>
      </c>
      <c r="J272" s="2354" t="s">
        <v>642</v>
      </c>
      <c r="K272" s="2557" t="s">
        <v>652</v>
      </c>
      <c r="L272" s="2409">
        <v>23174</v>
      </c>
      <c r="M272" s="2557"/>
      <c r="N272" s="2557"/>
      <c r="O272" s="485">
        <v>924</v>
      </c>
      <c r="P272" s="2557">
        <v>1</v>
      </c>
      <c r="Q272" s="2384">
        <f t="shared" si="44"/>
        <v>924</v>
      </c>
      <c r="R272" s="2276"/>
      <c r="S272" s="1858"/>
      <c r="T272" s="2284"/>
      <c r="U272" s="2284">
        <v>924</v>
      </c>
      <c r="V272" s="1858"/>
      <c r="W272" s="1858"/>
      <c r="X272" s="1783"/>
      <c r="Y272" s="1743"/>
      <c r="Z272" s="1199"/>
      <c r="AA272" s="1199"/>
      <c r="AB272" s="1199"/>
      <c r="AC272" s="1199"/>
      <c r="AD272" s="1199"/>
      <c r="AE272" s="1199"/>
      <c r="AF272" s="1199"/>
      <c r="AG272" s="547">
        <f t="shared" si="45"/>
        <v>924</v>
      </c>
    </row>
    <row r="273" spans="1:33" ht="47.25" outlineLevel="2">
      <c r="A273" s="2417">
        <v>1112</v>
      </c>
      <c r="B273" s="2363" t="s">
        <v>640</v>
      </c>
      <c r="C273" s="2411" t="s">
        <v>641</v>
      </c>
      <c r="D273" s="2557"/>
      <c r="E273" s="2541">
        <v>5</v>
      </c>
      <c r="F273" s="2541">
        <v>43220</v>
      </c>
      <c r="G273" s="2541">
        <f t="shared" si="43"/>
        <v>43224</v>
      </c>
      <c r="H273" s="2557" t="s">
        <v>622</v>
      </c>
      <c r="I273" s="2541" t="s">
        <v>170</v>
      </c>
      <c r="J273" s="2354" t="s">
        <v>642</v>
      </c>
      <c r="K273" s="2557" t="s">
        <v>653</v>
      </c>
      <c r="L273" s="2409">
        <v>23174</v>
      </c>
      <c r="M273" s="2557"/>
      <c r="N273" s="2557"/>
      <c r="O273" s="485">
        <v>1026.6666666666665</v>
      </c>
      <c r="P273" s="2557">
        <v>1</v>
      </c>
      <c r="Q273" s="2384">
        <f t="shared" si="44"/>
        <v>1026.6666666666665</v>
      </c>
      <c r="R273" s="2276"/>
      <c r="S273" s="1858"/>
      <c r="T273" s="2284"/>
      <c r="U273" s="2284">
        <v>1026.6666666666665</v>
      </c>
      <c r="V273" s="1858"/>
      <c r="W273" s="1858"/>
      <c r="X273" s="1783"/>
      <c r="Y273" s="1743"/>
      <c r="Z273" s="1199"/>
      <c r="AA273" s="1199"/>
      <c r="AB273" s="1199"/>
      <c r="AC273" s="1199"/>
      <c r="AD273" s="1199"/>
      <c r="AE273" s="1199"/>
      <c r="AF273" s="1199"/>
      <c r="AG273" s="547">
        <f t="shared" si="45"/>
        <v>1026.6666666666665</v>
      </c>
    </row>
    <row r="274" spans="1:33" ht="47.25" outlineLevel="2">
      <c r="A274" s="2417">
        <v>1112</v>
      </c>
      <c r="B274" s="2363" t="s">
        <v>640</v>
      </c>
      <c r="C274" s="2411" t="s">
        <v>641</v>
      </c>
      <c r="D274" s="2557"/>
      <c r="E274" s="2541">
        <v>5</v>
      </c>
      <c r="F274" s="2541">
        <v>43220</v>
      </c>
      <c r="G274" s="2541">
        <f t="shared" si="43"/>
        <v>43224</v>
      </c>
      <c r="H274" s="2557" t="s">
        <v>622</v>
      </c>
      <c r="I274" s="2541"/>
      <c r="J274" s="2354"/>
      <c r="K274" s="2557" t="s">
        <v>654</v>
      </c>
      <c r="L274" s="2409">
        <v>23174</v>
      </c>
      <c r="M274" s="2557"/>
      <c r="N274" s="2557"/>
      <c r="O274" s="485">
        <v>770</v>
      </c>
      <c r="P274" s="2557">
        <v>1</v>
      </c>
      <c r="Q274" s="2384">
        <f t="shared" si="44"/>
        <v>770</v>
      </c>
      <c r="R274" s="2276"/>
      <c r="S274" s="1858"/>
      <c r="T274" s="2284"/>
      <c r="U274" s="2284">
        <v>770</v>
      </c>
      <c r="V274" s="1858"/>
      <c r="W274" s="1858"/>
      <c r="X274" s="1783"/>
      <c r="Y274" s="1743"/>
      <c r="Z274" s="1199"/>
      <c r="AA274" s="1199"/>
      <c r="AB274" s="1199"/>
      <c r="AC274" s="1199"/>
      <c r="AD274" s="1199"/>
      <c r="AE274" s="1199"/>
      <c r="AF274" s="1199"/>
      <c r="AG274" s="547">
        <f t="shared" si="45"/>
        <v>770</v>
      </c>
    </row>
    <row r="275" spans="1:33" ht="47.25" outlineLevel="2">
      <c r="A275" s="2417">
        <v>1112</v>
      </c>
      <c r="B275" s="2363" t="s">
        <v>640</v>
      </c>
      <c r="C275" s="2411" t="s">
        <v>641</v>
      </c>
      <c r="D275" s="2557"/>
      <c r="E275" s="2541">
        <v>5</v>
      </c>
      <c r="F275" s="2541">
        <v>43220</v>
      </c>
      <c r="G275" s="2541">
        <f t="shared" si="43"/>
        <v>43224</v>
      </c>
      <c r="H275" s="2557" t="s">
        <v>622</v>
      </c>
      <c r="I275" s="2541"/>
      <c r="J275" s="2354"/>
      <c r="K275" s="2557" t="s">
        <v>655</v>
      </c>
      <c r="L275" s="2409">
        <v>23174</v>
      </c>
      <c r="M275" s="2557"/>
      <c r="N275" s="2557"/>
      <c r="O275" s="485">
        <v>513</v>
      </c>
      <c r="P275" s="2557">
        <v>1</v>
      </c>
      <c r="Q275" s="2384">
        <f t="shared" si="44"/>
        <v>513</v>
      </c>
      <c r="R275" s="2276"/>
      <c r="S275" s="1858"/>
      <c r="T275" s="2284"/>
      <c r="U275" s="2284">
        <v>513</v>
      </c>
      <c r="V275" s="1858"/>
      <c r="W275" s="1858"/>
      <c r="X275" s="1783"/>
      <c r="Y275" s="1743"/>
      <c r="Z275" s="1199"/>
      <c r="AA275" s="1199"/>
      <c r="AB275" s="1199"/>
      <c r="AC275" s="1199"/>
      <c r="AD275" s="1199"/>
      <c r="AE275" s="1199"/>
      <c r="AF275" s="1199"/>
      <c r="AG275" s="547">
        <f t="shared" si="45"/>
        <v>513</v>
      </c>
    </row>
    <row r="276" spans="1:33" ht="47.25" outlineLevel="2">
      <c r="A276" s="2417">
        <v>1112</v>
      </c>
      <c r="B276" s="2363" t="s">
        <v>640</v>
      </c>
      <c r="C276" s="2411" t="s">
        <v>641</v>
      </c>
      <c r="D276" s="2557"/>
      <c r="E276" s="2541">
        <v>5</v>
      </c>
      <c r="F276" s="2541">
        <v>43220</v>
      </c>
      <c r="G276" s="2541">
        <f t="shared" si="43"/>
        <v>43224</v>
      </c>
      <c r="H276" s="2557" t="s">
        <v>622</v>
      </c>
      <c r="I276" s="2541" t="s">
        <v>170</v>
      </c>
      <c r="J276" s="2354" t="s">
        <v>642</v>
      </c>
      <c r="K276" s="2557" t="s">
        <v>656</v>
      </c>
      <c r="L276" s="2409">
        <v>23174</v>
      </c>
      <c r="M276" s="2557"/>
      <c r="N276" s="2557"/>
      <c r="O276" s="485">
        <v>1764</v>
      </c>
      <c r="P276" s="2557">
        <v>1</v>
      </c>
      <c r="Q276" s="2384">
        <f t="shared" si="44"/>
        <v>1764</v>
      </c>
      <c r="R276" s="2276"/>
      <c r="S276" s="1858"/>
      <c r="T276" s="2284"/>
      <c r="U276" s="2284">
        <v>1764</v>
      </c>
      <c r="V276" s="1858"/>
      <c r="W276" s="1858"/>
      <c r="X276" s="1783"/>
      <c r="Y276" s="1743"/>
      <c r="Z276" s="1199"/>
      <c r="AA276" s="1199"/>
      <c r="AB276" s="1199"/>
      <c r="AC276" s="1199"/>
      <c r="AD276" s="1199"/>
      <c r="AE276" s="1199"/>
      <c r="AF276" s="1199"/>
      <c r="AG276" s="547">
        <f t="shared" si="45"/>
        <v>1764</v>
      </c>
    </row>
    <row r="277" spans="1:33" ht="47.25" outlineLevel="2">
      <c r="A277" s="2417">
        <v>1112</v>
      </c>
      <c r="B277" s="2363" t="s">
        <v>640</v>
      </c>
      <c r="C277" s="2411" t="s">
        <v>641</v>
      </c>
      <c r="D277" s="2557"/>
      <c r="E277" s="2541">
        <v>5</v>
      </c>
      <c r="F277" s="2541">
        <v>43220</v>
      </c>
      <c r="G277" s="2541">
        <f t="shared" si="43"/>
        <v>43224</v>
      </c>
      <c r="H277" s="2557" t="s">
        <v>622</v>
      </c>
      <c r="I277" s="2541" t="s">
        <v>170</v>
      </c>
      <c r="J277" s="2354" t="s">
        <v>642</v>
      </c>
      <c r="K277" s="2557" t="s">
        <v>657</v>
      </c>
      <c r="L277" s="2409">
        <v>23174</v>
      </c>
      <c r="M277" s="2557"/>
      <c r="N277" s="2557"/>
      <c r="O277" s="485">
        <v>1960</v>
      </c>
      <c r="P277" s="2557">
        <v>1</v>
      </c>
      <c r="Q277" s="2384">
        <f t="shared" si="44"/>
        <v>1960</v>
      </c>
      <c r="R277" s="2276"/>
      <c r="S277" s="1858"/>
      <c r="T277" s="2284"/>
      <c r="U277" s="2284">
        <v>1960</v>
      </c>
      <c r="V277" s="1858"/>
      <c r="W277" s="1858"/>
      <c r="X277" s="1783"/>
      <c r="Y277" s="1743"/>
      <c r="Z277" s="1199"/>
      <c r="AA277" s="1199"/>
      <c r="AB277" s="1199"/>
      <c r="AC277" s="1199"/>
      <c r="AD277" s="1199"/>
      <c r="AE277" s="1199"/>
      <c r="AF277" s="1199"/>
      <c r="AG277" s="547">
        <f t="shared" si="45"/>
        <v>1960</v>
      </c>
    </row>
    <row r="278" spans="1:33" ht="47.25" outlineLevel="2">
      <c r="A278" s="2417">
        <v>1112</v>
      </c>
      <c r="B278" s="2363" t="s">
        <v>640</v>
      </c>
      <c r="C278" s="2411" t="s">
        <v>641</v>
      </c>
      <c r="D278" s="2557"/>
      <c r="E278" s="2541">
        <v>5</v>
      </c>
      <c r="F278" s="2541">
        <v>43220</v>
      </c>
      <c r="G278" s="2541">
        <f t="shared" si="43"/>
        <v>43224</v>
      </c>
      <c r="H278" s="2557" t="s">
        <v>622</v>
      </c>
      <c r="I278" s="2541"/>
      <c r="J278" s="2354"/>
      <c r="K278" s="2557" t="s">
        <v>658</v>
      </c>
      <c r="L278" s="2409">
        <v>23174</v>
      </c>
      <c r="M278" s="2557"/>
      <c r="N278" s="2557"/>
      <c r="O278" s="485">
        <v>1960</v>
      </c>
      <c r="P278" s="2557">
        <v>1</v>
      </c>
      <c r="Q278" s="2384">
        <f t="shared" si="44"/>
        <v>1960</v>
      </c>
      <c r="R278" s="2276"/>
      <c r="S278" s="1858"/>
      <c r="T278" s="2284"/>
      <c r="U278" s="2284">
        <v>1960</v>
      </c>
      <c r="V278" s="1858"/>
      <c r="W278" s="1858"/>
      <c r="X278" s="1783"/>
      <c r="Y278" s="1743"/>
      <c r="Z278" s="1199"/>
      <c r="AA278" s="1199"/>
      <c r="AB278" s="1199"/>
      <c r="AC278" s="1199"/>
      <c r="AD278" s="1199"/>
      <c r="AE278" s="1199"/>
      <c r="AF278" s="1199"/>
      <c r="AG278" s="547">
        <f t="shared" si="45"/>
        <v>1960</v>
      </c>
    </row>
    <row r="279" spans="1:33" ht="47.25" outlineLevel="2">
      <c r="A279" s="2417">
        <v>1112</v>
      </c>
      <c r="B279" s="2363" t="s">
        <v>640</v>
      </c>
      <c r="C279" s="2411" t="s">
        <v>641</v>
      </c>
      <c r="D279" s="2557"/>
      <c r="E279" s="2541">
        <v>5</v>
      </c>
      <c r="F279" s="2541">
        <v>43220</v>
      </c>
      <c r="G279" s="2541">
        <f t="shared" si="43"/>
        <v>43224</v>
      </c>
      <c r="H279" s="2557" t="s">
        <v>622</v>
      </c>
      <c r="I279" s="2541" t="s">
        <v>170</v>
      </c>
      <c r="J279" s="2354" t="s">
        <v>642</v>
      </c>
      <c r="K279" s="2557" t="s">
        <v>659</v>
      </c>
      <c r="L279" s="2562">
        <v>23174</v>
      </c>
      <c r="M279" s="2557"/>
      <c r="N279" s="2557"/>
      <c r="O279" s="485">
        <v>84</v>
      </c>
      <c r="P279" s="2557">
        <v>1</v>
      </c>
      <c r="Q279" s="2384">
        <f t="shared" si="44"/>
        <v>84</v>
      </c>
      <c r="R279" s="2276"/>
      <c r="S279" s="1858"/>
      <c r="T279" s="2284">
        <v>84</v>
      </c>
      <c r="U279" s="2284"/>
      <c r="V279" s="1858"/>
      <c r="W279" s="1858"/>
      <c r="X279" s="1783"/>
      <c r="Y279" s="1743"/>
      <c r="Z279" s="1199"/>
      <c r="AA279" s="1199"/>
      <c r="AB279" s="1199"/>
      <c r="AC279" s="1199"/>
      <c r="AD279" s="1199"/>
      <c r="AE279" s="1199"/>
      <c r="AF279" s="1199"/>
      <c r="AG279" s="547">
        <f t="shared" si="45"/>
        <v>84</v>
      </c>
    </row>
    <row r="280" spans="1:33" ht="47.25" outlineLevel="2">
      <c r="A280" s="2417">
        <v>1112</v>
      </c>
      <c r="B280" s="2550" t="s">
        <v>640</v>
      </c>
      <c r="C280" s="2558" t="s">
        <v>641</v>
      </c>
      <c r="D280" s="2559"/>
      <c r="E280" s="2560">
        <v>5</v>
      </c>
      <c r="F280" s="2560">
        <v>43220</v>
      </c>
      <c r="G280" s="2560">
        <f t="shared" si="43"/>
        <v>43224</v>
      </c>
      <c r="H280" s="2559" t="s">
        <v>622</v>
      </c>
      <c r="I280" s="2561" t="s">
        <v>170</v>
      </c>
      <c r="J280" s="2354" t="s">
        <v>642</v>
      </c>
      <c r="K280" s="2557" t="s">
        <v>660</v>
      </c>
      <c r="L280" s="2409">
        <v>23174</v>
      </c>
      <c r="M280" s="2557"/>
      <c r="N280" s="2557"/>
      <c r="O280" s="485">
        <v>93.333333333333343</v>
      </c>
      <c r="P280" s="2557">
        <v>1</v>
      </c>
      <c r="Q280" s="2384">
        <f t="shared" si="44"/>
        <v>93.333333333333343</v>
      </c>
      <c r="R280" s="2276"/>
      <c r="S280" s="1858"/>
      <c r="T280" s="2284">
        <v>93.333333333333343</v>
      </c>
      <c r="U280" s="2284"/>
      <c r="V280" s="1858"/>
      <c r="W280" s="1858"/>
      <c r="X280" s="1783"/>
      <c r="Y280" s="1743"/>
      <c r="Z280" s="1199"/>
      <c r="AA280" s="1199"/>
      <c r="AB280" s="1199"/>
      <c r="AC280" s="1199"/>
      <c r="AD280" s="1199"/>
      <c r="AE280" s="1199"/>
      <c r="AF280" s="1199"/>
      <c r="AG280" s="2355">
        <f t="shared" si="45"/>
        <v>93.333333333333343</v>
      </c>
    </row>
    <row r="281" spans="1:33" ht="47.25" outlineLevel="2">
      <c r="A281" s="2417">
        <v>1112</v>
      </c>
      <c r="B281" s="2363" t="s">
        <v>640</v>
      </c>
      <c r="C281" s="2411" t="s">
        <v>641</v>
      </c>
      <c r="D281" s="2557"/>
      <c r="E281" s="2541">
        <v>5</v>
      </c>
      <c r="F281" s="2541">
        <v>43220</v>
      </c>
      <c r="G281" s="2541">
        <f t="shared" si="43"/>
        <v>43224</v>
      </c>
      <c r="H281" s="2557" t="s">
        <v>622</v>
      </c>
      <c r="I281" s="2541" t="s">
        <v>170</v>
      </c>
      <c r="J281" s="2354" t="s">
        <v>642</v>
      </c>
      <c r="K281" s="2557" t="s">
        <v>661</v>
      </c>
      <c r="L281" s="2409">
        <v>23174</v>
      </c>
      <c r="M281" s="2557"/>
      <c r="N281" s="2557"/>
      <c r="O281" s="485">
        <v>70</v>
      </c>
      <c r="P281" s="2557">
        <v>1</v>
      </c>
      <c r="Q281" s="2384">
        <f t="shared" si="44"/>
        <v>70</v>
      </c>
      <c r="R281" s="2276"/>
      <c r="S281" s="1858"/>
      <c r="T281" s="2284">
        <v>70</v>
      </c>
      <c r="U281" s="2284"/>
      <c r="V281" s="1858"/>
      <c r="W281" s="1858"/>
      <c r="X281" s="1783"/>
      <c r="Y281" s="1743"/>
      <c r="Z281" s="1199"/>
      <c r="AA281" s="1199"/>
      <c r="AB281" s="1199"/>
      <c r="AC281" s="1199"/>
      <c r="AD281" s="1199"/>
      <c r="AE281" s="1199"/>
      <c r="AF281" s="1199"/>
      <c r="AG281" s="547">
        <f t="shared" si="45"/>
        <v>70</v>
      </c>
    </row>
    <row r="282" spans="1:33" ht="47.25" outlineLevel="2">
      <c r="A282" s="2417">
        <v>1112</v>
      </c>
      <c r="B282" s="2363" t="s">
        <v>640</v>
      </c>
      <c r="C282" s="2411" t="s">
        <v>641</v>
      </c>
      <c r="D282" s="2557"/>
      <c r="E282" s="2541">
        <v>5</v>
      </c>
      <c r="F282" s="2541">
        <v>43220</v>
      </c>
      <c r="G282" s="2541">
        <f t="shared" si="43"/>
        <v>43224</v>
      </c>
      <c r="H282" s="2557" t="s">
        <v>622</v>
      </c>
      <c r="I282" s="2541" t="s">
        <v>170</v>
      </c>
      <c r="J282" s="2354" t="s">
        <v>642</v>
      </c>
      <c r="K282" s="2557" t="s">
        <v>662</v>
      </c>
      <c r="L282" s="2409">
        <v>23174</v>
      </c>
      <c r="M282" s="2557"/>
      <c r="N282" s="2557"/>
      <c r="O282" s="485">
        <v>46.666666666666671</v>
      </c>
      <c r="P282" s="2557">
        <v>1</v>
      </c>
      <c r="Q282" s="2384">
        <f t="shared" si="44"/>
        <v>46.666666666666671</v>
      </c>
      <c r="R282" s="2276"/>
      <c r="S282" s="1858"/>
      <c r="T282" s="2284">
        <v>46.666666666666671</v>
      </c>
      <c r="U282" s="2284"/>
      <c r="V282" s="1858"/>
      <c r="W282" s="1858"/>
      <c r="X282" s="1783"/>
      <c r="Y282" s="1743"/>
      <c r="Z282" s="1199"/>
      <c r="AA282" s="1199"/>
      <c r="AB282" s="1199"/>
      <c r="AC282" s="1199"/>
      <c r="AD282" s="1199"/>
      <c r="AE282" s="1199"/>
      <c r="AF282" s="1199"/>
      <c r="AG282" s="547">
        <f t="shared" si="45"/>
        <v>46.666666666666671</v>
      </c>
    </row>
    <row r="283" spans="1:33" ht="47.25" outlineLevel="2">
      <c r="A283" s="2417">
        <v>1112</v>
      </c>
      <c r="B283" s="2363" t="s">
        <v>640</v>
      </c>
      <c r="C283" s="2411" t="s">
        <v>641</v>
      </c>
      <c r="D283" s="2557"/>
      <c r="E283" s="2541">
        <v>5</v>
      </c>
      <c r="F283" s="2541">
        <v>43220</v>
      </c>
      <c r="G283" s="2541">
        <f t="shared" si="43"/>
        <v>43224</v>
      </c>
      <c r="H283" s="2557" t="s">
        <v>622</v>
      </c>
      <c r="I283" s="2541" t="s">
        <v>170</v>
      </c>
      <c r="J283" s="2354" t="s">
        <v>642</v>
      </c>
      <c r="K283" s="2557" t="s">
        <v>663</v>
      </c>
      <c r="L283" s="2409">
        <v>23174</v>
      </c>
      <c r="M283" s="2557"/>
      <c r="N283" s="2557"/>
      <c r="O283" s="485">
        <v>1176</v>
      </c>
      <c r="P283" s="2557">
        <v>1</v>
      </c>
      <c r="Q283" s="2384">
        <f t="shared" si="44"/>
        <v>1176</v>
      </c>
      <c r="R283" s="2276"/>
      <c r="S283" s="1858"/>
      <c r="T283" s="2284"/>
      <c r="U283" s="2284">
        <v>1176</v>
      </c>
      <c r="V283" s="1858"/>
      <c r="W283" s="1858"/>
      <c r="X283" s="1783"/>
      <c r="Y283" s="1743"/>
      <c r="Z283" s="1199"/>
      <c r="AA283" s="1199"/>
      <c r="AB283" s="1199"/>
      <c r="AC283" s="1199"/>
      <c r="AD283" s="1199"/>
      <c r="AE283" s="1199"/>
      <c r="AF283" s="1199"/>
      <c r="AG283" s="547">
        <f t="shared" si="45"/>
        <v>1176</v>
      </c>
    </row>
    <row r="284" spans="1:33" ht="47.25" outlineLevel="2">
      <c r="A284" s="2417">
        <v>1112</v>
      </c>
      <c r="B284" s="2363" t="s">
        <v>640</v>
      </c>
      <c r="C284" s="2411" t="s">
        <v>641</v>
      </c>
      <c r="D284" s="2557"/>
      <c r="E284" s="2541">
        <v>5</v>
      </c>
      <c r="F284" s="2541">
        <v>43220</v>
      </c>
      <c r="G284" s="2541">
        <f t="shared" ref="G284:G315" si="46">F284+E284-1</f>
        <v>43224</v>
      </c>
      <c r="H284" s="2557" t="s">
        <v>622</v>
      </c>
      <c r="I284" s="2541" t="s">
        <v>170</v>
      </c>
      <c r="J284" s="2354" t="s">
        <v>642</v>
      </c>
      <c r="K284" s="2557" t="s">
        <v>664</v>
      </c>
      <c r="L284" s="2409">
        <v>23174</v>
      </c>
      <c r="M284" s="2557"/>
      <c r="N284" s="2557"/>
      <c r="O284" s="485">
        <v>1306.6666666666667</v>
      </c>
      <c r="P284" s="2557">
        <v>1</v>
      </c>
      <c r="Q284" s="2384">
        <f t="shared" ref="Q284:Q315" si="47">O284*P284</f>
        <v>1306.6666666666667</v>
      </c>
      <c r="R284" s="2276"/>
      <c r="S284" s="1858"/>
      <c r="T284" s="2284"/>
      <c r="U284" s="2284">
        <v>1306.6666666666667</v>
      </c>
      <c r="V284" s="1858"/>
      <c r="W284" s="1858"/>
      <c r="X284" s="1783"/>
      <c r="Y284" s="1743"/>
      <c r="Z284" s="1199"/>
      <c r="AA284" s="1199"/>
      <c r="AB284" s="1199"/>
      <c r="AC284" s="1199"/>
      <c r="AD284" s="1199"/>
      <c r="AE284" s="1199"/>
      <c r="AF284" s="1199"/>
      <c r="AG284" s="547">
        <f t="shared" si="45"/>
        <v>1306.6666666666667</v>
      </c>
    </row>
    <row r="285" spans="1:33" ht="47.25" outlineLevel="2">
      <c r="A285" s="2417">
        <v>1112</v>
      </c>
      <c r="B285" s="2363" t="s">
        <v>640</v>
      </c>
      <c r="C285" s="2411" t="s">
        <v>641</v>
      </c>
      <c r="D285" s="2557"/>
      <c r="E285" s="2541">
        <v>5</v>
      </c>
      <c r="F285" s="2541">
        <v>43220</v>
      </c>
      <c r="G285" s="2541">
        <f t="shared" si="46"/>
        <v>43224</v>
      </c>
      <c r="H285" s="2557" t="s">
        <v>622</v>
      </c>
      <c r="I285" s="2541" t="s">
        <v>170</v>
      </c>
      <c r="J285" s="2354" t="s">
        <v>642</v>
      </c>
      <c r="K285" s="2557" t="s">
        <v>665</v>
      </c>
      <c r="L285" s="2409">
        <v>23174</v>
      </c>
      <c r="M285" s="2557"/>
      <c r="N285" s="2557"/>
      <c r="O285" s="485">
        <v>373</v>
      </c>
      <c r="P285" s="2557">
        <v>1</v>
      </c>
      <c r="Q285" s="2384">
        <f t="shared" si="47"/>
        <v>373</v>
      </c>
      <c r="R285" s="2276"/>
      <c r="S285" s="1858"/>
      <c r="T285" s="2284">
        <v>373</v>
      </c>
      <c r="U285" s="2284"/>
      <c r="V285" s="1858"/>
      <c r="W285" s="1858"/>
      <c r="X285" s="1783"/>
      <c r="Y285" s="1743"/>
      <c r="Z285" s="1199"/>
      <c r="AA285" s="1199"/>
      <c r="AB285" s="1199"/>
      <c r="AC285" s="1199"/>
      <c r="AD285" s="1199"/>
      <c r="AE285" s="1199"/>
      <c r="AF285" s="1199"/>
      <c r="AG285" s="547">
        <f t="shared" si="45"/>
        <v>373</v>
      </c>
    </row>
    <row r="286" spans="1:33" ht="47.25" outlineLevel="2">
      <c r="A286" s="2417">
        <v>1113</v>
      </c>
      <c r="B286" s="2363" t="s">
        <v>671</v>
      </c>
      <c r="C286" s="2411" t="s">
        <v>672</v>
      </c>
      <c r="D286" s="2557"/>
      <c r="E286" s="2541">
        <v>5</v>
      </c>
      <c r="F286" s="2541">
        <v>43227</v>
      </c>
      <c r="G286" s="2541">
        <f t="shared" si="46"/>
        <v>43231</v>
      </c>
      <c r="H286" s="2557" t="s">
        <v>667</v>
      </c>
      <c r="I286" s="2541" t="s">
        <v>170</v>
      </c>
      <c r="J286" s="2354" t="s">
        <v>673</v>
      </c>
      <c r="K286" s="2557" t="s">
        <v>674</v>
      </c>
      <c r="L286" s="2409">
        <v>23174</v>
      </c>
      <c r="M286" s="2557"/>
      <c r="N286" s="2557"/>
      <c r="O286" s="485">
        <v>588</v>
      </c>
      <c r="P286" s="2557">
        <v>1</v>
      </c>
      <c r="Q286" s="2384">
        <f t="shared" si="47"/>
        <v>588</v>
      </c>
      <c r="R286" s="2276"/>
      <c r="S286" s="1858"/>
      <c r="T286" s="1858"/>
      <c r="U286" s="2284">
        <v>588</v>
      </c>
      <c r="V286" s="1858"/>
      <c r="W286" s="1858"/>
      <c r="X286" s="1783"/>
      <c r="Y286" s="1743"/>
      <c r="Z286" s="1199"/>
      <c r="AA286" s="1199"/>
      <c r="AB286" s="1199"/>
      <c r="AC286" s="1199"/>
      <c r="AD286" s="1199"/>
      <c r="AE286" s="1199"/>
      <c r="AF286" s="1199"/>
      <c r="AG286" s="547">
        <f t="shared" si="45"/>
        <v>588</v>
      </c>
    </row>
    <row r="287" spans="1:33" ht="47.25" outlineLevel="2">
      <c r="A287" s="2417">
        <v>1113</v>
      </c>
      <c r="B287" s="2363" t="s">
        <v>671</v>
      </c>
      <c r="C287" s="2411" t="s">
        <v>672</v>
      </c>
      <c r="D287" s="2557"/>
      <c r="E287" s="2541">
        <v>5</v>
      </c>
      <c r="F287" s="2541">
        <v>43227</v>
      </c>
      <c r="G287" s="2541">
        <f t="shared" si="46"/>
        <v>43231</v>
      </c>
      <c r="H287" s="2557" t="s">
        <v>667</v>
      </c>
      <c r="I287" s="2541" t="s">
        <v>170</v>
      </c>
      <c r="J287" s="2354" t="s">
        <v>673</v>
      </c>
      <c r="K287" s="2557" t="s">
        <v>675</v>
      </c>
      <c r="L287" s="2409">
        <v>23174</v>
      </c>
      <c r="M287" s="2557"/>
      <c r="N287" s="2557"/>
      <c r="O287" s="485">
        <v>653.33333333333337</v>
      </c>
      <c r="P287" s="2557">
        <v>1</v>
      </c>
      <c r="Q287" s="2384">
        <f t="shared" si="47"/>
        <v>653.33333333333337</v>
      </c>
      <c r="R287" s="2276"/>
      <c r="S287" s="1858"/>
      <c r="T287" s="1858"/>
      <c r="U287" s="2284">
        <v>653.33333333333337</v>
      </c>
      <c r="V287" s="1858"/>
      <c r="W287" s="1858"/>
      <c r="X287" s="1783"/>
      <c r="Y287" s="1743"/>
      <c r="Z287" s="1199"/>
      <c r="AA287" s="1199"/>
      <c r="AB287" s="1199"/>
      <c r="AC287" s="1199"/>
      <c r="AD287" s="1199"/>
      <c r="AE287" s="1199"/>
      <c r="AF287" s="1199"/>
      <c r="AG287" s="547">
        <f t="shared" si="45"/>
        <v>653.33333333333337</v>
      </c>
    </row>
    <row r="288" spans="1:33" ht="47.25" outlineLevel="2">
      <c r="A288" s="2417">
        <v>1113</v>
      </c>
      <c r="B288" s="2363" t="s">
        <v>671</v>
      </c>
      <c r="C288" s="2411" t="s">
        <v>672</v>
      </c>
      <c r="D288" s="2557"/>
      <c r="E288" s="2541">
        <v>5</v>
      </c>
      <c r="F288" s="2541">
        <v>43227</v>
      </c>
      <c r="G288" s="2541">
        <f t="shared" si="46"/>
        <v>43231</v>
      </c>
      <c r="H288" s="2557" t="s">
        <v>667</v>
      </c>
      <c r="I288" s="2541" t="s">
        <v>170</v>
      </c>
      <c r="J288" s="2354" t="s">
        <v>673</v>
      </c>
      <c r="K288" s="2557" t="s">
        <v>676</v>
      </c>
      <c r="L288" s="2409">
        <v>23174</v>
      </c>
      <c r="M288" s="2557"/>
      <c r="N288" s="2557"/>
      <c r="O288" s="485">
        <v>653</v>
      </c>
      <c r="P288" s="2557">
        <v>1</v>
      </c>
      <c r="Q288" s="2384">
        <f t="shared" si="47"/>
        <v>653</v>
      </c>
      <c r="R288" s="2276"/>
      <c r="S288" s="1858"/>
      <c r="T288" s="1858"/>
      <c r="U288" s="2284">
        <v>653</v>
      </c>
      <c r="V288" s="1858"/>
      <c r="W288" s="1858"/>
      <c r="X288" s="1783"/>
      <c r="Y288" s="1743"/>
      <c r="Z288" s="1199"/>
      <c r="AA288" s="1199"/>
      <c r="AB288" s="1199"/>
      <c r="AC288" s="1199"/>
      <c r="AD288" s="1199"/>
      <c r="AE288" s="1199"/>
      <c r="AF288" s="1199"/>
      <c r="AG288" s="547">
        <f t="shared" si="45"/>
        <v>653</v>
      </c>
    </row>
    <row r="289" spans="1:33" ht="47.25" outlineLevel="2">
      <c r="A289" s="2417">
        <v>1114</v>
      </c>
      <c r="B289" s="2363" t="s">
        <v>679</v>
      </c>
      <c r="C289" s="2411" t="s">
        <v>680</v>
      </c>
      <c r="D289" s="2557"/>
      <c r="E289" s="2541">
        <v>5</v>
      </c>
      <c r="F289" s="2541">
        <v>43248</v>
      </c>
      <c r="G289" s="2541">
        <f t="shared" si="46"/>
        <v>43252</v>
      </c>
      <c r="H289" s="2557" t="s">
        <v>681</v>
      </c>
      <c r="I289" s="2541" t="s">
        <v>170</v>
      </c>
      <c r="J289" s="2354" t="s">
        <v>682</v>
      </c>
      <c r="K289" s="2557" t="s">
        <v>683</v>
      </c>
      <c r="L289" s="2409">
        <v>23174</v>
      </c>
      <c r="M289" s="2557"/>
      <c r="N289" s="2557"/>
      <c r="O289" s="485">
        <v>588</v>
      </c>
      <c r="P289" s="2557">
        <v>1</v>
      </c>
      <c r="Q289" s="2384">
        <f t="shared" si="47"/>
        <v>588</v>
      </c>
      <c r="R289" s="2276"/>
      <c r="S289" s="1858"/>
      <c r="T289" s="1858"/>
      <c r="U289" s="2284">
        <v>588</v>
      </c>
      <c r="V289" s="2284"/>
      <c r="W289" s="1858"/>
      <c r="X289" s="1783"/>
      <c r="Y289" s="1743"/>
      <c r="Z289" s="1199"/>
      <c r="AA289" s="1199"/>
      <c r="AB289" s="1199"/>
      <c r="AC289" s="1199"/>
      <c r="AD289" s="1199"/>
      <c r="AE289" s="1199"/>
      <c r="AF289" s="1199"/>
      <c r="AG289" s="547">
        <f t="shared" si="45"/>
        <v>588</v>
      </c>
    </row>
    <row r="290" spans="1:33" ht="47.25" outlineLevel="2">
      <c r="A290" s="2417">
        <v>1114</v>
      </c>
      <c r="B290" s="2363" t="s">
        <v>679</v>
      </c>
      <c r="C290" s="2411" t="s">
        <v>680</v>
      </c>
      <c r="D290" s="2557"/>
      <c r="E290" s="2541">
        <v>5</v>
      </c>
      <c r="F290" s="2541">
        <v>43248</v>
      </c>
      <c r="G290" s="2541">
        <f t="shared" si="46"/>
        <v>43252</v>
      </c>
      <c r="H290" s="2557" t="s">
        <v>681</v>
      </c>
      <c r="I290" s="2541" t="s">
        <v>170</v>
      </c>
      <c r="J290" s="2354" t="s">
        <v>682</v>
      </c>
      <c r="K290" s="2557" t="s">
        <v>684</v>
      </c>
      <c r="L290" s="2409">
        <v>23174</v>
      </c>
      <c r="M290" s="2557"/>
      <c r="N290" s="2557"/>
      <c r="O290" s="485">
        <v>653.33333333333337</v>
      </c>
      <c r="P290" s="2557">
        <v>1</v>
      </c>
      <c r="Q290" s="2384">
        <f t="shared" si="47"/>
        <v>653.33333333333337</v>
      </c>
      <c r="R290" s="2276"/>
      <c r="S290" s="1858"/>
      <c r="T290" s="1858"/>
      <c r="U290" s="2284">
        <v>653.33333333333337</v>
      </c>
      <c r="V290" s="2284"/>
      <c r="W290" s="1858"/>
      <c r="X290" s="1783"/>
      <c r="Y290" s="1743"/>
      <c r="Z290" s="1199"/>
      <c r="AA290" s="1199"/>
      <c r="AB290" s="1199"/>
      <c r="AC290" s="1199"/>
      <c r="AD290" s="1199"/>
      <c r="AE290" s="1199"/>
      <c r="AF290" s="1199"/>
      <c r="AG290" s="547">
        <f t="shared" si="45"/>
        <v>653.33333333333337</v>
      </c>
    </row>
    <row r="291" spans="1:33" ht="47.25" outlineLevel="2">
      <c r="A291" s="2417">
        <v>1114</v>
      </c>
      <c r="B291" s="2363" t="s">
        <v>679</v>
      </c>
      <c r="C291" s="2411" t="s">
        <v>680</v>
      </c>
      <c r="D291" s="2557"/>
      <c r="E291" s="2541">
        <v>5</v>
      </c>
      <c r="F291" s="2541">
        <v>43248</v>
      </c>
      <c r="G291" s="2541">
        <f t="shared" si="46"/>
        <v>43252</v>
      </c>
      <c r="H291" s="2557" t="s">
        <v>681</v>
      </c>
      <c r="I291" s="2541" t="s">
        <v>170</v>
      </c>
      <c r="J291" s="2354" t="s">
        <v>682</v>
      </c>
      <c r="K291" s="2557" t="s">
        <v>685</v>
      </c>
      <c r="L291" s="2409">
        <v>23174</v>
      </c>
      <c r="M291" s="2557"/>
      <c r="N291" s="2557"/>
      <c r="O291" s="485">
        <v>490</v>
      </c>
      <c r="P291" s="2557">
        <v>1</v>
      </c>
      <c r="Q291" s="2384">
        <f t="shared" si="47"/>
        <v>490</v>
      </c>
      <c r="R291" s="2276"/>
      <c r="S291" s="1858"/>
      <c r="T291" s="1858"/>
      <c r="U291" s="2284">
        <v>490</v>
      </c>
      <c r="V291" s="2284"/>
      <c r="W291" s="1858"/>
      <c r="X291" s="1783"/>
      <c r="Y291" s="1743"/>
      <c r="Z291" s="1199"/>
      <c r="AA291" s="1199"/>
      <c r="AB291" s="1199"/>
      <c r="AC291" s="1199"/>
      <c r="AD291" s="1199"/>
      <c r="AE291" s="1199"/>
      <c r="AF291" s="1199"/>
      <c r="AG291" s="547">
        <f t="shared" si="45"/>
        <v>490</v>
      </c>
    </row>
    <row r="292" spans="1:33" ht="47.25" outlineLevel="2">
      <c r="A292" s="2417">
        <v>1114</v>
      </c>
      <c r="B292" s="2363" t="s">
        <v>679</v>
      </c>
      <c r="C292" s="2411" t="s">
        <v>680</v>
      </c>
      <c r="D292" s="2557"/>
      <c r="E292" s="2541">
        <v>5</v>
      </c>
      <c r="F292" s="2541">
        <v>43248</v>
      </c>
      <c r="G292" s="2541">
        <f t="shared" si="46"/>
        <v>43252</v>
      </c>
      <c r="H292" s="2557" t="s">
        <v>681</v>
      </c>
      <c r="I292" s="2541" t="s">
        <v>170</v>
      </c>
      <c r="J292" s="2354" t="s">
        <v>682</v>
      </c>
      <c r="K292" s="2557" t="s">
        <v>686</v>
      </c>
      <c r="L292" s="2409">
        <v>23174</v>
      </c>
      <c r="M292" s="2557"/>
      <c r="N292" s="2557"/>
      <c r="O292" s="485">
        <v>326.66666666666669</v>
      </c>
      <c r="P292" s="2557">
        <v>1</v>
      </c>
      <c r="Q292" s="2384">
        <f t="shared" si="47"/>
        <v>326.66666666666669</v>
      </c>
      <c r="R292" s="2276"/>
      <c r="S292" s="1858"/>
      <c r="T292" s="1858"/>
      <c r="U292" s="2284">
        <v>326.66666666666669</v>
      </c>
      <c r="V292" s="2284"/>
      <c r="W292" s="1858"/>
      <c r="X292" s="1783"/>
      <c r="Y292" s="1743"/>
      <c r="Z292" s="1199"/>
      <c r="AA292" s="1199"/>
      <c r="AB292" s="1199"/>
      <c r="AC292" s="1199"/>
      <c r="AD292" s="1199"/>
      <c r="AE292" s="1199"/>
      <c r="AF292" s="1199"/>
      <c r="AG292" s="547">
        <f t="shared" si="45"/>
        <v>326.66666666666669</v>
      </c>
    </row>
    <row r="293" spans="1:33" ht="47.25" outlineLevel="2">
      <c r="A293" s="2417">
        <v>1114</v>
      </c>
      <c r="B293" s="2363" t="s">
        <v>679</v>
      </c>
      <c r="C293" s="2411" t="s">
        <v>680</v>
      </c>
      <c r="D293" s="2557"/>
      <c r="E293" s="2541">
        <v>5</v>
      </c>
      <c r="F293" s="2541">
        <v>43248</v>
      </c>
      <c r="G293" s="2541">
        <f t="shared" si="46"/>
        <v>43252</v>
      </c>
      <c r="H293" s="2557" t="s">
        <v>681</v>
      </c>
      <c r="I293" s="2541" t="s">
        <v>170</v>
      </c>
      <c r="J293" s="2354" t="s">
        <v>682</v>
      </c>
      <c r="K293" s="2557" t="s">
        <v>687</v>
      </c>
      <c r="L293" s="2409">
        <v>23174</v>
      </c>
      <c r="M293" s="2557"/>
      <c r="N293" s="2557"/>
      <c r="O293" s="485">
        <v>2221</v>
      </c>
      <c r="P293" s="2557">
        <v>1</v>
      </c>
      <c r="Q293" s="2384">
        <f t="shared" si="47"/>
        <v>2221</v>
      </c>
      <c r="R293" s="2276"/>
      <c r="S293" s="1858"/>
      <c r="T293" s="1858"/>
      <c r="U293" s="2284">
        <v>2221</v>
      </c>
      <c r="V293" s="2284"/>
      <c r="W293" s="1858"/>
      <c r="X293" s="1783"/>
      <c r="Y293" s="1743"/>
      <c r="Z293" s="1199"/>
      <c r="AA293" s="1199"/>
      <c r="AB293" s="1199"/>
      <c r="AC293" s="1199"/>
      <c r="AD293" s="1199"/>
      <c r="AE293" s="1199"/>
      <c r="AF293" s="1199"/>
      <c r="AG293" s="547">
        <f t="shared" si="45"/>
        <v>2221</v>
      </c>
    </row>
    <row r="294" spans="1:33" ht="47.25" outlineLevel="2">
      <c r="A294" s="2417">
        <v>1114</v>
      </c>
      <c r="B294" s="2363" t="s">
        <v>679</v>
      </c>
      <c r="C294" s="2411" t="s">
        <v>680</v>
      </c>
      <c r="D294" s="2557"/>
      <c r="E294" s="2541">
        <v>5</v>
      </c>
      <c r="F294" s="2541">
        <v>43248</v>
      </c>
      <c r="G294" s="2541">
        <f t="shared" si="46"/>
        <v>43252</v>
      </c>
      <c r="H294" s="2557" t="s">
        <v>681</v>
      </c>
      <c r="I294" s="2541" t="s">
        <v>170</v>
      </c>
      <c r="J294" s="2354" t="s">
        <v>682</v>
      </c>
      <c r="K294" s="2557" t="s">
        <v>688</v>
      </c>
      <c r="L294" s="2409">
        <v>23174</v>
      </c>
      <c r="M294" s="2557"/>
      <c r="N294" s="2557"/>
      <c r="O294" s="485">
        <v>1764</v>
      </c>
      <c r="P294" s="2557">
        <v>1</v>
      </c>
      <c r="Q294" s="2384">
        <f t="shared" si="47"/>
        <v>1764</v>
      </c>
      <c r="R294" s="2276"/>
      <c r="S294" s="1858"/>
      <c r="T294" s="1858"/>
      <c r="U294" s="2284">
        <v>1764</v>
      </c>
      <c r="V294" s="2284"/>
      <c r="W294" s="1858"/>
      <c r="X294" s="1783"/>
      <c r="Y294" s="1743"/>
      <c r="Z294" s="1199"/>
      <c r="AA294" s="1199"/>
      <c r="AB294" s="1199"/>
      <c r="AC294" s="1199"/>
      <c r="AD294" s="1199"/>
      <c r="AE294" s="1199"/>
      <c r="AF294" s="1199"/>
      <c r="AG294" s="547">
        <f t="shared" si="45"/>
        <v>1764</v>
      </c>
    </row>
    <row r="295" spans="1:33" ht="47.25" outlineLevel="2">
      <c r="A295" s="2417">
        <v>1114</v>
      </c>
      <c r="B295" s="2363" t="s">
        <v>679</v>
      </c>
      <c r="C295" s="2411" t="s">
        <v>680</v>
      </c>
      <c r="D295" s="2557"/>
      <c r="E295" s="2541">
        <v>5</v>
      </c>
      <c r="F295" s="2541">
        <v>43248</v>
      </c>
      <c r="G295" s="2541">
        <f t="shared" si="46"/>
        <v>43252</v>
      </c>
      <c r="H295" s="2557" t="s">
        <v>681</v>
      </c>
      <c r="I295" s="2541" t="s">
        <v>170</v>
      </c>
      <c r="J295" s="2354" t="s">
        <v>682</v>
      </c>
      <c r="K295" s="2557" t="s">
        <v>689</v>
      </c>
      <c r="L295" s="2409">
        <v>23174</v>
      </c>
      <c r="M295" s="2557"/>
      <c r="N295" s="2557"/>
      <c r="O295" s="485">
        <v>1960</v>
      </c>
      <c r="P295" s="2557">
        <v>1</v>
      </c>
      <c r="Q295" s="2384">
        <f t="shared" si="47"/>
        <v>1960</v>
      </c>
      <c r="R295" s="2276"/>
      <c r="S295" s="1858"/>
      <c r="T295" s="1858"/>
      <c r="U295" s="2284">
        <v>1960</v>
      </c>
      <c r="V295" s="2284"/>
      <c r="W295" s="1858"/>
      <c r="X295" s="1783"/>
      <c r="Y295" s="1743"/>
      <c r="Z295" s="1199"/>
      <c r="AA295" s="1199"/>
      <c r="AB295" s="1199"/>
      <c r="AC295" s="1199"/>
      <c r="AD295" s="1199"/>
      <c r="AE295" s="1199"/>
      <c r="AF295" s="1199"/>
      <c r="AG295" s="547">
        <f t="shared" si="45"/>
        <v>1960</v>
      </c>
    </row>
    <row r="296" spans="1:33" ht="47.25" outlineLevel="2">
      <c r="A296" s="2417">
        <v>1114</v>
      </c>
      <c r="B296" s="2363" t="s">
        <v>679</v>
      </c>
      <c r="C296" s="2411" t="s">
        <v>680</v>
      </c>
      <c r="D296" s="2557"/>
      <c r="E296" s="2541">
        <v>5</v>
      </c>
      <c r="F296" s="2541">
        <v>43248</v>
      </c>
      <c r="G296" s="2541">
        <f t="shared" si="46"/>
        <v>43252</v>
      </c>
      <c r="H296" s="2557" t="s">
        <v>681</v>
      </c>
      <c r="I296" s="2541" t="s">
        <v>170</v>
      </c>
      <c r="J296" s="2354" t="s">
        <v>682</v>
      </c>
      <c r="K296" s="2557" t="s">
        <v>690</v>
      </c>
      <c r="L296" s="2409">
        <v>23174</v>
      </c>
      <c r="M296" s="2557"/>
      <c r="N296" s="2557"/>
      <c r="O296" s="485">
        <v>1960</v>
      </c>
      <c r="P296" s="2557">
        <v>1</v>
      </c>
      <c r="Q296" s="2384">
        <f t="shared" si="47"/>
        <v>1960</v>
      </c>
      <c r="R296" s="2276"/>
      <c r="S296" s="1858"/>
      <c r="T296" s="1858"/>
      <c r="U296" s="2284">
        <v>1960</v>
      </c>
      <c r="V296" s="2284"/>
      <c r="W296" s="1858"/>
      <c r="X296" s="1783"/>
      <c r="Y296" s="1743"/>
      <c r="Z296" s="1199"/>
      <c r="AA296" s="1199"/>
      <c r="AB296" s="1199"/>
      <c r="AC296" s="1199"/>
      <c r="AD296" s="1199"/>
      <c r="AE296" s="1199"/>
      <c r="AF296" s="1199"/>
      <c r="AG296" s="547">
        <f t="shared" si="45"/>
        <v>1960</v>
      </c>
    </row>
    <row r="297" spans="1:33" ht="47.25" outlineLevel="2">
      <c r="A297" s="2417">
        <v>1114</v>
      </c>
      <c r="B297" s="2363" t="s">
        <v>679</v>
      </c>
      <c r="C297" s="2411" t="s">
        <v>680</v>
      </c>
      <c r="D297" s="2557"/>
      <c r="E297" s="2541">
        <v>5</v>
      </c>
      <c r="F297" s="2541">
        <v>43248</v>
      </c>
      <c r="G297" s="2541">
        <f t="shared" si="46"/>
        <v>43252</v>
      </c>
      <c r="H297" s="2557" t="s">
        <v>681</v>
      </c>
      <c r="I297" s="2541" t="s">
        <v>170</v>
      </c>
      <c r="J297" s="2354" t="s">
        <v>682</v>
      </c>
      <c r="K297" s="2557" t="s">
        <v>691</v>
      </c>
      <c r="L297" s="2409">
        <v>23174</v>
      </c>
      <c r="M297" s="2557"/>
      <c r="N297" s="2557"/>
      <c r="O297" s="485">
        <v>8484</v>
      </c>
      <c r="P297" s="2557">
        <v>1</v>
      </c>
      <c r="Q297" s="2384">
        <f t="shared" si="47"/>
        <v>8484</v>
      </c>
      <c r="R297" s="2276"/>
      <c r="S297" s="1858"/>
      <c r="T297" s="1858"/>
      <c r="U297" s="2284"/>
      <c r="V297" s="2284">
        <v>8484</v>
      </c>
      <c r="W297" s="1858"/>
      <c r="X297" s="1783"/>
      <c r="Y297" s="1743"/>
      <c r="Z297" s="1199"/>
      <c r="AA297" s="1199"/>
      <c r="AB297" s="1199"/>
      <c r="AC297" s="1199"/>
      <c r="AD297" s="1199"/>
      <c r="AE297" s="1199"/>
      <c r="AF297" s="1199"/>
      <c r="AG297" s="547">
        <f t="shared" si="45"/>
        <v>8484</v>
      </c>
    </row>
    <row r="298" spans="1:33" ht="47.25" outlineLevel="2">
      <c r="A298" s="2417">
        <v>1114</v>
      </c>
      <c r="B298" s="2363" t="s">
        <v>679</v>
      </c>
      <c r="C298" s="2411" t="s">
        <v>680</v>
      </c>
      <c r="D298" s="2557"/>
      <c r="E298" s="2541">
        <v>5</v>
      </c>
      <c r="F298" s="2541">
        <v>43248</v>
      </c>
      <c r="G298" s="2541">
        <f t="shared" si="46"/>
        <v>43252</v>
      </c>
      <c r="H298" s="2557" t="s">
        <v>681</v>
      </c>
      <c r="I298" s="2541" t="s">
        <v>170</v>
      </c>
      <c r="J298" s="2354" t="s">
        <v>682</v>
      </c>
      <c r="K298" s="2557" t="s">
        <v>692</v>
      </c>
      <c r="L298" s="2409">
        <v>23174</v>
      </c>
      <c r="M298" s="2557"/>
      <c r="N298" s="2557"/>
      <c r="O298" s="485">
        <v>9427</v>
      </c>
      <c r="P298" s="2557">
        <v>1</v>
      </c>
      <c r="Q298" s="2384">
        <f t="shared" si="47"/>
        <v>9427</v>
      </c>
      <c r="R298" s="2276"/>
      <c r="S298" s="1858"/>
      <c r="T298" s="1858"/>
      <c r="U298" s="2284"/>
      <c r="V298" s="2284">
        <v>9427</v>
      </c>
      <c r="W298" s="1858"/>
      <c r="X298" s="1783"/>
      <c r="Y298" s="1743"/>
      <c r="Z298" s="1199"/>
      <c r="AA298" s="1199"/>
      <c r="AB298" s="1199"/>
      <c r="AC298" s="1199"/>
      <c r="AD298" s="1199"/>
      <c r="AE298" s="1199"/>
      <c r="AF298" s="1199"/>
      <c r="AG298" s="547">
        <f t="shared" si="45"/>
        <v>9427</v>
      </c>
    </row>
    <row r="299" spans="1:33" ht="47.25" outlineLevel="2">
      <c r="A299" s="2417">
        <v>1114</v>
      </c>
      <c r="B299" s="2550" t="s">
        <v>679</v>
      </c>
      <c r="C299" s="2558" t="s">
        <v>680</v>
      </c>
      <c r="D299" s="2559"/>
      <c r="E299" s="2560">
        <v>5</v>
      </c>
      <c r="F299" s="2560">
        <v>43248</v>
      </c>
      <c r="G299" s="2560">
        <f t="shared" si="46"/>
        <v>43252</v>
      </c>
      <c r="H299" s="2559" t="s">
        <v>681</v>
      </c>
      <c r="I299" s="2561" t="s">
        <v>170</v>
      </c>
      <c r="J299" s="2354" t="s">
        <v>682</v>
      </c>
      <c r="K299" s="2557" t="s">
        <v>693</v>
      </c>
      <c r="L299" s="2409">
        <v>23174</v>
      </c>
      <c r="M299" s="2557"/>
      <c r="N299" s="2557"/>
      <c r="O299" s="485">
        <v>1347</v>
      </c>
      <c r="P299" s="2557">
        <v>1</v>
      </c>
      <c r="Q299" s="2384">
        <f t="shared" si="47"/>
        <v>1347</v>
      </c>
      <c r="R299" s="2276"/>
      <c r="S299" s="1858"/>
      <c r="T299" s="1858"/>
      <c r="U299" s="2284"/>
      <c r="V299" s="2284">
        <v>1347</v>
      </c>
      <c r="W299" s="1858"/>
      <c r="X299" s="1783"/>
      <c r="Y299" s="1743"/>
      <c r="Z299" s="1199"/>
      <c r="AA299" s="1199"/>
      <c r="AB299" s="1199"/>
      <c r="AC299" s="1199"/>
      <c r="AD299" s="1199"/>
      <c r="AE299" s="1199"/>
      <c r="AF299" s="1199"/>
      <c r="AG299" s="2355">
        <f t="shared" si="45"/>
        <v>1347</v>
      </c>
    </row>
    <row r="300" spans="1:33" ht="63" outlineLevel="2">
      <c r="A300" s="2417">
        <v>1115</v>
      </c>
      <c r="B300" s="2363" t="s">
        <v>694</v>
      </c>
      <c r="C300" s="2411" t="s">
        <v>695</v>
      </c>
      <c r="D300" s="2557"/>
      <c r="E300" s="2541">
        <v>10</v>
      </c>
      <c r="F300" s="2541">
        <v>43257</v>
      </c>
      <c r="G300" s="2541">
        <f t="shared" si="46"/>
        <v>43266</v>
      </c>
      <c r="H300" s="2557" t="s">
        <v>681</v>
      </c>
      <c r="I300" s="2541" t="s">
        <v>170</v>
      </c>
      <c r="J300" s="2354" t="s">
        <v>696</v>
      </c>
      <c r="K300" s="2557" t="s">
        <v>697</v>
      </c>
      <c r="L300" s="2409">
        <v>23174</v>
      </c>
      <c r="M300" s="2557"/>
      <c r="N300" s="2557"/>
      <c r="O300" s="485">
        <v>420</v>
      </c>
      <c r="P300" s="2557">
        <v>1</v>
      </c>
      <c r="Q300" s="2384">
        <f t="shared" si="47"/>
        <v>420</v>
      </c>
      <c r="R300" s="2276"/>
      <c r="S300" s="1858"/>
      <c r="T300" s="1858"/>
      <c r="U300" s="1858"/>
      <c r="V300" s="2284">
        <v>420</v>
      </c>
      <c r="W300" s="2284"/>
      <c r="X300" s="1783"/>
      <c r="Y300" s="1743"/>
      <c r="Z300" s="1199"/>
      <c r="AA300" s="1199"/>
      <c r="AB300" s="1199"/>
      <c r="AC300" s="1199"/>
      <c r="AD300" s="1199"/>
      <c r="AE300" s="1199"/>
      <c r="AF300" s="1199"/>
      <c r="AG300" s="547">
        <f t="shared" si="45"/>
        <v>420</v>
      </c>
    </row>
    <row r="301" spans="1:33" ht="63" outlineLevel="2">
      <c r="A301" s="2417">
        <v>1115</v>
      </c>
      <c r="B301" s="2363" t="s">
        <v>694</v>
      </c>
      <c r="C301" s="2411" t="s">
        <v>695</v>
      </c>
      <c r="D301" s="2557"/>
      <c r="E301" s="2541">
        <v>10</v>
      </c>
      <c r="F301" s="2541">
        <v>43257</v>
      </c>
      <c r="G301" s="2541">
        <f t="shared" si="46"/>
        <v>43266</v>
      </c>
      <c r="H301" s="2557" t="s">
        <v>681</v>
      </c>
      <c r="I301" s="2541" t="s">
        <v>170</v>
      </c>
      <c r="J301" s="2354" t="s">
        <v>696</v>
      </c>
      <c r="K301" s="2557" t="s">
        <v>698</v>
      </c>
      <c r="L301" s="2409">
        <v>23174</v>
      </c>
      <c r="M301" s="2557"/>
      <c r="N301" s="2557"/>
      <c r="O301" s="485">
        <v>466.66666666666669</v>
      </c>
      <c r="P301" s="2557">
        <v>1</v>
      </c>
      <c r="Q301" s="2384">
        <f t="shared" si="47"/>
        <v>466.66666666666669</v>
      </c>
      <c r="R301" s="2276"/>
      <c r="S301" s="1858"/>
      <c r="T301" s="1858"/>
      <c r="U301" s="1858"/>
      <c r="V301" s="2284">
        <v>466.66666666666669</v>
      </c>
      <c r="W301" s="2284"/>
      <c r="X301" s="1783"/>
      <c r="Y301" s="1743"/>
      <c r="Z301" s="1199"/>
      <c r="AA301" s="1199"/>
      <c r="AB301" s="1199"/>
      <c r="AC301" s="1199"/>
      <c r="AD301" s="1199"/>
      <c r="AE301" s="1199"/>
      <c r="AF301" s="1199"/>
      <c r="AG301" s="547">
        <f t="shared" si="45"/>
        <v>466.66666666666669</v>
      </c>
    </row>
    <row r="302" spans="1:33" ht="63" outlineLevel="2">
      <c r="A302" s="2417">
        <v>1115</v>
      </c>
      <c r="B302" s="2363" t="s">
        <v>694</v>
      </c>
      <c r="C302" s="2411" t="s">
        <v>695</v>
      </c>
      <c r="D302" s="2557"/>
      <c r="E302" s="2541">
        <v>10</v>
      </c>
      <c r="F302" s="2541">
        <v>43257</v>
      </c>
      <c r="G302" s="2541">
        <f t="shared" si="46"/>
        <v>43266</v>
      </c>
      <c r="H302" s="2557" t="s">
        <v>681</v>
      </c>
      <c r="I302" s="2541" t="s">
        <v>170</v>
      </c>
      <c r="J302" s="2354" t="s">
        <v>696</v>
      </c>
      <c r="K302" s="2557" t="s">
        <v>699</v>
      </c>
      <c r="L302" s="2409">
        <v>23174</v>
      </c>
      <c r="M302" s="2557"/>
      <c r="N302" s="2557"/>
      <c r="O302" s="485">
        <v>350</v>
      </c>
      <c r="P302" s="2557">
        <v>1</v>
      </c>
      <c r="Q302" s="2384">
        <f t="shared" si="47"/>
        <v>350</v>
      </c>
      <c r="R302" s="2276"/>
      <c r="S302" s="1858"/>
      <c r="T302" s="1858"/>
      <c r="U302" s="1858"/>
      <c r="V302" s="2284">
        <v>350</v>
      </c>
      <c r="W302" s="2284"/>
      <c r="X302" s="1783"/>
      <c r="Y302" s="1743"/>
      <c r="Z302" s="1199"/>
      <c r="AA302" s="1199"/>
      <c r="AB302" s="1199"/>
      <c r="AC302" s="1199"/>
      <c r="AD302" s="1199"/>
      <c r="AE302" s="1199"/>
      <c r="AF302" s="1199"/>
      <c r="AG302" s="547">
        <f t="shared" si="45"/>
        <v>350</v>
      </c>
    </row>
    <row r="303" spans="1:33" ht="63" outlineLevel="2">
      <c r="A303" s="2417">
        <v>1115</v>
      </c>
      <c r="B303" s="2363" t="s">
        <v>694</v>
      </c>
      <c r="C303" s="2411" t="s">
        <v>695</v>
      </c>
      <c r="D303" s="2557"/>
      <c r="E303" s="2541">
        <v>10</v>
      </c>
      <c r="F303" s="2541">
        <v>43257</v>
      </c>
      <c r="G303" s="2541">
        <f t="shared" si="46"/>
        <v>43266</v>
      </c>
      <c r="H303" s="2557" t="s">
        <v>681</v>
      </c>
      <c r="I303" s="2541" t="s">
        <v>170</v>
      </c>
      <c r="J303" s="2354" t="s">
        <v>696</v>
      </c>
      <c r="K303" s="2557" t="s">
        <v>700</v>
      </c>
      <c r="L303" s="2409">
        <v>23174</v>
      </c>
      <c r="M303" s="2557"/>
      <c r="N303" s="2557"/>
      <c r="O303" s="485">
        <v>233.33333333333334</v>
      </c>
      <c r="P303" s="2557">
        <v>1</v>
      </c>
      <c r="Q303" s="2384">
        <f t="shared" si="47"/>
        <v>233.33333333333334</v>
      </c>
      <c r="R303" s="2276"/>
      <c r="S303" s="1858"/>
      <c r="T303" s="1858"/>
      <c r="U303" s="1858"/>
      <c r="V303" s="2284">
        <v>233.33333333333334</v>
      </c>
      <c r="W303" s="2284"/>
      <c r="X303" s="1783"/>
      <c r="Y303" s="1743"/>
      <c r="Z303" s="1199"/>
      <c r="AA303" s="1199"/>
      <c r="AB303" s="1199"/>
      <c r="AC303" s="1199"/>
      <c r="AD303" s="1199"/>
      <c r="AE303" s="1199"/>
      <c r="AF303" s="1199"/>
      <c r="AG303" s="547">
        <f t="shared" si="45"/>
        <v>233.33333333333334</v>
      </c>
    </row>
    <row r="304" spans="1:33" ht="63" outlineLevel="2">
      <c r="A304" s="2417">
        <v>1115</v>
      </c>
      <c r="B304" s="2363" t="s">
        <v>694</v>
      </c>
      <c r="C304" s="2411" t="s">
        <v>695</v>
      </c>
      <c r="D304" s="2557"/>
      <c r="E304" s="2541">
        <v>10</v>
      </c>
      <c r="F304" s="2541">
        <v>43257</v>
      </c>
      <c r="G304" s="2541">
        <f t="shared" si="46"/>
        <v>43266</v>
      </c>
      <c r="H304" s="2557" t="s">
        <v>681</v>
      </c>
      <c r="I304" s="2541" t="s">
        <v>170</v>
      </c>
      <c r="J304" s="2354" t="s">
        <v>696</v>
      </c>
      <c r="K304" s="2557" t="s">
        <v>683</v>
      </c>
      <c r="L304" s="2409">
        <v>23174</v>
      </c>
      <c r="M304" s="2557"/>
      <c r="N304" s="2557"/>
      <c r="O304" s="485">
        <v>1176</v>
      </c>
      <c r="P304" s="2557">
        <v>1</v>
      </c>
      <c r="Q304" s="2384">
        <f t="shared" si="47"/>
        <v>1176</v>
      </c>
      <c r="R304" s="2276"/>
      <c r="S304" s="1858"/>
      <c r="T304" s="1858"/>
      <c r="U304" s="1858"/>
      <c r="V304" s="2284">
        <v>1176</v>
      </c>
      <c r="W304" s="2284"/>
      <c r="X304" s="1783"/>
      <c r="Y304" s="1743"/>
      <c r="Z304" s="1199"/>
      <c r="AA304" s="1199"/>
      <c r="AB304" s="1199"/>
      <c r="AC304" s="1199"/>
      <c r="AD304" s="1199"/>
      <c r="AE304" s="1199"/>
      <c r="AF304" s="1199"/>
      <c r="AG304" s="547">
        <f t="shared" si="45"/>
        <v>1176</v>
      </c>
    </row>
    <row r="305" spans="1:33" ht="63" outlineLevel="2">
      <c r="A305" s="2417">
        <v>1115</v>
      </c>
      <c r="B305" s="2363" t="s">
        <v>694</v>
      </c>
      <c r="C305" s="2411" t="s">
        <v>695</v>
      </c>
      <c r="D305" s="2557"/>
      <c r="E305" s="2541">
        <v>10</v>
      </c>
      <c r="F305" s="2541">
        <v>43257</v>
      </c>
      <c r="G305" s="2541">
        <f t="shared" si="46"/>
        <v>43266</v>
      </c>
      <c r="H305" s="2557" t="s">
        <v>681</v>
      </c>
      <c r="I305" s="2541" t="s">
        <v>170</v>
      </c>
      <c r="J305" s="2354" t="s">
        <v>696</v>
      </c>
      <c r="K305" s="2557" t="s">
        <v>684</v>
      </c>
      <c r="L305" s="2409">
        <v>23174</v>
      </c>
      <c r="M305" s="2557"/>
      <c r="N305" s="2557"/>
      <c r="O305" s="485">
        <v>1307</v>
      </c>
      <c r="P305" s="2557">
        <v>1</v>
      </c>
      <c r="Q305" s="2384">
        <f t="shared" si="47"/>
        <v>1307</v>
      </c>
      <c r="R305" s="2276"/>
      <c r="S305" s="1858"/>
      <c r="T305" s="1858"/>
      <c r="U305" s="1858"/>
      <c r="V305" s="2284">
        <v>1307</v>
      </c>
      <c r="W305" s="2284"/>
      <c r="X305" s="1783"/>
      <c r="Y305" s="1743"/>
      <c r="Z305" s="1199"/>
      <c r="AA305" s="1199"/>
      <c r="AB305" s="1199"/>
      <c r="AC305" s="1199"/>
      <c r="AD305" s="1199"/>
      <c r="AE305" s="1199"/>
      <c r="AF305" s="1199"/>
      <c r="AG305" s="547">
        <f t="shared" si="45"/>
        <v>1307</v>
      </c>
    </row>
    <row r="306" spans="1:33" ht="63" outlineLevel="2">
      <c r="A306" s="2417">
        <v>1115</v>
      </c>
      <c r="B306" s="2363" t="s">
        <v>694</v>
      </c>
      <c r="C306" s="2411" t="s">
        <v>695</v>
      </c>
      <c r="D306" s="2557"/>
      <c r="E306" s="2541">
        <v>10</v>
      </c>
      <c r="F306" s="2541">
        <v>43257</v>
      </c>
      <c r="G306" s="2541">
        <f t="shared" si="46"/>
        <v>43266</v>
      </c>
      <c r="H306" s="2557" t="s">
        <v>681</v>
      </c>
      <c r="I306" s="2541" t="s">
        <v>170</v>
      </c>
      <c r="J306" s="2354" t="s">
        <v>696</v>
      </c>
      <c r="K306" s="2557" t="s">
        <v>685</v>
      </c>
      <c r="L306" s="2409">
        <v>23174</v>
      </c>
      <c r="M306" s="2557"/>
      <c r="N306" s="2557"/>
      <c r="O306" s="485">
        <v>980</v>
      </c>
      <c r="P306" s="2557">
        <v>1</v>
      </c>
      <c r="Q306" s="2384">
        <f t="shared" si="47"/>
        <v>980</v>
      </c>
      <c r="R306" s="2276"/>
      <c r="S306" s="1858"/>
      <c r="T306" s="1858"/>
      <c r="U306" s="1858"/>
      <c r="V306" s="2284">
        <v>980</v>
      </c>
      <c r="W306" s="2284"/>
      <c r="X306" s="1783"/>
      <c r="Y306" s="1743"/>
      <c r="Z306" s="1199"/>
      <c r="AA306" s="1199"/>
      <c r="AB306" s="1199"/>
      <c r="AC306" s="1199"/>
      <c r="AD306" s="1199"/>
      <c r="AE306" s="1199"/>
      <c r="AF306" s="1199"/>
      <c r="AG306" s="547">
        <f t="shared" si="45"/>
        <v>980</v>
      </c>
    </row>
    <row r="307" spans="1:33" ht="63" outlineLevel="2">
      <c r="A307" s="2417">
        <v>1115</v>
      </c>
      <c r="B307" s="2363" t="s">
        <v>694</v>
      </c>
      <c r="C307" s="2411" t="s">
        <v>695</v>
      </c>
      <c r="D307" s="2557"/>
      <c r="E307" s="2541">
        <v>10</v>
      </c>
      <c r="F307" s="2541">
        <v>43257</v>
      </c>
      <c r="G307" s="2541">
        <f t="shared" si="46"/>
        <v>43266</v>
      </c>
      <c r="H307" s="2557" t="s">
        <v>681</v>
      </c>
      <c r="I307" s="2541" t="s">
        <v>170</v>
      </c>
      <c r="J307" s="2354" t="s">
        <v>696</v>
      </c>
      <c r="K307" s="2557" t="s">
        <v>686</v>
      </c>
      <c r="L307" s="2409">
        <v>23174</v>
      </c>
      <c r="M307" s="2557"/>
      <c r="N307" s="2557"/>
      <c r="O307" s="485">
        <v>653</v>
      </c>
      <c r="P307" s="2557">
        <v>1</v>
      </c>
      <c r="Q307" s="2384">
        <f t="shared" si="47"/>
        <v>653</v>
      </c>
      <c r="R307" s="2276"/>
      <c r="S307" s="1858"/>
      <c r="T307" s="1858"/>
      <c r="U307" s="1858"/>
      <c r="V307" s="2284">
        <v>653</v>
      </c>
      <c r="W307" s="2284"/>
      <c r="X307" s="1783"/>
      <c r="Y307" s="1743"/>
      <c r="Z307" s="1199"/>
      <c r="AA307" s="1199"/>
      <c r="AB307" s="1199"/>
      <c r="AC307" s="1199"/>
      <c r="AD307" s="1199"/>
      <c r="AE307" s="1199"/>
      <c r="AF307" s="1199"/>
      <c r="AG307" s="547">
        <f t="shared" si="45"/>
        <v>653</v>
      </c>
    </row>
    <row r="308" spans="1:33" ht="63" outlineLevel="2">
      <c r="A308" s="2417">
        <v>1115</v>
      </c>
      <c r="B308" s="2363" t="s">
        <v>694</v>
      </c>
      <c r="C308" s="2411" t="s">
        <v>695</v>
      </c>
      <c r="D308" s="2557"/>
      <c r="E308" s="2541">
        <v>10</v>
      </c>
      <c r="F308" s="2541">
        <v>43257</v>
      </c>
      <c r="G308" s="2541">
        <f t="shared" si="46"/>
        <v>43266</v>
      </c>
      <c r="H308" s="2557" t="s">
        <v>681</v>
      </c>
      <c r="I308" s="2541" t="s">
        <v>170</v>
      </c>
      <c r="J308" s="2354" t="s">
        <v>696</v>
      </c>
      <c r="K308" s="2557" t="s">
        <v>701</v>
      </c>
      <c r="L308" s="2409">
        <v>23174</v>
      </c>
      <c r="M308" s="2557"/>
      <c r="N308" s="2557"/>
      <c r="O308" s="485">
        <v>4443</v>
      </c>
      <c r="P308" s="2557">
        <v>1</v>
      </c>
      <c r="Q308" s="2384">
        <f t="shared" si="47"/>
        <v>4443</v>
      </c>
      <c r="R308" s="2276"/>
      <c r="S308" s="1858"/>
      <c r="T308" s="1858"/>
      <c r="U308" s="1858"/>
      <c r="V308" s="2284">
        <v>4443</v>
      </c>
      <c r="W308" s="2284"/>
      <c r="X308" s="1783"/>
      <c r="Y308" s="1743"/>
      <c r="Z308" s="1199"/>
      <c r="AA308" s="1199"/>
      <c r="AB308" s="1199"/>
      <c r="AC308" s="1199"/>
      <c r="AD308" s="1199"/>
      <c r="AE308" s="1199"/>
      <c r="AF308" s="1199"/>
      <c r="AG308" s="547">
        <f t="shared" si="45"/>
        <v>4443</v>
      </c>
    </row>
    <row r="309" spans="1:33" ht="63" outlineLevel="2">
      <c r="A309" s="2417">
        <v>1115</v>
      </c>
      <c r="B309" s="2363" t="s">
        <v>694</v>
      </c>
      <c r="C309" s="2411" t="s">
        <v>695</v>
      </c>
      <c r="D309" s="2557"/>
      <c r="E309" s="2541">
        <v>10</v>
      </c>
      <c r="F309" s="2541">
        <v>43257</v>
      </c>
      <c r="G309" s="2541">
        <f t="shared" si="46"/>
        <v>43266</v>
      </c>
      <c r="H309" s="2557" t="s">
        <v>681</v>
      </c>
      <c r="I309" s="2541" t="s">
        <v>170</v>
      </c>
      <c r="J309" s="2354" t="s">
        <v>696</v>
      </c>
      <c r="K309" s="2557" t="s">
        <v>702</v>
      </c>
      <c r="L309" s="2409">
        <v>23174</v>
      </c>
      <c r="M309" s="2557"/>
      <c r="N309" s="2557"/>
      <c r="O309" s="485">
        <v>3528</v>
      </c>
      <c r="P309" s="2557">
        <v>1</v>
      </c>
      <c r="Q309" s="2384">
        <f t="shared" si="47"/>
        <v>3528</v>
      </c>
      <c r="R309" s="2276"/>
      <c r="S309" s="1858"/>
      <c r="T309" s="1858"/>
      <c r="U309" s="1858"/>
      <c r="V309" s="2284">
        <v>3528</v>
      </c>
      <c r="W309" s="2284"/>
      <c r="X309" s="1783"/>
      <c r="Y309" s="1743"/>
      <c r="Z309" s="1199"/>
      <c r="AA309" s="1199"/>
      <c r="AB309" s="1199"/>
      <c r="AC309" s="1199"/>
      <c r="AD309" s="1199"/>
      <c r="AE309" s="1199"/>
      <c r="AF309" s="1199"/>
      <c r="AG309" s="547">
        <f t="shared" si="45"/>
        <v>3528</v>
      </c>
    </row>
    <row r="310" spans="1:33" ht="63" outlineLevel="2">
      <c r="A310" s="2417">
        <v>1115</v>
      </c>
      <c r="B310" s="2363" t="s">
        <v>694</v>
      </c>
      <c r="C310" s="2411" t="s">
        <v>695</v>
      </c>
      <c r="D310" s="2557"/>
      <c r="E310" s="2541">
        <v>10</v>
      </c>
      <c r="F310" s="2541">
        <v>43257</v>
      </c>
      <c r="G310" s="2541">
        <f t="shared" si="46"/>
        <v>43266</v>
      </c>
      <c r="H310" s="2557" t="s">
        <v>681</v>
      </c>
      <c r="I310" s="2541" t="s">
        <v>170</v>
      </c>
      <c r="J310" s="2354" t="s">
        <v>696</v>
      </c>
      <c r="K310" s="2557" t="s">
        <v>689</v>
      </c>
      <c r="L310" s="2409">
        <v>23174</v>
      </c>
      <c r="M310" s="2557"/>
      <c r="N310" s="2557"/>
      <c r="O310" s="485">
        <v>3920</v>
      </c>
      <c r="P310" s="2557">
        <v>1</v>
      </c>
      <c r="Q310" s="2384">
        <f t="shared" si="47"/>
        <v>3920</v>
      </c>
      <c r="R310" s="2276"/>
      <c r="S310" s="1858"/>
      <c r="T310" s="1858"/>
      <c r="U310" s="1858"/>
      <c r="V310" s="2284">
        <v>3920</v>
      </c>
      <c r="W310" s="2284"/>
      <c r="X310" s="1783"/>
      <c r="Y310" s="1743"/>
      <c r="Z310" s="1199"/>
      <c r="AA310" s="1199"/>
      <c r="AB310" s="1199"/>
      <c r="AC310" s="1199"/>
      <c r="AD310" s="1199"/>
      <c r="AE310" s="1199"/>
      <c r="AF310" s="1199"/>
      <c r="AG310" s="547">
        <f t="shared" si="45"/>
        <v>3920</v>
      </c>
    </row>
    <row r="311" spans="1:33" ht="63" outlineLevel="2">
      <c r="A311" s="2417">
        <v>1115</v>
      </c>
      <c r="B311" s="2363" t="s">
        <v>694</v>
      </c>
      <c r="C311" s="2411" t="s">
        <v>695</v>
      </c>
      <c r="D311" s="2557"/>
      <c r="E311" s="2541">
        <v>10</v>
      </c>
      <c r="F311" s="2541">
        <v>43257</v>
      </c>
      <c r="G311" s="2541">
        <f t="shared" si="46"/>
        <v>43266</v>
      </c>
      <c r="H311" s="2557" t="s">
        <v>681</v>
      </c>
      <c r="I311" s="2541" t="s">
        <v>170</v>
      </c>
      <c r="J311" s="2354" t="s">
        <v>696</v>
      </c>
      <c r="K311" s="2557" t="s">
        <v>690</v>
      </c>
      <c r="L311" s="2409">
        <v>23174</v>
      </c>
      <c r="M311" s="2557"/>
      <c r="N311" s="2557"/>
      <c r="O311" s="485">
        <v>1960</v>
      </c>
      <c r="P311" s="2557">
        <v>1</v>
      </c>
      <c r="Q311" s="2384">
        <f t="shared" si="47"/>
        <v>1960</v>
      </c>
      <c r="R311" s="2276"/>
      <c r="S311" s="1858"/>
      <c r="T311" s="1858"/>
      <c r="U311" s="1858"/>
      <c r="V311" s="2284">
        <v>1960</v>
      </c>
      <c r="W311" s="2284"/>
      <c r="X311" s="1783"/>
      <c r="Y311" s="1743"/>
      <c r="Z311" s="1199"/>
      <c r="AA311" s="1199"/>
      <c r="AB311" s="1199"/>
      <c r="AC311" s="1199"/>
      <c r="AD311" s="1199"/>
      <c r="AE311" s="1199"/>
      <c r="AF311" s="1199"/>
      <c r="AG311" s="547">
        <f t="shared" si="45"/>
        <v>1960</v>
      </c>
    </row>
    <row r="312" spans="1:33" ht="63" outlineLevel="2">
      <c r="A312" s="2417">
        <v>1115</v>
      </c>
      <c r="B312" s="2363" t="s">
        <v>694</v>
      </c>
      <c r="C312" s="2411" t="s">
        <v>695</v>
      </c>
      <c r="D312" s="2557"/>
      <c r="E312" s="2541">
        <v>10</v>
      </c>
      <c r="F312" s="2541">
        <v>43257</v>
      </c>
      <c r="G312" s="2541">
        <f t="shared" si="46"/>
        <v>43266</v>
      </c>
      <c r="H312" s="2557" t="s">
        <v>681</v>
      </c>
      <c r="I312" s="2541" t="s">
        <v>170</v>
      </c>
      <c r="J312" s="2354" t="s">
        <v>696</v>
      </c>
      <c r="K312" s="2557" t="s">
        <v>703</v>
      </c>
      <c r="L312" s="2409">
        <v>23174</v>
      </c>
      <c r="M312" s="2557"/>
      <c r="N312" s="2557"/>
      <c r="O312" s="485">
        <v>16968</v>
      </c>
      <c r="P312" s="2557">
        <v>1</v>
      </c>
      <c r="Q312" s="2384">
        <f t="shared" si="47"/>
        <v>16968</v>
      </c>
      <c r="R312" s="2276"/>
      <c r="S312" s="1858"/>
      <c r="T312" s="1858"/>
      <c r="U312" s="1858"/>
      <c r="V312" s="2284"/>
      <c r="W312" s="2284">
        <v>16968</v>
      </c>
      <c r="X312" s="1783"/>
      <c r="Y312" s="1743"/>
      <c r="Z312" s="1199"/>
      <c r="AA312" s="1199"/>
      <c r="AB312" s="1199"/>
      <c r="AC312" s="1199"/>
      <c r="AD312" s="1199"/>
      <c r="AE312" s="1199"/>
      <c r="AF312" s="1199"/>
      <c r="AG312" s="547">
        <f t="shared" si="45"/>
        <v>16968</v>
      </c>
    </row>
    <row r="313" spans="1:33" ht="63" outlineLevel="2">
      <c r="A313" s="2417">
        <v>1115</v>
      </c>
      <c r="B313" s="2363" t="s">
        <v>694</v>
      </c>
      <c r="C313" s="2411" t="s">
        <v>695</v>
      </c>
      <c r="D313" s="2557"/>
      <c r="E313" s="2541">
        <v>10</v>
      </c>
      <c r="F313" s="2541">
        <v>43257</v>
      </c>
      <c r="G313" s="2541">
        <f t="shared" si="46"/>
        <v>43266</v>
      </c>
      <c r="H313" s="2557" t="s">
        <v>681</v>
      </c>
      <c r="I313" s="2541" t="s">
        <v>170</v>
      </c>
      <c r="J313" s="2354" t="s">
        <v>696</v>
      </c>
      <c r="K313" s="2557" t="s">
        <v>692</v>
      </c>
      <c r="L313" s="2409">
        <v>23174</v>
      </c>
      <c r="M313" s="2557"/>
      <c r="N313" s="2557"/>
      <c r="O313" s="485">
        <v>18853</v>
      </c>
      <c r="P313" s="2557">
        <v>1</v>
      </c>
      <c r="Q313" s="2384">
        <f t="shared" si="47"/>
        <v>18853</v>
      </c>
      <c r="R313" s="2276"/>
      <c r="S313" s="1858"/>
      <c r="T313" s="1858"/>
      <c r="U313" s="1858"/>
      <c r="V313" s="2284"/>
      <c r="W313" s="2284">
        <v>18853</v>
      </c>
      <c r="X313" s="1783"/>
      <c r="Y313" s="1743"/>
      <c r="Z313" s="1199"/>
      <c r="AA313" s="1199"/>
      <c r="AB313" s="1199"/>
      <c r="AC313" s="1199"/>
      <c r="AD313" s="1199"/>
      <c r="AE313" s="1199"/>
      <c r="AF313" s="1199"/>
      <c r="AG313" s="547">
        <f t="shared" si="45"/>
        <v>18853</v>
      </c>
    </row>
    <row r="314" spans="1:33" ht="63" outlineLevel="2">
      <c r="A314" s="2417">
        <v>1115</v>
      </c>
      <c r="B314" s="2363" t="s">
        <v>694</v>
      </c>
      <c r="C314" s="2411" t="s">
        <v>695</v>
      </c>
      <c r="D314" s="2557"/>
      <c r="E314" s="2541">
        <v>10</v>
      </c>
      <c r="F314" s="2541">
        <v>43257</v>
      </c>
      <c r="G314" s="2541">
        <f t="shared" si="46"/>
        <v>43266</v>
      </c>
      <c r="H314" s="2557" t="s">
        <v>681</v>
      </c>
      <c r="I314" s="2541" t="s">
        <v>170</v>
      </c>
      <c r="J314" s="2354" t="s">
        <v>696</v>
      </c>
      <c r="K314" s="2557" t="s">
        <v>693</v>
      </c>
      <c r="L314" s="2409">
        <v>23174</v>
      </c>
      <c r="M314" s="2557"/>
      <c r="N314" s="2557"/>
      <c r="O314" s="485">
        <v>1347</v>
      </c>
      <c r="P314" s="2557">
        <v>1</v>
      </c>
      <c r="Q314" s="2384">
        <f t="shared" si="47"/>
        <v>1347</v>
      </c>
      <c r="R314" s="2276"/>
      <c r="S314" s="1858"/>
      <c r="T314" s="1858"/>
      <c r="U314" s="1858"/>
      <c r="V314" s="2284"/>
      <c r="W314" s="2284">
        <v>1347</v>
      </c>
      <c r="X314" s="1783"/>
      <c r="Y314" s="1743"/>
      <c r="Z314" s="1199"/>
      <c r="AA314" s="1199"/>
      <c r="AB314" s="1199"/>
      <c r="AC314" s="1199"/>
      <c r="AD314" s="1199"/>
      <c r="AE314" s="1199"/>
      <c r="AF314" s="1199"/>
      <c r="AG314" s="547">
        <f t="shared" si="45"/>
        <v>1347</v>
      </c>
    </row>
    <row r="315" spans="1:33" ht="31.5" outlineLevel="2">
      <c r="A315" s="2417">
        <v>1116</v>
      </c>
      <c r="B315" s="2363" t="s">
        <v>707</v>
      </c>
      <c r="C315" s="2411" t="s">
        <v>708</v>
      </c>
      <c r="D315" s="2557"/>
      <c r="E315" s="2541">
        <v>1</v>
      </c>
      <c r="F315" s="2541">
        <v>43315</v>
      </c>
      <c r="G315" s="2541">
        <f t="shared" si="46"/>
        <v>43315</v>
      </c>
      <c r="H315" s="2557" t="s">
        <v>667</v>
      </c>
      <c r="I315" s="2541" t="s">
        <v>170</v>
      </c>
      <c r="J315" s="2354" t="s">
        <v>696</v>
      </c>
      <c r="K315" s="2557" t="s">
        <v>709</v>
      </c>
      <c r="L315" s="2409">
        <v>23174</v>
      </c>
      <c r="M315" s="2557"/>
      <c r="N315" s="2557"/>
      <c r="O315" s="485">
        <v>252</v>
      </c>
      <c r="P315" s="2557">
        <v>1</v>
      </c>
      <c r="Q315" s="2384">
        <f t="shared" si="47"/>
        <v>252</v>
      </c>
      <c r="R315" s="2276"/>
      <c r="S315" s="1858"/>
      <c r="T315" s="1858"/>
      <c r="U315" s="1858"/>
      <c r="V315" s="1858"/>
      <c r="W315" s="1858"/>
      <c r="X315" s="1780">
        <v>252</v>
      </c>
      <c r="Y315" s="1743"/>
      <c r="Z315" s="1199"/>
      <c r="AA315" s="1199"/>
      <c r="AB315" s="1199"/>
      <c r="AC315" s="1199"/>
      <c r="AD315" s="1199"/>
      <c r="AE315" s="1199"/>
      <c r="AF315" s="1199"/>
      <c r="AG315" s="547">
        <f t="shared" si="45"/>
        <v>252</v>
      </c>
    </row>
    <row r="316" spans="1:33" ht="31.5" outlineLevel="2">
      <c r="A316" s="2417">
        <v>1116</v>
      </c>
      <c r="B316" s="2363" t="s">
        <v>707</v>
      </c>
      <c r="C316" s="2411" t="s">
        <v>708</v>
      </c>
      <c r="D316" s="2557"/>
      <c r="E316" s="2541">
        <v>1</v>
      </c>
      <c r="F316" s="2541">
        <v>43315</v>
      </c>
      <c r="G316" s="2541">
        <f>F316+E316-1</f>
        <v>43315</v>
      </c>
      <c r="H316" s="2557" t="s">
        <v>667</v>
      </c>
      <c r="I316" s="2541" t="s">
        <v>170</v>
      </c>
      <c r="J316" s="2354" t="s">
        <v>696</v>
      </c>
      <c r="K316" s="2557" t="s">
        <v>710</v>
      </c>
      <c r="L316" s="2409">
        <v>23174</v>
      </c>
      <c r="M316" s="2557"/>
      <c r="N316" s="2557"/>
      <c r="O316" s="485">
        <v>280</v>
      </c>
      <c r="P316" s="2557">
        <v>1</v>
      </c>
      <c r="Q316" s="2384">
        <f>O316*P316</f>
        <v>280</v>
      </c>
      <c r="R316" s="2276"/>
      <c r="S316" s="1858"/>
      <c r="T316" s="1858"/>
      <c r="U316" s="1858"/>
      <c r="V316" s="1858"/>
      <c r="W316" s="1858"/>
      <c r="X316" s="1780">
        <v>280</v>
      </c>
      <c r="Y316" s="1743"/>
      <c r="Z316" s="1199"/>
      <c r="AA316" s="1199"/>
      <c r="AB316" s="1199"/>
      <c r="AC316" s="1199"/>
      <c r="AD316" s="1199"/>
      <c r="AE316" s="1199"/>
      <c r="AF316" s="1199"/>
      <c r="AG316" s="547">
        <f t="shared" ref="AG316:AG379" si="48">SUM(S316:AF316)</f>
        <v>280</v>
      </c>
    </row>
    <row r="317" spans="1:33" ht="31.5" outlineLevel="2">
      <c r="A317" s="2417">
        <v>1116</v>
      </c>
      <c r="B317" s="2363" t="s">
        <v>707</v>
      </c>
      <c r="C317" s="2411" t="s">
        <v>708</v>
      </c>
      <c r="D317" s="2557"/>
      <c r="E317" s="2541">
        <v>1</v>
      </c>
      <c r="F317" s="2541">
        <v>43315</v>
      </c>
      <c r="G317" s="2541">
        <f>F317+E317-1</f>
        <v>43315</v>
      </c>
      <c r="H317" s="2557" t="s">
        <v>667</v>
      </c>
      <c r="I317" s="2541" t="s">
        <v>170</v>
      </c>
      <c r="J317" s="2354" t="s">
        <v>696</v>
      </c>
      <c r="K317" s="2557" t="s">
        <v>711</v>
      </c>
      <c r="L317" s="2409">
        <v>23174</v>
      </c>
      <c r="M317" s="2557"/>
      <c r="N317" s="2557"/>
      <c r="O317" s="485">
        <v>210</v>
      </c>
      <c r="P317" s="2557">
        <v>1</v>
      </c>
      <c r="Q317" s="2384">
        <f>O317*P317</f>
        <v>210</v>
      </c>
      <c r="R317" s="2276"/>
      <c r="S317" s="1858"/>
      <c r="T317" s="1858"/>
      <c r="U317" s="1858"/>
      <c r="V317" s="1858"/>
      <c r="W317" s="1858"/>
      <c r="X317" s="1780">
        <v>210</v>
      </c>
      <c r="Y317" s="1743"/>
      <c r="Z317" s="1199"/>
      <c r="AA317" s="1199"/>
      <c r="AB317" s="1199"/>
      <c r="AC317" s="1199"/>
      <c r="AD317" s="1199"/>
      <c r="AE317" s="1199"/>
      <c r="AF317" s="1199"/>
      <c r="AG317" s="547">
        <f t="shared" si="48"/>
        <v>210</v>
      </c>
    </row>
    <row r="318" spans="1:33" ht="31.5" outlineLevel="2">
      <c r="A318" s="2417">
        <v>1116</v>
      </c>
      <c r="B318" s="2363" t="s">
        <v>707</v>
      </c>
      <c r="C318" s="2411" t="s">
        <v>708</v>
      </c>
      <c r="D318" s="2557"/>
      <c r="E318" s="2541">
        <v>1</v>
      </c>
      <c r="F318" s="2541">
        <v>43315</v>
      </c>
      <c r="G318" s="2541">
        <f>F318+E318-1</f>
        <v>43315</v>
      </c>
      <c r="H318" s="2557" t="s">
        <v>667</v>
      </c>
      <c r="I318" s="2541" t="s">
        <v>170</v>
      </c>
      <c r="J318" s="2354" t="s">
        <v>696</v>
      </c>
      <c r="K318" s="2557" t="s">
        <v>712</v>
      </c>
      <c r="L318" s="2409">
        <v>23174</v>
      </c>
      <c r="M318" s="2557"/>
      <c r="N318" s="2557"/>
      <c r="O318" s="485">
        <v>140</v>
      </c>
      <c r="P318" s="2557">
        <v>1</v>
      </c>
      <c r="Q318" s="2384">
        <f>O318*P318</f>
        <v>140</v>
      </c>
      <c r="R318" s="2276"/>
      <c r="S318" s="1858"/>
      <c r="T318" s="1858"/>
      <c r="U318" s="1858"/>
      <c r="V318" s="1858"/>
      <c r="W318" s="1858"/>
      <c r="X318" s="1780">
        <v>140</v>
      </c>
      <c r="Y318" s="1743"/>
      <c r="Z318" s="1199"/>
      <c r="AA318" s="1199"/>
      <c r="AB318" s="1199"/>
      <c r="AC318" s="1199"/>
      <c r="AD318" s="1199"/>
      <c r="AE318" s="1199"/>
      <c r="AF318" s="1199"/>
      <c r="AG318" s="547">
        <f t="shared" si="48"/>
        <v>140</v>
      </c>
    </row>
    <row r="319" spans="1:33" ht="31.5" outlineLevel="2">
      <c r="A319" s="2330">
        <v>1116</v>
      </c>
      <c r="B319" s="2418" t="s">
        <v>707</v>
      </c>
      <c r="C319" s="2474" t="s">
        <v>708</v>
      </c>
      <c r="D319" s="2477"/>
      <c r="E319" s="2476">
        <v>1</v>
      </c>
      <c r="F319" s="2476">
        <v>43315</v>
      </c>
      <c r="G319" s="2476">
        <f>F319+E319-1</f>
        <v>43315</v>
      </c>
      <c r="H319" s="2477" t="s">
        <v>667</v>
      </c>
      <c r="I319" s="2476" t="s">
        <v>170</v>
      </c>
      <c r="J319" s="2338" t="s">
        <v>696</v>
      </c>
      <c r="K319" s="2477" t="s">
        <v>713</v>
      </c>
      <c r="L319" s="2489">
        <v>23174</v>
      </c>
      <c r="M319" s="2477"/>
      <c r="N319" s="2477"/>
      <c r="O319" s="2305">
        <v>2221</v>
      </c>
      <c r="P319" s="2477">
        <v>1</v>
      </c>
      <c r="Q319" s="2381">
        <f>O319*P319</f>
        <v>2221</v>
      </c>
      <c r="R319" s="956"/>
      <c r="S319" s="1779"/>
      <c r="T319" s="1779"/>
      <c r="U319" s="1779"/>
      <c r="V319" s="1779"/>
      <c r="W319" s="1779"/>
      <c r="X319" s="1780">
        <v>2221</v>
      </c>
      <c r="Y319" s="1743"/>
      <c r="Z319" s="1199"/>
      <c r="AA319" s="1199"/>
      <c r="AB319" s="1199"/>
      <c r="AC319" s="1199"/>
      <c r="AD319" s="1199"/>
      <c r="AE319" s="1199"/>
      <c r="AF319" s="1199"/>
      <c r="AG319" s="2348">
        <f t="shared" si="48"/>
        <v>2221</v>
      </c>
    </row>
    <row r="320" spans="1:33" outlineLevel="2">
      <c r="A320" s="2489">
        <v>1211</v>
      </c>
      <c r="B320" s="2439" t="s">
        <v>716</v>
      </c>
      <c r="C320" s="2474" t="s">
        <v>717</v>
      </c>
      <c r="D320" s="2490"/>
      <c r="E320" s="2491">
        <f t="shared" ref="E320:E361" si="49">+G320-F320+1</f>
        <v>12</v>
      </c>
      <c r="F320" s="2491">
        <v>43220</v>
      </c>
      <c r="G320" s="2491">
        <v>43231</v>
      </c>
      <c r="H320" s="2492" t="s">
        <v>718</v>
      </c>
      <c r="I320" s="2491" t="s">
        <v>170</v>
      </c>
      <c r="J320" s="2493" t="s">
        <v>719</v>
      </c>
      <c r="K320" s="2477" t="s">
        <v>720</v>
      </c>
      <c r="L320" s="2489">
        <v>23174</v>
      </c>
      <c r="M320" s="2490"/>
      <c r="N320" s="2490"/>
      <c r="O320" s="2382">
        <v>157</v>
      </c>
      <c r="P320" s="2490">
        <v>28</v>
      </c>
      <c r="Q320" s="2382">
        <f t="shared" ref="Q320:Q361" si="50">+O320*P320</f>
        <v>4396</v>
      </c>
      <c r="R320" s="2382"/>
      <c r="S320" s="2382"/>
      <c r="T320" s="2382"/>
      <c r="U320" s="2382">
        <v>4396</v>
      </c>
      <c r="V320" s="2382"/>
      <c r="W320" s="2382"/>
      <c r="X320" s="2495"/>
      <c r="Y320" s="2496"/>
      <c r="Z320" s="1199"/>
      <c r="AA320" s="1199"/>
      <c r="AB320" s="1199"/>
      <c r="AC320" s="1199"/>
      <c r="AD320" s="1199"/>
      <c r="AE320" s="1199"/>
      <c r="AF320" s="1199"/>
      <c r="AG320" s="547">
        <f t="shared" si="48"/>
        <v>4396</v>
      </c>
    </row>
    <row r="321" spans="1:33" outlineLevel="2">
      <c r="A321" s="2489">
        <v>1211</v>
      </c>
      <c r="B321" s="2439" t="s">
        <v>716</v>
      </c>
      <c r="C321" s="2474" t="s">
        <v>717</v>
      </c>
      <c r="D321" s="2490"/>
      <c r="E321" s="2491">
        <f t="shared" si="49"/>
        <v>12</v>
      </c>
      <c r="F321" s="2491">
        <f t="shared" ref="F321:F328" si="51">+F320</f>
        <v>43220</v>
      </c>
      <c r="G321" s="2491">
        <v>43231</v>
      </c>
      <c r="H321" s="2492" t="s">
        <v>718</v>
      </c>
      <c r="I321" s="2491" t="s">
        <v>170</v>
      </c>
      <c r="J321" s="2493" t="s">
        <v>719</v>
      </c>
      <c r="K321" s="2563" t="s">
        <v>721</v>
      </c>
      <c r="L321" s="2489">
        <v>23174</v>
      </c>
      <c r="M321" s="2490"/>
      <c r="N321" s="2490"/>
      <c r="O321" s="2382">
        <v>162</v>
      </c>
      <c r="P321" s="2490">
        <v>28</v>
      </c>
      <c r="Q321" s="2382">
        <f t="shared" si="50"/>
        <v>4536</v>
      </c>
      <c r="R321" s="2382"/>
      <c r="S321" s="2382"/>
      <c r="T321" s="2382"/>
      <c r="U321" s="2382">
        <v>4536</v>
      </c>
      <c r="V321" s="2382"/>
      <c r="W321" s="2564"/>
      <c r="X321" s="2495"/>
      <c r="Y321" s="2496"/>
      <c r="Z321" s="1199"/>
      <c r="AA321" s="1199"/>
      <c r="AB321" s="1199"/>
      <c r="AC321" s="1199"/>
      <c r="AD321" s="1199"/>
      <c r="AE321" s="1199"/>
      <c r="AF321" s="1199"/>
      <c r="AG321" s="547">
        <f t="shared" si="48"/>
        <v>4536</v>
      </c>
    </row>
    <row r="322" spans="1:33" outlineLevel="2">
      <c r="A322" s="2489">
        <v>1211</v>
      </c>
      <c r="B322" s="2439" t="s">
        <v>716</v>
      </c>
      <c r="C322" s="2474" t="s">
        <v>717</v>
      </c>
      <c r="D322" s="2490"/>
      <c r="E322" s="2491">
        <f t="shared" si="49"/>
        <v>12</v>
      </c>
      <c r="F322" s="2491">
        <f t="shared" si="51"/>
        <v>43220</v>
      </c>
      <c r="G322" s="2491">
        <v>43231</v>
      </c>
      <c r="H322" s="2492" t="s">
        <v>718</v>
      </c>
      <c r="I322" s="2491" t="s">
        <v>170</v>
      </c>
      <c r="J322" s="2493" t="s">
        <v>719</v>
      </c>
      <c r="K322" s="2494" t="s">
        <v>722</v>
      </c>
      <c r="L322" s="2489">
        <v>23174</v>
      </c>
      <c r="M322" s="2490"/>
      <c r="N322" s="2490"/>
      <c r="O322" s="2382">
        <v>22</v>
      </c>
      <c r="P322" s="2490">
        <v>28</v>
      </c>
      <c r="Q322" s="2382">
        <f t="shared" si="50"/>
        <v>616</v>
      </c>
      <c r="R322" s="2382"/>
      <c r="S322" s="2382"/>
      <c r="T322" s="2382"/>
      <c r="U322" s="2382">
        <v>616</v>
      </c>
      <c r="V322" s="2382"/>
      <c r="W322" s="2382"/>
      <c r="X322" s="2495"/>
      <c r="Y322" s="2496"/>
      <c r="Z322" s="1199"/>
      <c r="AA322" s="1199"/>
      <c r="AB322" s="1199"/>
      <c r="AC322" s="1199"/>
      <c r="AD322" s="1199"/>
      <c r="AE322" s="1199"/>
      <c r="AF322" s="1199"/>
      <c r="AG322" s="547">
        <f t="shared" si="48"/>
        <v>616</v>
      </c>
    </row>
    <row r="323" spans="1:33" outlineLevel="2">
      <c r="A323" s="2489">
        <v>1211</v>
      </c>
      <c r="B323" s="2439" t="s">
        <v>716</v>
      </c>
      <c r="C323" s="2474" t="s">
        <v>717</v>
      </c>
      <c r="D323" s="2490"/>
      <c r="E323" s="2491">
        <f t="shared" si="49"/>
        <v>12</v>
      </c>
      <c r="F323" s="2491">
        <f t="shared" si="51"/>
        <v>43220</v>
      </c>
      <c r="G323" s="2491">
        <v>43231</v>
      </c>
      <c r="H323" s="2492" t="s">
        <v>718</v>
      </c>
      <c r="I323" s="2491" t="s">
        <v>170</v>
      </c>
      <c r="J323" s="2493" t="s">
        <v>719</v>
      </c>
      <c r="K323" s="2494" t="s">
        <v>723</v>
      </c>
      <c r="L323" s="2489">
        <v>23174</v>
      </c>
      <c r="M323" s="2490"/>
      <c r="N323" s="2490"/>
      <c r="O323" s="2382">
        <v>281</v>
      </c>
      <c r="P323" s="2490">
        <v>4</v>
      </c>
      <c r="Q323" s="2382">
        <f t="shared" si="50"/>
        <v>1124</v>
      </c>
      <c r="R323" s="2382"/>
      <c r="S323" s="2382"/>
      <c r="T323" s="2382"/>
      <c r="U323" s="2382">
        <v>1124</v>
      </c>
      <c r="V323" s="2382"/>
      <c r="W323" s="2382"/>
      <c r="X323" s="2495"/>
      <c r="Y323" s="2496"/>
      <c r="Z323" s="1199"/>
      <c r="AA323" s="1199"/>
      <c r="AB323" s="1199"/>
      <c r="AC323" s="1199"/>
      <c r="AD323" s="1199"/>
      <c r="AE323" s="1199"/>
      <c r="AF323" s="1199"/>
      <c r="AG323" s="547">
        <f t="shared" si="48"/>
        <v>1124</v>
      </c>
    </row>
    <row r="324" spans="1:33" outlineLevel="2">
      <c r="A324" s="2489">
        <v>1211</v>
      </c>
      <c r="B324" s="2439" t="s">
        <v>716</v>
      </c>
      <c r="C324" s="2474" t="s">
        <v>717</v>
      </c>
      <c r="D324" s="2490"/>
      <c r="E324" s="2491">
        <f t="shared" si="49"/>
        <v>12</v>
      </c>
      <c r="F324" s="2491">
        <f t="shared" si="51"/>
        <v>43220</v>
      </c>
      <c r="G324" s="2491">
        <v>43231</v>
      </c>
      <c r="H324" s="2492" t="s">
        <v>718</v>
      </c>
      <c r="I324" s="2491" t="s">
        <v>170</v>
      </c>
      <c r="J324" s="2493" t="s">
        <v>719</v>
      </c>
      <c r="K324" s="2494" t="s">
        <v>725</v>
      </c>
      <c r="L324" s="2489">
        <v>23174</v>
      </c>
      <c r="M324" s="2490"/>
      <c r="N324" s="2490"/>
      <c r="O324" s="2382">
        <v>157</v>
      </c>
      <c r="P324" s="2490">
        <v>2</v>
      </c>
      <c r="Q324" s="2382">
        <f t="shared" si="50"/>
        <v>314</v>
      </c>
      <c r="R324" s="2382"/>
      <c r="S324" s="2382"/>
      <c r="T324" s="2382"/>
      <c r="U324" s="2382">
        <v>314</v>
      </c>
      <c r="V324" s="2382"/>
      <c r="W324" s="2382"/>
      <c r="X324" s="2495"/>
      <c r="Y324" s="2496"/>
      <c r="Z324" s="1199"/>
      <c r="AA324" s="1199"/>
      <c r="AB324" s="1199"/>
      <c r="AC324" s="1199"/>
      <c r="AD324" s="1199"/>
      <c r="AE324" s="1199"/>
      <c r="AF324" s="1199"/>
      <c r="AG324" s="547">
        <f t="shared" si="48"/>
        <v>314</v>
      </c>
    </row>
    <row r="325" spans="1:33" outlineLevel="2">
      <c r="A325" s="2489">
        <v>1211</v>
      </c>
      <c r="B325" s="2439" t="s">
        <v>716</v>
      </c>
      <c r="C325" s="2474" t="s">
        <v>717</v>
      </c>
      <c r="D325" s="2490"/>
      <c r="E325" s="2491">
        <f t="shared" si="49"/>
        <v>12</v>
      </c>
      <c r="F325" s="2491">
        <f t="shared" si="51"/>
        <v>43220</v>
      </c>
      <c r="G325" s="2491">
        <v>43231</v>
      </c>
      <c r="H325" s="2492" t="s">
        <v>718</v>
      </c>
      <c r="I325" s="2491" t="s">
        <v>170</v>
      </c>
      <c r="J325" s="2493" t="s">
        <v>719</v>
      </c>
      <c r="K325" s="2494" t="s">
        <v>726</v>
      </c>
      <c r="L325" s="2489">
        <v>23174</v>
      </c>
      <c r="M325" s="2490"/>
      <c r="N325" s="2490"/>
      <c r="O325" s="2382">
        <v>162</v>
      </c>
      <c r="P325" s="2490">
        <v>2</v>
      </c>
      <c r="Q325" s="2382">
        <f t="shared" si="50"/>
        <v>324</v>
      </c>
      <c r="R325" s="2382"/>
      <c r="S325" s="2382"/>
      <c r="T325" s="2382"/>
      <c r="U325" s="2382">
        <v>324</v>
      </c>
      <c r="V325" s="2382"/>
      <c r="W325" s="2382"/>
      <c r="X325" s="2495"/>
      <c r="Y325" s="2496"/>
      <c r="Z325" s="1199"/>
      <c r="AA325" s="1199"/>
      <c r="AB325" s="1199"/>
      <c r="AC325" s="1199"/>
      <c r="AD325" s="1199"/>
      <c r="AE325" s="1199"/>
      <c r="AF325" s="1199"/>
      <c r="AG325" s="547">
        <f t="shared" si="48"/>
        <v>324</v>
      </c>
    </row>
    <row r="326" spans="1:33" outlineLevel="2">
      <c r="A326" s="2489">
        <v>1211</v>
      </c>
      <c r="B326" s="2439" t="s">
        <v>716</v>
      </c>
      <c r="C326" s="2474" t="s">
        <v>717</v>
      </c>
      <c r="D326" s="2490"/>
      <c r="E326" s="2491">
        <f t="shared" si="49"/>
        <v>12</v>
      </c>
      <c r="F326" s="2491">
        <f t="shared" si="51"/>
        <v>43220</v>
      </c>
      <c r="G326" s="2491">
        <v>43231</v>
      </c>
      <c r="H326" s="2492" t="s">
        <v>718</v>
      </c>
      <c r="I326" s="2491" t="s">
        <v>170</v>
      </c>
      <c r="J326" s="2493" t="s">
        <v>719</v>
      </c>
      <c r="K326" s="2494" t="s">
        <v>727</v>
      </c>
      <c r="L326" s="2489">
        <v>23174</v>
      </c>
      <c r="M326" s="2490"/>
      <c r="N326" s="2490"/>
      <c r="O326" s="2382">
        <v>131</v>
      </c>
      <c r="P326" s="2490">
        <v>2</v>
      </c>
      <c r="Q326" s="2382">
        <f t="shared" si="50"/>
        <v>262</v>
      </c>
      <c r="R326" s="2382"/>
      <c r="S326" s="2382"/>
      <c r="T326" s="2382"/>
      <c r="U326" s="2382">
        <v>262</v>
      </c>
      <c r="V326" s="2382"/>
      <c r="W326" s="2382"/>
      <c r="X326" s="2495"/>
      <c r="Y326" s="2496"/>
      <c r="Z326" s="1199"/>
      <c r="AA326" s="1199"/>
      <c r="AB326" s="1199"/>
      <c r="AC326" s="1199"/>
      <c r="AD326" s="1199"/>
      <c r="AE326" s="1199"/>
      <c r="AF326" s="1199"/>
      <c r="AG326" s="547">
        <f t="shared" si="48"/>
        <v>262</v>
      </c>
    </row>
    <row r="327" spans="1:33" outlineLevel="2">
      <c r="A327" s="2489">
        <v>1211</v>
      </c>
      <c r="B327" s="2439" t="s">
        <v>716</v>
      </c>
      <c r="C327" s="2474" t="s">
        <v>717</v>
      </c>
      <c r="D327" s="2490"/>
      <c r="E327" s="2491">
        <f t="shared" si="49"/>
        <v>12</v>
      </c>
      <c r="F327" s="2491">
        <f t="shared" si="51"/>
        <v>43220</v>
      </c>
      <c r="G327" s="2491">
        <v>43231</v>
      </c>
      <c r="H327" s="2492" t="s">
        <v>718</v>
      </c>
      <c r="I327" s="2491" t="s">
        <v>170</v>
      </c>
      <c r="J327" s="2493" t="s">
        <v>719</v>
      </c>
      <c r="K327" s="2565" t="s">
        <v>728</v>
      </c>
      <c r="L327" s="2409">
        <v>23174</v>
      </c>
      <c r="M327" s="2412"/>
      <c r="N327" s="2412"/>
      <c r="O327" s="2299">
        <v>81</v>
      </c>
      <c r="P327" s="2412">
        <v>2</v>
      </c>
      <c r="Q327" s="2299">
        <f t="shared" si="50"/>
        <v>162</v>
      </c>
      <c r="R327" s="2299"/>
      <c r="S327" s="2299"/>
      <c r="T327" s="2299"/>
      <c r="U327" s="2299">
        <v>162</v>
      </c>
      <c r="V327" s="2299"/>
      <c r="W327" s="2299"/>
      <c r="X327" s="2495"/>
      <c r="Y327" s="2496"/>
      <c r="Z327" s="1199"/>
      <c r="AA327" s="1199"/>
      <c r="AB327" s="1199"/>
      <c r="AC327" s="1199"/>
      <c r="AD327" s="1199"/>
      <c r="AE327" s="1199"/>
      <c r="AF327" s="1199"/>
      <c r="AG327" s="547">
        <f t="shared" si="48"/>
        <v>162</v>
      </c>
    </row>
    <row r="328" spans="1:33" outlineLevel="2">
      <c r="A328" s="2409">
        <v>1211</v>
      </c>
      <c r="B328" s="2547" t="s">
        <v>716</v>
      </c>
      <c r="C328" s="2411" t="s">
        <v>717</v>
      </c>
      <c r="D328" s="2412"/>
      <c r="E328" s="2413">
        <f t="shared" si="49"/>
        <v>12</v>
      </c>
      <c r="F328" s="2413">
        <f t="shared" si="51"/>
        <v>43220</v>
      </c>
      <c r="G328" s="2413">
        <v>43231</v>
      </c>
      <c r="H328" s="2414" t="s">
        <v>718</v>
      </c>
      <c r="I328" s="2413" t="s">
        <v>170</v>
      </c>
      <c r="J328" s="2415" t="s">
        <v>719</v>
      </c>
      <c r="K328" s="2416" t="s">
        <v>729</v>
      </c>
      <c r="L328" s="2409">
        <v>23174</v>
      </c>
      <c r="M328" s="2412"/>
      <c r="N328" s="2412"/>
      <c r="O328" s="2299">
        <v>74</v>
      </c>
      <c r="P328" s="2412">
        <v>2</v>
      </c>
      <c r="Q328" s="2299">
        <f t="shared" si="50"/>
        <v>148</v>
      </c>
      <c r="R328" s="2299"/>
      <c r="S328" s="2299"/>
      <c r="T328" s="2299"/>
      <c r="U328" s="2299">
        <v>148</v>
      </c>
      <c r="V328" s="2299"/>
      <c r="W328" s="2299"/>
      <c r="X328" s="2495"/>
      <c r="Y328" s="2496"/>
      <c r="Z328" s="1199"/>
      <c r="AA328" s="1199"/>
      <c r="AB328" s="1199"/>
      <c r="AC328" s="1199"/>
      <c r="AD328" s="1199"/>
      <c r="AE328" s="1199"/>
      <c r="AF328" s="1199"/>
      <c r="AG328" s="547">
        <f t="shared" si="48"/>
        <v>148</v>
      </c>
    </row>
    <row r="329" spans="1:33" outlineLevel="2">
      <c r="A329" s="2409">
        <v>1212</v>
      </c>
      <c r="B329" s="2410" t="s">
        <v>730</v>
      </c>
      <c r="C329" s="2411" t="s">
        <v>731</v>
      </c>
      <c r="D329" s="2412"/>
      <c r="E329" s="2413">
        <f t="shared" si="49"/>
        <v>5</v>
      </c>
      <c r="F329" s="2413">
        <v>43248</v>
      </c>
      <c r="G329" s="2413">
        <f t="shared" ref="G329:G336" si="52">+F329+5-1</f>
        <v>43252</v>
      </c>
      <c r="H329" s="2414" t="s">
        <v>732</v>
      </c>
      <c r="I329" s="2413" t="s">
        <v>170</v>
      </c>
      <c r="J329" s="2415" t="s">
        <v>719</v>
      </c>
      <c r="K329" s="2416" t="s">
        <v>733</v>
      </c>
      <c r="L329" s="2409">
        <v>23174</v>
      </c>
      <c r="M329" s="2412"/>
      <c r="N329" s="2412"/>
      <c r="O329" s="2299">
        <v>101</v>
      </c>
      <c r="P329" s="2412">
        <v>49</v>
      </c>
      <c r="Q329" s="2299">
        <f t="shared" si="50"/>
        <v>4949</v>
      </c>
      <c r="R329" s="2299"/>
      <c r="S329" s="2299"/>
      <c r="T329" s="2299"/>
      <c r="U329" s="2299"/>
      <c r="V329" s="2299">
        <v>4949</v>
      </c>
      <c r="W329" s="2299"/>
      <c r="X329" s="2299"/>
      <c r="Y329" s="2299"/>
      <c r="Z329" s="2284"/>
      <c r="AA329" s="2284"/>
      <c r="AB329" s="2284"/>
      <c r="AC329" s="2284"/>
      <c r="AD329" s="2284"/>
      <c r="AE329" s="2284"/>
      <c r="AF329" s="2284"/>
      <c r="AG329" s="547">
        <f t="shared" si="48"/>
        <v>4949</v>
      </c>
    </row>
    <row r="330" spans="1:33" outlineLevel="2">
      <c r="A330" s="2409">
        <v>1212</v>
      </c>
      <c r="B330" s="2410" t="s">
        <v>730</v>
      </c>
      <c r="C330" s="2411" t="s">
        <v>731</v>
      </c>
      <c r="D330" s="2412"/>
      <c r="E330" s="2413">
        <f t="shared" si="49"/>
        <v>5</v>
      </c>
      <c r="F330" s="2413">
        <v>43248</v>
      </c>
      <c r="G330" s="2413">
        <f t="shared" si="52"/>
        <v>43252</v>
      </c>
      <c r="H330" s="2414" t="s">
        <v>732</v>
      </c>
      <c r="I330" s="2413" t="s">
        <v>170</v>
      </c>
      <c r="J330" s="2415" t="s">
        <v>719</v>
      </c>
      <c r="K330" s="2416" t="s">
        <v>721</v>
      </c>
      <c r="L330" s="2409">
        <v>23174</v>
      </c>
      <c r="M330" s="2412"/>
      <c r="N330" s="2412"/>
      <c r="O330" s="2299">
        <v>100</v>
      </c>
      <c r="P330" s="2412">
        <v>49</v>
      </c>
      <c r="Q330" s="2299">
        <f t="shared" si="50"/>
        <v>4900</v>
      </c>
      <c r="R330" s="2299"/>
      <c r="S330" s="2299"/>
      <c r="T330" s="2299"/>
      <c r="U330" s="2299"/>
      <c r="V330" s="2299">
        <v>4900</v>
      </c>
      <c r="W330" s="2299"/>
      <c r="X330" s="2495"/>
      <c r="Y330" s="2496"/>
      <c r="Z330" s="1199"/>
      <c r="AA330" s="1199"/>
      <c r="AB330" s="1199"/>
      <c r="AC330" s="1199"/>
      <c r="AD330" s="1199"/>
      <c r="AE330" s="1199"/>
      <c r="AF330" s="1199"/>
      <c r="AG330" s="547">
        <f t="shared" si="48"/>
        <v>4900</v>
      </c>
    </row>
    <row r="331" spans="1:33" outlineLevel="2">
      <c r="A331" s="2409">
        <v>1212</v>
      </c>
      <c r="B331" s="2410" t="s">
        <v>730</v>
      </c>
      <c r="C331" s="2411" t="s">
        <v>731</v>
      </c>
      <c r="D331" s="2412"/>
      <c r="E331" s="2413">
        <f t="shared" si="49"/>
        <v>5</v>
      </c>
      <c r="F331" s="2413">
        <v>43248</v>
      </c>
      <c r="G331" s="2413">
        <f t="shared" si="52"/>
        <v>43252</v>
      </c>
      <c r="H331" s="2414" t="s">
        <v>732</v>
      </c>
      <c r="I331" s="2413" t="s">
        <v>170</v>
      </c>
      <c r="J331" s="2415" t="s">
        <v>719</v>
      </c>
      <c r="K331" s="2416" t="s">
        <v>735</v>
      </c>
      <c r="L331" s="2409">
        <v>23174</v>
      </c>
      <c r="M331" s="2412"/>
      <c r="N331" s="2412"/>
      <c r="O331" s="2299">
        <v>510</v>
      </c>
      <c r="P331" s="2412">
        <v>7</v>
      </c>
      <c r="Q331" s="2299">
        <f t="shared" si="50"/>
        <v>3570</v>
      </c>
      <c r="R331" s="2299"/>
      <c r="S331" s="2299"/>
      <c r="T331" s="2299"/>
      <c r="U331" s="2299"/>
      <c r="V331" s="2299">
        <v>3570</v>
      </c>
      <c r="W331" s="2299"/>
      <c r="X331" s="2495"/>
      <c r="Y331" s="2496"/>
      <c r="Z331" s="1199"/>
      <c r="AA331" s="1199"/>
      <c r="AB331" s="1199"/>
      <c r="AC331" s="1199"/>
      <c r="AD331" s="1199"/>
      <c r="AE331" s="1199"/>
      <c r="AF331" s="1199"/>
      <c r="AG331" s="547">
        <f t="shared" si="48"/>
        <v>3570</v>
      </c>
    </row>
    <row r="332" spans="1:33" outlineLevel="2">
      <c r="A332" s="2409">
        <v>1212</v>
      </c>
      <c r="B332" s="2410" t="s">
        <v>730</v>
      </c>
      <c r="C332" s="2411" t="s">
        <v>731</v>
      </c>
      <c r="D332" s="2412"/>
      <c r="E332" s="2413">
        <f t="shared" si="49"/>
        <v>5</v>
      </c>
      <c r="F332" s="2413">
        <v>43248</v>
      </c>
      <c r="G332" s="2413">
        <f t="shared" si="52"/>
        <v>43252</v>
      </c>
      <c r="H332" s="2414" t="s">
        <v>732</v>
      </c>
      <c r="I332" s="2413" t="s">
        <v>170</v>
      </c>
      <c r="J332" s="2415" t="s">
        <v>719</v>
      </c>
      <c r="K332" s="2416" t="s">
        <v>725</v>
      </c>
      <c r="L332" s="2409">
        <v>23174</v>
      </c>
      <c r="M332" s="2412"/>
      <c r="N332" s="2412"/>
      <c r="O332" s="2299">
        <v>101</v>
      </c>
      <c r="P332" s="2412">
        <v>14</v>
      </c>
      <c r="Q332" s="2299">
        <f t="shared" si="50"/>
        <v>1414</v>
      </c>
      <c r="R332" s="2299"/>
      <c r="S332" s="2299"/>
      <c r="T332" s="2299"/>
      <c r="U332" s="2299"/>
      <c r="V332" s="2299">
        <v>1414</v>
      </c>
      <c r="W332" s="2299"/>
      <c r="X332" s="2495"/>
      <c r="Y332" s="2496"/>
      <c r="Z332" s="1199"/>
      <c r="AA332" s="1199"/>
      <c r="AB332" s="1199"/>
      <c r="AC332" s="1199"/>
      <c r="AD332" s="1199"/>
      <c r="AE332" s="1199"/>
      <c r="AF332" s="1199"/>
      <c r="AG332" s="547">
        <f t="shared" si="48"/>
        <v>1414</v>
      </c>
    </row>
    <row r="333" spans="1:33" outlineLevel="2">
      <c r="A333" s="2409">
        <v>1212</v>
      </c>
      <c r="B333" s="2410" t="s">
        <v>730</v>
      </c>
      <c r="C333" s="2411" t="s">
        <v>731</v>
      </c>
      <c r="D333" s="2412"/>
      <c r="E333" s="2413">
        <f t="shared" si="49"/>
        <v>5</v>
      </c>
      <c r="F333" s="2413">
        <v>43248</v>
      </c>
      <c r="G333" s="2413">
        <f t="shared" si="52"/>
        <v>43252</v>
      </c>
      <c r="H333" s="2414" t="s">
        <v>732</v>
      </c>
      <c r="I333" s="2413" t="s">
        <v>170</v>
      </c>
      <c r="J333" s="2415" t="s">
        <v>719</v>
      </c>
      <c r="K333" s="2416" t="s">
        <v>726</v>
      </c>
      <c r="L333" s="2409">
        <v>23174</v>
      </c>
      <c r="M333" s="2412"/>
      <c r="N333" s="2412"/>
      <c r="O333" s="2299">
        <v>100</v>
      </c>
      <c r="P333" s="2412">
        <v>14</v>
      </c>
      <c r="Q333" s="2299">
        <f t="shared" si="50"/>
        <v>1400</v>
      </c>
      <c r="R333" s="2299"/>
      <c r="S333" s="2299"/>
      <c r="T333" s="2299"/>
      <c r="U333" s="2299"/>
      <c r="V333" s="2299">
        <v>1400</v>
      </c>
      <c r="W333" s="2299"/>
      <c r="X333" s="2495"/>
      <c r="Y333" s="2496"/>
      <c r="Z333" s="1199"/>
      <c r="AA333" s="1199"/>
      <c r="AB333" s="1199"/>
      <c r="AC333" s="1199"/>
      <c r="AD333" s="1199"/>
      <c r="AE333" s="1199"/>
      <c r="AF333" s="1199"/>
      <c r="AG333" s="547">
        <f t="shared" si="48"/>
        <v>1400</v>
      </c>
    </row>
    <row r="334" spans="1:33" outlineLevel="2">
      <c r="A334" s="2409">
        <v>1212</v>
      </c>
      <c r="B334" s="2410" t="s">
        <v>730</v>
      </c>
      <c r="C334" s="2411" t="s">
        <v>731</v>
      </c>
      <c r="D334" s="2412"/>
      <c r="E334" s="2413">
        <f t="shared" si="49"/>
        <v>5</v>
      </c>
      <c r="F334" s="2413">
        <v>43248</v>
      </c>
      <c r="G334" s="2413">
        <f t="shared" si="52"/>
        <v>43252</v>
      </c>
      <c r="H334" s="2414" t="s">
        <v>732</v>
      </c>
      <c r="I334" s="2413" t="s">
        <v>170</v>
      </c>
      <c r="J334" s="2415" t="s">
        <v>719</v>
      </c>
      <c r="K334" s="2416" t="s">
        <v>727</v>
      </c>
      <c r="L334" s="2409">
        <v>23174</v>
      </c>
      <c r="M334" s="2412"/>
      <c r="N334" s="2412"/>
      <c r="O334" s="2299">
        <v>84</v>
      </c>
      <c r="P334" s="2412">
        <v>14</v>
      </c>
      <c r="Q334" s="2299">
        <f t="shared" si="50"/>
        <v>1176</v>
      </c>
      <c r="R334" s="2299"/>
      <c r="S334" s="2299"/>
      <c r="T334" s="2299"/>
      <c r="U334" s="2299"/>
      <c r="V334" s="2299">
        <v>1176</v>
      </c>
      <c r="W334" s="2299"/>
      <c r="X334" s="2495"/>
      <c r="Y334" s="2496"/>
      <c r="Z334" s="1199"/>
      <c r="AA334" s="1199"/>
      <c r="AB334" s="1199"/>
      <c r="AC334" s="1199"/>
      <c r="AD334" s="1199"/>
      <c r="AE334" s="1199"/>
      <c r="AF334" s="1199"/>
      <c r="AG334" s="547">
        <f t="shared" si="48"/>
        <v>1176</v>
      </c>
    </row>
    <row r="335" spans="1:33" outlineLevel="2">
      <c r="A335" s="2409">
        <v>1212</v>
      </c>
      <c r="B335" s="2410" t="s">
        <v>730</v>
      </c>
      <c r="C335" s="2411" t="s">
        <v>731</v>
      </c>
      <c r="D335" s="2412"/>
      <c r="E335" s="2413">
        <f t="shared" si="49"/>
        <v>5</v>
      </c>
      <c r="F335" s="2413">
        <v>43248</v>
      </c>
      <c r="G335" s="2413">
        <f t="shared" si="52"/>
        <v>43252</v>
      </c>
      <c r="H335" s="2414" t="s">
        <v>732</v>
      </c>
      <c r="I335" s="2413" t="s">
        <v>170</v>
      </c>
      <c r="J335" s="2415" t="s">
        <v>719</v>
      </c>
      <c r="K335" s="2416" t="s">
        <v>736</v>
      </c>
      <c r="L335" s="2409">
        <v>23174</v>
      </c>
      <c r="M335" s="2412"/>
      <c r="N335" s="2412"/>
      <c r="O335" s="2299">
        <v>50</v>
      </c>
      <c r="P335" s="2412">
        <v>14</v>
      </c>
      <c r="Q335" s="2299">
        <f t="shared" si="50"/>
        <v>700</v>
      </c>
      <c r="R335" s="2299"/>
      <c r="S335" s="2299"/>
      <c r="T335" s="2299"/>
      <c r="U335" s="2299"/>
      <c r="V335" s="2299">
        <v>700</v>
      </c>
      <c r="W335" s="2299"/>
      <c r="X335" s="2495"/>
      <c r="Y335" s="2496"/>
      <c r="Z335" s="1199"/>
      <c r="AA335" s="1199"/>
      <c r="AB335" s="1199"/>
      <c r="AC335" s="1199"/>
      <c r="AD335" s="1199"/>
      <c r="AE335" s="1199"/>
      <c r="AF335" s="1199"/>
      <c r="AG335" s="547">
        <f t="shared" si="48"/>
        <v>700</v>
      </c>
    </row>
    <row r="336" spans="1:33" outlineLevel="2">
      <c r="A336" s="2409">
        <v>1212</v>
      </c>
      <c r="B336" s="2410" t="s">
        <v>730</v>
      </c>
      <c r="C336" s="2411" t="s">
        <v>731</v>
      </c>
      <c r="D336" s="2412"/>
      <c r="E336" s="2413">
        <f t="shared" si="49"/>
        <v>5</v>
      </c>
      <c r="F336" s="2413">
        <v>43248</v>
      </c>
      <c r="G336" s="2413">
        <f t="shared" si="52"/>
        <v>43252</v>
      </c>
      <c r="H336" s="2414" t="s">
        <v>732</v>
      </c>
      <c r="I336" s="2413" t="s">
        <v>170</v>
      </c>
      <c r="J336" s="2415" t="s">
        <v>719</v>
      </c>
      <c r="K336" s="2416" t="s">
        <v>737</v>
      </c>
      <c r="L336" s="2409">
        <v>23174</v>
      </c>
      <c r="M336" s="2412"/>
      <c r="N336" s="2412"/>
      <c r="O336" s="2299">
        <v>510</v>
      </c>
      <c r="P336" s="2412">
        <v>14</v>
      </c>
      <c r="Q336" s="2299">
        <f t="shared" si="50"/>
        <v>7140</v>
      </c>
      <c r="R336" s="2299"/>
      <c r="S336" s="2299"/>
      <c r="T336" s="2299"/>
      <c r="U336" s="2299"/>
      <c r="V336" s="2299">
        <v>7140</v>
      </c>
      <c r="W336" s="2299"/>
      <c r="X336" s="2495"/>
      <c r="Y336" s="2496"/>
      <c r="Z336" s="1199"/>
      <c r="AA336" s="1199"/>
      <c r="AB336" s="1199"/>
      <c r="AC336" s="1199"/>
      <c r="AD336" s="1199"/>
      <c r="AE336" s="1199"/>
      <c r="AF336" s="1199"/>
      <c r="AG336" s="547">
        <f t="shared" si="48"/>
        <v>7140</v>
      </c>
    </row>
    <row r="337" spans="1:33" ht="47.25" outlineLevel="2">
      <c r="A337" s="2409">
        <v>1213</v>
      </c>
      <c r="B337" s="2410" t="s">
        <v>738</v>
      </c>
      <c r="C337" s="2411" t="s">
        <v>739</v>
      </c>
      <c r="D337" s="2412"/>
      <c r="E337" s="2413">
        <f t="shared" si="49"/>
        <v>26</v>
      </c>
      <c r="F337" s="2413">
        <v>43262</v>
      </c>
      <c r="G337" s="2413">
        <v>43287</v>
      </c>
      <c r="H337" s="2414"/>
      <c r="I337" s="2413" t="s">
        <v>170</v>
      </c>
      <c r="J337" s="2415" t="s">
        <v>719</v>
      </c>
      <c r="K337" s="2565" t="s">
        <v>740</v>
      </c>
      <c r="L337" s="2409">
        <v>23174</v>
      </c>
      <c r="M337" s="2412"/>
      <c r="N337" s="2412"/>
      <c r="O337" s="2299">
        <v>214</v>
      </c>
      <c r="P337" s="2412">
        <v>28</v>
      </c>
      <c r="Q337" s="2299">
        <f t="shared" si="50"/>
        <v>5992</v>
      </c>
      <c r="R337" s="2299"/>
      <c r="S337" s="2299"/>
      <c r="T337" s="2299"/>
      <c r="U337" s="2299"/>
      <c r="V337" s="2299"/>
      <c r="W337" s="2299">
        <v>5992</v>
      </c>
      <c r="X337" s="2495"/>
      <c r="Y337" s="2496"/>
      <c r="Z337" s="1199"/>
      <c r="AA337" s="1199"/>
      <c r="AB337" s="1199"/>
      <c r="AC337" s="1199"/>
      <c r="AD337" s="1199"/>
      <c r="AE337" s="1199"/>
      <c r="AF337" s="1199"/>
      <c r="AG337" s="547">
        <f t="shared" si="48"/>
        <v>5992</v>
      </c>
    </row>
    <row r="338" spans="1:33" ht="47.25" outlineLevel="2">
      <c r="A338" s="2409">
        <v>1213</v>
      </c>
      <c r="B338" s="2410" t="s">
        <v>738</v>
      </c>
      <c r="C338" s="2411" t="s">
        <v>739</v>
      </c>
      <c r="D338" s="2412"/>
      <c r="E338" s="2413">
        <f t="shared" si="49"/>
        <v>26</v>
      </c>
      <c r="F338" s="2413">
        <v>43262</v>
      </c>
      <c r="G338" s="2413">
        <v>43287</v>
      </c>
      <c r="H338" s="2414"/>
      <c r="I338" s="2413" t="s">
        <v>170</v>
      </c>
      <c r="J338" s="2415" t="s">
        <v>719</v>
      </c>
      <c r="K338" s="2416" t="s">
        <v>741</v>
      </c>
      <c r="L338" s="2409">
        <v>23174</v>
      </c>
      <c r="M338" s="2412"/>
      <c r="N338" s="2412"/>
      <c r="O338" s="2299">
        <v>225</v>
      </c>
      <c r="P338" s="2412">
        <v>28</v>
      </c>
      <c r="Q338" s="2299">
        <f t="shared" si="50"/>
        <v>6300</v>
      </c>
      <c r="R338" s="2299"/>
      <c r="S338" s="2299"/>
      <c r="T338" s="2299"/>
      <c r="U338" s="2299"/>
      <c r="V338" s="2299"/>
      <c r="W338" s="2299">
        <v>6300</v>
      </c>
      <c r="X338" s="2495"/>
      <c r="Y338" s="2496"/>
      <c r="Z338" s="1199"/>
      <c r="AA338" s="1199"/>
      <c r="AB338" s="1199"/>
      <c r="AC338" s="1199"/>
      <c r="AD338" s="2284"/>
      <c r="AE338" s="1199"/>
      <c r="AF338" s="1199"/>
      <c r="AG338" s="547">
        <f t="shared" si="48"/>
        <v>6300</v>
      </c>
    </row>
    <row r="339" spans="1:33" ht="47.25" outlineLevel="2">
      <c r="A339" s="2409">
        <v>1213</v>
      </c>
      <c r="B339" s="2410" t="s">
        <v>738</v>
      </c>
      <c r="C339" s="2411" t="s">
        <v>739</v>
      </c>
      <c r="D339" s="2412"/>
      <c r="E339" s="2413">
        <f t="shared" si="49"/>
        <v>26</v>
      </c>
      <c r="F339" s="2413">
        <v>43262</v>
      </c>
      <c r="G339" s="2413">
        <v>43287</v>
      </c>
      <c r="H339" s="2414"/>
      <c r="I339" s="2413" t="s">
        <v>170</v>
      </c>
      <c r="J339" s="2415" t="s">
        <v>719</v>
      </c>
      <c r="K339" s="2416" t="s">
        <v>742</v>
      </c>
      <c r="L339" s="2409">
        <v>23174</v>
      </c>
      <c r="M339" s="2412"/>
      <c r="N339" s="2412"/>
      <c r="O339" s="2299">
        <v>38</v>
      </c>
      <c r="P339" s="2412">
        <v>28</v>
      </c>
      <c r="Q339" s="2299">
        <f t="shared" si="50"/>
        <v>1064</v>
      </c>
      <c r="R339" s="2299"/>
      <c r="S339" s="2299"/>
      <c r="T339" s="2299"/>
      <c r="U339" s="2299"/>
      <c r="V339" s="2299"/>
      <c r="W339" s="2299">
        <v>1064</v>
      </c>
      <c r="X339" s="2495"/>
      <c r="Y339" s="2496"/>
      <c r="Z339" s="1199"/>
      <c r="AA339" s="1199"/>
      <c r="AB339" s="1199"/>
      <c r="AC339" s="1199"/>
      <c r="AD339" s="2284"/>
      <c r="AE339" s="1199"/>
      <c r="AF339" s="1199"/>
      <c r="AG339" s="547">
        <f t="shared" si="48"/>
        <v>1064</v>
      </c>
    </row>
    <row r="340" spans="1:33" ht="47.25" outlineLevel="2">
      <c r="A340" s="2409">
        <v>1213</v>
      </c>
      <c r="B340" s="2410" t="s">
        <v>738</v>
      </c>
      <c r="C340" s="2411" t="s">
        <v>739</v>
      </c>
      <c r="D340" s="2412"/>
      <c r="E340" s="2413">
        <f t="shared" si="49"/>
        <v>26</v>
      </c>
      <c r="F340" s="2413">
        <v>43262</v>
      </c>
      <c r="G340" s="2413">
        <v>43287</v>
      </c>
      <c r="H340" s="2414"/>
      <c r="I340" s="2413" t="s">
        <v>170</v>
      </c>
      <c r="J340" s="2415" t="s">
        <v>719</v>
      </c>
      <c r="K340" s="2565" t="s">
        <v>743</v>
      </c>
      <c r="L340" s="2409">
        <v>23174</v>
      </c>
      <c r="M340" s="2412"/>
      <c r="N340" s="2412"/>
      <c r="O340" s="2299">
        <f>+O337</f>
        <v>214</v>
      </c>
      <c r="P340" s="2412">
        <v>2</v>
      </c>
      <c r="Q340" s="2299">
        <f t="shared" si="50"/>
        <v>428</v>
      </c>
      <c r="R340" s="2299"/>
      <c r="S340" s="2299"/>
      <c r="T340" s="2299"/>
      <c r="U340" s="2299"/>
      <c r="V340" s="2299"/>
      <c r="W340" s="2299">
        <v>428</v>
      </c>
      <c r="X340" s="2495"/>
      <c r="Y340" s="2496"/>
      <c r="Z340" s="1199"/>
      <c r="AA340" s="1199"/>
      <c r="AB340" s="1199"/>
      <c r="AC340" s="1199"/>
      <c r="AD340" s="2284"/>
      <c r="AE340" s="1199"/>
      <c r="AF340" s="1199"/>
      <c r="AG340" s="547">
        <f t="shared" si="48"/>
        <v>428</v>
      </c>
    </row>
    <row r="341" spans="1:33" ht="47.25" outlineLevel="2">
      <c r="A341" s="2409">
        <v>1213</v>
      </c>
      <c r="B341" s="2410" t="s">
        <v>738</v>
      </c>
      <c r="C341" s="2411" t="s">
        <v>739</v>
      </c>
      <c r="D341" s="2412"/>
      <c r="E341" s="2413">
        <f t="shared" si="49"/>
        <v>26</v>
      </c>
      <c r="F341" s="2413">
        <v>43262</v>
      </c>
      <c r="G341" s="2413">
        <v>43287</v>
      </c>
      <c r="H341" s="2414"/>
      <c r="I341" s="2413" t="s">
        <v>170</v>
      </c>
      <c r="J341" s="2415" t="s">
        <v>719</v>
      </c>
      <c r="K341" s="2416" t="s">
        <v>744</v>
      </c>
      <c r="L341" s="2409">
        <v>23174</v>
      </c>
      <c r="M341" s="2412"/>
      <c r="N341" s="2412"/>
      <c r="O341" s="2299">
        <f>+O338</f>
        <v>225</v>
      </c>
      <c r="P341" s="2412">
        <v>2</v>
      </c>
      <c r="Q341" s="2299">
        <f t="shared" si="50"/>
        <v>450</v>
      </c>
      <c r="R341" s="2299"/>
      <c r="S341" s="2299"/>
      <c r="T341" s="2299"/>
      <c r="U341" s="2299"/>
      <c r="V341" s="2299"/>
      <c r="W341" s="2299">
        <v>450</v>
      </c>
      <c r="X341" s="2299"/>
      <c r="Y341" s="2299"/>
      <c r="Z341" s="2284"/>
      <c r="AA341" s="2284"/>
      <c r="AB341" s="2284"/>
      <c r="AC341" s="2284"/>
      <c r="AD341" s="2284"/>
      <c r="AE341" s="2284"/>
      <c r="AF341" s="2284"/>
      <c r="AG341" s="547">
        <f t="shared" si="48"/>
        <v>450</v>
      </c>
    </row>
    <row r="342" spans="1:33" s="1570" customFormat="1" ht="47.25" outlineLevel="2">
      <c r="A342" s="2409">
        <v>1213</v>
      </c>
      <c r="B342" s="2410" t="s">
        <v>738</v>
      </c>
      <c r="C342" s="2411" t="s">
        <v>739</v>
      </c>
      <c r="D342" s="2412"/>
      <c r="E342" s="2413">
        <f t="shared" si="49"/>
        <v>26</v>
      </c>
      <c r="F342" s="2413">
        <v>43262</v>
      </c>
      <c r="G342" s="2413">
        <v>43287</v>
      </c>
      <c r="H342" s="2414"/>
      <c r="I342" s="2413" t="s">
        <v>170</v>
      </c>
      <c r="J342" s="2415" t="s">
        <v>719</v>
      </c>
      <c r="K342" s="2416" t="s">
        <v>745</v>
      </c>
      <c r="L342" s="2409">
        <v>23174</v>
      </c>
      <c r="M342" s="2412"/>
      <c r="N342" s="2412"/>
      <c r="O342" s="2299">
        <v>255</v>
      </c>
      <c r="P342" s="2412">
        <v>2</v>
      </c>
      <c r="Q342" s="2299">
        <f t="shared" si="50"/>
        <v>510</v>
      </c>
      <c r="R342" s="2299"/>
      <c r="S342" s="2299"/>
      <c r="T342" s="2299"/>
      <c r="U342" s="2299"/>
      <c r="V342" s="2299"/>
      <c r="W342" s="2299">
        <v>510</v>
      </c>
      <c r="X342" s="2495"/>
      <c r="Y342" s="2496"/>
      <c r="Z342" s="1199"/>
      <c r="AA342" s="1199"/>
      <c r="AB342" s="1199"/>
      <c r="AC342" s="1199"/>
      <c r="AD342" s="1199"/>
      <c r="AE342" s="1199"/>
      <c r="AF342" s="1199"/>
      <c r="AG342" s="547">
        <f t="shared" si="48"/>
        <v>510</v>
      </c>
    </row>
    <row r="343" spans="1:33" ht="47.25" outlineLevel="2">
      <c r="A343" s="2409">
        <v>1213</v>
      </c>
      <c r="B343" s="2410" t="s">
        <v>738</v>
      </c>
      <c r="C343" s="2411" t="s">
        <v>739</v>
      </c>
      <c r="D343" s="2412"/>
      <c r="E343" s="2413">
        <f t="shared" si="49"/>
        <v>26</v>
      </c>
      <c r="F343" s="2413">
        <v>43262</v>
      </c>
      <c r="G343" s="2413">
        <v>43287</v>
      </c>
      <c r="H343" s="2414"/>
      <c r="I343" s="2413" t="s">
        <v>170</v>
      </c>
      <c r="J343" s="2415" t="s">
        <v>719</v>
      </c>
      <c r="K343" s="2416" t="s">
        <v>727</v>
      </c>
      <c r="L343" s="2409">
        <v>23174</v>
      </c>
      <c r="M343" s="2412"/>
      <c r="N343" s="2412"/>
      <c r="O343" s="2299">
        <v>178</v>
      </c>
      <c r="P343" s="2412">
        <v>2</v>
      </c>
      <c r="Q343" s="2299">
        <f t="shared" si="50"/>
        <v>356</v>
      </c>
      <c r="R343" s="2299"/>
      <c r="S343" s="2299"/>
      <c r="T343" s="2299"/>
      <c r="U343" s="2299"/>
      <c r="V343" s="2299"/>
      <c r="W343" s="2299">
        <v>356</v>
      </c>
      <c r="X343" s="2495"/>
      <c r="Y343" s="2496"/>
      <c r="Z343" s="1199"/>
      <c r="AA343" s="1199"/>
      <c r="AB343" s="1199"/>
      <c r="AC343" s="1199"/>
      <c r="AD343" s="1199"/>
      <c r="AE343" s="1199"/>
      <c r="AF343" s="1199"/>
      <c r="AG343" s="547">
        <f t="shared" si="48"/>
        <v>356</v>
      </c>
    </row>
    <row r="344" spans="1:33" ht="47.25" outlineLevel="2">
      <c r="A344" s="2409">
        <v>1213</v>
      </c>
      <c r="B344" s="2566" t="s">
        <v>738</v>
      </c>
      <c r="C344" s="2411" t="s">
        <v>739</v>
      </c>
      <c r="D344" s="2412"/>
      <c r="E344" s="2413">
        <f t="shared" si="49"/>
        <v>26</v>
      </c>
      <c r="F344" s="2413">
        <v>43262</v>
      </c>
      <c r="G344" s="2413">
        <v>43287</v>
      </c>
      <c r="H344" s="2414"/>
      <c r="I344" s="2413" t="s">
        <v>170</v>
      </c>
      <c r="J344" s="2415" t="s">
        <v>719</v>
      </c>
      <c r="K344" s="2416" t="s">
        <v>736</v>
      </c>
      <c r="L344" s="2409">
        <v>23174</v>
      </c>
      <c r="M344" s="2412"/>
      <c r="N344" s="2412"/>
      <c r="O344" s="2299">
        <v>112</v>
      </c>
      <c r="P344" s="2412">
        <v>2</v>
      </c>
      <c r="Q344" s="2299">
        <f t="shared" si="50"/>
        <v>224</v>
      </c>
      <c r="R344" s="2299"/>
      <c r="S344" s="2299"/>
      <c r="T344" s="2299"/>
      <c r="U344" s="2299"/>
      <c r="V344" s="2299"/>
      <c r="W344" s="2299">
        <v>224</v>
      </c>
      <c r="X344" s="2495"/>
      <c r="Y344" s="2496"/>
      <c r="Z344" s="1199"/>
      <c r="AA344" s="1199"/>
      <c r="AB344" s="1199"/>
      <c r="AC344" s="1199"/>
      <c r="AD344" s="1199"/>
      <c r="AE344" s="1199"/>
      <c r="AF344" s="1199"/>
      <c r="AG344" s="547">
        <f t="shared" si="48"/>
        <v>224</v>
      </c>
    </row>
    <row r="345" spans="1:33" ht="47.25" outlineLevel="2">
      <c r="A345" s="2409">
        <v>1213</v>
      </c>
      <c r="B345" s="2410" t="s">
        <v>738</v>
      </c>
      <c r="C345" s="2411" t="s">
        <v>739</v>
      </c>
      <c r="D345" s="2412"/>
      <c r="E345" s="2413">
        <f t="shared" si="49"/>
        <v>26</v>
      </c>
      <c r="F345" s="2413">
        <v>43262</v>
      </c>
      <c r="G345" s="2413">
        <v>43287</v>
      </c>
      <c r="H345" s="2414"/>
      <c r="I345" s="2413" t="s">
        <v>170</v>
      </c>
      <c r="J345" s="2415" t="s">
        <v>719</v>
      </c>
      <c r="K345" s="2416" t="s">
        <v>723</v>
      </c>
      <c r="L345" s="2409">
        <v>23174</v>
      </c>
      <c r="M345" s="2412"/>
      <c r="N345" s="2412"/>
      <c r="O345" s="2299">
        <v>281</v>
      </c>
      <c r="P345" s="2412">
        <v>2</v>
      </c>
      <c r="Q345" s="2299">
        <f t="shared" si="50"/>
        <v>562</v>
      </c>
      <c r="R345" s="2299"/>
      <c r="S345" s="2299"/>
      <c r="T345" s="2299"/>
      <c r="U345" s="2299"/>
      <c r="V345" s="2299"/>
      <c r="W345" s="2299">
        <v>562</v>
      </c>
      <c r="X345" s="2495"/>
      <c r="Y345" s="2496"/>
      <c r="Z345" s="1199"/>
      <c r="AA345" s="1199"/>
      <c r="AB345" s="1199"/>
      <c r="AC345" s="1199"/>
      <c r="AD345" s="1199"/>
      <c r="AE345" s="1199"/>
      <c r="AF345" s="1199"/>
      <c r="AG345" s="547">
        <f t="shared" si="48"/>
        <v>562</v>
      </c>
    </row>
    <row r="346" spans="1:33" outlineLevel="2">
      <c r="A346" s="2409">
        <v>1215</v>
      </c>
      <c r="B346" s="2566" t="s">
        <v>749</v>
      </c>
      <c r="C346" s="2411" t="s">
        <v>750</v>
      </c>
      <c r="D346" s="2412"/>
      <c r="E346" s="2413">
        <f t="shared" si="49"/>
        <v>6</v>
      </c>
      <c r="F346" s="2413">
        <v>43318</v>
      </c>
      <c r="G346" s="2413">
        <f t="shared" ref="G346:G352" si="53">F346+6-1</f>
        <v>43323</v>
      </c>
      <c r="H346" s="2414"/>
      <c r="I346" s="2413" t="s">
        <v>170</v>
      </c>
      <c r="J346" s="2415"/>
      <c r="K346" s="2416" t="s">
        <v>751</v>
      </c>
      <c r="L346" s="2409">
        <v>23174</v>
      </c>
      <c r="M346" s="2412"/>
      <c r="N346" s="2412"/>
      <c r="O346" s="2299">
        <v>67</v>
      </c>
      <c r="P346" s="2412">
        <v>26</v>
      </c>
      <c r="Q346" s="2299">
        <f t="shared" si="50"/>
        <v>1742</v>
      </c>
      <c r="R346" s="2299"/>
      <c r="S346" s="2299"/>
      <c r="T346" s="2299"/>
      <c r="U346" s="2299"/>
      <c r="V346" s="2299"/>
      <c r="W346" s="2299"/>
      <c r="X346" s="2495">
        <v>1742</v>
      </c>
      <c r="Y346" s="2496"/>
      <c r="Z346" s="1199"/>
      <c r="AA346" s="1199"/>
      <c r="AB346" s="1199"/>
      <c r="AC346" s="1199"/>
      <c r="AD346" s="1199"/>
      <c r="AE346" s="1199"/>
      <c r="AF346" s="1199"/>
      <c r="AG346" s="547">
        <f t="shared" si="48"/>
        <v>1742</v>
      </c>
    </row>
    <row r="347" spans="1:33" outlineLevel="2">
      <c r="A347" s="2409">
        <v>1215</v>
      </c>
      <c r="B347" s="2410" t="s">
        <v>749</v>
      </c>
      <c r="C347" s="2411" t="s">
        <v>750</v>
      </c>
      <c r="D347" s="2567"/>
      <c r="E347" s="2413">
        <f t="shared" si="49"/>
        <v>6</v>
      </c>
      <c r="F347" s="2413">
        <v>43318</v>
      </c>
      <c r="G347" s="2413">
        <f t="shared" si="53"/>
        <v>43323</v>
      </c>
      <c r="H347" s="2414"/>
      <c r="I347" s="2413" t="s">
        <v>170</v>
      </c>
      <c r="J347" s="2415"/>
      <c r="K347" s="2416" t="s">
        <v>752</v>
      </c>
      <c r="L347" s="2409">
        <v>23174</v>
      </c>
      <c r="M347" s="2567"/>
      <c r="N347" s="2567"/>
      <c r="O347" s="2564">
        <v>63</v>
      </c>
      <c r="P347" s="2567">
        <v>26</v>
      </c>
      <c r="Q347" s="2299">
        <f t="shared" si="50"/>
        <v>1638</v>
      </c>
      <c r="R347" s="2564"/>
      <c r="S347" s="2564"/>
      <c r="T347" s="2564"/>
      <c r="U347" s="2299"/>
      <c r="V347" s="2496"/>
      <c r="W347" s="2496"/>
      <c r="X347" s="2496">
        <v>1638</v>
      </c>
      <c r="Y347" s="2496"/>
      <c r="Z347" s="1199"/>
      <c r="AA347" s="1199"/>
      <c r="AB347" s="1199"/>
      <c r="AC347" s="1199"/>
      <c r="AD347" s="1199"/>
      <c r="AE347" s="1199"/>
      <c r="AF347" s="1199"/>
      <c r="AG347" s="547">
        <f t="shared" si="48"/>
        <v>1638</v>
      </c>
    </row>
    <row r="348" spans="1:33" outlineLevel="2">
      <c r="A348" s="2409">
        <v>1215</v>
      </c>
      <c r="B348" s="2410" t="s">
        <v>749</v>
      </c>
      <c r="C348" s="2411" t="s">
        <v>750</v>
      </c>
      <c r="D348" s="2412"/>
      <c r="E348" s="2413">
        <f t="shared" si="49"/>
        <v>6</v>
      </c>
      <c r="F348" s="2413">
        <v>43318</v>
      </c>
      <c r="G348" s="2413">
        <f t="shared" si="53"/>
        <v>43323</v>
      </c>
      <c r="H348" s="2414"/>
      <c r="I348" s="2413" t="s">
        <v>170</v>
      </c>
      <c r="J348" s="2415"/>
      <c r="K348" s="2416" t="s">
        <v>753</v>
      </c>
      <c r="L348" s="2409">
        <v>23174</v>
      </c>
      <c r="M348" s="2412"/>
      <c r="N348" s="2412"/>
      <c r="O348" s="2299">
        <v>38</v>
      </c>
      <c r="P348" s="2567">
        <v>26</v>
      </c>
      <c r="Q348" s="2299">
        <f t="shared" si="50"/>
        <v>988</v>
      </c>
      <c r="R348" s="2299"/>
      <c r="S348" s="2299"/>
      <c r="T348" s="2299"/>
      <c r="U348" s="2299"/>
      <c r="V348" s="2299"/>
      <c r="W348" s="2299"/>
      <c r="X348" s="2495">
        <v>988</v>
      </c>
      <c r="Y348" s="2496"/>
      <c r="Z348" s="1199"/>
      <c r="AA348" s="1199"/>
      <c r="AB348" s="1199"/>
      <c r="AC348" s="1199"/>
      <c r="AD348" s="1199"/>
      <c r="AE348" s="1199"/>
      <c r="AF348" s="1199"/>
      <c r="AG348" s="547">
        <f t="shared" si="48"/>
        <v>988</v>
      </c>
    </row>
    <row r="349" spans="1:33" outlineLevel="2">
      <c r="A349" s="2409">
        <v>1215</v>
      </c>
      <c r="B349" s="2410" t="s">
        <v>749</v>
      </c>
      <c r="C349" s="2411" t="s">
        <v>750</v>
      </c>
      <c r="D349" s="2412"/>
      <c r="E349" s="2413">
        <f t="shared" si="49"/>
        <v>6</v>
      </c>
      <c r="F349" s="2413">
        <v>43318</v>
      </c>
      <c r="G349" s="2413">
        <f t="shared" si="53"/>
        <v>43323</v>
      </c>
      <c r="H349" s="2414"/>
      <c r="I349" s="2413" t="s">
        <v>170</v>
      </c>
      <c r="J349" s="2415"/>
      <c r="K349" s="2416" t="s">
        <v>743</v>
      </c>
      <c r="L349" s="2409">
        <v>23174</v>
      </c>
      <c r="M349" s="2412"/>
      <c r="N349" s="2412"/>
      <c r="O349" s="2299">
        <v>67</v>
      </c>
      <c r="P349" s="2412">
        <v>2</v>
      </c>
      <c r="Q349" s="2299">
        <f t="shared" si="50"/>
        <v>134</v>
      </c>
      <c r="R349" s="2299"/>
      <c r="S349" s="2299"/>
      <c r="T349" s="2299"/>
      <c r="U349" s="2299"/>
      <c r="V349" s="2299"/>
      <c r="W349" s="2299"/>
      <c r="X349" s="2495">
        <v>134</v>
      </c>
      <c r="Y349" s="2496"/>
      <c r="Z349" s="1199"/>
      <c r="AA349" s="1199"/>
      <c r="AB349" s="1199"/>
      <c r="AC349" s="1199"/>
      <c r="AD349" s="1199"/>
      <c r="AE349" s="1199"/>
      <c r="AF349" s="1199"/>
      <c r="AG349" s="547">
        <f t="shared" si="48"/>
        <v>134</v>
      </c>
    </row>
    <row r="350" spans="1:33" outlineLevel="2">
      <c r="A350" s="2409">
        <v>1215</v>
      </c>
      <c r="B350" s="2410" t="s">
        <v>749</v>
      </c>
      <c r="C350" s="2411" t="s">
        <v>750</v>
      </c>
      <c r="D350" s="2412"/>
      <c r="E350" s="2413">
        <f t="shared" si="49"/>
        <v>6</v>
      </c>
      <c r="F350" s="2413">
        <v>43318</v>
      </c>
      <c r="G350" s="2413">
        <f t="shared" si="53"/>
        <v>43323</v>
      </c>
      <c r="H350" s="2414"/>
      <c r="I350" s="2413" t="s">
        <v>170</v>
      </c>
      <c r="J350" s="2415"/>
      <c r="K350" s="2416" t="s">
        <v>754</v>
      </c>
      <c r="L350" s="2409">
        <v>23174</v>
      </c>
      <c r="M350" s="2412"/>
      <c r="N350" s="2412"/>
      <c r="O350" s="2299">
        <v>63</v>
      </c>
      <c r="P350" s="2412">
        <v>2</v>
      </c>
      <c r="Q350" s="2299">
        <f t="shared" si="50"/>
        <v>126</v>
      </c>
      <c r="R350" s="2299"/>
      <c r="S350" s="2299"/>
      <c r="T350" s="2299"/>
      <c r="U350" s="2299"/>
      <c r="V350" s="2299"/>
      <c r="W350" s="2299"/>
      <c r="X350" s="2495">
        <v>126</v>
      </c>
      <c r="Y350" s="2496"/>
      <c r="Z350" s="1199"/>
      <c r="AA350" s="1199"/>
      <c r="AB350" s="1199"/>
      <c r="AC350" s="1199"/>
      <c r="AD350" s="1199"/>
      <c r="AE350" s="1199"/>
      <c r="AF350" s="1199"/>
      <c r="AG350" s="547">
        <f t="shared" si="48"/>
        <v>126</v>
      </c>
    </row>
    <row r="351" spans="1:33" outlineLevel="2">
      <c r="A351" s="2409">
        <v>1215</v>
      </c>
      <c r="B351" s="2410" t="s">
        <v>749</v>
      </c>
      <c r="C351" s="2411" t="s">
        <v>750</v>
      </c>
      <c r="D351" s="2412"/>
      <c r="E351" s="2413">
        <f t="shared" si="49"/>
        <v>6</v>
      </c>
      <c r="F351" s="2413">
        <v>43318</v>
      </c>
      <c r="G351" s="2413">
        <f t="shared" si="53"/>
        <v>43323</v>
      </c>
      <c r="H351" s="2414"/>
      <c r="I351" s="2413" t="s">
        <v>170</v>
      </c>
      <c r="J351" s="2415"/>
      <c r="K351" s="2416" t="s">
        <v>729</v>
      </c>
      <c r="L351" s="2409">
        <v>23174</v>
      </c>
      <c r="M351" s="2412"/>
      <c r="N351" s="2412"/>
      <c r="O351" s="2299">
        <v>255</v>
      </c>
      <c r="P351" s="2412">
        <v>2</v>
      </c>
      <c r="Q351" s="2299">
        <f t="shared" si="50"/>
        <v>510</v>
      </c>
      <c r="R351" s="2299"/>
      <c r="S351" s="2299"/>
      <c r="T351" s="2299"/>
      <c r="U351" s="2299"/>
      <c r="V351" s="2299"/>
      <c r="W351" s="2299"/>
      <c r="X351" s="2495">
        <v>510</v>
      </c>
      <c r="Y351" s="2496"/>
      <c r="Z351" s="1199"/>
      <c r="AA351" s="1199"/>
      <c r="AB351" s="1199"/>
      <c r="AC351" s="1199"/>
      <c r="AD351" s="1199"/>
      <c r="AE351" s="1199"/>
      <c r="AF351" s="1199"/>
      <c r="AG351" s="547">
        <f t="shared" si="48"/>
        <v>510</v>
      </c>
    </row>
    <row r="352" spans="1:33" outlineLevel="2">
      <c r="A352" s="2409">
        <v>1215</v>
      </c>
      <c r="B352" s="2410" t="s">
        <v>749</v>
      </c>
      <c r="C352" s="2411" t="s">
        <v>750</v>
      </c>
      <c r="D352" s="2412"/>
      <c r="E352" s="2413">
        <f t="shared" si="49"/>
        <v>6</v>
      </c>
      <c r="F352" s="2413">
        <v>43318</v>
      </c>
      <c r="G352" s="2413">
        <f t="shared" si="53"/>
        <v>43323</v>
      </c>
      <c r="H352" s="2414"/>
      <c r="I352" s="2413" t="s">
        <v>170</v>
      </c>
      <c r="J352" s="2415"/>
      <c r="K352" s="2416" t="s">
        <v>723</v>
      </c>
      <c r="L352" s="2409">
        <v>23174</v>
      </c>
      <c r="M352" s="2412"/>
      <c r="N352" s="2412"/>
      <c r="O352" s="2299">
        <v>169</v>
      </c>
      <c r="P352" s="2412">
        <v>2</v>
      </c>
      <c r="Q352" s="2299">
        <f t="shared" si="50"/>
        <v>338</v>
      </c>
      <c r="R352" s="2299"/>
      <c r="S352" s="2299"/>
      <c r="T352" s="2299"/>
      <c r="U352" s="2299"/>
      <c r="V352" s="2299"/>
      <c r="W352" s="2299"/>
      <c r="X352" s="2495">
        <v>338</v>
      </c>
      <c r="Y352" s="2496"/>
      <c r="Z352" s="1199"/>
      <c r="AA352" s="1199"/>
      <c r="AB352" s="1199"/>
      <c r="AC352" s="1199"/>
      <c r="AD352" s="1199"/>
      <c r="AE352" s="1199"/>
      <c r="AF352" s="1199"/>
      <c r="AG352" s="547">
        <f t="shared" si="48"/>
        <v>338</v>
      </c>
    </row>
    <row r="353" spans="1:33" ht="47.25" outlineLevel="2">
      <c r="A353" s="2409">
        <v>1216</v>
      </c>
      <c r="B353" s="2410" t="s">
        <v>756</v>
      </c>
      <c r="C353" s="2411" t="s">
        <v>757</v>
      </c>
      <c r="D353" s="2412"/>
      <c r="E353" s="2413">
        <f t="shared" si="49"/>
        <v>27</v>
      </c>
      <c r="F353" s="2413">
        <v>43332</v>
      </c>
      <c r="G353" s="2413">
        <v>43358</v>
      </c>
      <c r="H353" s="2414"/>
      <c r="I353" s="2413" t="s">
        <v>170</v>
      </c>
      <c r="J353" s="2415"/>
      <c r="K353" s="2416" t="s">
        <v>758</v>
      </c>
      <c r="L353" s="2409">
        <v>23174</v>
      </c>
      <c r="M353" s="2412"/>
      <c r="N353" s="2412"/>
      <c r="O353" s="2299">
        <v>214</v>
      </c>
      <c r="P353" s="2412">
        <v>31</v>
      </c>
      <c r="Q353" s="2299">
        <f t="shared" si="50"/>
        <v>6634</v>
      </c>
      <c r="R353" s="2299"/>
      <c r="S353" s="2299"/>
      <c r="T353" s="2299"/>
      <c r="U353" s="2299"/>
      <c r="V353" s="2299"/>
      <c r="W353" s="2299"/>
      <c r="X353" s="2495"/>
      <c r="Y353" s="2496">
        <v>6634</v>
      </c>
      <c r="Z353" s="1199"/>
      <c r="AA353" s="1199"/>
      <c r="AB353" s="1199"/>
      <c r="AC353" s="1199"/>
      <c r="AD353" s="1199"/>
      <c r="AE353" s="1199"/>
      <c r="AF353" s="1199"/>
      <c r="AG353" s="547">
        <f t="shared" si="48"/>
        <v>6634</v>
      </c>
    </row>
    <row r="354" spans="1:33" ht="47.25" outlineLevel="2">
      <c r="A354" s="2409">
        <v>1216</v>
      </c>
      <c r="B354" s="2410" t="s">
        <v>756</v>
      </c>
      <c r="C354" s="2411" t="s">
        <v>757</v>
      </c>
      <c r="D354" s="2412"/>
      <c r="E354" s="2413">
        <f t="shared" si="49"/>
        <v>27</v>
      </c>
      <c r="F354" s="2413">
        <v>43332</v>
      </c>
      <c r="G354" s="2413">
        <v>43358</v>
      </c>
      <c r="H354" s="2414"/>
      <c r="I354" s="2413" t="s">
        <v>170</v>
      </c>
      <c r="J354" s="2415"/>
      <c r="K354" s="2416" t="s">
        <v>759</v>
      </c>
      <c r="L354" s="2409">
        <v>23174</v>
      </c>
      <c r="M354" s="2412"/>
      <c r="N354" s="2412"/>
      <c r="O354" s="2299">
        <v>225</v>
      </c>
      <c r="P354" s="2412">
        <v>31</v>
      </c>
      <c r="Q354" s="2299">
        <f t="shared" si="50"/>
        <v>6975</v>
      </c>
      <c r="R354" s="2299"/>
      <c r="S354" s="2299"/>
      <c r="T354" s="2299"/>
      <c r="U354" s="2299"/>
      <c r="V354" s="2299"/>
      <c r="W354" s="2299"/>
      <c r="X354" s="2495"/>
      <c r="Y354" s="2496">
        <v>6975</v>
      </c>
      <c r="Z354" s="1199"/>
      <c r="AA354" s="1199"/>
      <c r="AB354" s="1199"/>
      <c r="AC354" s="1199"/>
      <c r="AD354" s="1199"/>
      <c r="AE354" s="1199"/>
      <c r="AF354" s="1199"/>
      <c r="AG354" s="547">
        <f t="shared" si="48"/>
        <v>6975</v>
      </c>
    </row>
    <row r="355" spans="1:33" ht="47.25" outlineLevel="2">
      <c r="A355" s="2409">
        <v>1216</v>
      </c>
      <c r="B355" s="2410" t="s">
        <v>756</v>
      </c>
      <c r="C355" s="2411" t="s">
        <v>757</v>
      </c>
      <c r="D355" s="2412"/>
      <c r="E355" s="2413">
        <f t="shared" si="49"/>
        <v>27</v>
      </c>
      <c r="F355" s="2413">
        <v>43332</v>
      </c>
      <c r="G355" s="2413">
        <v>43358</v>
      </c>
      <c r="H355" s="2414"/>
      <c r="I355" s="2413" t="s">
        <v>170</v>
      </c>
      <c r="J355" s="2415"/>
      <c r="K355" s="2416" t="s">
        <v>760</v>
      </c>
      <c r="L355" s="2409">
        <v>23174</v>
      </c>
      <c r="M355" s="2412"/>
      <c r="N355" s="2412"/>
      <c r="O355" s="2299">
        <v>37</v>
      </c>
      <c r="P355" s="2412">
        <v>31</v>
      </c>
      <c r="Q355" s="2299">
        <f t="shared" si="50"/>
        <v>1147</v>
      </c>
      <c r="R355" s="2299"/>
      <c r="S355" s="2299"/>
      <c r="T355" s="2299"/>
      <c r="U355" s="2299"/>
      <c r="V355" s="2299"/>
      <c r="W355" s="2299"/>
      <c r="X355" s="2495"/>
      <c r="Y355" s="2496">
        <v>1147</v>
      </c>
      <c r="Z355" s="1199"/>
      <c r="AA355" s="1199"/>
      <c r="AB355" s="1199"/>
      <c r="AC355" s="1199"/>
      <c r="AD355" s="1199"/>
      <c r="AE355" s="1199"/>
      <c r="AF355" s="1199"/>
      <c r="AG355" s="547">
        <f t="shared" si="48"/>
        <v>1147</v>
      </c>
    </row>
    <row r="356" spans="1:33" ht="47.25" outlineLevel="2">
      <c r="A356" s="2409">
        <v>1216</v>
      </c>
      <c r="B356" s="2410" t="s">
        <v>756</v>
      </c>
      <c r="C356" s="2411" t="s">
        <v>757</v>
      </c>
      <c r="D356" s="2412"/>
      <c r="E356" s="2413">
        <f t="shared" si="49"/>
        <v>27</v>
      </c>
      <c r="F356" s="2413">
        <v>43332</v>
      </c>
      <c r="G356" s="2413">
        <v>43358</v>
      </c>
      <c r="H356" s="2414"/>
      <c r="I356" s="2413" t="s">
        <v>170</v>
      </c>
      <c r="J356" s="2415"/>
      <c r="K356" s="2416" t="s">
        <v>743</v>
      </c>
      <c r="L356" s="2409">
        <v>23174</v>
      </c>
      <c r="M356" s="2412"/>
      <c r="N356" s="2412"/>
      <c r="O356" s="2299">
        <f>+O353</f>
        <v>214</v>
      </c>
      <c r="P356" s="2412">
        <v>2</v>
      </c>
      <c r="Q356" s="2299">
        <f t="shared" si="50"/>
        <v>428</v>
      </c>
      <c r="R356" s="2299"/>
      <c r="S356" s="2299"/>
      <c r="T356" s="2299"/>
      <c r="U356" s="2299"/>
      <c r="V356" s="2299"/>
      <c r="W356" s="2299"/>
      <c r="X356" s="2495"/>
      <c r="Y356" s="2496">
        <v>428</v>
      </c>
      <c r="Z356" s="1199"/>
      <c r="AA356" s="1199"/>
      <c r="AB356" s="1199"/>
      <c r="AC356" s="1199"/>
      <c r="AD356" s="1199"/>
      <c r="AE356" s="1199"/>
      <c r="AF356" s="1199"/>
      <c r="AG356" s="547">
        <f t="shared" si="48"/>
        <v>428</v>
      </c>
    </row>
    <row r="357" spans="1:33" ht="47.25" outlineLevel="2">
      <c r="A357" s="2409">
        <v>1216</v>
      </c>
      <c r="B357" s="2410" t="s">
        <v>756</v>
      </c>
      <c r="C357" s="2411" t="s">
        <v>757</v>
      </c>
      <c r="D357" s="2412"/>
      <c r="E357" s="2413">
        <f t="shared" si="49"/>
        <v>27</v>
      </c>
      <c r="F357" s="2413">
        <v>43332</v>
      </c>
      <c r="G357" s="2413">
        <v>43358</v>
      </c>
      <c r="H357" s="2414"/>
      <c r="I357" s="2413" t="s">
        <v>170</v>
      </c>
      <c r="J357" s="2415"/>
      <c r="K357" s="2416" t="s">
        <v>744</v>
      </c>
      <c r="L357" s="2409">
        <v>23174</v>
      </c>
      <c r="M357" s="2412"/>
      <c r="N357" s="2412"/>
      <c r="O357" s="2299">
        <f>+O354</f>
        <v>225</v>
      </c>
      <c r="P357" s="2412">
        <v>2</v>
      </c>
      <c r="Q357" s="2299">
        <f t="shared" si="50"/>
        <v>450</v>
      </c>
      <c r="R357" s="2299"/>
      <c r="S357" s="2299"/>
      <c r="T357" s="2299"/>
      <c r="U357" s="2299"/>
      <c r="V357" s="2299"/>
      <c r="W357" s="2299"/>
      <c r="X357" s="2495"/>
      <c r="Y357" s="2496">
        <v>450</v>
      </c>
      <c r="Z357" s="1199"/>
      <c r="AA357" s="1199"/>
      <c r="AB357" s="1199"/>
      <c r="AC357" s="1199"/>
      <c r="AD357" s="1199"/>
      <c r="AE357" s="1199"/>
      <c r="AF357" s="1199"/>
      <c r="AG357" s="547">
        <f t="shared" si="48"/>
        <v>450</v>
      </c>
    </row>
    <row r="358" spans="1:33" ht="47.25" outlineLevel="2">
      <c r="A358" s="2409">
        <v>1216</v>
      </c>
      <c r="B358" s="2568" t="s">
        <v>756</v>
      </c>
      <c r="C358" s="2569" t="s">
        <v>757</v>
      </c>
      <c r="D358" s="2570"/>
      <c r="E358" s="2571">
        <f t="shared" si="49"/>
        <v>27</v>
      </c>
      <c r="F358" s="2571">
        <v>43332</v>
      </c>
      <c r="G358" s="2571">
        <v>43358</v>
      </c>
      <c r="H358" s="2572"/>
      <c r="I358" s="2573" t="s">
        <v>170</v>
      </c>
      <c r="J358" s="2415"/>
      <c r="K358" s="2416" t="s">
        <v>745</v>
      </c>
      <c r="L358" s="2409">
        <v>23174</v>
      </c>
      <c r="M358" s="2412"/>
      <c r="N358" s="2412"/>
      <c r="O358" s="2299">
        <v>255</v>
      </c>
      <c r="P358" s="2412">
        <v>2</v>
      </c>
      <c r="Q358" s="2299">
        <f t="shared" si="50"/>
        <v>510</v>
      </c>
      <c r="R358" s="2299"/>
      <c r="S358" s="2299"/>
      <c r="T358" s="2299"/>
      <c r="U358" s="2299"/>
      <c r="V358" s="2299"/>
      <c r="W358" s="2299"/>
      <c r="X358" s="2299"/>
      <c r="Y358" s="2299">
        <v>510</v>
      </c>
      <c r="Z358" s="2284"/>
      <c r="AA358" s="2284"/>
      <c r="AB358" s="2284"/>
      <c r="AC358" s="2284"/>
      <c r="AD358" s="2284"/>
      <c r="AE358" s="2284"/>
      <c r="AF358" s="2284"/>
      <c r="AG358" s="547">
        <f t="shared" si="48"/>
        <v>510</v>
      </c>
    </row>
    <row r="359" spans="1:33" ht="47.25" outlineLevel="2">
      <c r="A359" s="2409">
        <v>1216</v>
      </c>
      <c r="B359" s="2410" t="s">
        <v>756</v>
      </c>
      <c r="C359" s="2411" t="s">
        <v>757</v>
      </c>
      <c r="D359" s="2412"/>
      <c r="E359" s="2413">
        <f t="shared" si="49"/>
        <v>27</v>
      </c>
      <c r="F359" s="2413">
        <v>43332</v>
      </c>
      <c r="G359" s="2413">
        <v>43358</v>
      </c>
      <c r="H359" s="2414"/>
      <c r="I359" s="2413" t="s">
        <v>170</v>
      </c>
      <c r="J359" s="2415"/>
      <c r="K359" s="2416" t="s">
        <v>727</v>
      </c>
      <c r="L359" s="2409">
        <v>23174</v>
      </c>
      <c r="M359" s="2412"/>
      <c r="N359" s="2412"/>
      <c r="O359" s="2299">
        <v>178</v>
      </c>
      <c r="P359" s="2412">
        <v>2</v>
      </c>
      <c r="Q359" s="2299">
        <f t="shared" si="50"/>
        <v>356</v>
      </c>
      <c r="R359" s="2299"/>
      <c r="S359" s="2299"/>
      <c r="T359" s="2299"/>
      <c r="U359" s="2299"/>
      <c r="V359" s="2564"/>
      <c r="W359" s="2299"/>
      <c r="X359" s="2495"/>
      <c r="Y359" s="2496">
        <v>356</v>
      </c>
      <c r="Z359" s="1199"/>
      <c r="AA359" s="1199"/>
      <c r="AB359" s="1199"/>
      <c r="AC359" s="1199"/>
      <c r="AD359" s="1199"/>
      <c r="AE359" s="1199"/>
      <c r="AF359" s="1199"/>
      <c r="AG359" s="547">
        <f t="shared" si="48"/>
        <v>356</v>
      </c>
    </row>
    <row r="360" spans="1:33" ht="47.25" outlineLevel="2">
      <c r="A360" s="2409">
        <v>1216</v>
      </c>
      <c r="B360" s="2410" t="s">
        <v>756</v>
      </c>
      <c r="C360" s="2411" t="s">
        <v>757</v>
      </c>
      <c r="D360" s="2412"/>
      <c r="E360" s="2413">
        <f t="shared" si="49"/>
        <v>27</v>
      </c>
      <c r="F360" s="2413">
        <v>43332</v>
      </c>
      <c r="G360" s="2413">
        <v>43358</v>
      </c>
      <c r="H360" s="2414"/>
      <c r="I360" s="2413" t="s">
        <v>170</v>
      </c>
      <c r="J360" s="2415"/>
      <c r="K360" s="2416" t="s">
        <v>736</v>
      </c>
      <c r="L360" s="2409">
        <v>23174</v>
      </c>
      <c r="M360" s="2412"/>
      <c r="N360" s="2412"/>
      <c r="O360" s="2299">
        <v>112</v>
      </c>
      <c r="P360" s="2412">
        <v>2</v>
      </c>
      <c r="Q360" s="2299">
        <f t="shared" si="50"/>
        <v>224</v>
      </c>
      <c r="R360" s="2299"/>
      <c r="S360" s="2299"/>
      <c r="T360" s="2299"/>
      <c r="U360" s="2299"/>
      <c r="V360" s="2299"/>
      <c r="W360" s="2299"/>
      <c r="X360" s="2495"/>
      <c r="Y360" s="2496">
        <v>224</v>
      </c>
      <c r="Z360" s="1199"/>
      <c r="AA360" s="1199"/>
      <c r="AB360" s="1199"/>
      <c r="AC360" s="1199"/>
      <c r="AD360" s="1199"/>
      <c r="AE360" s="1199"/>
      <c r="AF360" s="1199"/>
      <c r="AG360" s="547">
        <f t="shared" si="48"/>
        <v>224</v>
      </c>
    </row>
    <row r="361" spans="1:33" ht="47.25" outlineLevel="2">
      <c r="A361" s="2409">
        <v>1216</v>
      </c>
      <c r="B361" s="2410" t="s">
        <v>756</v>
      </c>
      <c r="C361" s="2411" t="s">
        <v>757</v>
      </c>
      <c r="D361" s="2412"/>
      <c r="E361" s="2413">
        <f t="shared" si="49"/>
        <v>27</v>
      </c>
      <c r="F361" s="2413">
        <v>43332</v>
      </c>
      <c r="G361" s="2413">
        <v>43358</v>
      </c>
      <c r="H361" s="2414"/>
      <c r="I361" s="2413" t="s">
        <v>170</v>
      </c>
      <c r="J361" s="2415"/>
      <c r="K361" s="2416" t="s">
        <v>723</v>
      </c>
      <c r="L361" s="2409">
        <v>23174</v>
      </c>
      <c r="M361" s="2412"/>
      <c r="N361" s="2412"/>
      <c r="O361" s="2299">
        <v>281</v>
      </c>
      <c r="P361" s="2412">
        <v>2</v>
      </c>
      <c r="Q361" s="2299">
        <f t="shared" si="50"/>
        <v>562</v>
      </c>
      <c r="R361" s="2299"/>
      <c r="S361" s="2299"/>
      <c r="T361" s="2299"/>
      <c r="U361" s="2299"/>
      <c r="V361" s="2299"/>
      <c r="W361" s="2299"/>
      <c r="X361" s="2299"/>
      <c r="Y361" s="2299">
        <v>562</v>
      </c>
      <c r="Z361" s="2284"/>
      <c r="AA361" s="2284"/>
      <c r="AB361" s="2284"/>
      <c r="AC361" s="2284"/>
      <c r="AD361" s="2284"/>
      <c r="AE361" s="2284"/>
      <c r="AF361" s="2284"/>
      <c r="AG361" s="547">
        <f t="shared" si="48"/>
        <v>562</v>
      </c>
    </row>
    <row r="362" spans="1:33" outlineLevel="2">
      <c r="A362" s="2417">
        <v>1221</v>
      </c>
      <c r="B362" s="2363" t="s">
        <v>772</v>
      </c>
      <c r="C362" s="2547" t="s">
        <v>773</v>
      </c>
      <c r="D362" s="2284"/>
      <c r="E362" s="2417">
        <v>10</v>
      </c>
      <c r="F362" s="2417">
        <v>43206</v>
      </c>
      <c r="G362" s="2417">
        <f t="shared" ref="G362:G393" si="54">F362+E362</f>
        <v>43216</v>
      </c>
      <c r="H362" s="2284" t="s">
        <v>774</v>
      </c>
      <c r="I362" s="2417" t="s">
        <v>170</v>
      </c>
      <c r="J362" s="2420"/>
      <c r="K362" s="2284" t="s">
        <v>775</v>
      </c>
      <c r="L362" s="2574">
        <v>23174</v>
      </c>
      <c r="M362" s="2284"/>
      <c r="N362" s="2284"/>
      <c r="O362" s="1858">
        <v>4536</v>
      </c>
      <c r="P362" s="2284">
        <v>1</v>
      </c>
      <c r="Q362" s="1858">
        <f t="shared" ref="Q362:Q407" si="55">O362*P362</f>
        <v>4536</v>
      </c>
      <c r="R362" s="2284"/>
      <c r="S362" s="1858"/>
      <c r="T362" s="1858">
        <v>4536</v>
      </c>
      <c r="U362" s="1858"/>
      <c r="V362" s="2284"/>
      <c r="W362" s="2284"/>
      <c r="X362" s="2284"/>
      <c r="Y362" s="2284"/>
      <c r="Z362" s="2284"/>
      <c r="AA362" s="2284"/>
      <c r="AB362" s="2284"/>
      <c r="AC362" s="2284"/>
      <c r="AD362" s="2284"/>
      <c r="AE362" s="2284"/>
      <c r="AF362" s="2284"/>
      <c r="AG362" s="547">
        <f t="shared" si="48"/>
        <v>4536</v>
      </c>
    </row>
    <row r="363" spans="1:33" outlineLevel="2">
      <c r="A363" s="2417">
        <v>1221</v>
      </c>
      <c r="B363" s="2363" t="s">
        <v>772</v>
      </c>
      <c r="C363" s="2547" t="s">
        <v>773</v>
      </c>
      <c r="D363" s="2284"/>
      <c r="E363" s="2417">
        <v>10</v>
      </c>
      <c r="F363" s="2417">
        <v>43206</v>
      </c>
      <c r="G363" s="2417">
        <f t="shared" si="54"/>
        <v>43216</v>
      </c>
      <c r="H363" s="2284" t="s">
        <v>774</v>
      </c>
      <c r="I363" s="2417" t="s">
        <v>170</v>
      </c>
      <c r="J363" s="2420"/>
      <c r="K363" s="2284" t="s">
        <v>776</v>
      </c>
      <c r="L363" s="2574">
        <v>23174</v>
      </c>
      <c r="M363" s="2284"/>
      <c r="N363" s="2284"/>
      <c r="O363" s="1858">
        <v>1320</v>
      </c>
      <c r="P363" s="2284">
        <v>1</v>
      </c>
      <c r="Q363" s="1858">
        <f t="shared" si="55"/>
        <v>1320</v>
      </c>
      <c r="R363" s="2284"/>
      <c r="S363" s="1858"/>
      <c r="T363" s="1858">
        <v>1320</v>
      </c>
      <c r="U363" s="1858"/>
      <c r="V363" s="2284"/>
      <c r="W363" s="2284"/>
      <c r="X363" s="1780"/>
      <c r="Y363" s="1199"/>
      <c r="Z363" s="1199"/>
      <c r="AA363" s="1199"/>
      <c r="AB363" s="1199"/>
      <c r="AC363" s="1199"/>
      <c r="AD363" s="1199"/>
      <c r="AE363" s="1199"/>
      <c r="AF363" s="1199"/>
      <c r="AG363" s="547">
        <f t="shared" si="48"/>
        <v>1320</v>
      </c>
    </row>
    <row r="364" spans="1:33" outlineLevel="2">
      <c r="A364" s="2417">
        <v>1221</v>
      </c>
      <c r="B364" s="2363" t="s">
        <v>772</v>
      </c>
      <c r="C364" s="2547" t="s">
        <v>773</v>
      </c>
      <c r="D364" s="2284"/>
      <c r="E364" s="2417">
        <v>10</v>
      </c>
      <c r="F364" s="2417">
        <v>43206</v>
      </c>
      <c r="G364" s="2417">
        <f t="shared" si="54"/>
        <v>43216</v>
      </c>
      <c r="H364" s="2284" t="s">
        <v>774</v>
      </c>
      <c r="I364" s="2417" t="s">
        <v>170</v>
      </c>
      <c r="J364" s="2420"/>
      <c r="K364" s="2284" t="s">
        <v>777</v>
      </c>
      <c r="L364" s="2574">
        <v>23174</v>
      </c>
      <c r="M364" s="2284"/>
      <c r="N364" s="2284"/>
      <c r="O364" s="1858">
        <v>260</v>
      </c>
      <c r="P364" s="2284">
        <v>1</v>
      </c>
      <c r="Q364" s="1858">
        <f t="shared" si="55"/>
        <v>260</v>
      </c>
      <c r="R364" s="2284"/>
      <c r="S364" s="1858"/>
      <c r="T364" s="1858">
        <v>260</v>
      </c>
      <c r="U364" s="1858"/>
      <c r="V364" s="2284"/>
      <c r="W364" s="2284"/>
      <c r="X364" s="1780"/>
      <c r="Y364" s="1199"/>
      <c r="Z364" s="1199"/>
      <c r="AA364" s="1199"/>
      <c r="AB364" s="1199"/>
      <c r="AC364" s="1199"/>
      <c r="AD364" s="1199"/>
      <c r="AE364" s="1199"/>
      <c r="AF364" s="1199"/>
      <c r="AG364" s="547">
        <f t="shared" si="48"/>
        <v>260</v>
      </c>
    </row>
    <row r="365" spans="1:33" outlineLevel="2">
      <c r="A365" s="2417">
        <v>1221</v>
      </c>
      <c r="B365" s="2363" t="s">
        <v>772</v>
      </c>
      <c r="C365" s="2547" t="s">
        <v>773</v>
      </c>
      <c r="D365" s="2284"/>
      <c r="E365" s="2417">
        <v>10</v>
      </c>
      <c r="F365" s="2417">
        <v>43206</v>
      </c>
      <c r="G365" s="2417">
        <f t="shared" si="54"/>
        <v>43216</v>
      </c>
      <c r="H365" s="2284" t="s">
        <v>774</v>
      </c>
      <c r="I365" s="2417" t="s">
        <v>170</v>
      </c>
      <c r="J365" s="2420"/>
      <c r="K365" s="2284" t="s">
        <v>778</v>
      </c>
      <c r="L365" s="2574">
        <v>23174</v>
      </c>
      <c r="M365" s="2284"/>
      <c r="N365" s="2284"/>
      <c r="O365" s="1858">
        <v>4573.333333333333</v>
      </c>
      <c r="P365" s="2284">
        <v>1</v>
      </c>
      <c r="Q365" s="1858">
        <f t="shared" si="55"/>
        <v>4573.333333333333</v>
      </c>
      <c r="R365" s="2284"/>
      <c r="S365" s="1858"/>
      <c r="T365" s="1858">
        <v>4573.333333333333</v>
      </c>
      <c r="U365" s="1858"/>
      <c r="V365" s="2284"/>
      <c r="W365" s="2284"/>
      <c r="X365" s="2284"/>
      <c r="Y365" s="2284"/>
      <c r="Z365" s="2284"/>
      <c r="AA365" s="2284"/>
      <c r="AB365" s="2284"/>
      <c r="AC365" s="2284"/>
      <c r="AD365" s="2284"/>
      <c r="AE365" s="2284"/>
      <c r="AF365" s="2284"/>
      <c r="AG365" s="547">
        <f t="shared" si="48"/>
        <v>4573.333333333333</v>
      </c>
    </row>
    <row r="366" spans="1:33" outlineLevel="2">
      <c r="A366" s="2417">
        <v>1221</v>
      </c>
      <c r="B366" s="2363" t="s">
        <v>772</v>
      </c>
      <c r="C366" s="2547" t="s">
        <v>773</v>
      </c>
      <c r="D366" s="2284"/>
      <c r="E366" s="2417">
        <v>10</v>
      </c>
      <c r="F366" s="2417">
        <v>43206</v>
      </c>
      <c r="G366" s="2417">
        <f t="shared" si="54"/>
        <v>43216</v>
      </c>
      <c r="H366" s="2284" t="s">
        <v>774</v>
      </c>
      <c r="I366" s="2417" t="s">
        <v>170</v>
      </c>
      <c r="J366" s="2420"/>
      <c r="K366" s="2575" t="s">
        <v>779</v>
      </c>
      <c r="L366" s="2574">
        <v>23174</v>
      </c>
      <c r="M366" s="2284"/>
      <c r="N366" s="2284"/>
      <c r="O366" s="1858">
        <v>153.33333333333334</v>
      </c>
      <c r="P366" s="2284">
        <v>1</v>
      </c>
      <c r="Q366" s="1858">
        <f t="shared" si="55"/>
        <v>153.33333333333334</v>
      </c>
      <c r="R366" s="2284"/>
      <c r="S366" s="1858"/>
      <c r="T366" s="1858">
        <v>153.33333333333334</v>
      </c>
      <c r="U366" s="1858"/>
      <c r="V366" s="2284"/>
      <c r="W366" s="2284"/>
      <c r="X366" s="1780"/>
      <c r="Y366" s="1199"/>
      <c r="Z366" s="1199"/>
      <c r="AA366" s="1199"/>
      <c r="AB366" s="1199"/>
      <c r="AC366" s="1199"/>
      <c r="AD366" s="1199"/>
      <c r="AE366" s="1199"/>
      <c r="AF366" s="1199"/>
      <c r="AG366" s="547">
        <f t="shared" si="48"/>
        <v>153.33333333333334</v>
      </c>
    </row>
    <row r="367" spans="1:33" outlineLevel="2">
      <c r="A367" s="2417">
        <v>1221</v>
      </c>
      <c r="B367" s="2363" t="s">
        <v>772</v>
      </c>
      <c r="C367" s="2547" t="s">
        <v>773</v>
      </c>
      <c r="D367" s="2284"/>
      <c r="E367" s="2417">
        <v>10</v>
      </c>
      <c r="F367" s="2417">
        <v>43206</v>
      </c>
      <c r="G367" s="2417">
        <f t="shared" si="54"/>
        <v>43216</v>
      </c>
      <c r="H367" s="2284" t="s">
        <v>774</v>
      </c>
      <c r="I367" s="2417" t="s">
        <v>170</v>
      </c>
      <c r="J367" s="2420"/>
      <c r="K367" s="2575" t="s">
        <v>780</v>
      </c>
      <c r="L367" s="2574">
        <v>23174</v>
      </c>
      <c r="M367" s="2284"/>
      <c r="N367" s="2284"/>
      <c r="O367" s="1858">
        <v>238</v>
      </c>
      <c r="P367" s="2284">
        <v>1</v>
      </c>
      <c r="Q367" s="1858">
        <f t="shared" si="55"/>
        <v>238</v>
      </c>
      <c r="R367" s="2284"/>
      <c r="S367" s="1858"/>
      <c r="T367" s="1858">
        <v>238</v>
      </c>
      <c r="U367" s="1858"/>
      <c r="V367" s="2284"/>
      <c r="W367" s="2284"/>
      <c r="X367" s="1780"/>
      <c r="Y367" s="1199"/>
      <c r="Z367" s="1199"/>
      <c r="AA367" s="1199"/>
      <c r="AB367" s="1199"/>
      <c r="AC367" s="1199"/>
      <c r="AD367" s="1199"/>
      <c r="AE367" s="1199"/>
      <c r="AF367" s="1199"/>
      <c r="AG367" s="547">
        <f t="shared" si="48"/>
        <v>238</v>
      </c>
    </row>
    <row r="368" spans="1:33" outlineLevel="2">
      <c r="A368" s="2417">
        <v>1221</v>
      </c>
      <c r="B368" s="2363" t="s">
        <v>772</v>
      </c>
      <c r="C368" s="2547" t="s">
        <v>773</v>
      </c>
      <c r="D368" s="2284"/>
      <c r="E368" s="2417">
        <v>10</v>
      </c>
      <c r="F368" s="2417">
        <v>43206</v>
      </c>
      <c r="G368" s="2417">
        <f t="shared" si="54"/>
        <v>43216</v>
      </c>
      <c r="H368" s="2284" t="s">
        <v>774</v>
      </c>
      <c r="I368" s="2417" t="s">
        <v>170</v>
      </c>
      <c r="J368" s="2420"/>
      <c r="K368" s="2575" t="s">
        <v>781</v>
      </c>
      <c r="L368" s="2574">
        <v>23174</v>
      </c>
      <c r="M368" s="2284"/>
      <c r="N368" s="2284"/>
      <c r="O368" s="1858">
        <v>594.73333333333335</v>
      </c>
      <c r="P368" s="2284">
        <v>1</v>
      </c>
      <c r="Q368" s="1858">
        <f t="shared" si="55"/>
        <v>594.73333333333335</v>
      </c>
      <c r="R368" s="2284"/>
      <c r="S368" s="1858"/>
      <c r="T368" s="1858">
        <v>594.73333333333335</v>
      </c>
      <c r="U368" s="1858"/>
      <c r="V368" s="2284"/>
      <c r="W368" s="2284"/>
      <c r="X368" s="1780"/>
      <c r="Y368" s="1199"/>
      <c r="Z368" s="1199"/>
      <c r="AA368" s="1199"/>
      <c r="AB368" s="1199"/>
      <c r="AC368" s="1199"/>
      <c r="AD368" s="1199"/>
      <c r="AE368" s="1199"/>
      <c r="AF368" s="1199"/>
      <c r="AG368" s="547">
        <f t="shared" si="48"/>
        <v>594.73333333333335</v>
      </c>
    </row>
    <row r="369" spans="1:33" outlineLevel="2">
      <c r="A369" s="2417">
        <v>1222</v>
      </c>
      <c r="B369" s="2363" t="s">
        <v>783</v>
      </c>
      <c r="C369" s="2547" t="s">
        <v>784</v>
      </c>
      <c r="D369" s="2284"/>
      <c r="E369" s="2417">
        <v>10</v>
      </c>
      <c r="F369" s="2417">
        <v>43227</v>
      </c>
      <c r="G369" s="2417">
        <f t="shared" si="54"/>
        <v>43237</v>
      </c>
      <c r="H369" s="2284" t="s">
        <v>785</v>
      </c>
      <c r="I369" s="2417" t="s">
        <v>170</v>
      </c>
      <c r="J369" s="2420"/>
      <c r="K369" s="2284" t="s">
        <v>775</v>
      </c>
      <c r="L369" s="2574">
        <v>23174</v>
      </c>
      <c r="M369" s="2284"/>
      <c r="N369" s="2284"/>
      <c r="O369" s="1858">
        <v>4956</v>
      </c>
      <c r="P369" s="2284">
        <v>1</v>
      </c>
      <c r="Q369" s="1858">
        <f t="shared" si="55"/>
        <v>4956</v>
      </c>
      <c r="R369" s="2284"/>
      <c r="S369" s="1858"/>
      <c r="T369" s="1858"/>
      <c r="U369" s="1858">
        <v>4956</v>
      </c>
      <c r="V369" s="2284"/>
      <c r="W369" s="2284"/>
      <c r="X369" s="2284"/>
      <c r="Y369" s="2284"/>
      <c r="Z369" s="2284"/>
      <c r="AA369" s="2284"/>
      <c r="AB369" s="2284"/>
      <c r="AC369" s="2284"/>
      <c r="AD369" s="2284"/>
      <c r="AE369" s="2284"/>
      <c r="AF369" s="2284"/>
      <c r="AG369" s="547">
        <f t="shared" si="48"/>
        <v>4956</v>
      </c>
    </row>
    <row r="370" spans="1:33" outlineLevel="2">
      <c r="A370" s="2417">
        <v>1222</v>
      </c>
      <c r="B370" s="2363" t="s">
        <v>783</v>
      </c>
      <c r="C370" s="2547" t="s">
        <v>784</v>
      </c>
      <c r="D370" s="2284"/>
      <c r="E370" s="2417">
        <v>10</v>
      </c>
      <c r="F370" s="2576">
        <v>43227</v>
      </c>
      <c r="G370" s="2417">
        <f t="shared" si="54"/>
        <v>43237</v>
      </c>
      <c r="H370" s="2284" t="s">
        <v>785</v>
      </c>
      <c r="I370" s="2576" t="s">
        <v>170</v>
      </c>
      <c r="J370" s="2577"/>
      <c r="K370" s="2575" t="s">
        <v>777</v>
      </c>
      <c r="L370" s="2574">
        <v>23174</v>
      </c>
      <c r="M370" s="2284"/>
      <c r="N370" s="2284"/>
      <c r="O370" s="1858">
        <v>290</v>
      </c>
      <c r="P370" s="2284">
        <v>1</v>
      </c>
      <c r="Q370" s="1858">
        <f t="shared" si="55"/>
        <v>290</v>
      </c>
      <c r="R370" s="2284"/>
      <c r="S370" s="1858"/>
      <c r="T370" s="1858"/>
      <c r="U370" s="1858">
        <v>290</v>
      </c>
      <c r="V370" s="2284"/>
      <c r="W370" s="2284"/>
      <c r="X370" s="1780"/>
      <c r="Y370" s="1199"/>
      <c r="Z370" s="1199"/>
      <c r="AA370" s="1199"/>
      <c r="AB370" s="1199"/>
      <c r="AC370" s="1199"/>
      <c r="AD370" s="1199"/>
      <c r="AE370" s="1199"/>
      <c r="AF370" s="1199"/>
      <c r="AG370" s="547">
        <f t="shared" si="48"/>
        <v>290</v>
      </c>
    </row>
    <row r="371" spans="1:33" outlineLevel="2">
      <c r="A371" s="2417">
        <v>1222</v>
      </c>
      <c r="B371" s="2363" t="s">
        <v>783</v>
      </c>
      <c r="C371" s="2547" t="s">
        <v>784</v>
      </c>
      <c r="D371" s="2284"/>
      <c r="E371" s="2417">
        <v>10</v>
      </c>
      <c r="F371" s="2576">
        <v>43227</v>
      </c>
      <c r="G371" s="2417">
        <f t="shared" si="54"/>
        <v>43237</v>
      </c>
      <c r="H371" s="2284" t="s">
        <v>785</v>
      </c>
      <c r="I371" s="2576" t="s">
        <v>170</v>
      </c>
      <c r="J371" s="2578"/>
      <c r="K371" s="1199" t="s">
        <v>776</v>
      </c>
      <c r="L371" s="2579">
        <v>23174</v>
      </c>
      <c r="M371" s="2284"/>
      <c r="N371" s="2284"/>
      <c r="O371" s="1858">
        <v>1440</v>
      </c>
      <c r="P371" s="2284">
        <v>1</v>
      </c>
      <c r="Q371" s="1858">
        <f t="shared" si="55"/>
        <v>1440</v>
      </c>
      <c r="R371" s="2284"/>
      <c r="S371" s="1858"/>
      <c r="T371" s="1858"/>
      <c r="U371" s="1858">
        <v>1440</v>
      </c>
      <c r="V371" s="2284"/>
      <c r="W371" s="2284"/>
      <c r="X371" s="1780"/>
      <c r="Y371" s="1199"/>
      <c r="Z371" s="1199"/>
      <c r="AA371" s="1199"/>
      <c r="AB371" s="1199"/>
      <c r="AC371" s="1199"/>
      <c r="AD371" s="1199"/>
      <c r="AE371" s="1199"/>
      <c r="AF371" s="1199"/>
      <c r="AG371" s="547">
        <f t="shared" si="48"/>
        <v>1440</v>
      </c>
    </row>
    <row r="372" spans="1:33" outlineLevel="2">
      <c r="A372" s="2417">
        <v>1222</v>
      </c>
      <c r="B372" s="2363" t="s">
        <v>783</v>
      </c>
      <c r="C372" s="2547" t="s">
        <v>784</v>
      </c>
      <c r="D372" s="2284"/>
      <c r="E372" s="2417">
        <v>10</v>
      </c>
      <c r="F372" s="2417">
        <v>43227</v>
      </c>
      <c r="G372" s="2417">
        <f t="shared" si="54"/>
        <v>43237</v>
      </c>
      <c r="H372" s="2284" t="s">
        <v>785</v>
      </c>
      <c r="I372" s="2417" t="s">
        <v>170</v>
      </c>
      <c r="J372" s="2420"/>
      <c r="K372" s="2580" t="s">
        <v>778</v>
      </c>
      <c r="L372" s="2574">
        <v>23174</v>
      </c>
      <c r="M372" s="2284"/>
      <c r="N372" s="2284"/>
      <c r="O372" s="1858">
        <v>5040</v>
      </c>
      <c r="P372" s="2284">
        <v>1</v>
      </c>
      <c r="Q372" s="1858">
        <f t="shared" si="55"/>
        <v>5040</v>
      </c>
      <c r="R372" s="2284"/>
      <c r="S372" s="1858"/>
      <c r="T372" s="1858"/>
      <c r="U372" s="1858">
        <v>5040</v>
      </c>
      <c r="V372" s="2284"/>
      <c r="W372" s="2284"/>
      <c r="X372" s="2284"/>
      <c r="Y372" s="2284"/>
      <c r="Z372" s="2284"/>
      <c r="AA372" s="2284"/>
      <c r="AB372" s="2284"/>
      <c r="AC372" s="2284"/>
      <c r="AD372" s="2284"/>
      <c r="AE372" s="2284"/>
      <c r="AF372" s="2284"/>
      <c r="AG372" s="547">
        <f t="shared" si="48"/>
        <v>5040</v>
      </c>
    </row>
    <row r="373" spans="1:33" outlineLevel="2">
      <c r="A373" s="2576">
        <v>1222</v>
      </c>
      <c r="B373" s="2581" t="s">
        <v>783</v>
      </c>
      <c r="C373" s="2582" t="s">
        <v>784</v>
      </c>
      <c r="D373" s="2575"/>
      <c r="E373" s="2576">
        <v>10</v>
      </c>
      <c r="F373" s="2576">
        <v>43227</v>
      </c>
      <c r="G373" s="2576">
        <f t="shared" si="54"/>
        <v>43237</v>
      </c>
      <c r="H373" s="2575" t="s">
        <v>785</v>
      </c>
      <c r="I373" s="2576" t="s">
        <v>170</v>
      </c>
      <c r="J373" s="2420"/>
      <c r="K373" s="2575" t="s">
        <v>779</v>
      </c>
      <c r="L373" s="2574">
        <v>23174</v>
      </c>
      <c r="M373" s="2284"/>
      <c r="N373" s="2284"/>
      <c r="O373" s="1858">
        <v>173.33333333333334</v>
      </c>
      <c r="P373" s="2284">
        <v>1</v>
      </c>
      <c r="Q373" s="1858">
        <f t="shared" si="55"/>
        <v>173.33333333333334</v>
      </c>
      <c r="R373" s="2284"/>
      <c r="S373" s="1858"/>
      <c r="T373" s="1858"/>
      <c r="U373" s="1858">
        <v>173.33333333333334</v>
      </c>
      <c r="V373" s="2284"/>
      <c r="W373" s="2284"/>
      <c r="X373" s="1780"/>
      <c r="Y373" s="1199"/>
      <c r="Z373" s="1199"/>
      <c r="AA373" s="1199"/>
      <c r="AB373" s="1199"/>
      <c r="AC373" s="1199"/>
      <c r="AD373" s="1199"/>
      <c r="AE373" s="1199"/>
      <c r="AF373" s="1199"/>
      <c r="AG373" s="547">
        <f t="shared" si="48"/>
        <v>173.33333333333334</v>
      </c>
    </row>
    <row r="374" spans="1:33" outlineLevel="2">
      <c r="A374" s="2417">
        <v>1222</v>
      </c>
      <c r="B374" s="2363" t="s">
        <v>783</v>
      </c>
      <c r="C374" s="2547" t="s">
        <v>784</v>
      </c>
      <c r="D374" s="2284"/>
      <c r="E374" s="2417">
        <v>10</v>
      </c>
      <c r="F374" s="2417">
        <v>43227</v>
      </c>
      <c r="G374" s="2417">
        <f t="shared" si="54"/>
        <v>43237</v>
      </c>
      <c r="H374" s="2284" t="s">
        <v>785</v>
      </c>
      <c r="I374" s="2417" t="s">
        <v>170</v>
      </c>
      <c r="J374" s="2420"/>
      <c r="K374" s="2284" t="s">
        <v>780</v>
      </c>
      <c r="L374" s="2574">
        <v>23174</v>
      </c>
      <c r="M374" s="2284"/>
      <c r="N374" s="2284"/>
      <c r="O374" s="1858">
        <v>816</v>
      </c>
      <c r="P374" s="2284">
        <v>1</v>
      </c>
      <c r="Q374" s="1858">
        <f t="shared" si="55"/>
        <v>816</v>
      </c>
      <c r="R374" s="2284"/>
      <c r="S374" s="1858"/>
      <c r="T374" s="1858"/>
      <c r="U374" s="1858">
        <v>816</v>
      </c>
      <c r="V374" s="2284"/>
      <c r="W374" s="2284"/>
      <c r="X374" s="2284"/>
      <c r="Y374" s="2284"/>
      <c r="Z374" s="2284"/>
      <c r="AA374" s="2284"/>
      <c r="AB374" s="2284"/>
      <c r="AC374" s="2284"/>
      <c r="AD374" s="2284"/>
      <c r="AE374" s="2284"/>
      <c r="AF374" s="2284"/>
      <c r="AG374" s="547">
        <f t="shared" si="48"/>
        <v>816</v>
      </c>
    </row>
    <row r="375" spans="1:33" outlineLevel="2">
      <c r="A375" s="2417">
        <v>1222</v>
      </c>
      <c r="B375" s="2581" t="s">
        <v>783</v>
      </c>
      <c r="C375" s="2582" t="s">
        <v>784</v>
      </c>
      <c r="D375" s="2284"/>
      <c r="E375" s="2417">
        <v>10</v>
      </c>
      <c r="F375" s="2576">
        <v>43227</v>
      </c>
      <c r="G375" s="2576">
        <f t="shared" si="54"/>
        <v>43237</v>
      </c>
      <c r="H375" s="2284" t="s">
        <v>785</v>
      </c>
      <c r="I375" s="2576" t="s">
        <v>170</v>
      </c>
      <c r="J375" s="2420"/>
      <c r="K375" s="2284" t="s">
        <v>781</v>
      </c>
      <c r="L375" s="2574">
        <v>23174</v>
      </c>
      <c r="M375" s="2284"/>
      <c r="N375" s="2284"/>
      <c r="O375" s="1858">
        <v>1301.6666666666667</v>
      </c>
      <c r="P375" s="2284">
        <v>1</v>
      </c>
      <c r="Q375" s="1858">
        <f t="shared" si="55"/>
        <v>1301.6666666666667</v>
      </c>
      <c r="R375" s="2284"/>
      <c r="S375" s="1858"/>
      <c r="T375" s="1858"/>
      <c r="U375" s="1858">
        <v>1301.6666666666667</v>
      </c>
      <c r="V375" s="2284"/>
      <c r="W375" s="2284"/>
      <c r="X375" s="1780"/>
      <c r="Y375" s="1199"/>
      <c r="Z375" s="1199"/>
      <c r="AA375" s="1199"/>
      <c r="AB375" s="1199"/>
      <c r="AC375" s="1199"/>
      <c r="AD375" s="1199"/>
      <c r="AE375" s="1199"/>
      <c r="AF375" s="1199"/>
      <c r="AG375" s="547">
        <f t="shared" si="48"/>
        <v>1301.6666666666667</v>
      </c>
    </row>
    <row r="376" spans="1:33" outlineLevel="2">
      <c r="A376" s="2417">
        <v>1223</v>
      </c>
      <c r="B376" s="2363" t="s">
        <v>786</v>
      </c>
      <c r="C376" s="2547" t="s">
        <v>787</v>
      </c>
      <c r="D376" s="2284"/>
      <c r="E376" s="2417">
        <v>10</v>
      </c>
      <c r="F376" s="2417">
        <v>43262</v>
      </c>
      <c r="G376" s="2417">
        <f t="shared" si="54"/>
        <v>43272</v>
      </c>
      <c r="H376" s="2284" t="s">
        <v>785</v>
      </c>
      <c r="I376" s="2417" t="s">
        <v>170</v>
      </c>
      <c r="J376" s="2420"/>
      <c r="K376" s="2284" t="s">
        <v>775</v>
      </c>
      <c r="L376" s="2574">
        <v>23174</v>
      </c>
      <c r="M376" s="2284"/>
      <c r="N376" s="2284"/>
      <c r="O376" s="1858">
        <v>4956</v>
      </c>
      <c r="P376" s="2284">
        <v>1</v>
      </c>
      <c r="Q376" s="1858">
        <f t="shared" si="55"/>
        <v>4956</v>
      </c>
      <c r="R376" s="2284"/>
      <c r="S376" s="1858"/>
      <c r="T376" s="1858"/>
      <c r="U376" s="1858">
        <v>4956</v>
      </c>
      <c r="V376" s="2284"/>
      <c r="W376" s="2284"/>
      <c r="X376" s="2284"/>
      <c r="Y376" s="2284"/>
      <c r="Z376" s="2284"/>
      <c r="AA376" s="2284"/>
      <c r="AB376" s="2284"/>
      <c r="AC376" s="2284"/>
      <c r="AD376" s="2284"/>
      <c r="AE376" s="2284"/>
      <c r="AF376" s="2284"/>
      <c r="AG376" s="547">
        <f t="shared" si="48"/>
        <v>4956</v>
      </c>
    </row>
    <row r="377" spans="1:33" outlineLevel="2">
      <c r="A377" s="2417">
        <v>1223</v>
      </c>
      <c r="B377" s="2363" t="s">
        <v>786</v>
      </c>
      <c r="C377" s="2547" t="s">
        <v>787</v>
      </c>
      <c r="D377" s="2284"/>
      <c r="E377" s="2417">
        <v>10</v>
      </c>
      <c r="F377" s="2417">
        <v>43262</v>
      </c>
      <c r="G377" s="2417">
        <f t="shared" si="54"/>
        <v>43272</v>
      </c>
      <c r="H377" s="2284" t="s">
        <v>785</v>
      </c>
      <c r="I377" s="2417" t="s">
        <v>170</v>
      </c>
      <c r="J377" s="2420"/>
      <c r="K377" s="2284" t="s">
        <v>777</v>
      </c>
      <c r="L377" s="2574">
        <v>23174</v>
      </c>
      <c r="M377" s="2284"/>
      <c r="N377" s="2284"/>
      <c r="O377" s="1858">
        <v>290</v>
      </c>
      <c r="P377" s="2284">
        <v>1</v>
      </c>
      <c r="Q377" s="1858">
        <f t="shared" si="55"/>
        <v>290</v>
      </c>
      <c r="R377" s="2284"/>
      <c r="S377" s="1858"/>
      <c r="T377" s="1858"/>
      <c r="U377" s="1858">
        <v>290</v>
      </c>
      <c r="V377" s="2284"/>
      <c r="W377" s="2284"/>
      <c r="X377" s="2284"/>
      <c r="Y377" s="2284"/>
      <c r="Z377" s="2284"/>
      <c r="AA377" s="2284"/>
      <c r="AB377" s="2284"/>
      <c r="AC377" s="2284"/>
      <c r="AD377" s="2284"/>
      <c r="AE377" s="2284"/>
      <c r="AF377" s="2284"/>
      <c r="AG377" s="547">
        <f t="shared" si="48"/>
        <v>290</v>
      </c>
    </row>
    <row r="378" spans="1:33" s="1725" customFormat="1" outlineLevel="2">
      <c r="A378" s="2583">
        <v>1223</v>
      </c>
      <c r="B378" s="2584" t="s">
        <v>786</v>
      </c>
      <c r="C378" s="2585" t="s">
        <v>787</v>
      </c>
      <c r="D378" s="2278"/>
      <c r="E378" s="2583">
        <v>10</v>
      </c>
      <c r="F378" s="2583">
        <v>43262</v>
      </c>
      <c r="G378" s="2583">
        <f t="shared" si="54"/>
        <v>43272</v>
      </c>
      <c r="H378" s="2278" t="s">
        <v>785</v>
      </c>
      <c r="I378" s="2583" t="s">
        <v>170</v>
      </c>
      <c r="J378" s="2586"/>
      <c r="K378" s="2278" t="s">
        <v>776</v>
      </c>
      <c r="L378" s="2587">
        <v>23174</v>
      </c>
      <c r="M378" s="2278"/>
      <c r="N378" s="2278"/>
      <c r="O378" s="2309">
        <v>1440</v>
      </c>
      <c r="P378" s="2588">
        <v>1</v>
      </c>
      <c r="Q378" s="2309">
        <f t="shared" si="55"/>
        <v>1440</v>
      </c>
      <c r="R378" s="2278"/>
      <c r="S378" s="2289"/>
      <c r="T378" s="2289"/>
      <c r="U378" s="2289">
        <v>1440</v>
      </c>
      <c r="V378" s="2278"/>
      <c r="W378" s="2278"/>
      <c r="X378" s="2278"/>
      <c r="Y378" s="2278"/>
      <c r="Z378" s="2278"/>
      <c r="AA378" s="2278"/>
      <c r="AB378" s="2278"/>
      <c r="AC378" s="2278"/>
      <c r="AD378" s="2278"/>
      <c r="AE378" s="2278"/>
      <c r="AF378" s="2278"/>
      <c r="AG378" s="2356">
        <f t="shared" si="48"/>
        <v>1440</v>
      </c>
    </row>
    <row r="379" spans="1:33" s="1725" customFormat="1" outlineLevel="2">
      <c r="A379" s="2589">
        <v>1223</v>
      </c>
      <c r="B379" s="2363" t="s">
        <v>786</v>
      </c>
      <c r="C379" s="2547" t="s">
        <v>787</v>
      </c>
      <c r="D379" s="2590"/>
      <c r="E379" s="2583">
        <v>10</v>
      </c>
      <c r="F379" s="2583">
        <v>43262</v>
      </c>
      <c r="G379" s="2583">
        <f t="shared" si="54"/>
        <v>43272</v>
      </c>
      <c r="H379" s="2278" t="s">
        <v>785</v>
      </c>
      <c r="I379" s="2583" t="s">
        <v>170</v>
      </c>
      <c r="J379" s="2586"/>
      <c r="K379" s="2278" t="s">
        <v>778</v>
      </c>
      <c r="L379" s="2587">
        <v>23174</v>
      </c>
      <c r="M379" s="2278"/>
      <c r="N379" s="2591"/>
      <c r="O379" s="1743">
        <v>5040</v>
      </c>
      <c r="P379" s="1199">
        <v>1</v>
      </c>
      <c r="Q379" s="1743">
        <f t="shared" si="55"/>
        <v>5040</v>
      </c>
      <c r="R379" s="2286"/>
      <c r="S379" s="2289"/>
      <c r="T379" s="2289"/>
      <c r="U379" s="2289">
        <v>5040</v>
      </c>
      <c r="V379" s="2278"/>
      <c r="W379" s="2278"/>
      <c r="X379" s="2357"/>
      <c r="Y379" s="1199"/>
      <c r="Z379" s="1199"/>
      <c r="AA379" s="1199"/>
      <c r="AB379" s="1199"/>
      <c r="AC379" s="1199"/>
      <c r="AD379" s="1199"/>
      <c r="AE379" s="1199"/>
      <c r="AF379" s="1199"/>
      <c r="AG379" s="547">
        <f t="shared" si="48"/>
        <v>5040</v>
      </c>
    </row>
    <row r="380" spans="1:33" s="1725" customFormat="1" outlineLevel="2">
      <c r="A380" s="2589">
        <v>1223</v>
      </c>
      <c r="B380" s="2363" t="s">
        <v>786</v>
      </c>
      <c r="C380" s="2547" t="s">
        <v>787</v>
      </c>
      <c r="D380" s="2590"/>
      <c r="E380" s="2583">
        <v>10</v>
      </c>
      <c r="F380" s="2583">
        <v>43262</v>
      </c>
      <c r="G380" s="2583">
        <f t="shared" si="54"/>
        <v>43272</v>
      </c>
      <c r="H380" s="2278" t="s">
        <v>785</v>
      </c>
      <c r="I380" s="2583" t="s">
        <v>170</v>
      </c>
      <c r="J380" s="2586"/>
      <c r="K380" s="2278" t="s">
        <v>779</v>
      </c>
      <c r="L380" s="2587">
        <v>23174</v>
      </c>
      <c r="M380" s="2278"/>
      <c r="N380" s="2591"/>
      <c r="O380" s="1743">
        <v>173.33333333333334</v>
      </c>
      <c r="P380" s="1199">
        <v>1</v>
      </c>
      <c r="Q380" s="1743">
        <f t="shared" si="55"/>
        <v>173.33333333333334</v>
      </c>
      <c r="R380" s="2286"/>
      <c r="S380" s="2289"/>
      <c r="T380" s="2289"/>
      <c r="U380" s="2289">
        <v>173.33333333333334</v>
      </c>
      <c r="V380" s="2278"/>
      <c r="W380" s="2278"/>
      <c r="X380" s="2357"/>
      <c r="Y380" s="1199"/>
      <c r="Z380" s="1199"/>
      <c r="AA380" s="1199"/>
      <c r="AB380" s="1199"/>
      <c r="AC380" s="1199"/>
      <c r="AD380" s="1199"/>
      <c r="AE380" s="1199"/>
      <c r="AF380" s="1199"/>
      <c r="AG380" s="547">
        <f t="shared" ref="AG380:AG443" si="56">SUM(S380:AF380)</f>
        <v>173.33333333333334</v>
      </c>
    </row>
    <row r="381" spans="1:33" s="1725" customFormat="1" outlineLevel="2">
      <c r="A381" s="2589">
        <v>1223</v>
      </c>
      <c r="B381" s="2363" t="s">
        <v>786</v>
      </c>
      <c r="C381" s="2547" t="s">
        <v>787</v>
      </c>
      <c r="D381" s="2590"/>
      <c r="E381" s="2583">
        <v>10</v>
      </c>
      <c r="F381" s="2583">
        <v>43262</v>
      </c>
      <c r="G381" s="2583">
        <f t="shared" si="54"/>
        <v>43272</v>
      </c>
      <c r="H381" s="2278" t="s">
        <v>785</v>
      </c>
      <c r="I381" s="2583" t="s">
        <v>170</v>
      </c>
      <c r="J381" s="2586"/>
      <c r="K381" s="2278" t="s">
        <v>780</v>
      </c>
      <c r="L381" s="2587">
        <v>23174</v>
      </c>
      <c r="M381" s="2278"/>
      <c r="N381" s="2278"/>
      <c r="O381" s="2310">
        <v>816</v>
      </c>
      <c r="P381" s="2592">
        <v>1</v>
      </c>
      <c r="Q381" s="2310">
        <f t="shared" si="55"/>
        <v>816</v>
      </c>
      <c r="R381" s="2278"/>
      <c r="S381" s="2289"/>
      <c r="T381" s="2289"/>
      <c r="U381" s="2289">
        <v>816</v>
      </c>
      <c r="V381" s="2278"/>
      <c r="W381" s="2278"/>
      <c r="X381" s="2357"/>
      <c r="Y381" s="1199"/>
      <c r="Z381" s="1199"/>
      <c r="AA381" s="1199"/>
      <c r="AB381" s="1199"/>
      <c r="AC381" s="1199"/>
      <c r="AD381" s="1199"/>
      <c r="AE381" s="1199"/>
      <c r="AF381" s="1199"/>
      <c r="AG381" s="547">
        <f t="shared" si="56"/>
        <v>816</v>
      </c>
    </row>
    <row r="382" spans="1:33" s="1725" customFormat="1" outlineLevel="2">
      <c r="A382" s="2589">
        <v>1223</v>
      </c>
      <c r="B382" s="2363" t="s">
        <v>786</v>
      </c>
      <c r="C382" s="2547" t="s">
        <v>787</v>
      </c>
      <c r="D382" s="2590"/>
      <c r="E382" s="2583">
        <v>10</v>
      </c>
      <c r="F382" s="2583">
        <v>43262</v>
      </c>
      <c r="G382" s="2583">
        <f t="shared" si="54"/>
        <v>43272</v>
      </c>
      <c r="H382" s="2278" t="s">
        <v>785</v>
      </c>
      <c r="I382" s="2583" t="s">
        <v>170</v>
      </c>
      <c r="J382" s="2586"/>
      <c r="K382" s="2588" t="s">
        <v>781</v>
      </c>
      <c r="L382" s="2587">
        <v>23174</v>
      </c>
      <c r="M382" s="2278"/>
      <c r="N382" s="2278"/>
      <c r="O382" s="1858">
        <v>1301.6666666666667</v>
      </c>
      <c r="P382" s="2284">
        <v>1</v>
      </c>
      <c r="Q382" s="2289">
        <f t="shared" si="55"/>
        <v>1301.6666666666667</v>
      </c>
      <c r="R382" s="2278"/>
      <c r="S382" s="2289"/>
      <c r="T382" s="2289"/>
      <c r="U382" s="2289">
        <v>1301.6666666666667</v>
      </c>
      <c r="V382" s="2278"/>
      <c r="W382" s="2278"/>
      <c r="X382" s="2357"/>
      <c r="Y382" s="1199"/>
      <c r="Z382" s="1199"/>
      <c r="AA382" s="1199"/>
      <c r="AB382" s="1199"/>
      <c r="AC382" s="1199"/>
      <c r="AD382" s="1199"/>
      <c r="AE382" s="1199"/>
      <c r="AF382" s="1199"/>
      <c r="AG382" s="547">
        <f t="shared" si="56"/>
        <v>1301.6666666666667</v>
      </c>
    </row>
    <row r="383" spans="1:33" s="1725" customFormat="1" ht="31.5" outlineLevel="2">
      <c r="A383" s="2589">
        <v>1226</v>
      </c>
      <c r="B383" s="2363" t="s">
        <v>795</v>
      </c>
      <c r="C383" s="2547" t="s">
        <v>796</v>
      </c>
      <c r="D383" s="2590"/>
      <c r="E383" s="2583">
        <v>5</v>
      </c>
      <c r="F383" s="2583">
        <v>43297</v>
      </c>
      <c r="G383" s="2583">
        <f t="shared" si="54"/>
        <v>43302</v>
      </c>
      <c r="H383" s="2278" t="s">
        <v>785</v>
      </c>
      <c r="I383" s="2583" t="s">
        <v>170</v>
      </c>
      <c r="J383" s="2593"/>
      <c r="K383" s="1199" t="s">
        <v>797</v>
      </c>
      <c r="L383" s="2594">
        <v>23174</v>
      </c>
      <c r="M383" s="2278"/>
      <c r="N383" s="2278"/>
      <c r="O383" s="1858">
        <v>1680</v>
      </c>
      <c r="P383" s="2284">
        <v>1</v>
      </c>
      <c r="Q383" s="2289">
        <f t="shared" si="55"/>
        <v>1680</v>
      </c>
      <c r="R383" s="2278"/>
      <c r="S383" s="2289"/>
      <c r="T383" s="2289"/>
      <c r="U383" s="2289"/>
      <c r="V383" s="2289">
        <v>1680</v>
      </c>
      <c r="W383" s="2278"/>
      <c r="X383" s="2357"/>
      <c r="Y383" s="1199"/>
      <c r="Z383" s="1199"/>
      <c r="AA383" s="1199"/>
      <c r="AB383" s="1199"/>
      <c r="AC383" s="1199"/>
      <c r="AD383" s="1199"/>
      <c r="AE383" s="1199"/>
      <c r="AF383" s="1199"/>
      <c r="AG383" s="547">
        <f t="shared" si="56"/>
        <v>1680</v>
      </c>
    </row>
    <row r="384" spans="1:33" s="1725" customFormat="1" ht="31.5" outlineLevel="2">
      <c r="A384" s="2589">
        <v>1226</v>
      </c>
      <c r="B384" s="2363" t="s">
        <v>795</v>
      </c>
      <c r="C384" s="2547" t="s">
        <v>796</v>
      </c>
      <c r="D384" s="2590"/>
      <c r="E384" s="2583">
        <v>5</v>
      </c>
      <c r="F384" s="2583">
        <v>43297</v>
      </c>
      <c r="G384" s="2583">
        <f t="shared" si="54"/>
        <v>43302</v>
      </c>
      <c r="H384" s="2278" t="s">
        <v>785</v>
      </c>
      <c r="I384" s="2583" t="s">
        <v>170</v>
      </c>
      <c r="J384" s="2586"/>
      <c r="K384" s="2284" t="s">
        <v>798</v>
      </c>
      <c r="L384" s="2587">
        <v>23174</v>
      </c>
      <c r="M384" s="2278"/>
      <c r="N384" s="2278"/>
      <c r="O384" s="1858">
        <v>900</v>
      </c>
      <c r="P384" s="2284">
        <v>1</v>
      </c>
      <c r="Q384" s="2289">
        <f t="shared" si="55"/>
        <v>900</v>
      </c>
      <c r="R384" s="2278"/>
      <c r="S384" s="2289"/>
      <c r="T384" s="2289"/>
      <c r="U384" s="2289"/>
      <c r="V384" s="2289">
        <v>900</v>
      </c>
      <c r="W384" s="2278"/>
      <c r="X384" s="2357"/>
      <c r="Y384" s="1199"/>
      <c r="Z384" s="1199"/>
      <c r="AA384" s="1199"/>
      <c r="AB384" s="1199"/>
      <c r="AC384" s="1199"/>
      <c r="AD384" s="1199"/>
      <c r="AE384" s="1199"/>
      <c r="AF384" s="1199"/>
      <c r="AG384" s="547">
        <f t="shared" si="56"/>
        <v>900</v>
      </c>
    </row>
    <row r="385" spans="1:33" s="1725" customFormat="1" ht="31.5" outlineLevel="2">
      <c r="A385" s="2589">
        <v>1226</v>
      </c>
      <c r="B385" s="2363" t="s">
        <v>795</v>
      </c>
      <c r="C385" s="2547" t="s">
        <v>796</v>
      </c>
      <c r="D385" s="2590"/>
      <c r="E385" s="2583">
        <v>5</v>
      </c>
      <c r="F385" s="2583">
        <v>43297</v>
      </c>
      <c r="G385" s="2583">
        <f t="shared" si="54"/>
        <v>43302</v>
      </c>
      <c r="H385" s="2278" t="s">
        <v>785</v>
      </c>
      <c r="I385" s="2583" t="s">
        <v>170</v>
      </c>
      <c r="J385" s="2593"/>
      <c r="K385" s="1199" t="s">
        <v>799</v>
      </c>
      <c r="L385" s="2595">
        <v>23174</v>
      </c>
      <c r="M385" s="2278"/>
      <c r="N385" s="2278"/>
      <c r="O385" s="1858">
        <v>120</v>
      </c>
      <c r="P385" s="2284">
        <v>1</v>
      </c>
      <c r="Q385" s="2289">
        <f t="shared" si="55"/>
        <v>120</v>
      </c>
      <c r="R385" s="2278"/>
      <c r="S385" s="2289"/>
      <c r="T385" s="2289"/>
      <c r="U385" s="2289"/>
      <c r="V385" s="2289">
        <v>120</v>
      </c>
      <c r="W385" s="2278"/>
      <c r="X385" s="2357"/>
      <c r="Y385" s="1199"/>
      <c r="Z385" s="1199"/>
      <c r="AA385" s="1199"/>
      <c r="AB385" s="1199"/>
      <c r="AC385" s="1199"/>
      <c r="AD385" s="1199"/>
      <c r="AE385" s="1199"/>
      <c r="AF385" s="1199"/>
      <c r="AG385" s="547">
        <f t="shared" si="56"/>
        <v>120</v>
      </c>
    </row>
    <row r="386" spans="1:33" s="1725" customFormat="1" ht="31.5" outlineLevel="2">
      <c r="A386" s="2589">
        <v>1226</v>
      </c>
      <c r="B386" s="2363" t="s">
        <v>795</v>
      </c>
      <c r="C386" s="2547" t="s">
        <v>796</v>
      </c>
      <c r="D386" s="2590"/>
      <c r="E386" s="2583">
        <v>5</v>
      </c>
      <c r="F386" s="2583">
        <v>43297</v>
      </c>
      <c r="G386" s="2583">
        <f t="shared" si="54"/>
        <v>43302</v>
      </c>
      <c r="H386" s="2278" t="s">
        <v>785</v>
      </c>
      <c r="I386" s="2583" t="s">
        <v>170</v>
      </c>
      <c r="J386" s="2586"/>
      <c r="K386" s="2580" t="s">
        <v>800</v>
      </c>
      <c r="L386" s="2587">
        <v>23174</v>
      </c>
      <c r="M386" s="2278"/>
      <c r="N386" s="2278"/>
      <c r="O386" s="1858">
        <v>773.33333333333337</v>
      </c>
      <c r="P386" s="2284">
        <v>1</v>
      </c>
      <c r="Q386" s="2289">
        <f t="shared" si="55"/>
        <v>773.33333333333337</v>
      </c>
      <c r="R386" s="2278"/>
      <c r="S386" s="2289"/>
      <c r="T386" s="2289"/>
      <c r="U386" s="2289"/>
      <c r="V386" s="2289">
        <v>773.33333333333337</v>
      </c>
      <c r="W386" s="2278"/>
      <c r="X386" s="2357"/>
      <c r="Y386" s="1199"/>
      <c r="Z386" s="1199"/>
      <c r="AA386" s="1199"/>
      <c r="AB386" s="1199"/>
      <c r="AC386" s="1199"/>
      <c r="AD386" s="1199"/>
      <c r="AE386" s="1199"/>
      <c r="AF386" s="1199"/>
      <c r="AG386" s="547">
        <f t="shared" si="56"/>
        <v>773.33333333333337</v>
      </c>
    </row>
    <row r="387" spans="1:33" s="1725" customFormat="1" ht="31.5" outlineLevel="2">
      <c r="A387" s="2589">
        <v>1226</v>
      </c>
      <c r="B387" s="2363" t="s">
        <v>795</v>
      </c>
      <c r="C387" s="2547" t="s">
        <v>796</v>
      </c>
      <c r="D387" s="2590"/>
      <c r="E387" s="2583">
        <v>5</v>
      </c>
      <c r="F387" s="2583">
        <v>43297</v>
      </c>
      <c r="G387" s="2583">
        <f t="shared" si="54"/>
        <v>43302</v>
      </c>
      <c r="H387" s="2278" t="s">
        <v>785</v>
      </c>
      <c r="I387" s="2583" t="s">
        <v>170</v>
      </c>
      <c r="J387" s="2586"/>
      <c r="K387" s="2284" t="s">
        <v>801</v>
      </c>
      <c r="L387" s="2587">
        <v>23174</v>
      </c>
      <c r="M387" s="2278"/>
      <c r="N387" s="2278"/>
      <c r="O387" s="1858">
        <v>106.66666666666667</v>
      </c>
      <c r="P387" s="2284">
        <v>1</v>
      </c>
      <c r="Q387" s="2289">
        <f t="shared" si="55"/>
        <v>106.66666666666667</v>
      </c>
      <c r="R387" s="2278"/>
      <c r="S387" s="2289"/>
      <c r="T387" s="2289"/>
      <c r="U387" s="2289"/>
      <c r="V387" s="2289">
        <v>106.66666666666667</v>
      </c>
      <c r="W387" s="2278"/>
      <c r="X387" s="2357"/>
      <c r="Y387" s="1199"/>
      <c r="Z387" s="1199"/>
      <c r="AA387" s="1199"/>
      <c r="AB387" s="1199"/>
      <c r="AC387" s="1199"/>
      <c r="AD387" s="1199"/>
      <c r="AE387" s="1199"/>
      <c r="AF387" s="1199"/>
      <c r="AG387" s="547">
        <f t="shared" si="56"/>
        <v>106.66666666666667</v>
      </c>
    </row>
    <row r="388" spans="1:33" s="1725" customFormat="1" ht="31.5" outlineLevel="2">
      <c r="A388" s="2589">
        <v>1226</v>
      </c>
      <c r="B388" s="2363" t="s">
        <v>795</v>
      </c>
      <c r="C388" s="2547" t="s">
        <v>796</v>
      </c>
      <c r="D388" s="2590"/>
      <c r="E388" s="2583">
        <v>5</v>
      </c>
      <c r="F388" s="2583">
        <v>43297</v>
      </c>
      <c r="G388" s="2583">
        <f t="shared" si="54"/>
        <v>43302</v>
      </c>
      <c r="H388" s="2278" t="s">
        <v>785</v>
      </c>
      <c r="I388" s="2583" t="s">
        <v>170</v>
      </c>
      <c r="J388" s="2586"/>
      <c r="K388" s="2278" t="s">
        <v>802</v>
      </c>
      <c r="L388" s="2587">
        <v>23174</v>
      </c>
      <c r="M388" s="2278"/>
      <c r="N388" s="2278"/>
      <c r="O388" s="2289">
        <v>816</v>
      </c>
      <c r="P388" s="2278">
        <v>1</v>
      </c>
      <c r="Q388" s="2289">
        <f t="shared" si="55"/>
        <v>816</v>
      </c>
      <c r="R388" s="2278"/>
      <c r="S388" s="2289"/>
      <c r="T388" s="2289"/>
      <c r="U388" s="2289"/>
      <c r="V388" s="2289">
        <v>816</v>
      </c>
      <c r="W388" s="2278"/>
      <c r="X388" s="2357"/>
      <c r="Y388" s="1199"/>
      <c r="Z388" s="1199"/>
      <c r="AA388" s="1199"/>
      <c r="AB388" s="1199"/>
      <c r="AC388" s="1199"/>
      <c r="AD388" s="1199"/>
      <c r="AE388" s="1199"/>
      <c r="AF388" s="1199"/>
      <c r="AG388" s="547">
        <f t="shared" si="56"/>
        <v>816</v>
      </c>
    </row>
    <row r="389" spans="1:33" s="1725" customFormat="1" ht="31.5" outlineLevel="2">
      <c r="A389" s="2589">
        <v>1226</v>
      </c>
      <c r="B389" s="2363" t="s">
        <v>795</v>
      </c>
      <c r="C389" s="2547" t="s">
        <v>796</v>
      </c>
      <c r="D389" s="2590"/>
      <c r="E389" s="2583">
        <v>5</v>
      </c>
      <c r="F389" s="2583">
        <v>43297</v>
      </c>
      <c r="G389" s="2583">
        <f t="shared" si="54"/>
        <v>43302</v>
      </c>
      <c r="H389" s="2278" t="s">
        <v>785</v>
      </c>
      <c r="I389" s="2583" t="s">
        <v>170</v>
      </c>
      <c r="J389" s="2586"/>
      <c r="K389" s="2278" t="s">
        <v>803</v>
      </c>
      <c r="L389" s="2587">
        <v>23174</v>
      </c>
      <c r="M389" s="2278"/>
      <c r="N389" s="2278"/>
      <c r="O389" s="2289">
        <v>480</v>
      </c>
      <c r="P389" s="2278">
        <v>1</v>
      </c>
      <c r="Q389" s="2289">
        <f t="shared" si="55"/>
        <v>480</v>
      </c>
      <c r="R389" s="2278"/>
      <c r="S389" s="2289"/>
      <c r="T389" s="2289"/>
      <c r="U389" s="2289"/>
      <c r="V389" s="2289">
        <v>480</v>
      </c>
      <c r="W389" s="2278"/>
      <c r="X389" s="2357"/>
      <c r="Y389" s="1199"/>
      <c r="Z389" s="1199"/>
      <c r="AA389" s="1199"/>
      <c r="AB389" s="1199"/>
      <c r="AC389" s="1199"/>
      <c r="AD389" s="1199"/>
      <c r="AE389" s="1199"/>
      <c r="AF389" s="1199"/>
      <c r="AG389" s="547">
        <f t="shared" si="56"/>
        <v>480</v>
      </c>
    </row>
    <row r="390" spans="1:33" s="1725" customFormat="1" outlineLevel="2">
      <c r="A390" s="2589">
        <v>1228</v>
      </c>
      <c r="B390" s="2363" t="s">
        <v>808</v>
      </c>
      <c r="C390" s="2547" t="s">
        <v>809</v>
      </c>
      <c r="D390" s="2590"/>
      <c r="E390" s="2583">
        <v>10</v>
      </c>
      <c r="F390" s="2583">
        <v>43318</v>
      </c>
      <c r="G390" s="2583">
        <f t="shared" si="54"/>
        <v>43328</v>
      </c>
      <c r="H390" s="2278" t="s">
        <v>810</v>
      </c>
      <c r="I390" s="2583" t="s">
        <v>170</v>
      </c>
      <c r="J390" s="2586"/>
      <c r="K390" s="2278" t="s">
        <v>811</v>
      </c>
      <c r="L390" s="2587">
        <v>23174</v>
      </c>
      <c r="M390" s="2278"/>
      <c r="N390" s="2278"/>
      <c r="O390" s="1858">
        <v>36000</v>
      </c>
      <c r="P390" s="2284">
        <v>1</v>
      </c>
      <c r="Q390" s="2289">
        <f t="shared" si="55"/>
        <v>36000</v>
      </c>
      <c r="R390" s="2278"/>
      <c r="S390" s="2289"/>
      <c r="T390" s="2289"/>
      <c r="U390" s="2289"/>
      <c r="V390" s="2289">
        <v>36000</v>
      </c>
      <c r="W390" s="2278"/>
      <c r="X390" s="2357"/>
      <c r="Y390" s="1199"/>
      <c r="Z390" s="1199"/>
      <c r="AA390" s="1199"/>
      <c r="AB390" s="1199"/>
      <c r="AC390" s="1199"/>
      <c r="AD390" s="1199"/>
      <c r="AE390" s="1199"/>
      <c r="AF390" s="1199"/>
      <c r="AG390" s="547">
        <f t="shared" si="56"/>
        <v>36000</v>
      </c>
    </row>
    <row r="391" spans="1:33" s="1725" customFormat="1" outlineLevel="2">
      <c r="A391" s="2589">
        <v>1228</v>
      </c>
      <c r="B391" s="2363" t="s">
        <v>808</v>
      </c>
      <c r="C391" s="2547" t="s">
        <v>809</v>
      </c>
      <c r="D391" s="2590"/>
      <c r="E391" s="2583">
        <v>10</v>
      </c>
      <c r="F391" s="2583">
        <v>43318</v>
      </c>
      <c r="G391" s="2583">
        <f t="shared" si="54"/>
        <v>43328</v>
      </c>
      <c r="H391" s="2278" t="s">
        <v>810</v>
      </c>
      <c r="I391" s="2583" t="s">
        <v>170</v>
      </c>
      <c r="J391" s="2586"/>
      <c r="K391" s="2278" t="s">
        <v>812</v>
      </c>
      <c r="L391" s="2587">
        <v>23174</v>
      </c>
      <c r="M391" s="2278"/>
      <c r="N391" s="2591"/>
      <c r="O391" s="1743">
        <v>7920</v>
      </c>
      <c r="P391" s="2284">
        <v>1</v>
      </c>
      <c r="Q391" s="2289">
        <f t="shared" si="55"/>
        <v>7920</v>
      </c>
      <c r="R391" s="2278"/>
      <c r="S391" s="2289"/>
      <c r="T391" s="2289"/>
      <c r="U391" s="2289"/>
      <c r="V391" s="2289">
        <v>7920</v>
      </c>
      <c r="W391" s="2278"/>
      <c r="X391" s="2357"/>
      <c r="Y391" s="1199"/>
      <c r="Z391" s="1199"/>
      <c r="AA391" s="1199"/>
      <c r="AB391" s="1199"/>
      <c r="AC391" s="1199"/>
      <c r="AD391" s="1199"/>
      <c r="AE391" s="1199"/>
      <c r="AF391" s="1199"/>
      <c r="AG391" s="547">
        <f t="shared" si="56"/>
        <v>7920</v>
      </c>
    </row>
    <row r="392" spans="1:33" s="1725" customFormat="1" outlineLevel="2">
      <c r="A392" s="2589">
        <v>1228</v>
      </c>
      <c r="B392" s="2363" t="s">
        <v>808</v>
      </c>
      <c r="C392" s="2547" t="s">
        <v>809</v>
      </c>
      <c r="D392" s="2590"/>
      <c r="E392" s="2583">
        <v>10</v>
      </c>
      <c r="F392" s="2583">
        <v>43318</v>
      </c>
      <c r="G392" s="2583">
        <f t="shared" si="54"/>
        <v>43328</v>
      </c>
      <c r="H392" s="2278" t="s">
        <v>810</v>
      </c>
      <c r="I392" s="2583" t="s">
        <v>170</v>
      </c>
      <c r="J392" s="2586"/>
      <c r="K392" s="2278" t="s">
        <v>813</v>
      </c>
      <c r="L392" s="2587">
        <v>23174</v>
      </c>
      <c r="M392" s="2278"/>
      <c r="N392" s="2591"/>
      <c r="O392" s="1743">
        <v>600</v>
      </c>
      <c r="P392" s="2284">
        <v>1</v>
      </c>
      <c r="Q392" s="2289">
        <f t="shared" si="55"/>
        <v>600</v>
      </c>
      <c r="R392" s="2278"/>
      <c r="S392" s="2289"/>
      <c r="T392" s="2289"/>
      <c r="U392" s="2289"/>
      <c r="V392" s="2289">
        <v>600</v>
      </c>
      <c r="W392" s="2278"/>
      <c r="X392" s="2357"/>
      <c r="Y392" s="1199"/>
      <c r="Z392" s="1199"/>
      <c r="AA392" s="1199"/>
      <c r="AB392" s="1199"/>
      <c r="AC392" s="1199"/>
      <c r="AD392" s="1199"/>
      <c r="AE392" s="1199"/>
      <c r="AF392" s="1199"/>
      <c r="AG392" s="547">
        <f t="shared" si="56"/>
        <v>600</v>
      </c>
    </row>
    <row r="393" spans="1:33" s="1725" customFormat="1" outlineLevel="2">
      <c r="A393" s="2589">
        <v>1228</v>
      </c>
      <c r="B393" s="2363" t="s">
        <v>808</v>
      </c>
      <c r="C393" s="2547" t="s">
        <v>809</v>
      </c>
      <c r="D393" s="2590"/>
      <c r="E393" s="2583">
        <v>10</v>
      </c>
      <c r="F393" s="2583">
        <v>43318</v>
      </c>
      <c r="G393" s="2583">
        <f t="shared" si="54"/>
        <v>43328</v>
      </c>
      <c r="H393" s="2278" t="s">
        <v>810</v>
      </c>
      <c r="I393" s="2583" t="s">
        <v>170</v>
      </c>
      <c r="J393" s="2586"/>
      <c r="K393" s="2278" t="s">
        <v>814</v>
      </c>
      <c r="L393" s="2587">
        <v>23174</v>
      </c>
      <c r="M393" s="2278"/>
      <c r="N393" s="2278"/>
      <c r="O393" s="2310">
        <v>6600</v>
      </c>
      <c r="P393" s="2278">
        <v>1</v>
      </c>
      <c r="Q393" s="2289">
        <f t="shared" si="55"/>
        <v>6600</v>
      </c>
      <c r="R393" s="2278"/>
      <c r="S393" s="2289"/>
      <c r="T393" s="2289"/>
      <c r="U393" s="2289"/>
      <c r="V393" s="2289">
        <v>6600</v>
      </c>
      <c r="W393" s="2278"/>
      <c r="X393" s="2357"/>
      <c r="Y393" s="1199"/>
      <c r="Z393" s="1199"/>
      <c r="AA393" s="1199"/>
      <c r="AB393" s="1199"/>
      <c r="AC393" s="1199"/>
      <c r="AD393" s="1199"/>
      <c r="AE393" s="1199"/>
      <c r="AF393" s="1199"/>
      <c r="AG393" s="547">
        <f t="shared" si="56"/>
        <v>6600</v>
      </c>
    </row>
    <row r="394" spans="1:33" s="1725" customFormat="1" outlineLevel="2">
      <c r="A394" s="2589">
        <v>1228</v>
      </c>
      <c r="B394" s="2363" t="s">
        <v>808</v>
      </c>
      <c r="C394" s="2547" t="s">
        <v>809</v>
      </c>
      <c r="D394" s="2590"/>
      <c r="E394" s="2583">
        <v>10</v>
      </c>
      <c r="F394" s="2583">
        <v>43318</v>
      </c>
      <c r="G394" s="2583">
        <f t="shared" ref="G394:G410" si="57">F394+E394</f>
        <v>43328</v>
      </c>
      <c r="H394" s="2278" t="s">
        <v>810</v>
      </c>
      <c r="I394" s="2583" t="s">
        <v>170</v>
      </c>
      <c r="J394" s="2586"/>
      <c r="K394" s="2278" t="s">
        <v>815</v>
      </c>
      <c r="L394" s="2587">
        <v>23174</v>
      </c>
      <c r="M394" s="2278"/>
      <c r="N394" s="2278"/>
      <c r="O394" s="2289">
        <v>300</v>
      </c>
      <c r="P394" s="2278">
        <v>1</v>
      </c>
      <c r="Q394" s="2289">
        <f t="shared" si="55"/>
        <v>300</v>
      </c>
      <c r="R394" s="2278"/>
      <c r="S394" s="2289"/>
      <c r="T394" s="2289"/>
      <c r="U394" s="2289"/>
      <c r="V394" s="2289">
        <v>300</v>
      </c>
      <c r="W394" s="2278"/>
      <c r="X394" s="2357"/>
      <c r="Y394" s="1199"/>
      <c r="Z394" s="1199"/>
      <c r="AA394" s="1199"/>
      <c r="AB394" s="1199"/>
      <c r="AC394" s="1199"/>
      <c r="AD394" s="1199"/>
      <c r="AE394" s="1199"/>
      <c r="AF394" s="1199"/>
      <c r="AG394" s="547">
        <f t="shared" si="56"/>
        <v>300</v>
      </c>
    </row>
    <row r="395" spans="1:33" s="1725" customFormat="1" outlineLevel="2">
      <c r="A395" s="2589">
        <v>1228</v>
      </c>
      <c r="B395" s="2363" t="s">
        <v>808</v>
      </c>
      <c r="C395" s="2547" t="s">
        <v>809</v>
      </c>
      <c r="D395" s="2590"/>
      <c r="E395" s="2583">
        <v>10</v>
      </c>
      <c r="F395" s="2583">
        <v>43318</v>
      </c>
      <c r="G395" s="2583">
        <f t="shared" si="57"/>
        <v>43328</v>
      </c>
      <c r="H395" s="2278" t="s">
        <v>810</v>
      </c>
      <c r="I395" s="2583" t="s">
        <v>170</v>
      </c>
      <c r="J395" s="2586"/>
      <c r="K395" s="2588" t="s">
        <v>816</v>
      </c>
      <c r="L395" s="2587">
        <v>23174</v>
      </c>
      <c r="M395" s="2278"/>
      <c r="N395" s="2278"/>
      <c r="O395" s="1858">
        <v>2720</v>
      </c>
      <c r="P395" s="2284">
        <v>1</v>
      </c>
      <c r="Q395" s="2289">
        <f t="shared" si="55"/>
        <v>2720</v>
      </c>
      <c r="R395" s="2278"/>
      <c r="S395" s="2289"/>
      <c r="T395" s="2289"/>
      <c r="U395" s="2289"/>
      <c r="V395" s="2289">
        <v>2720</v>
      </c>
      <c r="W395" s="2278"/>
      <c r="X395" s="2357"/>
      <c r="Y395" s="1199"/>
      <c r="Z395" s="1199"/>
      <c r="AA395" s="1199"/>
      <c r="AB395" s="1199"/>
      <c r="AC395" s="1199"/>
      <c r="AD395" s="1199"/>
      <c r="AE395" s="1199"/>
      <c r="AF395" s="1199"/>
      <c r="AG395" s="547">
        <f t="shared" si="56"/>
        <v>2720</v>
      </c>
    </row>
    <row r="396" spans="1:33" s="1725" customFormat="1" outlineLevel="2">
      <c r="A396" s="2589">
        <v>1228</v>
      </c>
      <c r="B396" s="2363" t="s">
        <v>808</v>
      </c>
      <c r="C396" s="2547" t="s">
        <v>809</v>
      </c>
      <c r="D396" s="2590"/>
      <c r="E396" s="2583">
        <v>10</v>
      </c>
      <c r="F396" s="2583">
        <v>43318</v>
      </c>
      <c r="G396" s="2583">
        <f t="shared" si="57"/>
        <v>43328</v>
      </c>
      <c r="H396" s="2278" t="s">
        <v>810</v>
      </c>
      <c r="I396" s="2583" t="s">
        <v>170</v>
      </c>
      <c r="J396" s="2593"/>
      <c r="K396" s="1199" t="s">
        <v>817</v>
      </c>
      <c r="L396" s="2594">
        <v>23174</v>
      </c>
      <c r="M396" s="2278"/>
      <c r="N396" s="2278"/>
      <c r="O396" s="1858">
        <v>6674.9333333333334</v>
      </c>
      <c r="P396" s="2284">
        <v>1</v>
      </c>
      <c r="Q396" s="2289">
        <f t="shared" si="55"/>
        <v>6674.9333333333334</v>
      </c>
      <c r="R396" s="2278"/>
      <c r="S396" s="2289"/>
      <c r="T396" s="2289"/>
      <c r="U396" s="2289"/>
      <c r="V396" s="2289">
        <v>6674.9333333333334</v>
      </c>
      <c r="W396" s="2278"/>
      <c r="X396" s="2357"/>
      <c r="Y396" s="1199"/>
      <c r="Z396" s="1199"/>
      <c r="AA396" s="1199"/>
      <c r="AB396" s="1199"/>
      <c r="AC396" s="1199"/>
      <c r="AD396" s="1199"/>
      <c r="AE396" s="1199"/>
      <c r="AF396" s="1199"/>
      <c r="AG396" s="547">
        <f t="shared" si="56"/>
        <v>6674.9333333333334</v>
      </c>
    </row>
    <row r="397" spans="1:33" s="1725" customFormat="1" outlineLevel="2">
      <c r="A397" s="2589">
        <v>1229</v>
      </c>
      <c r="B397" s="2363" t="s">
        <v>819</v>
      </c>
      <c r="C397" s="2547" t="s">
        <v>820</v>
      </c>
      <c r="D397" s="2590"/>
      <c r="E397" s="2583">
        <v>10</v>
      </c>
      <c r="F397" s="2583">
        <v>43339</v>
      </c>
      <c r="G397" s="2583">
        <f t="shared" si="57"/>
        <v>43349</v>
      </c>
      <c r="H397" s="2278" t="s">
        <v>774</v>
      </c>
      <c r="I397" s="2583" t="s">
        <v>170</v>
      </c>
      <c r="J397" s="2586"/>
      <c r="K397" s="2284" t="s">
        <v>821</v>
      </c>
      <c r="L397" s="2587">
        <v>23174</v>
      </c>
      <c r="M397" s="2278"/>
      <c r="N397" s="2278"/>
      <c r="O397" s="1858">
        <v>1320</v>
      </c>
      <c r="P397" s="2284">
        <v>1</v>
      </c>
      <c r="Q397" s="2289">
        <f t="shared" si="55"/>
        <v>1320</v>
      </c>
      <c r="R397" s="2278"/>
      <c r="S397" s="2289"/>
      <c r="T397" s="2289"/>
      <c r="U397" s="2289"/>
      <c r="V397" s="356"/>
      <c r="W397" s="2289">
        <v>1320</v>
      </c>
      <c r="X397" s="2357"/>
      <c r="Y397" s="1199"/>
      <c r="Z397" s="1199"/>
      <c r="AA397" s="1199"/>
      <c r="AB397" s="1199"/>
      <c r="AC397" s="1199"/>
      <c r="AD397" s="1199"/>
      <c r="AE397" s="1199"/>
      <c r="AF397" s="1199"/>
      <c r="AG397" s="547">
        <f t="shared" si="56"/>
        <v>1320</v>
      </c>
    </row>
    <row r="398" spans="1:33" s="1725" customFormat="1" outlineLevel="2">
      <c r="A398" s="2589">
        <v>1229</v>
      </c>
      <c r="B398" s="2363" t="s">
        <v>819</v>
      </c>
      <c r="C398" s="2547" t="s">
        <v>820</v>
      </c>
      <c r="D398" s="2590"/>
      <c r="E398" s="2583">
        <v>10</v>
      </c>
      <c r="F398" s="2583">
        <v>43339</v>
      </c>
      <c r="G398" s="2583">
        <f t="shared" si="57"/>
        <v>43349</v>
      </c>
      <c r="H398" s="2278" t="s">
        <v>774</v>
      </c>
      <c r="I398" s="2583" t="s">
        <v>170</v>
      </c>
      <c r="J398" s="2593"/>
      <c r="K398" s="1199" t="s">
        <v>822</v>
      </c>
      <c r="L398" s="2595">
        <v>23174</v>
      </c>
      <c r="M398" s="2278"/>
      <c r="N398" s="2278"/>
      <c r="O398" s="1858">
        <v>5724</v>
      </c>
      <c r="P398" s="2284">
        <v>1</v>
      </c>
      <c r="Q398" s="2289">
        <f t="shared" si="55"/>
        <v>5724</v>
      </c>
      <c r="R398" s="2278"/>
      <c r="S398" s="2289"/>
      <c r="T398" s="2289"/>
      <c r="U398" s="2289"/>
      <c r="V398" s="2278"/>
      <c r="W398" s="2289">
        <v>5724</v>
      </c>
      <c r="X398" s="2357"/>
      <c r="Y398" s="1199"/>
      <c r="Z398" s="1199"/>
      <c r="AA398" s="1199"/>
      <c r="AB398" s="1199"/>
      <c r="AC398" s="1199"/>
      <c r="AD398" s="1199"/>
      <c r="AE398" s="1199"/>
      <c r="AF398" s="1199"/>
      <c r="AG398" s="547">
        <f t="shared" si="56"/>
        <v>5724</v>
      </c>
    </row>
    <row r="399" spans="1:33" s="1725" customFormat="1" outlineLevel="2">
      <c r="A399" s="2589">
        <v>1229</v>
      </c>
      <c r="B399" s="2363" t="s">
        <v>819</v>
      </c>
      <c r="C399" s="2547" t="s">
        <v>820</v>
      </c>
      <c r="D399" s="2590"/>
      <c r="E399" s="2583">
        <v>10</v>
      </c>
      <c r="F399" s="2583">
        <v>43339</v>
      </c>
      <c r="G399" s="2583">
        <f t="shared" si="57"/>
        <v>43349</v>
      </c>
      <c r="H399" s="2278" t="s">
        <v>774</v>
      </c>
      <c r="I399" s="2583" t="s">
        <v>170</v>
      </c>
      <c r="J399" s="2586"/>
      <c r="K399" s="2592" t="s">
        <v>799</v>
      </c>
      <c r="L399" s="2587">
        <v>23174</v>
      </c>
      <c r="M399" s="2278"/>
      <c r="N399" s="2278"/>
      <c r="O399" s="2289">
        <v>260</v>
      </c>
      <c r="P399" s="2278">
        <v>1</v>
      </c>
      <c r="Q399" s="2289">
        <f t="shared" si="55"/>
        <v>260</v>
      </c>
      <c r="R399" s="2278"/>
      <c r="S399" s="2289"/>
      <c r="T399" s="2289"/>
      <c r="U399" s="2289"/>
      <c r="V399" s="2278"/>
      <c r="W399" s="2289">
        <v>260</v>
      </c>
      <c r="X399" s="2357"/>
      <c r="Y399" s="1199"/>
      <c r="Z399" s="1199"/>
      <c r="AA399" s="1199"/>
      <c r="AB399" s="1199"/>
      <c r="AC399" s="1199"/>
      <c r="AD399" s="1199"/>
      <c r="AE399" s="1199"/>
      <c r="AF399" s="1199"/>
      <c r="AG399" s="547">
        <f t="shared" si="56"/>
        <v>260</v>
      </c>
    </row>
    <row r="400" spans="1:33" s="1725" customFormat="1" outlineLevel="2">
      <c r="A400" s="2589">
        <v>1229</v>
      </c>
      <c r="B400" s="2363" t="s">
        <v>819</v>
      </c>
      <c r="C400" s="2547" t="s">
        <v>820</v>
      </c>
      <c r="D400" s="2590"/>
      <c r="E400" s="2583">
        <v>10</v>
      </c>
      <c r="F400" s="2583">
        <v>43339</v>
      </c>
      <c r="G400" s="2583">
        <f t="shared" si="57"/>
        <v>43349</v>
      </c>
      <c r="H400" s="2278" t="s">
        <v>774</v>
      </c>
      <c r="I400" s="2583" t="s">
        <v>170</v>
      </c>
      <c r="J400" s="2586"/>
      <c r="K400" s="2278" t="s">
        <v>823</v>
      </c>
      <c r="L400" s="2587">
        <v>23174</v>
      </c>
      <c r="M400" s="2278"/>
      <c r="N400" s="2278"/>
      <c r="O400" s="2289">
        <v>5773.333333333333</v>
      </c>
      <c r="P400" s="2278">
        <v>1</v>
      </c>
      <c r="Q400" s="2289">
        <f t="shared" si="55"/>
        <v>5773.333333333333</v>
      </c>
      <c r="R400" s="2278"/>
      <c r="S400" s="2289"/>
      <c r="T400" s="2289"/>
      <c r="U400" s="2289"/>
      <c r="V400" s="2278"/>
      <c r="W400" s="2289">
        <v>5773.333333333333</v>
      </c>
      <c r="X400" s="2357"/>
      <c r="Y400" s="1199"/>
      <c r="Z400" s="1199"/>
      <c r="AA400" s="1199"/>
      <c r="AB400" s="1199"/>
      <c r="AC400" s="1199"/>
      <c r="AD400" s="1199"/>
      <c r="AE400" s="1199"/>
      <c r="AF400" s="1199"/>
      <c r="AG400" s="547">
        <f t="shared" si="56"/>
        <v>5773.333333333333</v>
      </c>
    </row>
    <row r="401" spans="1:33" s="1725" customFormat="1" outlineLevel="2">
      <c r="A401" s="2589">
        <v>1229</v>
      </c>
      <c r="B401" s="2363" t="s">
        <v>819</v>
      </c>
      <c r="C401" s="2547" t="s">
        <v>820</v>
      </c>
      <c r="D401" s="2590"/>
      <c r="E401" s="2583">
        <v>10</v>
      </c>
      <c r="F401" s="2583">
        <v>43339</v>
      </c>
      <c r="G401" s="2583">
        <f t="shared" si="57"/>
        <v>43349</v>
      </c>
      <c r="H401" s="2278" t="s">
        <v>774</v>
      </c>
      <c r="I401" s="2583" t="s">
        <v>170</v>
      </c>
      <c r="J401" s="2586"/>
      <c r="K401" s="2588" t="s">
        <v>779</v>
      </c>
      <c r="L401" s="2587">
        <v>23174</v>
      </c>
      <c r="M401" s="2278"/>
      <c r="N401" s="2278"/>
      <c r="O401" s="1858">
        <v>153.33333333333334</v>
      </c>
      <c r="P401" s="2284">
        <v>1</v>
      </c>
      <c r="Q401" s="2289">
        <f t="shared" si="55"/>
        <v>153.33333333333334</v>
      </c>
      <c r="R401" s="2278"/>
      <c r="S401" s="2289"/>
      <c r="T401" s="2289"/>
      <c r="U401" s="2289"/>
      <c r="V401" s="2278"/>
      <c r="W401" s="2289">
        <v>153.33333333333334</v>
      </c>
      <c r="X401" s="2357"/>
      <c r="Y401" s="1199"/>
      <c r="Z401" s="1199"/>
      <c r="AA401" s="1199"/>
      <c r="AB401" s="1199"/>
      <c r="AC401" s="1199"/>
      <c r="AD401" s="1199"/>
      <c r="AE401" s="1199"/>
      <c r="AF401" s="1199"/>
      <c r="AG401" s="547">
        <f t="shared" si="56"/>
        <v>153.33333333333334</v>
      </c>
    </row>
    <row r="402" spans="1:33" s="1725" customFormat="1" outlineLevel="2">
      <c r="A402" s="2589">
        <v>1229</v>
      </c>
      <c r="B402" s="2363" t="s">
        <v>819</v>
      </c>
      <c r="C402" s="2547" t="s">
        <v>820</v>
      </c>
      <c r="D402" s="2590"/>
      <c r="E402" s="2583">
        <v>10</v>
      </c>
      <c r="F402" s="2583">
        <v>43339</v>
      </c>
      <c r="G402" s="2583">
        <f t="shared" si="57"/>
        <v>43349</v>
      </c>
      <c r="H402" s="2278" t="s">
        <v>774</v>
      </c>
      <c r="I402" s="2583" t="s">
        <v>170</v>
      </c>
      <c r="J402" s="2593"/>
      <c r="K402" s="1199" t="s">
        <v>824</v>
      </c>
      <c r="L402" s="2594">
        <v>23174</v>
      </c>
      <c r="M402" s="2278"/>
      <c r="N402" s="2278"/>
      <c r="O402" s="1858">
        <v>238</v>
      </c>
      <c r="P402" s="2284">
        <v>1</v>
      </c>
      <c r="Q402" s="2289">
        <f t="shared" si="55"/>
        <v>238</v>
      </c>
      <c r="R402" s="2278"/>
      <c r="S402" s="2289"/>
      <c r="T402" s="2289"/>
      <c r="U402" s="2289"/>
      <c r="V402" s="2278"/>
      <c r="W402" s="2289">
        <v>238</v>
      </c>
      <c r="X402" s="2357"/>
      <c r="Y402" s="1199"/>
      <c r="Z402" s="1199"/>
      <c r="AA402" s="1199"/>
      <c r="AB402" s="1199"/>
      <c r="AC402" s="1199"/>
      <c r="AD402" s="1199"/>
      <c r="AE402" s="1199"/>
      <c r="AF402" s="1199"/>
      <c r="AG402" s="547">
        <f t="shared" si="56"/>
        <v>238</v>
      </c>
    </row>
    <row r="403" spans="1:33" s="1725" customFormat="1" outlineLevel="2">
      <c r="A403" s="2589">
        <v>1229</v>
      </c>
      <c r="B403" s="2363" t="s">
        <v>819</v>
      </c>
      <c r="C403" s="2547" t="s">
        <v>820</v>
      </c>
      <c r="D403" s="2590"/>
      <c r="E403" s="2583">
        <v>10</v>
      </c>
      <c r="F403" s="2583">
        <v>43339</v>
      </c>
      <c r="G403" s="2583">
        <f t="shared" si="57"/>
        <v>43349</v>
      </c>
      <c r="H403" s="2278" t="s">
        <v>774</v>
      </c>
      <c r="I403" s="2583" t="s">
        <v>170</v>
      </c>
      <c r="J403" s="2586"/>
      <c r="K403" s="2284" t="s">
        <v>825</v>
      </c>
      <c r="L403" s="2587">
        <v>23174</v>
      </c>
      <c r="M403" s="2278"/>
      <c r="N403" s="2278"/>
      <c r="O403" s="1858">
        <v>501.66666666666669</v>
      </c>
      <c r="P403" s="2284">
        <v>1</v>
      </c>
      <c r="Q403" s="2289">
        <f t="shared" si="55"/>
        <v>501.66666666666669</v>
      </c>
      <c r="R403" s="2278"/>
      <c r="S403" s="2289"/>
      <c r="T403" s="2289"/>
      <c r="U403" s="2289"/>
      <c r="V403" s="2278"/>
      <c r="W403" s="1859">
        <v>501.66666666666669</v>
      </c>
      <c r="X403" s="2357"/>
      <c r="Y403" s="1199"/>
      <c r="Z403" s="1199"/>
      <c r="AA403" s="1199"/>
      <c r="AB403" s="1199"/>
      <c r="AC403" s="1199"/>
      <c r="AD403" s="1199"/>
      <c r="AE403" s="1199"/>
      <c r="AF403" s="1199"/>
      <c r="AG403" s="547">
        <f t="shared" si="56"/>
        <v>501.66666666666669</v>
      </c>
    </row>
    <row r="404" spans="1:33" s="1725" customFormat="1" outlineLevel="2">
      <c r="A404" s="2589">
        <v>1230</v>
      </c>
      <c r="B404" s="2363" t="s">
        <v>826</v>
      </c>
      <c r="C404" s="2547" t="s">
        <v>827</v>
      </c>
      <c r="D404" s="2590"/>
      <c r="E404" s="2583">
        <v>5</v>
      </c>
      <c r="F404" s="2583">
        <v>43360</v>
      </c>
      <c r="G404" s="2583">
        <f t="shared" si="57"/>
        <v>43365</v>
      </c>
      <c r="H404" s="2278" t="s">
        <v>785</v>
      </c>
      <c r="I404" s="2583" t="s">
        <v>170</v>
      </c>
      <c r="J404" s="2596"/>
      <c r="K404" s="1199" t="s">
        <v>828</v>
      </c>
      <c r="L404" s="2594">
        <v>23174</v>
      </c>
      <c r="M404" s="2278"/>
      <c r="N404" s="2278"/>
      <c r="O404" s="1858">
        <v>2520</v>
      </c>
      <c r="P404" s="2284">
        <v>1</v>
      </c>
      <c r="Q404" s="2289">
        <f t="shared" si="55"/>
        <v>2520</v>
      </c>
      <c r="R404" s="2278"/>
      <c r="S404" s="2289"/>
      <c r="T404" s="2289"/>
      <c r="U404" s="2289"/>
      <c r="V404" s="2278"/>
      <c r="W404" s="2289">
        <v>2520</v>
      </c>
      <c r="X404" s="2357"/>
      <c r="Y404" s="1199"/>
      <c r="Z404" s="1199"/>
      <c r="AA404" s="1199"/>
      <c r="AB404" s="1199"/>
      <c r="AC404" s="1199"/>
      <c r="AD404" s="1199"/>
      <c r="AE404" s="1199"/>
      <c r="AF404" s="1199"/>
      <c r="AG404" s="547">
        <f t="shared" si="56"/>
        <v>2520</v>
      </c>
    </row>
    <row r="405" spans="1:33" s="1725" customFormat="1" outlineLevel="2">
      <c r="A405" s="2589">
        <v>1230</v>
      </c>
      <c r="B405" s="2363" t="s">
        <v>826</v>
      </c>
      <c r="C405" s="2547" t="s">
        <v>827</v>
      </c>
      <c r="D405" s="2590"/>
      <c r="E405" s="2583">
        <v>5</v>
      </c>
      <c r="F405" s="2583">
        <v>43360</v>
      </c>
      <c r="G405" s="2583">
        <f t="shared" si="57"/>
        <v>43365</v>
      </c>
      <c r="H405" s="2278" t="s">
        <v>785</v>
      </c>
      <c r="I405" s="2583" t="s">
        <v>170</v>
      </c>
      <c r="J405" s="2596"/>
      <c r="K405" s="1199" t="s">
        <v>829</v>
      </c>
      <c r="L405" s="2594">
        <v>23174</v>
      </c>
      <c r="M405" s="2278"/>
      <c r="N405" s="2278"/>
      <c r="O405" s="1858">
        <v>1236</v>
      </c>
      <c r="P405" s="2284">
        <v>1</v>
      </c>
      <c r="Q405" s="2289">
        <f t="shared" si="55"/>
        <v>1236</v>
      </c>
      <c r="R405" s="2278"/>
      <c r="S405" s="2289"/>
      <c r="T405" s="2289"/>
      <c r="U405" s="2289"/>
      <c r="V405" s="2278"/>
      <c r="W405" s="2289">
        <v>1236</v>
      </c>
      <c r="X405" s="2357"/>
      <c r="Y405" s="1199"/>
      <c r="Z405" s="1199"/>
      <c r="AA405" s="1199"/>
      <c r="AB405" s="1199"/>
      <c r="AC405" s="1199"/>
      <c r="AD405" s="1199"/>
      <c r="AE405" s="1199"/>
      <c r="AF405" s="1199"/>
      <c r="AG405" s="547">
        <f t="shared" si="56"/>
        <v>1236</v>
      </c>
    </row>
    <row r="406" spans="1:33" s="1725" customFormat="1" outlineLevel="2">
      <c r="A406" s="2589">
        <v>1230</v>
      </c>
      <c r="B406" s="2363" t="s">
        <v>826</v>
      </c>
      <c r="C406" s="2547" t="s">
        <v>827</v>
      </c>
      <c r="D406" s="2590"/>
      <c r="E406" s="2583">
        <v>5</v>
      </c>
      <c r="F406" s="2583">
        <v>43360</v>
      </c>
      <c r="G406" s="2583">
        <f t="shared" si="57"/>
        <v>43365</v>
      </c>
      <c r="H406" s="2278" t="s">
        <v>785</v>
      </c>
      <c r="I406" s="2583" t="s">
        <v>170</v>
      </c>
      <c r="J406" s="2586"/>
      <c r="K406" s="2284" t="s">
        <v>830</v>
      </c>
      <c r="L406" s="2587">
        <v>23174</v>
      </c>
      <c r="M406" s="2278"/>
      <c r="N406" s="2278"/>
      <c r="O406" s="1858">
        <v>260</v>
      </c>
      <c r="P406" s="2284">
        <v>1</v>
      </c>
      <c r="Q406" s="2289">
        <f t="shared" si="55"/>
        <v>260</v>
      </c>
      <c r="R406" s="2278"/>
      <c r="S406" s="2289"/>
      <c r="T406" s="2289"/>
      <c r="U406" s="2289"/>
      <c r="V406" s="2278"/>
      <c r="W406" s="2289">
        <v>260</v>
      </c>
      <c r="X406" s="356"/>
      <c r="Y406" s="1199"/>
      <c r="Z406" s="1199"/>
      <c r="AA406" s="1199"/>
      <c r="AB406" s="1199"/>
      <c r="AC406" s="1199"/>
      <c r="AD406" s="1199"/>
      <c r="AE406" s="1199"/>
      <c r="AF406" s="1199"/>
      <c r="AG406" s="547">
        <f t="shared" si="56"/>
        <v>260</v>
      </c>
    </row>
    <row r="407" spans="1:33" s="1725" customFormat="1" outlineLevel="2">
      <c r="A407" s="2589">
        <v>1230</v>
      </c>
      <c r="B407" s="2363" t="s">
        <v>826</v>
      </c>
      <c r="C407" s="2547" t="s">
        <v>827</v>
      </c>
      <c r="D407" s="2590"/>
      <c r="E407" s="2583">
        <v>5</v>
      </c>
      <c r="F407" s="2583">
        <v>43360</v>
      </c>
      <c r="G407" s="2583">
        <f t="shared" si="57"/>
        <v>43365</v>
      </c>
      <c r="H407" s="2278" t="s">
        <v>785</v>
      </c>
      <c r="I407" s="2583" t="s">
        <v>170</v>
      </c>
      <c r="J407" s="2586"/>
      <c r="K407" s="356" t="s">
        <v>831</v>
      </c>
      <c r="L407" s="2587">
        <v>23174</v>
      </c>
      <c r="M407" s="2278"/>
      <c r="N407" s="2278"/>
      <c r="O407" s="1858">
        <v>1173.3333333333333</v>
      </c>
      <c r="P407" s="2284">
        <v>1</v>
      </c>
      <c r="Q407" s="2289">
        <f t="shared" si="55"/>
        <v>1173.3333333333333</v>
      </c>
      <c r="R407" s="2278"/>
      <c r="S407" s="2289"/>
      <c r="T407" s="2289"/>
      <c r="U407" s="2289"/>
      <c r="V407" s="2278"/>
      <c r="W407" s="2289">
        <v>1173.3333333333333</v>
      </c>
      <c r="X407" s="2357"/>
      <c r="Y407" s="1199"/>
      <c r="Z407" s="1199"/>
      <c r="AA407" s="1199"/>
      <c r="AB407" s="1199"/>
      <c r="AC407" s="1199"/>
      <c r="AD407" s="1199"/>
      <c r="AE407" s="1199"/>
      <c r="AF407" s="1199"/>
      <c r="AG407" s="547">
        <f t="shared" si="56"/>
        <v>1173.3333333333333</v>
      </c>
    </row>
    <row r="408" spans="1:33" outlineLevel="2">
      <c r="A408" s="2417">
        <v>1230</v>
      </c>
      <c r="B408" s="2363" t="s">
        <v>826</v>
      </c>
      <c r="C408" s="2547" t="s">
        <v>827</v>
      </c>
      <c r="D408" s="2284"/>
      <c r="E408" s="2417">
        <v>5</v>
      </c>
      <c r="F408" s="2417">
        <v>43360</v>
      </c>
      <c r="G408" s="2417">
        <f t="shared" si="57"/>
        <v>43365</v>
      </c>
      <c r="H408" s="2284" t="s">
        <v>785</v>
      </c>
      <c r="I408" s="2417" t="s">
        <v>170</v>
      </c>
      <c r="J408" s="2420"/>
      <c r="K408" s="2284" t="s">
        <v>832</v>
      </c>
      <c r="L408" s="2574">
        <v>23174</v>
      </c>
      <c r="M408" s="2284"/>
      <c r="N408" s="2284"/>
      <c r="O408" s="1858">
        <v>146.66666666666666</v>
      </c>
      <c r="P408" s="2284">
        <v>1</v>
      </c>
      <c r="Q408" s="1858">
        <f>P408*O408</f>
        <v>146.66666666666666</v>
      </c>
      <c r="R408" s="2284"/>
      <c r="S408" s="1858"/>
      <c r="T408" s="1858"/>
      <c r="U408" s="1858"/>
      <c r="V408" s="2284"/>
      <c r="W408" s="1858">
        <v>146.66666666666666</v>
      </c>
      <c r="X408" s="2284"/>
      <c r="Y408" s="2284"/>
      <c r="Z408" s="2284"/>
      <c r="AA408" s="2284"/>
      <c r="AB408" s="2284"/>
      <c r="AC408" s="2284"/>
      <c r="AD408" s="2284"/>
      <c r="AE408" s="2284"/>
      <c r="AF408" s="2284"/>
      <c r="AG408" s="547">
        <f t="shared" si="56"/>
        <v>146.66666666666666</v>
      </c>
    </row>
    <row r="409" spans="1:33" s="1028" customFormat="1" outlineLevel="2">
      <c r="A409" s="2417">
        <v>1230</v>
      </c>
      <c r="B409" s="2363" t="s">
        <v>826</v>
      </c>
      <c r="C409" s="2547" t="s">
        <v>827</v>
      </c>
      <c r="D409" s="2284"/>
      <c r="E409" s="2417">
        <v>5</v>
      </c>
      <c r="F409" s="2417">
        <v>43360</v>
      </c>
      <c r="G409" s="2417">
        <f t="shared" si="57"/>
        <v>43365</v>
      </c>
      <c r="H409" s="2284" t="s">
        <v>785</v>
      </c>
      <c r="I409" s="2417" t="s">
        <v>170</v>
      </c>
      <c r="J409" s="2420"/>
      <c r="K409" s="2284" t="s">
        <v>833</v>
      </c>
      <c r="L409" s="2574">
        <v>23174</v>
      </c>
      <c r="M409" s="2284"/>
      <c r="N409" s="2284"/>
      <c r="O409" s="1858">
        <v>1088</v>
      </c>
      <c r="P409" s="2284">
        <v>1</v>
      </c>
      <c r="Q409" s="1858">
        <f>P409*O409</f>
        <v>1088</v>
      </c>
      <c r="R409" s="2284"/>
      <c r="S409" s="1858"/>
      <c r="T409" s="1858"/>
      <c r="U409" s="1858"/>
      <c r="V409" s="2284"/>
      <c r="W409" s="1858">
        <v>1088</v>
      </c>
      <c r="X409" s="2284"/>
      <c r="Y409" s="2284"/>
      <c r="Z409" s="2284"/>
      <c r="AA409" s="2284"/>
      <c r="AB409" s="2284"/>
      <c r="AC409" s="2284"/>
      <c r="AD409" s="2284"/>
      <c r="AE409" s="2284"/>
      <c r="AF409" s="2284"/>
      <c r="AG409" s="547">
        <f t="shared" si="56"/>
        <v>1088</v>
      </c>
    </row>
    <row r="410" spans="1:33" outlineLevel="2">
      <c r="A410" s="2417">
        <v>1230</v>
      </c>
      <c r="B410" s="2363" t="s">
        <v>826</v>
      </c>
      <c r="C410" s="2547" t="s">
        <v>827</v>
      </c>
      <c r="D410" s="2284"/>
      <c r="E410" s="2417">
        <v>5</v>
      </c>
      <c r="F410" s="2417">
        <v>43360</v>
      </c>
      <c r="G410" s="2417">
        <f t="shared" si="57"/>
        <v>43365</v>
      </c>
      <c r="H410" s="2284" t="s">
        <v>785</v>
      </c>
      <c r="I410" s="2417" t="s">
        <v>170</v>
      </c>
      <c r="J410" s="2420"/>
      <c r="K410" s="2284" t="s">
        <v>834</v>
      </c>
      <c r="L410" s="2574">
        <v>23174</v>
      </c>
      <c r="M410" s="2284"/>
      <c r="N410" s="2284"/>
      <c r="O410" s="1858">
        <v>680</v>
      </c>
      <c r="P410" s="2284">
        <v>1</v>
      </c>
      <c r="Q410" s="1858">
        <f>O410*P410</f>
        <v>680</v>
      </c>
      <c r="R410" s="2284"/>
      <c r="S410" s="1858"/>
      <c r="T410" s="1858"/>
      <c r="U410" s="1858"/>
      <c r="V410" s="2284"/>
      <c r="W410" s="1858">
        <v>680</v>
      </c>
      <c r="X410" s="1780"/>
      <c r="Y410" s="1199"/>
      <c r="Z410" s="1199"/>
      <c r="AA410" s="1199"/>
      <c r="AB410" s="1199"/>
      <c r="AC410" s="1199"/>
      <c r="AD410" s="1199"/>
      <c r="AE410" s="1199"/>
      <c r="AF410" s="1199"/>
      <c r="AG410" s="547">
        <f t="shared" si="56"/>
        <v>680</v>
      </c>
    </row>
    <row r="411" spans="1:33" outlineLevel="2">
      <c r="A411" s="2417">
        <v>2111</v>
      </c>
      <c r="B411" s="2363" t="s">
        <v>59</v>
      </c>
      <c r="C411" s="2547" t="s">
        <v>293</v>
      </c>
      <c r="D411" s="2284"/>
      <c r="E411" s="2417">
        <v>5</v>
      </c>
      <c r="F411" s="2417">
        <v>43221</v>
      </c>
      <c r="G411" s="2417">
        <f t="shared" ref="G411:G447" si="58">+E411+F411</f>
        <v>43226</v>
      </c>
      <c r="H411" s="2417" t="s">
        <v>294</v>
      </c>
      <c r="I411" s="2417" t="s">
        <v>171</v>
      </c>
      <c r="J411" s="2420" t="s">
        <v>295</v>
      </c>
      <c r="K411" s="2284" t="s">
        <v>296</v>
      </c>
      <c r="L411" s="2417">
        <v>23174</v>
      </c>
      <c r="M411" s="2284"/>
      <c r="N411" s="2417"/>
      <c r="O411" s="2597">
        <v>1800</v>
      </c>
      <c r="P411" s="2417">
        <v>3</v>
      </c>
      <c r="Q411" s="299">
        <f>+O411*P411</f>
        <v>5400</v>
      </c>
      <c r="R411" s="299"/>
      <c r="S411" s="299"/>
      <c r="T411" s="299"/>
      <c r="U411" s="299">
        <v>5400</v>
      </c>
      <c r="V411" s="299"/>
      <c r="W411" s="299"/>
      <c r="X411" s="1142"/>
      <c r="Y411" s="1127"/>
      <c r="Z411" s="2328"/>
      <c r="AA411" s="2328"/>
      <c r="AB411" s="2328"/>
      <c r="AC411" s="1199"/>
      <c r="AD411" s="1199"/>
      <c r="AE411" s="1199"/>
      <c r="AF411" s="1199"/>
      <c r="AG411" s="547">
        <f t="shared" si="56"/>
        <v>5400</v>
      </c>
    </row>
    <row r="412" spans="1:33" outlineLevel="2">
      <c r="A412" s="2417">
        <v>2111</v>
      </c>
      <c r="B412" s="2363" t="s">
        <v>59</v>
      </c>
      <c r="C412" s="2547" t="s">
        <v>293</v>
      </c>
      <c r="D412" s="2284"/>
      <c r="E412" s="2417">
        <v>5</v>
      </c>
      <c r="F412" s="2417">
        <v>43221</v>
      </c>
      <c r="G412" s="2417">
        <f t="shared" si="58"/>
        <v>43226</v>
      </c>
      <c r="H412" s="2417" t="s">
        <v>294</v>
      </c>
      <c r="I412" s="2417" t="s">
        <v>171</v>
      </c>
      <c r="J412" s="2420" t="s">
        <v>295</v>
      </c>
      <c r="K412" s="2284" t="s">
        <v>297</v>
      </c>
      <c r="L412" s="2417">
        <v>23174</v>
      </c>
      <c r="M412" s="2284"/>
      <c r="N412" s="2417"/>
      <c r="O412" s="910">
        <v>177.33333333333334</v>
      </c>
      <c r="P412" s="2417">
        <v>3</v>
      </c>
      <c r="Q412" s="299">
        <f>+O412*P412</f>
        <v>532</v>
      </c>
      <c r="R412" s="299"/>
      <c r="S412" s="299"/>
      <c r="T412" s="299"/>
      <c r="U412" s="299">
        <v>532</v>
      </c>
      <c r="V412" s="299"/>
      <c r="W412" s="299"/>
      <c r="X412" s="1142"/>
      <c r="Y412" s="1127"/>
      <c r="Z412" s="2328"/>
      <c r="AA412" s="2328"/>
      <c r="AB412" s="2328"/>
      <c r="AC412" s="1199"/>
      <c r="AD412" s="1199"/>
      <c r="AE412" s="1199"/>
      <c r="AF412" s="1199"/>
      <c r="AG412" s="547">
        <f t="shared" si="56"/>
        <v>532</v>
      </c>
    </row>
    <row r="413" spans="1:33" outlineLevel="2">
      <c r="A413" s="2417">
        <v>2111</v>
      </c>
      <c r="B413" s="2363" t="s">
        <v>59</v>
      </c>
      <c r="C413" s="2547" t="s">
        <v>293</v>
      </c>
      <c r="D413" s="2284"/>
      <c r="E413" s="2417">
        <v>5</v>
      </c>
      <c r="F413" s="2417">
        <v>43221</v>
      </c>
      <c r="G413" s="2417">
        <f t="shared" si="58"/>
        <v>43226</v>
      </c>
      <c r="H413" s="2417" t="s">
        <v>294</v>
      </c>
      <c r="I413" s="2417" t="s">
        <v>171</v>
      </c>
      <c r="J413" s="2420" t="s">
        <v>295</v>
      </c>
      <c r="K413" s="2284" t="s">
        <v>298</v>
      </c>
      <c r="L413" s="2417">
        <v>23174</v>
      </c>
      <c r="M413" s="2284"/>
      <c r="N413" s="2417"/>
      <c r="O413" s="910">
        <v>224</v>
      </c>
      <c r="P413" s="2417">
        <v>3</v>
      </c>
      <c r="Q413" s="299">
        <f>+O413*P413</f>
        <v>672</v>
      </c>
      <c r="R413" s="299"/>
      <c r="S413" s="299"/>
      <c r="T413" s="299"/>
      <c r="U413" s="299">
        <v>672</v>
      </c>
      <c r="V413" s="299"/>
      <c r="W413" s="299"/>
      <c r="X413" s="1142"/>
      <c r="Y413" s="1127"/>
      <c r="Z413" s="2328"/>
      <c r="AA413" s="2328"/>
      <c r="AB413" s="2328"/>
      <c r="AC413" s="1199"/>
      <c r="AD413" s="1199"/>
      <c r="AE413" s="1199"/>
      <c r="AF413" s="1199"/>
      <c r="AG413" s="547">
        <f t="shared" si="56"/>
        <v>672</v>
      </c>
    </row>
    <row r="414" spans="1:33" outlineLevel="2">
      <c r="A414" s="2417">
        <v>2111</v>
      </c>
      <c r="B414" s="2363" t="s">
        <v>59</v>
      </c>
      <c r="C414" s="2547" t="s">
        <v>293</v>
      </c>
      <c r="D414" s="2284"/>
      <c r="E414" s="2417">
        <v>5</v>
      </c>
      <c r="F414" s="2417">
        <v>43221</v>
      </c>
      <c r="G414" s="2417">
        <f t="shared" si="58"/>
        <v>43226</v>
      </c>
      <c r="H414" s="2417" t="s">
        <v>294</v>
      </c>
      <c r="I414" s="2417" t="s">
        <v>171</v>
      </c>
      <c r="J414" s="2420" t="s">
        <v>295</v>
      </c>
      <c r="K414" s="2284" t="s">
        <v>299</v>
      </c>
      <c r="L414" s="2417">
        <v>23174</v>
      </c>
      <c r="M414" s="2284"/>
      <c r="N414" s="2417"/>
      <c r="O414" s="910">
        <v>166.66666666666666</v>
      </c>
      <c r="P414" s="2417">
        <v>3</v>
      </c>
      <c r="Q414" s="299">
        <f>+O414*P414</f>
        <v>500</v>
      </c>
      <c r="R414" s="299"/>
      <c r="S414" s="299"/>
      <c r="T414" s="299"/>
      <c r="U414" s="299">
        <v>500</v>
      </c>
      <c r="V414" s="299"/>
      <c r="W414" s="299"/>
      <c r="X414" s="1142"/>
      <c r="Y414" s="1127"/>
      <c r="Z414" s="2328"/>
      <c r="AA414" s="2328"/>
      <c r="AB414" s="2328"/>
      <c r="AC414" s="1199"/>
      <c r="AD414" s="1199"/>
      <c r="AE414" s="1199"/>
      <c r="AF414" s="1199"/>
      <c r="AG414" s="547">
        <f t="shared" si="56"/>
        <v>500</v>
      </c>
    </row>
    <row r="415" spans="1:33" outlineLevel="2">
      <c r="A415" s="2417">
        <v>2111</v>
      </c>
      <c r="B415" s="2363" t="s">
        <v>59</v>
      </c>
      <c r="C415" s="2547" t="s">
        <v>293</v>
      </c>
      <c r="D415" s="2284"/>
      <c r="E415" s="2417">
        <v>5</v>
      </c>
      <c r="F415" s="2417">
        <v>43221</v>
      </c>
      <c r="G415" s="2417">
        <f t="shared" si="58"/>
        <v>43226</v>
      </c>
      <c r="H415" s="2417" t="s">
        <v>294</v>
      </c>
      <c r="I415" s="2598" t="s">
        <v>171</v>
      </c>
      <c r="J415" s="2420" t="s">
        <v>295</v>
      </c>
      <c r="K415" s="2284" t="s">
        <v>300</v>
      </c>
      <c r="L415" s="2417">
        <v>23174</v>
      </c>
      <c r="M415" s="2284"/>
      <c r="N415" s="2417"/>
      <c r="O415" s="910">
        <v>426.66666666666669</v>
      </c>
      <c r="P415" s="2417">
        <v>3</v>
      </c>
      <c r="Q415" s="299">
        <f>+O415*P415</f>
        <v>1280</v>
      </c>
      <c r="R415" s="299"/>
      <c r="S415" s="299"/>
      <c r="T415" s="299"/>
      <c r="U415" s="299">
        <v>1280</v>
      </c>
      <c r="V415" s="299"/>
      <c r="W415" s="299"/>
      <c r="X415" s="1142"/>
      <c r="Y415" s="1127"/>
      <c r="Z415" s="2328"/>
      <c r="AA415" s="2328"/>
      <c r="AB415" s="2328"/>
      <c r="AC415" s="1199"/>
      <c r="AD415" s="1199"/>
      <c r="AE415" s="1199"/>
      <c r="AF415" s="1199"/>
      <c r="AG415" s="547">
        <f t="shared" si="56"/>
        <v>1280</v>
      </c>
    </row>
    <row r="416" spans="1:33" outlineLevel="2">
      <c r="A416" s="2417">
        <v>2121</v>
      </c>
      <c r="B416" s="2363" t="s">
        <v>60</v>
      </c>
      <c r="C416" s="2547" t="s">
        <v>307</v>
      </c>
      <c r="D416" s="2284"/>
      <c r="E416" s="2417">
        <v>2</v>
      </c>
      <c r="F416" s="2417">
        <v>43227</v>
      </c>
      <c r="G416" s="2417">
        <f t="shared" si="58"/>
        <v>43229</v>
      </c>
      <c r="H416" s="2417" t="s">
        <v>294</v>
      </c>
      <c r="I416" s="2417" t="s">
        <v>171</v>
      </c>
      <c r="J416" s="2420" t="s">
        <v>295</v>
      </c>
      <c r="K416" s="2599" t="s">
        <v>310</v>
      </c>
      <c r="L416" s="2417">
        <v>23174</v>
      </c>
      <c r="M416" s="2284"/>
      <c r="N416" s="2417"/>
      <c r="O416" s="853">
        <v>11400</v>
      </c>
      <c r="P416" s="2417">
        <v>1</v>
      </c>
      <c r="Q416" s="299">
        <v>3800</v>
      </c>
      <c r="R416" s="299"/>
      <c r="S416" s="299"/>
      <c r="T416" s="299"/>
      <c r="U416" s="299">
        <v>3800</v>
      </c>
      <c r="V416" s="299"/>
      <c r="W416" s="299"/>
      <c r="X416" s="299"/>
      <c r="Y416" s="299"/>
      <c r="Z416" s="2327"/>
      <c r="AA416" s="2327"/>
      <c r="AB416" s="2327"/>
      <c r="AC416" s="2284"/>
      <c r="AD416" s="2284"/>
      <c r="AE416" s="2284"/>
      <c r="AF416" s="2284"/>
      <c r="AG416" s="547">
        <f t="shared" si="56"/>
        <v>3800</v>
      </c>
    </row>
    <row r="417" spans="1:33" outlineLevel="2">
      <c r="A417" s="2417">
        <v>2121</v>
      </c>
      <c r="B417" s="2600" t="s">
        <v>60</v>
      </c>
      <c r="C417" s="2547" t="s">
        <v>307</v>
      </c>
      <c r="D417" s="2284"/>
      <c r="E417" s="2417">
        <v>2</v>
      </c>
      <c r="F417" s="2417">
        <v>43227</v>
      </c>
      <c r="G417" s="2417">
        <f t="shared" si="58"/>
        <v>43229</v>
      </c>
      <c r="H417" s="2417" t="s">
        <v>294</v>
      </c>
      <c r="I417" s="2417" t="s">
        <v>171</v>
      </c>
      <c r="J417" s="2420" t="s">
        <v>295</v>
      </c>
      <c r="K417" s="2284" t="s">
        <v>311</v>
      </c>
      <c r="L417" s="2417">
        <v>23174</v>
      </c>
      <c r="M417" s="2284"/>
      <c r="N417" s="2417"/>
      <c r="O417" s="853">
        <v>1200</v>
      </c>
      <c r="P417" s="2417">
        <v>1</v>
      </c>
      <c r="Q417" s="299">
        <v>400</v>
      </c>
      <c r="R417" s="299"/>
      <c r="S417" s="299"/>
      <c r="T417" s="299"/>
      <c r="U417" s="299">
        <v>400</v>
      </c>
      <c r="V417" s="299"/>
      <c r="W417" s="299"/>
      <c r="X417" s="1142"/>
      <c r="Y417" s="1127"/>
      <c r="Z417" s="2328"/>
      <c r="AA417" s="2328"/>
      <c r="AB417" s="2328"/>
      <c r="AC417" s="1199"/>
      <c r="AD417" s="1199"/>
      <c r="AE417" s="1199"/>
      <c r="AF417" s="1199"/>
      <c r="AG417" s="547">
        <f t="shared" si="56"/>
        <v>400</v>
      </c>
    </row>
    <row r="418" spans="1:33" ht="47.25" outlineLevel="2">
      <c r="A418" s="2417">
        <v>2131</v>
      </c>
      <c r="B418" s="2600" t="s">
        <v>62</v>
      </c>
      <c r="C418" s="2601" t="s">
        <v>324</v>
      </c>
      <c r="D418" s="2284"/>
      <c r="E418" s="2417">
        <v>1</v>
      </c>
      <c r="F418" s="2417">
        <v>43318</v>
      </c>
      <c r="G418" s="2417">
        <f t="shared" si="58"/>
        <v>43319</v>
      </c>
      <c r="H418" s="2417" t="s">
        <v>294</v>
      </c>
      <c r="I418" s="2417" t="s">
        <v>171</v>
      </c>
      <c r="J418" s="2420" t="s">
        <v>295</v>
      </c>
      <c r="K418" s="2599" t="s">
        <v>296</v>
      </c>
      <c r="L418" s="2417">
        <v>23174</v>
      </c>
      <c r="M418" s="2284"/>
      <c r="N418" s="2417"/>
      <c r="O418" s="910">
        <v>36</v>
      </c>
      <c r="P418" s="2602">
        <v>60</v>
      </c>
      <c r="Q418" s="299">
        <f t="shared" ref="Q418:Q447" si="59">+O418*P418</f>
        <v>2160</v>
      </c>
      <c r="R418" s="299"/>
      <c r="S418" s="299"/>
      <c r="T418" s="299"/>
      <c r="U418" s="299"/>
      <c r="V418" s="299"/>
      <c r="W418" s="299">
        <v>1080</v>
      </c>
      <c r="X418" s="1142">
        <v>1080</v>
      </c>
      <c r="Y418" s="1127"/>
      <c r="Z418" s="2328"/>
      <c r="AA418" s="2328"/>
      <c r="AB418" s="2328"/>
      <c r="AC418" s="1199"/>
      <c r="AD418" s="1199"/>
      <c r="AE418" s="1199"/>
      <c r="AF418" s="1199"/>
      <c r="AG418" s="547">
        <f t="shared" si="56"/>
        <v>2160</v>
      </c>
    </row>
    <row r="419" spans="1:33" ht="47.25" outlineLevel="2">
      <c r="A419" s="2417">
        <v>2131</v>
      </c>
      <c r="B419" s="2600" t="s">
        <v>62</v>
      </c>
      <c r="C419" s="2601" t="s">
        <v>324</v>
      </c>
      <c r="D419" s="2284"/>
      <c r="E419" s="2417">
        <v>1</v>
      </c>
      <c r="F419" s="2417">
        <v>43304</v>
      </c>
      <c r="G419" s="2417">
        <f t="shared" si="58"/>
        <v>43305</v>
      </c>
      <c r="H419" s="2417" t="s">
        <v>294</v>
      </c>
      <c r="I419" s="2417" t="s">
        <v>171</v>
      </c>
      <c r="J419" s="2420" t="s">
        <v>295</v>
      </c>
      <c r="K419" s="2599" t="s">
        <v>325</v>
      </c>
      <c r="L419" s="2417">
        <v>23174</v>
      </c>
      <c r="M419" s="2284"/>
      <c r="N419" s="2417"/>
      <c r="O419" s="910">
        <v>10</v>
      </c>
      <c r="P419" s="2602">
        <v>60</v>
      </c>
      <c r="Q419" s="299">
        <f t="shared" si="59"/>
        <v>600</v>
      </c>
      <c r="R419" s="299"/>
      <c r="S419" s="299"/>
      <c r="T419" s="299"/>
      <c r="U419" s="299"/>
      <c r="V419" s="299"/>
      <c r="W419" s="299">
        <v>300</v>
      </c>
      <c r="X419" s="1142">
        <v>300</v>
      </c>
      <c r="Y419" s="1127"/>
      <c r="Z419" s="2328"/>
      <c r="AA419" s="2328"/>
      <c r="AB419" s="2328"/>
      <c r="AC419" s="1199"/>
      <c r="AD419" s="1199"/>
      <c r="AE419" s="1199"/>
      <c r="AF419" s="1199"/>
      <c r="AG419" s="547">
        <f t="shared" si="56"/>
        <v>600</v>
      </c>
    </row>
    <row r="420" spans="1:33" ht="47.25" outlineLevel="2">
      <c r="A420" s="2417">
        <v>2131</v>
      </c>
      <c r="B420" s="2600" t="s">
        <v>62</v>
      </c>
      <c r="C420" s="2601" t="s">
        <v>324</v>
      </c>
      <c r="D420" s="2284"/>
      <c r="E420" s="2417">
        <v>1</v>
      </c>
      <c r="F420" s="2417">
        <v>43304</v>
      </c>
      <c r="G420" s="2417">
        <f t="shared" si="58"/>
        <v>43305</v>
      </c>
      <c r="H420" s="2417" t="s">
        <v>294</v>
      </c>
      <c r="I420" s="2417" t="s">
        <v>171</v>
      </c>
      <c r="J420" s="2420" t="s">
        <v>295</v>
      </c>
      <c r="K420" s="2599" t="s">
        <v>326</v>
      </c>
      <c r="L420" s="2417">
        <v>23174</v>
      </c>
      <c r="M420" s="2284"/>
      <c r="N420" s="2417"/>
      <c r="O420" s="910">
        <v>100</v>
      </c>
      <c r="P420" s="2602">
        <v>60</v>
      </c>
      <c r="Q420" s="299">
        <f t="shared" si="59"/>
        <v>6000</v>
      </c>
      <c r="R420" s="299"/>
      <c r="S420" s="299"/>
      <c r="T420" s="299"/>
      <c r="U420" s="299"/>
      <c r="V420" s="299"/>
      <c r="W420" s="299">
        <v>3000</v>
      </c>
      <c r="X420" s="1142">
        <v>3000</v>
      </c>
      <c r="Y420" s="1127"/>
      <c r="Z420" s="2328"/>
      <c r="AA420" s="2328"/>
      <c r="AB420" s="2328"/>
      <c r="AC420" s="1199"/>
      <c r="AD420" s="1199"/>
      <c r="AE420" s="1199"/>
      <c r="AF420" s="1199"/>
      <c r="AG420" s="547">
        <f t="shared" si="56"/>
        <v>6000</v>
      </c>
    </row>
    <row r="421" spans="1:33" ht="31.5" outlineLevel="2">
      <c r="A421" s="2417">
        <v>2132</v>
      </c>
      <c r="B421" s="2600" t="s">
        <v>63</v>
      </c>
      <c r="C421" s="2601" t="s">
        <v>327</v>
      </c>
      <c r="D421" s="2284"/>
      <c r="E421" s="2417">
        <v>3</v>
      </c>
      <c r="F421" s="2417">
        <v>43318</v>
      </c>
      <c r="G421" s="2417">
        <f t="shared" si="58"/>
        <v>43321</v>
      </c>
      <c r="H421" s="2417" t="s">
        <v>294</v>
      </c>
      <c r="I421" s="2417" t="s">
        <v>171</v>
      </c>
      <c r="J421" s="2420" t="s">
        <v>295</v>
      </c>
      <c r="K421" s="2599" t="s">
        <v>328</v>
      </c>
      <c r="L421" s="2417">
        <v>23174</v>
      </c>
      <c r="M421" s="2284"/>
      <c r="N421" s="2417"/>
      <c r="O421" s="910">
        <v>380</v>
      </c>
      <c r="P421" s="2602">
        <v>3</v>
      </c>
      <c r="Q421" s="299">
        <f t="shared" si="59"/>
        <v>1140</v>
      </c>
      <c r="R421" s="299"/>
      <c r="S421" s="299"/>
      <c r="T421" s="299"/>
      <c r="U421" s="299"/>
      <c r="V421" s="299"/>
      <c r="W421" s="299"/>
      <c r="X421" s="1142">
        <v>1140</v>
      </c>
      <c r="Y421" s="1127"/>
      <c r="Z421" s="2328"/>
      <c r="AA421" s="2328"/>
      <c r="AB421" s="2328"/>
      <c r="AC421" s="1199"/>
      <c r="AD421" s="1199"/>
      <c r="AE421" s="1199"/>
      <c r="AF421" s="1199"/>
      <c r="AG421" s="547">
        <f t="shared" si="56"/>
        <v>1140</v>
      </c>
    </row>
    <row r="422" spans="1:33" ht="31.5" outlineLevel="2">
      <c r="A422" s="2603">
        <v>2132</v>
      </c>
      <c r="B422" s="2363" t="s">
        <v>63</v>
      </c>
      <c r="C422" s="2601" t="s">
        <v>327</v>
      </c>
      <c r="D422" s="2284"/>
      <c r="E422" s="2417">
        <v>3</v>
      </c>
      <c r="F422" s="2417">
        <v>43318</v>
      </c>
      <c r="G422" s="2417">
        <f t="shared" si="58"/>
        <v>43321</v>
      </c>
      <c r="H422" s="2417" t="s">
        <v>294</v>
      </c>
      <c r="I422" s="2417" t="s">
        <v>171</v>
      </c>
      <c r="J422" s="2420" t="s">
        <v>295</v>
      </c>
      <c r="K422" s="2599" t="s">
        <v>325</v>
      </c>
      <c r="L422" s="2417">
        <v>23174</v>
      </c>
      <c r="M422" s="2284"/>
      <c r="N422" s="2417"/>
      <c r="O422" s="910">
        <v>96.666666666666671</v>
      </c>
      <c r="P422" s="2602">
        <v>3</v>
      </c>
      <c r="Q422" s="299">
        <f t="shared" si="59"/>
        <v>290</v>
      </c>
      <c r="R422" s="299"/>
      <c r="S422" s="299"/>
      <c r="T422" s="299"/>
      <c r="U422" s="299"/>
      <c r="V422" s="299"/>
      <c r="W422" s="299"/>
      <c r="X422" s="2604">
        <v>290</v>
      </c>
      <c r="Y422" s="1127"/>
      <c r="Z422" s="2328"/>
      <c r="AA422" s="2328"/>
      <c r="AB422" s="2328"/>
      <c r="AC422" s="1199"/>
      <c r="AD422" s="1199"/>
      <c r="AE422" s="1199"/>
      <c r="AF422" s="1199"/>
      <c r="AG422" s="547">
        <f t="shared" si="56"/>
        <v>290</v>
      </c>
    </row>
    <row r="423" spans="1:33" ht="31.5" outlineLevel="2">
      <c r="A423" s="2417">
        <v>2132</v>
      </c>
      <c r="B423" s="2363" t="s">
        <v>63</v>
      </c>
      <c r="C423" s="2601" t="s">
        <v>327</v>
      </c>
      <c r="D423" s="2284"/>
      <c r="E423" s="2417">
        <v>3</v>
      </c>
      <c r="F423" s="2417">
        <v>43318</v>
      </c>
      <c r="G423" s="2417">
        <f t="shared" si="58"/>
        <v>43321</v>
      </c>
      <c r="H423" s="2417" t="s">
        <v>294</v>
      </c>
      <c r="I423" s="2417" t="s">
        <v>171</v>
      </c>
      <c r="J423" s="2420" t="s">
        <v>295</v>
      </c>
      <c r="K423" s="2599" t="s">
        <v>329</v>
      </c>
      <c r="L423" s="2417">
        <v>23174</v>
      </c>
      <c r="M423" s="2284"/>
      <c r="N423" s="2417"/>
      <c r="O423" s="910">
        <v>1000</v>
      </c>
      <c r="P423" s="2602">
        <v>3</v>
      </c>
      <c r="Q423" s="299">
        <f t="shared" si="59"/>
        <v>3000</v>
      </c>
      <c r="R423" s="299"/>
      <c r="S423" s="299"/>
      <c r="T423" s="299"/>
      <c r="U423" s="299"/>
      <c r="V423" s="299"/>
      <c r="W423" s="299"/>
      <c r="X423" s="299">
        <v>3000</v>
      </c>
      <c r="Y423" s="299"/>
      <c r="Z423" s="2327"/>
      <c r="AA423" s="2327"/>
      <c r="AB423" s="2327"/>
      <c r="AC423" s="2284"/>
      <c r="AD423" s="2284"/>
      <c r="AE423" s="2284"/>
      <c r="AF423" s="2284"/>
      <c r="AG423" s="547">
        <f t="shared" si="56"/>
        <v>3000</v>
      </c>
    </row>
    <row r="424" spans="1:33" ht="31.5" outlineLevel="2">
      <c r="A424" s="2417">
        <v>2132</v>
      </c>
      <c r="B424" s="2363" t="s">
        <v>63</v>
      </c>
      <c r="C424" s="2601" t="s">
        <v>327</v>
      </c>
      <c r="E424" s="2417">
        <v>3</v>
      </c>
      <c r="F424" s="2417">
        <v>43318</v>
      </c>
      <c r="G424" s="2417">
        <f t="shared" si="58"/>
        <v>43321</v>
      </c>
      <c r="H424" s="2417" t="s">
        <v>294</v>
      </c>
      <c r="I424" s="2417" t="s">
        <v>171</v>
      </c>
      <c r="J424" s="2420" t="s">
        <v>295</v>
      </c>
      <c r="K424" s="2599" t="s">
        <v>326</v>
      </c>
      <c r="L424" s="2417">
        <v>23174</v>
      </c>
      <c r="M424" s="2417"/>
      <c r="N424" s="2417"/>
      <c r="O424" s="910">
        <v>100</v>
      </c>
      <c r="P424" s="2602">
        <v>3</v>
      </c>
      <c r="Q424" s="299">
        <f t="shared" si="59"/>
        <v>300</v>
      </c>
      <c r="R424" s="299"/>
      <c r="S424" s="299"/>
      <c r="T424" s="299"/>
      <c r="U424" s="299"/>
      <c r="V424" s="299"/>
      <c r="W424" s="299"/>
      <c r="X424" s="1142">
        <v>300</v>
      </c>
      <c r="Y424" s="1127"/>
      <c r="Z424" s="2328"/>
      <c r="AA424" s="2328"/>
      <c r="AB424" s="2328"/>
      <c r="AC424" s="1199"/>
      <c r="AD424" s="1199"/>
      <c r="AE424" s="1199"/>
      <c r="AF424" s="1199"/>
      <c r="AG424" s="547">
        <f t="shared" si="56"/>
        <v>300</v>
      </c>
    </row>
    <row r="425" spans="1:33" outlineLevel="2">
      <c r="A425" s="2417">
        <v>2133</v>
      </c>
      <c r="B425" s="2363" t="s">
        <v>64</v>
      </c>
      <c r="C425" s="2605" t="s">
        <v>330</v>
      </c>
      <c r="D425" s="2284"/>
      <c r="E425" s="2417">
        <v>2</v>
      </c>
      <c r="F425" s="2417">
        <v>43325</v>
      </c>
      <c r="G425" s="2417">
        <f t="shared" si="58"/>
        <v>43327</v>
      </c>
      <c r="H425" s="2417" t="s">
        <v>294</v>
      </c>
      <c r="I425" s="2417" t="s">
        <v>171</v>
      </c>
      <c r="J425" s="2420" t="s">
        <v>295</v>
      </c>
      <c r="K425" s="2599" t="s">
        <v>296</v>
      </c>
      <c r="L425" s="2417">
        <v>23174</v>
      </c>
      <c r="M425" s="2417"/>
      <c r="N425" s="2417"/>
      <c r="O425" s="910">
        <v>900</v>
      </c>
      <c r="P425" s="2602">
        <v>3</v>
      </c>
      <c r="Q425" s="299">
        <f t="shared" si="59"/>
        <v>2700</v>
      </c>
      <c r="R425" s="299"/>
      <c r="S425" s="299"/>
      <c r="T425" s="299"/>
      <c r="U425" s="299"/>
      <c r="V425" s="299"/>
      <c r="W425" s="299"/>
      <c r="X425" s="1142">
        <v>2700</v>
      </c>
      <c r="Y425" s="1127"/>
      <c r="Z425" s="2328"/>
      <c r="AA425" s="2328"/>
      <c r="AB425" s="2328"/>
      <c r="AC425" s="1199"/>
      <c r="AD425" s="1199"/>
      <c r="AE425" s="1199"/>
      <c r="AF425" s="1199"/>
      <c r="AG425" s="547">
        <f t="shared" si="56"/>
        <v>2700</v>
      </c>
    </row>
    <row r="426" spans="1:33" outlineLevel="2">
      <c r="A426" s="2417">
        <v>2133</v>
      </c>
      <c r="B426" s="2363" t="s">
        <v>64</v>
      </c>
      <c r="C426" s="2605" t="s">
        <v>330</v>
      </c>
      <c r="D426" s="2284"/>
      <c r="E426" s="2417">
        <v>2</v>
      </c>
      <c r="F426" s="2417">
        <v>43325</v>
      </c>
      <c r="G426" s="2417">
        <f t="shared" si="58"/>
        <v>43327</v>
      </c>
      <c r="H426" s="2417" t="s">
        <v>294</v>
      </c>
      <c r="I426" s="2417" t="s">
        <v>171</v>
      </c>
      <c r="J426" s="2420" t="s">
        <v>295</v>
      </c>
      <c r="K426" s="2599" t="s">
        <v>297</v>
      </c>
      <c r="L426" s="2417">
        <v>23174</v>
      </c>
      <c r="M426" s="2417"/>
      <c r="N426" s="2417"/>
      <c r="O426" s="910">
        <v>101.33333333333333</v>
      </c>
      <c r="P426" s="2602">
        <v>3</v>
      </c>
      <c r="Q426" s="299">
        <f t="shared" si="59"/>
        <v>304</v>
      </c>
      <c r="R426" s="299"/>
      <c r="S426" s="299"/>
      <c r="T426" s="299"/>
      <c r="U426" s="299"/>
      <c r="V426" s="299"/>
      <c r="W426" s="299"/>
      <c r="X426" s="1142">
        <v>304</v>
      </c>
      <c r="Y426" s="1127"/>
      <c r="Z426" s="2328"/>
      <c r="AA426" s="2328"/>
      <c r="AB426" s="2328"/>
      <c r="AC426" s="1199"/>
      <c r="AD426" s="1199"/>
      <c r="AE426" s="1199"/>
      <c r="AF426" s="1199"/>
      <c r="AG426" s="547">
        <f t="shared" si="56"/>
        <v>304</v>
      </c>
    </row>
    <row r="427" spans="1:33" outlineLevel="2">
      <c r="A427" s="2417">
        <v>2133</v>
      </c>
      <c r="B427" s="2363" t="s">
        <v>64</v>
      </c>
      <c r="C427" s="2605" t="s">
        <v>330</v>
      </c>
      <c r="D427" s="2284"/>
      <c r="E427" s="2417">
        <v>2</v>
      </c>
      <c r="F427" s="2417">
        <v>43325</v>
      </c>
      <c r="G427" s="2417">
        <f t="shared" si="58"/>
        <v>43327</v>
      </c>
      <c r="H427" s="2417" t="s">
        <v>294</v>
      </c>
      <c r="I427" s="2417" t="s">
        <v>171</v>
      </c>
      <c r="J427" s="2420" t="s">
        <v>295</v>
      </c>
      <c r="K427" s="2599" t="s">
        <v>331</v>
      </c>
      <c r="L427" s="2417">
        <v>23174</v>
      </c>
      <c r="M427" s="2417"/>
      <c r="N427" s="2417"/>
      <c r="O427" s="910">
        <v>112</v>
      </c>
      <c r="P427" s="2602">
        <v>3</v>
      </c>
      <c r="Q427" s="299">
        <f t="shared" si="59"/>
        <v>336</v>
      </c>
      <c r="R427" s="299"/>
      <c r="S427" s="299"/>
      <c r="T427" s="299"/>
      <c r="U427" s="299"/>
      <c r="V427" s="299"/>
      <c r="W427" s="299"/>
      <c r="X427" s="1142">
        <v>336</v>
      </c>
      <c r="Y427" s="1127"/>
      <c r="Z427" s="2328"/>
      <c r="AA427" s="2328"/>
      <c r="AB427" s="2328"/>
      <c r="AC427" s="1199"/>
      <c r="AD427" s="1199"/>
      <c r="AE427" s="1199"/>
      <c r="AF427" s="1199"/>
      <c r="AG427" s="547">
        <f t="shared" si="56"/>
        <v>336</v>
      </c>
    </row>
    <row r="428" spans="1:33" outlineLevel="2">
      <c r="A428" s="2417">
        <v>2133</v>
      </c>
      <c r="B428" s="2363" t="s">
        <v>64</v>
      </c>
      <c r="C428" s="2605" t="s">
        <v>330</v>
      </c>
      <c r="D428" s="2284"/>
      <c r="E428" s="2417">
        <v>2</v>
      </c>
      <c r="F428" s="2417">
        <v>43325</v>
      </c>
      <c r="G428" s="2417">
        <f t="shared" si="58"/>
        <v>43327</v>
      </c>
      <c r="H428" s="2417" t="s">
        <v>294</v>
      </c>
      <c r="I428" s="2417" t="s">
        <v>171</v>
      </c>
      <c r="J428" s="2420" t="s">
        <v>295</v>
      </c>
      <c r="K428" s="2599" t="s">
        <v>332</v>
      </c>
      <c r="L428" s="2417">
        <v>23174</v>
      </c>
      <c r="M428" s="2417"/>
      <c r="N428" s="2417"/>
      <c r="O428" s="910">
        <v>166.66666666666666</v>
      </c>
      <c r="P428" s="2602">
        <v>3</v>
      </c>
      <c r="Q428" s="299">
        <f t="shared" si="59"/>
        <v>500</v>
      </c>
      <c r="R428" s="299"/>
      <c r="S428" s="299"/>
      <c r="T428" s="299"/>
      <c r="U428" s="299"/>
      <c r="V428" s="299"/>
      <c r="W428" s="299"/>
      <c r="X428" s="1142">
        <v>500</v>
      </c>
      <c r="Y428" s="1127"/>
      <c r="Z428" s="2328"/>
      <c r="AA428" s="2328"/>
      <c r="AB428" s="2328"/>
      <c r="AC428" s="1199"/>
      <c r="AD428" s="1199"/>
      <c r="AE428" s="1199"/>
      <c r="AF428" s="1199"/>
      <c r="AG428" s="547">
        <f t="shared" si="56"/>
        <v>500</v>
      </c>
    </row>
    <row r="429" spans="1:33" outlineLevel="2">
      <c r="A429" s="2417">
        <v>2133</v>
      </c>
      <c r="B429" s="2363" t="s">
        <v>64</v>
      </c>
      <c r="C429" s="2605" t="s">
        <v>330</v>
      </c>
      <c r="E429" s="2417">
        <v>2</v>
      </c>
      <c r="F429" s="2417">
        <v>43325</v>
      </c>
      <c r="G429" s="2417">
        <f t="shared" si="58"/>
        <v>43327</v>
      </c>
      <c r="H429" s="2417" t="s">
        <v>294</v>
      </c>
      <c r="I429" s="2417" t="s">
        <v>171</v>
      </c>
      <c r="J429" s="2420" t="s">
        <v>295</v>
      </c>
      <c r="K429" s="2599" t="s">
        <v>311</v>
      </c>
      <c r="L429" s="2417">
        <v>23174</v>
      </c>
      <c r="M429" s="2417"/>
      <c r="N429" s="2417"/>
      <c r="O429" s="910">
        <v>426.66666666666669</v>
      </c>
      <c r="P429" s="2602">
        <v>3</v>
      </c>
      <c r="Q429" s="299">
        <f t="shared" si="59"/>
        <v>1280</v>
      </c>
      <c r="R429" s="299"/>
      <c r="S429" s="299"/>
      <c r="T429" s="299"/>
      <c r="U429" s="299"/>
      <c r="V429" s="299"/>
      <c r="W429" s="299"/>
      <c r="X429" s="1142">
        <v>1280</v>
      </c>
      <c r="Y429" s="1127"/>
      <c r="Z429" s="2328"/>
      <c r="AA429" s="2328"/>
      <c r="AB429" s="2328"/>
      <c r="AC429" s="1199"/>
      <c r="AD429" s="1199"/>
      <c r="AE429" s="1199"/>
      <c r="AF429" s="1199"/>
      <c r="AG429" s="547">
        <f t="shared" si="56"/>
        <v>1280</v>
      </c>
    </row>
    <row r="430" spans="1:33" outlineLevel="2">
      <c r="A430" s="2417">
        <v>2141</v>
      </c>
      <c r="B430" s="2600" t="s">
        <v>341</v>
      </c>
      <c r="C430" s="2601" t="s">
        <v>342</v>
      </c>
      <c r="D430" s="2284"/>
      <c r="E430" s="2417">
        <v>5</v>
      </c>
      <c r="F430" s="2417">
        <v>43227</v>
      </c>
      <c r="G430" s="2417">
        <f t="shared" si="58"/>
        <v>43232</v>
      </c>
      <c r="H430" s="2417" t="s">
        <v>294</v>
      </c>
      <c r="I430" s="2417" t="s">
        <v>171</v>
      </c>
      <c r="J430" s="2420" t="s">
        <v>295</v>
      </c>
      <c r="K430" s="936" t="s">
        <v>310</v>
      </c>
      <c r="L430" s="2417">
        <v>23174</v>
      </c>
      <c r="M430" s="2602"/>
      <c r="N430" s="2417"/>
      <c r="O430" s="910">
        <v>5320</v>
      </c>
      <c r="P430" s="2606">
        <v>2</v>
      </c>
      <c r="Q430" s="299">
        <f t="shared" si="59"/>
        <v>10640</v>
      </c>
      <c r="R430" s="299"/>
      <c r="S430" s="299"/>
      <c r="T430" s="299"/>
      <c r="U430" s="299">
        <v>10640</v>
      </c>
      <c r="V430" s="299"/>
      <c r="W430" s="299"/>
      <c r="X430" s="1142"/>
      <c r="Y430" s="1127"/>
      <c r="Z430" s="2328"/>
      <c r="AA430" s="2328"/>
      <c r="AB430" s="2328"/>
      <c r="AC430" s="1199"/>
      <c r="AD430" s="1199"/>
      <c r="AE430" s="1199"/>
      <c r="AF430" s="1199"/>
      <c r="AG430" s="547">
        <f t="shared" si="56"/>
        <v>10640</v>
      </c>
    </row>
    <row r="431" spans="1:33" outlineLevel="2">
      <c r="A431" s="2417">
        <v>2141</v>
      </c>
      <c r="B431" s="2600" t="s">
        <v>341</v>
      </c>
      <c r="C431" s="2601" t="s">
        <v>342</v>
      </c>
      <c r="D431" s="2284"/>
      <c r="E431" s="2417">
        <v>5</v>
      </c>
      <c r="F431" s="2417">
        <v>43227</v>
      </c>
      <c r="G431" s="2417">
        <f t="shared" si="58"/>
        <v>43232</v>
      </c>
      <c r="H431" s="2417" t="s">
        <v>294</v>
      </c>
      <c r="I431" s="2417" t="s">
        <v>171</v>
      </c>
      <c r="J431" s="2420" t="s">
        <v>295</v>
      </c>
      <c r="K431" s="936" t="s">
        <v>345</v>
      </c>
      <c r="L431" s="2417">
        <v>23174</v>
      </c>
      <c r="M431" s="2417"/>
      <c r="N431" s="2417"/>
      <c r="O431" s="910">
        <v>532</v>
      </c>
      <c r="P431" s="2606">
        <v>2</v>
      </c>
      <c r="Q431" s="299">
        <f t="shared" si="59"/>
        <v>1064</v>
      </c>
      <c r="R431" s="299"/>
      <c r="S431" s="299"/>
      <c r="T431" s="299"/>
      <c r="U431" s="299">
        <v>1064</v>
      </c>
      <c r="V431" s="299"/>
      <c r="W431" s="299"/>
      <c r="X431" s="1142"/>
      <c r="Y431" s="1127"/>
      <c r="Z431" s="2328"/>
      <c r="AA431" s="2328"/>
      <c r="AB431" s="2328"/>
      <c r="AC431" s="1199"/>
      <c r="AD431" s="1199"/>
      <c r="AE431" s="1199"/>
      <c r="AF431" s="1199"/>
      <c r="AG431" s="547">
        <f t="shared" si="56"/>
        <v>1064</v>
      </c>
    </row>
    <row r="432" spans="1:33" outlineLevel="2">
      <c r="A432" s="2417">
        <v>2141</v>
      </c>
      <c r="B432" s="2600" t="s">
        <v>341</v>
      </c>
      <c r="C432" s="2601" t="s">
        <v>342</v>
      </c>
      <c r="D432" s="2284"/>
      <c r="E432" s="2417">
        <v>5</v>
      </c>
      <c r="F432" s="2417">
        <v>43227</v>
      </c>
      <c r="G432" s="2417">
        <f t="shared" si="58"/>
        <v>43232</v>
      </c>
      <c r="H432" s="2417" t="s">
        <v>294</v>
      </c>
      <c r="I432" s="2417" t="s">
        <v>171</v>
      </c>
      <c r="J432" s="2420" t="s">
        <v>295</v>
      </c>
      <c r="K432" s="936" t="s">
        <v>300</v>
      </c>
      <c r="L432" s="2417">
        <v>23174</v>
      </c>
      <c r="M432" s="2417"/>
      <c r="N432" s="2417"/>
      <c r="O432" s="910">
        <v>1000</v>
      </c>
      <c r="P432" s="2606">
        <v>2</v>
      </c>
      <c r="Q432" s="299">
        <f t="shared" si="59"/>
        <v>2000</v>
      </c>
      <c r="R432" s="299"/>
      <c r="S432" s="299"/>
      <c r="T432" s="299"/>
      <c r="U432" s="299">
        <v>2000</v>
      </c>
      <c r="V432" s="299"/>
      <c r="W432" s="299"/>
      <c r="X432" s="1142"/>
      <c r="Y432" s="1127"/>
      <c r="Z432" s="2328"/>
      <c r="AA432" s="2328"/>
      <c r="AB432" s="2328"/>
      <c r="AC432" s="1199"/>
      <c r="AD432" s="1199"/>
      <c r="AE432" s="1199"/>
      <c r="AF432" s="1199"/>
      <c r="AG432" s="547">
        <f t="shared" si="56"/>
        <v>2000</v>
      </c>
    </row>
    <row r="433" spans="1:33" outlineLevel="2">
      <c r="A433" s="2417">
        <v>2141</v>
      </c>
      <c r="B433" s="2363" t="s">
        <v>341</v>
      </c>
      <c r="C433" s="2601" t="s">
        <v>342</v>
      </c>
      <c r="D433" s="2284"/>
      <c r="E433" s="2417">
        <v>5</v>
      </c>
      <c r="F433" s="2417">
        <v>43227</v>
      </c>
      <c r="G433" s="2417">
        <f t="shared" si="58"/>
        <v>43232</v>
      </c>
      <c r="H433" s="2417" t="s">
        <v>294</v>
      </c>
      <c r="I433" s="2417" t="s">
        <v>171</v>
      </c>
      <c r="J433" s="2420" t="s">
        <v>295</v>
      </c>
      <c r="K433" s="936" t="s">
        <v>346</v>
      </c>
      <c r="L433" s="2417">
        <v>23174</v>
      </c>
      <c r="M433" s="2602"/>
      <c r="N433" s="2417"/>
      <c r="O433" s="910">
        <v>1000</v>
      </c>
      <c r="P433" s="2606">
        <v>2</v>
      </c>
      <c r="Q433" s="299">
        <f t="shared" si="59"/>
        <v>2000</v>
      </c>
      <c r="R433" s="299"/>
      <c r="S433" s="299"/>
      <c r="T433" s="299"/>
      <c r="U433" s="299">
        <v>2000</v>
      </c>
      <c r="V433" s="299"/>
      <c r="W433" s="299"/>
      <c r="X433" s="1142"/>
      <c r="Y433" s="1127"/>
      <c r="Z433" s="2328"/>
      <c r="AA433" s="2328"/>
      <c r="AB433" s="2328"/>
      <c r="AC433" s="1199"/>
      <c r="AD433" s="1199"/>
      <c r="AE433" s="1199"/>
      <c r="AF433" s="1199"/>
      <c r="AG433" s="547">
        <f t="shared" si="56"/>
        <v>2000</v>
      </c>
    </row>
    <row r="434" spans="1:33" outlineLevel="2">
      <c r="A434" s="2417">
        <v>2142</v>
      </c>
      <c r="B434" s="2363" t="s">
        <v>347</v>
      </c>
      <c r="C434" s="2605" t="s">
        <v>348</v>
      </c>
      <c r="D434" s="2284"/>
      <c r="E434" s="2417">
        <v>10</v>
      </c>
      <c r="F434" s="2417">
        <v>43283</v>
      </c>
      <c r="G434" s="2417">
        <f t="shared" si="58"/>
        <v>43293</v>
      </c>
      <c r="H434" s="2417" t="s">
        <v>294</v>
      </c>
      <c r="I434" s="2417" t="s">
        <v>171</v>
      </c>
      <c r="J434" s="2420" t="s">
        <v>295</v>
      </c>
      <c r="K434" s="1837" t="s">
        <v>296</v>
      </c>
      <c r="L434" s="2417">
        <v>23174</v>
      </c>
      <c r="M434" s="2284"/>
      <c r="N434" s="2417"/>
      <c r="O434" s="910">
        <v>3000</v>
      </c>
      <c r="P434" s="2417">
        <v>4</v>
      </c>
      <c r="Q434" s="299">
        <f t="shared" si="59"/>
        <v>12000</v>
      </c>
      <c r="R434" s="299"/>
      <c r="S434" s="299"/>
      <c r="T434" s="299"/>
      <c r="U434" s="299"/>
      <c r="V434" s="299"/>
      <c r="W434" s="299">
        <v>12000</v>
      </c>
      <c r="X434" s="1142"/>
      <c r="Y434" s="1127"/>
      <c r="Z434" s="2328"/>
      <c r="AA434" s="2328"/>
      <c r="AB434" s="2328"/>
      <c r="AC434" s="1199"/>
      <c r="AD434" s="1199"/>
      <c r="AE434" s="1199"/>
      <c r="AF434" s="1199"/>
      <c r="AG434" s="547">
        <f t="shared" si="56"/>
        <v>12000</v>
      </c>
    </row>
    <row r="435" spans="1:33" outlineLevel="2">
      <c r="A435" s="2417">
        <v>2142</v>
      </c>
      <c r="B435" s="2363" t="s">
        <v>347</v>
      </c>
      <c r="C435" s="2605" t="s">
        <v>348</v>
      </c>
      <c r="D435" s="2284"/>
      <c r="E435" s="2417">
        <v>10</v>
      </c>
      <c r="F435" s="2417">
        <v>43283</v>
      </c>
      <c r="G435" s="2417">
        <f t="shared" si="58"/>
        <v>43293</v>
      </c>
      <c r="H435" s="2417" t="s">
        <v>294</v>
      </c>
      <c r="I435" s="2417" t="s">
        <v>171</v>
      </c>
      <c r="J435" s="2420" t="s">
        <v>295</v>
      </c>
      <c r="K435" s="1837" t="s">
        <v>349</v>
      </c>
      <c r="L435" s="2417">
        <v>23174</v>
      </c>
      <c r="M435" s="2284"/>
      <c r="N435" s="2417"/>
      <c r="O435" s="910">
        <v>304</v>
      </c>
      <c r="P435" s="2417">
        <v>4</v>
      </c>
      <c r="Q435" s="299">
        <f t="shared" si="59"/>
        <v>1216</v>
      </c>
      <c r="R435" s="299"/>
      <c r="S435" s="299"/>
      <c r="T435" s="299"/>
      <c r="U435" s="299"/>
      <c r="V435" s="299"/>
      <c r="W435" s="299">
        <v>1216</v>
      </c>
      <c r="X435" s="1142"/>
      <c r="Y435" s="1127"/>
      <c r="Z435" s="2328"/>
      <c r="AA435" s="2328"/>
      <c r="AB435" s="2328"/>
      <c r="AC435" s="1199"/>
      <c r="AD435" s="1199"/>
      <c r="AE435" s="1199"/>
      <c r="AF435" s="1199"/>
      <c r="AG435" s="547">
        <f t="shared" si="56"/>
        <v>1216</v>
      </c>
    </row>
    <row r="436" spans="1:33" outlineLevel="2">
      <c r="A436" s="2417">
        <v>2142</v>
      </c>
      <c r="B436" s="2363" t="s">
        <v>347</v>
      </c>
      <c r="C436" s="2605" t="s">
        <v>348</v>
      </c>
      <c r="D436" s="2284"/>
      <c r="E436" s="2417">
        <v>10</v>
      </c>
      <c r="F436" s="2417">
        <v>43283</v>
      </c>
      <c r="G436" s="2417">
        <f t="shared" si="58"/>
        <v>43293</v>
      </c>
      <c r="H436" s="2417" t="s">
        <v>294</v>
      </c>
      <c r="I436" s="2417" t="s">
        <v>171</v>
      </c>
      <c r="J436" s="2420" t="s">
        <v>295</v>
      </c>
      <c r="K436" s="1837" t="s">
        <v>298</v>
      </c>
      <c r="L436" s="2417">
        <v>23174</v>
      </c>
      <c r="M436" s="2284"/>
      <c r="N436" s="2417"/>
      <c r="O436" s="910">
        <v>448</v>
      </c>
      <c r="P436" s="2417">
        <v>4</v>
      </c>
      <c r="Q436" s="299">
        <f t="shared" si="59"/>
        <v>1792</v>
      </c>
      <c r="R436" s="299"/>
      <c r="S436" s="299"/>
      <c r="T436" s="299"/>
      <c r="U436" s="299"/>
      <c r="V436" s="299"/>
      <c r="W436" s="299">
        <v>1792</v>
      </c>
      <c r="X436" s="1142"/>
      <c r="Y436" s="1127"/>
      <c r="Z436" s="2328"/>
      <c r="AA436" s="2328"/>
      <c r="AB436" s="2328"/>
      <c r="AC436" s="1199"/>
      <c r="AD436" s="1199"/>
      <c r="AE436" s="1199"/>
      <c r="AF436" s="1199"/>
      <c r="AG436" s="547">
        <f t="shared" si="56"/>
        <v>1792</v>
      </c>
    </row>
    <row r="437" spans="1:33" outlineLevel="2">
      <c r="A437" s="2417">
        <v>2142</v>
      </c>
      <c r="B437" s="2363" t="s">
        <v>347</v>
      </c>
      <c r="C437" s="2605" t="s">
        <v>348</v>
      </c>
      <c r="D437" s="2284"/>
      <c r="E437" s="2417">
        <v>10</v>
      </c>
      <c r="F437" s="2417">
        <v>43283</v>
      </c>
      <c r="G437" s="2417">
        <f t="shared" si="58"/>
        <v>43293</v>
      </c>
      <c r="H437" s="2417" t="s">
        <v>294</v>
      </c>
      <c r="I437" s="2417" t="s">
        <v>171</v>
      </c>
      <c r="J437" s="2420" t="s">
        <v>295</v>
      </c>
      <c r="K437" s="1837" t="s">
        <v>350</v>
      </c>
      <c r="L437" s="2417">
        <v>23174</v>
      </c>
      <c r="M437" s="2284"/>
      <c r="N437" s="2417"/>
      <c r="O437" s="910">
        <v>166.66666666666666</v>
      </c>
      <c r="P437" s="2417">
        <v>4</v>
      </c>
      <c r="Q437" s="299">
        <f t="shared" si="59"/>
        <v>666.66666666666663</v>
      </c>
      <c r="R437" s="299"/>
      <c r="S437" s="299"/>
      <c r="T437" s="299"/>
      <c r="U437" s="299"/>
      <c r="V437" s="299"/>
      <c r="W437" s="299">
        <v>666.66666666666663</v>
      </c>
      <c r="X437" s="299"/>
      <c r="Y437" s="299"/>
      <c r="Z437" s="2327"/>
      <c r="AA437" s="2327"/>
      <c r="AB437" s="2327"/>
      <c r="AC437" s="2284"/>
      <c r="AD437" s="2284"/>
      <c r="AE437" s="2284"/>
      <c r="AF437" s="2284"/>
      <c r="AG437" s="547">
        <f t="shared" si="56"/>
        <v>666.66666666666663</v>
      </c>
    </row>
    <row r="438" spans="1:33" outlineLevel="2">
      <c r="A438" s="2598">
        <v>2142</v>
      </c>
      <c r="B438" s="2363" t="s">
        <v>347</v>
      </c>
      <c r="C438" s="2605" t="s">
        <v>348</v>
      </c>
      <c r="E438" s="2417">
        <v>10</v>
      </c>
      <c r="F438" s="2417">
        <v>43283</v>
      </c>
      <c r="G438" s="2417">
        <f t="shared" si="58"/>
        <v>43293</v>
      </c>
      <c r="H438" s="2417" t="s">
        <v>294</v>
      </c>
      <c r="I438" s="2417" t="s">
        <v>171</v>
      </c>
      <c r="J438" s="2420" t="s">
        <v>295</v>
      </c>
      <c r="K438" s="1837" t="s">
        <v>300</v>
      </c>
      <c r="L438" s="2417">
        <v>23174</v>
      </c>
      <c r="M438" s="2284"/>
      <c r="N438" s="2417"/>
      <c r="O438" s="910">
        <v>400</v>
      </c>
      <c r="P438" s="2417">
        <v>4</v>
      </c>
      <c r="Q438" s="299">
        <f t="shared" si="59"/>
        <v>1600</v>
      </c>
      <c r="R438" s="299"/>
      <c r="S438" s="299"/>
      <c r="T438" s="299"/>
      <c r="U438" s="299"/>
      <c r="V438" s="299"/>
      <c r="W438" s="299">
        <v>1600</v>
      </c>
      <c r="X438" s="1142"/>
      <c r="Y438" s="1127"/>
      <c r="Z438" s="2328"/>
      <c r="AA438" s="2328"/>
      <c r="AB438" s="2328"/>
      <c r="AC438" s="1199"/>
      <c r="AD438" s="1199"/>
      <c r="AE438" s="1199"/>
      <c r="AF438" s="1199"/>
      <c r="AG438" s="547">
        <f t="shared" si="56"/>
        <v>1600</v>
      </c>
    </row>
    <row r="439" spans="1:33" outlineLevel="2">
      <c r="A439" s="2598">
        <v>2143</v>
      </c>
      <c r="B439" s="2363" t="s">
        <v>69</v>
      </c>
      <c r="C439" s="2605" t="s">
        <v>351</v>
      </c>
      <c r="D439" s="2284"/>
      <c r="E439" s="2417">
        <v>1</v>
      </c>
      <c r="F439" s="2417">
        <v>43409</v>
      </c>
      <c r="G439" s="2417">
        <f t="shared" si="58"/>
        <v>43410</v>
      </c>
      <c r="H439" s="2417" t="s">
        <v>294</v>
      </c>
      <c r="I439" s="2417" t="s">
        <v>171</v>
      </c>
      <c r="J439" s="2420" t="s">
        <v>295</v>
      </c>
      <c r="K439" s="2284" t="s">
        <v>296</v>
      </c>
      <c r="L439" s="2417">
        <v>23174</v>
      </c>
      <c r="M439" s="2284"/>
      <c r="N439" s="2417"/>
      <c r="O439" s="2607">
        <v>24</v>
      </c>
      <c r="P439" s="2602">
        <v>60</v>
      </c>
      <c r="Q439" s="299">
        <f t="shared" si="59"/>
        <v>1440</v>
      </c>
      <c r="R439" s="299"/>
      <c r="S439" s="299"/>
      <c r="T439" s="299"/>
      <c r="U439" s="299"/>
      <c r="V439" s="299"/>
      <c r="W439" s="299"/>
      <c r="X439" s="1142"/>
      <c r="Y439" s="1127"/>
      <c r="Z439" s="2328"/>
      <c r="AA439" s="1127">
        <v>1440</v>
      </c>
      <c r="AB439" s="2328"/>
      <c r="AC439" s="1199"/>
      <c r="AD439" s="1199"/>
      <c r="AE439" s="1199"/>
      <c r="AF439" s="1199"/>
      <c r="AG439" s="547">
        <f t="shared" si="56"/>
        <v>1440</v>
      </c>
    </row>
    <row r="440" spans="1:33" outlineLevel="2">
      <c r="A440" s="2598">
        <v>2143</v>
      </c>
      <c r="B440" s="2363" t="s">
        <v>69</v>
      </c>
      <c r="C440" s="2605" t="s">
        <v>351</v>
      </c>
      <c r="D440" s="2284"/>
      <c r="E440" s="2417">
        <v>1</v>
      </c>
      <c r="F440" s="2417">
        <v>43409</v>
      </c>
      <c r="G440" s="2417">
        <f t="shared" si="58"/>
        <v>43410</v>
      </c>
      <c r="H440" s="2417" t="s">
        <v>294</v>
      </c>
      <c r="I440" s="2417" t="s">
        <v>171</v>
      </c>
      <c r="J440" s="2420" t="s">
        <v>295</v>
      </c>
      <c r="K440" s="2284" t="s">
        <v>352</v>
      </c>
      <c r="L440" s="2417">
        <v>23174</v>
      </c>
      <c r="M440" s="2284"/>
      <c r="N440" s="2417"/>
      <c r="O440" s="2607">
        <v>26.666666666666668</v>
      </c>
      <c r="P440" s="2602">
        <v>60</v>
      </c>
      <c r="Q440" s="299">
        <f t="shared" si="59"/>
        <v>1600</v>
      </c>
      <c r="R440" s="299"/>
      <c r="S440" s="299"/>
      <c r="T440" s="299"/>
      <c r="U440" s="299"/>
      <c r="V440" s="299"/>
      <c r="W440" s="299"/>
      <c r="X440" s="1142"/>
      <c r="Y440" s="1127"/>
      <c r="Z440" s="2328"/>
      <c r="AA440" s="1127">
        <v>1600</v>
      </c>
      <c r="AB440" s="2328"/>
      <c r="AC440" s="1199"/>
      <c r="AD440" s="1199"/>
      <c r="AE440" s="1199"/>
      <c r="AF440" s="1199"/>
      <c r="AG440" s="547">
        <f t="shared" si="56"/>
        <v>1600</v>
      </c>
    </row>
    <row r="441" spans="1:33" ht="31.5" outlineLevel="2">
      <c r="A441" s="2598">
        <v>2151</v>
      </c>
      <c r="B441" s="2363" t="s">
        <v>70</v>
      </c>
      <c r="C441" s="2601" t="s">
        <v>307</v>
      </c>
      <c r="D441" s="2284"/>
      <c r="E441" s="2417">
        <v>2</v>
      </c>
      <c r="F441" s="2417">
        <v>43269</v>
      </c>
      <c r="G441" s="2417">
        <f t="shared" si="58"/>
        <v>43271</v>
      </c>
      <c r="H441" s="2417" t="s">
        <v>294</v>
      </c>
      <c r="I441" s="2417" t="s">
        <v>171</v>
      </c>
      <c r="J441" s="2420" t="s">
        <v>295</v>
      </c>
      <c r="K441" s="2284" t="s">
        <v>296</v>
      </c>
      <c r="L441" s="2417">
        <v>23174</v>
      </c>
      <c r="M441" s="2284"/>
      <c r="N441" s="2417"/>
      <c r="O441" s="910">
        <v>480</v>
      </c>
      <c r="P441" s="2602">
        <v>3</v>
      </c>
      <c r="Q441" s="299">
        <f t="shared" si="59"/>
        <v>1440</v>
      </c>
      <c r="R441" s="299"/>
      <c r="S441" s="299"/>
      <c r="T441" s="299"/>
      <c r="U441" s="299"/>
      <c r="V441" s="299">
        <v>1440</v>
      </c>
      <c r="W441" s="299"/>
      <c r="X441" s="1142"/>
      <c r="Y441" s="1127"/>
      <c r="Z441" s="2328"/>
      <c r="AA441" s="2328"/>
      <c r="AB441" s="2328"/>
      <c r="AC441" s="1199"/>
      <c r="AD441" s="1199"/>
      <c r="AE441" s="1199"/>
      <c r="AF441" s="1199"/>
      <c r="AG441" s="547">
        <f t="shared" si="56"/>
        <v>1440</v>
      </c>
    </row>
    <row r="442" spans="1:33" ht="31.5" outlineLevel="2">
      <c r="A442" s="2598">
        <v>2151</v>
      </c>
      <c r="B442" s="2363" t="s">
        <v>70</v>
      </c>
      <c r="C442" s="2601" t="s">
        <v>307</v>
      </c>
      <c r="D442" s="2284"/>
      <c r="E442" s="2417">
        <v>2</v>
      </c>
      <c r="F442" s="2417">
        <v>43269</v>
      </c>
      <c r="G442" s="2417">
        <f t="shared" si="58"/>
        <v>43271</v>
      </c>
      <c r="H442" s="2417" t="s">
        <v>294</v>
      </c>
      <c r="I442" s="2417" t="s">
        <v>171</v>
      </c>
      <c r="J442" s="2420" t="s">
        <v>295</v>
      </c>
      <c r="K442" s="2284" t="s">
        <v>354</v>
      </c>
      <c r="L442" s="2417">
        <v>23174</v>
      </c>
      <c r="M442" s="2284"/>
      <c r="N442" s="2417"/>
      <c r="O442" s="910">
        <v>202.66666666666666</v>
      </c>
      <c r="P442" s="2602">
        <v>3</v>
      </c>
      <c r="Q442" s="299">
        <f t="shared" si="59"/>
        <v>608</v>
      </c>
      <c r="R442" s="299"/>
      <c r="S442" s="299"/>
      <c r="T442" s="299"/>
      <c r="U442" s="299"/>
      <c r="V442" s="299">
        <v>608</v>
      </c>
      <c r="W442" s="299"/>
      <c r="X442" s="1142"/>
      <c r="Y442" s="1127"/>
      <c r="Z442" s="2328"/>
      <c r="AA442" s="2328"/>
      <c r="AB442" s="2328"/>
      <c r="AC442" s="1199"/>
      <c r="AD442" s="1199"/>
      <c r="AE442" s="1199"/>
      <c r="AF442" s="1199"/>
      <c r="AG442" s="547">
        <f t="shared" si="56"/>
        <v>608</v>
      </c>
    </row>
    <row r="443" spans="1:33" ht="31.5" outlineLevel="2">
      <c r="A443" s="2417">
        <v>2151</v>
      </c>
      <c r="B443" s="2363" t="s">
        <v>70</v>
      </c>
      <c r="C443" s="2601" t="s">
        <v>307</v>
      </c>
      <c r="D443" s="2284"/>
      <c r="E443" s="2417">
        <v>2</v>
      </c>
      <c r="F443" s="2417">
        <v>43269</v>
      </c>
      <c r="G443" s="2417">
        <f t="shared" si="58"/>
        <v>43271</v>
      </c>
      <c r="H443" s="2417" t="s">
        <v>294</v>
      </c>
      <c r="I443" s="2417" t="s">
        <v>171</v>
      </c>
      <c r="J443" s="2420" t="s">
        <v>295</v>
      </c>
      <c r="K443" s="2284" t="s">
        <v>355</v>
      </c>
      <c r="L443" s="2417">
        <v>23174</v>
      </c>
      <c r="M443" s="2284"/>
      <c r="N443" s="2417"/>
      <c r="O443" s="910">
        <v>333.33333333333331</v>
      </c>
      <c r="P443" s="2602">
        <v>3</v>
      </c>
      <c r="Q443" s="299">
        <f t="shared" si="59"/>
        <v>1000</v>
      </c>
      <c r="R443" s="299"/>
      <c r="S443" s="299"/>
      <c r="T443" s="299"/>
      <c r="U443" s="299"/>
      <c r="V443" s="299">
        <v>1000</v>
      </c>
      <c r="W443" s="299"/>
      <c r="X443" s="1142"/>
      <c r="Y443" s="1127"/>
      <c r="Z443" s="2328"/>
      <c r="AA443" s="2328"/>
      <c r="AB443" s="2328"/>
      <c r="AC443" s="1199"/>
      <c r="AD443" s="1199"/>
      <c r="AE443" s="1199"/>
      <c r="AF443" s="1199"/>
      <c r="AG443" s="547">
        <f t="shared" si="56"/>
        <v>1000</v>
      </c>
    </row>
    <row r="444" spans="1:33" s="1028" customFormat="1" ht="31.5" outlineLevel="2">
      <c r="A444" s="2417">
        <v>2151</v>
      </c>
      <c r="B444" s="2363" t="s">
        <v>70</v>
      </c>
      <c r="C444" s="2601" t="s">
        <v>307</v>
      </c>
      <c r="D444" s="2284"/>
      <c r="E444" s="2417">
        <v>2</v>
      </c>
      <c r="F444" s="2417">
        <v>43269</v>
      </c>
      <c r="G444" s="2417">
        <f t="shared" si="58"/>
        <v>43271</v>
      </c>
      <c r="H444" s="2417" t="s">
        <v>294</v>
      </c>
      <c r="I444" s="2417" t="s">
        <v>171</v>
      </c>
      <c r="J444" s="2420" t="s">
        <v>295</v>
      </c>
      <c r="K444" s="2284" t="s">
        <v>356</v>
      </c>
      <c r="L444" s="2417">
        <v>23174</v>
      </c>
      <c r="M444" s="2284"/>
      <c r="N444" s="2417"/>
      <c r="O444" s="910">
        <v>133.33333333333334</v>
      </c>
      <c r="P444" s="2602">
        <v>3</v>
      </c>
      <c r="Q444" s="299">
        <f t="shared" si="59"/>
        <v>400</v>
      </c>
      <c r="R444" s="299"/>
      <c r="S444" s="299"/>
      <c r="T444" s="299"/>
      <c r="U444" s="299"/>
      <c r="V444" s="299">
        <v>400</v>
      </c>
      <c r="W444" s="299"/>
      <c r="X444" s="299"/>
      <c r="Y444" s="299"/>
      <c r="Z444" s="2327"/>
      <c r="AA444" s="2327"/>
      <c r="AB444" s="2327"/>
      <c r="AC444" s="2284"/>
      <c r="AD444" s="2284"/>
      <c r="AE444" s="2284"/>
      <c r="AF444" s="2284"/>
      <c r="AG444" s="547">
        <f t="shared" ref="AG444:AG507" si="60">SUM(S444:AF444)</f>
        <v>400</v>
      </c>
    </row>
    <row r="445" spans="1:33" outlineLevel="2">
      <c r="A445" s="2417">
        <v>2152</v>
      </c>
      <c r="B445" s="2363" t="s">
        <v>71</v>
      </c>
      <c r="C445" s="2605" t="s">
        <v>307</v>
      </c>
      <c r="D445" s="2284"/>
      <c r="E445" s="2417">
        <v>5</v>
      </c>
      <c r="F445" s="2417">
        <v>43234</v>
      </c>
      <c r="G445" s="2417">
        <f t="shared" si="58"/>
        <v>43239</v>
      </c>
      <c r="H445" s="2417" t="s">
        <v>294</v>
      </c>
      <c r="I445" s="2417" t="s">
        <v>171</v>
      </c>
      <c r="J445" s="2420" t="s">
        <v>295</v>
      </c>
      <c r="K445" s="936" t="s">
        <v>357</v>
      </c>
      <c r="L445" s="2417">
        <v>23174</v>
      </c>
      <c r="M445" s="2284"/>
      <c r="N445" s="2417"/>
      <c r="O445" s="910">
        <v>7093.333333333333</v>
      </c>
      <c r="P445" s="2417">
        <v>1</v>
      </c>
      <c r="Q445" s="299">
        <f t="shared" si="59"/>
        <v>7093.333333333333</v>
      </c>
      <c r="R445" s="299"/>
      <c r="S445" s="299"/>
      <c r="T445" s="299"/>
      <c r="U445" s="299">
        <v>7093.333333333333</v>
      </c>
      <c r="V445" s="299"/>
      <c r="W445" s="299"/>
      <c r="X445" s="1142"/>
      <c r="Y445" s="1127"/>
      <c r="Z445" s="2328"/>
      <c r="AA445" s="2328"/>
      <c r="AB445" s="2328"/>
      <c r="AC445" s="1199"/>
      <c r="AD445" s="1199"/>
      <c r="AE445" s="1199"/>
      <c r="AF445" s="1199"/>
      <c r="AG445" s="547">
        <f t="shared" si="60"/>
        <v>7093.333333333333</v>
      </c>
    </row>
    <row r="446" spans="1:33" outlineLevel="2">
      <c r="A446" s="2417">
        <v>2152</v>
      </c>
      <c r="B446" s="2363" t="s">
        <v>71</v>
      </c>
      <c r="C446" s="2605" t="s">
        <v>307</v>
      </c>
      <c r="D446" s="2284"/>
      <c r="E446" s="2417">
        <v>5</v>
      </c>
      <c r="F446" s="2417">
        <v>43234</v>
      </c>
      <c r="G446" s="2417">
        <f t="shared" si="58"/>
        <v>43239</v>
      </c>
      <c r="H446" s="2417" t="s">
        <v>294</v>
      </c>
      <c r="I446" s="2417" t="s">
        <v>171</v>
      </c>
      <c r="J446" s="2420" t="s">
        <v>295</v>
      </c>
      <c r="K446" s="936" t="s">
        <v>346</v>
      </c>
      <c r="L446" s="2417">
        <v>23174</v>
      </c>
      <c r="M446" s="2284"/>
      <c r="N446" s="2417"/>
      <c r="O446" s="910">
        <v>2666.6666666666665</v>
      </c>
      <c r="P446" s="2417">
        <v>1</v>
      </c>
      <c r="Q446" s="299">
        <f t="shared" si="59"/>
        <v>2666.6666666666665</v>
      </c>
      <c r="R446" s="299"/>
      <c r="S446" s="299"/>
      <c r="T446" s="299"/>
      <c r="U446" s="299">
        <v>2666.6666666666665</v>
      </c>
      <c r="V446" s="299"/>
      <c r="W446" s="299"/>
      <c r="X446" s="1142"/>
      <c r="Y446" s="1127"/>
      <c r="Z446" s="2328"/>
      <c r="AA446" s="2328"/>
      <c r="AB446" s="2328"/>
      <c r="AC446" s="1199"/>
      <c r="AD446" s="1199"/>
      <c r="AE446" s="1199"/>
      <c r="AF446" s="1199"/>
      <c r="AG446" s="547">
        <f t="shared" si="60"/>
        <v>2666.6666666666665</v>
      </c>
    </row>
    <row r="447" spans="1:33" outlineLevel="2">
      <c r="A447" s="2417">
        <v>2152</v>
      </c>
      <c r="B447" s="2363" t="s">
        <v>71</v>
      </c>
      <c r="C447" s="2605" t="s">
        <v>307</v>
      </c>
      <c r="D447" s="2284"/>
      <c r="E447" s="2417">
        <v>5</v>
      </c>
      <c r="F447" s="2417">
        <v>43234</v>
      </c>
      <c r="G447" s="2417">
        <f t="shared" si="58"/>
        <v>43239</v>
      </c>
      <c r="H447" s="2417" t="s">
        <v>294</v>
      </c>
      <c r="I447" s="2417" t="s">
        <v>171</v>
      </c>
      <c r="J447" s="2420" t="s">
        <v>295</v>
      </c>
      <c r="K447" s="1838" t="s">
        <v>358</v>
      </c>
      <c r="L447" s="2417">
        <v>23174</v>
      </c>
      <c r="M447" s="2284"/>
      <c r="N447" s="2417"/>
      <c r="O447" s="910">
        <v>1066.6666666666667</v>
      </c>
      <c r="P447" s="2417">
        <v>1</v>
      </c>
      <c r="Q447" s="299">
        <f t="shared" si="59"/>
        <v>1066.6666666666667</v>
      </c>
      <c r="R447" s="299"/>
      <c r="S447" s="299"/>
      <c r="T447" s="299"/>
      <c r="U447" s="299">
        <v>1066.6666666666667</v>
      </c>
      <c r="V447" s="299"/>
      <c r="W447" s="299"/>
      <c r="X447" s="1142"/>
      <c r="Y447" s="1127"/>
      <c r="Z447" s="2328"/>
      <c r="AA447" s="2328"/>
      <c r="AB447" s="2328"/>
      <c r="AC447" s="1199"/>
      <c r="AD447" s="1199"/>
      <c r="AE447" s="1199"/>
      <c r="AF447" s="1199"/>
      <c r="AG447" s="547">
        <f t="shared" si="60"/>
        <v>1066.6666666666667</v>
      </c>
    </row>
    <row r="448" spans="1:33" ht="47.25" outlineLevel="2">
      <c r="A448" s="2417">
        <v>2214</v>
      </c>
      <c r="B448" s="2608" t="s">
        <v>855</v>
      </c>
      <c r="C448" s="2363" t="s">
        <v>856</v>
      </c>
      <c r="D448" s="2609"/>
      <c r="E448" s="2417">
        <v>5</v>
      </c>
      <c r="F448" s="2549">
        <v>43318</v>
      </c>
      <c r="G448" s="2549">
        <v>43321</v>
      </c>
      <c r="H448" s="2417" t="s">
        <v>368</v>
      </c>
      <c r="I448" s="2417" t="s">
        <v>169</v>
      </c>
      <c r="J448" s="2420" t="s">
        <v>174</v>
      </c>
      <c r="K448" s="2610" t="s">
        <v>857</v>
      </c>
      <c r="L448" s="2417">
        <v>23174</v>
      </c>
      <c r="M448" s="2284"/>
      <c r="N448" s="2417"/>
      <c r="O448" s="2607">
        <v>3657</v>
      </c>
      <c r="P448" s="2417">
        <v>1</v>
      </c>
      <c r="Q448" s="299">
        <f t="shared" ref="Q448:Q477" si="61">O448*P448</f>
        <v>3657</v>
      </c>
      <c r="R448" s="299"/>
      <c r="S448" s="299"/>
      <c r="T448" s="299"/>
      <c r="U448" s="299"/>
      <c r="V448" s="299"/>
      <c r="W448" s="299"/>
      <c r="X448" s="2611">
        <v>3657</v>
      </c>
      <c r="Y448" s="1127"/>
      <c r="Z448" s="2329"/>
      <c r="AA448" s="2329"/>
      <c r="AB448" s="2329"/>
      <c r="AC448" s="1199"/>
      <c r="AD448" s="1199"/>
      <c r="AE448" s="1199"/>
      <c r="AF448" s="1199"/>
      <c r="AG448" s="547">
        <f t="shared" si="60"/>
        <v>3657</v>
      </c>
    </row>
    <row r="449" spans="1:33" ht="31.5" outlineLevel="2">
      <c r="A449" s="2417">
        <v>2223</v>
      </c>
      <c r="B449" s="2547" t="s">
        <v>99</v>
      </c>
      <c r="C449" s="2363" t="s">
        <v>868</v>
      </c>
      <c r="D449" s="2609"/>
      <c r="E449" s="2417">
        <v>2</v>
      </c>
      <c r="F449" s="2417">
        <v>43279</v>
      </c>
      <c r="G449" s="2417">
        <f>+F449+E449</f>
        <v>43281</v>
      </c>
      <c r="H449" s="2417" t="s">
        <v>869</v>
      </c>
      <c r="I449" s="2417" t="s">
        <v>169</v>
      </c>
      <c r="J449" s="2420" t="s">
        <v>174</v>
      </c>
      <c r="K449" s="2610" t="s">
        <v>857</v>
      </c>
      <c r="L449" s="2417">
        <v>23174</v>
      </c>
      <c r="M449" s="2284"/>
      <c r="N449" s="2417"/>
      <c r="O449" s="910">
        <v>5531.27</v>
      </c>
      <c r="P449" s="2417">
        <v>1</v>
      </c>
      <c r="Q449" s="299">
        <f t="shared" si="61"/>
        <v>5531.27</v>
      </c>
      <c r="R449" s="299"/>
      <c r="S449" s="299"/>
      <c r="T449" s="299"/>
      <c r="U449" s="299"/>
      <c r="V449" s="299"/>
      <c r="W449" s="910">
        <v>5531.27</v>
      </c>
      <c r="X449" s="1142"/>
      <c r="Y449" s="1127"/>
      <c r="Z449" s="1199"/>
      <c r="AA449" s="1199"/>
      <c r="AB449" s="1199"/>
      <c r="AC449" s="1199"/>
      <c r="AD449" s="1199"/>
      <c r="AE449" s="1199"/>
      <c r="AF449" s="1199"/>
      <c r="AG449" s="547">
        <f t="shared" si="60"/>
        <v>5531.27</v>
      </c>
    </row>
    <row r="450" spans="1:33" ht="31.5" outlineLevel="2">
      <c r="A450" s="2417">
        <v>2224</v>
      </c>
      <c r="B450" s="2547" t="s">
        <v>99</v>
      </c>
      <c r="C450" s="2363" t="s">
        <v>870</v>
      </c>
      <c r="D450" s="2609"/>
      <c r="E450" s="2417">
        <v>2</v>
      </c>
      <c r="F450" s="2417">
        <v>43500</v>
      </c>
      <c r="G450" s="2417">
        <v>43502</v>
      </c>
      <c r="H450" s="2417" t="s">
        <v>871</v>
      </c>
      <c r="I450" s="2417" t="s">
        <v>169</v>
      </c>
      <c r="J450" s="2420" t="s">
        <v>174</v>
      </c>
      <c r="K450" s="2610" t="s">
        <v>857</v>
      </c>
      <c r="L450" s="2417">
        <v>23174</v>
      </c>
      <c r="M450" s="2284"/>
      <c r="N450" s="2417"/>
      <c r="O450" s="910">
        <v>6557.27</v>
      </c>
      <c r="P450" s="2417">
        <v>1</v>
      </c>
      <c r="Q450" s="299">
        <f t="shared" si="61"/>
        <v>6557.27</v>
      </c>
      <c r="R450" s="299"/>
      <c r="S450" s="299"/>
      <c r="T450" s="299"/>
      <c r="U450" s="299"/>
      <c r="V450" s="299"/>
      <c r="W450" s="299"/>
      <c r="X450" s="299"/>
      <c r="Y450" s="299"/>
      <c r="Z450" s="2284"/>
      <c r="AA450" s="2284"/>
      <c r="AB450" s="2284"/>
      <c r="AC450" s="2284"/>
      <c r="AD450" s="299">
        <v>6557.27</v>
      </c>
      <c r="AE450" s="2284"/>
      <c r="AF450" s="2284"/>
      <c r="AG450" s="547">
        <f t="shared" si="60"/>
        <v>6557.27</v>
      </c>
    </row>
    <row r="451" spans="1:33" ht="31.5" outlineLevel="2">
      <c r="A451" s="2417">
        <v>2233</v>
      </c>
      <c r="B451" s="2363" t="s">
        <v>1031</v>
      </c>
      <c r="C451" s="2363" t="s">
        <v>887</v>
      </c>
      <c r="D451" s="2609"/>
      <c r="E451" s="2598">
        <v>1</v>
      </c>
      <c r="F451" s="2417">
        <v>43235</v>
      </c>
      <c r="G451" s="2417">
        <v>43235</v>
      </c>
      <c r="H451" s="2417" t="s">
        <v>368</v>
      </c>
      <c r="I451" s="2417" t="s">
        <v>169</v>
      </c>
      <c r="J451" s="2420" t="s">
        <v>867</v>
      </c>
      <c r="K451" s="2284" t="s">
        <v>888</v>
      </c>
      <c r="L451" s="2417">
        <v>23174</v>
      </c>
      <c r="M451" s="2284"/>
      <c r="N451" s="2417"/>
      <c r="O451" s="910">
        <v>9000</v>
      </c>
      <c r="P451" s="2417">
        <v>1</v>
      </c>
      <c r="Q451" s="299">
        <f t="shared" si="61"/>
        <v>9000</v>
      </c>
      <c r="R451" s="299"/>
      <c r="S451" s="299"/>
      <c r="T451" s="299"/>
      <c r="U451" s="299">
        <v>9000</v>
      </c>
      <c r="V451" s="299"/>
      <c r="W451" s="299"/>
      <c r="X451" s="2604"/>
      <c r="Y451" s="1127"/>
      <c r="Z451" s="2284"/>
      <c r="AA451" s="1199"/>
      <c r="AB451" s="1199"/>
      <c r="AC451" s="1199"/>
      <c r="AD451" s="1199"/>
      <c r="AE451" s="1199"/>
      <c r="AF451" s="1199"/>
      <c r="AG451" s="547">
        <f t="shared" si="60"/>
        <v>9000</v>
      </c>
    </row>
    <row r="452" spans="1:33" ht="31.5" outlineLevel="2">
      <c r="A452" s="2417">
        <v>2233</v>
      </c>
      <c r="B452" s="2363" t="s">
        <v>1033</v>
      </c>
      <c r="C452" s="2363" t="s">
        <v>892</v>
      </c>
      <c r="D452" s="2609"/>
      <c r="E452" s="2417">
        <v>6</v>
      </c>
      <c r="F452" s="2417">
        <v>43241</v>
      </c>
      <c r="G452" s="2417">
        <v>43246</v>
      </c>
      <c r="H452" s="2417" t="s">
        <v>368</v>
      </c>
      <c r="I452" s="2417" t="s">
        <v>169</v>
      </c>
      <c r="J452" s="2420" t="s">
        <v>867</v>
      </c>
      <c r="K452" s="2284" t="s">
        <v>888</v>
      </c>
      <c r="L452" s="2417">
        <v>23174</v>
      </c>
      <c r="M452" s="2284"/>
      <c r="N452" s="2417"/>
      <c r="O452" s="910">
        <v>8659</v>
      </c>
      <c r="P452" s="2417">
        <v>4</v>
      </c>
      <c r="Q452" s="299">
        <f t="shared" si="61"/>
        <v>34636</v>
      </c>
      <c r="R452" s="299"/>
      <c r="S452" s="299"/>
      <c r="T452" s="299"/>
      <c r="U452" s="299"/>
      <c r="V452" s="299">
        <v>34636</v>
      </c>
      <c r="W452" s="299"/>
      <c r="X452" s="1142"/>
      <c r="Y452" s="1127"/>
      <c r="Z452" s="2284"/>
      <c r="AA452" s="1199"/>
      <c r="AB452" s="1199"/>
      <c r="AC452" s="1199"/>
      <c r="AD452" s="1199"/>
      <c r="AE452" s="1199"/>
      <c r="AF452" s="1199"/>
      <c r="AG452" s="547">
        <f t="shared" si="60"/>
        <v>34636</v>
      </c>
    </row>
    <row r="453" spans="1:33" ht="31.5" outlineLevel="2">
      <c r="A453" s="2417">
        <v>2233</v>
      </c>
      <c r="B453" s="2363" t="s">
        <v>1035</v>
      </c>
      <c r="C453" s="2363" t="s">
        <v>897</v>
      </c>
      <c r="D453" s="2609"/>
      <c r="E453" s="2417">
        <v>2</v>
      </c>
      <c r="F453" s="2417">
        <v>43318</v>
      </c>
      <c r="G453" s="2417">
        <v>43321</v>
      </c>
      <c r="H453" s="2417" t="s">
        <v>895</v>
      </c>
      <c r="I453" s="2417" t="s">
        <v>867</v>
      </c>
      <c r="J453" s="2420" t="s">
        <v>169</v>
      </c>
      <c r="K453" s="2284" t="s">
        <v>888</v>
      </c>
      <c r="L453" s="2417">
        <v>23174</v>
      </c>
      <c r="M453" s="2284"/>
      <c r="N453" s="2417"/>
      <c r="O453" s="910">
        <v>1000</v>
      </c>
      <c r="P453" s="2417">
        <v>20</v>
      </c>
      <c r="Q453" s="299">
        <f t="shared" si="61"/>
        <v>20000</v>
      </c>
      <c r="R453" s="299"/>
      <c r="S453" s="299"/>
      <c r="T453" s="299"/>
      <c r="U453" s="299"/>
      <c r="V453" s="299"/>
      <c r="W453" s="299"/>
      <c r="X453" s="299">
        <v>20000</v>
      </c>
      <c r="Y453" s="299"/>
      <c r="Z453" s="2284"/>
      <c r="AA453" s="2284"/>
      <c r="AB453" s="2284"/>
      <c r="AC453" s="2284"/>
      <c r="AD453" s="2284"/>
      <c r="AE453" s="2284"/>
      <c r="AF453" s="2284"/>
      <c r="AG453" s="547">
        <f t="shared" si="60"/>
        <v>20000</v>
      </c>
    </row>
    <row r="454" spans="1:33" ht="31.5" outlineLevel="2">
      <c r="A454" s="2417">
        <v>2233</v>
      </c>
      <c r="B454" s="2363" t="s">
        <v>1037</v>
      </c>
      <c r="C454" s="2363" t="s">
        <v>901</v>
      </c>
      <c r="D454" s="2609"/>
      <c r="E454" s="2612">
        <v>30</v>
      </c>
      <c r="F454" s="2417" t="s">
        <v>902</v>
      </c>
      <c r="G454" s="2417">
        <v>43359</v>
      </c>
      <c r="H454" s="2417" t="s">
        <v>895</v>
      </c>
      <c r="I454" s="2417" t="s">
        <v>867</v>
      </c>
      <c r="J454" s="2420" t="s">
        <v>169</v>
      </c>
      <c r="K454" s="2284" t="s">
        <v>888</v>
      </c>
      <c r="L454" s="2417">
        <v>23174</v>
      </c>
      <c r="M454" s="2284"/>
      <c r="N454" s="2417"/>
      <c r="O454" s="910">
        <v>440</v>
      </c>
      <c r="P454" s="2417">
        <v>200</v>
      </c>
      <c r="Q454" s="299">
        <f t="shared" si="61"/>
        <v>88000</v>
      </c>
      <c r="R454" s="299"/>
      <c r="S454" s="299"/>
      <c r="T454" s="299"/>
      <c r="U454" s="299"/>
      <c r="V454" s="299"/>
      <c r="W454" s="299"/>
      <c r="X454" s="299"/>
      <c r="Y454" s="299">
        <v>88000</v>
      </c>
      <c r="Z454" s="2284"/>
      <c r="AA454" s="2284"/>
      <c r="AB454" s="2284"/>
      <c r="AC454" s="2284"/>
      <c r="AD454" s="2284"/>
      <c r="AE454" s="2284"/>
      <c r="AF454" s="2284"/>
      <c r="AG454" s="547">
        <f t="shared" si="60"/>
        <v>88000</v>
      </c>
    </row>
    <row r="455" spans="1:33" ht="47.25" outlineLevel="2">
      <c r="A455" s="2417">
        <v>2321</v>
      </c>
      <c r="B455" s="2540" t="s">
        <v>523</v>
      </c>
      <c r="C455" s="2411" t="s">
        <v>524</v>
      </c>
      <c r="D455" s="2541" t="s">
        <v>514</v>
      </c>
      <c r="E455" s="2541">
        <v>56</v>
      </c>
      <c r="F455" s="2541">
        <v>43210</v>
      </c>
      <c r="G455" s="2541">
        <f>E455+F455</f>
        <v>43266</v>
      </c>
      <c r="H455" s="2541" t="s">
        <v>525</v>
      </c>
      <c r="I455" s="2541" t="s">
        <v>526</v>
      </c>
      <c r="J455" s="2354" t="s">
        <v>526</v>
      </c>
      <c r="K455" s="2557" t="s">
        <v>527</v>
      </c>
      <c r="L455" s="2541">
        <v>23174</v>
      </c>
      <c r="M455" s="2613"/>
      <c r="N455" s="2541" t="s">
        <v>366</v>
      </c>
      <c r="O455" s="1372">
        <v>2104</v>
      </c>
      <c r="P455" s="2541">
        <v>12</v>
      </c>
      <c r="Q455" s="486">
        <f t="shared" si="61"/>
        <v>25248</v>
      </c>
      <c r="R455" s="486"/>
      <c r="S455" s="518"/>
      <c r="T455" s="518"/>
      <c r="U455" s="518"/>
      <c r="V455" s="831">
        <v>25248</v>
      </c>
      <c r="W455" s="518"/>
      <c r="X455" s="518"/>
      <c r="Y455" s="518"/>
      <c r="Z455" s="2284"/>
      <c r="AA455" s="2284"/>
      <c r="AB455" s="2284"/>
      <c r="AC455" s="2284"/>
      <c r="AD455" s="2284"/>
      <c r="AE455" s="2284"/>
      <c r="AF455" s="2284"/>
      <c r="AG455" s="547">
        <f t="shared" si="60"/>
        <v>25248</v>
      </c>
    </row>
    <row r="456" spans="1:33" ht="47.25" outlineLevel="2">
      <c r="A456" s="2417">
        <v>2322</v>
      </c>
      <c r="B456" s="2540" t="s">
        <v>523</v>
      </c>
      <c r="C456" s="2411" t="s">
        <v>528</v>
      </c>
      <c r="D456" s="2541" t="s">
        <v>514</v>
      </c>
      <c r="E456" s="2541">
        <v>56</v>
      </c>
      <c r="F456" s="2541">
        <v>43210</v>
      </c>
      <c r="G456" s="2541">
        <f>E456+F456</f>
        <v>43266</v>
      </c>
      <c r="H456" s="2541" t="s">
        <v>529</v>
      </c>
      <c r="I456" s="2614" t="s">
        <v>526</v>
      </c>
      <c r="J456" s="2615" t="s">
        <v>295</v>
      </c>
      <c r="K456" s="2557" t="s">
        <v>530</v>
      </c>
      <c r="L456" s="2541">
        <v>23174</v>
      </c>
      <c r="M456" s="2616"/>
      <c r="N456" s="2614" t="s">
        <v>366</v>
      </c>
      <c r="O456" s="2617">
        <v>6440</v>
      </c>
      <c r="P456" s="2614">
        <v>1</v>
      </c>
      <c r="Q456" s="486">
        <f t="shared" si="61"/>
        <v>6440</v>
      </c>
      <c r="R456" s="486"/>
      <c r="S456" s="518"/>
      <c r="T456" s="518"/>
      <c r="U456" s="518"/>
      <c r="V456" s="831">
        <v>6440</v>
      </c>
      <c r="W456" s="518"/>
      <c r="X456" s="2340"/>
      <c r="Y456" s="1164"/>
      <c r="Z456" s="1199"/>
      <c r="AA456" s="1199"/>
      <c r="AB456" s="1199"/>
      <c r="AC456" s="1199"/>
      <c r="AD456" s="1199"/>
      <c r="AE456" s="1199"/>
      <c r="AF456" s="1199"/>
      <c r="AG456" s="547">
        <f t="shared" si="60"/>
        <v>6440</v>
      </c>
    </row>
    <row r="457" spans="1:33" outlineLevel="2">
      <c r="A457" s="2417">
        <v>2331</v>
      </c>
      <c r="B457" s="2540" t="s">
        <v>535</v>
      </c>
      <c r="C457" s="2411" t="s">
        <v>536</v>
      </c>
      <c r="D457" s="2614" t="s">
        <v>514</v>
      </c>
      <c r="E457" s="2541">
        <v>6</v>
      </c>
      <c r="F457" s="2541">
        <v>43233</v>
      </c>
      <c r="G457" s="2541">
        <f>E457+F457</f>
        <v>43239</v>
      </c>
      <c r="H457" s="2541" t="s">
        <v>525</v>
      </c>
      <c r="I457" s="2614" t="s">
        <v>526</v>
      </c>
      <c r="J457" s="2615" t="s">
        <v>537</v>
      </c>
      <c r="K457" s="2557" t="s">
        <v>527</v>
      </c>
      <c r="L457" s="2541">
        <v>23174</v>
      </c>
      <c r="M457" s="2616"/>
      <c r="N457" s="2614" t="s">
        <v>366</v>
      </c>
      <c r="O457" s="2617">
        <v>3477.8</v>
      </c>
      <c r="P457" s="2614">
        <v>1</v>
      </c>
      <c r="Q457" s="486">
        <f t="shared" si="61"/>
        <v>3477.8</v>
      </c>
      <c r="R457" s="486"/>
      <c r="S457" s="518"/>
      <c r="T457" s="518"/>
      <c r="U457" s="831">
        <v>3477.8</v>
      </c>
      <c r="V457" s="518"/>
      <c r="W457" s="518"/>
      <c r="X457" s="2340"/>
      <c r="Y457" s="1164"/>
      <c r="Z457" s="1164"/>
      <c r="AA457" s="1164"/>
      <c r="AB457" s="1164"/>
      <c r="AC457" s="1164"/>
      <c r="AD457" s="1164"/>
      <c r="AE457" s="1164"/>
      <c r="AF457" s="1164"/>
      <c r="AG457" s="547">
        <f t="shared" si="60"/>
        <v>3477.8</v>
      </c>
    </row>
    <row r="458" spans="1:33" ht="31.5" outlineLevel="2">
      <c r="A458" s="2618">
        <v>3112</v>
      </c>
      <c r="B458" s="2619" t="s">
        <v>249</v>
      </c>
      <c r="C458" s="2620" t="s">
        <v>250</v>
      </c>
      <c r="D458" s="2621"/>
      <c r="E458" s="2618">
        <v>10</v>
      </c>
      <c r="F458" s="2618">
        <v>43238</v>
      </c>
      <c r="G458" s="2618">
        <f t="shared" ref="G458:G474" si="62">F458+E458</f>
        <v>43248</v>
      </c>
      <c r="H458" s="2618" t="s">
        <v>247</v>
      </c>
      <c r="I458" s="2621" t="s">
        <v>169</v>
      </c>
      <c r="J458" s="2622" t="s">
        <v>176</v>
      </c>
      <c r="K458" s="2610" t="s">
        <v>252</v>
      </c>
      <c r="L458" s="2618">
        <v>23174</v>
      </c>
      <c r="M458" s="2623"/>
      <c r="N458" s="2621">
        <v>23174</v>
      </c>
      <c r="O458" s="2624">
        <f>36000/3000</f>
        <v>12</v>
      </c>
      <c r="P458" s="2621">
        <f>15*7</f>
        <v>105</v>
      </c>
      <c r="Q458" s="2311">
        <f t="shared" si="61"/>
        <v>1260</v>
      </c>
      <c r="R458" s="2358"/>
      <c r="S458" s="2358"/>
      <c r="T458" s="2358"/>
      <c r="U458" s="2358">
        <v>1260</v>
      </c>
      <c r="V458" s="2358"/>
      <c r="W458" s="2358"/>
      <c r="X458" s="2332"/>
      <c r="Y458" s="2333"/>
      <c r="Z458" s="2334"/>
      <c r="AA458" s="2334"/>
      <c r="AB458" s="2334"/>
      <c r="AC458" s="2334"/>
      <c r="AD458" s="2334"/>
      <c r="AE458" s="2334"/>
      <c r="AF458" s="2334"/>
      <c r="AG458" s="547">
        <f t="shared" si="60"/>
        <v>1260</v>
      </c>
    </row>
    <row r="459" spans="1:33" ht="31.5" outlineLevel="2">
      <c r="A459" s="2625">
        <v>3112</v>
      </c>
      <c r="B459" s="2626" t="s">
        <v>249</v>
      </c>
      <c r="C459" s="2627" t="s">
        <v>250</v>
      </c>
      <c r="D459" s="2625"/>
      <c r="E459" s="2625">
        <v>10</v>
      </c>
      <c r="F459" s="2625">
        <v>43238</v>
      </c>
      <c r="G459" s="2625">
        <f t="shared" si="62"/>
        <v>43248</v>
      </c>
      <c r="H459" s="2625" t="s">
        <v>247</v>
      </c>
      <c r="I459" s="2625" t="s">
        <v>169</v>
      </c>
      <c r="J459" s="2628" t="s">
        <v>176</v>
      </c>
      <c r="K459" s="2368" t="s">
        <v>253</v>
      </c>
      <c r="L459" s="2625">
        <v>23174</v>
      </c>
      <c r="M459" s="2368"/>
      <c r="N459" s="2625">
        <v>23174</v>
      </c>
      <c r="O459" s="2312">
        <f>40000/3000</f>
        <v>13.333333333333334</v>
      </c>
      <c r="P459" s="2625">
        <f>15*7</f>
        <v>105</v>
      </c>
      <c r="Q459" s="2312">
        <f t="shared" si="61"/>
        <v>1400</v>
      </c>
      <c r="R459" s="2359"/>
      <c r="S459" s="2359"/>
      <c r="T459" s="2359"/>
      <c r="U459" s="2359">
        <v>1400</v>
      </c>
      <c r="V459" s="2359"/>
      <c r="W459" s="2359"/>
      <c r="X459" s="2360"/>
      <c r="Y459" s="2359"/>
      <c r="Z459" s="2368"/>
      <c r="AA459" s="2368"/>
      <c r="AB459" s="2368"/>
      <c r="AC459" s="2368"/>
      <c r="AD459" s="2368"/>
      <c r="AE459" s="2368"/>
      <c r="AF459" s="2368"/>
      <c r="AG459" s="547">
        <f t="shared" si="60"/>
        <v>1400</v>
      </c>
    </row>
    <row r="460" spans="1:33" ht="31.5" outlineLevel="2">
      <c r="A460" s="2629">
        <v>3112</v>
      </c>
      <c r="B460" s="2630" t="s">
        <v>249</v>
      </c>
      <c r="C460" s="2631" t="s">
        <v>250</v>
      </c>
      <c r="D460" s="2629"/>
      <c r="E460" s="2629">
        <v>10</v>
      </c>
      <c r="F460" s="2629">
        <v>43238</v>
      </c>
      <c r="G460" s="2629">
        <f t="shared" si="62"/>
        <v>43248</v>
      </c>
      <c r="H460" s="2629" t="s">
        <v>247</v>
      </c>
      <c r="I460" s="2629" t="s">
        <v>169</v>
      </c>
      <c r="J460" s="2632" t="s">
        <v>176</v>
      </c>
      <c r="K460" s="2369" t="s">
        <v>254</v>
      </c>
      <c r="L460" s="2629">
        <v>23174</v>
      </c>
      <c r="M460" s="2369"/>
      <c r="N460" s="2629">
        <v>23174</v>
      </c>
      <c r="O460" s="2633">
        <f>30000/3000</f>
        <v>10</v>
      </c>
      <c r="P460" s="2634">
        <v>15</v>
      </c>
      <c r="Q460" s="2313">
        <f t="shared" si="61"/>
        <v>150</v>
      </c>
      <c r="R460" s="2361"/>
      <c r="S460" s="2361"/>
      <c r="T460" s="2361"/>
      <c r="U460" s="2361">
        <v>150</v>
      </c>
      <c r="V460" s="2361"/>
      <c r="W460" s="2361"/>
      <c r="X460" s="2361"/>
      <c r="Y460" s="2361"/>
      <c r="Z460" s="2369"/>
      <c r="AA460" s="2369"/>
      <c r="AB460" s="2369"/>
      <c r="AC460" s="2369"/>
      <c r="AD460" s="2369"/>
      <c r="AE460" s="2369"/>
      <c r="AF460" s="2369"/>
      <c r="AG460" s="547">
        <f t="shared" si="60"/>
        <v>150</v>
      </c>
    </row>
    <row r="461" spans="1:33" ht="31.5" outlineLevel="2">
      <c r="A461" s="2629">
        <v>3112</v>
      </c>
      <c r="B461" s="2630" t="s">
        <v>249</v>
      </c>
      <c r="C461" s="2631" t="s">
        <v>250</v>
      </c>
      <c r="D461" s="2629"/>
      <c r="E461" s="2629">
        <v>10</v>
      </c>
      <c r="F461" s="2629">
        <v>43238</v>
      </c>
      <c r="G461" s="2629">
        <f t="shared" si="62"/>
        <v>43248</v>
      </c>
      <c r="H461" s="2629" t="s">
        <v>247</v>
      </c>
      <c r="I461" s="2629" t="s">
        <v>169</v>
      </c>
      <c r="J461" s="2632" t="s">
        <v>176</v>
      </c>
      <c r="K461" s="2369" t="s">
        <v>255</v>
      </c>
      <c r="L461" s="2629">
        <v>23174</v>
      </c>
      <c r="M461" s="2369"/>
      <c r="N461" s="2629">
        <v>23174</v>
      </c>
      <c r="O461" s="2633">
        <f>(0.15*4000*2)/3000</f>
        <v>0.4</v>
      </c>
      <c r="P461" s="2634">
        <v>170</v>
      </c>
      <c r="Q461" s="2313">
        <f t="shared" si="61"/>
        <v>68</v>
      </c>
      <c r="R461" s="2361"/>
      <c r="S461" s="2361"/>
      <c r="T461" s="2361"/>
      <c r="U461" s="2361">
        <v>68</v>
      </c>
      <c r="V461" s="2361"/>
      <c r="W461" s="2361"/>
      <c r="X461" s="2361"/>
      <c r="Y461" s="2361"/>
      <c r="Z461" s="2369"/>
      <c r="AA461" s="2369"/>
      <c r="AB461" s="2369"/>
      <c r="AC461" s="2369"/>
      <c r="AD461" s="2369"/>
      <c r="AE461" s="2369"/>
      <c r="AF461" s="2369"/>
      <c r="AG461" s="547">
        <f t="shared" si="60"/>
        <v>68</v>
      </c>
    </row>
    <row r="462" spans="1:33" ht="31.5" outlineLevel="2">
      <c r="A462" s="2629">
        <v>3113</v>
      </c>
      <c r="B462" s="2630" t="s">
        <v>260</v>
      </c>
      <c r="C462" s="2631" t="s">
        <v>261</v>
      </c>
      <c r="D462" s="2629"/>
      <c r="E462" s="2629">
        <v>15</v>
      </c>
      <c r="F462" s="2629">
        <v>43248</v>
      </c>
      <c r="G462" s="2629">
        <f t="shared" si="62"/>
        <v>43263</v>
      </c>
      <c r="H462" s="2629" t="s">
        <v>247</v>
      </c>
      <c r="I462" s="2629" t="s">
        <v>169</v>
      </c>
      <c r="J462" s="2632" t="s">
        <v>176</v>
      </c>
      <c r="K462" s="2369" t="s">
        <v>252</v>
      </c>
      <c r="L462" s="2629">
        <v>23174</v>
      </c>
      <c r="M462" s="2369"/>
      <c r="N462" s="2629">
        <v>23174</v>
      </c>
      <c r="O462" s="2313">
        <f>36000/3000</f>
        <v>12</v>
      </c>
      <c r="P462" s="2629">
        <f>12*9</f>
        <v>108</v>
      </c>
      <c r="Q462" s="2313">
        <f t="shared" si="61"/>
        <v>1296</v>
      </c>
      <c r="R462" s="2361"/>
      <c r="S462" s="2361"/>
      <c r="T462" s="2361"/>
      <c r="U462" s="2361"/>
      <c r="V462" s="2361">
        <v>1296</v>
      </c>
      <c r="W462" s="2361"/>
      <c r="X462" s="2361"/>
      <c r="Y462" s="2361"/>
      <c r="Z462" s="2369"/>
      <c r="AA462" s="2369"/>
      <c r="AB462" s="2369"/>
      <c r="AC462" s="2369"/>
      <c r="AD462" s="2369"/>
      <c r="AE462" s="2369"/>
      <c r="AF462" s="2369"/>
      <c r="AG462" s="547">
        <f t="shared" si="60"/>
        <v>1296</v>
      </c>
    </row>
    <row r="463" spans="1:33" ht="31.5" outlineLevel="2">
      <c r="A463" s="2629">
        <v>3113</v>
      </c>
      <c r="B463" s="2630" t="s">
        <v>260</v>
      </c>
      <c r="C463" s="2631" t="s">
        <v>261</v>
      </c>
      <c r="D463" s="2629"/>
      <c r="E463" s="2629">
        <v>15</v>
      </c>
      <c r="F463" s="2629">
        <v>43248</v>
      </c>
      <c r="G463" s="2629">
        <f t="shared" si="62"/>
        <v>43263</v>
      </c>
      <c r="H463" s="2629" t="s">
        <v>247</v>
      </c>
      <c r="I463" s="2629" t="s">
        <v>169</v>
      </c>
      <c r="J463" s="2632" t="s">
        <v>176</v>
      </c>
      <c r="K463" s="2369" t="s">
        <v>253</v>
      </c>
      <c r="L463" s="2629">
        <v>23174</v>
      </c>
      <c r="M463" s="2369"/>
      <c r="N463" s="2629">
        <v>23174</v>
      </c>
      <c r="O463" s="2313">
        <f>40000/3000</f>
        <v>13.333333333333334</v>
      </c>
      <c r="P463" s="2629">
        <f>12*8</f>
        <v>96</v>
      </c>
      <c r="Q463" s="2313">
        <f t="shared" si="61"/>
        <v>1280</v>
      </c>
      <c r="R463" s="2361"/>
      <c r="S463" s="2361"/>
      <c r="T463" s="2361"/>
      <c r="U463" s="2361"/>
      <c r="V463" s="2361">
        <v>1280</v>
      </c>
      <c r="W463" s="2361"/>
      <c r="X463" s="2361"/>
      <c r="Y463" s="2361"/>
      <c r="Z463" s="2369"/>
      <c r="AA463" s="2369"/>
      <c r="AB463" s="2369"/>
      <c r="AC463" s="2369"/>
      <c r="AD463" s="2369"/>
      <c r="AE463" s="2369"/>
      <c r="AF463" s="2369"/>
      <c r="AG463" s="547">
        <f t="shared" si="60"/>
        <v>1280</v>
      </c>
    </row>
    <row r="464" spans="1:33" ht="31.5" outlineLevel="2">
      <c r="A464" s="2629">
        <v>3113</v>
      </c>
      <c r="B464" s="2630" t="s">
        <v>260</v>
      </c>
      <c r="C464" s="2631" t="s">
        <v>261</v>
      </c>
      <c r="D464" s="2629"/>
      <c r="E464" s="2629">
        <v>15</v>
      </c>
      <c r="F464" s="2629">
        <v>43248</v>
      </c>
      <c r="G464" s="2629">
        <f t="shared" si="62"/>
        <v>43263</v>
      </c>
      <c r="H464" s="2629" t="s">
        <v>247</v>
      </c>
      <c r="I464" s="2629" t="s">
        <v>169</v>
      </c>
      <c r="J464" s="2632" t="s">
        <v>176</v>
      </c>
      <c r="K464" s="2369" t="s">
        <v>263</v>
      </c>
      <c r="L464" s="2629">
        <v>23174</v>
      </c>
      <c r="M464" s="2369"/>
      <c r="N464" s="2629">
        <v>23174</v>
      </c>
      <c r="O464" s="2633">
        <f>175000/3000</f>
        <v>58.333333333333336</v>
      </c>
      <c r="P464" s="2634">
        <v>4</v>
      </c>
      <c r="Q464" s="2313">
        <f t="shared" si="61"/>
        <v>233.33333333333334</v>
      </c>
      <c r="R464" s="2361"/>
      <c r="S464" s="2361"/>
      <c r="T464" s="2361"/>
      <c r="U464" s="2361"/>
      <c r="V464" s="2361">
        <v>233.33333333333334</v>
      </c>
      <c r="W464" s="2361"/>
      <c r="X464" s="2361"/>
      <c r="Y464" s="2361"/>
      <c r="Z464" s="2369"/>
      <c r="AA464" s="2369"/>
      <c r="AB464" s="2369"/>
      <c r="AC464" s="2369"/>
      <c r="AD464" s="2369"/>
      <c r="AE464" s="2369"/>
      <c r="AF464" s="2369"/>
      <c r="AG464" s="547">
        <f t="shared" si="60"/>
        <v>233.33333333333334</v>
      </c>
    </row>
    <row r="465" spans="1:33" ht="31.5" outlineLevel="2">
      <c r="A465" s="2629">
        <v>3113</v>
      </c>
      <c r="B465" s="2630" t="s">
        <v>260</v>
      </c>
      <c r="C465" s="2631" t="s">
        <v>261</v>
      </c>
      <c r="D465" s="2629"/>
      <c r="E465" s="2629">
        <v>15</v>
      </c>
      <c r="F465" s="2629">
        <v>43248</v>
      </c>
      <c r="G465" s="2629">
        <f t="shared" si="62"/>
        <v>43263</v>
      </c>
      <c r="H465" s="2629" t="s">
        <v>247</v>
      </c>
      <c r="I465" s="2629" t="s">
        <v>169</v>
      </c>
      <c r="J465" s="2632" t="s">
        <v>176</v>
      </c>
      <c r="K465" s="2369" t="s">
        <v>264</v>
      </c>
      <c r="L465" s="2629">
        <v>23174</v>
      </c>
      <c r="M465" s="2369"/>
      <c r="N465" s="2629">
        <v>23174</v>
      </c>
      <c r="O465" s="2633">
        <f>109000/3000</f>
        <v>36.333333333333336</v>
      </c>
      <c r="P465" s="2634">
        <v>4</v>
      </c>
      <c r="Q465" s="2313">
        <f t="shared" si="61"/>
        <v>145.33333333333334</v>
      </c>
      <c r="R465" s="2361"/>
      <c r="S465" s="2361"/>
      <c r="T465" s="2361"/>
      <c r="U465" s="2361"/>
      <c r="V465" s="2361">
        <v>145.33333333333334</v>
      </c>
      <c r="W465" s="2361"/>
      <c r="X465" s="2361"/>
      <c r="Y465" s="2361"/>
      <c r="Z465" s="2369"/>
      <c r="AA465" s="2369"/>
      <c r="AB465" s="2369"/>
      <c r="AC465" s="2369"/>
      <c r="AD465" s="2369"/>
      <c r="AE465" s="2369"/>
      <c r="AF465" s="2369"/>
      <c r="AG465" s="547">
        <f t="shared" si="60"/>
        <v>145.33333333333334</v>
      </c>
    </row>
    <row r="466" spans="1:33" ht="31.5" outlineLevel="2">
      <c r="A466" s="2629">
        <v>3113</v>
      </c>
      <c r="B466" s="2630" t="s">
        <v>260</v>
      </c>
      <c r="C466" s="2631" t="s">
        <v>261</v>
      </c>
      <c r="D466" s="2629"/>
      <c r="E466" s="2629">
        <v>15</v>
      </c>
      <c r="F466" s="2629">
        <v>43248</v>
      </c>
      <c r="G466" s="2629">
        <f t="shared" si="62"/>
        <v>43263</v>
      </c>
      <c r="H466" s="2629" t="s">
        <v>247</v>
      </c>
      <c r="I466" s="2629" t="s">
        <v>169</v>
      </c>
      <c r="J466" s="2632" t="s">
        <v>176</v>
      </c>
      <c r="K466" s="2369" t="s">
        <v>265</v>
      </c>
      <c r="L466" s="2629">
        <v>23174</v>
      </c>
      <c r="M466" s="2369"/>
      <c r="N466" s="2629">
        <v>23174</v>
      </c>
      <c r="O466" s="2633">
        <f>215000/3000</f>
        <v>71.666666666666671</v>
      </c>
      <c r="P466" s="2634">
        <v>4</v>
      </c>
      <c r="Q466" s="2313">
        <f t="shared" si="61"/>
        <v>286.66666666666669</v>
      </c>
      <c r="R466" s="2361"/>
      <c r="S466" s="2361"/>
      <c r="T466" s="2361"/>
      <c r="U466" s="2361"/>
      <c r="V466" s="2361">
        <v>286.66666666666669</v>
      </c>
      <c r="W466" s="2361"/>
      <c r="X466" s="2361"/>
      <c r="Y466" s="2361"/>
      <c r="Z466" s="2369"/>
      <c r="AA466" s="2369"/>
      <c r="AB466" s="2369"/>
      <c r="AC466" s="2369"/>
      <c r="AD466" s="2369"/>
      <c r="AE466" s="2369"/>
      <c r="AF466" s="2369"/>
      <c r="AG466" s="547">
        <f t="shared" si="60"/>
        <v>286.66666666666669</v>
      </c>
    </row>
    <row r="467" spans="1:33" ht="47.25" outlineLevel="2">
      <c r="A467" s="2629">
        <v>3114</v>
      </c>
      <c r="B467" s="2630" t="s">
        <v>266</v>
      </c>
      <c r="C467" s="2631" t="s">
        <v>267</v>
      </c>
      <c r="D467" s="2629"/>
      <c r="E467" s="2629">
        <v>15</v>
      </c>
      <c r="F467" s="2629">
        <v>43269</v>
      </c>
      <c r="G467" s="2629">
        <f t="shared" si="62"/>
        <v>43284</v>
      </c>
      <c r="H467" s="2629" t="s">
        <v>247</v>
      </c>
      <c r="I467" s="2629" t="s">
        <v>169</v>
      </c>
      <c r="J467" s="2632" t="s">
        <v>176</v>
      </c>
      <c r="K467" s="2369" t="s">
        <v>252</v>
      </c>
      <c r="L467" s="2629">
        <v>23174</v>
      </c>
      <c r="M467" s="2369"/>
      <c r="N467" s="2629">
        <v>23174</v>
      </c>
      <c r="O467" s="2313">
        <f>36000/3000</f>
        <v>12</v>
      </c>
      <c r="P467" s="2629">
        <f>20*8</f>
        <v>160</v>
      </c>
      <c r="Q467" s="2313">
        <f t="shared" si="61"/>
        <v>1920</v>
      </c>
      <c r="R467" s="2361"/>
      <c r="S467" s="2361"/>
      <c r="T467" s="2361"/>
      <c r="U467" s="2361"/>
      <c r="V467" s="2361">
        <v>1920</v>
      </c>
      <c r="W467" s="2361"/>
      <c r="X467" s="2361"/>
      <c r="Y467" s="2361"/>
      <c r="Z467" s="2369"/>
      <c r="AA467" s="2369"/>
      <c r="AB467" s="2369"/>
      <c r="AC467" s="2369"/>
      <c r="AD467" s="2369"/>
      <c r="AE467" s="2369"/>
      <c r="AF467" s="2369"/>
      <c r="AG467" s="547">
        <f t="shared" si="60"/>
        <v>1920</v>
      </c>
    </row>
    <row r="468" spans="1:33" ht="47.25" outlineLevel="2">
      <c r="A468" s="2629">
        <v>3114</v>
      </c>
      <c r="B468" s="2630" t="s">
        <v>266</v>
      </c>
      <c r="C468" s="2631" t="s">
        <v>267</v>
      </c>
      <c r="D468" s="2629"/>
      <c r="E468" s="2629">
        <v>15</v>
      </c>
      <c r="F468" s="2629">
        <v>43269</v>
      </c>
      <c r="G468" s="2629">
        <f t="shared" si="62"/>
        <v>43284</v>
      </c>
      <c r="H468" s="2629" t="s">
        <v>247</v>
      </c>
      <c r="I468" s="2629" t="s">
        <v>169</v>
      </c>
      <c r="J468" s="2632" t="s">
        <v>176</v>
      </c>
      <c r="K468" s="2369" t="s">
        <v>253</v>
      </c>
      <c r="L468" s="2629">
        <v>23174</v>
      </c>
      <c r="M468" s="2369"/>
      <c r="N468" s="2629">
        <v>23174</v>
      </c>
      <c r="O468" s="2313">
        <f>40000/3000</f>
        <v>13.333333333333334</v>
      </c>
      <c r="P468" s="2629">
        <f>20*7</f>
        <v>140</v>
      </c>
      <c r="Q468" s="2313">
        <f t="shared" si="61"/>
        <v>1866.6666666666667</v>
      </c>
      <c r="R468" s="2361"/>
      <c r="S468" s="2361"/>
      <c r="T468" s="2361"/>
      <c r="U468" s="2361"/>
      <c r="V468" s="2361">
        <v>1866.6666666666667</v>
      </c>
      <c r="W468" s="2361"/>
      <c r="X468" s="2361"/>
      <c r="Y468" s="2361"/>
      <c r="Z468" s="2369"/>
      <c r="AA468" s="2369"/>
      <c r="AB468" s="2369"/>
      <c r="AC468" s="2369"/>
      <c r="AD468" s="2369"/>
      <c r="AE468" s="2369"/>
      <c r="AF468" s="2369"/>
      <c r="AG468" s="547">
        <f t="shared" si="60"/>
        <v>1866.6666666666667</v>
      </c>
    </row>
    <row r="469" spans="1:33" ht="47.25" outlineLevel="2">
      <c r="A469" s="2629">
        <v>3114</v>
      </c>
      <c r="B469" s="2630" t="s">
        <v>266</v>
      </c>
      <c r="C469" s="2631" t="s">
        <v>267</v>
      </c>
      <c r="D469" s="2629"/>
      <c r="E469" s="2629">
        <v>15</v>
      </c>
      <c r="F469" s="2629">
        <v>43269</v>
      </c>
      <c r="G469" s="2629">
        <f t="shared" si="62"/>
        <v>43284</v>
      </c>
      <c r="H469" s="2629" t="s">
        <v>247</v>
      </c>
      <c r="I469" s="2629" t="s">
        <v>169</v>
      </c>
      <c r="J469" s="2632" t="s">
        <v>176</v>
      </c>
      <c r="K469" s="2369" t="s">
        <v>254</v>
      </c>
      <c r="L469" s="2629">
        <v>23174</v>
      </c>
      <c r="M469" s="2369"/>
      <c r="N469" s="2629">
        <v>23174</v>
      </c>
      <c r="O469" s="2633">
        <f>30000/3000</f>
        <v>10</v>
      </c>
      <c r="P469" s="2634">
        <v>20</v>
      </c>
      <c r="Q469" s="2313">
        <f t="shared" si="61"/>
        <v>200</v>
      </c>
      <c r="R469" s="2361"/>
      <c r="S469" s="2361"/>
      <c r="T469" s="2361"/>
      <c r="U469" s="2361"/>
      <c r="V469" s="2361">
        <v>200</v>
      </c>
      <c r="W469" s="2361"/>
      <c r="X469" s="2361"/>
      <c r="Y469" s="2361"/>
      <c r="Z469" s="2369"/>
      <c r="AA469" s="2369"/>
      <c r="AB469" s="2369"/>
      <c r="AC469" s="2369"/>
      <c r="AD469" s="2369"/>
      <c r="AE469" s="2369"/>
      <c r="AF469" s="2369"/>
      <c r="AG469" s="547">
        <f t="shared" si="60"/>
        <v>200</v>
      </c>
    </row>
    <row r="470" spans="1:33" s="1570" customFormat="1" ht="47.25" outlineLevel="2">
      <c r="A470" s="2629">
        <v>3114</v>
      </c>
      <c r="B470" s="2630" t="s">
        <v>266</v>
      </c>
      <c r="C470" s="2631" t="s">
        <v>267</v>
      </c>
      <c r="D470" s="2629"/>
      <c r="E470" s="2629">
        <v>15</v>
      </c>
      <c r="F470" s="2629">
        <v>43269</v>
      </c>
      <c r="G470" s="2629">
        <f t="shared" si="62"/>
        <v>43284</v>
      </c>
      <c r="H470" s="2629" t="s">
        <v>247</v>
      </c>
      <c r="I470" s="2629" t="s">
        <v>169</v>
      </c>
      <c r="J470" s="2632" t="s">
        <v>176</v>
      </c>
      <c r="K470" s="2369" t="s">
        <v>255</v>
      </c>
      <c r="L470" s="2629">
        <v>23174</v>
      </c>
      <c r="M470" s="2369"/>
      <c r="N470" s="2629">
        <v>23174</v>
      </c>
      <c r="O470" s="2633">
        <f>(0.15*4000*2)/3000</f>
        <v>0.4</v>
      </c>
      <c r="P470" s="2634">
        <v>170</v>
      </c>
      <c r="Q470" s="2313">
        <f t="shared" si="61"/>
        <v>68</v>
      </c>
      <c r="R470" s="2361"/>
      <c r="S470" s="2361"/>
      <c r="T470" s="2361"/>
      <c r="U470" s="2361"/>
      <c r="V470" s="2361">
        <v>68</v>
      </c>
      <c r="W470" s="2361"/>
      <c r="X470" s="2361"/>
      <c r="Y470" s="2361"/>
      <c r="Z470" s="2369"/>
      <c r="AA470" s="2369"/>
      <c r="AB470" s="2369"/>
      <c r="AC470" s="2369"/>
      <c r="AD470" s="2369"/>
      <c r="AE470" s="2369"/>
      <c r="AF470" s="2369"/>
      <c r="AG470" s="547">
        <f t="shared" si="60"/>
        <v>68</v>
      </c>
    </row>
    <row r="471" spans="1:33" s="1570" customFormat="1" ht="31.5" outlineLevel="2">
      <c r="A471" s="2629">
        <v>3115</v>
      </c>
      <c r="B471" s="2630" t="s">
        <v>269</v>
      </c>
      <c r="C471" s="2631" t="s">
        <v>270</v>
      </c>
      <c r="D471" s="2629"/>
      <c r="E471" s="2629">
        <v>15</v>
      </c>
      <c r="F471" s="2629">
        <v>43290</v>
      </c>
      <c r="G471" s="2629">
        <f t="shared" si="62"/>
        <v>43305</v>
      </c>
      <c r="H471" s="2629" t="s">
        <v>247</v>
      </c>
      <c r="I471" s="2629" t="s">
        <v>169</v>
      </c>
      <c r="J471" s="2632" t="s">
        <v>176</v>
      </c>
      <c r="K471" s="2369" t="s">
        <v>252</v>
      </c>
      <c r="L471" s="2629">
        <v>23174</v>
      </c>
      <c r="M471" s="2369"/>
      <c r="N471" s="2629">
        <v>23174</v>
      </c>
      <c r="O471" s="2313">
        <f>36000/3000</f>
        <v>12</v>
      </c>
      <c r="P471" s="2629">
        <f>20*9</f>
        <v>180</v>
      </c>
      <c r="Q471" s="2313">
        <f t="shared" si="61"/>
        <v>2160</v>
      </c>
      <c r="R471" s="2361"/>
      <c r="S471" s="2361"/>
      <c r="T471" s="2361"/>
      <c r="U471" s="2361"/>
      <c r="V471" s="2361"/>
      <c r="W471" s="2361">
        <v>2160</v>
      </c>
      <c r="X471" s="2361"/>
      <c r="Y471" s="2361"/>
      <c r="Z471" s="2369"/>
      <c r="AA471" s="2369"/>
      <c r="AB471" s="2369"/>
      <c r="AC471" s="2369"/>
      <c r="AD471" s="2369"/>
      <c r="AE471" s="2369"/>
      <c r="AF471" s="2369"/>
      <c r="AG471" s="547">
        <f t="shared" si="60"/>
        <v>2160</v>
      </c>
    </row>
    <row r="472" spans="1:33" s="1570" customFormat="1" ht="31.5" outlineLevel="2">
      <c r="A472" s="2629">
        <v>3115</v>
      </c>
      <c r="B472" s="2630" t="s">
        <v>269</v>
      </c>
      <c r="C472" s="2631" t="s">
        <v>270</v>
      </c>
      <c r="D472" s="2629"/>
      <c r="E472" s="2629">
        <v>15</v>
      </c>
      <c r="F472" s="2629">
        <v>43290</v>
      </c>
      <c r="G472" s="2629">
        <f t="shared" si="62"/>
        <v>43305</v>
      </c>
      <c r="H472" s="2629" t="s">
        <v>247</v>
      </c>
      <c r="I472" s="2629" t="s">
        <v>169</v>
      </c>
      <c r="J472" s="2632" t="s">
        <v>176</v>
      </c>
      <c r="K472" s="2369" t="s">
        <v>253</v>
      </c>
      <c r="L472" s="2629">
        <v>23174</v>
      </c>
      <c r="M472" s="2369"/>
      <c r="N472" s="2629">
        <v>23174</v>
      </c>
      <c r="O472" s="2313">
        <f>40000/3000</f>
        <v>13.333333333333334</v>
      </c>
      <c r="P472" s="2629">
        <f>20*8</f>
        <v>160</v>
      </c>
      <c r="Q472" s="2313">
        <f t="shared" si="61"/>
        <v>2133.3333333333335</v>
      </c>
      <c r="R472" s="2361"/>
      <c r="S472" s="2361"/>
      <c r="T472" s="2361"/>
      <c r="U472" s="2361"/>
      <c r="V472" s="2361"/>
      <c r="W472" s="2361">
        <v>2133.3333333333335</v>
      </c>
      <c r="X472" s="2361"/>
      <c r="Y472" s="2361"/>
      <c r="Z472" s="2369"/>
      <c r="AA472" s="2369"/>
      <c r="AB472" s="2369"/>
      <c r="AC472" s="2369"/>
      <c r="AD472" s="2369"/>
      <c r="AE472" s="2369"/>
      <c r="AF472" s="2369"/>
      <c r="AG472" s="547">
        <f t="shared" si="60"/>
        <v>2133.3333333333335</v>
      </c>
    </row>
    <row r="473" spans="1:33" s="1570" customFormat="1" ht="31.5" outlineLevel="2">
      <c r="A473" s="2629">
        <v>3115</v>
      </c>
      <c r="B473" s="2630" t="s">
        <v>269</v>
      </c>
      <c r="C473" s="2631" t="s">
        <v>270</v>
      </c>
      <c r="D473" s="2629"/>
      <c r="E473" s="2629">
        <v>15</v>
      </c>
      <c r="F473" s="2629">
        <v>43290</v>
      </c>
      <c r="G473" s="2629">
        <f t="shared" si="62"/>
        <v>43305</v>
      </c>
      <c r="H473" s="2629" t="s">
        <v>247</v>
      </c>
      <c r="I473" s="2629" t="s">
        <v>169</v>
      </c>
      <c r="J473" s="2632" t="s">
        <v>176</v>
      </c>
      <c r="K473" s="2369" t="s">
        <v>254</v>
      </c>
      <c r="L473" s="2629">
        <v>23174</v>
      </c>
      <c r="M473" s="2369"/>
      <c r="N473" s="2629">
        <v>23174</v>
      </c>
      <c r="O473" s="2633">
        <f>30000/3000</f>
        <v>10</v>
      </c>
      <c r="P473" s="2634">
        <v>20</v>
      </c>
      <c r="Q473" s="2313">
        <f t="shared" si="61"/>
        <v>200</v>
      </c>
      <c r="R473" s="2361"/>
      <c r="S473" s="2361"/>
      <c r="T473" s="2361"/>
      <c r="U473" s="2361"/>
      <c r="V473" s="2361"/>
      <c r="W473" s="2361">
        <v>200</v>
      </c>
      <c r="X473" s="2361"/>
      <c r="Y473" s="2361"/>
      <c r="Z473" s="2369"/>
      <c r="AA473" s="2369"/>
      <c r="AB473" s="2369"/>
      <c r="AC473" s="2369"/>
      <c r="AD473" s="2369"/>
      <c r="AE473" s="2369"/>
      <c r="AF473" s="2369"/>
      <c r="AG473" s="547">
        <f t="shared" si="60"/>
        <v>200</v>
      </c>
    </row>
    <row r="474" spans="1:33" s="1570" customFormat="1" ht="31.5" outlineLevel="2">
      <c r="A474" s="2629">
        <v>3115</v>
      </c>
      <c r="B474" s="2630" t="s">
        <v>269</v>
      </c>
      <c r="C474" s="2631" t="s">
        <v>270</v>
      </c>
      <c r="D474" s="2629"/>
      <c r="E474" s="2629">
        <v>15</v>
      </c>
      <c r="F474" s="2629">
        <v>43290</v>
      </c>
      <c r="G474" s="2629">
        <f t="shared" si="62"/>
        <v>43305</v>
      </c>
      <c r="H474" s="2629" t="s">
        <v>247</v>
      </c>
      <c r="I474" s="2629" t="s">
        <v>169</v>
      </c>
      <c r="J474" s="2632" t="s">
        <v>176</v>
      </c>
      <c r="K474" s="2369" t="s">
        <v>255</v>
      </c>
      <c r="L474" s="2629">
        <v>23174</v>
      </c>
      <c r="M474" s="2369"/>
      <c r="N474" s="2629">
        <v>23174</v>
      </c>
      <c r="O474" s="2633">
        <f>(0.15*4000*2)/3000</f>
        <v>0.4</v>
      </c>
      <c r="P474" s="2634">
        <v>170</v>
      </c>
      <c r="Q474" s="2313">
        <f t="shared" si="61"/>
        <v>68</v>
      </c>
      <c r="R474" s="2361"/>
      <c r="S474" s="2361"/>
      <c r="T474" s="2361"/>
      <c r="U474" s="2361"/>
      <c r="V474" s="2361"/>
      <c r="W474" s="2361">
        <v>68</v>
      </c>
      <c r="X474" s="2361"/>
      <c r="Y474" s="2361"/>
      <c r="Z474" s="2369"/>
      <c r="AA474" s="2369"/>
      <c r="AB474" s="2369"/>
      <c r="AC474" s="2369"/>
      <c r="AD474" s="2369"/>
      <c r="AE474" s="2369"/>
      <c r="AF474" s="2369"/>
      <c r="AG474" s="547">
        <f t="shared" si="60"/>
        <v>68</v>
      </c>
    </row>
    <row r="475" spans="1:33" outlineLevel="2">
      <c r="A475" s="2635">
        <v>3212</v>
      </c>
      <c r="B475" s="2636" t="s">
        <v>556</v>
      </c>
      <c r="C475" s="2637" t="s">
        <v>560</v>
      </c>
      <c r="D475" s="2638"/>
      <c r="E475" s="2635">
        <f>10</f>
        <v>10</v>
      </c>
      <c r="F475" s="2635">
        <v>43252</v>
      </c>
      <c r="G475" s="2635">
        <f t="shared" ref="G475:G488" si="63">+F475+E475</f>
        <v>43262</v>
      </c>
      <c r="H475" s="2638" t="s">
        <v>555</v>
      </c>
      <c r="I475" s="2635" t="s">
        <v>177</v>
      </c>
      <c r="J475" s="2639"/>
      <c r="K475" s="2640" t="s">
        <v>561</v>
      </c>
      <c r="L475" s="2635">
        <v>23174</v>
      </c>
      <c r="M475" s="2640"/>
      <c r="N475" s="2635"/>
      <c r="O475" s="2641">
        <v>4064</v>
      </c>
      <c r="P475" s="2635">
        <v>1</v>
      </c>
      <c r="Q475" s="1671">
        <f t="shared" si="61"/>
        <v>4064</v>
      </c>
      <c r="R475" s="1671"/>
      <c r="S475" s="1671"/>
      <c r="T475" s="1671"/>
      <c r="U475" s="1671"/>
      <c r="V475" s="1671"/>
      <c r="W475" s="1671">
        <v>4064</v>
      </c>
      <c r="X475" s="1671"/>
      <c r="Y475" s="1671"/>
      <c r="Z475" s="1671"/>
      <c r="AA475" s="1671"/>
      <c r="AB475" s="1671"/>
      <c r="AC475" s="1671"/>
      <c r="AD475" s="1671"/>
      <c r="AE475" s="1671"/>
      <c r="AF475" s="1671"/>
      <c r="AG475" s="547">
        <f t="shared" si="60"/>
        <v>4064</v>
      </c>
    </row>
    <row r="476" spans="1:33" outlineLevel="2">
      <c r="A476" s="2642">
        <v>3212</v>
      </c>
      <c r="B476" s="2517" t="s">
        <v>556</v>
      </c>
      <c r="C476" s="2524" t="s">
        <v>562</v>
      </c>
      <c r="D476" s="2643"/>
      <c r="E476" s="2417">
        <f>10</f>
        <v>10</v>
      </c>
      <c r="F476" s="2417">
        <v>43252</v>
      </c>
      <c r="G476" s="2417">
        <f t="shared" si="63"/>
        <v>43262</v>
      </c>
      <c r="H476" s="2643" t="s">
        <v>555</v>
      </c>
      <c r="I476" s="2642" t="s">
        <v>177</v>
      </c>
      <c r="J476" s="2644"/>
      <c r="K476" s="2284" t="s">
        <v>563</v>
      </c>
      <c r="L476" s="2417">
        <v>23174</v>
      </c>
      <c r="M476" s="2284"/>
      <c r="N476" s="2417"/>
      <c r="O476" s="299">
        <v>1640</v>
      </c>
      <c r="P476" s="2417">
        <v>1</v>
      </c>
      <c r="Q476" s="913">
        <f t="shared" si="61"/>
        <v>1640</v>
      </c>
      <c r="R476" s="2290"/>
      <c r="S476" s="913"/>
      <c r="T476" s="913"/>
      <c r="U476" s="913"/>
      <c r="V476" s="913"/>
      <c r="W476" s="913">
        <v>1640</v>
      </c>
      <c r="X476" s="1600"/>
      <c r="Y476" s="1127"/>
      <c r="Z476" s="1127"/>
      <c r="AA476" s="1127"/>
      <c r="AB476" s="1127"/>
      <c r="AC476" s="1127"/>
      <c r="AD476" s="1127"/>
      <c r="AE476" s="1127"/>
      <c r="AF476" s="1127"/>
      <c r="AG476" s="547">
        <f t="shared" si="60"/>
        <v>1640</v>
      </c>
    </row>
    <row r="477" spans="1:33" outlineLevel="2">
      <c r="A477" s="2642">
        <v>3212</v>
      </c>
      <c r="B477" s="2517" t="s">
        <v>556</v>
      </c>
      <c r="C477" s="2524" t="s">
        <v>564</v>
      </c>
      <c r="D477" s="2643"/>
      <c r="E477" s="2417">
        <f>10</f>
        <v>10</v>
      </c>
      <c r="F477" s="2417">
        <v>43252</v>
      </c>
      <c r="G477" s="2417">
        <f t="shared" si="63"/>
        <v>43262</v>
      </c>
      <c r="H477" s="2643" t="s">
        <v>555</v>
      </c>
      <c r="I477" s="2642" t="s">
        <v>177</v>
      </c>
      <c r="J477" s="2644"/>
      <c r="K477" s="2284" t="s">
        <v>565</v>
      </c>
      <c r="L477" s="2417">
        <v>23174</v>
      </c>
      <c r="M477" s="2284"/>
      <c r="N477" s="2417"/>
      <c r="O477" s="299">
        <v>426.73333333333335</v>
      </c>
      <c r="P477" s="2417">
        <v>1</v>
      </c>
      <c r="Q477" s="913">
        <f t="shared" si="61"/>
        <v>426.73333333333335</v>
      </c>
      <c r="R477" s="2290"/>
      <c r="S477" s="913"/>
      <c r="T477" s="913"/>
      <c r="U477" s="913"/>
      <c r="V477" s="913"/>
      <c r="W477" s="913">
        <v>426.73333333333335</v>
      </c>
      <c r="X477" s="1600"/>
      <c r="Y477" s="1127"/>
      <c r="Z477" s="1127"/>
      <c r="AA477" s="1127"/>
      <c r="AB477" s="1127"/>
      <c r="AC477" s="1127"/>
      <c r="AD477" s="1127"/>
      <c r="AE477" s="1127"/>
      <c r="AF477" s="1127"/>
      <c r="AG477" s="547">
        <f t="shared" si="60"/>
        <v>426.73333333333335</v>
      </c>
    </row>
    <row r="478" spans="1:33" outlineLevel="2">
      <c r="A478" s="2642">
        <v>3222</v>
      </c>
      <c r="B478" s="2645" t="s">
        <v>575</v>
      </c>
      <c r="C478" s="2524" t="s">
        <v>560</v>
      </c>
      <c r="D478" s="2643"/>
      <c r="E478" s="2417">
        <v>10</v>
      </c>
      <c r="F478" s="2417">
        <v>43313</v>
      </c>
      <c r="G478" s="2417">
        <f t="shared" si="63"/>
        <v>43323</v>
      </c>
      <c r="H478" s="2643" t="s">
        <v>555</v>
      </c>
      <c r="I478" s="2642" t="s">
        <v>177</v>
      </c>
      <c r="J478" s="2644"/>
      <c r="K478" s="2284" t="s">
        <v>561</v>
      </c>
      <c r="L478" s="2417">
        <v>23174</v>
      </c>
      <c r="M478" s="2284"/>
      <c r="N478" s="2417"/>
      <c r="O478" s="299">
        <v>4064</v>
      </c>
      <c r="P478" s="2417">
        <f>1</f>
        <v>1</v>
      </c>
      <c r="Q478" s="913">
        <f t="shared" ref="Q478:Q491" si="64">+O478*P478</f>
        <v>4064</v>
      </c>
      <c r="R478" s="2290"/>
      <c r="S478" s="913"/>
      <c r="T478" s="913"/>
      <c r="U478" s="913"/>
      <c r="V478" s="913"/>
      <c r="W478" s="913"/>
      <c r="X478" s="1600"/>
      <c r="Y478" s="1127"/>
      <c r="Z478" s="1127">
        <v>4064</v>
      </c>
      <c r="AA478" s="1127"/>
      <c r="AB478" s="1127"/>
      <c r="AC478" s="1127"/>
      <c r="AD478" s="1127"/>
      <c r="AE478" s="1127"/>
      <c r="AF478" s="1127"/>
      <c r="AG478" s="547">
        <f t="shared" si="60"/>
        <v>4064</v>
      </c>
    </row>
    <row r="479" spans="1:33" outlineLevel="2">
      <c r="A479" s="2642">
        <v>3222</v>
      </c>
      <c r="B479" s="2645" t="s">
        <v>575</v>
      </c>
      <c r="C479" s="2524" t="s">
        <v>562</v>
      </c>
      <c r="D479" s="2643"/>
      <c r="E479" s="2417">
        <f>10</f>
        <v>10</v>
      </c>
      <c r="F479" s="2417">
        <v>43313</v>
      </c>
      <c r="G479" s="2417">
        <f t="shared" si="63"/>
        <v>43323</v>
      </c>
      <c r="H479" s="2643" t="s">
        <v>555</v>
      </c>
      <c r="I479" s="2642" t="s">
        <v>177</v>
      </c>
      <c r="J479" s="2644"/>
      <c r="K479" s="2284" t="s">
        <v>563</v>
      </c>
      <c r="L479" s="2417">
        <v>23174</v>
      </c>
      <c r="M479" s="2284"/>
      <c r="N479" s="2417"/>
      <c r="O479" s="299">
        <v>1640</v>
      </c>
      <c r="P479" s="2417">
        <f>1</f>
        <v>1</v>
      </c>
      <c r="Q479" s="913">
        <f t="shared" si="64"/>
        <v>1640</v>
      </c>
      <c r="R479" s="2290"/>
      <c r="S479" s="913"/>
      <c r="T479" s="913"/>
      <c r="U479" s="913"/>
      <c r="V479" s="913"/>
      <c r="W479" s="913"/>
      <c r="X479" s="1600"/>
      <c r="Y479" s="1127"/>
      <c r="Z479" s="1127">
        <v>1640</v>
      </c>
      <c r="AA479" s="1127"/>
      <c r="AB479" s="1127"/>
      <c r="AC479" s="1127"/>
      <c r="AD479" s="1127"/>
      <c r="AE479" s="1127"/>
      <c r="AF479" s="1127"/>
      <c r="AG479" s="547">
        <f t="shared" si="60"/>
        <v>1640</v>
      </c>
    </row>
    <row r="480" spans="1:33" outlineLevel="2">
      <c r="A480" s="2642">
        <v>3222</v>
      </c>
      <c r="B480" s="2645" t="s">
        <v>575</v>
      </c>
      <c r="C480" s="2524" t="s">
        <v>564</v>
      </c>
      <c r="D480" s="2643"/>
      <c r="E480" s="2417">
        <f>10</f>
        <v>10</v>
      </c>
      <c r="F480" s="2417">
        <v>43313</v>
      </c>
      <c r="G480" s="2417">
        <f t="shared" si="63"/>
        <v>43323</v>
      </c>
      <c r="H480" s="2643" t="s">
        <v>555</v>
      </c>
      <c r="I480" s="2642" t="s">
        <v>177</v>
      </c>
      <c r="J480" s="2644"/>
      <c r="K480" s="2284" t="s">
        <v>565</v>
      </c>
      <c r="L480" s="2417">
        <v>23174</v>
      </c>
      <c r="M480" s="2284"/>
      <c r="N480" s="2417"/>
      <c r="O480" s="299">
        <v>426.73333333333335</v>
      </c>
      <c r="P480" s="2417">
        <f>1</f>
        <v>1</v>
      </c>
      <c r="Q480" s="913">
        <f t="shared" si="64"/>
        <v>426.73333333333335</v>
      </c>
      <c r="R480" s="2290"/>
      <c r="S480" s="913"/>
      <c r="T480" s="913"/>
      <c r="U480" s="913"/>
      <c r="V480" s="913"/>
      <c r="W480" s="913"/>
      <c r="X480" s="1600"/>
      <c r="Y480" s="1127"/>
      <c r="Z480" s="1127">
        <v>426.73333333333335</v>
      </c>
      <c r="AA480" s="1127"/>
      <c r="AB480" s="1127"/>
      <c r="AC480" s="1127"/>
      <c r="AD480" s="1127"/>
      <c r="AE480" s="1127"/>
      <c r="AF480" s="1127"/>
      <c r="AG480" s="547">
        <f t="shared" si="60"/>
        <v>426.73333333333335</v>
      </c>
    </row>
    <row r="481" spans="1:33" outlineLevel="2">
      <c r="A481" s="2642">
        <v>3232</v>
      </c>
      <c r="B481" s="2517" t="s">
        <v>588</v>
      </c>
      <c r="C481" s="2524" t="s">
        <v>560</v>
      </c>
      <c r="D481" s="2643"/>
      <c r="E481" s="2642">
        <v>6</v>
      </c>
      <c r="F481" s="2642">
        <v>43287</v>
      </c>
      <c r="G481" s="2417">
        <f t="shared" si="63"/>
        <v>43293</v>
      </c>
      <c r="H481" s="2612"/>
      <c r="I481" s="2642" t="s">
        <v>177</v>
      </c>
      <c r="J481" s="2644"/>
      <c r="K481" s="2284" t="s">
        <v>561</v>
      </c>
      <c r="L481" s="2417">
        <v>23174</v>
      </c>
      <c r="M481" s="2646"/>
      <c r="N481" s="2642"/>
      <c r="O481" s="299">
        <f>'[4]BUDGET CAPITALISATION'!$D$26</f>
        <v>2400</v>
      </c>
      <c r="P481" s="2642">
        <v>1</v>
      </c>
      <c r="Q481" s="913">
        <f t="shared" si="64"/>
        <v>2400</v>
      </c>
      <c r="R481" s="2290"/>
      <c r="S481" s="913"/>
      <c r="T481" s="913"/>
      <c r="U481" s="913"/>
      <c r="V481" s="913"/>
      <c r="W481" s="913"/>
      <c r="X481" s="1600">
        <v>2400</v>
      </c>
      <c r="Y481" s="1127"/>
      <c r="Z481" s="1199"/>
      <c r="AA481" s="1199"/>
      <c r="AB481" s="1199"/>
      <c r="AC481" s="1199"/>
      <c r="AD481" s="1199"/>
      <c r="AE481" s="1199"/>
      <c r="AF481" s="1199"/>
      <c r="AG481" s="547">
        <f t="shared" si="60"/>
        <v>2400</v>
      </c>
    </row>
    <row r="482" spans="1:33" outlineLevel="2">
      <c r="A482" s="2642">
        <v>3232</v>
      </c>
      <c r="B482" s="2517" t="s">
        <v>588</v>
      </c>
      <c r="C482" s="2524" t="s">
        <v>562</v>
      </c>
      <c r="D482" s="2643"/>
      <c r="E482" s="2642">
        <v>6</v>
      </c>
      <c r="F482" s="2642">
        <v>43287</v>
      </c>
      <c r="G482" s="2417">
        <f t="shared" si="63"/>
        <v>43293</v>
      </c>
      <c r="H482" s="2612"/>
      <c r="I482" s="2642" t="s">
        <v>177</v>
      </c>
      <c r="J482" s="2644"/>
      <c r="K482" s="2284" t="s">
        <v>563</v>
      </c>
      <c r="L482" s="2417">
        <v>23174</v>
      </c>
      <c r="M482" s="2646"/>
      <c r="N482" s="2642"/>
      <c r="O482" s="299">
        <f>'[4]BUDGET CAPITALISATION'!$D$27</f>
        <v>1973.3333333333333</v>
      </c>
      <c r="P482" s="2642">
        <v>1</v>
      </c>
      <c r="Q482" s="913">
        <f t="shared" si="64"/>
        <v>1973.3333333333333</v>
      </c>
      <c r="R482" s="2290"/>
      <c r="S482" s="913"/>
      <c r="T482" s="913"/>
      <c r="U482" s="913"/>
      <c r="V482" s="913"/>
      <c r="W482" s="913"/>
      <c r="X482" s="1600">
        <v>1973.3333333333333</v>
      </c>
      <c r="Y482" s="1127"/>
      <c r="Z482" s="1199"/>
      <c r="AA482" s="1199"/>
      <c r="AB482" s="1199"/>
      <c r="AC482" s="1199"/>
      <c r="AD482" s="1199"/>
      <c r="AE482" s="1199"/>
      <c r="AF482" s="1199"/>
      <c r="AG482" s="547">
        <f t="shared" si="60"/>
        <v>1973.3333333333333</v>
      </c>
    </row>
    <row r="483" spans="1:33" outlineLevel="2">
      <c r="A483" s="2642">
        <v>3232</v>
      </c>
      <c r="B483" s="2517" t="s">
        <v>588</v>
      </c>
      <c r="C483" s="2524" t="s">
        <v>564</v>
      </c>
      <c r="D483" s="2643"/>
      <c r="E483" s="2642">
        <v>6</v>
      </c>
      <c r="F483" s="2642">
        <v>43287</v>
      </c>
      <c r="G483" s="2417">
        <f t="shared" si="63"/>
        <v>43293</v>
      </c>
      <c r="H483" s="2612"/>
      <c r="I483" s="2642" t="s">
        <v>177</v>
      </c>
      <c r="J483" s="2644"/>
      <c r="K483" s="2284" t="s">
        <v>565</v>
      </c>
      <c r="L483" s="2417">
        <v>23174</v>
      </c>
      <c r="M483" s="2646"/>
      <c r="N483" s="2642"/>
      <c r="O483" s="299">
        <f>'[4]BUDGET CAPITALISATION'!$D$28</f>
        <v>340.13333333333333</v>
      </c>
      <c r="P483" s="2642">
        <v>1</v>
      </c>
      <c r="Q483" s="913">
        <f t="shared" si="64"/>
        <v>340.13333333333333</v>
      </c>
      <c r="R483" s="2290"/>
      <c r="S483" s="913"/>
      <c r="T483" s="913"/>
      <c r="U483" s="913"/>
      <c r="V483" s="913"/>
      <c r="W483" s="913"/>
      <c r="X483" s="1600">
        <v>340.13333333333333</v>
      </c>
      <c r="Y483" s="1127"/>
      <c r="Z483" s="1199"/>
      <c r="AA483" s="1199"/>
      <c r="AB483" s="1199"/>
      <c r="AC483" s="1199"/>
      <c r="AD483" s="1199"/>
      <c r="AE483" s="1199"/>
      <c r="AF483" s="1199"/>
      <c r="AG483" s="547">
        <f t="shared" si="60"/>
        <v>340.13333333333333</v>
      </c>
    </row>
    <row r="484" spans="1:33" outlineLevel="2">
      <c r="A484" s="2642">
        <v>3233</v>
      </c>
      <c r="B484" s="2517" t="s">
        <v>458</v>
      </c>
      <c r="C484" s="2524" t="s">
        <v>560</v>
      </c>
      <c r="D484" s="2643"/>
      <c r="E484" s="2643">
        <v>9</v>
      </c>
      <c r="F484" s="2642">
        <v>43346</v>
      </c>
      <c r="G484" s="2417">
        <f t="shared" si="63"/>
        <v>43355</v>
      </c>
      <c r="H484" s="2612"/>
      <c r="I484" s="2642"/>
      <c r="J484" s="2644"/>
      <c r="K484" s="2284" t="s">
        <v>561</v>
      </c>
      <c r="L484" s="2417">
        <v>23174</v>
      </c>
      <c r="M484" s="2646"/>
      <c r="N484" s="2642"/>
      <c r="O484" s="518">
        <f>'[4]BUDGET TESTING'!$D$35</f>
        <v>2546</v>
      </c>
      <c r="P484" s="2642">
        <v>1</v>
      </c>
      <c r="Q484" s="913">
        <f t="shared" si="64"/>
        <v>2546</v>
      </c>
      <c r="R484" s="2290"/>
      <c r="S484" s="913"/>
      <c r="T484" s="913"/>
      <c r="U484" s="913"/>
      <c r="V484" s="913"/>
      <c r="W484" s="913"/>
      <c r="X484" s="1600">
        <v>2546</v>
      </c>
      <c r="Y484" s="1127"/>
      <c r="Z484" s="1199"/>
      <c r="AA484" s="1199"/>
      <c r="AB484" s="1199"/>
      <c r="AC484" s="1199"/>
      <c r="AD484" s="1199"/>
      <c r="AE484" s="1199"/>
      <c r="AF484" s="1199"/>
      <c r="AG484" s="547">
        <f t="shared" si="60"/>
        <v>2546</v>
      </c>
    </row>
    <row r="485" spans="1:33" outlineLevel="2">
      <c r="A485" s="2642">
        <v>3233</v>
      </c>
      <c r="B485" s="2517" t="s">
        <v>458</v>
      </c>
      <c r="C485" s="2524" t="s">
        <v>562</v>
      </c>
      <c r="D485" s="2643"/>
      <c r="E485" s="2643">
        <v>9</v>
      </c>
      <c r="F485" s="2417">
        <v>43346</v>
      </c>
      <c r="G485" s="2417">
        <f t="shared" si="63"/>
        <v>43355</v>
      </c>
      <c r="H485" s="2612"/>
      <c r="I485" s="2642"/>
      <c r="J485" s="2644"/>
      <c r="K485" s="2284" t="s">
        <v>563</v>
      </c>
      <c r="L485" s="2417">
        <v>23174</v>
      </c>
      <c r="M485" s="2646"/>
      <c r="N485" s="2642"/>
      <c r="O485" s="518">
        <f>'[4]BUDGET TESTING'!$D$36</f>
        <v>1306.6666666666667</v>
      </c>
      <c r="P485" s="2642">
        <v>1</v>
      </c>
      <c r="Q485" s="913">
        <f t="shared" si="64"/>
        <v>1306.6666666666667</v>
      </c>
      <c r="R485" s="2290"/>
      <c r="S485" s="913"/>
      <c r="T485" s="913"/>
      <c r="U485" s="913"/>
      <c r="V485" s="913"/>
      <c r="W485" s="913"/>
      <c r="X485" s="1600">
        <v>1306.6666666666667</v>
      </c>
      <c r="Y485" s="1127"/>
      <c r="Z485" s="1199"/>
      <c r="AA485" s="1199"/>
      <c r="AB485" s="1199"/>
      <c r="AC485" s="1199"/>
      <c r="AD485" s="1199"/>
      <c r="AE485" s="1199"/>
      <c r="AF485" s="1199"/>
      <c r="AG485" s="547">
        <f t="shared" si="60"/>
        <v>1306.6666666666667</v>
      </c>
    </row>
    <row r="486" spans="1:33" outlineLevel="2">
      <c r="A486" s="2642">
        <v>3233</v>
      </c>
      <c r="B486" s="2517" t="s">
        <v>458</v>
      </c>
      <c r="C486" s="2524" t="s">
        <v>564</v>
      </c>
      <c r="D486" s="2643"/>
      <c r="E486" s="2643">
        <v>9</v>
      </c>
      <c r="F486" s="2417">
        <v>43346</v>
      </c>
      <c r="G486" s="2417">
        <f t="shared" si="63"/>
        <v>43355</v>
      </c>
      <c r="H486" s="2612"/>
      <c r="I486" s="2642"/>
      <c r="J486" s="2644"/>
      <c r="K486" s="2284" t="s">
        <v>565</v>
      </c>
      <c r="L486" s="2417">
        <v>23174</v>
      </c>
      <c r="M486" s="2646"/>
      <c r="N486" s="2642"/>
      <c r="O486" s="518">
        <f>'[4]BUDGET TESTING'!$D$37</f>
        <v>557.74666666666667</v>
      </c>
      <c r="P486" s="2642">
        <v>1</v>
      </c>
      <c r="Q486" s="913">
        <f t="shared" si="64"/>
        <v>557.74666666666667</v>
      </c>
      <c r="R486" s="2290"/>
      <c r="S486" s="913"/>
      <c r="T486" s="913"/>
      <c r="U486" s="913"/>
      <c r="V486" s="913"/>
      <c r="W486" s="913"/>
      <c r="X486" s="1600">
        <v>557.74666666666667</v>
      </c>
      <c r="Y486" s="1127"/>
      <c r="Z486" s="1199"/>
      <c r="AA486" s="1199"/>
      <c r="AB486" s="1199"/>
      <c r="AC486" s="1199"/>
      <c r="AD486" s="1199"/>
      <c r="AE486" s="1199"/>
      <c r="AF486" s="1199"/>
      <c r="AG486" s="547">
        <f t="shared" si="60"/>
        <v>557.74666666666667</v>
      </c>
    </row>
    <row r="487" spans="1:33" outlineLevel="2">
      <c r="A487" s="2642">
        <v>3234</v>
      </c>
      <c r="B487" s="2517" t="s">
        <v>593</v>
      </c>
      <c r="C487" s="2524" t="s">
        <v>560</v>
      </c>
      <c r="D487" s="2643"/>
      <c r="E487" s="2642">
        <v>4</v>
      </c>
      <c r="F487" s="2417">
        <v>43367</v>
      </c>
      <c r="G487" s="2417">
        <f t="shared" si="63"/>
        <v>43371</v>
      </c>
      <c r="H487" s="2612"/>
      <c r="I487" s="2642" t="s">
        <v>177</v>
      </c>
      <c r="J487" s="2644"/>
      <c r="K487" s="2284" t="s">
        <v>596</v>
      </c>
      <c r="L487" s="2417">
        <v>23174</v>
      </c>
      <c r="M487" s="2646"/>
      <c r="N487" s="2642"/>
      <c r="O487" s="299">
        <f>[4]FINALISATION!$D$24</f>
        <v>2150</v>
      </c>
      <c r="P487" s="2642">
        <v>1</v>
      </c>
      <c r="Q487" s="913">
        <f t="shared" si="64"/>
        <v>2150</v>
      </c>
      <c r="R487" s="2290"/>
      <c r="S487" s="913"/>
      <c r="T487" s="913"/>
      <c r="U487" s="913"/>
      <c r="V487" s="913"/>
      <c r="W487" s="913"/>
      <c r="X487" s="1600">
        <v>2150</v>
      </c>
      <c r="Y487" s="1127"/>
      <c r="Z487" s="1199"/>
      <c r="AA487" s="1199"/>
      <c r="AB487" s="1199"/>
      <c r="AC487" s="1199"/>
      <c r="AD487" s="1199"/>
      <c r="AE487" s="1199"/>
      <c r="AF487" s="1199"/>
      <c r="AG487" s="547">
        <f t="shared" si="60"/>
        <v>2150</v>
      </c>
    </row>
    <row r="488" spans="1:33" outlineLevel="2">
      <c r="A488" s="2642">
        <v>3234</v>
      </c>
      <c r="B488" s="2517" t="s">
        <v>593</v>
      </c>
      <c r="C488" s="2524" t="s">
        <v>564</v>
      </c>
      <c r="D488" s="2643"/>
      <c r="E488" s="2642">
        <v>4</v>
      </c>
      <c r="F488" s="2417">
        <v>43367</v>
      </c>
      <c r="G488" s="2417">
        <f t="shared" si="63"/>
        <v>43371</v>
      </c>
      <c r="H488" s="2612"/>
      <c r="I488" s="2642" t="s">
        <v>177</v>
      </c>
      <c r="J488" s="2644"/>
      <c r="K488" s="2284" t="s">
        <v>597</v>
      </c>
      <c r="L488" s="2417">
        <v>23174</v>
      </c>
      <c r="M488" s="2646"/>
      <c r="N488" s="2642"/>
      <c r="O488" s="299">
        <f>[4]FINALISATION!$D$25</f>
        <v>1893.3333333333333</v>
      </c>
      <c r="P488" s="2642">
        <v>1</v>
      </c>
      <c r="Q488" s="913">
        <f t="shared" si="64"/>
        <v>1893.3333333333333</v>
      </c>
      <c r="R488" s="299"/>
      <c r="S488" s="913"/>
      <c r="T488" s="913"/>
      <c r="U488" s="913"/>
      <c r="V488" s="913"/>
      <c r="W488" s="913"/>
      <c r="X488" s="1600">
        <v>1893.3333333333333</v>
      </c>
      <c r="Y488" s="1127"/>
      <c r="Z488" s="1199"/>
      <c r="AA488" s="1199"/>
      <c r="AB488" s="1199"/>
      <c r="AC488" s="1199"/>
      <c r="AD488" s="1199"/>
      <c r="AE488" s="1199"/>
      <c r="AF488" s="1199"/>
      <c r="AG488" s="547">
        <f t="shared" si="60"/>
        <v>1893.3333333333333</v>
      </c>
    </row>
    <row r="489" spans="1:33" outlineLevel="2">
      <c r="A489" s="2417">
        <v>3241</v>
      </c>
      <c r="B489" s="2363" t="s">
        <v>599</v>
      </c>
      <c r="C489" s="2547" t="s">
        <v>560</v>
      </c>
      <c r="D489" s="2643"/>
      <c r="E489" s="2642">
        <v>5</v>
      </c>
      <c r="F489" s="2642">
        <v>43332</v>
      </c>
      <c r="G489" s="2417">
        <f t="shared" ref="G489:G495" si="65">+E489+F489</f>
        <v>43337</v>
      </c>
      <c r="H489" s="2612"/>
      <c r="I489" s="2642"/>
      <c r="J489" s="2644"/>
      <c r="K489" s="2284" t="s">
        <v>596</v>
      </c>
      <c r="L489" s="2417">
        <v>23174</v>
      </c>
      <c r="M489" s="2646"/>
      <c r="N489" s="2642"/>
      <c r="O489" s="913">
        <f>[5]Feuil1!$E$30</f>
        <v>3870</v>
      </c>
      <c r="P489" s="2647">
        <v>1</v>
      </c>
      <c r="Q489" s="2385">
        <f t="shared" si="64"/>
        <v>3870</v>
      </c>
      <c r="R489" s="299"/>
      <c r="S489" s="913"/>
      <c r="T489" s="913"/>
      <c r="U489" s="913"/>
      <c r="V489" s="913"/>
      <c r="W489" s="913"/>
      <c r="X489" s="1600">
        <v>3870</v>
      </c>
      <c r="Y489" s="1127"/>
      <c r="Z489" s="1127"/>
      <c r="AA489" s="1127"/>
      <c r="AB489" s="1127"/>
      <c r="AC489" s="1127"/>
      <c r="AD489" s="1127"/>
      <c r="AE489" s="1127"/>
      <c r="AF489" s="1127"/>
      <c r="AG489" s="547">
        <f t="shared" si="60"/>
        <v>3870</v>
      </c>
    </row>
    <row r="490" spans="1:33" outlineLevel="2">
      <c r="A490" s="2417">
        <v>3241</v>
      </c>
      <c r="B490" s="2363" t="s">
        <v>599</v>
      </c>
      <c r="C490" s="2547" t="s">
        <v>562</v>
      </c>
      <c r="D490" s="2643"/>
      <c r="E490" s="2642">
        <v>5</v>
      </c>
      <c r="F490" s="2642">
        <v>43332</v>
      </c>
      <c r="G490" s="2417">
        <f t="shared" si="65"/>
        <v>43337</v>
      </c>
      <c r="H490" s="2612"/>
      <c r="I490" s="2642"/>
      <c r="J490" s="2644"/>
      <c r="K490" s="2284" t="s">
        <v>565</v>
      </c>
      <c r="L490" s="2417">
        <v>23174</v>
      </c>
      <c r="M490" s="2646"/>
      <c r="N490" s="2642"/>
      <c r="O490" s="913">
        <f>[5]Feuil1!$E$32</f>
        <v>1580</v>
      </c>
      <c r="P490" s="2647">
        <v>1</v>
      </c>
      <c r="Q490" s="2385">
        <f t="shared" si="64"/>
        <v>1580</v>
      </c>
      <c r="R490" s="299"/>
      <c r="S490" s="913"/>
      <c r="T490" s="913"/>
      <c r="U490" s="913"/>
      <c r="V490" s="913"/>
      <c r="W490" s="913"/>
      <c r="X490" s="1600">
        <v>1580</v>
      </c>
      <c r="Y490" s="1127"/>
      <c r="Z490" s="1127"/>
      <c r="AA490" s="1127"/>
      <c r="AB490" s="1127"/>
      <c r="AC490" s="1127"/>
      <c r="AD490" s="1127"/>
      <c r="AE490" s="1127"/>
      <c r="AF490" s="1127"/>
      <c r="AG490" s="547">
        <f t="shared" si="60"/>
        <v>1580</v>
      </c>
    </row>
    <row r="491" spans="1:33" outlineLevel="2">
      <c r="A491" s="2417">
        <v>3241</v>
      </c>
      <c r="B491" s="2363" t="s">
        <v>599</v>
      </c>
      <c r="C491" s="2547" t="s">
        <v>564</v>
      </c>
      <c r="D491" s="2643"/>
      <c r="E491" s="2642">
        <v>5</v>
      </c>
      <c r="F491" s="2642">
        <v>43332</v>
      </c>
      <c r="G491" s="2417">
        <f t="shared" si="65"/>
        <v>43337</v>
      </c>
      <c r="H491" s="2612"/>
      <c r="I491" s="2642"/>
      <c r="J491" s="2644"/>
      <c r="K491" s="2284" t="s">
        <v>597</v>
      </c>
      <c r="L491" s="2417">
        <v>23174</v>
      </c>
      <c r="M491" s="2646"/>
      <c r="N491" s="2642"/>
      <c r="O491" s="913">
        <f>[5]Feuil1!$E$31</f>
        <v>3840</v>
      </c>
      <c r="P491" s="2647">
        <v>1</v>
      </c>
      <c r="Q491" s="2385">
        <f t="shared" si="64"/>
        <v>3840</v>
      </c>
      <c r="R491" s="299"/>
      <c r="S491" s="913"/>
      <c r="T491" s="913"/>
      <c r="U491" s="913"/>
      <c r="V491" s="913"/>
      <c r="W491" s="913"/>
      <c r="X491" s="1600">
        <v>3840</v>
      </c>
      <c r="Y491" s="1127"/>
      <c r="Z491" s="1127"/>
      <c r="AA491" s="1127"/>
      <c r="AB491" s="1127"/>
      <c r="AC491" s="1127"/>
      <c r="AD491" s="1127"/>
      <c r="AE491" s="1127"/>
      <c r="AF491" s="1127"/>
      <c r="AG491" s="547">
        <f t="shared" si="60"/>
        <v>3840</v>
      </c>
    </row>
    <row r="492" spans="1:33" ht="31.5" outlineLevel="2">
      <c r="A492" s="2417">
        <v>3242</v>
      </c>
      <c r="B492" s="2363" t="s">
        <v>602</v>
      </c>
      <c r="C492" s="2547" t="s">
        <v>603</v>
      </c>
      <c r="D492" s="2643"/>
      <c r="E492" s="2642">
        <v>3</v>
      </c>
      <c r="F492" s="2642">
        <v>43339</v>
      </c>
      <c r="G492" s="2417">
        <f t="shared" si="65"/>
        <v>43342</v>
      </c>
      <c r="H492" s="2612"/>
      <c r="I492" s="2642" t="s">
        <v>177</v>
      </c>
      <c r="J492" s="2644" t="s">
        <v>604</v>
      </c>
      <c r="K492" s="2284"/>
      <c r="L492" s="2648">
        <v>23174</v>
      </c>
      <c r="M492" s="2646"/>
      <c r="N492" s="2642"/>
      <c r="O492" s="1601">
        <v>2300</v>
      </c>
      <c r="P492" s="2642">
        <v>1</v>
      </c>
      <c r="Q492" s="1601">
        <f>O492*P492</f>
        <v>2300</v>
      </c>
      <c r="R492" s="518"/>
      <c r="S492" s="1601"/>
      <c r="T492" s="1601"/>
      <c r="U492" s="1601"/>
      <c r="V492" s="1601"/>
      <c r="W492" s="2362"/>
      <c r="X492" s="1602">
        <v>2300</v>
      </c>
      <c r="Y492" s="1199"/>
      <c r="Z492" s="1199"/>
      <c r="AA492" s="1199"/>
      <c r="AB492" s="1199"/>
      <c r="AC492" s="1199"/>
      <c r="AD492" s="1199"/>
      <c r="AE492" s="1199"/>
      <c r="AF492" s="1199"/>
      <c r="AG492" s="547">
        <f t="shared" si="60"/>
        <v>2300</v>
      </c>
    </row>
    <row r="493" spans="1:33" outlineLevel="2">
      <c r="A493" s="2417">
        <v>3251</v>
      </c>
      <c r="B493" s="2363" t="s">
        <v>606</v>
      </c>
      <c r="C493" s="2547" t="s">
        <v>560</v>
      </c>
      <c r="D493" s="2643"/>
      <c r="E493" s="2642">
        <v>10</v>
      </c>
      <c r="F493" s="2642">
        <v>43299</v>
      </c>
      <c r="G493" s="2417">
        <f t="shared" si="65"/>
        <v>43309</v>
      </c>
      <c r="H493" s="2612"/>
      <c r="I493" s="2417"/>
      <c r="J493" s="2420"/>
      <c r="K493" s="2284" t="s">
        <v>596</v>
      </c>
      <c r="L493" s="2417">
        <v>23174</v>
      </c>
      <c r="M493" s="2646"/>
      <c r="N493" s="2642"/>
      <c r="O493" s="913">
        <f>[6]Feuil3!$H$8</f>
        <v>6048</v>
      </c>
      <c r="P493" s="2642">
        <v>1</v>
      </c>
      <c r="Q493" s="913">
        <f>+O493*P493</f>
        <v>6048</v>
      </c>
      <c r="R493" s="299"/>
      <c r="S493" s="913"/>
      <c r="T493" s="913"/>
      <c r="U493" s="913"/>
      <c r="V493" s="913"/>
      <c r="W493" s="913">
        <v>6048</v>
      </c>
      <c r="X493" s="1600"/>
      <c r="Y493" s="1127"/>
      <c r="Z493" s="1127"/>
      <c r="AA493" s="1127"/>
      <c r="AB493" s="1127"/>
      <c r="AC493" s="1127"/>
      <c r="AD493" s="1127"/>
      <c r="AE493" s="1127"/>
      <c r="AF493" s="1127"/>
      <c r="AG493" s="547">
        <f t="shared" si="60"/>
        <v>6048</v>
      </c>
    </row>
    <row r="494" spans="1:33" outlineLevel="2">
      <c r="A494" s="2417">
        <v>3251</v>
      </c>
      <c r="B494" s="2363" t="s">
        <v>606</v>
      </c>
      <c r="C494" s="2547" t="s">
        <v>562</v>
      </c>
      <c r="D494" s="2643"/>
      <c r="E494" s="2642">
        <v>10</v>
      </c>
      <c r="F494" s="2642">
        <v>43299</v>
      </c>
      <c r="G494" s="2417">
        <f t="shared" si="65"/>
        <v>43309</v>
      </c>
      <c r="H494" s="2612"/>
      <c r="I494" s="2642"/>
      <c r="J494" s="2644"/>
      <c r="K494" s="2284" t="s">
        <v>565</v>
      </c>
      <c r="L494" s="2417">
        <v>23174</v>
      </c>
      <c r="M494" s="2646"/>
      <c r="N494" s="2642"/>
      <c r="O494" s="913">
        <f>[6]Feuil3!$H$10</f>
        <v>546</v>
      </c>
      <c r="P494" s="2642">
        <v>1</v>
      </c>
      <c r="Q494" s="913">
        <f>+O494*P494</f>
        <v>546</v>
      </c>
      <c r="R494" s="299"/>
      <c r="S494" s="913"/>
      <c r="T494" s="913"/>
      <c r="U494" s="913"/>
      <c r="V494" s="913"/>
      <c r="W494" s="913">
        <v>546</v>
      </c>
      <c r="X494" s="1600"/>
      <c r="Y494" s="1127"/>
      <c r="Z494" s="1127"/>
      <c r="AA494" s="1127"/>
      <c r="AB494" s="1127"/>
      <c r="AC494" s="1127"/>
      <c r="AD494" s="1127"/>
      <c r="AE494" s="1127"/>
      <c r="AF494" s="1127"/>
      <c r="AG494" s="547">
        <f t="shared" si="60"/>
        <v>546</v>
      </c>
    </row>
    <row r="495" spans="1:33" outlineLevel="2">
      <c r="A495" s="2417">
        <v>3251</v>
      </c>
      <c r="B495" s="2363" t="s">
        <v>606</v>
      </c>
      <c r="C495" s="2547" t="s">
        <v>564</v>
      </c>
      <c r="D495" s="2643"/>
      <c r="E495" s="2642">
        <v>10</v>
      </c>
      <c r="F495" s="2642">
        <v>43299</v>
      </c>
      <c r="G495" s="2417">
        <f t="shared" si="65"/>
        <v>43309</v>
      </c>
      <c r="H495" s="2612"/>
      <c r="I495" s="2642"/>
      <c r="J495" s="2644"/>
      <c r="K495" s="2284" t="s">
        <v>597</v>
      </c>
      <c r="L495" s="2417">
        <v>23174</v>
      </c>
      <c r="M495" s="2646"/>
      <c r="N495" s="2642"/>
      <c r="O495" s="913">
        <f>[6]Feuil3!$H$9</f>
        <v>6160</v>
      </c>
      <c r="P495" s="2642">
        <v>1</v>
      </c>
      <c r="Q495" s="913">
        <f>+O495*P495</f>
        <v>6160</v>
      </c>
      <c r="R495" s="299"/>
      <c r="S495" s="913"/>
      <c r="T495" s="913"/>
      <c r="U495" s="913"/>
      <c r="V495" s="913"/>
      <c r="W495" s="913">
        <v>6160</v>
      </c>
      <c r="X495" s="1600"/>
      <c r="Y495" s="1127"/>
      <c r="Z495" s="1127"/>
      <c r="AA495" s="1127"/>
      <c r="AB495" s="1127"/>
      <c r="AC495" s="1127"/>
      <c r="AD495" s="1127"/>
      <c r="AE495" s="1127"/>
      <c r="AF495" s="1127"/>
      <c r="AG495" s="547">
        <f t="shared" si="60"/>
        <v>6160</v>
      </c>
    </row>
    <row r="496" spans="1:33" ht="31.5" outlineLevel="2">
      <c r="A496" s="2417">
        <v>4111</v>
      </c>
      <c r="B496" s="2524" t="s">
        <v>912</v>
      </c>
      <c r="C496" s="2524" t="s">
        <v>913</v>
      </c>
      <c r="D496" s="2649"/>
      <c r="E496" s="2643">
        <f>45+21+5</f>
        <v>71</v>
      </c>
      <c r="F496" s="2650">
        <v>43192</v>
      </c>
      <c r="G496" s="2650">
        <f>F496+E496</f>
        <v>43263</v>
      </c>
      <c r="H496" s="2417" t="s">
        <v>914</v>
      </c>
      <c r="I496" s="2642" t="s">
        <v>178</v>
      </c>
      <c r="J496" s="2644" t="s">
        <v>169</v>
      </c>
      <c r="K496" s="2599" t="s">
        <v>915</v>
      </c>
      <c r="L496" s="2574">
        <v>23174</v>
      </c>
      <c r="M496" s="2646"/>
      <c r="N496" s="2642"/>
      <c r="O496" s="2651">
        <v>1582.090625</v>
      </c>
      <c r="P496" s="2642">
        <v>1</v>
      </c>
      <c r="Q496" s="930">
        <f t="shared" ref="Q496:Q536" si="66">O496*P496</f>
        <v>1582.090625</v>
      </c>
      <c r="R496" s="299"/>
      <c r="S496" s="913"/>
      <c r="T496" s="913"/>
      <c r="U496" s="913">
        <v>1582.090625</v>
      </c>
      <c r="V496" s="913"/>
      <c r="W496" s="913"/>
      <c r="X496" s="1600"/>
      <c r="Y496" s="1199"/>
      <c r="Z496" s="1199"/>
      <c r="AA496" s="1199"/>
      <c r="AB496" s="1199"/>
      <c r="AC496" s="1199"/>
      <c r="AD496" s="1199"/>
      <c r="AE496" s="1199"/>
      <c r="AF496" s="1199"/>
      <c r="AG496" s="547">
        <f t="shared" si="60"/>
        <v>1582.090625</v>
      </c>
    </row>
    <row r="497" spans="1:33" ht="31.5" outlineLevel="2">
      <c r="A497" s="2417">
        <v>4113</v>
      </c>
      <c r="B497" s="2547" t="s">
        <v>919</v>
      </c>
      <c r="C497" s="2547" t="s">
        <v>920</v>
      </c>
      <c r="D497" s="2652"/>
      <c r="E497" s="2612">
        <f>2</f>
        <v>2</v>
      </c>
      <c r="F497" s="2650">
        <v>43271</v>
      </c>
      <c r="G497" s="2650">
        <f>F497+E497-1</f>
        <v>43272</v>
      </c>
      <c r="H497" s="2417" t="s">
        <v>914</v>
      </c>
      <c r="I497" s="2417" t="s">
        <v>178</v>
      </c>
      <c r="J497" s="2420" t="s">
        <v>169</v>
      </c>
      <c r="K497" s="2599" t="s">
        <v>888</v>
      </c>
      <c r="L497" s="2574">
        <v>23174</v>
      </c>
      <c r="M497" s="2284"/>
      <c r="N497" s="2417"/>
      <c r="O497" s="910">
        <v>34491.78125</v>
      </c>
      <c r="P497" s="2417">
        <v>1</v>
      </c>
      <c r="Q497" s="853">
        <f t="shared" si="66"/>
        <v>34491.78125</v>
      </c>
      <c r="R497" s="299"/>
      <c r="S497" s="299"/>
      <c r="T497" s="299"/>
      <c r="U497" s="299">
        <v>34491.78125</v>
      </c>
      <c r="V497" s="299"/>
      <c r="W497" s="299"/>
      <c r="X497" s="299"/>
      <c r="Y497" s="2284"/>
      <c r="Z497" s="2284"/>
      <c r="AA497" s="2284"/>
      <c r="AB497" s="2284"/>
      <c r="AC497" s="2284"/>
      <c r="AD497" s="2284"/>
      <c r="AE497" s="2284"/>
      <c r="AF497" s="2284"/>
      <c r="AG497" s="547">
        <f t="shared" si="60"/>
        <v>34491.78125</v>
      </c>
    </row>
    <row r="498" spans="1:33" ht="32.25" outlineLevel="2" thickBot="1">
      <c r="A498" s="2417">
        <v>4119</v>
      </c>
      <c r="B498" s="2363" t="s">
        <v>934</v>
      </c>
      <c r="C498" s="2547" t="s">
        <v>935</v>
      </c>
      <c r="D498" s="2284"/>
      <c r="E498" s="2612">
        <f>5</f>
        <v>5</v>
      </c>
      <c r="F498" s="2650">
        <v>43325</v>
      </c>
      <c r="G498" s="2650">
        <f>F498+E498-1</f>
        <v>43329</v>
      </c>
      <c r="H498" s="2417" t="s">
        <v>914</v>
      </c>
      <c r="I498" s="2417" t="s">
        <v>178</v>
      </c>
      <c r="J498" s="2420" t="s">
        <v>169</v>
      </c>
      <c r="K498" s="2599" t="s">
        <v>888</v>
      </c>
      <c r="L498" s="2574">
        <v>23174</v>
      </c>
      <c r="M498" s="2284"/>
      <c r="N498" s="2417"/>
      <c r="O498" s="910">
        <v>5277.5</v>
      </c>
      <c r="P498" s="2417">
        <v>1</v>
      </c>
      <c r="Q498" s="853">
        <f t="shared" si="66"/>
        <v>5277.5</v>
      </c>
      <c r="R498" s="299"/>
      <c r="S498" s="299"/>
      <c r="T498" s="299"/>
      <c r="U498" s="299"/>
      <c r="V498" s="299"/>
      <c r="W498" s="299">
        <v>5277.5</v>
      </c>
      <c r="X498" s="299"/>
      <c r="Y498" s="2284"/>
      <c r="Z498" s="2284"/>
      <c r="AA498" s="2284"/>
      <c r="AB498" s="2284"/>
      <c r="AC498" s="2284"/>
      <c r="AD498" s="2284"/>
      <c r="AE498" s="2284"/>
      <c r="AF498" s="2284"/>
      <c r="AG498" s="547">
        <f t="shared" si="60"/>
        <v>5277.5</v>
      </c>
    </row>
    <row r="499" spans="1:33" ht="17.25" outlineLevel="2" thickTop="1" thickBot="1">
      <c r="A499" s="2549">
        <v>4121</v>
      </c>
      <c r="B499" s="2653" t="s">
        <v>937</v>
      </c>
      <c r="C499" s="2653" t="s">
        <v>938</v>
      </c>
      <c r="D499" s="2654"/>
      <c r="E499" s="2655">
        <f>2</f>
        <v>2</v>
      </c>
      <c r="F499" s="2656">
        <v>43297</v>
      </c>
      <c r="G499" s="2657">
        <f>F499+E499-1</f>
        <v>43298</v>
      </c>
      <c r="H499" s="2602" t="s">
        <v>178</v>
      </c>
      <c r="I499" s="2602" t="s">
        <v>178</v>
      </c>
      <c r="J499" s="914" t="s">
        <v>169</v>
      </c>
      <c r="K499" s="2599" t="s">
        <v>888</v>
      </c>
      <c r="L499" s="2574">
        <v>23174</v>
      </c>
      <c r="M499" s="2658"/>
      <c r="N499" s="2659"/>
      <c r="O499" s="2288">
        <v>3106.9156250000001</v>
      </c>
      <c r="P499" s="2660">
        <v>1</v>
      </c>
      <c r="Q499" s="2386">
        <f t="shared" si="66"/>
        <v>3106.9156250000001</v>
      </c>
      <c r="R499" s="2277"/>
      <c r="S499" s="2288"/>
      <c r="T499" s="2288"/>
      <c r="U499" s="2288"/>
      <c r="V499" s="2288"/>
      <c r="W499" s="2288">
        <v>3106.9156250000001</v>
      </c>
      <c r="X499" s="2292"/>
      <c r="Y499" s="1588"/>
      <c r="Z499" s="2516"/>
      <c r="AA499" s="2516"/>
      <c r="AB499" s="2516"/>
      <c r="AC499" s="2516"/>
      <c r="AD499" s="2516"/>
      <c r="AE499" s="2516"/>
      <c r="AF499" s="2516"/>
      <c r="AG499" s="547">
        <f t="shared" si="60"/>
        <v>3106.9156250000001</v>
      </c>
    </row>
    <row r="500" spans="1:33" ht="17.25" outlineLevel="2" thickTop="1" thickBot="1">
      <c r="A500" s="2549">
        <v>4122</v>
      </c>
      <c r="B500" s="2653" t="s">
        <v>23</v>
      </c>
      <c r="C500" s="2653" t="s">
        <v>939</v>
      </c>
      <c r="D500" s="2654"/>
      <c r="E500" s="2655">
        <f>3</f>
        <v>3</v>
      </c>
      <c r="F500" s="2656">
        <v>43300</v>
      </c>
      <c r="G500" s="2657">
        <f>F500+E500-1</f>
        <v>43302</v>
      </c>
      <c r="H500" s="2602" t="s">
        <v>178</v>
      </c>
      <c r="I500" s="2602" t="s">
        <v>178</v>
      </c>
      <c r="J500" s="914" t="s">
        <v>169</v>
      </c>
      <c r="K500" s="2599" t="s">
        <v>888</v>
      </c>
      <c r="L500" s="2574">
        <v>23174</v>
      </c>
      <c r="M500" s="2658"/>
      <c r="N500" s="2659"/>
      <c r="O500" s="2288">
        <v>5645.0218750000004</v>
      </c>
      <c r="P500" s="2660">
        <v>1</v>
      </c>
      <c r="Q500" s="2386">
        <f t="shared" si="66"/>
        <v>5645.0218750000004</v>
      </c>
      <c r="R500" s="2277"/>
      <c r="S500" s="2288"/>
      <c r="T500" s="2288"/>
      <c r="U500" s="2288"/>
      <c r="V500" s="2288"/>
      <c r="W500" s="2288">
        <v>5645.0218750000004</v>
      </c>
      <c r="X500" s="2292"/>
      <c r="Y500" s="1588"/>
      <c r="Z500" s="2516"/>
      <c r="AA500" s="2516"/>
      <c r="AB500" s="2516"/>
      <c r="AC500" s="2516"/>
      <c r="AD500" s="2516"/>
      <c r="AE500" s="2516"/>
      <c r="AF500" s="2516"/>
      <c r="AG500" s="547">
        <f t="shared" si="60"/>
        <v>5645.0218750000004</v>
      </c>
    </row>
    <row r="501" spans="1:33" ht="63.75" outlineLevel="2" thickTop="1">
      <c r="A501" s="2417">
        <v>4131</v>
      </c>
      <c r="B501" s="2608" t="s">
        <v>1040</v>
      </c>
      <c r="C501" s="2653" t="s">
        <v>950</v>
      </c>
      <c r="D501" s="2284"/>
      <c r="E501" s="2612">
        <f>9</f>
        <v>9</v>
      </c>
      <c r="F501" s="2656">
        <v>43283</v>
      </c>
      <c r="G501" s="2657">
        <f>E501+F501-1</f>
        <v>43291</v>
      </c>
      <c r="H501" s="2417" t="s">
        <v>914</v>
      </c>
      <c r="I501" s="2417" t="s">
        <v>178</v>
      </c>
      <c r="J501" s="2420" t="s">
        <v>169</v>
      </c>
      <c r="K501" s="2599" t="s">
        <v>888</v>
      </c>
      <c r="L501" s="2574">
        <v>23174</v>
      </c>
      <c r="M501" s="2284"/>
      <c r="N501" s="2417"/>
      <c r="O501" s="2661">
        <v>7333.0281249999998</v>
      </c>
      <c r="P501" s="2662">
        <v>1</v>
      </c>
      <c r="Q501" s="2282">
        <f t="shared" si="66"/>
        <v>7333.0281249999998</v>
      </c>
      <c r="R501" s="2277"/>
      <c r="S501" s="2282"/>
      <c r="T501" s="2282"/>
      <c r="U501" s="2282"/>
      <c r="V501" s="2282"/>
      <c r="W501" s="2282">
        <v>7333.0281249999998</v>
      </c>
      <c r="X501" s="2293"/>
      <c r="Y501" s="1127"/>
      <c r="Z501" s="1199"/>
      <c r="AA501" s="1199"/>
      <c r="AB501" s="1199"/>
      <c r="AC501" s="1199"/>
      <c r="AD501" s="1199"/>
      <c r="AE501" s="1199"/>
      <c r="AF501" s="1199"/>
      <c r="AG501" s="547">
        <f t="shared" si="60"/>
        <v>7333.0281249999998</v>
      </c>
    </row>
    <row r="502" spans="1:33" ht="63.75" outlineLevel="2" thickBot="1">
      <c r="A502" s="2417">
        <v>4131</v>
      </c>
      <c r="B502" s="2363" t="s">
        <v>1041</v>
      </c>
      <c r="C502" s="2547" t="s">
        <v>953</v>
      </c>
      <c r="D502" s="2284"/>
      <c r="E502" s="2612">
        <f>2</f>
        <v>2</v>
      </c>
      <c r="F502" s="2650">
        <v>43306</v>
      </c>
      <c r="G502" s="2650">
        <f>E502+F502-1</f>
        <v>43307</v>
      </c>
      <c r="H502" s="2417" t="s">
        <v>914</v>
      </c>
      <c r="I502" s="2417" t="s">
        <v>178</v>
      </c>
      <c r="J502" s="2420" t="s">
        <v>169</v>
      </c>
      <c r="K502" s="2599" t="s">
        <v>888</v>
      </c>
      <c r="L502" s="2574">
        <v>23174</v>
      </c>
      <c r="M502" s="2284"/>
      <c r="N502" s="2417"/>
      <c r="O502" s="910">
        <v>41183.768750000003</v>
      </c>
      <c r="P502" s="2417">
        <v>1</v>
      </c>
      <c r="Q502" s="299">
        <f t="shared" si="66"/>
        <v>41183.768750000003</v>
      </c>
      <c r="R502" s="936"/>
      <c r="S502" s="518"/>
      <c r="T502" s="518"/>
      <c r="U502" s="518"/>
      <c r="V502" s="518"/>
      <c r="W502" s="299">
        <v>41183.768750000003</v>
      </c>
      <c r="X502" s="518"/>
      <c r="Y502" s="518"/>
      <c r="Z502" s="2284"/>
      <c r="AA502" s="2284"/>
      <c r="AB502" s="2284"/>
      <c r="AC502" s="2284"/>
      <c r="AD502" s="2284"/>
      <c r="AE502" s="2284"/>
      <c r="AF502" s="2284"/>
      <c r="AG502" s="547">
        <f t="shared" si="60"/>
        <v>41183.768750000003</v>
      </c>
    </row>
    <row r="503" spans="1:33" ht="48.75" outlineLevel="2" thickTop="1" thickBot="1">
      <c r="A503" s="2417">
        <v>4131</v>
      </c>
      <c r="B503" s="2663" t="s">
        <v>1042</v>
      </c>
      <c r="C503" s="2547" t="s">
        <v>955</v>
      </c>
      <c r="D503" s="2284"/>
      <c r="E503" s="2612">
        <f>15</f>
        <v>15</v>
      </c>
      <c r="F503" s="2656">
        <v>43241</v>
      </c>
      <c r="G503" s="2657">
        <f>E503+F503-1</f>
        <v>43255</v>
      </c>
      <c r="H503" s="2417" t="s">
        <v>914</v>
      </c>
      <c r="I503" s="2417" t="s">
        <v>178</v>
      </c>
      <c r="J503" s="2420" t="s">
        <v>169</v>
      </c>
      <c r="K503" s="2599" t="s">
        <v>888</v>
      </c>
      <c r="L503" s="2574">
        <v>23174</v>
      </c>
      <c r="M503" s="2284"/>
      <c r="N503" s="2417"/>
      <c r="O503" s="2661">
        <v>141976</v>
      </c>
      <c r="P503" s="2662">
        <v>1</v>
      </c>
      <c r="Q503" s="2282">
        <f t="shared" si="66"/>
        <v>141976</v>
      </c>
      <c r="R503" s="2280"/>
      <c r="S503" s="2282"/>
      <c r="T503" s="2282"/>
      <c r="U503" s="2282">
        <v>141976</v>
      </c>
      <c r="V503" s="2282"/>
      <c r="W503" s="299"/>
      <c r="X503" s="1142"/>
      <c r="Y503" s="1127"/>
      <c r="Z503" s="1199"/>
      <c r="AA503" s="1199"/>
      <c r="AB503" s="1199"/>
      <c r="AC503" s="1199"/>
      <c r="AD503" s="1199"/>
      <c r="AE503" s="1199"/>
      <c r="AF503" s="1199"/>
      <c r="AG503" s="547">
        <f t="shared" si="60"/>
        <v>141976</v>
      </c>
    </row>
    <row r="504" spans="1:33" ht="33" outlineLevel="2" thickTop="1" thickBot="1">
      <c r="A504" s="2417">
        <v>4132</v>
      </c>
      <c r="B504" s="2664" t="s">
        <v>1043</v>
      </c>
      <c r="C504" s="2653" t="s">
        <v>958</v>
      </c>
      <c r="D504" s="2284"/>
      <c r="E504" s="2665">
        <f>4+30+4+4+4+2+5+4+6+4</f>
        <v>67</v>
      </c>
      <c r="F504" s="2656">
        <v>43311</v>
      </c>
      <c r="G504" s="2657">
        <f>E504+F504-1</f>
        <v>43377</v>
      </c>
      <c r="H504" s="2417" t="s">
        <v>914</v>
      </c>
      <c r="I504" s="2417" t="s">
        <v>178</v>
      </c>
      <c r="J504" s="2420" t="s">
        <v>169</v>
      </c>
      <c r="K504" s="2599" t="s">
        <v>888</v>
      </c>
      <c r="L504" s="2574">
        <v>23174</v>
      </c>
      <c r="M504" s="2284"/>
      <c r="N504" s="2417"/>
      <c r="O504" s="2282">
        <v>20498.981250000001</v>
      </c>
      <c r="P504" s="2662">
        <v>1</v>
      </c>
      <c r="Q504" s="2282">
        <f t="shared" si="66"/>
        <v>20498.981250000001</v>
      </c>
      <c r="R504" s="2277"/>
      <c r="S504" s="2282"/>
      <c r="T504" s="2282"/>
      <c r="U504" s="2282"/>
      <c r="V504" s="2282"/>
      <c r="W504" s="299">
        <v>1639.9185</v>
      </c>
      <c r="X504" s="1142">
        <v>3894.8064375000004</v>
      </c>
      <c r="Y504" s="1127">
        <v>14964.2563125</v>
      </c>
      <c r="Z504" s="1199"/>
      <c r="AA504" s="1199"/>
      <c r="AB504" s="1199"/>
      <c r="AC504" s="1199"/>
      <c r="AD504" s="1199"/>
      <c r="AE504" s="1199"/>
      <c r="AF504" s="1199"/>
      <c r="AG504" s="547">
        <f t="shared" si="60"/>
        <v>20498.981250000001</v>
      </c>
    </row>
    <row r="505" spans="1:33" ht="48.75" outlineLevel="2" thickTop="1" thickBot="1">
      <c r="A505" s="2417">
        <v>4132</v>
      </c>
      <c r="B505" s="2664" t="s">
        <v>1044</v>
      </c>
      <c r="C505" s="2666" t="s">
        <v>960</v>
      </c>
      <c r="D505" s="2284"/>
      <c r="E505" s="2665">
        <f>5</f>
        <v>5</v>
      </c>
      <c r="F505" s="2656">
        <v>43318</v>
      </c>
      <c r="G505" s="2657">
        <f>E505+F505-1</f>
        <v>43322</v>
      </c>
      <c r="H505" s="2417" t="s">
        <v>914</v>
      </c>
      <c r="I505" s="2602" t="s">
        <v>178</v>
      </c>
      <c r="J505" s="914" t="s">
        <v>169</v>
      </c>
      <c r="K505" s="2599" t="s">
        <v>888</v>
      </c>
      <c r="L505" s="2574">
        <v>23174</v>
      </c>
      <c r="M505" s="2284"/>
      <c r="N505" s="2417"/>
      <c r="O505" s="2282">
        <v>2368.7906250000001</v>
      </c>
      <c r="P505" s="2662">
        <v>1</v>
      </c>
      <c r="Q505" s="2282">
        <f t="shared" si="66"/>
        <v>2368.7906250000001</v>
      </c>
      <c r="R505" s="2277"/>
      <c r="S505" s="299"/>
      <c r="T505" s="299"/>
      <c r="U505" s="2282"/>
      <c r="V505" s="299"/>
      <c r="W505" s="299"/>
      <c r="X505" s="1142">
        <v>2368.7906250000001</v>
      </c>
      <c r="Y505" s="1127"/>
      <c r="Z505" s="1199"/>
      <c r="AA505" s="1199"/>
      <c r="AB505" s="1199"/>
      <c r="AC505" s="1199"/>
      <c r="AD505" s="1199"/>
      <c r="AE505" s="1199"/>
      <c r="AF505" s="1199"/>
      <c r="AG505" s="547">
        <f t="shared" si="60"/>
        <v>2368.7906250000001</v>
      </c>
    </row>
    <row r="506" spans="1:33" ht="32.25" outlineLevel="2" thickTop="1">
      <c r="A506" s="2417">
        <v>4222</v>
      </c>
      <c r="B506" s="2663" t="s">
        <v>453</v>
      </c>
      <c r="C506" s="2667" t="s">
        <v>454</v>
      </c>
      <c r="D506" s="2284"/>
      <c r="E506" s="2662">
        <v>5</v>
      </c>
      <c r="F506" s="2668">
        <v>43241</v>
      </c>
      <c r="G506" s="2669">
        <f t="shared" ref="G506:G519" si="67">+F506+E506-1</f>
        <v>43245</v>
      </c>
      <c r="H506" s="2417" t="s">
        <v>455</v>
      </c>
      <c r="I506" s="2417" t="s">
        <v>179</v>
      </c>
      <c r="J506" s="2420" t="s">
        <v>456</v>
      </c>
      <c r="K506" s="2284" t="s">
        <v>457</v>
      </c>
      <c r="L506" s="2574">
        <v>23174</v>
      </c>
      <c r="M506" s="2284"/>
      <c r="N506" s="2417"/>
      <c r="O506" s="1848">
        <v>160</v>
      </c>
      <c r="P506" s="2314">
        <v>40</v>
      </c>
      <c r="Q506" s="2314">
        <f t="shared" si="66"/>
        <v>6400</v>
      </c>
      <c r="R506" s="1848"/>
      <c r="S506" s="2314"/>
      <c r="T506" s="2314"/>
      <c r="U506" s="2314">
        <v>6400</v>
      </c>
      <c r="V506" s="2314"/>
      <c r="W506" s="2282"/>
      <c r="X506" s="1142"/>
      <c r="Y506" s="1127"/>
      <c r="Z506" s="1199"/>
      <c r="AA506" s="1199"/>
      <c r="AB506" s="1199"/>
      <c r="AC506" s="1199"/>
      <c r="AD506" s="1199"/>
      <c r="AE506" s="1199"/>
      <c r="AF506" s="1199"/>
      <c r="AG506" s="547">
        <f t="shared" si="60"/>
        <v>6400</v>
      </c>
    </row>
    <row r="507" spans="1:33" ht="32.25" outlineLevel="2" thickBot="1">
      <c r="A507" s="2417">
        <v>4223</v>
      </c>
      <c r="B507" s="2670" t="s">
        <v>458</v>
      </c>
      <c r="C507" s="2671" t="s">
        <v>459</v>
      </c>
      <c r="D507" s="2672"/>
      <c r="E507" s="2673">
        <v>3</v>
      </c>
      <c r="F507" s="2674">
        <v>43248</v>
      </c>
      <c r="G507" s="2675">
        <f t="shared" si="67"/>
        <v>43250</v>
      </c>
      <c r="H507" s="2673" t="s">
        <v>460</v>
      </c>
      <c r="I507" s="2676" t="s">
        <v>179</v>
      </c>
      <c r="J507" s="2420" t="s">
        <v>461</v>
      </c>
      <c r="K507" s="2284" t="s">
        <v>457</v>
      </c>
      <c r="L507" s="2574">
        <v>23174</v>
      </c>
      <c r="M507" s="2284"/>
      <c r="N507" s="2417"/>
      <c r="O507" s="1858">
        <v>134.66666666666666</v>
      </c>
      <c r="P507" s="2315">
        <v>8</v>
      </c>
      <c r="Q507" s="2315">
        <f t="shared" si="66"/>
        <v>1077.3333333333333</v>
      </c>
      <c r="R507" s="1858"/>
      <c r="S507" s="299"/>
      <c r="T507" s="299"/>
      <c r="U507" s="2315">
        <v>1077.3333333333333</v>
      </c>
      <c r="V507" s="299"/>
      <c r="W507" s="299"/>
      <c r="X507" s="299"/>
      <c r="Y507" s="299"/>
      <c r="Z507" s="2284"/>
      <c r="AA507" s="2284"/>
      <c r="AB507" s="2284"/>
      <c r="AC507" s="2284"/>
      <c r="AD507" s="2284"/>
      <c r="AE507" s="2284"/>
      <c r="AF507" s="2284"/>
      <c r="AG507" s="547">
        <f t="shared" si="60"/>
        <v>1077.3333333333333</v>
      </c>
    </row>
    <row r="508" spans="1:33" ht="32.25" outlineLevel="2" thickTop="1">
      <c r="A508" s="2417">
        <v>4224</v>
      </c>
      <c r="B508" s="2677" t="s">
        <v>462</v>
      </c>
      <c r="C508" s="2667" t="s">
        <v>463</v>
      </c>
      <c r="D508" s="2678"/>
      <c r="E508" s="2662">
        <v>5</v>
      </c>
      <c r="F508" s="2668">
        <v>43255</v>
      </c>
      <c r="G508" s="2669">
        <f t="shared" si="67"/>
        <v>43259</v>
      </c>
      <c r="H508" s="2662" t="s">
        <v>455</v>
      </c>
      <c r="I508" s="2662" t="s">
        <v>179</v>
      </c>
      <c r="J508" s="2420" t="s">
        <v>461</v>
      </c>
      <c r="K508" s="2284" t="s">
        <v>457</v>
      </c>
      <c r="L508" s="2574">
        <v>23174</v>
      </c>
      <c r="M508" s="2678"/>
      <c r="N508" s="2662"/>
      <c r="O508" s="1848">
        <v>84</v>
      </c>
      <c r="P508" s="2314">
        <v>30</v>
      </c>
      <c r="Q508" s="2314">
        <f t="shared" si="66"/>
        <v>2520</v>
      </c>
      <c r="R508" s="1848"/>
      <c r="S508" s="2314"/>
      <c r="T508" s="2314"/>
      <c r="U508" s="2314">
        <v>2520</v>
      </c>
      <c r="V508" s="2314"/>
      <c r="W508" s="2314"/>
      <c r="X508" s="2293"/>
      <c r="Y508" s="1127"/>
      <c r="Z508" s="1199"/>
      <c r="AA508" s="1199"/>
      <c r="AB508" s="1199"/>
      <c r="AC508" s="1199"/>
      <c r="AD508" s="1199"/>
      <c r="AE508" s="1199"/>
      <c r="AF508" s="1199"/>
      <c r="AG508" s="547">
        <f t="shared" ref="AG508:AG536" si="68">SUM(S508:AF508)</f>
        <v>2520</v>
      </c>
    </row>
    <row r="509" spans="1:33" ht="32.25" outlineLevel="2" thickBot="1">
      <c r="A509" s="2417">
        <v>4231</v>
      </c>
      <c r="B509" s="2679" t="s">
        <v>465</v>
      </c>
      <c r="C509" s="2671" t="s">
        <v>466</v>
      </c>
      <c r="D509" s="2672"/>
      <c r="E509" s="2673">
        <v>5</v>
      </c>
      <c r="F509" s="2674">
        <v>43269</v>
      </c>
      <c r="G509" s="2675">
        <f t="shared" si="67"/>
        <v>43273</v>
      </c>
      <c r="H509" s="2672" t="s">
        <v>368</v>
      </c>
      <c r="I509" s="2676" t="s">
        <v>179</v>
      </c>
      <c r="J509" s="2420" t="s">
        <v>461</v>
      </c>
      <c r="K509" s="2284" t="s">
        <v>457</v>
      </c>
      <c r="L509" s="2417">
        <v>23174</v>
      </c>
      <c r="M509" s="2284"/>
      <c r="N509" s="2284"/>
      <c r="O509" s="1858">
        <v>160</v>
      </c>
      <c r="P509" s="1858">
        <v>40</v>
      </c>
      <c r="Q509" s="1858">
        <f t="shared" si="66"/>
        <v>6400</v>
      </c>
      <c r="R509" s="1858"/>
      <c r="S509" s="2315"/>
      <c r="T509" s="2315"/>
      <c r="U509" s="2315"/>
      <c r="V509" s="2315">
        <v>6400</v>
      </c>
      <c r="W509" s="2315"/>
      <c r="X509" s="2284"/>
      <c r="Y509" s="2284"/>
      <c r="Z509" s="2363"/>
      <c r="AA509" s="2363"/>
      <c r="AB509" s="2363"/>
      <c r="AC509" s="2363"/>
      <c r="AD509" s="2363"/>
      <c r="AE509" s="2363"/>
      <c r="AF509" s="2363"/>
      <c r="AG509" s="547">
        <f t="shared" si="68"/>
        <v>6400</v>
      </c>
    </row>
    <row r="510" spans="1:33" ht="63.75" outlineLevel="2" thickTop="1">
      <c r="A510" s="2417">
        <v>4241</v>
      </c>
      <c r="B510" s="2680" t="s">
        <v>468</v>
      </c>
      <c r="C510" s="2667" t="s">
        <v>469</v>
      </c>
      <c r="D510" s="2284"/>
      <c r="E510" s="2662">
        <v>2</v>
      </c>
      <c r="F510" s="2668">
        <v>43283</v>
      </c>
      <c r="G510" s="2669">
        <f t="shared" si="67"/>
        <v>43284</v>
      </c>
      <c r="H510" s="2417" t="s">
        <v>470</v>
      </c>
      <c r="I510" s="2417" t="s">
        <v>179</v>
      </c>
      <c r="J510" s="2420" t="s">
        <v>461</v>
      </c>
      <c r="K510" s="2284" t="s">
        <v>457</v>
      </c>
      <c r="L510" s="2417">
        <v>23174</v>
      </c>
      <c r="M510" s="2284"/>
      <c r="N510" s="2417"/>
      <c r="O510" s="1848">
        <v>3045</v>
      </c>
      <c r="P510" s="1848">
        <v>22</v>
      </c>
      <c r="Q510" s="1848">
        <f t="shared" si="66"/>
        <v>66990</v>
      </c>
      <c r="R510" s="1848"/>
      <c r="S510" s="2314"/>
      <c r="T510" s="2314"/>
      <c r="U510" s="2314"/>
      <c r="V510" s="2314">
        <v>66990</v>
      </c>
      <c r="W510" s="2314"/>
      <c r="X510" s="1142"/>
      <c r="Y510" s="1127"/>
      <c r="Z510" s="1127"/>
      <c r="AA510" s="1127"/>
      <c r="AB510" s="1127"/>
      <c r="AC510" s="1127"/>
      <c r="AD510" s="1127"/>
      <c r="AE510" s="1127"/>
      <c r="AF510" s="1127"/>
      <c r="AG510" s="547">
        <f t="shared" si="68"/>
        <v>66990</v>
      </c>
    </row>
    <row r="511" spans="1:33" ht="16.5" outlineLevel="2" thickBot="1">
      <c r="A511" s="2417">
        <v>4251</v>
      </c>
      <c r="B511" s="2681" t="s">
        <v>472</v>
      </c>
      <c r="C511" s="2671" t="s">
        <v>473</v>
      </c>
      <c r="D511" s="2672"/>
      <c r="E511" s="2673">
        <v>15</v>
      </c>
      <c r="F511" s="2674">
        <v>43201</v>
      </c>
      <c r="G511" s="2675">
        <f t="shared" si="67"/>
        <v>43215</v>
      </c>
      <c r="H511" s="2673" t="s">
        <v>474</v>
      </c>
      <c r="I511" s="2676" t="s">
        <v>179</v>
      </c>
      <c r="J511" s="2420" t="s">
        <v>169</v>
      </c>
      <c r="K511" s="2284" t="s">
        <v>252</v>
      </c>
      <c r="L511" s="2417">
        <v>23174</v>
      </c>
      <c r="M511" s="2284"/>
      <c r="N511" s="2417"/>
      <c r="O511" s="1858">
        <v>0.23333333333333334</v>
      </c>
      <c r="P511" s="1858">
        <v>57500</v>
      </c>
      <c r="Q511" s="1858">
        <f t="shared" si="66"/>
        <v>13416.666666666666</v>
      </c>
      <c r="R511" s="1858"/>
      <c r="S511" s="299"/>
      <c r="T511" s="2315">
        <v>13416.666666666666</v>
      </c>
      <c r="U511" s="2315"/>
      <c r="V511" s="2315"/>
      <c r="W511" s="299"/>
      <c r="X511" s="299"/>
      <c r="Y511" s="299"/>
      <c r="Z511" s="299"/>
      <c r="AA511" s="299"/>
      <c r="AB511" s="299"/>
      <c r="AC511" s="299"/>
      <c r="AD511" s="299"/>
      <c r="AE511" s="299"/>
      <c r="AF511" s="299"/>
      <c r="AG511" s="547">
        <f t="shared" si="68"/>
        <v>13416.666666666666</v>
      </c>
    </row>
    <row r="512" spans="1:33" ht="33" outlineLevel="2" thickTop="1" thickBot="1">
      <c r="A512" s="2417">
        <v>4252</v>
      </c>
      <c r="B512" s="2682" t="s">
        <v>475</v>
      </c>
      <c r="C512" s="2667" t="s">
        <v>476</v>
      </c>
      <c r="D512" s="2284"/>
      <c r="E512" s="2417">
        <v>10</v>
      </c>
      <c r="F512" s="2668">
        <v>43213</v>
      </c>
      <c r="G512" s="2669">
        <f t="shared" si="67"/>
        <v>43222</v>
      </c>
      <c r="H512" s="2417" t="s">
        <v>474</v>
      </c>
      <c r="I512" s="2417" t="s">
        <v>179</v>
      </c>
      <c r="J512" s="2420" t="s">
        <v>180</v>
      </c>
      <c r="K512" s="2284" t="s">
        <v>457</v>
      </c>
      <c r="L512" s="2417">
        <v>23174</v>
      </c>
      <c r="M512" s="2284"/>
      <c r="N512" s="2417"/>
      <c r="O512" s="1848">
        <v>350</v>
      </c>
      <c r="P512" s="1848">
        <v>228</v>
      </c>
      <c r="Q512" s="1848">
        <f t="shared" si="66"/>
        <v>79800</v>
      </c>
      <c r="R512" s="1848"/>
      <c r="S512" s="299"/>
      <c r="T512" s="2314">
        <v>79800</v>
      </c>
      <c r="U512" s="2314"/>
      <c r="V512" s="2314"/>
      <c r="W512" s="299"/>
      <c r="X512" s="1142"/>
      <c r="Y512" s="1127"/>
      <c r="Z512" s="1127"/>
      <c r="AA512" s="1127"/>
      <c r="AB512" s="1127"/>
      <c r="AC512" s="1127"/>
      <c r="AD512" s="1127"/>
      <c r="AE512" s="1127"/>
      <c r="AF512" s="1127"/>
      <c r="AG512" s="547">
        <f t="shared" si="68"/>
        <v>79800</v>
      </c>
    </row>
    <row r="513" spans="1:33" ht="17.25" outlineLevel="2" thickTop="1" thickBot="1">
      <c r="A513" s="2417">
        <v>4253</v>
      </c>
      <c r="B513" s="2682" t="s">
        <v>477</v>
      </c>
      <c r="C513" s="2667" t="s">
        <v>478</v>
      </c>
      <c r="D513" s="2284"/>
      <c r="E513" s="2417">
        <v>10</v>
      </c>
      <c r="F513" s="2668">
        <v>43227</v>
      </c>
      <c r="G513" s="2669">
        <f t="shared" si="67"/>
        <v>43236</v>
      </c>
      <c r="H513" s="2417" t="s">
        <v>368</v>
      </c>
      <c r="I513" s="2417" t="s">
        <v>179</v>
      </c>
      <c r="J513" s="2420" t="s">
        <v>180</v>
      </c>
      <c r="K513" s="2284" t="s">
        <v>457</v>
      </c>
      <c r="L513" s="2417">
        <v>23174</v>
      </c>
      <c r="M513" s="2284"/>
      <c r="N513" s="2417"/>
      <c r="O513" s="1848">
        <v>260</v>
      </c>
      <c r="P513" s="1848">
        <v>26</v>
      </c>
      <c r="Q513" s="1848">
        <f t="shared" si="66"/>
        <v>6760</v>
      </c>
      <c r="R513" s="1848"/>
      <c r="S513" s="2315"/>
      <c r="T513" s="2314"/>
      <c r="U513" s="2314">
        <v>6760</v>
      </c>
      <c r="V513" s="2314"/>
      <c r="W513" s="299"/>
      <c r="X513" s="1142"/>
      <c r="Y513" s="1127"/>
      <c r="Z513" s="1127"/>
      <c r="AA513" s="1127"/>
      <c r="AB513" s="1127"/>
      <c r="AC513" s="1127"/>
      <c r="AD513" s="1127"/>
      <c r="AE513" s="1127"/>
      <c r="AF513" s="1127"/>
      <c r="AG513" s="547">
        <f t="shared" si="68"/>
        <v>6760</v>
      </c>
    </row>
    <row r="514" spans="1:33" ht="33" outlineLevel="2" thickTop="1" thickBot="1">
      <c r="A514" s="2417">
        <v>4254</v>
      </c>
      <c r="B514" s="2683" t="s">
        <v>479</v>
      </c>
      <c r="C514" s="2667" t="s">
        <v>480</v>
      </c>
      <c r="D514" s="2284"/>
      <c r="E514" s="2417">
        <v>6</v>
      </c>
      <c r="F514" s="2668">
        <v>43269</v>
      </c>
      <c r="G514" s="2669">
        <f t="shared" si="67"/>
        <v>43274</v>
      </c>
      <c r="H514" s="2417" t="s">
        <v>368</v>
      </c>
      <c r="I514" s="2417" t="s">
        <v>179</v>
      </c>
      <c r="J514" s="2420" t="s">
        <v>180</v>
      </c>
      <c r="K514" s="2284" t="s">
        <v>457</v>
      </c>
      <c r="L514" s="2417">
        <v>23174</v>
      </c>
      <c r="M514" s="2284"/>
      <c r="N514" s="2417"/>
      <c r="O514" s="1848">
        <v>177.48</v>
      </c>
      <c r="P514" s="1848">
        <v>25</v>
      </c>
      <c r="Q514" s="1848">
        <f t="shared" si="66"/>
        <v>4437</v>
      </c>
      <c r="R514" s="1848"/>
      <c r="S514" s="2314"/>
      <c r="T514" s="2314"/>
      <c r="U514" s="2314"/>
      <c r="V514" s="2314">
        <v>4437</v>
      </c>
      <c r="W514" s="299"/>
      <c r="X514" s="1142"/>
      <c r="Y514" s="1127"/>
      <c r="Z514" s="1127"/>
      <c r="AA514" s="1127"/>
      <c r="AB514" s="1127"/>
      <c r="AC514" s="1127"/>
      <c r="AD514" s="1127"/>
      <c r="AE514" s="1127"/>
      <c r="AF514" s="1127"/>
      <c r="AG514" s="547">
        <f t="shared" si="68"/>
        <v>4437</v>
      </c>
    </row>
    <row r="515" spans="1:33" ht="32.25" outlineLevel="2" thickTop="1">
      <c r="A515" s="2417">
        <v>4262</v>
      </c>
      <c r="B515" s="2682" t="s">
        <v>484</v>
      </c>
      <c r="C515" s="2667" t="s">
        <v>485</v>
      </c>
      <c r="D515" s="2284"/>
      <c r="E515" s="2417">
        <v>6</v>
      </c>
      <c r="F515" s="2668">
        <v>43234</v>
      </c>
      <c r="G515" s="2669">
        <f t="shared" si="67"/>
        <v>43239</v>
      </c>
      <c r="H515" s="2417" t="s">
        <v>368</v>
      </c>
      <c r="I515" s="2417" t="s">
        <v>179</v>
      </c>
      <c r="J515" s="2420"/>
      <c r="K515" s="2284" t="s">
        <v>457</v>
      </c>
      <c r="L515" s="2574">
        <v>23174</v>
      </c>
      <c r="M515" s="2284"/>
      <c r="N515" s="2417"/>
      <c r="O515" s="1848">
        <v>5076.666666666667</v>
      </c>
      <c r="P515" s="1848">
        <v>1</v>
      </c>
      <c r="Q515" s="1848">
        <f t="shared" si="66"/>
        <v>5076.666666666667</v>
      </c>
      <c r="R515" s="1848"/>
      <c r="S515" s="1848"/>
      <c r="T515" s="1848"/>
      <c r="U515" s="1848">
        <v>5076.666666666667</v>
      </c>
      <c r="V515" s="1848"/>
      <c r="W515" s="1858"/>
      <c r="X515" s="1142"/>
      <c r="Y515" s="1127"/>
      <c r="Z515" s="1127"/>
      <c r="AA515" s="1127"/>
      <c r="AB515" s="1127"/>
      <c r="AC515" s="1127"/>
      <c r="AD515" s="1127"/>
      <c r="AE515" s="1127"/>
      <c r="AF515" s="1127"/>
      <c r="AG515" s="547">
        <f t="shared" si="68"/>
        <v>5076.666666666667</v>
      </c>
    </row>
    <row r="516" spans="1:33" ht="16.5" outlineLevel="2" thickBot="1">
      <c r="A516" s="2417">
        <v>4263</v>
      </c>
      <c r="B516" s="2681" t="s">
        <v>487</v>
      </c>
      <c r="C516" s="2671" t="s">
        <v>488</v>
      </c>
      <c r="D516" s="2672"/>
      <c r="E516" s="2673">
        <v>10</v>
      </c>
      <c r="F516" s="2674">
        <v>43241</v>
      </c>
      <c r="G516" s="2675">
        <f t="shared" si="67"/>
        <v>43250</v>
      </c>
      <c r="H516" s="2673" t="s">
        <v>372</v>
      </c>
      <c r="I516" s="2676" t="s">
        <v>179</v>
      </c>
      <c r="J516" s="2420"/>
      <c r="K516" s="2284" t="s">
        <v>457</v>
      </c>
      <c r="L516" s="2574">
        <v>23174</v>
      </c>
      <c r="M516" s="2284"/>
      <c r="N516" s="2417"/>
      <c r="O516" s="1858">
        <v>20400</v>
      </c>
      <c r="P516" s="1858">
        <v>1</v>
      </c>
      <c r="Q516" s="1858">
        <f t="shared" si="66"/>
        <v>20400</v>
      </c>
      <c r="R516" s="1858"/>
      <c r="S516" s="1858"/>
      <c r="T516" s="1858"/>
      <c r="U516" s="1858">
        <v>20400</v>
      </c>
      <c r="V516" s="1858"/>
      <c r="W516" s="1858"/>
      <c r="X516" s="299"/>
      <c r="Y516" s="299"/>
      <c r="Z516" s="299"/>
      <c r="AA516" s="299"/>
      <c r="AB516" s="299"/>
      <c r="AC516" s="299"/>
      <c r="AD516" s="299"/>
      <c r="AE516" s="299"/>
      <c r="AF516" s="299"/>
      <c r="AG516" s="547">
        <f t="shared" si="68"/>
        <v>20400</v>
      </c>
    </row>
    <row r="517" spans="1:33" ht="33" outlineLevel="2" thickTop="1" thickBot="1">
      <c r="A517" s="2417">
        <v>4265</v>
      </c>
      <c r="B517" s="2682" t="s">
        <v>491</v>
      </c>
      <c r="C517" s="2667" t="s">
        <v>492</v>
      </c>
      <c r="D517" s="2284"/>
      <c r="E517" s="2417">
        <v>5</v>
      </c>
      <c r="F517" s="2668">
        <v>43261</v>
      </c>
      <c r="G517" s="2669">
        <f t="shared" si="67"/>
        <v>43265</v>
      </c>
      <c r="H517" s="2417" t="s">
        <v>493</v>
      </c>
      <c r="I517" s="2417" t="s">
        <v>179</v>
      </c>
      <c r="J517" s="2420"/>
      <c r="K517" s="2284" t="s">
        <v>457</v>
      </c>
      <c r="L517" s="2574">
        <v>23174</v>
      </c>
      <c r="M517" s="2284"/>
      <c r="N517" s="2417"/>
      <c r="O517" s="1848">
        <v>750</v>
      </c>
      <c r="P517" s="1848">
        <v>10</v>
      </c>
      <c r="Q517" s="1848">
        <f t="shared" si="66"/>
        <v>7500</v>
      </c>
      <c r="R517" s="1848"/>
      <c r="S517" s="2282"/>
      <c r="T517" s="2282"/>
      <c r="U517" s="1848">
        <v>7500</v>
      </c>
      <c r="V517" s="2282"/>
      <c r="W517" s="2282"/>
      <c r="X517" s="1142"/>
      <c r="Y517" s="1127"/>
      <c r="Z517" s="1127"/>
      <c r="AA517" s="1127"/>
      <c r="AB517" s="1127"/>
      <c r="AC517" s="1127"/>
      <c r="AD517" s="1127"/>
      <c r="AE517" s="1127"/>
      <c r="AF517" s="1127"/>
      <c r="AG517" s="547">
        <f t="shared" si="68"/>
        <v>7500</v>
      </c>
    </row>
    <row r="518" spans="1:33" ht="33" outlineLevel="2" thickTop="1" thickBot="1">
      <c r="A518" s="2417">
        <v>4272</v>
      </c>
      <c r="B518" s="2663" t="s">
        <v>497</v>
      </c>
      <c r="C518" s="2667"/>
      <c r="D518" s="2284"/>
      <c r="E518" s="2417">
        <v>3</v>
      </c>
      <c r="F518" s="2668">
        <v>43240</v>
      </c>
      <c r="G518" s="2669">
        <f t="shared" si="67"/>
        <v>43242</v>
      </c>
      <c r="H518" s="2417" t="s">
        <v>493</v>
      </c>
      <c r="I518" s="2417" t="s">
        <v>179</v>
      </c>
      <c r="J518" s="2420"/>
      <c r="K518" s="2284" t="s">
        <v>457</v>
      </c>
      <c r="L518" s="2574">
        <v>23174</v>
      </c>
      <c r="M518" s="2284"/>
      <c r="N518" s="2417"/>
      <c r="O518" s="1848">
        <v>750</v>
      </c>
      <c r="P518" s="1848">
        <v>10</v>
      </c>
      <c r="Q518" s="1848">
        <f t="shared" si="66"/>
        <v>7500</v>
      </c>
      <c r="R518" s="1848"/>
      <c r="S518" s="2282"/>
      <c r="T518" s="2282"/>
      <c r="U518" s="2282">
        <v>7500</v>
      </c>
      <c r="V518" s="2282"/>
      <c r="W518" s="2282"/>
      <c r="X518" s="1142"/>
      <c r="Y518" s="1127"/>
      <c r="Z518" s="1127"/>
      <c r="AA518" s="1127"/>
      <c r="AB518" s="1127"/>
      <c r="AC518" s="1127"/>
      <c r="AD518" s="1127"/>
      <c r="AE518" s="1127"/>
      <c r="AF518" s="1127"/>
      <c r="AG518" s="547">
        <f t="shared" si="68"/>
        <v>7500</v>
      </c>
    </row>
    <row r="519" spans="1:33" ht="33" outlineLevel="2" thickTop="1" thickBot="1">
      <c r="A519" s="2417">
        <v>4283</v>
      </c>
      <c r="B519" s="2684" t="s">
        <v>505</v>
      </c>
      <c r="C519" s="2685" t="s">
        <v>506</v>
      </c>
      <c r="D519" s="2284"/>
      <c r="E519" s="2602">
        <v>15</v>
      </c>
      <c r="F519" s="2668">
        <v>43255</v>
      </c>
      <c r="G519" s="2669">
        <f t="shared" si="67"/>
        <v>43269</v>
      </c>
      <c r="H519" s="2417" t="s">
        <v>501</v>
      </c>
      <c r="I519" s="2417" t="s">
        <v>179</v>
      </c>
      <c r="J519" s="2420" t="s">
        <v>507</v>
      </c>
      <c r="K519" s="2284" t="s">
        <v>457</v>
      </c>
      <c r="L519" s="2574">
        <v>23174</v>
      </c>
      <c r="M519" s="2284"/>
      <c r="N519" s="2417"/>
      <c r="O519" s="1848">
        <v>17989.099333333332</v>
      </c>
      <c r="P519" s="1848">
        <v>1</v>
      </c>
      <c r="Q519" s="1848">
        <f t="shared" si="66"/>
        <v>17989.099333333332</v>
      </c>
      <c r="R519" s="1848"/>
      <c r="S519" s="1848"/>
      <c r="T519" s="2282"/>
      <c r="U519" s="1848"/>
      <c r="V519" s="1848">
        <v>17989.099333333332</v>
      </c>
      <c r="W519" s="2282"/>
      <c r="X519" s="1142"/>
      <c r="Y519" s="1127"/>
      <c r="Z519" s="1199"/>
      <c r="AA519" s="1199"/>
      <c r="AB519" s="1199"/>
      <c r="AC519" s="1199"/>
      <c r="AD519" s="1199"/>
      <c r="AE519" s="1199"/>
      <c r="AF519" s="1199"/>
      <c r="AG519" s="547">
        <f t="shared" si="68"/>
        <v>17989.099333333332</v>
      </c>
    </row>
    <row r="520" spans="1:33" ht="64.5" outlineLevel="2" thickTop="1" thickBot="1">
      <c r="A520" s="2417">
        <v>4311</v>
      </c>
      <c r="B520" s="2664" t="s">
        <v>370</v>
      </c>
      <c r="C520" s="2667" t="s">
        <v>371</v>
      </c>
      <c r="D520" s="2284"/>
      <c r="E520" s="2417">
        <v>3</v>
      </c>
      <c r="F520" s="2686">
        <f>G520-E520</f>
        <v>43214</v>
      </c>
      <c r="G520" s="2676">
        <v>43217</v>
      </c>
      <c r="H520" s="2417" t="s">
        <v>372</v>
      </c>
      <c r="I520" s="2417" t="s">
        <v>180</v>
      </c>
      <c r="J520" s="2420" t="s">
        <v>373</v>
      </c>
      <c r="K520" s="2284" t="s">
        <v>375</v>
      </c>
      <c r="L520" s="2417">
        <v>23174</v>
      </c>
      <c r="M520" s="2284"/>
      <c r="N520" s="2417"/>
      <c r="O520" s="2661">
        <v>215</v>
      </c>
      <c r="P520" s="2662">
        <v>44</v>
      </c>
      <c r="Q520" s="2282">
        <f t="shared" si="66"/>
        <v>9460</v>
      </c>
      <c r="R520" s="2282"/>
      <c r="S520" s="2282"/>
      <c r="T520" s="2282">
        <v>9460</v>
      </c>
      <c r="U520" s="2282"/>
      <c r="V520" s="2282"/>
      <c r="W520" s="2282"/>
      <c r="X520" s="1142"/>
      <c r="Y520" s="1127"/>
      <c r="Z520" s="1199"/>
      <c r="AA520" s="1199"/>
      <c r="AB520" s="1199"/>
      <c r="AC520" s="1199"/>
      <c r="AD520" s="1199"/>
      <c r="AE520" s="1199"/>
      <c r="AF520" s="1199"/>
      <c r="AG520" s="547">
        <f t="shared" si="68"/>
        <v>9460</v>
      </c>
    </row>
    <row r="521" spans="1:33" ht="17.25" outlineLevel="2" thickTop="1" thickBot="1">
      <c r="A521" s="2417">
        <v>4323</v>
      </c>
      <c r="B521" s="2664" t="s">
        <v>1007</v>
      </c>
      <c r="C521" s="2687" t="s">
        <v>382</v>
      </c>
      <c r="D521" s="2284"/>
      <c r="E521" s="2417">
        <v>3</v>
      </c>
      <c r="F521" s="2686">
        <f>G521-E521</f>
        <v>43293</v>
      </c>
      <c r="G521" s="2676">
        <v>43296</v>
      </c>
      <c r="H521" s="2417" t="s">
        <v>372</v>
      </c>
      <c r="I521" s="2417" t="s">
        <v>180</v>
      </c>
      <c r="J521" s="2420"/>
      <c r="K521" s="2284" t="s">
        <v>383</v>
      </c>
      <c r="L521" s="2417">
        <v>23174</v>
      </c>
      <c r="M521" s="2284"/>
      <c r="N521" s="2417"/>
      <c r="O521" s="2661">
        <v>142</v>
      </c>
      <c r="P521" s="2688">
        <v>144</v>
      </c>
      <c r="Q521" s="2387">
        <f t="shared" si="66"/>
        <v>20448</v>
      </c>
      <c r="R521" s="2282"/>
      <c r="S521" s="299"/>
      <c r="T521" s="299"/>
      <c r="U521" s="2282"/>
      <c r="V521" s="299"/>
      <c r="W521" s="299">
        <v>20448</v>
      </c>
      <c r="X521" s="1142"/>
      <c r="Y521" s="1127"/>
      <c r="Z521" s="1199"/>
      <c r="AA521" s="1199"/>
      <c r="AB521" s="1199"/>
      <c r="AC521" s="1199"/>
      <c r="AD521" s="1199"/>
      <c r="AE521" s="1199"/>
      <c r="AF521" s="1199"/>
      <c r="AG521" s="547">
        <f t="shared" si="68"/>
        <v>20448</v>
      </c>
    </row>
    <row r="522" spans="1:33" ht="48.75" outlineLevel="2" thickTop="1" thickBot="1">
      <c r="A522" s="2417">
        <v>4324</v>
      </c>
      <c r="B522" s="2664" t="s">
        <v>385</v>
      </c>
      <c r="C522" s="2687" t="s">
        <v>386</v>
      </c>
      <c r="D522" s="2284"/>
      <c r="E522" s="2417">
        <f>10+45</f>
        <v>55</v>
      </c>
      <c r="F522" s="2686">
        <f>G522-E522</f>
        <v>43211</v>
      </c>
      <c r="G522" s="2676">
        <v>43266</v>
      </c>
      <c r="H522" s="2417" t="s">
        <v>390</v>
      </c>
      <c r="I522" s="2417" t="s">
        <v>169</v>
      </c>
      <c r="J522" s="2420" t="s">
        <v>387</v>
      </c>
      <c r="K522" s="2608" t="s">
        <v>392</v>
      </c>
      <c r="L522" s="2417">
        <v>23174</v>
      </c>
      <c r="M522" s="2284"/>
      <c r="N522" s="2417"/>
      <c r="O522" s="2661">
        <v>313</v>
      </c>
      <c r="P522" s="2688">
        <v>22</v>
      </c>
      <c r="Q522" s="2387">
        <f t="shared" si="66"/>
        <v>6886</v>
      </c>
      <c r="R522" s="2282"/>
      <c r="S522" s="299"/>
      <c r="T522" s="299"/>
      <c r="U522" s="2282"/>
      <c r="V522" s="299">
        <v>6886</v>
      </c>
      <c r="W522" s="299"/>
      <c r="X522" s="1142"/>
      <c r="Y522" s="1127"/>
      <c r="Z522" s="1199"/>
      <c r="AA522" s="1199"/>
      <c r="AB522" s="1199"/>
      <c r="AC522" s="1199"/>
      <c r="AD522" s="1199"/>
      <c r="AE522" s="1199"/>
      <c r="AF522" s="1199"/>
      <c r="AG522" s="547">
        <f t="shared" si="68"/>
        <v>6886</v>
      </c>
    </row>
    <row r="523" spans="1:33" ht="48.75" outlineLevel="2" thickTop="1" thickBot="1">
      <c r="A523" s="2417">
        <v>4324</v>
      </c>
      <c r="B523" s="2664" t="s">
        <v>385</v>
      </c>
      <c r="C523" s="2687" t="s">
        <v>386</v>
      </c>
      <c r="D523" s="2284"/>
      <c r="E523" s="2417">
        <v>10</v>
      </c>
      <c r="F523" s="2686">
        <f>G523-E523</f>
        <v>43256</v>
      </c>
      <c r="G523" s="2676">
        <v>43266</v>
      </c>
      <c r="H523" s="2417" t="s">
        <v>396</v>
      </c>
      <c r="I523" s="2417" t="s">
        <v>180</v>
      </c>
      <c r="J523" s="2420" t="s">
        <v>387</v>
      </c>
      <c r="K523" s="2284" t="s">
        <v>1050</v>
      </c>
      <c r="L523" s="2417">
        <v>23174</v>
      </c>
      <c r="M523" s="2284"/>
      <c r="N523" s="2417"/>
      <c r="O523" s="2661">
        <v>240</v>
      </c>
      <c r="P523" s="2688">
        <v>88</v>
      </c>
      <c r="Q523" s="2387">
        <f t="shared" si="66"/>
        <v>21120</v>
      </c>
      <c r="R523" s="2282"/>
      <c r="S523" s="299"/>
      <c r="T523" s="299"/>
      <c r="U523" s="2282"/>
      <c r="V523" s="299">
        <v>21120</v>
      </c>
      <c r="W523" s="299"/>
      <c r="X523" s="1142"/>
      <c r="Y523" s="1127"/>
      <c r="Z523" s="1199"/>
      <c r="AA523" s="1199"/>
      <c r="AB523" s="1199"/>
      <c r="AC523" s="1199"/>
      <c r="AD523" s="1199"/>
      <c r="AE523" s="1199"/>
      <c r="AF523" s="1199"/>
      <c r="AG523" s="547">
        <f t="shared" si="68"/>
        <v>21120</v>
      </c>
    </row>
    <row r="524" spans="1:33" ht="32.25" outlineLevel="2" thickTop="1">
      <c r="A524" s="2543">
        <v>4421</v>
      </c>
      <c r="B524" s="2689" t="s">
        <v>999</v>
      </c>
      <c r="C524" s="2689" t="s">
        <v>974</v>
      </c>
      <c r="D524" s="2542"/>
      <c r="E524" s="2354">
        <v>150</v>
      </c>
      <c r="F524" s="2690">
        <v>43221</v>
      </c>
      <c r="G524" s="2691">
        <f>F524+E524+2</f>
        <v>43373</v>
      </c>
      <c r="H524" s="2542"/>
      <c r="I524" s="2354" t="s">
        <v>169</v>
      </c>
      <c r="J524" s="2354"/>
      <c r="K524" s="2540" t="s">
        <v>1006</v>
      </c>
      <c r="L524" s="2541">
        <v>23174</v>
      </c>
      <c r="M524" s="2542"/>
      <c r="N524" s="2354"/>
      <c r="O524" s="2364">
        <v>2000</v>
      </c>
      <c r="P524" s="2692">
        <v>3</v>
      </c>
      <c r="Q524" s="2316">
        <f t="shared" si="66"/>
        <v>6000</v>
      </c>
      <c r="R524" s="2283"/>
      <c r="S524" s="485"/>
      <c r="T524" s="518"/>
      <c r="U524" s="2364">
        <v>2000</v>
      </c>
      <c r="V524" s="2353"/>
      <c r="W524" s="2353">
        <v>2000</v>
      </c>
      <c r="X524" s="2345"/>
      <c r="Y524" s="2346">
        <v>2000</v>
      </c>
      <c r="Z524" s="1164"/>
      <c r="AA524" s="1164"/>
      <c r="AB524" s="1164"/>
      <c r="AC524" s="1164"/>
      <c r="AD524" s="1164"/>
      <c r="AE524" s="1164"/>
      <c r="AF524" s="1164"/>
      <c r="AG524" s="547">
        <f t="shared" si="68"/>
        <v>6000</v>
      </c>
    </row>
    <row r="525" spans="1:33" ht="32.25" outlineLevel="2" thickBot="1">
      <c r="A525" s="2543">
        <v>4421</v>
      </c>
      <c r="B525" s="2693" t="s">
        <v>999</v>
      </c>
      <c r="C525" s="2694" t="s">
        <v>974</v>
      </c>
      <c r="D525" s="2694"/>
      <c r="E525" s="2695">
        <v>150</v>
      </c>
      <c r="F525" s="2694">
        <v>43221</v>
      </c>
      <c r="G525" s="2694">
        <f>F525+E525+2</f>
        <v>43373</v>
      </c>
      <c r="H525" s="2694"/>
      <c r="I525" s="2696" t="s">
        <v>169</v>
      </c>
      <c r="J525" s="2354"/>
      <c r="K525" s="2540" t="s">
        <v>994</v>
      </c>
      <c r="L525" s="2541">
        <v>23174</v>
      </c>
      <c r="M525" s="2542"/>
      <c r="N525" s="2354"/>
      <c r="O525" s="2353">
        <v>3500</v>
      </c>
      <c r="P525" s="2420">
        <v>2</v>
      </c>
      <c r="Q525" s="485">
        <f t="shared" si="66"/>
        <v>7000</v>
      </c>
      <c r="R525" s="486"/>
      <c r="S525" s="485"/>
      <c r="T525" s="518"/>
      <c r="U525" s="518"/>
      <c r="V525" s="2353">
        <v>3500</v>
      </c>
      <c r="W525" s="518"/>
      <c r="X525" s="2353">
        <v>3500</v>
      </c>
      <c r="Y525" s="518"/>
      <c r="Z525" s="518"/>
      <c r="AA525" s="518"/>
      <c r="AB525" s="518"/>
      <c r="AC525" s="518"/>
      <c r="AD525" s="518"/>
      <c r="AE525" s="518"/>
      <c r="AF525" s="518"/>
      <c r="AG525" s="547">
        <f t="shared" si="68"/>
        <v>7000</v>
      </c>
    </row>
    <row r="526" spans="1:33" ht="33" outlineLevel="2" thickTop="1" thickBot="1">
      <c r="A526" s="2543">
        <v>4422</v>
      </c>
      <c r="B526" s="2542" t="s">
        <v>1068</v>
      </c>
      <c r="C526" s="2542" t="s">
        <v>1069</v>
      </c>
      <c r="D526" s="2542"/>
      <c r="E526" s="2354">
        <v>30</v>
      </c>
      <c r="F526" s="2690">
        <v>43221</v>
      </c>
      <c r="G526" s="2691">
        <f>F526+E526</f>
        <v>43251</v>
      </c>
      <c r="H526" s="2542"/>
      <c r="I526" s="2354" t="s">
        <v>169</v>
      </c>
      <c r="J526" s="2354"/>
      <c r="K526" s="2540" t="s">
        <v>1075</v>
      </c>
      <c r="L526" s="2541">
        <v>23174</v>
      </c>
      <c r="M526" s="2542"/>
      <c r="N526" s="2354"/>
      <c r="O526" s="2697">
        <v>10000</v>
      </c>
      <c r="P526" s="2698">
        <v>1</v>
      </c>
      <c r="Q526" s="2317">
        <f t="shared" si="66"/>
        <v>10000</v>
      </c>
      <c r="R526" s="2283"/>
      <c r="S526" s="485"/>
      <c r="T526" s="518"/>
      <c r="U526" s="485">
        <v>10000</v>
      </c>
      <c r="V526" s="518"/>
      <c r="W526" s="518"/>
      <c r="X526" s="2340"/>
      <c r="Y526" s="1164"/>
      <c r="Z526" s="1164"/>
      <c r="AA526" s="1164"/>
      <c r="AB526" s="1164"/>
      <c r="AC526" s="1164"/>
      <c r="AD526" s="1164"/>
      <c r="AE526" s="1164"/>
      <c r="AF526" s="1164"/>
      <c r="AG526" s="547">
        <f t="shared" si="68"/>
        <v>10000</v>
      </c>
    </row>
    <row r="527" spans="1:33" ht="16.5" outlineLevel="2" thickTop="1">
      <c r="A527" s="2543">
        <v>4423</v>
      </c>
      <c r="B527" s="2542" t="s">
        <v>1070</v>
      </c>
      <c r="C527" s="2542" t="s">
        <v>1071</v>
      </c>
      <c r="D527" s="2542"/>
      <c r="E527" s="2354">
        <v>30</v>
      </c>
      <c r="F527" s="2690">
        <v>43252</v>
      </c>
      <c r="G527" s="2691">
        <f>F527+E527-1</f>
        <v>43281</v>
      </c>
      <c r="H527" s="2542"/>
      <c r="I527" s="2354" t="s">
        <v>169</v>
      </c>
      <c r="J527" s="2699"/>
      <c r="K527" s="2540" t="s">
        <v>1076</v>
      </c>
      <c r="L527" s="2541">
        <v>23174</v>
      </c>
      <c r="M527" s="2542"/>
      <c r="N527" s="2354"/>
      <c r="O527" s="2697">
        <v>10000</v>
      </c>
      <c r="P527" s="2698">
        <v>1</v>
      </c>
      <c r="Q527" s="2317">
        <f t="shared" si="66"/>
        <v>10000</v>
      </c>
      <c r="R527" s="2283"/>
      <c r="S527" s="2354"/>
      <c r="T527" s="518"/>
      <c r="U527" s="518"/>
      <c r="V527" s="485">
        <v>10000</v>
      </c>
      <c r="W527" s="518"/>
      <c r="X527" s="2340"/>
      <c r="Y527" s="1164"/>
      <c r="Z527" s="1164"/>
      <c r="AA527" s="1164"/>
      <c r="AB527" s="1164"/>
      <c r="AC527" s="1164"/>
      <c r="AD527" s="1164"/>
      <c r="AE527" s="1164"/>
      <c r="AF527" s="1164"/>
      <c r="AG527" s="547">
        <f t="shared" si="68"/>
        <v>10000</v>
      </c>
    </row>
    <row r="528" spans="1:33" ht="94.5" outlineLevel="2">
      <c r="A528" s="2417">
        <v>6312</v>
      </c>
      <c r="B528" s="2679" t="s">
        <v>409</v>
      </c>
      <c r="C528" s="2700" t="s">
        <v>410</v>
      </c>
      <c r="D528" s="1199"/>
      <c r="E528" s="2701"/>
      <c r="F528" s="2701">
        <v>43241</v>
      </c>
      <c r="G528" s="2701">
        <v>43273</v>
      </c>
      <c r="H528" s="2702" t="s">
        <v>406</v>
      </c>
      <c r="I528" s="2701" t="s">
        <v>181</v>
      </c>
      <c r="J528" s="2420" t="s">
        <v>411</v>
      </c>
      <c r="K528" s="2284" t="s">
        <v>412</v>
      </c>
      <c r="L528" s="2417">
        <v>23174</v>
      </c>
      <c r="M528" s="2284"/>
      <c r="N528" s="2417"/>
      <c r="O528" s="910">
        <v>2100</v>
      </c>
      <c r="P528" s="2417">
        <v>4</v>
      </c>
      <c r="Q528" s="299">
        <f t="shared" si="66"/>
        <v>8400</v>
      </c>
      <c r="R528" s="299"/>
      <c r="S528" s="299"/>
      <c r="T528" s="299"/>
      <c r="U528" s="299">
        <v>4200</v>
      </c>
      <c r="V528" s="299">
        <v>4200</v>
      </c>
      <c r="W528" s="299"/>
      <c r="X528" s="299"/>
      <c r="Y528" s="299"/>
      <c r="Z528" s="299"/>
      <c r="AA528" s="299"/>
      <c r="AB528" s="299"/>
      <c r="AC528" s="299"/>
      <c r="AD528" s="299"/>
      <c r="AE528" s="299"/>
      <c r="AF528" s="299"/>
      <c r="AG528" s="547">
        <f t="shared" si="68"/>
        <v>8400</v>
      </c>
    </row>
    <row r="529" spans="1:33" ht="95.25" outlineLevel="2" thickBot="1">
      <c r="A529" s="2417">
        <v>6312</v>
      </c>
      <c r="B529" s="2703" t="s">
        <v>409</v>
      </c>
      <c r="C529" s="2704" t="s">
        <v>410</v>
      </c>
      <c r="D529" s="2580"/>
      <c r="E529" s="2598"/>
      <c r="F529" s="2598">
        <v>43241</v>
      </c>
      <c r="G529" s="2676">
        <v>43273</v>
      </c>
      <c r="H529" s="2705" t="s">
        <v>406</v>
      </c>
      <c r="I529" s="2598" t="s">
        <v>181</v>
      </c>
      <c r="J529" s="2420" t="s">
        <v>411</v>
      </c>
      <c r="K529" s="2284" t="s">
        <v>413</v>
      </c>
      <c r="L529" s="2417">
        <v>23174</v>
      </c>
      <c r="M529" s="2284"/>
      <c r="N529" s="2662"/>
      <c r="O529" s="2661">
        <v>2000</v>
      </c>
      <c r="P529" s="2662">
        <v>4</v>
      </c>
      <c r="Q529" s="2282">
        <f t="shared" si="66"/>
        <v>8000</v>
      </c>
      <c r="R529" s="2282"/>
      <c r="S529" s="2282"/>
      <c r="T529" s="299"/>
      <c r="U529" s="2282">
        <v>4000</v>
      </c>
      <c r="V529" s="2282">
        <v>4000</v>
      </c>
      <c r="W529" s="299"/>
      <c r="X529" s="1142"/>
      <c r="Y529" s="1127"/>
      <c r="Z529" s="1127"/>
      <c r="AA529" s="1127"/>
      <c r="AB529" s="1127"/>
      <c r="AC529" s="1127"/>
      <c r="AD529" s="1127"/>
      <c r="AE529" s="1127"/>
      <c r="AF529" s="1127"/>
      <c r="AG529" s="547">
        <f t="shared" si="68"/>
        <v>8000</v>
      </c>
    </row>
    <row r="530" spans="1:33" ht="96" outlineLevel="2" thickTop="1" thickBot="1">
      <c r="A530" s="2417">
        <v>6312</v>
      </c>
      <c r="B530" s="2706" t="s">
        <v>409</v>
      </c>
      <c r="C530" s="2667" t="s">
        <v>410</v>
      </c>
      <c r="D530" s="2284"/>
      <c r="E530" s="2417"/>
      <c r="F530" s="2686">
        <v>43241</v>
      </c>
      <c r="G530" s="2676">
        <v>43273</v>
      </c>
      <c r="H530" s="2548" t="s">
        <v>406</v>
      </c>
      <c r="I530" s="2417" t="s">
        <v>181</v>
      </c>
      <c r="J530" s="2420" t="s">
        <v>411</v>
      </c>
      <c r="K530" s="2284" t="s">
        <v>414</v>
      </c>
      <c r="L530" s="2417">
        <v>23174</v>
      </c>
      <c r="M530" s="2284"/>
      <c r="N530" s="2417"/>
      <c r="O530" s="2661">
        <v>833.25</v>
      </c>
      <c r="P530" s="2662">
        <v>4</v>
      </c>
      <c r="Q530" s="2282">
        <f t="shared" si="66"/>
        <v>3333</v>
      </c>
      <c r="R530" s="2282"/>
      <c r="S530" s="2282"/>
      <c r="T530" s="299"/>
      <c r="U530" s="2282">
        <v>1666.5</v>
      </c>
      <c r="V530" s="2282">
        <v>1666.5</v>
      </c>
      <c r="W530" s="299"/>
      <c r="X530" s="1142"/>
      <c r="Y530" s="1127"/>
      <c r="Z530" s="1127"/>
      <c r="AA530" s="1127"/>
      <c r="AB530" s="1127"/>
      <c r="AC530" s="1127"/>
      <c r="AD530" s="1127"/>
      <c r="AE530" s="1127"/>
      <c r="AF530" s="1127"/>
      <c r="AG530" s="547">
        <f t="shared" si="68"/>
        <v>3333</v>
      </c>
    </row>
    <row r="531" spans="1:33" ht="143.25" outlineLevel="2" thickTop="1" thickBot="1">
      <c r="A531" s="2417">
        <v>6322</v>
      </c>
      <c r="B531" s="2706" t="s">
        <v>422</v>
      </c>
      <c r="C531" s="2667"/>
      <c r="D531" s="2284"/>
      <c r="E531" s="2417"/>
      <c r="F531" s="2707">
        <v>43227</v>
      </c>
      <c r="G531" s="2708">
        <v>43238</v>
      </c>
      <c r="H531" s="2548" t="s">
        <v>421</v>
      </c>
      <c r="I531" s="2417" t="s">
        <v>181</v>
      </c>
      <c r="J531" s="2420" t="s">
        <v>423</v>
      </c>
      <c r="K531" s="2284" t="s">
        <v>424</v>
      </c>
      <c r="L531" s="2417">
        <v>23174</v>
      </c>
      <c r="M531" s="2284"/>
      <c r="N531" s="2417"/>
      <c r="O531" s="2661">
        <v>3360</v>
      </c>
      <c r="P531" s="2662">
        <v>2</v>
      </c>
      <c r="Q531" s="2282">
        <f t="shared" si="66"/>
        <v>6720</v>
      </c>
      <c r="R531" s="2282"/>
      <c r="S531" s="2387"/>
      <c r="T531" s="299"/>
      <c r="U531" s="2282">
        <v>6720</v>
      </c>
      <c r="V531" s="2282"/>
      <c r="W531" s="299"/>
      <c r="X531" s="1142"/>
      <c r="Y531" s="1127"/>
      <c r="Z531" s="1127"/>
      <c r="AA531" s="1127"/>
      <c r="AB531" s="1127"/>
      <c r="AC531" s="1127"/>
      <c r="AD531" s="1127"/>
      <c r="AE531" s="1127"/>
      <c r="AF531" s="1127"/>
      <c r="AG531" s="547">
        <f t="shared" si="68"/>
        <v>6720</v>
      </c>
    </row>
    <row r="532" spans="1:33" ht="143.25" outlineLevel="2" thickTop="1" thickBot="1">
      <c r="A532" s="2417">
        <v>6322</v>
      </c>
      <c r="B532" s="2706" t="s">
        <v>422</v>
      </c>
      <c r="C532" s="2667"/>
      <c r="D532" s="2284"/>
      <c r="E532" s="2417"/>
      <c r="F532" s="2707">
        <v>43227</v>
      </c>
      <c r="G532" s="2708">
        <v>43238</v>
      </c>
      <c r="H532" s="2548" t="s">
        <v>421</v>
      </c>
      <c r="I532" s="2417" t="s">
        <v>181</v>
      </c>
      <c r="J532" s="2420" t="s">
        <v>423</v>
      </c>
      <c r="K532" s="2284" t="s">
        <v>425</v>
      </c>
      <c r="L532" s="2417">
        <v>23174</v>
      </c>
      <c r="M532" s="2284"/>
      <c r="N532" s="2417"/>
      <c r="O532" s="2661">
        <v>3200</v>
      </c>
      <c r="P532" s="2662">
        <v>2</v>
      </c>
      <c r="Q532" s="2282">
        <f t="shared" si="66"/>
        <v>6400</v>
      </c>
      <c r="R532" s="2282"/>
      <c r="S532" s="299"/>
      <c r="T532" s="299"/>
      <c r="U532" s="2282">
        <v>6400</v>
      </c>
      <c r="V532" s="2282"/>
      <c r="W532" s="299"/>
      <c r="X532" s="1142"/>
      <c r="Y532" s="1127"/>
      <c r="Z532" s="1127"/>
      <c r="AA532" s="1127"/>
      <c r="AB532" s="1127"/>
      <c r="AC532" s="1127"/>
      <c r="AD532" s="1127"/>
      <c r="AE532" s="1127"/>
      <c r="AF532" s="1127"/>
      <c r="AG532" s="547">
        <f t="shared" si="68"/>
        <v>6400</v>
      </c>
    </row>
    <row r="533" spans="1:33" ht="143.25" outlineLevel="2" thickTop="1" thickBot="1">
      <c r="A533" s="2417">
        <v>6322</v>
      </c>
      <c r="B533" s="2706" t="s">
        <v>422</v>
      </c>
      <c r="C533" s="2667"/>
      <c r="D533" s="2284"/>
      <c r="E533" s="2417"/>
      <c r="F533" s="2707">
        <v>43227</v>
      </c>
      <c r="G533" s="2708">
        <v>43238</v>
      </c>
      <c r="H533" s="2548" t="s">
        <v>421</v>
      </c>
      <c r="I533" s="2417" t="s">
        <v>181</v>
      </c>
      <c r="J533" s="2420" t="s">
        <v>423</v>
      </c>
      <c r="K533" s="2284" t="s">
        <v>426</v>
      </c>
      <c r="L533" s="2417">
        <v>23174</v>
      </c>
      <c r="M533" s="2284"/>
      <c r="N533" s="2417"/>
      <c r="O533" s="2661">
        <v>1333.3333333333333</v>
      </c>
      <c r="P533" s="2662">
        <v>2</v>
      </c>
      <c r="Q533" s="2282">
        <f t="shared" si="66"/>
        <v>2666.6666666666665</v>
      </c>
      <c r="R533" s="2282"/>
      <c r="S533" s="2604"/>
      <c r="T533" s="299"/>
      <c r="U533" s="2282">
        <v>2666.6666666666665</v>
      </c>
      <c r="V533" s="2282"/>
      <c r="W533" s="299"/>
      <c r="X533" s="1142"/>
      <c r="Y533" s="1127"/>
      <c r="Z533" s="1127"/>
      <c r="AA533" s="1127"/>
      <c r="AB533" s="1127"/>
      <c r="AC533" s="1127"/>
      <c r="AD533" s="1127"/>
      <c r="AE533" s="1127"/>
      <c r="AF533" s="1127"/>
      <c r="AG533" s="547">
        <f t="shared" si="68"/>
        <v>2666.6666666666665</v>
      </c>
    </row>
    <row r="534" spans="1:33" ht="142.5" outlineLevel="2" thickTop="1">
      <c r="A534" s="2417">
        <v>6324</v>
      </c>
      <c r="B534" s="2663" t="s">
        <v>431</v>
      </c>
      <c r="C534" s="2667" t="s">
        <v>432</v>
      </c>
      <c r="D534" s="2284"/>
      <c r="E534" s="2417"/>
      <c r="F534" s="2707">
        <v>43255</v>
      </c>
      <c r="G534" s="2708">
        <v>43287</v>
      </c>
      <c r="H534" s="2548" t="s">
        <v>421</v>
      </c>
      <c r="I534" s="2417" t="s">
        <v>181</v>
      </c>
      <c r="J534" s="2420" t="s">
        <v>423</v>
      </c>
      <c r="K534" s="2284" t="s">
        <v>433</v>
      </c>
      <c r="L534" s="2417">
        <v>23174</v>
      </c>
      <c r="M534" s="2284"/>
      <c r="N534" s="2417"/>
      <c r="O534" s="2661">
        <v>3360</v>
      </c>
      <c r="P534" s="2662">
        <v>3</v>
      </c>
      <c r="Q534" s="2282">
        <f t="shared" si="66"/>
        <v>10080</v>
      </c>
      <c r="R534" s="2282"/>
      <c r="S534" s="299"/>
      <c r="T534" s="299"/>
      <c r="U534" s="2282"/>
      <c r="V534" s="2282">
        <v>6720</v>
      </c>
      <c r="W534" s="299">
        <v>3360</v>
      </c>
      <c r="X534" s="1142"/>
      <c r="Y534" s="1127"/>
      <c r="Z534" s="1127"/>
      <c r="AA534" s="1127"/>
      <c r="AB534" s="1127"/>
      <c r="AC534" s="1127"/>
      <c r="AD534" s="1127"/>
      <c r="AE534" s="1127"/>
      <c r="AF534" s="1127"/>
      <c r="AG534" s="547">
        <f t="shared" si="68"/>
        <v>10080</v>
      </c>
    </row>
    <row r="535" spans="1:33" ht="141.75" outlineLevel="2">
      <c r="A535" s="2417">
        <v>6324</v>
      </c>
      <c r="B535" s="2363" t="s">
        <v>431</v>
      </c>
      <c r="C535" s="2547" t="s">
        <v>432</v>
      </c>
      <c r="D535" s="2284"/>
      <c r="E535" s="2417"/>
      <c r="F535" s="2549">
        <v>43255</v>
      </c>
      <c r="G535" s="2549">
        <v>43287</v>
      </c>
      <c r="H535" s="2548" t="s">
        <v>421</v>
      </c>
      <c r="I535" s="2417" t="s">
        <v>181</v>
      </c>
      <c r="J535" s="2420" t="s">
        <v>423</v>
      </c>
      <c r="K535" s="2284" t="s">
        <v>434</v>
      </c>
      <c r="L535" s="2417">
        <v>23174</v>
      </c>
      <c r="M535" s="2284"/>
      <c r="N535" s="2417"/>
      <c r="O535" s="910">
        <v>3200</v>
      </c>
      <c r="P535" s="2417">
        <v>3</v>
      </c>
      <c r="Q535" s="299">
        <f t="shared" si="66"/>
        <v>9600</v>
      </c>
      <c r="R535" s="299"/>
      <c r="S535" s="299"/>
      <c r="T535" s="299"/>
      <c r="U535" s="299"/>
      <c r="V535" s="299">
        <v>6400</v>
      </c>
      <c r="W535" s="299">
        <v>3200</v>
      </c>
      <c r="X535" s="299"/>
      <c r="Y535" s="299"/>
      <c r="Z535" s="299"/>
      <c r="AA535" s="299"/>
      <c r="AB535" s="299"/>
      <c r="AC535" s="299"/>
      <c r="AD535" s="299"/>
      <c r="AE535" s="299"/>
      <c r="AF535" s="299"/>
      <c r="AG535" s="547">
        <f t="shared" si="68"/>
        <v>9600</v>
      </c>
    </row>
    <row r="536" spans="1:33" ht="141.75" outlineLevel="2">
      <c r="A536" s="2417">
        <v>6324</v>
      </c>
      <c r="B536" s="2363" t="s">
        <v>431</v>
      </c>
      <c r="C536" s="2547" t="s">
        <v>432</v>
      </c>
      <c r="D536" s="2284"/>
      <c r="E536" s="2417"/>
      <c r="F536" s="2549">
        <v>43255</v>
      </c>
      <c r="G536" s="2549">
        <v>43287</v>
      </c>
      <c r="H536" s="2548" t="s">
        <v>421</v>
      </c>
      <c r="I536" s="2417" t="s">
        <v>181</v>
      </c>
      <c r="J536" s="2420" t="s">
        <v>423</v>
      </c>
      <c r="K536" s="2284" t="s">
        <v>435</v>
      </c>
      <c r="L536" s="2417">
        <v>23174</v>
      </c>
      <c r="M536" s="2284"/>
      <c r="N536" s="2417"/>
      <c r="O536" s="910">
        <v>1333.3333333333333</v>
      </c>
      <c r="P536" s="2417">
        <v>3</v>
      </c>
      <c r="Q536" s="299">
        <f t="shared" si="66"/>
        <v>4000</v>
      </c>
      <c r="R536" s="299"/>
      <c r="S536" s="299"/>
      <c r="T536" s="299"/>
      <c r="U536" s="299"/>
      <c r="V536" s="299">
        <v>2666.6666666666665</v>
      </c>
      <c r="W536" s="299">
        <v>1333.3333333333333</v>
      </c>
      <c r="X536" s="299"/>
      <c r="Y536" s="299"/>
      <c r="Z536" s="299"/>
      <c r="AA536" s="299"/>
      <c r="AB536" s="299"/>
      <c r="AC536" s="299"/>
      <c r="AD536" s="299"/>
      <c r="AE536" s="299"/>
      <c r="AF536" s="299"/>
      <c r="AG536" s="547">
        <f t="shared" si="68"/>
        <v>4000</v>
      </c>
    </row>
    <row r="537" spans="1:33" s="1028" customFormat="1" ht="24.95" customHeight="1" outlineLevel="1">
      <c r="A537" s="2454"/>
      <c r="B537" s="2455"/>
      <c r="C537" s="2456"/>
      <c r="D537" s="2454"/>
      <c r="E537" s="2454"/>
      <c r="F537" s="2454"/>
      <c r="G537" s="2454"/>
      <c r="H537" s="2454"/>
      <c r="I537" s="2454"/>
      <c r="J537" s="2455"/>
      <c r="K537" s="2454"/>
      <c r="L537" s="2454" t="s">
        <v>1011</v>
      </c>
      <c r="M537" s="2454"/>
      <c r="N537" s="2454"/>
      <c r="O537" s="2294"/>
      <c r="P537" s="2454"/>
      <c r="Q537" s="2294">
        <f>SUBTOTAL(9,Q252:Q536)</f>
        <v>1325825.6641250001</v>
      </c>
      <c r="R537" s="2294"/>
      <c r="S537" s="2294">
        <f t="shared" ref="S537:AG537" si="69">SUBTOTAL(9,S252:S536)</f>
        <v>0</v>
      </c>
      <c r="T537" s="2294">
        <f t="shared" si="69"/>
        <v>125255.4</v>
      </c>
      <c r="U537" s="2294">
        <f t="shared" si="69"/>
        <v>392639.17187500006</v>
      </c>
      <c r="V537" s="2294">
        <f t="shared" si="69"/>
        <v>369678.19933333335</v>
      </c>
      <c r="W537" s="2294">
        <f t="shared" si="69"/>
        <v>219287.82287500001</v>
      </c>
      <c r="X537" s="2380">
        <f t="shared" si="69"/>
        <v>80986.810395833323</v>
      </c>
      <c r="Y537" s="2294">
        <f t="shared" si="69"/>
        <v>122250.2563125</v>
      </c>
      <c r="Z537" s="2294">
        <f t="shared" si="69"/>
        <v>6130.7333333333336</v>
      </c>
      <c r="AA537" s="2294">
        <f t="shared" si="69"/>
        <v>3040</v>
      </c>
      <c r="AB537" s="2294">
        <f t="shared" si="69"/>
        <v>0</v>
      </c>
      <c r="AC537" s="2294">
        <f t="shared" si="69"/>
        <v>0</v>
      </c>
      <c r="AD537" s="2294">
        <f t="shared" si="69"/>
        <v>6557.27</v>
      </c>
      <c r="AE537" s="2294">
        <f t="shared" si="69"/>
        <v>0</v>
      </c>
      <c r="AF537" s="2294">
        <f t="shared" si="69"/>
        <v>0</v>
      </c>
      <c r="AG537" s="2296">
        <f t="shared" si="69"/>
        <v>1325825.6641250001</v>
      </c>
    </row>
    <row r="538" spans="1:33" ht="31.5" outlineLevel="2">
      <c r="A538" s="2543">
        <v>4421</v>
      </c>
      <c r="B538" s="2542" t="s">
        <v>999</v>
      </c>
      <c r="C538" s="2542" t="s">
        <v>974</v>
      </c>
      <c r="D538" s="2542"/>
      <c r="E538" s="2354">
        <v>150</v>
      </c>
      <c r="F538" s="2542">
        <v>43221</v>
      </c>
      <c r="G538" s="2542">
        <f>F538+E538+2</f>
        <v>43373</v>
      </c>
      <c r="H538" s="2542"/>
      <c r="I538" s="2354" t="s">
        <v>169</v>
      </c>
      <c r="J538" s="2354"/>
      <c r="K538" s="2540" t="s">
        <v>1005</v>
      </c>
      <c r="L538" s="2541">
        <v>23175</v>
      </c>
      <c r="M538" s="2542"/>
      <c r="N538" s="2354"/>
      <c r="O538" s="2353">
        <v>1000</v>
      </c>
      <c r="P538" s="2420">
        <v>5</v>
      </c>
      <c r="Q538" s="485">
        <f>O538*P538</f>
        <v>5000</v>
      </c>
      <c r="R538" s="486"/>
      <c r="S538" s="485"/>
      <c r="T538" s="518"/>
      <c r="U538" s="2353">
        <v>1000</v>
      </c>
      <c r="V538" s="2353">
        <v>1000</v>
      </c>
      <c r="W538" s="2353">
        <v>1000</v>
      </c>
      <c r="X538" s="2345">
        <v>1000</v>
      </c>
      <c r="Y538" s="2346">
        <v>1000</v>
      </c>
      <c r="Z538" s="1164"/>
      <c r="AA538" s="1164"/>
      <c r="AB538" s="1164"/>
      <c r="AC538" s="1164"/>
      <c r="AD538" s="1164"/>
      <c r="AE538" s="1164"/>
      <c r="AF538" s="1164"/>
      <c r="AG538" s="547">
        <f>SUM(S538:AF538)</f>
        <v>5000</v>
      </c>
    </row>
    <row r="539" spans="1:33" s="1028" customFormat="1" ht="24.95" customHeight="1" outlineLevel="1">
      <c r="A539" s="2455"/>
      <c r="B539" s="2471"/>
      <c r="C539" s="2471"/>
      <c r="D539" s="2471"/>
      <c r="E539" s="2471"/>
      <c r="F539" s="2471"/>
      <c r="G539" s="2471"/>
      <c r="H539" s="2471"/>
      <c r="I539" s="2471"/>
      <c r="J539" s="2471"/>
      <c r="K539" s="2471"/>
      <c r="L539" s="2709" t="s">
        <v>1080</v>
      </c>
      <c r="M539" s="2471"/>
      <c r="N539" s="2471"/>
      <c r="O539" s="2347"/>
      <c r="P539" s="2455"/>
      <c r="Q539" s="2304">
        <f>SUBTOTAL(9,Q538:Q538)</f>
        <v>5000</v>
      </c>
      <c r="R539" s="2296"/>
      <c r="S539" s="2304">
        <f t="shared" ref="S539:AG539" si="70">SUBTOTAL(9,S538:S538)</f>
        <v>0</v>
      </c>
      <c r="T539" s="2294">
        <f t="shared" si="70"/>
        <v>0</v>
      </c>
      <c r="U539" s="2347">
        <f t="shared" si="70"/>
        <v>1000</v>
      </c>
      <c r="V539" s="2347">
        <f t="shared" si="70"/>
        <v>1000</v>
      </c>
      <c r="W539" s="2347">
        <f t="shared" si="70"/>
        <v>1000</v>
      </c>
      <c r="X539" s="2347">
        <f t="shared" si="70"/>
        <v>1000</v>
      </c>
      <c r="Y539" s="2347">
        <f t="shared" si="70"/>
        <v>1000</v>
      </c>
      <c r="Z539" s="2294">
        <f t="shared" si="70"/>
        <v>0</v>
      </c>
      <c r="AA539" s="2294">
        <f t="shared" si="70"/>
        <v>0</v>
      </c>
      <c r="AB539" s="2294">
        <f t="shared" si="70"/>
        <v>0</v>
      </c>
      <c r="AC539" s="2294">
        <f t="shared" si="70"/>
        <v>0</v>
      </c>
      <c r="AD539" s="2294">
        <f t="shared" si="70"/>
        <v>0</v>
      </c>
      <c r="AE539" s="2294">
        <f t="shared" si="70"/>
        <v>0</v>
      </c>
      <c r="AF539" s="2294">
        <f t="shared" si="70"/>
        <v>0</v>
      </c>
      <c r="AG539" s="2296">
        <f t="shared" si="70"/>
        <v>5000</v>
      </c>
    </row>
    <row r="540" spans="1:33" s="1028" customFormat="1" ht="24.95" customHeight="1">
      <c r="A540" s="2455"/>
      <c r="B540" s="2471"/>
      <c r="C540" s="2471"/>
      <c r="D540" s="2471"/>
      <c r="E540" s="2471"/>
      <c r="F540" s="2471"/>
      <c r="G540" s="2471"/>
      <c r="H540" s="2471"/>
      <c r="I540" s="2471"/>
      <c r="J540" s="2471"/>
      <c r="K540" s="2471"/>
      <c r="L540" s="2709" t="s">
        <v>1012</v>
      </c>
      <c r="M540" s="2471"/>
      <c r="N540" s="2471"/>
      <c r="O540" s="2347"/>
      <c r="P540" s="2455"/>
      <c r="Q540" s="2304">
        <f>SUBTOTAL(9,Q7:Q538)</f>
        <v>3000000.2165516671</v>
      </c>
      <c r="R540" s="2296"/>
      <c r="S540" s="2304">
        <f t="shared" ref="S540:AG540" si="71">SUBTOTAL(9,S7:S538)</f>
        <v>0</v>
      </c>
      <c r="T540" s="2294">
        <f t="shared" si="71"/>
        <v>528087.73300000001</v>
      </c>
      <c r="U540" s="2347">
        <f t="shared" si="71"/>
        <v>700099.02746833337</v>
      </c>
      <c r="V540" s="2347">
        <f t="shared" si="71"/>
        <v>722283.3158333333</v>
      </c>
      <c r="W540" s="2347">
        <f t="shared" si="71"/>
        <v>393363.10145833343</v>
      </c>
      <c r="X540" s="2347">
        <f t="shared" si="71"/>
        <v>321211.94487500004</v>
      </c>
      <c r="Y540" s="2347">
        <f t="shared" si="71"/>
        <v>276848.42725000001</v>
      </c>
      <c r="Z540" s="2294">
        <f t="shared" si="71"/>
        <v>34266.666666666664</v>
      </c>
      <c r="AA540" s="2294">
        <f t="shared" si="71"/>
        <v>11640</v>
      </c>
      <c r="AB540" s="2294">
        <f t="shared" si="71"/>
        <v>500</v>
      </c>
      <c r="AC540" s="2294">
        <f t="shared" si="71"/>
        <v>500</v>
      </c>
      <c r="AD540" s="2294">
        <f t="shared" si="71"/>
        <v>10200</v>
      </c>
      <c r="AE540" s="2294">
        <f t="shared" si="71"/>
        <v>500</v>
      </c>
      <c r="AF540" s="2294">
        <f t="shared" si="71"/>
        <v>500</v>
      </c>
      <c r="AG540" s="2296">
        <f t="shared" si="71"/>
        <v>3000000.2165516671</v>
      </c>
    </row>
    <row r="541" spans="1:33">
      <c r="AG541" s="344"/>
    </row>
  </sheetData>
  <sortState xmlns:xlrd2="http://schemas.microsoft.com/office/spreadsheetml/2017/richdata2" ref="A7:AG522">
    <sortCondition ref="L7:L522"/>
    <sortCondition ref="A7:A522"/>
  </sortState>
  <mergeCells count="4">
    <mergeCell ref="A2:AG2"/>
    <mergeCell ref="F5:G5"/>
    <mergeCell ref="I5:J5"/>
    <mergeCell ref="S5:Y5"/>
  </mergeCells>
  <conditionalFormatting sqref="F499 G512:G515">
    <cfRule type="cellIs" dxfId="313" priority="57" operator="lessThanOrEqual">
      <formula>0</formula>
    </cfRule>
  </conditionalFormatting>
  <conditionalFormatting sqref="G499">
    <cfRule type="cellIs" dxfId="312" priority="56" operator="lessThanOrEqual">
      <formula>0</formula>
    </cfRule>
  </conditionalFormatting>
  <conditionalFormatting sqref="G499">
    <cfRule type="cellIs" dxfId="311" priority="55" operator="lessThanOrEqual">
      <formula>0</formula>
    </cfRule>
  </conditionalFormatting>
  <conditionalFormatting sqref="F512">
    <cfRule type="cellIs" dxfId="310" priority="48" operator="lessThanOrEqual">
      <formula>0</formula>
    </cfRule>
  </conditionalFormatting>
  <conditionalFormatting sqref="F514">
    <cfRule type="cellIs" dxfId="309" priority="47" operator="lessThanOrEqual">
      <formula>0</formula>
    </cfRule>
  </conditionalFormatting>
  <conditionalFormatting sqref="F504">
    <cfRule type="cellIs" dxfId="308" priority="54" operator="lessThanOrEqual">
      <formula>0</formula>
    </cfRule>
  </conditionalFormatting>
  <conditionalFormatting sqref="F506">
    <cfRule type="cellIs" dxfId="307" priority="53" operator="lessThanOrEqual">
      <formula>0</formula>
    </cfRule>
  </conditionalFormatting>
  <conditionalFormatting sqref="F508">
    <cfRule type="cellIs" dxfId="306" priority="52" operator="lessThanOrEqual">
      <formula>0</formula>
    </cfRule>
  </conditionalFormatting>
  <conditionalFormatting sqref="F510">
    <cfRule type="cellIs" dxfId="305" priority="51" operator="lessThanOrEqual">
      <formula>0</formula>
    </cfRule>
  </conditionalFormatting>
  <conditionalFormatting sqref="F515">
    <cfRule type="cellIs" dxfId="304" priority="50" operator="lessThanOrEqual">
      <formula>0</formula>
    </cfRule>
  </conditionalFormatting>
  <conditionalFormatting sqref="F513">
    <cfRule type="cellIs" dxfId="303" priority="49" operator="lessThanOrEqual">
      <formula>0</formula>
    </cfRule>
  </conditionalFormatting>
  <conditionalFormatting sqref="F517">
    <cfRule type="cellIs" dxfId="302" priority="46" operator="lessThanOrEqual">
      <formula>0</formula>
    </cfRule>
  </conditionalFormatting>
  <conditionalFormatting sqref="F526">
    <cfRule type="cellIs" dxfId="301" priority="44" operator="lessThanOrEqual">
      <formula>0</formula>
    </cfRule>
  </conditionalFormatting>
  <conditionalFormatting sqref="F520">
    <cfRule type="cellIs" dxfId="300" priority="45" operator="lessThanOrEqual">
      <formula>0</formula>
    </cfRule>
  </conditionalFormatting>
  <conditionalFormatting sqref="F527">
    <cfRule type="cellIs" dxfId="299" priority="43" operator="lessThanOrEqual">
      <formula>0</formula>
    </cfRule>
  </conditionalFormatting>
  <conditionalFormatting sqref="F529">
    <cfRule type="cellIs" dxfId="298" priority="42" operator="lessThanOrEqual">
      <formula>0</formula>
    </cfRule>
  </conditionalFormatting>
  <conditionalFormatting sqref="F503">
    <cfRule type="cellIs" dxfId="297" priority="40" operator="lessThanOrEqual">
      <formula>0</formula>
    </cfRule>
  </conditionalFormatting>
  <conditionalFormatting sqref="F524">
    <cfRule type="cellIs" dxfId="296" priority="41" operator="lessThanOrEqual">
      <formula>0</formula>
    </cfRule>
  </conditionalFormatting>
  <conditionalFormatting sqref="G504">
    <cfRule type="cellIs" dxfId="295" priority="37" operator="lessThanOrEqual">
      <formula>0</formula>
    </cfRule>
  </conditionalFormatting>
  <conditionalFormatting sqref="G503">
    <cfRule type="cellIs" dxfId="294" priority="39" operator="lessThanOrEqual">
      <formula>0</formula>
    </cfRule>
  </conditionalFormatting>
  <conditionalFormatting sqref="G503">
    <cfRule type="cellIs" dxfId="293" priority="38" operator="lessThanOrEqual">
      <formula>0</formula>
    </cfRule>
  </conditionalFormatting>
  <conditionalFormatting sqref="G504">
    <cfRule type="cellIs" dxfId="292" priority="36" operator="lessThanOrEqual">
      <formula>0</formula>
    </cfRule>
  </conditionalFormatting>
  <conditionalFormatting sqref="F505">
    <cfRule type="cellIs" dxfId="291" priority="35" operator="lessThanOrEqual">
      <formula>0</formula>
    </cfRule>
  </conditionalFormatting>
  <conditionalFormatting sqref="G505">
    <cfRule type="cellIs" dxfId="290" priority="34" operator="lessThanOrEqual">
      <formula>0</formula>
    </cfRule>
  </conditionalFormatting>
  <conditionalFormatting sqref="G505">
    <cfRule type="cellIs" dxfId="289" priority="33" operator="lessThanOrEqual">
      <formula>0</formula>
    </cfRule>
  </conditionalFormatting>
  <conditionalFormatting sqref="G506">
    <cfRule type="cellIs" dxfId="288" priority="32" operator="lessThanOrEqual">
      <formula>0</formula>
    </cfRule>
  </conditionalFormatting>
  <conditionalFormatting sqref="G506">
    <cfRule type="cellIs" dxfId="287" priority="31" operator="lessThanOrEqual">
      <formula>0</formula>
    </cfRule>
  </conditionalFormatting>
  <conditionalFormatting sqref="G508">
    <cfRule type="cellIs" dxfId="286" priority="30" operator="lessThanOrEqual">
      <formula>0</formula>
    </cfRule>
  </conditionalFormatting>
  <conditionalFormatting sqref="G508">
    <cfRule type="cellIs" dxfId="285" priority="29" operator="lessThanOrEqual">
      <formula>0</formula>
    </cfRule>
  </conditionalFormatting>
  <conditionalFormatting sqref="G510">
    <cfRule type="cellIs" dxfId="284" priority="28" operator="lessThanOrEqual">
      <formula>0</formula>
    </cfRule>
  </conditionalFormatting>
  <conditionalFormatting sqref="G510">
    <cfRule type="cellIs" dxfId="283" priority="27" operator="lessThanOrEqual">
      <formula>0</formula>
    </cfRule>
  </conditionalFormatting>
  <conditionalFormatting sqref="G524">
    <cfRule type="cellIs" dxfId="282" priority="18" operator="lessThanOrEqual">
      <formula>0</formula>
    </cfRule>
  </conditionalFormatting>
  <conditionalFormatting sqref="G517">
    <cfRule type="cellIs" dxfId="281" priority="24" operator="lessThanOrEqual">
      <formula>0</formula>
    </cfRule>
  </conditionalFormatting>
  <conditionalFormatting sqref="F518:F519">
    <cfRule type="cellIs" dxfId="280" priority="23" operator="lessThanOrEqual">
      <formula>0</formula>
    </cfRule>
  </conditionalFormatting>
  <conditionalFormatting sqref="G518:G519">
    <cfRule type="cellIs" dxfId="279" priority="22" operator="lessThanOrEqual">
      <formula>0</formula>
    </cfRule>
  </conditionalFormatting>
  <conditionalFormatting sqref="G520">
    <cfRule type="cellIs" dxfId="278" priority="21" operator="lessThanOrEqual">
      <formula>0</formula>
    </cfRule>
  </conditionalFormatting>
  <conditionalFormatting sqref="F521:F522">
    <cfRule type="cellIs" dxfId="277" priority="20" operator="lessThanOrEqual">
      <formula>0</formula>
    </cfRule>
  </conditionalFormatting>
  <conditionalFormatting sqref="G521:G522">
    <cfRule type="cellIs" dxfId="276" priority="19" operator="lessThanOrEqual">
      <formula>0</formula>
    </cfRule>
  </conditionalFormatting>
  <conditionalFormatting sqref="G526:G527">
    <cfRule type="cellIs" dxfId="275" priority="17" operator="lessThanOrEqual">
      <formula>0</formula>
    </cfRule>
  </conditionalFormatting>
  <conditionalFormatting sqref="F530">
    <cfRule type="cellIs" dxfId="274" priority="15" operator="lessThanOrEqual">
      <formula>0</formula>
    </cfRule>
  </conditionalFormatting>
  <conditionalFormatting sqref="G529:G530">
    <cfRule type="cellIs" dxfId="273" priority="16" operator="lessThanOrEqual">
      <formula>0</formula>
    </cfRule>
  </conditionalFormatting>
  <conditionalFormatting sqref="F534">
    <cfRule type="cellIs" dxfId="272" priority="11" operator="lessThanOrEqual">
      <formula>0</formula>
    </cfRule>
  </conditionalFormatting>
  <conditionalFormatting sqref="F531:F533">
    <cfRule type="cellIs" dxfId="271" priority="14" operator="lessThanOrEqual">
      <formula>0</formula>
    </cfRule>
  </conditionalFormatting>
  <conditionalFormatting sqref="G534">
    <cfRule type="cellIs" dxfId="270" priority="12" operator="lessThanOrEqual">
      <formula>0</formula>
    </cfRule>
  </conditionalFormatting>
  <conditionalFormatting sqref="F500">
    <cfRule type="cellIs" dxfId="269" priority="8" operator="lessThanOrEqual">
      <formula>0</formula>
    </cfRule>
  </conditionalFormatting>
  <conditionalFormatting sqref="G531:G533">
    <cfRule type="cellIs" dxfId="268" priority="13" operator="lessThanOrEqual">
      <formula>0</formula>
    </cfRule>
  </conditionalFormatting>
  <conditionalFormatting sqref="F523">
    <cfRule type="cellIs" dxfId="267" priority="10" operator="lessThanOrEqual">
      <formula>0</formula>
    </cfRule>
  </conditionalFormatting>
  <conditionalFormatting sqref="G523">
    <cfRule type="cellIs" dxfId="266" priority="9" operator="lessThanOrEqual">
      <formula>0</formula>
    </cfRule>
  </conditionalFormatting>
  <conditionalFormatting sqref="G500">
    <cfRule type="cellIs" dxfId="265" priority="7" operator="lessThanOrEqual">
      <formula>0</formula>
    </cfRule>
  </conditionalFormatting>
  <conditionalFormatting sqref="G500">
    <cfRule type="cellIs" dxfId="264" priority="6" operator="lessThanOrEqual">
      <formula>0</formula>
    </cfRule>
  </conditionalFormatting>
  <conditionalFormatting sqref="F501">
    <cfRule type="cellIs" dxfId="263" priority="5" operator="lessThanOrEqual">
      <formula>0</formula>
    </cfRule>
  </conditionalFormatting>
  <conditionalFormatting sqref="G501">
    <cfRule type="cellIs" dxfId="262" priority="4" operator="lessThanOrEqual">
      <formula>0</formula>
    </cfRule>
  </conditionalFormatting>
  <conditionalFormatting sqref="G501">
    <cfRule type="cellIs" dxfId="261" priority="3" operator="lessThanOrEqual">
      <formula>0</formula>
    </cfRule>
  </conditionalFormatting>
  <conditionalFormatting sqref="F165:G165">
    <cfRule type="timePeriod" dxfId="260" priority="1" timePeriod="lastWeek">
      <formula>AND(TODAY()-ROUNDDOWN(F165,0)&gt;=(WEEKDAY(TODAY())),TODAY()-ROUNDDOWN(F165,0)&lt;(WEEKDAY(TODAY())+7))</formula>
    </cfRule>
    <cfRule type="timePeriod" dxfId="259" priority="2" timePeriod="lastWeek">
      <formula>AND(TODAY()-ROUNDDOWN(F165,0)&gt;=(WEEKDAY(TODAY())),TODAY()-ROUNDDOWN(F165,0)&lt;(WEEKDAY(TODAY())+7))</formula>
    </cfRule>
  </conditionalFormatting>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AH680"/>
  <sheetViews>
    <sheetView topLeftCell="A345" zoomScale="57" zoomScaleNormal="57" workbookViewId="0">
      <selection activeCell="A604" sqref="A604"/>
    </sheetView>
  </sheetViews>
  <sheetFormatPr baseColWidth="10" defaultColWidth="11.42578125" defaultRowHeight="15.75"/>
  <cols>
    <col min="1" max="1" width="9" style="341" bestFit="1" customWidth="1"/>
    <col min="2" max="2" width="57.28515625" style="991" customWidth="1"/>
    <col min="3" max="3" width="60.5703125" style="1095" customWidth="1"/>
    <col min="4" max="4" width="15.28515625" style="357" customWidth="1"/>
    <col min="5" max="5" width="18.7109375" style="341" customWidth="1"/>
    <col min="6" max="6" width="14.7109375" style="340" customWidth="1"/>
    <col min="7" max="7" width="16.28515625" style="340" bestFit="1" customWidth="1"/>
    <col min="8" max="8" width="39" style="340" customWidth="1"/>
    <col min="9" max="9" width="22.28515625" style="341" bestFit="1" customWidth="1"/>
    <col min="10" max="10" width="28.28515625" style="336" customWidth="1"/>
    <col min="11" max="11" width="44.7109375" style="357" hidden="1" customWidth="1"/>
    <col min="12" max="12" width="9.85546875" style="1246" hidden="1" customWidth="1"/>
    <col min="13" max="13" width="19" style="357" hidden="1" customWidth="1"/>
    <col min="14" max="14" width="33" style="341" hidden="1" customWidth="1"/>
    <col min="15" max="15" width="19.42578125" style="1018" hidden="1" customWidth="1"/>
    <col min="16" max="16" width="14.140625" style="341" hidden="1" customWidth="1"/>
    <col min="17" max="17" width="23.28515625" style="344" customWidth="1"/>
    <col min="18" max="18" width="18.85546875" style="344" customWidth="1"/>
    <col min="19" max="19" width="17.5703125" style="577" customWidth="1"/>
    <col min="20" max="20" width="19.85546875" style="577" bestFit="1" customWidth="1"/>
    <col min="21" max="24" width="20.5703125" style="577" bestFit="1" customWidth="1"/>
    <col min="25" max="25" width="18.42578125" style="577" customWidth="1"/>
    <col min="26" max="26" width="18" style="1019" customWidth="1"/>
    <col min="27" max="27" width="17.7109375" style="1019" customWidth="1"/>
    <col min="28" max="28" width="16.5703125" style="1019" bestFit="1" customWidth="1"/>
    <col min="29" max="29" width="14.28515625" style="357" bestFit="1" customWidth="1"/>
    <col min="30" max="30" width="18.28515625" style="357" customWidth="1"/>
    <col min="31" max="31" width="14.28515625" bestFit="1" customWidth="1"/>
    <col min="32" max="32" width="14.28515625" style="357" bestFit="1" customWidth="1"/>
    <col min="33" max="33" width="22.28515625" style="2366" bestFit="1" customWidth="1"/>
    <col min="34" max="34" width="15.85546875" style="357" customWidth="1"/>
    <col min="35" max="16384" width="11.42578125" style="357"/>
  </cols>
  <sheetData>
    <row r="1" spans="1:33">
      <c r="B1" s="991" t="s">
        <v>1109</v>
      </c>
    </row>
    <row r="2" spans="1:33" s="238" customFormat="1">
      <c r="A2" s="3407" t="s">
        <v>1108</v>
      </c>
      <c r="B2" s="3407"/>
      <c r="C2" s="235"/>
      <c r="D2" s="1250"/>
      <c r="E2" s="1249"/>
      <c r="F2" s="237"/>
      <c r="G2" s="237"/>
      <c r="H2" s="237"/>
      <c r="I2" s="237"/>
      <c r="J2" s="1486"/>
      <c r="L2" s="1228"/>
      <c r="N2" s="237"/>
      <c r="O2" s="239"/>
      <c r="P2" s="237"/>
      <c r="Q2" s="241"/>
      <c r="R2" s="241"/>
      <c r="S2" s="239"/>
      <c r="T2" s="239"/>
      <c r="U2" s="239"/>
      <c r="V2" s="239"/>
      <c r="W2" s="239"/>
      <c r="X2" s="239"/>
      <c r="Y2" s="239"/>
      <c r="Z2" s="242"/>
      <c r="AA2" s="242"/>
      <c r="AB2" s="242"/>
      <c r="AG2" s="2318"/>
    </row>
    <row r="3" spans="1:33" s="238" customFormat="1">
      <c r="A3" s="1249"/>
      <c r="B3" s="235"/>
      <c r="C3" s="235"/>
      <c r="D3" s="1250"/>
      <c r="E3" s="1249"/>
      <c r="F3" s="237"/>
      <c r="G3" s="237"/>
      <c r="H3" s="237"/>
      <c r="I3" s="237"/>
      <c r="J3" s="1486"/>
      <c r="L3" s="1228"/>
      <c r="N3" s="237"/>
      <c r="O3" s="239"/>
      <c r="P3" s="237"/>
      <c r="Q3" s="241"/>
      <c r="R3" s="241"/>
      <c r="S3" s="239"/>
      <c r="T3" s="239"/>
      <c r="U3" s="239"/>
      <c r="V3" s="239"/>
      <c r="W3" s="239"/>
      <c r="X3" s="239"/>
      <c r="Y3" s="239"/>
      <c r="Z3" s="242"/>
      <c r="AA3" s="242"/>
      <c r="AB3" s="242"/>
      <c r="AG3" s="2318"/>
    </row>
    <row r="4" spans="1:33" s="238" customFormat="1" ht="31.5" customHeight="1">
      <c r="A4" s="3010" t="s">
        <v>202</v>
      </c>
      <c r="B4" s="3010"/>
      <c r="C4" s="3010"/>
      <c r="D4" s="3010"/>
      <c r="E4" s="3010"/>
      <c r="F4" s="3010"/>
      <c r="G4" s="3010"/>
      <c r="H4" s="3010"/>
      <c r="I4" s="3010"/>
      <c r="J4" s="3010"/>
      <c r="K4" s="3010"/>
      <c r="L4" s="3010"/>
      <c r="M4" s="3010"/>
      <c r="N4" s="3010"/>
      <c r="O4" s="3010"/>
      <c r="P4" s="3010"/>
      <c r="Q4" s="3010"/>
      <c r="R4" s="3010"/>
      <c r="S4" s="3010"/>
      <c r="T4" s="3010"/>
      <c r="U4" s="3010"/>
      <c r="V4" s="3010"/>
      <c r="W4" s="3010"/>
      <c r="X4" s="3010"/>
      <c r="Y4" s="3010"/>
      <c r="Z4" s="3010"/>
      <c r="AA4" s="3010"/>
      <c r="AB4" s="3010"/>
      <c r="AC4" s="3010"/>
      <c r="AD4" s="3010"/>
      <c r="AE4" s="3010"/>
      <c r="AF4" s="3010"/>
      <c r="AG4" s="3010"/>
    </row>
    <row r="5" spans="1:33" s="249" customFormat="1" ht="15.75" customHeight="1">
      <c r="A5" s="1252"/>
      <c r="B5" s="244"/>
      <c r="C5" s="1020"/>
      <c r="D5" s="1251"/>
      <c r="E5" s="1252"/>
      <c r="F5" s="1252"/>
      <c r="G5" s="1252"/>
      <c r="H5" s="1251"/>
      <c r="I5" s="1252"/>
      <c r="J5" s="245"/>
      <c r="K5" s="1253"/>
      <c r="L5" s="1254"/>
      <c r="M5" s="1251"/>
      <c r="N5" s="1252"/>
      <c r="O5" s="1255"/>
      <c r="P5" s="1252"/>
      <c r="Q5" s="1257"/>
      <c r="R5" s="1257"/>
      <c r="S5" s="1251"/>
      <c r="T5" s="1251"/>
      <c r="U5" s="1251"/>
      <c r="V5" s="1251"/>
      <c r="Z5" s="250"/>
      <c r="AA5" s="250"/>
      <c r="AB5" s="250"/>
      <c r="AG5" s="2321"/>
    </row>
    <row r="6" spans="1:33" s="255" customFormat="1" ht="15">
      <c r="A6" s="1258"/>
      <c r="B6" s="252"/>
      <c r="C6" s="252"/>
      <c r="D6" s="1259"/>
      <c r="E6" s="1258"/>
      <c r="F6" s="254"/>
      <c r="G6" s="254"/>
      <c r="H6" s="254"/>
      <c r="I6" s="254"/>
      <c r="J6" s="1487"/>
      <c r="L6" s="1229"/>
      <c r="N6" s="254"/>
      <c r="O6" s="256"/>
      <c r="P6" s="254"/>
      <c r="Q6" s="258"/>
      <c r="R6" s="258"/>
      <c r="S6" s="256"/>
      <c r="T6" s="256"/>
      <c r="U6" s="256"/>
      <c r="V6" s="256"/>
      <c r="W6" s="256"/>
      <c r="X6" s="256"/>
      <c r="Y6" s="256"/>
      <c r="Z6" s="259"/>
      <c r="AA6" s="259"/>
      <c r="AB6" s="259"/>
      <c r="AG6" s="2325"/>
    </row>
    <row r="7" spans="1:33" s="238" customFormat="1" ht="34.5" customHeight="1">
      <c r="A7" s="1523"/>
      <c r="B7" s="1494"/>
      <c r="C7" s="1494"/>
      <c r="D7" s="1259"/>
      <c r="E7" s="1258"/>
      <c r="F7" s="3396" t="s">
        <v>208</v>
      </c>
      <c r="G7" s="3396"/>
      <c r="H7" s="1483"/>
      <c r="I7" s="3397" t="s">
        <v>210</v>
      </c>
      <c r="J7" s="3398"/>
      <c r="Q7" s="2297"/>
      <c r="R7" s="2297"/>
      <c r="S7" s="3392" t="s">
        <v>219</v>
      </c>
      <c r="T7" s="3393"/>
      <c r="U7" s="3393"/>
      <c r="V7" s="3393"/>
      <c r="W7" s="3393"/>
      <c r="X7" s="3393"/>
      <c r="Y7" s="3394"/>
      <c r="Z7" s="243"/>
      <c r="AA7" s="243"/>
      <c r="AB7" s="243"/>
      <c r="AG7" s="2297"/>
    </row>
    <row r="8" spans="1:33" s="237" customFormat="1" ht="60" customHeight="1">
      <c r="A8" s="1453" t="s">
        <v>203</v>
      </c>
      <c r="B8" s="1458" t="s">
        <v>204</v>
      </c>
      <c r="C8" s="1458" t="s">
        <v>205</v>
      </c>
      <c r="D8" s="1610" t="s">
        <v>206</v>
      </c>
      <c r="E8" s="1611" t="s">
        <v>207</v>
      </c>
      <c r="F8" s="1260" t="s">
        <v>220</v>
      </c>
      <c r="G8" s="261" t="s">
        <v>221</v>
      </c>
      <c r="H8" s="1612" t="s">
        <v>209</v>
      </c>
      <c r="I8" s="262" t="s">
        <v>222</v>
      </c>
      <c r="J8" s="262" t="s">
        <v>288</v>
      </c>
      <c r="K8" s="1454" t="s">
        <v>211</v>
      </c>
      <c r="L8" s="1453" t="s">
        <v>212</v>
      </c>
      <c r="M8" s="1457" t="s">
        <v>213</v>
      </c>
      <c r="N8" s="1457" t="s">
        <v>214</v>
      </c>
      <c r="O8" s="1613" t="s">
        <v>215</v>
      </c>
      <c r="P8" s="1454" t="s">
        <v>216</v>
      </c>
      <c r="Q8" s="2802" t="s">
        <v>286</v>
      </c>
      <c r="R8" s="1485" t="s">
        <v>287</v>
      </c>
      <c r="S8" s="263" t="s">
        <v>224</v>
      </c>
      <c r="T8" s="263" t="s">
        <v>225</v>
      </c>
      <c r="U8" s="263" t="s">
        <v>226</v>
      </c>
      <c r="V8" s="263" t="s">
        <v>227</v>
      </c>
      <c r="W8" s="263" t="s">
        <v>228</v>
      </c>
      <c r="X8" s="263" t="s">
        <v>229</v>
      </c>
      <c r="Y8" s="263" t="s">
        <v>230</v>
      </c>
      <c r="Z8" s="264" t="s">
        <v>289</v>
      </c>
      <c r="AA8" s="264" t="s">
        <v>290</v>
      </c>
      <c r="AB8" s="264" t="s">
        <v>291</v>
      </c>
      <c r="AC8" s="264" t="s">
        <v>975</v>
      </c>
      <c r="AD8" s="264" t="s">
        <v>976</v>
      </c>
      <c r="AE8" s="264" t="s">
        <v>224</v>
      </c>
      <c r="AF8" s="264" t="s">
        <v>225</v>
      </c>
      <c r="AG8" s="2408" t="s">
        <v>41</v>
      </c>
    </row>
    <row r="9" spans="1:33" ht="33.75" customHeight="1">
      <c r="A9" s="1815" t="s">
        <v>231</v>
      </c>
      <c r="B9" s="1816"/>
      <c r="C9" s="1816"/>
      <c r="D9" s="1815"/>
      <c r="E9" s="1815"/>
      <c r="F9" s="1815"/>
      <c r="G9" s="1815"/>
      <c r="H9" s="1815"/>
      <c r="I9" s="1815"/>
      <c r="J9" s="835"/>
      <c r="K9" s="1815"/>
      <c r="L9" s="1817"/>
      <c r="M9" s="1818"/>
      <c r="N9" s="1819"/>
      <c r="O9" s="1820"/>
      <c r="P9" s="1819"/>
      <c r="Q9" s="1822">
        <f>+Q10+Q97</f>
        <v>449060.34300000005</v>
      </c>
      <c r="R9" s="1822">
        <f>+'[2]Compil Costing PPA 3 millions'!F5</f>
        <v>449500</v>
      </c>
      <c r="S9" s="1821">
        <f t="shared" ref="S9:AF9" si="0">+S10+S97</f>
        <v>0</v>
      </c>
      <c r="T9" s="1821">
        <f t="shared" si="0"/>
        <v>90453.066333333336</v>
      </c>
      <c r="U9" s="1821">
        <f t="shared" si="0"/>
        <v>77449.332666666669</v>
      </c>
      <c r="V9" s="1821">
        <f t="shared" si="0"/>
        <v>162495.72499999998</v>
      </c>
      <c r="W9" s="1821">
        <f t="shared" si="0"/>
        <v>83069.552333333326</v>
      </c>
      <c r="X9" s="1821">
        <f t="shared" si="0"/>
        <v>11161.666666666668</v>
      </c>
      <c r="Y9" s="1821">
        <f t="shared" si="0"/>
        <v>24431</v>
      </c>
      <c r="Z9" s="1821">
        <f t="shared" si="0"/>
        <v>0</v>
      </c>
      <c r="AA9" s="1821">
        <f t="shared" si="0"/>
        <v>0</v>
      </c>
      <c r="AB9" s="1821">
        <f t="shared" si="0"/>
        <v>0</v>
      </c>
      <c r="AC9" s="1821">
        <f t="shared" si="0"/>
        <v>0</v>
      </c>
      <c r="AD9" s="1821">
        <f t="shared" si="0"/>
        <v>0</v>
      </c>
      <c r="AE9" s="1821">
        <f t="shared" si="0"/>
        <v>0</v>
      </c>
      <c r="AF9" s="1821">
        <f t="shared" si="0"/>
        <v>0</v>
      </c>
      <c r="AG9" s="1822">
        <f>+AG10+AG97</f>
        <v>449060.34299999999</v>
      </c>
    </row>
    <row r="10" spans="1:33" ht="37.5" customHeight="1">
      <c r="A10" s="1248" t="s">
        <v>232</v>
      </c>
      <c r="B10" s="278"/>
      <c r="C10" s="278"/>
      <c r="D10" s="1248"/>
      <c r="E10" s="1248"/>
      <c r="F10" s="1248"/>
      <c r="G10" s="1248"/>
      <c r="H10" s="1248"/>
      <c r="I10" s="1248"/>
      <c r="J10" s="273"/>
      <c r="K10" s="1248"/>
      <c r="L10" s="1269"/>
      <c r="M10" s="1270"/>
      <c r="N10" s="1268"/>
      <c r="O10" s="1271"/>
      <c r="P10" s="1268"/>
      <c r="Q10" s="1273">
        <f>Q11</f>
        <v>134501.66666666669</v>
      </c>
      <c r="R10" s="1273">
        <f>R11</f>
        <v>0</v>
      </c>
      <c r="S10" s="1272">
        <f t="shared" ref="S10:AF10" si="1">S11</f>
        <v>0</v>
      </c>
      <c r="T10" s="1272">
        <f t="shared" si="1"/>
        <v>12036.666666666666</v>
      </c>
      <c r="U10" s="1272">
        <f t="shared" si="1"/>
        <v>30715.333333333332</v>
      </c>
      <c r="V10" s="1272">
        <f t="shared" si="1"/>
        <v>50562</v>
      </c>
      <c r="W10" s="1272">
        <f t="shared" si="1"/>
        <v>37168</v>
      </c>
      <c r="X10" s="1272">
        <f t="shared" si="1"/>
        <v>4019.666666666667</v>
      </c>
      <c r="Y10" s="1272">
        <f t="shared" si="1"/>
        <v>0</v>
      </c>
      <c r="Z10" s="1272">
        <f t="shared" si="1"/>
        <v>0</v>
      </c>
      <c r="AA10" s="1272">
        <f t="shared" si="1"/>
        <v>0</v>
      </c>
      <c r="AB10" s="1272">
        <f t="shared" si="1"/>
        <v>0</v>
      </c>
      <c r="AC10" s="1272">
        <f t="shared" si="1"/>
        <v>0</v>
      </c>
      <c r="AD10" s="1272">
        <f t="shared" si="1"/>
        <v>0</v>
      </c>
      <c r="AE10" s="1272">
        <f t="shared" si="1"/>
        <v>0</v>
      </c>
      <c r="AF10" s="1272">
        <f t="shared" si="1"/>
        <v>0</v>
      </c>
      <c r="AG10" s="1273">
        <f>AG11</f>
        <v>134501.66666666666</v>
      </c>
    </row>
    <row r="11" spans="1:33" ht="31.5">
      <c r="A11" s="1275">
        <v>111</v>
      </c>
      <c r="B11" s="1465" t="s">
        <v>619</v>
      </c>
      <c r="C11" s="1496" t="s">
        <v>1103</v>
      </c>
      <c r="D11" s="1276"/>
      <c r="E11" s="1276"/>
      <c r="F11" s="1276"/>
      <c r="G11" s="1276"/>
      <c r="H11" s="1276"/>
      <c r="I11" s="1276"/>
      <c r="J11" s="283"/>
      <c r="K11" s="1278"/>
      <c r="L11" s="1279"/>
      <c r="M11" s="1280"/>
      <c r="N11" s="1277"/>
      <c r="O11" s="1281"/>
      <c r="P11" s="1277"/>
      <c r="Q11" s="547">
        <v>134501.66666666669</v>
      </c>
      <c r="R11" s="287"/>
      <c r="S11" s="1282">
        <f t="shared" ref="S11:AF11" si="2">SUM(S13:S96)</f>
        <v>0</v>
      </c>
      <c r="T11" s="1282">
        <f>SUM(T13:T96)</f>
        <v>12036.666666666666</v>
      </c>
      <c r="U11" s="1282">
        <f>SUM(U13:U96)</f>
        <v>30715.333333333332</v>
      </c>
      <c r="V11" s="1282">
        <f t="shared" si="2"/>
        <v>50562</v>
      </c>
      <c r="W11" s="1282">
        <f t="shared" si="2"/>
        <v>37168</v>
      </c>
      <c r="X11" s="1282">
        <f t="shared" si="2"/>
        <v>4019.666666666667</v>
      </c>
      <c r="Y11" s="1282">
        <f t="shared" si="2"/>
        <v>0</v>
      </c>
      <c r="Z11" s="1282">
        <f t="shared" si="2"/>
        <v>0</v>
      </c>
      <c r="AA11" s="1282">
        <f t="shared" si="2"/>
        <v>0</v>
      </c>
      <c r="AB11" s="1282">
        <f t="shared" si="2"/>
        <v>0</v>
      </c>
      <c r="AC11" s="1282">
        <f t="shared" si="2"/>
        <v>0</v>
      </c>
      <c r="AD11" s="1282">
        <f t="shared" si="2"/>
        <v>0</v>
      </c>
      <c r="AE11" s="1282">
        <f t="shared" si="2"/>
        <v>0</v>
      </c>
      <c r="AF11" s="1282">
        <f t="shared" si="2"/>
        <v>0</v>
      </c>
      <c r="AG11" s="547">
        <f>SUM(S11:AF11)</f>
        <v>134501.66666666666</v>
      </c>
    </row>
    <row r="12" spans="1:33" ht="78.75">
      <c r="A12" s="2745">
        <v>1111</v>
      </c>
      <c r="B12" s="2746" t="s">
        <v>620</v>
      </c>
      <c r="C12" s="2747" t="s">
        <v>621</v>
      </c>
      <c r="D12" s="2732"/>
      <c r="E12" s="2749">
        <v>5</v>
      </c>
      <c r="F12" s="2750">
        <v>43206</v>
      </c>
      <c r="G12" s="2750">
        <f>F12+E12-1</f>
        <v>43210</v>
      </c>
      <c r="H12" s="2751" t="s">
        <v>622</v>
      </c>
      <c r="I12" s="2749" t="s">
        <v>170</v>
      </c>
      <c r="J12" s="2752" t="s">
        <v>623</v>
      </c>
      <c r="K12" s="1705"/>
      <c r="L12" s="2735"/>
      <c r="M12" s="2736"/>
      <c r="N12" s="2737"/>
      <c r="O12" s="2738"/>
      <c r="P12" s="2737"/>
      <c r="Q12" s="2804">
        <f>SUM(Q13:Q24)</f>
        <v>3979.3333333333335</v>
      </c>
      <c r="R12" s="1133"/>
      <c r="S12" s="1343"/>
      <c r="T12" s="1343"/>
      <c r="U12" s="1343"/>
      <c r="V12" s="1343"/>
      <c r="W12" s="1343"/>
      <c r="X12" s="2733"/>
      <c r="Y12" s="1343"/>
      <c r="Z12" s="1343"/>
      <c r="AA12" s="1343"/>
      <c r="AB12" s="1343"/>
      <c r="AC12" s="1343"/>
      <c r="AD12" s="1343"/>
      <c r="AE12" s="1343"/>
      <c r="AF12" s="1343"/>
      <c r="AG12" s="2355"/>
    </row>
    <row r="13" spans="1:33" ht="116.25" hidden="1" customHeight="1">
      <c r="A13" s="2745">
        <v>1111</v>
      </c>
      <c r="B13" s="2744" t="s">
        <v>620</v>
      </c>
      <c r="C13" s="1073" t="s">
        <v>621</v>
      </c>
      <c r="D13" s="1292"/>
      <c r="E13" s="1293">
        <v>5</v>
      </c>
      <c r="F13" s="1294">
        <v>43206</v>
      </c>
      <c r="G13" s="1294">
        <f t="shared" ref="G13:G80" si="3">F13+E13-1</f>
        <v>43210</v>
      </c>
      <c r="H13" s="1292" t="s">
        <v>622</v>
      </c>
      <c r="I13" s="1293" t="s">
        <v>170</v>
      </c>
      <c r="J13" s="643" t="s">
        <v>623</v>
      </c>
      <c r="K13" s="1292" t="s">
        <v>624</v>
      </c>
      <c r="L13" s="1231">
        <v>23174</v>
      </c>
      <c r="M13" s="1292"/>
      <c r="N13" s="1292"/>
      <c r="O13" s="647">
        <v>84</v>
      </c>
      <c r="P13" s="1292">
        <v>1</v>
      </c>
      <c r="Q13" s="2381">
        <f>O13*P13</f>
        <v>84</v>
      </c>
      <c r="R13" s="956"/>
      <c r="S13" s="954"/>
      <c r="T13" s="1823">
        <v>84</v>
      </c>
      <c r="U13" s="954"/>
      <c r="V13" s="954"/>
      <c r="W13" s="954"/>
      <c r="X13" s="1166"/>
      <c r="Y13" s="1144"/>
      <c r="Z13" s="1124"/>
      <c r="AA13" s="1124"/>
      <c r="AB13" s="1124"/>
      <c r="AC13" s="1124"/>
      <c r="AD13" s="1124"/>
      <c r="AE13" s="1124"/>
      <c r="AF13" s="1124"/>
      <c r="AG13" s="547">
        <f t="shared" ref="AG13:AG80" si="4">SUM(S13:AF13)</f>
        <v>84</v>
      </c>
    </row>
    <row r="14" spans="1:33" ht="116.25" hidden="1" customHeight="1">
      <c r="A14" s="2745">
        <v>1111</v>
      </c>
      <c r="B14" s="2744" t="s">
        <v>620</v>
      </c>
      <c r="C14" s="1073" t="s">
        <v>621</v>
      </c>
      <c r="D14" s="1292"/>
      <c r="E14" s="1293">
        <v>5</v>
      </c>
      <c r="F14" s="1294">
        <v>43206</v>
      </c>
      <c r="G14" s="1294">
        <f t="shared" si="3"/>
        <v>43210</v>
      </c>
      <c r="H14" s="1292" t="s">
        <v>622</v>
      </c>
      <c r="I14" s="1293" t="s">
        <v>170</v>
      </c>
      <c r="J14" s="643" t="s">
        <v>623</v>
      </c>
      <c r="K14" s="1292" t="s">
        <v>626</v>
      </c>
      <c r="L14" s="1231">
        <v>23174</v>
      </c>
      <c r="M14" s="1292"/>
      <c r="N14" s="1292"/>
      <c r="O14" s="647">
        <v>93.333333333333343</v>
      </c>
      <c r="P14" s="1292">
        <v>1</v>
      </c>
      <c r="Q14" s="2381">
        <f t="shared" ref="Q14:Q81" si="5">O14*P14</f>
        <v>93.333333333333343</v>
      </c>
      <c r="R14" s="956"/>
      <c r="S14" s="954"/>
      <c r="T14" s="1823">
        <v>93.333333333333343</v>
      </c>
      <c r="U14" s="954"/>
      <c r="V14" s="954"/>
      <c r="W14" s="954"/>
      <c r="X14" s="1166"/>
      <c r="Y14" s="1144"/>
      <c r="Z14" s="1124"/>
      <c r="AA14" s="1124"/>
      <c r="AB14" s="1124"/>
      <c r="AC14" s="1124"/>
      <c r="AD14" s="1124"/>
      <c r="AE14" s="1124"/>
      <c r="AF14" s="1124"/>
      <c r="AG14" s="547">
        <f t="shared" si="4"/>
        <v>93.333333333333343</v>
      </c>
    </row>
    <row r="15" spans="1:33" ht="116.25" hidden="1" customHeight="1">
      <c r="A15" s="2745">
        <v>1111</v>
      </c>
      <c r="B15" s="2744" t="s">
        <v>620</v>
      </c>
      <c r="C15" s="1073" t="s">
        <v>621</v>
      </c>
      <c r="D15" s="1292"/>
      <c r="E15" s="1293">
        <v>5</v>
      </c>
      <c r="F15" s="1294">
        <v>43206</v>
      </c>
      <c r="G15" s="1294">
        <f t="shared" si="3"/>
        <v>43210</v>
      </c>
      <c r="H15" s="1292" t="s">
        <v>622</v>
      </c>
      <c r="I15" s="1293" t="s">
        <v>170</v>
      </c>
      <c r="J15" s="643" t="s">
        <v>623</v>
      </c>
      <c r="K15" s="1292" t="s">
        <v>627</v>
      </c>
      <c r="L15" s="1231">
        <v>23174</v>
      </c>
      <c r="M15" s="1292"/>
      <c r="N15" s="1292"/>
      <c r="O15" s="647">
        <v>70</v>
      </c>
      <c r="P15" s="1292">
        <v>1</v>
      </c>
      <c r="Q15" s="2381">
        <f t="shared" si="5"/>
        <v>70</v>
      </c>
      <c r="R15" s="956"/>
      <c r="S15" s="954"/>
      <c r="T15" s="1823">
        <v>70</v>
      </c>
      <c r="U15" s="954"/>
      <c r="V15" s="954"/>
      <c r="W15" s="954"/>
      <c r="X15" s="1166"/>
      <c r="Y15" s="1144"/>
      <c r="Z15" s="1124"/>
      <c r="AA15" s="1124"/>
      <c r="AB15" s="1124"/>
      <c r="AC15" s="1124"/>
      <c r="AD15" s="1124"/>
      <c r="AE15" s="1124"/>
      <c r="AF15" s="1124"/>
      <c r="AG15" s="547">
        <f t="shared" si="4"/>
        <v>70</v>
      </c>
    </row>
    <row r="16" spans="1:33" ht="116.25" hidden="1" customHeight="1">
      <c r="A16" s="2745">
        <v>1111</v>
      </c>
      <c r="B16" s="2744" t="s">
        <v>620</v>
      </c>
      <c r="C16" s="1073" t="s">
        <v>621</v>
      </c>
      <c r="D16" s="1292"/>
      <c r="E16" s="1293">
        <v>5</v>
      </c>
      <c r="F16" s="1294">
        <v>43206</v>
      </c>
      <c r="G16" s="1294">
        <f t="shared" si="3"/>
        <v>43210</v>
      </c>
      <c r="H16" s="1292" t="s">
        <v>622</v>
      </c>
      <c r="I16" s="1293" t="s">
        <v>170</v>
      </c>
      <c r="J16" s="643" t="s">
        <v>623</v>
      </c>
      <c r="K16" s="1292" t="s">
        <v>628</v>
      </c>
      <c r="L16" s="1231">
        <v>23174</v>
      </c>
      <c r="M16" s="1292"/>
      <c r="N16" s="1292"/>
      <c r="O16" s="647">
        <v>46.666666666666671</v>
      </c>
      <c r="P16" s="1292">
        <v>1</v>
      </c>
      <c r="Q16" s="2381">
        <f t="shared" si="5"/>
        <v>46.666666666666671</v>
      </c>
      <c r="R16" s="956"/>
      <c r="S16" s="954"/>
      <c r="T16" s="1823">
        <v>46.666666666666671</v>
      </c>
      <c r="U16" s="954"/>
      <c r="V16" s="954"/>
      <c r="W16" s="954"/>
      <c r="X16" s="1166"/>
      <c r="Y16" s="1144"/>
      <c r="Z16" s="1124"/>
      <c r="AA16" s="1124"/>
      <c r="AB16" s="1124"/>
      <c r="AC16" s="1124"/>
      <c r="AD16" s="1124"/>
      <c r="AE16" s="1124"/>
      <c r="AF16" s="1124"/>
      <c r="AG16" s="547">
        <f t="shared" si="4"/>
        <v>46.666666666666671</v>
      </c>
    </row>
    <row r="17" spans="1:33" ht="116.25" hidden="1" customHeight="1">
      <c r="A17" s="2745">
        <v>1111</v>
      </c>
      <c r="B17" s="2744" t="s">
        <v>620</v>
      </c>
      <c r="C17" s="1073" t="s">
        <v>621</v>
      </c>
      <c r="D17" s="1292"/>
      <c r="E17" s="1293">
        <v>5</v>
      </c>
      <c r="F17" s="1294">
        <v>43206</v>
      </c>
      <c r="G17" s="1294">
        <f t="shared" si="3"/>
        <v>43210</v>
      </c>
      <c r="H17" s="1292" t="s">
        <v>622</v>
      </c>
      <c r="I17" s="1293" t="s">
        <v>170</v>
      </c>
      <c r="J17" s="643" t="s">
        <v>623</v>
      </c>
      <c r="K17" s="1292" t="s">
        <v>629</v>
      </c>
      <c r="L17" s="1231">
        <v>23174</v>
      </c>
      <c r="M17" s="1292"/>
      <c r="N17" s="1292"/>
      <c r="O17" s="647">
        <v>336</v>
      </c>
      <c r="P17" s="1292">
        <v>1</v>
      </c>
      <c r="Q17" s="2381">
        <f t="shared" si="5"/>
        <v>336</v>
      </c>
      <c r="R17" s="956"/>
      <c r="S17" s="954"/>
      <c r="T17" s="1823">
        <v>336</v>
      </c>
      <c r="U17" s="954"/>
      <c r="V17" s="954"/>
      <c r="W17" s="954"/>
      <c r="X17" s="1166"/>
      <c r="Y17" s="1144"/>
      <c r="Z17" s="1124"/>
      <c r="AA17" s="1124"/>
      <c r="AB17" s="1124"/>
      <c r="AC17" s="1124"/>
      <c r="AD17" s="1124"/>
      <c r="AE17" s="1124"/>
      <c r="AF17" s="1124"/>
      <c r="AG17" s="547">
        <f t="shared" si="4"/>
        <v>336</v>
      </c>
    </row>
    <row r="18" spans="1:33" ht="116.25" hidden="1" customHeight="1">
      <c r="A18" s="2745">
        <v>1111</v>
      </c>
      <c r="B18" s="2744" t="s">
        <v>620</v>
      </c>
      <c r="C18" s="1073" t="s">
        <v>621</v>
      </c>
      <c r="D18" s="1292"/>
      <c r="E18" s="1293">
        <v>5</v>
      </c>
      <c r="F18" s="1294">
        <v>43206</v>
      </c>
      <c r="G18" s="1294">
        <f t="shared" si="3"/>
        <v>43210</v>
      </c>
      <c r="H18" s="1292" t="s">
        <v>622</v>
      </c>
      <c r="I18" s="1293" t="s">
        <v>170</v>
      </c>
      <c r="J18" s="643" t="s">
        <v>623</v>
      </c>
      <c r="K18" s="1292" t="s">
        <v>630</v>
      </c>
      <c r="L18" s="1231">
        <v>23174</v>
      </c>
      <c r="M18" s="1292"/>
      <c r="N18" s="1292"/>
      <c r="O18" s="647">
        <v>373.33333333333337</v>
      </c>
      <c r="P18" s="1292">
        <v>1</v>
      </c>
      <c r="Q18" s="2381">
        <f t="shared" si="5"/>
        <v>373.33333333333337</v>
      </c>
      <c r="R18" s="956"/>
      <c r="S18" s="954"/>
      <c r="T18" s="1823">
        <v>373.33333333333337</v>
      </c>
      <c r="U18" s="954"/>
      <c r="V18" s="954"/>
      <c r="W18" s="954"/>
      <c r="X18" s="1166"/>
      <c r="Y18" s="1144"/>
      <c r="Z18" s="1124"/>
      <c r="AA18" s="1124"/>
      <c r="AB18" s="1124"/>
      <c r="AC18" s="1124"/>
      <c r="AD18" s="1124"/>
      <c r="AE18" s="1124"/>
      <c r="AF18" s="1124"/>
      <c r="AG18" s="547">
        <f t="shared" si="4"/>
        <v>373.33333333333337</v>
      </c>
    </row>
    <row r="19" spans="1:33" ht="116.25" hidden="1" customHeight="1">
      <c r="A19" s="2745">
        <v>1111</v>
      </c>
      <c r="B19" s="2744" t="s">
        <v>620</v>
      </c>
      <c r="C19" s="1073" t="s">
        <v>621</v>
      </c>
      <c r="D19" s="1292"/>
      <c r="E19" s="1293">
        <v>5</v>
      </c>
      <c r="F19" s="1294">
        <v>43206</v>
      </c>
      <c r="G19" s="1294">
        <f t="shared" si="3"/>
        <v>43210</v>
      </c>
      <c r="H19" s="1292" t="s">
        <v>622</v>
      </c>
      <c r="I19" s="1293" t="s">
        <v>170</v>
      </c>
      <c r="J19" s="643" t="s">
        <v>623</v>
      </c>
      <c r="K19" s="1292" t="s">
        <v>631</v>
      </c>
      <c r="L19" s="1231">
        <v>23174</v>
      </c>
      <c r="M19" s="1292"/>
      <c r="N19" s="1292"/>
      <c r="O19" s="647">
        <v>107</v>
      </c>
      <c r="P19" s="1292">
        <v>1</v>
      </c>
      <c r="Q19" s="2381">
        <f t="shared" si="5"/>
        <v>107</v>
      </c>
      <c r="R19" s="956"/>
      <c r="S19" s="954"/>
      <c r="T19" s="1823">
        <v>107</v>
      </c>
      <c r="U19" s="954"/>
      <c r="V19" s="954"/>
      <c r="W19" s="954"/>
      <c r="X19" s="1166"/>
      <c r="Y19" s="1144"/>
      <c r="Z19" s="1124"/>
      <c r="AA19" s="1124"/>
      <c r="AB19" s="1124"/>
      <c r="AC19" s="1124"/>
      <c r="AD19" s="1124"/>
      <c r="AE19" s="1124"/>
      <c r="AF19" s="1124"/>
      <c r="AG19" s="547">
        <f t="shared" si="4"/>
        <v>107</v>
      </c>
    </row>
    <row r="20" spans="1:33" ht="116.25" hidden="1" customHeight="1">
      <c r="A20" s="2745">
        <v>1111</v>
      </c>
      <c r="B20" s="2744" t="s">
        <v>620</v>
      </c>
      <c r="C20" s="1073" t="s">
        <v>621</v>
      </c>
      <c r="D20" s="1292"/>
      <c r="E20" s="1293">
        <v>5</v>
      </c>
      <c r="F20" s="1294">
        <v>43206</v>
      </c>
      <c r="G20" s="1294">
        <f t="shared" si="3"/>
        <v>43210</v>
      </c>
      <c r="H20" s="1292" t="s">
        <v>622</v>
      </c>
      <c r="I20" s="1293" t="s">
        <v>170</v>
      </c>
      <c r="J20" s="643" t="s">
        <v>623</v>
      </c>
      <c r="K20" s="1292" t="s">
        <v>633</v>
      </c>
      <c r="L20" s="1231">
        <v>23174</v>
      </c>
      <c r="M20" s="1292"/>
      <c r="N20" s="1292"/>
      <c r="O20" s="647">
        <v>91</v>
      </c>
      <c r="P20" s="1292">
        <v>1</v>
      </c>
      <c r="Q20" s="2381">
        <f t="shared" si="5"/>
        <v>91</v>
      </c>
      <c r="R20" s="956"/>
      <c r="S20" s="954"/>
      <c r="T20" s="1823">
        <v>91</v>
      </c>
      <c r="U20" s="954"/>
      <c r="V20" s="954"/>
      <c r="W20" s="954"/>
      <c r="X20" s="1166"/>
      <c r="Y20" s="1144"/>
      <c r="Z20" s="1124"/>
      <c r="AA20" s="1124"/>
      <c r="AB20" s="1124"/>
      <c r="AC20" s="1124"/>
      <c r="AD20" s="1124"/>
      <c r="AE20" s="1124"/>
      <c r="AF20" s="1124"/>
      <c r="AG20" s="547">
        <f t="shared" si="4"/>
        <v>91</v>
      </c>
    </row>
    <row r="21" spans="1:33" ht="116.25" hidden="1" customHeight="1">
      <c r="A21" s="2745">
        <v>1111</v>
      </c>
      <c r="B21" s="2744" t="s">
        <v>620</v>
      </c>
      <c r="C21" s="1073" t="s">
        <v>621</v>
      </c>
      <c r="D21" s="1292"/>
      <c r="E21" s="1293">
        <v>5</v>
      </c>
      <c r="F21" s="1294">
        <v>43206</v>
      </c>
      <c r="G21" s="1294">
        <f t="shared" si="3"/>
        <v>43210</v>
      </c>
      <c r="H21" s="1292" t="s">
        <v>622</v>
      </c>
      <c r="I21" s="1293" t="s">
        <v>170</v>
      </c>
      <c r="J21" s="643" t="s">
        <v>623</v>
      </c>
      <c r="K21" s="1292" t="s">
        <v>635</v>
      </c>
      <c r="L21" s="1231">
        <v>23174</v>
      </c>
      <c r="M21" s="1292"/>
      <c r="N21" s="1292"/>
      <c r="O21" s="647">
        <v>1092</v>
      </c>
      <c r="P21" s="1292">
        <v>1</v>
      </c>
      <c r="Q21" s="2381">
        <f t="shared" si="5"/>
        <v>1092</v>
      </c>
      <c r="R21" s="956"/>
      <c r="S21" s="954"/>
      <c r="T21" s="1823">
        <v>1092</v>
      </c>
      <c r="U21" s="954"/>
      <c r="V21" s="954"/>
      <c r="W21" s="954"/>
      <c r="X21" s="1166"/>
      <c r="Y21" s="1144"/>
      <c r="Z21" s="1124"/>
      <c r="AA21" s="1124"/>
      <c r="AB21" s="1124"/>
      <c r="AC21" s="1124"/>
      <c r="AD21" s="1124"/>
      <c r="AE21" s="1124"/>
      <c r="AF21" s="1124"/>
      <c r="AG21" s="547">
        <f t="shared" si="4"/>
        <v>1092</v>
      </c>
    </row>
    <row r="22" spans="1:33" ht="116.25" hidden="1" customHeight="1">
      <c r="A22" s="2745">
        <v>1111</v>
      </c>
      <c r="B22" s="2744" t="s">
        <v>620</v>
      </c>
      <c r="C22" s="1073" t="s">
        <v>621</v>
      </c>
      <c r="D22" s="1292"/>
      <c r="E22" s="1293">
        <v>5</v>
      </c>
      <c r="F22" s="1294">
        <v>43206</v>
      </c>
      <c r="G22" s="1294">
        <f t="shared" si="3"/>
        <v>43210</v>
      </c>
      <c r="H22" s="1292" t="s">
        <v>622</v>
      </c>
      <c r="I22" s="1293" t="s">
        <v>170</v>
      </c>
      <c r="J22" s="643" t="s">
        <v>623</v>
      </c>
      <c r="K22" s="1292" t="s">
        <v>636</v>
      </c>
      <c r="L22" s="1231">
        <v>23174</v>
      </c>
      <c r="M22" s="1292"/>
      <c r="N22" s="1292"/>
      <c r="O22" s="647">
        <v>1213</v>
      </c>
      <c r="P22" s="1292">
        <v>1</v>
      </c>
      <c r="Q22" s="2381">
        <f t="shared" si="5"/>
        <v>1213</v>
      </c>
      <c r="R22" s="956"/>
      <c r="S22" s="954"/>
      <c r="T22" s="1823">
        <v>1213</v>
      </c>
      <c r="U22" s="954"/>
      <c r="V22" s="954"/>
      <c r="W22" s="954"/>
      <c r="X22" s="1166"/>
      <c r="Y22" s="1144"/>
      <c r="Z22" s="1124"/>
      <c r="AA22" s="1124"/>
      <c r="AB22" s="1124"/>
      <c r="AC22" s="1124"/>
      <c r="AD22" s="1124"/>
      <c r="AE22" s="1124"/>
      <c r="AF22" s="1124"/>
      <c r="AG22" s="547">
        <f t="shared" si="4"/>
        <v>1213</v>
      </c>
    </row>
    <row r="23" spans="1:33" ht="116.25" hidden="1" customHeight="1">
      <c r="A23" s="2745">
        <v>1111</v>
      </c>
      <c r="B23" s="2744" t="s">
        <v>620</v>
      </c>
      <c r="C23" s="1073" t="s">
        <v>621</v>
      </c>
      <c r="D23" s="1292"/>
      <c r="E23" s="1293">
        <v>5</v>
      </c>
      <c r="F23" s="1294">
        <v>43206</v>
      </c>
      <c r="G23" s="1294">
        <f t="shared" si="3"/>
        <v>43210</v>
      </c>
      <c r="H23" s="1292" t="s">
        <v>622</v>
      </c>
      <c r="I23" s="1293" t="s">
        <v>170</v>
      </c>
      <c r="J23" s="643" t="s">
        <v>623</v>
      </c>
      <c r="K23" s="1292" t="s">
        <v>637</v>
      </c>
      <c r="L23" s="1231">
        <v>23174</v>
      </c>
      <c r="M23" s="1292"/>
      <c r="N23" s="1292"/>
      <c r="O23" s="647">
        <v>173</v>
      </c>
      <c r="P23" s="1292">
        <v>1</v>
      </c>
      <c r="Q23" s="2381">
        <f t="shared" si="5"/>
        <v>173</v>
      </c>
      <c r="R23" s="956"/>
      <c r="S23" s="954"/>
      <c r="T23" s="1823">
        <v>173</v>
      </c>
      <c r="U23" s="954"/>
      <c r="V23" s="954"/>
      <c r="W23" s="954"/>
      <c r="X23" s="1166"/>
      <c r="Y23" s="1144"/>
      <c r="Z23" s="1124"/>
      <c r="AA23" s="1124"/>
      <c r="AB23" s="1124"/>
      <c r="AC23" s="1124"/>
      <c r="AD23" s="1124"/>
      <c r="AE23" s="1124"/>
      <c r="AF23" s="1124"/>
      <c r="AG23" s="547">
        <f t="shared" si="4"/>
        <v>173</v>
      </c>
    </row>
    <row r="24" spans="1:33" ht="116.25" hidden="1" customHeight="1">
      <c r="A24" s="2745">
        <v>1111</v>
      </c>
      <c r="B24" s="2744" t="s">
        <v>620</v>
      </c>
      <c r="C24" s="1073" t="s">
        <v>621</v>
      </c>
      <c r="D24" s="1292"/>
      <c r="E24" s="1293">
        <v>5</v>
      </c>
      <c r="F24" s="1294">
        <v>43206</v>
      </c>
      <c r="G24" s="1294">
        <f t="shared" si="3"/>
        <v>43210</v>
      </c>
      <c r="H24" s="1292" t="s">
        <v>622</v>
      </c>
      <c r="I24" s="1293" t="s">
        <v>170</v>
      </c>
      <c r="J24" s="643" t="s">
        <v>623</v>
      </c>
      <c r="K24" s="1292" t="s">
        <v>638</v>
      </c>
      <c r="L24" s="1231">
        <v>23173</v>
      </c>
      <c r="M24" s="1292"/>
      <c r="N24" s="1292"/>
      <c r="O24" s="647">
        <v>300</v>
      </c>
      <c r="P24" s="1292">
        <v>1</v>
      </c>
      <c r="Q24" s="2381">
        <f t="shared" si="5"/>
        <v>300</v>
      </c>
      <c r="R24" s="956"/>
      <c r="S24" s="954"/>
      <c r="T24" s="1823">
        <v>300</v>
      </c>
      <c r="U24" s="954"/>
      <c r="V24" s="954"/>
      <c r="W24" s="954"/>
      <c r="X24" s="1166"/>
      <c r="Y24" s="1144"/>
      <c r="Z24" s="1124"/>
      <c r="AA24" s="1124"/>
      <c r="AB24" s="1124"/>
      <c r="AC24" s="1124"/>
      <c r="AD24" s="1124"/>
      <c r="AE24" s="1124"/>
      <c r="AF24" s="1124"/>
      <c r="AG24" s="547">
        <f t="shared" si="4"/>
        <v>300</v>
      </c>
    </row>
    <row r="25" spans="1:33" ht="116.25" customHeight="1">
      <c r="A25" s="2745">
        <v>1112</v>
      </c>
      <c r="B25" s="2748" t="s">
        <v>640</v>
      </c>
      <c r="C25" s="2747" t="s">
        <v>641</v>
      </c>
      <c r="D25" s="1705"/>
      <c r="E25" s="2749">
        <v>5</v>
      </c>
      <c r="F25" s="2750">
        <v>43220</v>
      </c>
      <c r="G25" s="2750">
        <f>F25+E25-1</f>
        <v>43224</v>
      </c>
      <c r="H25" s="2751" t="s">
        <v>622</v>
      </c>
      <c r="I25" s="2749" t="s">
        <v>170</v>
      </c>
      <c r="J25" s="2752" t="s">
        <v>642</v>
      </c>
      <c r="K25" s="1705"/>
      <c r="L25" s="2740"/>
      <c r="M25" s="1705"/>
      <c r="N25" s="1705"/>
      <c r="O25" s="2741"/>
      <c r="P25" s="1705"/>
      <c r="Q25" s="2804">
        <f>SUM(Q26:Q50)</f>
        <v>21848.999999999996</v>
      </c>
      <c r="R25" s="2742"/>
      <c r="S25" s="1144"/>
      <c r="T25" s="1566"/>
      <c r="U25" s="1144"/>
      <c r="V25" s="1144"/>
      <c r="W25" s="1144"/>
      <c r="X25" s="2743"/>
      <c r="Y25" s="1144"/>
      <c r="Z25" s="1124"/>
      <c r="AA25" s="1124"/>
      <c r="AB25" s="1124"/>
      <c r="AC25" s="1124"/>
      <c r="AD25" s="1124"/>
      <c r="AE25" s="1124"/>
      <c r="AF25" s="1124"/>
      <c r="AG25" s="2355"/>
    </row>
    <row r="26" spans="1:33" ht="116.25" hidden="1" customHeight="1">
      <c r="A26" s="796">
        <v>1112</v>
      </c>
      <c r="B26" s="793" t="s">
        <v>640</v>
      </c>
      <c r="C26" s="1073" t="s">
        <v>641</v>
      </c>
      <c r="D26" s="1292"/>
      <c r="E26" s="1293">
        <v>5</v>
      </c>
      <c r="F26" s="1294">
        <v>43220</v>
      </c>
      <c r="G26" s="1294">
        <f t="shared" si="3"/>
        <v>43224</v>
      </c>
      <c r="H26" s="1292" t="s">
        <v>622</v>
      </c>
      <c r="I26" s="1293" t="s">
        <v>170</v>
      </c>
      <c r="J26" s="643" t="s">
        <v>642</v>
      </c>
      <c r="K26" s="1292" t="s">
        <v>643</v>
      </c>
      <c r="L26" s="1231">
        <v>23174</v>
      </c>
      <c r="M26" s="1292"/>
      <c r="N26" s="1292"/>
      <c r="O26" s="647">
        <v>60</v>
      </c>
      <c r="P26" s="1292">
        <v>1</v>
      </c>
      <c r="Q26" s="2381">
        <f t="shared" si="5"/>
        <v>60</v>
      </c>
      <c r="R26" s="956"/>
      <c r="S26" s="954"/>
      <c r="T26" s="1823">
        <v>60</v>
      </c>
      <c r="U26" s="805"/>
      <c r="V26" s="954"/>
      <c r="W26" s="954"/>
      <c r="X26" s="1166"/>
      <c r="Y26" s="1144"/>
      <c r="Z26" s="1124"/>
      <c r="AA26" s="1124"/>
      <c r="AB26" s="1124"/>
      <c r="AC26" s="1124"/>
      <c r="AD26" s="1124"/>
      <c r="AE26" s="1124"/>
      <c r="AF26" s="1124"/>
      <c r="AG26" s="547">
        <f t="shared" si="4"/>
        <v>60</v>
      </c>
    </row>
    <row r="27" spans="1:33" ht="116.25" hidden="1" customHeight="1">
      <c r="A27" s="796">
        <v>1112</v>
      </c>
      <c r="B27" s="793" t="s">
        <v>640</v>
      </c>
      <c r="C27" s="1073" t="s">
        <v>641</v>
      </c>
      <c r="D27" s="1292"/>
      <c r="E27" s="1293">
        <v>5</v>
      </c>
      <c r="F27" s="1294">
        <v>43220</v>
      </c>
      <c r="G27" s="1294">
        <f t="shared" si="3"/>
        <v>43224</v>
      </c>
      <c r="H27" s="1292" t="s">
        <v>622</v>
      </c>
      <c r="I27" s="1293" t="s">
        <v>170</v>
      </c>
      <c r="J27" s="643" t="s">
        <v>642</v>
      </c>
      <c r="K27" s="1292" t="s">
        <v>644</v>
      </c>
      <c r="L27" s="1231">
        <v>23174</v>
      </c>
      <c r="M27" s="1292"/>
      <c r="N27" s="1292"/>
      <c r="O27" s="647">
        <v>66.666666666666671</v>
      </c>
      <c r="P27" s="1292">
        <v>1</v>
      </c>
      <c r="Q27" s="2381">
        <f t="shared" si="5"/>
        <v>66.666666666666671</v>
      </c>
      <c r="R27" s="956"/>
      <c r="S27" s="954"/>
      <c r="T27" s="1823">
        <v>66.666666666666671</v>
      </c>
      <c r="U27" s="805"/>
      <c r="V27" s="954"/>
      <c r="W27" s="954"/>
      <c r="X27" s="1166"/>
      <c r="Y27" s="1144"/>
      <c r="Z27" s="1124"/>
      <c r="AA27" s="1124"/>
      <c r="AB27" s="1124"/>
      <c r="AC27" s="1124"/>
      <c r="AD27" s="1124"/>
      <c r="AE27" s="1124"/>
      <c r="AF27" s="1124"/>
      <c r="AG27" s="547">
        <f t="shared" si="4"/>
        <v>66.666666666666671</v>
      </c>
    </row>
    <row r="28" spans="1:33" ht="116.25" hidden="1" customHeight="1">
      <c r="A28" s="796">
        <v>1112</v>
      </c>
      <c r="B28" s="793" t="s">
        <v>640</v>
      </c>
      <c r="C28" s="1073" t="s">
        <v>641</v>
      </c>
      <c r="D28" s="1292"/>
      <c r="E28" s="1293">
        <v>5</v>
      </c>
      <c r="F28" s="1294">
        <v>43220</v>
      </c>
      <c r="G28" s="1294">
        <f t="shared" si="3"/>
        <v>43224</v>
      </c>
      <c r="H28" s="1292" t="s">
        <v>622</v>
      </c>
      <c r="I28" s="1293" t="s">
        <v>170</v>
      </c>
      <c r="J28" s="643" t="s">
        <v>642</v>
      </c>
      <c r="K28" s="1292" t="s">
        <v>645</v>
      </c>
      <c r="L28" s="1231">
        <v>23174</v>
      </c>
      <c r="M28" s="1292"/>
      <c r="N28" s="1292"/>
      <c r="O28" s="647">
        <v>50</v>
      </c>
      <c r="P28" s="1292">
        <v>1</v>
      </c>
      <c r="Q28" s="2381">
        <f t="shared" si="5"/>
        <v>50</v>
      </c>
      <c r="R28" s="956"/>
      <c r="S28" s="954"/>
      <c r="T28" s="1823">
        <v>50</v>
      </c>
      <c r="U28" s="805"/>
      <c r="V28" s="954"/>
      <c r="W28" s="954"/>
      <c r="X28" s="1166"/>
      <c r="Y28" s="1144"/>
      <c r="Z28" s="1124"/>
      <c r="AA28" s="1124"/>
      <c r="AB28" s="1124"/>
      <c r="AC28" s="1124"/>
      <c r="AD28" s="1124"/>
      <c r="AE28" s="1124"/>
      <c r="AF28" s="1124"/>
      <c r="AG28" s="547">
        <f t="shared" si="4"/>
        <v>50</v>
      </c>
    </row>
    <row r="29" spans="1:33" ht="116.25" hidden="1" customHeight="1">
      <c r="A29" s="796">
        <v>1112</v>
      </c>
      <c r="B29" s="793" t="s">
        <v>640</v>
      </c>
      <c r="C29" s="1073" t="s">
        <v>641</v>
      </c>
      <c r="D29" s="1292"/>
      <c r="E29" s="1293">
        <v>5</v>
      </c>
      <c r="F29" s="1294">
        <v>43220</v>
      </c>
      <c r="G29" s="1294">
        <f t="shared" si="3"/>
        <v>43224</v>
      </c>
      <c r="H29" s="1292" t="s">
        <v>622</v>
      </c>
      <c r="I29" s="1293" t="s">
        <v>170</v>
      </c>
      <c r="J29" s="643" t="s">
        <v>642</v>
      </c>
      <c r="K29" s="1292" t="s">
        <v>646</v>
      </c>
      <c r="L29" s="1231">
        <v>23174</v>
      </c>
      <c r="M29" s="1292"/>
      <c r="N29" s="1292"/>
      <c r="O29" s="647">
        <v>33.333333333333336</v>
      </c>
      <c r="P29" s="1292">
        <v>1</v>
      </c>
      <c r="Q29" s="2381">
        <f t="shared" si="5"/>
        <v>33.333333333333336</v>
      </c>
      <c r="R29" s="956"/>
      <c r="S29" s="954"/>
      <c r="T29" s="1823">
        <v>33.333333333333336</v>
      </c>
      <c r="U29" s="805"/>
      <c r="V29" s="954"/>
      <c r="W29" s="954"/>
      <c r="X29" s="1166"/>
      <c r="Y29" s="1144"/>
      <c r="Z29" s="1124"/>
      <c r="AA29" s="1124"/>
      <c r="AB29" s="1124"/>
      <c r="AC29" s="1124"/>
      <c r="AD29" s="1124"/>
      <c r="AE29" s="1124"/>
      <c r="AF29" s="1124"/>
      <c r="AG29" s="547">
        <f t="shared" si="4"/>
        <v>33.333333333333336</v>
      </c>
    </row>
    <row r="30" spans="1:33" ht="116.25" hidden="1" customHeight="1">
      <c r="A30" s="796">
        <v>1112</v>
      </c>
      <c r="B30" s="793" t="s">
        <v>640</v>
      </c>
      <c r="C30" s="1073" t="s">
        <v>641</v>
      </c>
      <c r="D30" s="1292"/>
      <c r="E30" s="1293">
        <v>5</v>
      </c>
      <c r="F30" s="1294">
        <v>43220</v>
      </c>
      <c r="G30" s="1294">
        <f t="shared" si="3"/>
        <v>43224</v>
      </c>
      <c r="H30" s="1292" t="s">
        <v>622</v>
      </c>
      <c r="I30" s="1293" t="s">
        <v>170</v>
      </c>
      <c r="J30" s="643" t="s">
        <v>642</v>
      </c>
      <c r="K30" s="1292" t="s">
        <v>647</v>
      </c>
      <c r="L30" s="1231">
        <v>23174</v>
      </c>
      <c r="M30" s="1292"/>
      <c r="N30" s="1292"/>
      <c r="O30" s="647">
        <v>588</v>
      </c>
      <c r="P30" s="1292">
        <v>1</v>
      </c>
      <c r="Q30" s="2381">
        <f t="shared" si="5"/>
        <v>588</v>
      </c>
      <c r="R30" s="956"/>
      <c r="S30" s="954"/>
      <c r="T30" s="805"/>
      <c r="U30" s="1823">
        <v>588</v>
      </c>
      <c r="V30" s="954"/>
      <c r="W30" s="954"/>
      <c r="X30" s="1166"/>
      <c r="Y30" s="1144"/>
      <c r="Z30" s="1124"/>
      <c r="AA30" s="1124"/>
      <c r="AB30" s="1124"/>
      <c r="AC30" s="1124"/>
      <c r="AD30" s="1124"/>
      <c r="AE30" s="1124"/>
      <c r="AF30" s="1124"/>
      <c r="AG30" s="547">
        <f t="shared" si="4"/>
        <v>588</v>
      </c>
    </row>
    <row r="31" spans="1:33" ht="116.25" hidden="1" customHeight="1">
      <c r="A31" s="796">
        <v>1112</v>
      </c>
      <c r="B31" s="793" t="s">
        <v>640</v>
      </c>
      <c r="C31" s="1073" t="s">
        <v>641</v>
      </c>
      <c r="D31" s="1292"/>
      <c r="E31" s="1293">
        <v>5</v>
      </c>
      <c r="F31" s="1294">
        <v>43220</v>
      </c>
      <c r="G31" s="1294">
        <f t="shared" si="3"/>
        <v>43224</v>
      </c>
      <c r="H31" s="1292" t="s">
        <v>622</v>
      </c>
      <c r="I31" s="1293" t="s">
        <v>170</v>
      </c>
      <c r="J31" s="643" t="s">
        <v>642</v>
      </c>
      <c r="K31" s="1292" t="s">
        <v>648</v>
      </c>
      <c r="L31" s="1231">
        <v>23174</v>
      </c>
      <c r="M31" s="1292"/>
      <c r="N31" s="1292"/>
      <c r="O31" s="647">
        <v>653.33333333333337</v>
      </c>
      <c r="P31" s="1292">
        <v>1</v>
      </c>
      <c r="Q31" s="2381">
        <f t="shared" si="5"/>
        <v>653.33333333333337</v>
      </c>
      <c r="R31" s="956"/>
      <c r="S31" s="954"/>
      <c r="T31" s="805"/>
      <c r="U31" s="1823">
        <v>653.33333333333337</v>
      </c>
      <c r="V31" s="954"/>
      <c r="W31" s="954"/>
      <c r="X31" s="1166"/>
      <c r="Y31" s="1144"/>
      <c r="Z31" s="1124"/>
      <c r="AA31" s="1124"/>
      <c r="AB31" s="1124"/>
      <c r="AC31" s="1124"/>
      <c r="AD31" s="1124"/>
      <c r="AE31" s="1124"/>
      <c r="AF31" s="1124"/>
      <c r="AG31" s="547">
        <f t="shared" si="4"/>
        <v>653.33333333333337</v>
      </c>
    </row>
    <row r="32" spans="1:33" ht="116.25" hidden="1" customHeight="1">
      <c r="A32" s="796">
        <v>1112</v>
      </c>
      <c r="B32" s="793" t="s">
        <v>640</v>
      </c>
      <c r="C32" s="1073" t="s">
        <v>641</v>
      </c>
      <c r="D32" s="1292"/>
      <c r="E32" s="1293">
        <v>5</v>
      </c>
      <c r="F32" s="1294">
        <v>43220</v>
      </c>
      <c r="G32" s="1294">
        <f t="shared" si="3"/>
        <v>43224</v>
      </c>
      <c r="H32" s="1292" t="s">
        <v>622</v>
      </c>
      <c r="I32" s="1293" t="s">
        <v>170</v>
      </c>
      <c r="J32" s="643" t="s">
        <v>642</v>
      </c>
      <c r="K32" s="1292" t="s">
        <v>649</v>
      </c>
      <c r="L32" s="1231">
        <v>23174</v>
      </c>
      <c r="M32" s="1292"/>
      <c r="N32" s="1292"/>
      <c r="O32" s="647">
        <v>490</v>
      </c>
      <c r="P32" s="1292">
        <v>1</v>
      </c>
      <c r="Q32" s="2381">
        <f t="shared" si="5"/>
        <v>490</v>
      </c>
      <c r="R32" s="956"/>
      <c r="S32" s="954"/>
      <c r="T32" s="805"/>
      <c r="U32" s="1823">
        <v>490</v>
      </c>
      <c r="V32" s="954"/>
      <c r="W32" s="954"/>
      <c r="X32" s="1166"/>
      <c r="Y32" s="1144"/>
      <c r="Z32" s="1124"/>
      <c r="AA32" s="1124"/>
      <c r="AB32" s="1124"/>
      <c r="AC32" s="1124"/>
      <c r="AD32" s="1124"/>
      <c r="AE32" s="1124"/>
      <c r="AF32" s="1124"/>
      <c r="AG32" s="547">
        <f t="shared" si="4"/>
        <v>490</v>
      </c>
    </row>
    <row r="33" spans="1:33" ht="116.25" hidden="1" customHeight="1">
      <c r="A33" s="796">
        <v>1112</v>
      </c>
      <c r="B33" s="793" t="s">
        <v>640</v>
      </c>
      <c r="C33" s="1073" t="s">
        <v>641</v>
      </c>
      <c r="D33" s="1292"/>
      <c r="E33" s="1293">
        <v>5</v>
      </c>
      <c r="F33" s="1294">
        <v>43220</v>
      </c>
      <c r="G33" s="1294">
        <f t="shared" si="3"/>
        <v>43224</v>
      </c>
      <c r="H33" s="1292" t="s">
        <v>622</v>
      </c>
      <c r="I33" s="1293" t="s">
        <v>170</v>
      </c>
      <c r="J33" s="643" t="s">
        <v>642</v>
      </c>
      <c r="K33" s="1292" t="s">
        <v>650</v>
      </c>
      <c r="L33" s="1231">
        <v>23174</v>
      </c>
      <c r="M33" s="1292"/>
      <c r="N33" s="1292"/>
      <c r="O33" s="647">
        <v>326.66666666666669</v>
      </c>
      <c r="P33" s="1292">
        <v>1</v>
      </c>
      <c r="Q33" s="2381">
        <f t="shared" si="5"/>
        <v>326.66666666666669</v>
      </c>
      <c r="R33" s="956"/>
      <c r="S33" s="954"/>
      <c r="T33" s="805"/>
      <c r="U33" s="1823">
        <v>326.66666666666669</v>
      </c>
      <c r="V33" s="954"/>
      <c r="W33" s="954"/>
      <c r="X33" s="1166"/>
      <c r="Y33" s="1144"/>
      <c r="Z33" s="1124"/>
      <c r="AA33" s="1124"/>
      <c r="AB33" s="1124"/>
      <c r="AC33" s="1124"/>
      <c r="AD33" s="1124"/>
      <c r="AE33" s="1124"/>
      <c r="AF33" s="1124"/>
      <c r="AG33" s="547">
        <f t="shared" si="4"/>
        <v>326.66666666666669</v>
      </c>
    </row>
    <row r="34" spans="1:33" ht="116.25" hidden="1" customHeight="1">
      <c r="A34" s="796">
        <v>1112</v>
      </c>
      <c r="B34" s="793" t="s">
        <v>640</v>
      </c>
      <c r="C34" s="1073" t="s">
        <v>641</v>
      </c>
      <c r="D34" s="1292"/>
      <c r="E34" s="1293">
        <v>5</v>
      </c>
      <c r="F34" s="1294">
        <v>43220</v>
      </c>
      <c r="G34" s="1294">
        <f t="shared" si="3"/>
        <v>43224</v>
      </c>
      <c r="H34" s="1292" t="s">
        <v>622</v>
      </c>
      <c r="I34" s="1293" t="s">
        <v>170</v>
      </c>
      <c r="J34" s="643" t="s">
        <v>642</v>
      </c>
      <c r="K34" s="1292" t="s">
        <v>651</v>
      </c>
      <c r="L34" s="1231">
        <v>23174</v>
      </c>
      <c r="M34" s="1292"/>
      <c r="N34" s="1292"/>
      <c r="O34" s="647">
        <v>6347</v>
      </c>
      <c r="P34" s="1292">
        <v>1</v>
      </c>
      <c r="Q34" s="2381">
        <f t="shared" si="5"/>
        <v>6347</v>
      </c>
      <c r="R34" s="956"/>
      <c r="S34" s="954"/>
      <c r="T34" s="1823">
        <v>6347</v>
      </c>
      <c r="U34" s="805"/>
      <c r="V34" s="954"/>
      <c r="W34" s="954"/>
      <c r="X34" s="1166"/>
      <c r="Y34" s="1144"/>
      <c r="Z34" s="1124"/>
      <c r="AA34" s="1124"/>
      <c r="AB34" s="1124"/>
      <c r="AC34" s="1124"/>
      <c r="AD34" s="1124"/>
      <c r="AE34" s="1124"/>
      <c r="AF34" s="1124"/>
      <c r="AG34" s="547">
        <f t="shared" si="4"/>
        <v>6347</v>
      </c>
    </row>
    <row r="35" spans="1:33" ht="116.25" hidden="1" customHeight="1">
      <c r="A35" s="796">
        <v>1112</v>
      </c>
      <c r="B35" s="793" t="s">
        <v>640</v>
      </c>
      <c r="C35" s="1073" t="s">
        <v>641</v>
      </c>
      <c r="D35" s="1292"/>
      <c r="E35" s="1293">
        <v>5</v>
      </c>
      <c r="F35" s="1294">
        <v>43220</v>
      </c>
      <c r="G35" s="1294">
        <f t="shared" si="3"/>
        <v>43224</v>
      </c>
      <c r="H35" s="1292" t="s">
        <v>622</v>
      </c>
      <c r="I35" s="1293" t="s">
        <v>170</v>
      </c>
      <c r="J35" s="643" t="s">
        <v>642</v>
      </c>
      <c r="K35" s="1292" t="s">
        <v>652</v>
      </c>
      <c r="L35" s="1231">
        <v>23174</v>
      </c>
      <c r="M35" s="1292"/>
      <c r="N35" s="1292"/>
      <c r="O35" s="647">
        <v>924</v>
      </c>
      <c r="P35" s="1292">
        <v>1</v>
      </c>
      <c r="Q35" s="2381">
        <f t="shared" si="5"/>
        <v>924</v>
      </c>
      <c r="R35" s="956"/>
      <c r="S35" s="954"/>
      <c r="T35" s="805"/>
      <c r="U35" s="1823">
        <v>924</v>
      </c>
      <c r="V35" s="954"/>
      <c r="W35" s="954"/>
      <c r="X35" s="1166"/>
      <c r="Y35" s="1144"/>
      <c r="Z35" s="1124"/>
      <c r="AA35" s="1124"/>
      <c r="AB35" s="1124"/>
      <c r="AC35" s="1124"/>
      <c r="AD35" s="1124"/>
      <c r="AE35" s="1124"/>
      <c r="AF35" s="1124"/>
      <c r="AG35" s="547">
        <f t="shared" si="4"/>
        <v>924</v>
      </c>
    </row>
    <row r="36" spans="1:33" ht="116.25" hidden="1" customHeight="1">
      <c r="A36" s="796">
        <v>1112</v>
      </c>
      <c r="B36" s="793" t="s">
        <v>640</v>
      </c>
      <c r="C36" s="1073" t="s">
        <v>641</v>
      </c>
      <c r="D36" s="1292"/>
      <c r="E36" s="1293">
        <v>5</v>
      </c>
      <c r="F36" s="1294">
        <v>43220</v>
      </c>
      <c r="G36" s="1294">
        <f t="shared" si="3"/>
        <v>43224</v>
      </c>
      <c r="H36" s="1292" t="s">
        <v>622</v>
      </c>
      <c r="I36" s="1293" t="s">
        <v>170</v>
      </c>
      <c r="J36" s="643" t="s">
        <v>642</v>
      </c>
      <c r="K36" s="1292" t="s">
        <v>653</v>
      </c>
      <c r="L36" s="1231">
        <v>23174</v>
      </c>
      <c r="M36" s="1292"/>
      <c r="N36" s="1292"/>
      <c r="O36" s="647">
        <v>1026.6666666666665</v>
      </c>
      <c r="P36" s="1292">
        <v>1</v>
      </c>
      <c r="Q36" s="2381">
        <f t="shared" si="5"/>
        <v>1026.6666666666665</v>
      </c>
      <c r="R36" s="956"/>
      <c r="S36" s="954"/>
      <c r="T36" s="805"/>
      <c r="U36" s="1823">
        <v>1026.6666666666665</v>
      </c>
      <c r="V36" s="954"/>
      <c r="W36" s="954"/>
      <c r="X36" s="1166"/>
      <c r="Y36" s="1144"/>
      <c r="Z36" s="1124"/>
      <c r="AA36" s="1124"/>
      <c r="AB36" s="1124"/>
      <c r="AC36" s="1124"/>
      <c r="AD36" s="1124"/>
      <c r="AE36" s="1124"/>
      <c r="AF36" s="1124"/>
      <c r="AG36" s="547">
        <f t="shared" si="4"/>
        <v>1026.6666666666665</v>
      </c>
    </row>
    <row r="37" spans="1:33" ht="116.25" hidden="1" customHeight="1">
      <c r="A37" s="796">
        <v>1112</v>
      </c>
      <c r="B37" s="793" t="s">
        <v>640</v>
      </c>
      <c r="C37" s="1073" t="s">
        <v>641</v>
      </c>
      <c r="D37" s="1292"/>
      <c r="E37" s="1293">
        <v>5</v>
      </c>
      <c r="F37" s="1294">
        <v>43220</v>
      </c>
      <c r="G37" s="1294">
        <f t="shared" si="3"/>
        <v>43224</v>
      </c>
      <c r="H37" s="1292" t="s">
        <v>622</v>
      </c>
      <c r="I37" s="1293"/>
      <c r="J37" s="643"/>
      <c r="K37" s="1292" t="s">
        <v>654</v>
      </c>
      <c r="L37" s="1231">
        <v>23174</v>
      </c>
      <c r="M37" s="1292"/>
      <c r="N37" s="1292"/>
      <c r="O37" s="647">
        <v>770</v>
      </c>
      <c r="P37" s="1292">
        <v>1</v>
      </c>
      <c r="Q37" s="2381">
        <f t="shared" si="5"/>
        <v>770</v>
      </c>
      <c r="R37" s="956"/>
      <c r="S37" s="954"/>
      <c r="T37" s="805"/>
      <c r="U37" s="1823">
        <v>770</v>
      </c>
      <c r="V37" s="954"/>
      <c r="W37" s="954"/>
      <c r="X37" s="1166"/>
      <c r="Y37" s="1144"/>
      <c r="Z37" s="1124"/>
      <c r="AA37" s="1124"/>
      <c r="AB37" s="1124"/>
      <c r="AC37" s="1124"/>
      <c r="AD37" s="1124"/>
      <c r="AE37" s="1124"/>
      <c r="AF37" s="1124"/>
      <c r="AG37" s="547">
        <f t="shared" si="4"/>
        <v>770</v>
      </c>
    </row>
    <row r="38" spans="1:33" ht="116.25" hidden="1" customHeight="1">
      <c r="A38" s="796">
        <v>1112</v>
      </c>
      <c r="B38" s="793" t="s">
        <v>640</v>
      </c>
      <c r="C38" s="1073" t="s">
        <v>641</v>
      </c>
      <c r="D38" s="1292"/>
      <c r="E38" s="1293">
        <v>5</v>
      </c>
      <c r="F38" s="1294">
        <v>43220</v>
      </c>
      <c r="G38" s="1294">
        <f t="shared" si="3"/>
        <v>43224</v>
      </c>
      <c r="H38" s="1292" t="s">
        <v>622</v>
      </c>
      <c r="I38" s="1293"/>
      <c r="J38" s="643"/>
      <c r="K38" s="1292" t="s">
        <v>655</v>
      </c>
      <c r="L38" s="1231">
        <v>23174</v>
      </c>
      <c r="M38" s="1292"/>
      <c r="N38" s="1292"/>
      <c r="O38" s="647">
        <v>513</v>
      </c>
      <c r="P38" s="1292">
        <v>1</v>
      </c>
      <c r="Q38" s="2381">
        <f t="shared" si="5"/>
        <v>513</v>
      </c>
      <c r="R38" s="956"/>
      <c r="S38" s="954"/>
      <c r="T38" s="805"/>
      <c r="U38" s="1823">
        <v>513</v>
      </c>
      <c r="V38" s="954"/>
      <c r="W38" s="954"/>
      <c r="X38" s="1166"/>
      <c r="Y38" s="1144"/>
      <c r="Z38" s="1124"/>
      <c r="AA38" s="1124"/>
      <c r="AB38" s="1124"/>
      <c r="AC38" s="1124"/>
      <c r="AD38" s="1124"/>
      <c r="AE38" s="1124"/>
      <c r="AF38" s="1124"/>
      <c r="AG38" s="547">
        <f t="shared" si="4"/>
        <v>513</v>
      </c>
    </row>
    <row r="39" spans="1:33" ht="116.25" hidden="1" customHeight="1">
      <c r="A39" s="796">
        <v>1112</v>
      </c>
      <c r="B39" s="793" t="s">
        <v>640</v>
      </c>
      <c r="C39" s="1073" t="s">
        <v>641</v>
      </c>
      <c r="D39" s="1292"/>
      <c r="E39" s="1293">
        <v>5</v>
      </c>
      <c r="F39" s="1294">
        <v>43220</v>
      </c>
      <c r="G39" s="1294">
        <f t="shared" si="3"/>
        <v>43224</v>
      </c>
      <c r="H39" s="1292" t="s">
        <v>622</v>
      </c>
      <c r="I39" s="1293" t="s">
        <v>170</v>
      </c>
      <c r="J39" s="643" t="s">
        <v>642</v>
      </c>
      <c r="K39" s="1292" t="s">
        <v>656</v>
      </c>
      <c r="L39" s="1231">
        <v>23174</v>
      </c>
      <c r="M39" s="1292"/>
      <c r="N39" s="1292"/>
      <c r="O39" s="647">
        <v>1764</v>
      </c>
      <c r="P39" s="1292">
        <v>1</v>
      </c>
      <c r="Q39" s="2381">
        <f t="shared" si="5"/>
        <v>1764</v>
      </c>
      <c r="R39" s="956"/>
      <c r="S39" s="954"/>
      <c r="T39" s="805"/>
      <c r="U39" s="1823">
        <v>1764</v>
      </c>
      <c r="V39" s="954"/>
      <c r="W39" s="954"/>
      <c r="X39" s="1166"/>
      <c r="Y39" s="1144"/>
      <c r="Z39" s="1124"/>
      <c r="AA39" s="1124"/>
      <c r="AB39" s="1124"/>
      <c r="AC39" s="1124"/>
      <c r="AD39" s="1124"/>
      <c r="AE39" s="1124"/>
      <c r="AF39" s="1124"/>
      <c r="AG39" s="547">
        <f t="shared" si="4"/>
        <v>1764</v>
      </c>
    </row>
    <row r="40" spans="1:33" ht="116.25" hidden="1" customHeight="1">
      <c r="A40" s="796">
        <v>1112</v>
      </c>
      <c r="B40" s="793" t="s">
        <v>640</v>
      </c>
      <c r="C40" s="1073" t="s">
        <v>641</v>
      </c>
      <c r="D40" s="1292"/>
      <c r="E40" s="1293">
        <v>5</v>
      </c>
      <c r="F40" s="1294">
        <v>43220</v>
      </c>
      <c r="G40" s="1294">
        <f t="shared" si="3"/>
        <v>43224</v>
      </c>
      <c r="H40" s="1292" t="s">
        <v>622</v>
      </c>
      <c r="I40" s="1293" t="s">
        <v>170</v>
      </c>
      <c r="J40" s="643" t="s">
        <v>642</v>
      </c>
      <c r="K40" s="1292" t="s">
        <v>657</v>
      </c>
      <c r="L40" s="1231">
        <v>23174</v>
      </c>
      <c r="M40" s="1292"/>
      <c r="N40" s="1292"/>
      <c r="O40" s="647">
        <v>1960</v>
      </c>
      <c r="P40" s="1292">
        <v>1</v>
      </c>
      <c r="Q40" s="2381">
        <f t="shared" si="5"/>
        <v>1960</v>
      </c>
      <c r="R40" s="956"/>
      <c r="S40" s="954"/>
      <c r="T40" s="805"/>
      <c r="U40" s="1823">
        <v>1960</v>
      </c>
      <c r="V40" s="954"/>
      <c r="W40" s="954"/>
      <c r="X40" s="1166"/>
      <c r="Y40" s="1144"/>
      <c r="Z40" s="1124"/>
      <c r="AA40" s="1124"/>
      <c r="AB40" s="1124"/>
      <c r="AC40" s="1124"/>
      <c r="AD40" s="1124"/>
      <c r="AE40" s="1124"/>
      <c r="AF40" s="1124"/>
      <c r="AG40" s="547">
        <f t="shared" si="4"/>
        <v>1960</v>
      </c>
    </row>
    <row r="41" spans="1:33" ht="116.25" hidden="1" customHeight="1">
      <c r="A41" s="796">
        <v>1112</v>
      </c>
      <c r="B41" s="793" t="s">
        <v>640</v>
      </c>
      <c r="C41" s="1073" t="s">
        <v>641</v>
      </c>
      <c r="D41" s="1292"/>
      <c r="E41" s="1293">
        <v>5</v>
      </c>
      <c r="F41" s="1294">
        <v>43220</v>
      </c>
      <c r="G41" s="1294">
        <f t="shared" si="3"/>
        <v>43224</v>
      </c>
      <c r="H41" s="1292" t="s">
        <v>622</v>
      </c>
      <c r="I41" s="1293"/>
      <c r="J41" s="643"/>
      <c r="K41" s="1292" t="s">
        <v>658</v>
      </c>
      <c r="L41" s="1231">
        <v>23174</v>
      </c>
      <c r="M41" s="1292"/>
      <c r="N41" s="1292"/>
      <c r="O41" s="647">
        <v>1960</v>
      </c>
      <c r="P41" s="1292">
        <v>1</v>
      </c>
      <c r="Q41" s="2381">
        <f t="shared" si="5"/>
        <v>1960</v>
      </c>
      <c r="R41" s="956"/>
      <c r="S41" s="954"/>
      <c r="T41" s="805"/>
      <c r="U41" s="1823">
        <v>1960</v>
      </c>
      <c r="V41" s="954"/>
      <c r="W41" s="954"/>
      <c r="X41" s="1166"/>
      <c r="Y41" s="1144"/>
      <c r="Z41" s="1124"/>
      <c r="AA41" s="1124"/>
      <c r="AB41" s="1124"/>
      <c r="AC41" s="1124"/>
      <c r="AD41" s="1124"/>
      <c r="AE41" s="1124"/>
      <c r="AF41" s="1124"/>
      <c r="AG41" s="547">
        <f t="shared" si="4"/>
        <v>1960</v>
      </c>
    </row>
    <row r="42" spans="1:33" ht="116.25" hidden="1" customHeight="1">
      <c r="A42" s="796">
        <v>1112</v>
      </c>
      <c r="B42" s="793" t="s">
        <v>640</v>
      </c>
      <c r="C42" s="1073" t="s">
        <v>641</v>
      </c>
      <c r="D42" s="1292"/>
      <c r="E42" s="1293">
        <v>5</v>
      </c>
      <c r="F42" s="1294">
        <v>43220</v>
      </c>
      <c r="G42" s="1294">
        <f t="shared" si="3"/>
        <v>43224</v>
      </c>
      <c r="H42" s="1292" t="s">
        <v>622</v>
      </c>
      <c r="I42" s="1293" t="s">
        <v>170</v>
      </c>
      <c r="J42" s="643" t="s">
        <v>642</v>
      </c>
      <c r="K42" s="1292" t="s">
        <v>659</v>
      </c>
      <c r="L42" s="1231">
        <v>23174</v>
      </c>
      <c r="M42" s="1292"/>
      <c r="N42" s="1292"/>
      <c r="O42" s="647">
        <v>84</v>
      </c>
      <c r="P42" s="1292">
        <v>1</v>
      </c>
      <c r="Q42" s="2381">
        <f t="shared" si="5"/>
        <v>84</v>
      </c>
      <c r="R42" s="956"/>
      <c r="S42" s="954"/>
      <c r="T42" s="1823">
        <v>84</v>
      </c>
      <c r="U42" s="805"/>
      <c r="V42" s="954"/>
      <c r="W42" s="954"/>
      <c r="X42" s="1166"/>
      <c r="Y42" s="1144"/>
      <c r="Z42" s="1124"/>
      <c r="AA42" s="1124"/>
      <c r="AB42" s="1124"/>
      <c r="AC42" s="1124"/>
      <c r="AD42" s="1124"/>
      <c r="AE42" s="1124"/>
      <c r="AF42" s="1124"/>
      <c r="AG42" s="547">
        <f t="shared" si="4"/>
        <v>84</v>
      </c>
    </row>
    <row r="43" spans="1:33" ht="116.25" hidden="1" customHeight="1">
      <c r="A43" s="796">
        <v>1112</v>
      </c>
      <c r="B43" s="793" t="s">
        <v>640</v>
      </c>
      <c r="C43" s="1073" t="s">
        <v>641</v>
      </c>
      <c r="D43" s="1292"/>
      <c r="E43" s="1293">
        <v>5</v>
      </c>
      <c r="F43" s="1294">
        <v>43220</v>
      </c>
      <c r="G43" s="1294">
        <f t="shared" si="3"/>
        <v>43224</v>
      </c>
      <c r="H43" s="1292" t="s">
        <v>622</v>
      </c>
      <c r="I43" s="1293" t="s">
        <v>170</v>
      </c>
      <c r="J43" s="643" t="s">
        <v>642</v>
      </c>
      <c r="K43" s="1292" t="s">
        <v>660</v>
      </c>
      <c r="L43" s="1231">
        <v>23174</v>
      </c>
      <c r="M43" s="1292"/>
      <c r="N43" s="1292"/>
      <c r="O43" s="647">
        <v>93.333333333333343</v>
      </c>
      <c r="P43" s="1292">
        <v>1</v>
      </c>
      <c r="Q43" s="2381">
        <f t="shared" si="5"/>
        <v>93.333333333333343</v>
      </c>
      <c r="R43" s="956"/>
      <c r="S43" s="954"/>
      <c r="T43" s="1823">
        <v>93.333333333333343</v>
      </c>
      <c r="U43" s="805"/>
      <c r="V43" s="954"/>
      <c r="W43" s="954"/>
      <c r="X43" s="1166"/>
      <c r="Y43" s="1144"/>
      <c r="Z43" s="1124"/>
      <c r="AA43" s="1124"/>
      <c r="AB43" s="1124"/>
      <c r="AC43" s="1124"/>
      <c r="AD43" s="1124"/>
      <c r="AE43" s="1124"/>
      <c r="AF43" s="1124"/>
      <c r="AG43" s="547">
        <f t="shared" si="4"/>
        <v>93.333333333333343</v>
      </c>
    </row>
    <row r="44" spans="1:33" ht="116.25" hidden="1" customHeight="1">
      <c r="A44" s="796">
        <v>1112</v>
      </c>
      <c r="B44" s="793" t="s">
        <v>640</v>
      </c>
      <c r="C44" s="1073" t="s">
        <v>641</v>
      </c>
      <c r="D44" s="1292"/>
      <c r="E44" s="1293">
        <v>5</v>
      </c>
      <c r="F44" s="1294">
        <v>43220</v>
      </c>
      <c r="G44" s="1294">
        <f t="shared" si="3"/>
        <v>43224</v>
      </c>
      <c r="H44" s="1292" t="s">
        <v>622</v>
      </c>
      <c r="I44" s="1293" t="s">
        <v>170</v>
      </c>
      <c r="J44" s="643" t="s">
        <v>642</v>
      </c>
      <c r="K44" s="1292" t="s">
        <v>661</v>
      </c>
      <c r="L44" s="1231">
        <v>23174</v>
      </c>
      <c r="M44" s="1292"/>
      <c r="N44" s="1292"/>
      <c r="O44" s="647">
        <v>70</v>
      </c>
      <c r="P44" s="1292">
        <v>1</v>
      </c>
      <c r="Q44" s="2381">
        <f t="shared" si="5"/>
        <v>70</v>
      </c>
      <c r="R44" s="956"/>
      <c r="S44" s="954"/>
      <c r="T44" s="1823">
        <v>70</v>
      </c>
      <c r="U44" s="805"/>
      <c r="V44" s="954"/>
      <c r="W44" s="954"/>
      <c r="X44" s="1166"/>
      <c r="Y44" s="1144"/>
      <c r="Z44" s="1124"/>
      <c r="AA44" s="1124"/>
      <c r="AB44" s="1124"/>
      <c r="AC44" s="1124"/>
      <c r="AD44" s="1124"/>
      <c r="AE44" s="1124"/>
      <c r="AF44" s="1124"/>
      <c r="AG44" s="547">
        <f t="shared" si="4"/>
        <v>70</v>
      </c>
    </row>
    <row r="45" spans="1:33" ht="116.25" hidden="1" customHeight="1">
      <c r="A45" s="796">
        <v>1112</v>
      </c>
      <c r="B45" s="793" t="s">
        <v>640</v>
      </c>
      <c r="C45" s="1073" t="s">
        <v>641</v>
      </c>
      <c r="D45" s="1292"/>
      <c r="E45" s="1293">
        <v>5</v>
      </c>
      <c r="F45" s="1294">
        <v>43220</v>
      </c>
      <c r="G45" s="1294">
        <f t="shared" si="3"/>
        <v>43224</v>
      </c>
      <c r="H45" s="1292" t="s">
        <v>622</v>
      </c>
      <c r="I45" s="1293" t="s">
        <v>170</v>
      </c>
      <c r="J45" s="643" t="s">
        <v>642</v>
      </c>
      <c r="K45" s="1292" t="s">
        <v>662</v>
      </c>
      <c r="L45" s="1231">
        <v>23174</v>
      </c>
      <c r="M45" s="1292"/>
      <c r="N45" s="1292"/>
      <c r="O45" s="647">
        <v>46.666666666666671</v>
      </c>
      <c r="P45" s="1292">
        <v>1</v>
      </c>
      <c r="Q45" s="2381">
        <f t="shared" si="5"/>
        <v>46.666666666666671</v>
      </c>
      <c r="R45" s="956"/>
      <c r="S45" s="954"/>
      <c r="T45" s="1823">
        <v>46.666666666666671</v>
      </c>
      <c r="U45" s="805"/>
      <c r="V45" s="954"/>
      <c r="W45" s="954"/>
      <c r="X45" s="1166"/>
      <c r="Y45" s="1144"/>
      <c r="Z45" s="1124"/>
      <c r="AA45" s="1124"/>
      <c r="AB45" s="1124"/>
      <c r="AC45" s="1124"/>
      <c r="AD45" s="1124"/>
      <c r="AE45" s="1124"/>
      <c r="AF45" s="1124"/>
      <c r="AG45" s="547">
        <f t="shared" si="4"/>
        <v>46.666666666666671</v>
      </c>
    </row>
    <row r="46" spans="1:33" ht="116.25" hidden="1" customHeight="1">
      <c r="A46" s="796">
        <v>1112</v>
      </c>
      <c r="B46" s="793" t="s">
        <v>640</v>
      </c>
      <c r="C46" s="1073" t="s">
        <v>641</v>
      </c>
      <c r="D46" s="1292"/>
      <c r="E46" s="1293">
        <v>5</v>
      </c>
      <c r="F46" s="1294">
        <v>43220</v>
      </c>
      <c r="G46" s="1294">
        <f t="shared" si="3"/>
        <v>43224</v>
      </c>
      <c r="H46" s="1292" t="s">
        <v>622</v>
      </c>
      <c r="I46" s="1293" t="s">
        <v>170</v>
      </c>
      <c r="J46" s="643" t="s">
        <v>642</v>
      </c>
      <c r="K46" s="1292" t="s">
        <v>663</v>
      </c>
      <c r="L46" s="1231">
        <v>23174</v>
      </c>
      <c r="M46" s="1292"/>
      <c r="N46" s="1292"/>
      <c r="O46" s="647">
        <v>1176</v>
      </c>
      <c r="P46" s="1292">
        <v>1</v>
      </c>
      <c r="Q46" s="2381">
        <f t="shared" si="5"/>
        <v>1176</v>
      </c>
      <c r="R46" s="956"/>
      <c r="S46" s="954"/>
      <c r="T46" s="805"/>
      <c r="U46" s="1823">
        <v>1176</v>
      </c>
      <c r="V46" s="954"/>
      <c r="W46" s="954"/>
      <c r="X46" s="1166"/>
      <c r="Y46" s="1144"/>
      <c r="Z46" s="1124"/>
      <c r="AA46" s="1124"/>
      <c r="AB46" s="1124"/>
      <c r="AC46" s="1124"/>
      <c r="AD46" s="1124"/>
      <c r="AE46" s="1124"/>
      <c r="AF46" s="1124"/>
      <c r="AG46" s="547">
        <f t="shared" si="4"/>
        <v>1176</v>
      </c>
    </row>
    <row r="47" spans="1:33" ht="116.25" hidden="1" customHeight="1">
      <c r="A47" s="796">
        <v>1112</v>
      </c>
      <c r="B47" s="793" t="s">
        <v>640</v>
      </c>
      <c r="C47" s="1073" t="s">
        <v>641</v>
      </c>
      <c r="D47" s="1292"/>
      <c r="E47" s="1293">
        <v>5</v>
      </c>
      <c r="F47" s="1294">
        <v>43220</v>
      </c>
      <c r="G47" s="1294">
        <f t="shared" si="3"/>
        <v>43224</v>
      </c>
      <c r="H47" s="1292" t="s">
        <v>622</v>
      </c>
      <c r="I47" s="1293" t="s">
        <v>170</v>
      </c>
      <c r="J47" s="643" t="s">
        <v>642</v>
      </c>
      <c r="K47" s="1292" t="s">
        <v>664</v>
      </c>
      <c r="L47" s="1231">
        <v>23174</v>
      </c>
      <c r="M47" s="1292"/>
      <c r="N47" s="1292"/>
      <c r="O47" s="647">
        <v>1306.6666666666667</v>
      </c>
      <c r="P47" s="1292">
        <v>1</v>
      </c>
      <c r="Q47" s="2381">
        <f t="shared" si="5"/>
        <v>1306.6666666666667</v>
      </c>
      <c r="R47" s="956"/>
      <c r="S47" s="954"/>
      <c r="T47" s="805"/>
      <c r="U47" s="1823">
        <v>1306.6666666666667</v>
      </c>
      <c r="V47" s="954"/>
      <c r="W47" s="954"/>
      <c r="X47" s="1166"/>
      <c r="Y47" s="1144"/>
      <c r="Z47" s="1124"/>
      <c r="AA47" s="1124"/>
      <c r="AB47" s="1124"/>
      <c r="AC47" s="1124"/>
      <c r="AD47" s="1124"/>
      <c r="AE47" s="1124"/>
      <c r="AF47" s="1124"/>
      <c r="AG47" s="547">
        <f t="shared" si="4"/>
        <v>1306.6666666666667</v>
      </c>
    </row>
    <row r="48" spans="1:33" ht="116.25" hidden="1" customHeight="1">
      <c r="A48" s="796">
        <v>1112</v>
      </c>
      <c r="B48" s="793" t="s">
        <v>640</v>
      </c>
      <c r="C48" s="1073" t="s">
        <v>641</v>
      </c>
      <c r="D48" s="1292"/>
      <c r="E48" s="1293">
        <v>5</v>
      </c>
      <c r="F48" s="1294">
        <v>43220</v>
      </c>
      <c r="G48" s="1294">
        <f t="shared" si="3"/>
        <v>43224</v>
      </c>
      <c r="H48" s="1292" t="s">
        <v>622</v>
      </c>
      <c r="I48" s="1293" t="s">
        <v>170</v>
      </c>
      <c r="J48" s="643" t="s">
        <v>642</v>
      </c>
      <c r="K48" s="1292" t="s">
        <v>665</v>
      </c>
      <c r="L48" s="1231">
        <v>23174</v>
      </c>
      <c r="M48" s="1292"/>
      <c r="N48" s="1292"/>
      <c r="O48" s="647">
        <v>373</v>
      </c>
      <c r="P48" s="1292">
        <v>1</v>
      </c>
      <c r="Q48" s="2381">
        <f t="shared" si="5"/>
        <v>373</v>
      </c>
      <c r="R48" s="956"/>
      <c r="S48" s="954"/>
      <c r="T48" s="1823">
        <v>373</v>
      </c>
      <c r="U48" s="805"/>
      <c r="V48" s="954"/>
      <c r="W48" s="954"/>
      <c r="X48" s="1166"/>
      <c r="Y48" s="1144"/>
      <c r="Z48" s="1124"/>
      <c r="AA48" s="1124"/>
      <c r="AB48" s="1124"/>
      <c r="AC48" s="1124"/>
      <c r="AD48" s="1124"/>
      <c r="AE48" s="1124"/>
      <c r="AF48" s="1124"/>
      <c r="AG48" s="547">
        <f t="shared" si="4"/>
        <v>373</v>
      </c>
    </row>
    <row r="49" spans="1:33" ht="116.25" hidden="1" customHeight="1">
      <c r="A49" s="796">
        <v>1112</v>
      </c>
      <c r="B49" s="793" t="s">
        <v>640</v>
      </c>
      <c r="C49" s="1073" t="s">
        <v>641</v>
      </c>
      <c r="D49" s="1292"/>
      <c r="E49" s="1293">
        <v>5</v>
      </c>
      <c r="F49" s="1294">
        <v>43220</v>
      </c>
      <c r="G49" s="1294">
        <f t="shared" si="3"/>
        <v>43224</v>
      </c>
      <c r="H49" s="1292" t="s">
        <v>622</v>
      </c>
      <c r="I49" s="1293" t="s">
        <v>170</v>
      </c>
      <c r="J49" s="643" t="s">
        <v>642</v>
      </c>
      <c r="K49" s="1292" t="s">
        <v>638</v>
      </c>
      <c r="L49" s="1231">
        <v>23173</v>
      </c>
      <c r="M49" s="1292"/>
      <c r="N49" s="1292"/>
      <c r="O49" s="647">
        <v>833.33333333333337</v>
      </c>
      <c r="P49" s="1292">
        <v>1</v>
      </c>
      <c r="Q49" s="2381">
        <f t="shared" si="5"/>
        <v>833.33333333333337</v>
      </c>
      <c r="R49" s="956"/>
      <c r="S49" s="954"/>
      <c r="T49" s="1823">
        <v>833.33333333333337</v>
      </c>
      <c r="U49" s="805"/>
      <c r="V49" s="954"/>
      <c r="W49" s="954"/>
      <c r="X49" s="1166"/>
      <c r="Y49" s="1144"/>
      <c r="Z49" s="1124"/>
      <c r="AA49" s="1124"/>
      <c r="AB49" s="1124"/>
      <c r="AC49" s="1124"/>
      <c r="AD49" s="1124"/>
      <c r="AE49" s="1124"/>
      <c r="AF49" s="1124"/>
      <c r="AG49" s="547">
        <f t="shared" si="4"/>
        <v>833.33333333333337</v>
      </c>
    </row>
    <row r="50" spans="1:33" ht="116.25" hidden="1" customHeight="1">
      <c r="A50" s="796">
        <v>1112</v>
      </c>
      <c r="B50" s="793" t="s">
        <v>640</v>
      </c>
      <c r="C50" s="1073" t="s">
        <v>666</v>
      </c>
      <c r="D50" s="1292"/>
      <c r="E50" s="1293">
        <v>1</v>
      </c>
      <c r="F50" s="1294">
        <v>43225</v>
      </c>
      <c r="G50" s="1294">
        <f t="shared" si="3"/>
        <v>43225</v>
      </c>
      <c r="H50" s="1292" t="s">
        <v>667</v>
      </c>
      <c r="I50" s="1293" t="s">
        <v>170</v>
      </c>
      <c r="J50" s="643" t="s">
        <v>642</v>
      </c>
      <c r="K50" s="1292" t="s">
        <v>668</v>
      </c>
      <c r="L50" s="1231">
        <v>23173</v>
      </c>
      <c r="M50" s="1292"/>
      <c r="N50" s="1292"/>
      <c r="O50" s="647">
        <v>333.33333333333331</v>
      </c>
      <c r="P50" s="1292">
        <v>1</v>
      </c>
      <c r="Q50" s="2381">
        <f t="shared" si="5"/>
        <v>333.33333333333331</v>
      </c>
      <c r="R50" s="956"/>
      <c r="S50" s="954"/>
      <c r="T50" s="805"/>
      <c r="U50" s="1823">
        <v>333.33333333333331</v>
      </c>
      <c r="V50" s="954"/>
      <c r="W50" s="954"/>
      <c r="X50" s="1166"/>
      <c r="Y50" s="1144"/>
      <c r="Z50" s="1124"/>
      <c r="AA50" s="1124"/>
      <c r="AB50" s="1124"/>
      <c r="AC50" s="1124"/>
      <c r="AD50" s="1124"/>
      <c r="AE50" s="1124"/>
      <c r="AF50" s="1124"/>
      <c r="AG50" s="547">
        <f t="shared" si="4"/>
        <v>333.33333333333331</v>
      </c>
    </row>
    <row r="51" spans="1:33" ht="116.25" hidden="1" customHeight="1">
      <c r="A51" s="796">
        <v>1112</v>
      </c>
      <c r="B51" s="793" t="s">
        <v>640</v>
      </c>
      <c r="C51" s="1073" t="s">
        <v>666</v>
      </c>
      <c r="D51" s="1292"/>
      <c r="E51" s="1293">
        <v>1</v>
      </c>
      <c r="F51" s="1294">
        <v>43225</v>
      </c>
      <c r="G51" s="1294">
        <f t="shared" si="3"/>
        <v>43225</v>
      </c>
      <c r="H51" s="1292" t="s">
        <v>667</v>
      </c>
      <c r="I51" s="1293" t="s">
        <v>170</v>
      </c>
      <c r="J51" s="643" t="s">
        <v>642</v>
      </c>
      <c r="K51" s="1292" t="s">
        <v>670</v>
      </c>
      <c r="L51" s="1231">
        <v>23173</v>
      </c>
      <c r="M51" s="1292"/>
      <c r="N51" s="1292"/>
      <c r="O51" s="647">
        <v>466.66666666666669</v>
      </c>
      <c r="P51" s="1292">
        <v>1</v>
      </c>
      <c r="Q51" s="2381">
        <f t="shared" si="5"/>
        <v>466.66666666666669</v>
      </c>
      <c r="R51" s="956"/>
      <c r="S51" s="954"/>
      <c r="T51" s="805"/>
      <c r="U51" s="1823">
        <v>466.66666666666669</v>
      </c>
      <c r="V51" s="954"/>
      <c r="W51" s="954"/>
      <c r="X51" s="1166"/>
      <c r="Y51" s="1144"/>
      <c r="Z51" s="1124"/>
      <c r="AA51" s="1124"/>
      <c r="AB51" s="1124"/>
      <c r="AC51" s="1124"/>
      <c r="AD51" s="1124"/>
      <c r="AE51" s="1124"/>
      <c r="AF51" s="1124"/>
      <c r="AG51" s="547">
        <f t="shared" si="4"/>
        <v>466.66666666666669</v>
      </c>
    </row>
    <row r="52" spans="1:33" ht="116.25" customHeight="1">
      <c r="A52" s="2745">
        <v>1113</v>
      </c>
      <c r="B52" s="2748" t="s">
        <v>671</v>
      </c>
      <c r="C52" s="2747" t="s">
        <v>672</v>
      </c>
      <c r="D52" s="1705"/>
      <c r="E52" s="2749">
        <v>5</v>
      </c>
      <c r="F52" s="2750">
        <v>43227</v>
      </c>
      <c r="G52" s="2750">
        <f>F52+E52-1</f>
        <v>43231</v>
      </c>
      <c r="H52" s="2751" t="s">
        <v>667</v>
      </c>
      <c r="I52" s="2749" t="s">
        <v>170</v>
      </c>
      <c r="J52" s="2752" t="s">
        <v>673</v>
      </c>
      <c r="K52" s="1705"/>
      <c r="L52" s="2740"/>
      <c r="M52" s="1705"/>
      <c r="N52" s="1705"/>
      <c r="O52" s="2741"/>
      <c r="P52" s="1705"/>
      <c r="Q52" s="2805">
        <f>SUM(Q53:Q57)</f>
        <v>6494.0000000000009</v>
      </c>
      <c r="R52" s="2742"/>
      <c r="S52" s="1144"/>
      <c r="T52" s="1124"/>
      <c r="U52" s="1566"/>
      <c r="V52" s="1144"/>
      <c r="W52" s="1144"/>
      <c r="X52" s="2743"/>
      <c r="Y52" s="1144"/>
      <c r="Z52" s="1124"/>
      <c r="AA52" s="1124"/>
      <c r="AB52" s="1124"/>
      <c r="AC52" s="1124"/>
      <c r="AD52" s="1124"/>
      <c r="AE52" s="1124"/>
      <c r="AF52" s="1124"/>
      <c r="AG52" s="2355"/>
    </row>
    <row r="53" spans="1:33" ht="73.900000000000006" hidden="1" customHeight="1">
      <c r="A53" s="796">
        <v>1113</v>
      </c>
      <c r="B53" s="793" t="s">
        <v>671</v>
      </c>
      <c r="C53" s="1073" t="s">
        <v>672</v>
      </c>
      <c r="D53" s="1292"/>
      <c r="E53" s="1293">
        <v>5</v>
      </c>
      <c r="F53" s="1294">
        <v>43227</v>
      </c>
      <c r="G53" s="1294">
        <f t="shared" si="3"/>
        <v>43231</v>
      </c>
      <c r="H53" s="1292" t="s">
        <v>667</v>
      </c>
      <c r="I53" s="1293" t="s">
        <v>170</v>
      </c>
      <c r="J53" s="643" t="s">
        <v>673</v>
      </c>
      <c r="K53" s="1292" t="s">
        <v>674</v>
      </c>
      <c r="L53" s="1231">
        <v>23174</v>
      </c>
      <c r="M53" s="1292"/>
      <c r="N53" s="1292"/>
      <c r="O53" s="647">
        <v>588</v>
      </c>
      <c r="P53" s="1292">
        <v>1</v>
      </c>
      <c r="Q53" s="2381">
        <f t="shared" si="5"/>
        <v>588</v>
      </c>
      <c r="R53" s="956"/>
      <c r="S53" s="954"/>
      <c r="T53" s="954"/>
      <c r="U53" s="1823">
        <v>588</v>
      </c>
      <c r="V53" s="954"/>
      <c r="W53" s="954"/>
      <c r="X53" s="1166"/>
      <c r="Y53" s="1144"/>
      <c r="Z53" s="1124"/>
      <c r="AA53" s="1124"/>
      <c r="AB53" s="1124"/>
      <c r="AC53" s="1124"/>
      <c r="AD53" s="1124"/>
      <c r="AE53" s="1124"/>
      <c r="AF53" s="1124"/>
      <c r="AG53" s="547">
        <f t="shared" si="4"/>
        <v>588</v>
      </c>
    </row>
    <row r="54" spans="1:33" ht="73.900000000000006" hidden="1" customHeight="1">
      <c r="A54" s="796">
        <v>1113</v>
      </c>
      <c r="B54" s="793" t="s">
        <v>671</v>
      </c>
      <c r="C54" s="1073" t="s">
        <v>672</v>
      </c>
      <c r="D54" s="1292"/>
      <c r="E54" s="1293">
        <v>5</v>
      </c>
      <c r="F54" s="1294">
        <v>43227</v>
      </c>
      <c r="G54" s="1294">
        <f t="shared" si="3"/>
        <v>43231</v>
      </c>
      <c r="H54" s="1292" t="s">
        <v>667</v>
      </c>
      <c r="I54" s="1293" t="s">
        <v>170</v>
      </c>
      <c r="J54" s="643" t="s">
        <v>673</v>
      </c>
      <c r="K54" s="1292" t="s">
        <v>675</v>
      </c>
      <c r="L54" s="1231">
        <v>23174</v>
      </c>
      <c r="M54" s="1292"/>
      <c r="N54" s="1292"/>
      <c r="O54" s="647">
        <v>653.33333333333337</v>
      </c>
      <c r="P54" s="1292">
        <v>1</v>
      </c>
      <c r="Q54" s="2381">
        <f t="shared" si="5"/>
        <v>653.33333333333337</v>
      </c>
      <c r="R54" s="956"/>
      <c r="S54" s="954"/>
      <c r="T54" s="954"/>
      <c r="U54" s="1823">
        <v>653.33333333333337</v>
      </c>
      <c r="V54" s="954"/>
      <c r="W54" s="954"/>
      <c r="X54" s="1166"/>
      <c r="Y54" s="1144"/>
      <c r="Z54" s="1124"/>
      <c r="AA54" s="1124"/>
      <c r="AB54" s="1124"/>
      <c r="AC54" s="1124"/>
      <c r="AD54" s="1124"/>
      <c r="AE54" s="1124"/>
      <c r="AF54" s="1124"/>
      <c r="AG54" s="547">
        <f t="shared" si="4"/>
        <v>653.33333333333337</v>
      </c>
    </row>
    <row r="55" spans="1:33" ht="73.900000000000006" hidden="1" customHeight="1">
      <c r="A55" s="796">
        <v>1113</v>
      </c>
      <c r="B55" s="793" t="s">
        <v>671</v>
      </c>
      <c r="C55" s="1073" t="s">
        <v>672</v>
      </c>
      <c r="D55" s="1292"/>
      <c r="E55" s="1293">
        <v>5</v>
      </c>
      <c r="F55" s="1294">
        <v>43227</v>
      </c>
      <c r="G55" s="1294">
        <f t="shared" si="3"/>
        <v>43231</v>
      </c>
      <c r="H55" s="1292" t="s">
        <v>667</v>
      </c>
      <c r="I55" s="1293" t="s">
        <v>170</v>
      </c>
      <c r="J55" s="643" t="s">
        <v>673</v>
      </c>
      <c r="K55" s="1292" t="s">
        <v>676</v>
      </c>
      <c r="L55" s="1231">
        <v>23174</v>
      </c>
      <c r="M55" s="1292"/>
      <c r="N55" s="1292"/>
      <c r="O55" s="647">
        <v>653</v>
      </c>
      <c r="P55" s="1292">
        <v>1</v>
      </c>
      <c r="Q55" s="2381">
        <f t="shared" si="5"/>
        <v>653</v>
      </c>
      <c r="R55" s="956"/>
      <c r="S55" s="954"/>
      <c r="T55" s="954"/>
      <c r="U55" s="1823">
        <v>653</v>
      </c>
      <c r="V55" s="954"/>
      <c r="W55" s="954"/>
      <c r="X55" s="1166"/>
      <c r="Y55" s="1144"/>
      <c r="Z55" s="1124"/>
      <c r="AA55" s="1124"/>
      <c r="AB55" s="1124"/>
      <c r="AC55" s="1124"/>
      <c r="AD55" s="1124"/>
      <c r="AE55" s="1124"/>
      <c r="AF55" s="1124"/>
      <c r="AG55" s="547">
        <f t="shared" si="4"/>
        <v>653</v>
      </c>
    </row>
    <row r="56" spans="1:33" ht="73.900000000000006" hidden="1" customHeight="1">
      <c r="A56" s="796">
        <v>1113</v>
      </c>
      <c r="B56" s="793" t="s">
        <v>671</v>
      </c>
      <c r="C56" s="1073" t="s">
        <v>672</v>
      </c>
      <c r="D56" s="1292"/>
      <c r="E56" s="1293">
        <v>5</v>
      </c>
      <c r="F56" s="1294">
        <v>43227</v>
      </c>
      <c r="G56" s="1294">
        <f t="shared" si="3"/>
        <v>43231</v>
      </c>
      <c r="H56" s="1292" t="s">
        <v>667</v>
      </c>
      <c r="I56" s="1293" t="s">
        <v>170</v>
      </c>
      <c r="J56" s="643" t="s">
        <v>673</v>
      </c>
      <c r="K56" s="1292" t="s">
        <v>677</v>
      </c>
      <c r="L56" s="1231">
        <v>23173</v>
      </c>
      <c r="M56" s="1292"/>
      <c r="N56" s="1292"/>
      <c r="O56" s="647">
        <v>3833</v>
      </c>
      <c r="P56" s="1292">
        <v>1</v>
      </c>
      <c r="Q56" s="2381">
        <f t="shared" si="5"/>
        <v>3833</v>
      </c>
      <c r="R56" s="956"/>
      <c r="S56" s="954"/>
      <c r="T56" s="954"/>
      <c r="U56" s="1823">
        <v>3833</v>
      </c>
      <c r="V56" s="954"/>
      <c r="W56" s="954"/>
      <c r="X56" s="1166"/>
      <c r="Y56" s="1144"/>
      <c r="Z56" s="1124"/>
      <c r="AA56" s="1124"/>
      <c r="AB56" s="1124"/>
      <c r="AC56" s="1124"/>
      <c r="AD56" s="1124"/>
      <c r="AE56" s="1124"/>
      <c r="AF56" s="1124"/>
      <c r="AG56" s="547">
        <f t="shared" si="4"/>
        <v>3833</v>
      </c>
    </row>
    <row r="57" spans="1:33" ht="73.900000000000006" hidden="1" customHeight="1">
      <c r="A57" s="796">
        <v>1113</v>
      </c>
      <c r="B57" s="793" t="s">
        <v>671</v>
      </c>
      <c r="C57" s="1073" t="s">
        <v>672</v>
      </c>
      <c r="D57" s="1292"/>
      <c r="E57" s="1293">
        <v>5</v>
      </c>
      <c r="F57" s="1294">
        <v>43227</v>
      </c>
      <c r="G57" s="1294">
        <f t="shared" si="3"/>
        <v>43231</v>
      </c>
      <c r="H57" s="1292" t="s">
        <v>667</v>
      </c>
      <c r="I57" s="1293" t="s">
        <v>170</v>
      </c>
      <c r="J57" s="643" t="s">
        <v>673</v>
      </c>
      <c r="K57" s="1292" t="s">
        <v>678</v>
      </c>
      <c r="L57" s="1231">
        <v>23173</v>
      </c>
      <c r="M57" s="1292"/>
      <c r="N57" s="1292"/>
      <c r="O57" s="647">
        <v>766.66666666666674</v>
      </c>
      <c r="P57" s="1292">
        <v>1</v>
      </c>
      <c r="Q57" s="2381">
        <f t="shared" si="5"/>
        <v>766.66666666666674</v>
      </c>
      <c r="R57" s="956"/>
      <c r="S57" s="954"/>
      <c r="T57" s="954"/>
      <c r="U57" s="1823">
        <v>766.66666666666674</v>
      </c>
      <c r="V57" s="954"/>
      <c r="W57" s="954"/>
      <c r="X57" s="1166"/>
      <c r="Y57" s="1144"/>
      <c r="Z57" s="1124"/>
      <c r="AA57" s="1124"/>
      <c r="AB57" s="1124"/>
      <c r="AC57" s="1124"/>
      <c r="AD57" s="1124"/>
      <c r="AE57" s="1124"/>
      <c r="AF57" s="1124"/>
      <c r="AG57" s="547">
        <f t="shared" si="4"/>
        <v>766.66666666666674</v>
      </c>
    </row>
    <row r="58" spans="1:33" ht="73.900000000000006" customHeight="1">
      <c r="A58" s="2754">
        <v>1114</v>
      </c>
      <c r="B58" s="2755" t="s">
        <v>679</v>
      </c>
      <c r="C58" s="2756" t="s">
        <v>680</v>
      </c>
      <c r="D58" s="2757"/>
      <c r="E58" s="2758">
        <v>5</v>
      </c>
      <c r="F58" s="2759">
        <v>43248</v>
      </c>
      <c r="G58" s="2759">
        <v>43252</v>
      </c>
      <c r="H58" s="2757" t="s">
        <v>681</v>
      </c>
      <c r="I58" s="2758" t="s">
        <v>170</v>
      </c>
      <c r="J58" s="2760" t="s">
        <v>682</v>
      </c>
      <c r="K58" s="1705"/>
      <c r="L58" s="2740"/>
      <c r="M58" s="1705"/>
      <c r="N58" s="1705"/>
      <c r="O58" s="2741"/>
      <c r="P58" s="1705"/>
      <c r="Q58" s="2805">
        <f>SUM(Q59:Q71)</f>
        <v>97693</v>
      </c>
      <c r="R58" s="2742"/>
      <c r="S58" s="1144"/>
      <c r="T58" s="1144"/>
      <c r="U58" s="1566"/>
      <c r="V58" s="1144"/>
      <c r="W58" s="1144"/>
      <c r="X58" s="2743"/>
      <c r="Y58" s="1144"/>
      <c r="Z58" s="1124"/>
      <c r="AA58" s="1124"/>
      <c r="AB58" s="1124"/>
      <c r="AC58" s="1124"/>
      <c r="AD58" s="1124"/>
      <c r="AE58" s="1124"/>
      <c r="AF58" s="1124"/>
      <c r="AG58" s="2355"/>
    </row>
    <row r="59" spans="1:33" ht="73.900000000000006" hidden="1" customHeight="1">
      <c r="A59" s="796">
        <v>1114</v>
      </c>
      <c r="B59" s="793" t="s">
        <v>679</v>
      </c>
      <c r="C59" s="1073" t="s">
        <v>680</v>
      </c>
      <c r="D59" s="1292"/>
      <c r="E59" s="1293">
        <v>5</v>
      </c>
      <c r="F59" s="1294">
        <v>43248</v>
      </c>
      <c r="G59" s="1294">
        <f t="shared" si="3"/>
        <v>43252</v>
      </c>
      <c r="H59" s="1292" t="s">
        <v>681</v>
      </c>
      <c r="I59" s="1293" t="s">
        <v>170</v>
      </c>
      <c r="J59" s="643" t="s">
        <v>682</v>
      </c>
      <c r="K59" s="1292" t="s">
        <v>683</v>
      </c>
      <c r="L59" s="1231">
        <v>23174</v>
      </c>
      <c r="M59" s="1292"/>
      <c r="N59" s="1292"/>
      <c r="O59" s="647">
        <v>588</v>
      </c>
      <c r="P59" s="1292">
        <v>1</v>
      </c>
      <c r="Q59" s="2381">
        <f t="shared" si="5"/>
        <v>588</v>
      </c>
      <c r="R59" s="956"/>
      <c r="S59" s="954"/>
      <c r="T59" s="954"/>
      <c r="U59" s="1823">
        <v>588</v>
      </c>
      <c r="V59" s="805"/>
      <c r="W59" s="954"/>
      <c r="X59" s="1166"/>
      <c r="Y59" s="1144"/>
      <c r="Z59" s="1124"/>
      <c r="AA59" s="1124"/>
      <c r="AB59" s="1124"/>
      <c r="AC59" s="1124"/>
      <c r="AD59" s="1124"/>
      <c r="AE59" s="1124"/>
      <c r="AF59" s="1124"/>
      <c r="AG59" s="547">
        <f t="shared" si="4"/>
        <v>588</v>
      </c>
    </row>
    <row r="60" spans="1:33" ht="73.900000000000006" hidden="1" customHeight="1">
      <c r="A60" s="796">
        <v>1114</v>
      </c>
      <c r="B60" s="793" t="s">
        <v>679</v>
      </c>
      <c r="C60" s="1073" t="s">
        <v>680</v>
      </c>
      <c r="D60" s="1292"/>
      <c r="E60" s="1293">
        <v>5</v>
      </c>
      <c r="F60" s="1294">
        <v>43248</v>
      </c>
      <c r="G60" s="1294">
        <f t="shared" si="3"/>
        <v>43252</v>
      </c>
      <c r="H60" s="1292" t="s">
        <v>681</v>
      </c>
      <c r="I60" s="1293" t="s">
        <v>170</v>
      </c>
      <c r="J60" s="643" t="s">
        <v>682</v>
      </c>
      <c r="K60" s="1292" t="s">
        <v>684</v>
      </c>
      <c r="L60" s="1231">
        <v>23174</v>
      </c>
      <c r="M60" s="1292"/>
      <c r="N60" s="1292"/>
      <c r="O60" s="647">
        <v>653.33333333333337</v>
      </c>
      <c r="P60" s="1292">
        <v>1</v>
      </c>
      <c r="Q60" s="2381">
        <f t="shared" si="5"/>
        <v>653.33333333333337</v>
      </c>
      <c r="R60" s="956"/>
      <c r="S60" s="954"/>
      <c r="T60" s="954"/>
      <c r="U60" s="1823">
        <v>653.33333333333337</v>
      </c>
      <c r="V60" s="805"/>
      <c r="W60" s="954"/>
      <c r="X60" s="1166"/>
      <c r="Y60" s="1144"/>
      <c r="Z60" s="1124"/>
      <c r="AA60" s="1124"/>
      <c r="AB60" s="1124"/>
      <c r="AC60" s="1124"/>
      <c r="AD60" s="1124"/>
      <c r="AE60" s="1124"/>
      <c r="AF60" s="1124"/>
      <c r="AG60" s="547">
        <f t="shared" si="4"/>
        <v>653.33333333333337</v>
      </c>
    </row>
    <row r="61" spans="1:33" ht="73.900000000000006" hidden="1" customHeight="1">
      <c r="A61" s="796">
        <v>1114</v>
      </c>
      <c r="B61" s="793" t="s">
        <v>679</v>
      </c>
      <c r="C61" s="1073" t="s">
        <v>680</v>
      </c>
      <c r="D61" s="1292"/>
      <c r="E61" s="1293">
        <v>5</v>
      </c>
      <c r="F61" s="1294">
        <v>43248</v>
      </c>
      <c r="G61" s="1294">
        <f t="shared" si="3"/>
        <v>43252</v>
      </c>
      <c r="H61" s="1292" t="s">
        <v>681</v>
      </c>
      <c r="I61" s="1293" t="s">
        <v>170</v>
      </c>
      <c r="J61" s="643" t="s">
        <v>682</v>
      </c>
      <c r="K61" s="1292" t="s">
        <v>685</v>
      </c>
      <c r="L61" s="1231">
        <v>23174</v>
      </c>
      <c r="M61" s="1292"/>
      <c r="N61" s="1292"/>
      <c r="O61" s="647">
        <v>490</v>
      </c>
      <c r="P61" s="1292">
        <v>1</v>
      </c>
      <c r="Q61" s="2381">
        <f t="shared" si="5"/>
        <v>490</v>
      </c>
      <c r="R61" s="956"/>
      <c r="S61" s="954"/>
      <c r="T61" s="954"/>
      <c r="U61" s="1823">
        <v>490</v>
      </c>
      <c r="V61" s="805"/>
      <c r="W61" s="954"/>
      <c r="X61" s="1166"/>
      <c r="Y61" s="1144"/>
      <c r="Z61" s="1124"/>
      <c r="AA61" s="1124"/>
      <c r="AB61" s="1124"/>
      <c r="AC61" s="1124"/>
      <c r="AD61" s="1124"/>
      <c r="AE61" s="1124"/>
      <c r="AF61" s="1124"/>
      <c r="AG61" s="547">
        <f t="shared" si="4"/>
        <v>490</v>
      </c>
    </row>
    <row r="62" spans="1:33" ht="73.900000000000006" hidden="1" customHeight="1">
      <c r="A62" s="796">
        <v>1114</v>
      </c>
      <c r="B62" s="793" t="s">
        <v>679</v>
      </c>
      <c r="C62" s="1073" t="s">
        <v>680</v>
      </c>
      <c r="D62" s="1292"/>
      <c r="E62" s="1293">
        <v>5</v>
      </c>
      <c r="F62" s="1294">
        <v>43248</v>
      </c>
      <c r="G62" s="1294">
        <f t="shared" si="3"/>
        <v>43252</v>
      </c>
      <c r="H62" s="1292" t="s">
        <v>681</v>
      </c>
      <c r="I62" s="1293" t="s">
        <v>170</v>
      </c>
      <c r="J62" s="643" t="s">
        <v>682</v>
      </c>
      <c r="K62" s="1292" t="s">
        <v>686</v>
      </c>
      <c r="L62" s="1231">
        <v>23174</v>
      </c>
      <c r="M62" s="1292"/>
      <c r="N62" s="1292"/>
      <c r="O62" s="647">
        <v>326.66666666666669</v>
      </c>
      <c r="P62" s="1292">
        <v>1</v>
      </c>
      <c r="Q62" s="2381">
        <f t="shared" si="5"/>
        <v>326.66666666666669</v>
      </c>
      <c r="R62" s="956"/>
      <c r="S62" s="954"/>
      <c r="T62" s="954"/>
      <c r="U62" s="1823">
        <v>326.66666666666669</v>
      </c>
      <c r="V62" s="805"/>
      <c r="W62" s="954"/>
      <c r="X62" s="1166"/>
      <c r="Y62" s="1144"/>
      <c r="Z62" s="1124"/>
      <c r="AA62" s="1124"/>
      <c r="AB62" s="1124"/>
      <c r="AC62" s="1124"/>
      <c r="AD62" s="1124"/>
      <c r="AE62" s="1124"/>
      <c r="AF62" s="1124"/>
      <c r="AG62" s="547">
        <f t="shared" si="4"/>
        <v>326.66666666666669</v>
      </c>
    </row>
    <row r="63" spans="1:33" ht="73.900000000000006" hidden="1" customHeight="1">
      <c r="A63" s="796">
        <v>1114</v>
      </c>
      <c r="B63" s="793" t="s">
        <v>679</v>
      </c>
      <c r="C63" s="1073" t="s">
        <v>680</v>
      </c>
      <c r="D63" s="1292"/>
      <c r="E63" s="1293">
        <v>5</v>
      </c>
      <c r="F63" s="1294">
        <v>43248</v>
      </c>
      <c r="G63" s="1294">
        <f t="shared" si="3"/>
        <v>43252</v>
      </c>
      <c r="H63" s="1292" t="s">
        <v>681</v>
      </c>
      <c r="I63" s="1293" t="s">
        <v>170</v>
      </c>
      <c r="J63" s="643" t="s">
        <v>682</v>
      </c>
      <c r="K63" s="1292" t="s">
        <v>687</v>
      </c>
      <c r="L63" s="1231">
        <v>23174</v>
      </c>
      <c r="M63" s="1292"/>
      <c r="N63" s="1292"/>
      <c r="O63" s="647">
        <v>2221</v>
      </c>
      <c r="P63" s="1292">
        <v>1</v>
      </c>
      <c r="Q63" s="2381">
        <f t="shared" si="5"/>
        <v>2221</v>
      </c>
      <c r="R63" s="956"/>
      <c r="S63" s="954"/>
      <c r="T63" s="954"/>
      <c r="U63" s="1823">
        <v>2221</v>
      </c>
      <c r="V63" s="805"/>
      <c r="W63" s="954"/>
      <c r="X63" s="1166"/>
      <c r="Y63" s="1144"/>
      <c r="Z63" s="1124"/>
      <c r="AA63" s="1124"/>
      <c r="AB63" s="1124"/>
      <c r="AC63" s="1124"/>
      <c r="AD63" s="1124"/>
      <c r="AE63" s="1124"/>
      <c r="AF63" s="1124"/>
      <c r="AG63" s="547">
        <f t="shared" si="4"/>
        <v>2221</v>
      </c>
    </row>
    <row r="64" spans="1:33" ht="73.900000000000006" hidden="1" customHeight="1">
      <c r="A64" s="796">
        <v>1114</v>
      </c>
      <c r="B64" s="793" t="s">
        <v>679</v>
      </c>
      <c r="C64" s="1073" t="s">
        <v>680</v>
      </c>
      <c r="D64" s="1292"/>
      <c r="E64" s="1293">
        <v>5</v>
      </c>
      <c r="F64" s="1294">
        <v>43248</v>
      </c>
      <c r="G64" s="1294">
        <f t="shared" si="3"/>
        <v>43252</v>
      </c>
      <c r="H64" s="1292" t="s">
        <v>681</v>
      </c>
      <c r="I64" s="1293" t="s">
        <v>170</v>
      </c>
      <c r="J64" s="643" t="s">
        <v>682</v>
      </c>
      <c r="K64" s="1292" t="s">
        <v>688</v>
      </c>
      <c r="L64" s="1231">
        <v>23174</v>
      </c>
      <c r="M64" s="1292"/>
      <c r="N64" s="1292"/>
      <c r="O64" s="647">
        <v>1764</v>
      </c>
      <c r="P64" s="1292">
        <v>1</v>
      </c>
      <c r="Q64" s="2381">
        <f t="shared" si="5"/>
        <v>1764</v>
      </c>
      <c r="R64" s="956"/>
      <c r="S64" s="954"/>
      <c r="T64" s="954"/>
      <c r="U64" s="1823">
        <v>1764</v>
      </c>
      <c r="V64" s="805"/>
      <c r="W64" s="954"/>
      <c r="X64" s="1166"/>
      <c r="Y64" s="1144"/>
      <c r="Z64" s="1124"/>
      <c r="AA64" s="1124"/>
      <c r="AB64" s="1124"/>
      <c r="AC64" s="1124"/>
      <c r="AD64" s="1124"/>
      <c r="AE64" s="1124"/>
      <c r="AF64" s="1124"/>
      <c r="AG64" s="547">
        <f t="shared" si="4"/>
        <v>1764</v>
      </c>
    </row>
    <row r="65" spans="1:33" ht="73.900000000000006" hidden="1" customHeight="1">
      <c r="A65" s="796">
        <v>1114</v>
      </c>
      <c r="B65" s="793" t="s">
        <v>679</v>
      </c>
      <c r="C65" s="1073" t="s">
        <v>680</v>
      </c>
      <c r="D65" s="1292"/>
      <c r="E65" s="1293">
        <v>5</v>
      </c>
      <c r="F65" s="1294">
        <v>43248</v>
      </c>
      <c r="G65" s="1294">
        <f t="shared" si="3"/>
        <v>43252</v>
      </c>
      <c r="H65" s="1292" t="s">
        <v>681</v>
      </c>
      <c r="I65" s="1293" t="s">
        <v>170</v>
      </c>
      <c r="J65" s="643" t="s">
        <v>682</v>
      </c>
      <c r="K65" s="1292" t="s">
        <v>689</v>
      </c>
      <c r="L65" s="1231">
        <v>23174</v>
      </c>
      <c r="M65" s="1292"/>
      <c r="N65" s="1292"/>
      <c r="O65" s="647">
        <v>1960</v>
      </c>
      <c r="P65" s="1292">
        <v>1</v>
      </c>
      <c r="Q65" s="2381">
        <f t="shared" si="5"/>
        <v>1960</v>
      </c>
      <c r="R65" s="956"/>
      <c r="S65" s="954"/>
      <c r="T65" s="954"/>
      <c r="U65" s="1823">
        <v>1960</v>
      </c>
      <c r="V65" s="805"/>
      <c r="W65" s="954"/>
      <c r="X65" s="1166"/>
      <c r="Y65" s="1144"/>
      <c r="Z65" s="1124"/>
      <c r="AA65" s="1124"/>
      <c r="AB65" s="1124"/>
      <c r="AC65" s="1124"/>
      <c r="AD65" s="1124"/>
      <c r="AE65" s="1124"/>
      <c r="AF65" s="1124"/>
      <c r="AG65" s="547">
        <f t="shared" si="4"/>
        <v>1960</v>
      </c>
    </row>
    <row r="66" spans="1:33" ht="73.900000000000006" hidden="1" customHeight="1">
      <c r="A66" s="796">
        <v>1114</v>
      </c>
      <c r="B66" s="793" t="s">
        <v>679</v>
      </c>
      <c r="C66" s="1073" t="s">
        <v>680</v>
      </c>
      <c r="D66" s="1292"/>
      <c r="E66" s="1293">
        <v>5</v>
      </c>
      <c r="F66" s="1294">
        <v>43248</v>
      </c>
      <c r="G66" s="1294">
        <f t="shared" si="3"/>
        <v>43252</v>
      </c>
      <c r="H66" s="1292" t="s">
        <v>681</v>
      </c>
      <c r="I66" s="1293" t="s">
        <v>170</v>
      </c>
      <c r="J66" s="643" t="s">
        <v>682</v>
      </c>
      <c r="K66" s="1292" t="s">
        <v>690</v>
      </c>
      <c r="L66" s="1231">
        <v>23174</v>
      </c>
      <c r="M66" s="1292"/>
      <c r="N66" s="1292"/>
      <c r="O66" s="647">
        <v>1960</v>
      </c>
      <c r="P66" s="1292">
        <v>1</v>
      </c>
      <c r="Q66" s="2381">
        <f t="shared" si="5"/>
        <v>1960</v>
      </c>
      <c r="R66" s="956"/>
      <c r="S66" s="954"/>
      <c r="T66" s="954"/>
      <c r="U66" s="1823">
        <v>1960</v>
      </c>
      <c r="V66" s="805"/>
      <c r="W66" s="954"/>
      <c r="X66" s="1166"/>
      <c r="Y66" s="1144"/>
      <c r="Z66" s="1124"/>
      <c r="AA66" s="1124"/>
      <c r="AB66" s="1124"/>
      <c r="AC66" s="1124"/>
      <c r="AD66" s="1124"/>
      <c r="AE66" s="1124"/>
      <c r="AF66" s="1124"/>
      <c r="AG66" s="547">
        <f t="shared" si="4"/>
        <v>1960</v>
      </c>
    </row>
    <row r="67" spans="1:33" ht="73.900000000000006" hidden="1" customHeight="1">
      <c r="A67" s="796">
        <v>1114</v>
      </c>
      <c r="B67" s="793" t="s">
        <v>679</v>
      </c>
      <c r="C67" s="1073" t="s">
        <v>680</v>
      </c>
      <c r="D67" s="1292"/>
      <c r="E67" s="1293">
        <v>5</v>
      </c>
      <c r="F67" s="1294">
        <v>43248</v>
      </c>
      <c r="G67" s="1294">
        <f t="shared" si="3"/>
        <v>43252</v>
      </c>
      <c r="H67" s="1292" t="s">
        <v>681</v>
      </c>
      <c r="I67" s="1293" t="s">
        <v>170</v>
      </c>
      <c r="J67" s="643" t="s">
        <v>682</v>
      </c>
      <c r="K67" s="1292" t="s">
        <v>691</v>
      </c>
      <c r="L67" s="1231">
        <v>23174</v>
      </c>
      <c r="M67" s="1292"/>
      <c r="N67" s="1292"/>
      <c r="O67" s="647">
        <v>8484</v>
      </c>
      <c r="P67" s="1292">
        <v>1</v>
      </c>
      <c r="Q67" s="2381">
        <f t="shared" si="5"/>
        <v>8484</v>
      </c>
      <c r="R67" s="956"/>
      <c r="S67" s="954"/>
      <c r="T67" s="954"/>
      <c r="U67" s="805"/>
      <c r="V67" s="1823">
        <v>8484</v>
      </c>
      <c r="W67" s="954"/>
      <c r="X67" s="1166"/>
      <c r="Y67" s="1144"/>
      <c r="Z67" s="1124"/>
      <c r="AA67" s="1124"/>
      <c r="AB67" s="1124"/>
      <c r="AC67" s="1124"/>
      <c r="AD67" s="1124"/>
      <c r="AE67" s="1124"/>
      <c r="AF67" s="1124"/>
      <c r="AG67" s="547">
        <f t="shared" si="4"/>
        <v>8484</v>
      </c>
    </row>
    <row r="68" spans="1:33" ht="73.900000000000006" hidden="1" customHeight="1">
      <c r="A68" s="796">
        <v>1114</v>
      </c>
      <c r="B68" s="793" t="s">
        <v>679</v>
      </c>
      <c r="C68" s="1073" t="s">
        <v>680</v>
      </c>
      <c r="D68" s="1292"/>
      <c r="E68" s="1293">
        <v>5</v>
      </c>
      <c r="F68" s="1294">
        <v>43248</v>
      </c>
      <c r="G68" s="1294">
        <f t="shared" si="3"/>
        <v>43252</v>
      </c>
      <c r="H68" s="1292" t="s">
        <v>681</v>
      </c>
      <c r="I68" s="1293" t="s">
        <v>170</v>
      </c>
      <c r="J68" s="643" t="s">
        <v>682</v>
      </c>
      <c r="K68" s="1292" t="s">
        <v>692</v>
      </c>
      <c r="L68" s="1231">
        <v>23174</v>
      </c>
      <c r="M68" s="1292"/>
      <c r="N68" s="1292"/>
      <c r="O68" s="647">
        <v>9427</v>
      </c>
      <c r="P68" s="1292">
        <v>1</v>
      </c>
      <c r="Q68" s="2381">
        <f t="shared" si="5"/>
        <v>9427</v>
      </c>
      <c r="R68" s="956"/>
      <c r="S68" s="954"/>
      <c r="T68" s="954"/>
      <c r="U68" s="805"/>
      <c r="V68" s="1823">
        <v>9427</v>
      </c>
      <c r="W68" s="954"/>
      <c r="X68" s="1166"/>
      <c r="Y68" s="1144"/>
      <c r="Z68" s="1124"/>
      <c r="AA68" s="1124"/>
      <c r="AB68" s="1124"/>
      <c r="AC68" s="1124"/>
      <c r="AD68" s="1124"/>
      <c r="AE68" s="1124"/>
      <c r="AF68" s="1124"/>
      <c r="AG68" s="547">
        <f t="shared" si="4"/>
        <v>9427</v>
      </c>
    </row>
    <row r="69" spans="1:33" ht="73.900000000000006" hidden="1" customHeight="1">
      <c r="A69" s="796">
        <v>1114</v>
      </c>
      <c r="B69" s="793" t="s">
        <v>679</v>
      </c>
      <c r="C69" s="1073" t="s">
        <v>680</v>
      </c>
      <c r="D69" s="1292"/>
      <c r="E69" s="1293">
        <v>5</v>
      </c>
      <c r="F69" s="1294">
        <v>43248</v>
      </c>
      <c r="G69" s="1294">
        <f t="shared" si="3"/>
        <v>43252</v>
      </c>
      <c r="H69" s="1292" t="s">
        <v>681</v>
      </c>
      <c r="I69" s="1293" t="s">
        <v>170</v>
      </c>
      <c r="J69" s="643" t="s">
        <v>682</v>
      </c>
      <c r="K69" s="1292" t="s">
        <v>693</v>
      </c>
      <c r="L69" s="1231">
        <v>23174</v>
      </c>
      <c r="M69" s="1292"/>
      <c r="N69" s="1292"/>
      <c r="O69" s="647">
        <v>1347</v>
      </c>
      <c r="P69" s="1292">
        <v>1</v>
      </c>
      <c r="Q69" s="2381">
        <f t="shared" si="5"/>
        <v>1347</v>
      </c>
      <c r="R69" s="956"/>
      <c r="S69" s="954"/>
      <c r="T69" s="954"/>
      <c r="U69" s="805"/>
      <c r="V69" s="1823">
        <v>1347</v>
      </c>
      <c r="W69" s="954"/>
      <c r="X69" s="1166"/>
      <c r="Y69" s="1144"/>
      <c r="Z69" s="1124"/>
      <c r="AA69" s="1124"/>
      <c r="AB69" s="1124"/>
      <c r="AC69" s="1124"/>
      <c r="AD69" s="1124"/>
      <c r="AE69" s="1124"/>
      <c r="AF69" s="1124"/>
      <c r="AG69" s="547">
        <f t="shared" si="4"/>
        <v>1347</v>
      </c>
    </row>
    <row r="70" spans="1:33" ht="73.900000000000006" customHeight="1">
      <c r="A70" s="2745">
        <v>1115</v>
      </c>
      <c r="B70" s="2748" t="s">
        <v>694</v>
      </c>
      <c r="C70" s="2747" t="s">
        <v>695</v>
      </c>
      <c r="D70" s="2751"/>
      <c r="E70" s="2749">
        <v>10</v>
      </c>
      <c r="F70" s="2750">
        <v>43257</v>
      </c>
      <c r="G70" s="2750">
        <f>F70+E70-1</f>
        <v>43266</v>
      </c>
      <c r="H70" s="2751" t="s">
        <v>681</v>
      </c>
      <c r="I70" s="2749" t="s">
        <v>170</v>
      </c>
      <c r="J70" s="2752" t="s">
        <v>696</v>
      </c>
      <c r="K70" s="1705"/>
      <c r="L70" s="2740"/>
      <c r="M70" s="1705"/>
      <c r="N70" s="1705"/>
      <c r="O70" s="2741"/>
      <c r="P70" s="1705"/>
      <c r="Q70" s="2805">
        <f>SUM(Q72:Q88)</f>
        <v>68052</v>
      </c>
      <c r="R70" s="2742"/>
      <c r="S70" s="1144"/>
      <c r="T70" s="1144"/>
      <c r="U70" s="1124"/>
      <c r="V70" s="1566"/>
      <c r="W70" s="1144"/>
      <c r="X70" s="2743"/>
      <c r="Y70" s="1144"/>
      <c r="Z70" s="1124"/>
      <c r="AA70" s="1124"/>
      <c r="AB70" s="1124"/>
      <c r="AC70" s="1124"/>
      <c r="AD70" s="1124"/>
      <c r="AE70" s="1124"/>
      <c r="AF70" s="1124"/>
      <c r="AG70" s="2355"/>
    </row>
    <row r="71" spans="1:33" ht="97.5" hidden="1" customHeight="1">
      <c r="A71" s="796">
        <v>1115</v>
      </c>
      <c r="B71" s="793" t="s">
        <v>694</v>
      </c>
      <c r="C71" s="1073" t="s">
        <v>695</v>
      </c>
      <c r="D71" s="1292"/>
      <c r="E71" s="1293">
        <v>10</v>
      </c>
      <c r="F71" s="1294">
        <v>43257</v>
      </c>
      <c r="G71" s="1294">
        <f t="shared" si="3"/>
        <v>43266</v>
      </c>
      <c r="H71" s="1292" t="s">
        <v>681</v>
      </c>
      <c r="I71" s="1293" t="s">
        <v>170</v>
      </c>
      <c r="J71" s="643" t="s">
        <v>696</v>
      </c>
      <c r="K71" s="1292" t="s">
        <v>697</v>
      </c>
      <c r="L71" s="1231">
        <v>23174</v>
      </c>
      <c r="M71" s="1292"/>
      <c r="N71" s="1292"/>
      <c r="O71" s="647">
        <v>420</v>
      </c>
      <c r="P71" s="1292">
        <v>1</v>
      </c>
      <c r="Q71" s="2381">
        <f t="shared" si="5"/>
        <v>420</v>
      </c>
      <c r="R71" s="956"/>
      <c r="S71" s="954"/>
      <c r="T71" s="954"/>
      <c r="U71" s="954"/>
      <c r="V71" s="1823">
        <v>420</v>
      </c>
      <c r="W71" s="805"/>
      <c r="X71" s="1166"/>
      <c r="Y71" s="1144"/>
      <c r="Z71" s="1124"/>
      <c r="AA71" s="1124"/>
      <c r="AB71" s="1124"/>
      <c r="AC71" s="1124"/>
      <c r="AD71" s="1124"/>
      <c r="AE71" s="1124"/>
      <c r="AF71" s="1124"/>
      <c r="AG71" s="547">
        <f t="shared" si="4"/>
        <v>420</v>
      </c>
    </row>
    <row r="72" spans="1:33" ht="97.5" hidden="1" customHeight="1">
      <c r="A72" s="796">
        <v>1115</v>
      </c>
      <c r="B72" s="793" t="s">
        <v>694</v>
      </c>
      <c r="C72" s="1073" t="s">
        <v>695</v>
      </c>
      <c r="D72" s="1292"/>
      <c r="E72" s="1293">
        <v>10</v>
      </c>
      <c r="F72" s="1294">
        <v>43257</v>
      </c>
      <c r="G72" s="1294">
        <f t="shared" si="3"/>
        <v>43266</v>
      </c>
      <c r="H72" s="1292" t="s">
        <v>681</v>
      </c>
      <c r="I72" s="1293" t="s">
        <v>170</v>
      </c>
      <c r="J72" s="643" t="s">
        <v>696</v>
      </c>
      <c r="K72" s="1292" t="s">
        <v>698</v>
      </c>
      <c r="L72" s="1231">
        <v>23174</v>
      </c>
      <c r="M72" s="1292"/>
      <c r="N72" s="1292"/>
      <c r="O72" s="647">
        <v>466.66666666666669</v>
      </c>
      <c r="P72" s="1292">
        <v>1</v>
      </c>
      <c r="Q72" s="2381">
        <f t="shared" si="5"/>
        <v>466.66666666666669</v>
      </c>
      <c r="R72" s="956"/>
      <c r="S72" s="954"/>
      <c r="T72" s="954"/>
      <c r="U72" s="954"/>
      <c r="V72" s="1823">
        <v>466.66666666666669</v>
      </c>
      <c r="W72" s="805"/>
      <c r="X72" s="1166"/>
      <c r="Y72" s="1144"/>
      <c r="Z72" s="1124"/>
      <c r="AA72" s="1124"/>
      <c r="AB72" s="1124"/>
      <c r="AC72" s="1124"/>
      <c r="AD72" s="1124"/>
      <c r="AE72" s="1124"/>
      <c r="AF72" s="1124"/>
      <c r="AG72" s="547">
        <f t="shared" si="4"/>
        <v>466.66666666666669</v>
      </c>
    </row>
    <row r="73" spans="1:33" ht="97.5" hidden="1" customHeight="1">
      <c r="A73" s="796">
        <v>1115</v>
      </c>
      <c r="B73" s="793" t="s">
        <v>694</v>
      </c>
      <c r="C73" s="1073" t="s">
        <v>695</v>
      </c>
      <c r="D73" s="1292"/>
      <c r="E73" s="1293">
        <v>10</v>
      </c>
      <c r="F73" s="1294">
        <v>43257</v>
      </c>
      <c r="G73" s="1294">
        <f t="shared" si="3"/>
        <v>43266</v>
      </c>
      <c r="H73" s="1292" t="s">
        <v>681</v>
      </c>
      <c r="I73" s="1293" t="s">
        <v>170</v>
      </c>
      <c r="J73" s="643" t="s">
        <v>696</v>
      </c>
      <c r="K73" s="1292" t="s">
        <v>699</v>
      </c>
      <c r="L73" s="1231">
        <v>23174</v>
      </c>
      <c r="M73" s="1292"/>
      <c r="N73" s="1292"/>
      <c r="O73" s="647">
        <v>350</v>
      </c>
      <c r="P73" s="1292">
        <v>1</v>
      </c>
      <c r="Q73" s="2381">
        <f t="shared" si="5"/>
        <v>350</v>
      </c>
      <c r="R73" s="956"/>
      <c r="S73" s="954"/>
      <c r="T73" s="954"/>
      <c r="U73" s="954"/>
      <c r="V73" s="1823">
        <v>350</v>
      </c>
      <c r="W73" s="805"/>
      <c r="X73" s="1166"/>
      <c r="Y73" s="1144"/>
      <c r="Z73" s="1124"/>
      <c r="AA73" s="1124"/>
      <c r="AB73" s="1124"/>
      <c r="AC73" s="1124"/>
      <c r="AD73" s="1124"/>
      <c r="AE73" s="1124"/>
      <c r="AF73" s="1124"/>
      <c r="AG73" s="547">
        <f t="shared" si="4"/>
        <v>350</v>
      </c>
    </row>
    <row r="74" spans="1:33" ht="97.5" hidden="1" customHeight="1">
      <c r="A74" s="796">
        <v>1115</v>
      </c>
      <c r="B74" s="793" t="s">
        <v>694</v>
      </c>
      <c r="C74" s="1073" t="s">
        <v>695</v>
      </c>
      <c r="D74" s="1292"/>
      <c r="E74" s="1293">
        <v>10</v>
      </c>
      <c r="F74" s="1294">
        <v>43257</v>
      </c>
      <c r="G74" s="1294">
        <f t="shared" si="3"/>
        <v>43266</v>
      </c>
      <c r="H74" s="1292" t="s">
        <v>681</v>
      </c>
      <c r="I74" s="1293" t="s">
        <v>170</v>
      </c>
      <c r="J74" s="643" t="s">
        <v>696</v>
      </c>
      <c r="K74" s="1292" t="s">
        <v>700</v>
      </c>
      <c r="L74" s="1231">
        <v>23174</v>
      </c>
      <c r="M74" s="1292"/>
      <c r="N74" s="1292"/>
      <c r="O74" s="647">
        <v>233.33333333333334</v>
      </c>
      <c r="P74" s="1292">
        <v>1</v>
      </c>
      <c r="Q74" s="2381">
        <f t="shared" si="5"/>
        <v>233.33333333333334</v>
      </c>
      <c r="R74" s="956"/>
      <c r="S74" s="954"/>
      <c r="T74" s="954"/>
      <c r="U74" s="954"/>
      <c r="V74" s="1823">
        <v>233.33333333333334</v>
      </c>
      <c r="W74" s="805"/>
      <c r="X74" s="1166"/>
      <c r="Y74" s="1144"/>
      <c r="Z74" s="1124"/>
      <c r="AA74" s="1124"/>
      <c r="AB74" s="1124"/>
      <c r="AC74" s="1124"/>
      <c r="AD74" s="1124"/>
      <c r="AE74" s="1124"/>
      <c r="AF74" s="1124"/>
      <c r="AG74" s="547">
        <f t="shared" si="4"/>
        <v>233.33333333333334</v>
      </c>
    </row>
    <row r="75" spans="1:33" ht="97.5" hidden="1" customHeight="1">
      <c r="A75" s="796">
        <v>1115</v>
      </c>
      <c r="B75" s="793" t="s">
        <v>694</v>
      </c>
      <c r="C75" s="1073" t="s">
        <v>695</v>
      </c>
      <c r="D75" s="1292"/>
      <c r="E75" s="1293">
        <v>10</v>
      </c>
      <c r="F75" s="1294">
        <v>43257</v>
      </c>
      <c r="G75" s="1294">
        <f t="shared" si="3"/>
        <v>43266</v>
      </c>
      <c r="H75" s="1292" t="s">
        <v>681</v>
      </c>
      <c r="I75" s="1293" t="s">
        <v>170</v>
      </c>
      <c r="J75" s="643" t="s">
        <v>696</v>
      </c>
      <c r="K75" s="1292" t="s">
        <v>683</v>
      </c>
      <c r="L75" s="1231">
        <v>23174</v>
      </c>
      <c r="M75" s="1292"/>
      <c r="N75" s="1292"/>
      <c r="O75" s="647">
        <v>1176</v>
      </c>
      <c r="P75" s="1292">
        <v>1</v>
      </c>
      <c r="Q75" s="2381">
        <f t="shared" si="5"/>
        <v>1176</v>
      </c>
      <c r="R75" s="956"/>
      <c r="S75" s="954"/>
      <c r="T75" s="954"/>
      <c r="U75" s="954"/>
      <c r="V75" s="1823">
        <v>1176</v>
      </c>
      <c r="W75" s="805"/>
      <c r="X75" s="1166"/>
      <c r="Y75" s="1144"/>
      <c r="Z75" s="1124"/>
      <c r="AA75" s="1124"/>
      <c r="AB75" s="1124"/>
      <c r="AC75" s="1124"/>
      <c r="AD75" s="1124"/>
      <c r="AE75" s="1124"/>
      <c r="AF75" s="1124"/>
      <c r="AG75" s="547">
        <f t="shared" si="4"/>
        <v>1176</v>
      </c>
    </row>
    <row r="76" spans="1:33" ht="97.5" hidden="1" customHeight="1">
      <c r="A76" s="796">
        <v>1115</v>
      </c>
      <c r="B76" s="793" t="s">
        <v>694</v>
      </c>
      <c r="C76" s="1073" t="s">
        <v>695</v>
      </c>
      <c r="D76" s="1292"/>
      <c r="E76" s="1293">
        <v>10</v>
      </c>
      <c r="F76" s="1294">
        <v>43257</v>
      </c>
      <c r="G76" s="1294">
        <f t="shared" si="3"/>
        <v>43266</v>
      </c>
      <c r="H76" s="1292" t="s">
        <v>681</v>
      </c>
      <c r="I76" s="1293" t="s">
        <v>170</v>
      </c>
      <c r="J76" s="643" t="s">
        <v>696</v>
      </c>
      <c r="K76" s="1292" t="s">
        <v>684</v>
      </c>
      <c r="L76" s="1231">
        <v>23174</v>
      </c>
      <c r="M76" s="1292"/>
      <c r="N76" s="1292"/>
      <c r="O76" s="647">
        <v>1307</v>
      </c>
      <c r="P76" s="1292">
        <v>1</v>
      </c>
      <c r="Q76" s="2381">
        <f t="shared" si="5"/>
        <v>1307</v>
      </c>
      <c r="R76" s="956"/>
      <c r="S76" s="954"/>
      <c r="T76" s="954"/>
      <c r="U76" s="954"/>
      <c r="V76" s="1823">
        <v>1307</v>
      </c>
      <c r="W76" s="805"/>
      <c r="X76" s="1166"/>
      <c r="Y76" s="1144"/>
      <c r="Z76" s="1124"/>
      <c r="AA76" s="1124"/>
      <c r="AB76" s="1124"/>
      <c r="AC76" s="1124"/>
      <c r="AD76" s="1124"/>
      <c r="AE76" s="1124"/>
      <c r="AF76" s="1124"/>
      <c r="AG76" s="547">
        <f t="shared" si="4"/>
        <v>1307</v>
      </c>
    </row>
    <row r="77" spans="1:33" ht="97.5" hidden="1" customHeight="1">
      <c r="A77" s="796">
        <v>1115</v>
      </c>
      <c r="B77" s="793" t="s">
        <v>694</v>
      </c>
      <c r="C77" s="1073" t="s">
        <v>695</v>
      </c>
      <c r="D77" s="1292"/>
      <c r="E77" s="1293">
        <v>10</v>
      </c>
      <c r="F77" s="1294">
        <v>43257</v>
      </c>
      <c r="G77" s="1294">
        <f t="shared" si="3"/>
        <v>43266</v>
      </c>
      <c r="H77" s="1292" t="s">
        <v>681</v>
      </c>
      <c r="I77" s="1293" t="s">
        <v>170</v>
      </c>
      <c r="J77" s="643" t="s">
        <v>696</v>
      </c>
      <c r="K77" s="1292" t="s">
        <v>685</v>
      </c>
      <c r="L77" s="1231">
        <v>23174</v>
      </c>
      <c r="M77" s="1292"/>
      <c r="N77" s="1292"/>
      <c r="O77" s="647">
        <v>980</v>
      </c>
      <c r="P77" s="1292">
        <v>1</v>
      </c>
      <c r="Q77" s="2381">
        <f t="shared" si="5"/>
        <v>980</v>
      </c>
      <c r="R77" s="956"/>
      <c r="S77" s="954"/>
      <c r="T77" s="954"/>
      <c r="U77" s="954"/>
      <c r="V77" s="1823">
        <v>980</v>
      </c>
      <c r="W77" s="805"/>
      <c r="X77" s="1166"/>
      <c r="Y77" s="1144"/>
      <c r="Z77" s="1124"/>
      <c r="AA77" s="1124"/>
      <c r="AB77" s="1124"/>
      <c r="AC77" s="1124"/>
      <c r="AD77" s="1124"/>
      <c r="AE77" s="1124"/>
      <c r="AF77" s="1124"/>
      <c r="AG77" s="547">
        <f t="shared" si="4"/>
        <v>980</v>
      </c>
    </row>
    <row r="78" spans="1:33" ht="97.5" hidden="1" customHeight="1">
      <c r="A78" s="796">
        <v>1115</v>
      </c>
      <c r="B78" s="793" t="s">
        <v>694</v>
      </c>
      <c r="C78" s="1073" t="s">
        <v>695</v>
      </c>
      <c r="D78" s="1292"/>
      <c r="E78" s="1293">
        <v>10</v>
      </c>
      <c r="F78" s="1294">
        <v>43257</v>
      </c>
      <c r="G78" s="1294">
        <f t="shared" si="3"/>
        <v>43266</v>
      </c>
      <c r="H78" s="1292" t="s">
        <v>681</v>
      </c>
      <c r="I78" s="1293" t="s">
        <v>170</v>
      </c>
      <c r="J78" s="643" t="s">
        <v>696</v>
      </c>
      <c r="K78" s="1292" t="s">
        <v>686</v>
      </c>
      <c r="L78" s="1231">
        <v>23174</v>
      </c>
      <c r="M78" s="1292"/>
      <c r="N78" s="1292"/>
      <c r="O78" s="647">
        <v>653</v>
      </c>
      <c r="P78" s="1292">
        <v>1</v>
      </c>
      <c r="Q78" s="2381">
        <f t="shared" si="5"/>
        <v>653</v>
      </c>
      <c r="R78" s="956"/>
      <c r="S78" s="954"/>
      <c r="T78" s="954"/>
      <c r="U78" s="954"/>
      <c r="V78" s="1823">
        <v>653</v>
      </c>
      <c r="W78" s="805"/>
      <c r="X78" s="1166"/>
      <c r="Y78" s="1144"/>
      <c r="Z78" s="1124"/>
      <c r="AA78" s="1124"/>
      <c r="AB78" s="1124"/>
      <c r="AC78" s="1124"/>
      <c r="AD78" s="1124"/>
      <c r="AE78" s="1124"/>
      <c r="AF78" s="1124"/>
      <c r="AG78" s="547">
        <f t="shared" si="4"/>
        <v>653</v>
      </c>
    </row>
    <row r="79" spans="1:33" ht="97.5" hidden="1" customHeight="1">
      <c r="A79" s="796">
        <v>1115</v>
      </c>
      <c r="B79" s="793" t="s">
        <v>694</v>
      </c>
      <c r="C79" s="1073" t="s">
        <v>695</v>
      </c>
      <c r="D79" s="1292"/>
      <c r="E79" s="1293">
        <v>10</v>
      </c>
      <c r="F79" s="1294">
        <v>43257</v>
      </c>
      <c r="G79" s="1294">
        <f t="shared" si="3"/>
        <v>43266</v>
      </c>
      <c r="H79" s="1292" t="s">
        <v>681</v>
      </c>
      <c r="I79" s="1293" t="s">
        <v>170</v>
      </c>
      <c r="J79" s="643" t="s">
        <v>696</v>
      </c>
      <c r="K79" s="1292" t="s">
        <v>701</v>
      </c>
      <c r="L79" s="1231">
        <v>23174</v>
      </c>
      <c r="M79" s="1292"/>
      <c r="N79" s="1292"/>
      <c r="O79" s="647">
        <v>4443</v>
      </c>
      <c r="P79" s="1292">
        <v>1</v>
      </c>
      <c r="Q79" s="2381">
        <f t="shared" si="5"/>
        <v>4443</v>
      </c>
      <c r="R79" s="956"/>
      <c r="S79" s="954"/>
      <c r="T79" s="954"/>
      <c r="U79" s="954"/>
      <c r="V79" s="1823">
        <v>4443</v>
      </c>
      <c r="W79" s="805"/>
      <c r="X79" s="1166"/>
      <c r="Y79" s="1144"/>
      <c r="Z79" s="1124"/>
      <c r="AA79" s="1124"/>
      <c r="AB79" s="1124"/>
      <c r="AC79" s="1124"/>
      <c r="AD79" s="1124"/>
      <c r="AE79" s="1124"/>
      <c r="AF79" s="1124"/>
      <c r="AG79" s="547">
        <f t="shared" si="4"/>
        <v>4443</v>
      </c>
    </row>
    <row r="80" spans="1:33" ht="97.5" hidden="1" customHeight="1">
      <c r="A80" s="796">
        <v>1115</v>
      </c>
      <c r="B80" s="793" t="s">
        <v>694</v>
      </c>
      <c r="C80" s="1073" t="s">
        <v>695</v>
      </c>
      <c r="D80" s="1292"/>
      <c r="E80" s="1293">
        <v>10</v>
      </c>
      <c r="F80" s="1294">
        <v>43257</v>
      </c>
      <c r="G80" s="1294">
        <f t="shared" si="3"/>
        <v>43266</v>
      </c>
      <c r="H80" s="1292" t="s">
        <v>681</v>
      </c>
      <c r="I80" s="1293" t="s">
        <v>170</v>
      </c>
      <c r="J80" s="643" t="s">
        <v>696</v>
      </c>
      <c r="K80" s="1292" t="s">
        <v>702</v>
      </c>
      <c r="L80" s="1231">
        <v>23174</v>
      </c>
      <c r="M80" s="1292"/>
      <c r="N80" s="1292"/>
      <c r="O80" s="647">
        <v>3528</v>
      </c>
      <c r="P80" s="1292">
        <v>1</v>
      </c>
      <c r="Q80" s="2381">
        <f t="shared" si="5"/>
        <v>3528</v>
      </c>
      <c r="R80" s="956"/>
      <c r="S80" s="954"/>
      <c r="T80" s="954"/>
      <c r="U80" s="954"/>
      <c r="V80" s="1823">
        <v>3528</v>
      </c>
      <c r="W80" s="805"/>
      <c r="X80" s="1166"/>
      <c r="Y80" s="1144"/>
      <c r="Z80" s="1124"/>
      <c r="AA80" s="1124"/>
      <c r="AB80" s="1124"/>
      <c r="AC80" s="1124"/>
      <c r="AD80" s="1124"/>
      <c r="AE80" s="1124"/>
      <c r="AF80" s="1124"/>
      <c r="AG80" s="547">
        <f t="shared" si="4"/>
        <v>3528</v>
      </c>
    </row>
    <row r="81" spans="1:33" ht="97.5" hidden="1" customHeight="1">
      <c r="A81" s="796">
        <v>1115</v>
      </c>
      <c r="B81" s="793" t="s">
        <v>694</v>
      </c>
      <c r="C81" s="1073" t="s">
        <v>695</v>
      </c>
      <c r="D81" s="1292"/>
      <c r="E81" s="1293">
        <v>10</v>
      </c>
      <c r="F81" s="1294">
        <v>43257</v>
      </c>
      <c r="G81" s="1294">
        <f t="shared" ref="G81:G96" si="6">F81+E81-1</f>
        <v>43266</v>
      </c>
      <c r="H81" s="1292" t="s">
        <v>681</v>
      </c>
      <c r="I81" s="1293" t="s">
        <v>170</v>
      </c>
      <c r="J81" s="643" t="s">
        <v>696</v>
      </c>
      <c r="K81" s="1292" t="s">
        <v>689</v>
      </c>
      <c r="L81" s="1231">
        <v>23174</v>
      </c>
      <c r="M81" s="1292"/>
      <c r="N81" s="1292"/>
      <c r="O81" s="647">
        <v>3920</v>
      </c>
      <c r="P81" s="1292">
        <v>1</v>
      </c>
      <c r="Q81" s="2381">
        <f t="shared" si="5"/>
        <v>3920</v>
      </c>
      <c r="R81" s="956"/>
      <c r="S81" s="954"/>
      <c r="T81" s="954"/>
      <c r="U81" s="954"/>
      <c r="V81" s="1823">
        <v>3920</v>
      </c>
      <c r="W81" s="805"/>
      <c r="X81" s="1166"/>
      <c r="Y81" s="1144"/>
      <c r="Z81" s="1124"/>
      <c r="AA81" s="1124"/>
      <c r="AB81" s="1124"/>
      <c r="AC81" s="1124"/>
      <c r="AD81" s="1124"/>
      <c r="AE81" s="1124"/>
      <c r="AF81" s="1124"/>
      <c r="AG81" s="547">
        <f t="shared" ref="AG81:AG96" si="7">SUM(S81:AF81)</f>
        <v>3920</v>
      </c>
    </row>
    <row r="82" spans="1:33" ht="97.5" hidden="1" customHeight="1">
      <c r="A82" s="796">
        <v>1115</v>
      </c>
      <c r="B82" s="793" t="s">
        <v>694</v>
      </c>
      <c r="C82" s="1073" t="s">
        <v>695</v>
      </c>
      <c r="D82" s="1292"/>
      <c r="E82" s="1293">
        <v>10</v>
      </c>
      <c r="F82" s="1294">
        <v>43257</v>
      </c>
      <c r="G82" s="1294">
        <f t="shared" si="6"/>
        <v>43266</v>
      </c>
      <c r="H82" s="1292" t="s">
        <v>681</v>
      </c>
      <c r="I82" s="1293" t="s">
        <v>170</v>
      </c>
      <c r="J82" s="643" t="s">
        <v>696</v>
      </c>
      <c r="K82" s="1292" t="s">
        <v>690</v>
      </c>
      <c r="L82" s="1231">
        <v>23174</v>
      </c>
      <c r="M82" s="1292"/>
      <c r="N82" s="1292"/>
      <c r="O82" s="647">
        <v>1960</v>
      </c>
      <c r="P82" s="1292">
        <v>1</v>
      </c>
      <c r="Q82" s="2381">
        <f t="shared" ref="Q82:Q96" si="8">O82*P82</f>
        <v>1960</v>
      </c>
      <c r="R82" s="956"/>
      <c r="S82" s="954"/>
      <c r="T82" s="954"/>
      <c r="U82" s="954"/>
      <c r="V82" s="1823">
        <v>1960</v>
      </c>
      <c r="W82" s="805"/>
      <c r="X82" s="1166"/>
      <c r="Y82" s="1144"/>
      <c r="Z82" s="1124"/>
      <c r="AA82" s="1124"/>
      <c r="AB82" s="1124"/>
      <c r="AC82" s="1124"/>
      <c r="AD82" s="1124"/>
      <c r="AE82" s="1124"/>
      <c r="AF82" s="1124"/>
      <c r="AG82" s="547">
        <f t="shared" si="7"/>
        <v>1960</v>
      </c>
    </row>
    <row r="83" spans="1:33" ht="97.5" hidden="1" customHeight="1">
      <c r="A83" s="796">
        <v>1115</v>
      </c>
      <c r="B83" s="793" t="s">
        <v>694</v>
      </c>
      <c r="C83" s="1073" t="s">
        <v>695</v>
      </c>
      <c r="D83" s="1292"/>
      <c r="E83" s="1293">
        <v>10</v>
      </c>
      <c r="F83" s="1294">
        <v>43257</v>
      </c>
      <c r="G83" s="1294">
        <f t="shared" si="6"/>
        <v>43266</v>
      </c>
      <c r="H83" s="1292" t="s">
        <v>681</v>
      </c>
      <c r="I83" s="1293" t="s">
        <v>170</v>
      </c>
      <c r="J83" s="643" t="s">
        <v>696</v>
      </c>
      <c r="K83" s="1292" t="s">
        <v>703</v>
      </c>
      <c r="L83" s="1231">
        <v>23174</v>
      </c>
      <c r="M83" s="1292"/>
      <c r="N83" s="1292"/>
      <c r="O83" s="647">
        <v>16968</v>
      </c>
      <c r="P83" s="1292">
        <v>1</v>
      </c>
      <c r="Q83" s="2381">
        <f t="shared" si="8"/>
        <v>16968</v>
      </c>
      <c r="R83" s="956"/>
      <c r="S83" s="954"/>
      <c r="T83" s="954"/>
      <c r="U83" s="954"/>
      <c r="V83" s="805"/>
      <c r="W83" s="1823">
        <v>16968</v>
      </c>
      <c r="X83" s="1166"/>
      <c r="Y83" s="1144"/>
      <c r="Z83" s="1124"/>
      <c r="AA83" s="1124"/>
      <c r="AB83" s="1124"/>
      <c r="AC83" s="1124"/>
      <c r="AD83" s="1124"/>
      <c r="AE83" s="1124"/>
      <c r="AF83" s="1124"/>
      <c r="AG83" s="547">
        <f t="shared" si="7"/>
        <v>16968</v>
      </c>
    </row>
    <row r="84" spans="1:33" ht="97.5" hidden="1" customHeight="1">
      <c r="A84" s="796">
        <v>1115</v>
      </c>
      <c r="B84" s="793" t="s">
        <v>694</v>
      </c>
      <c r="C84" s="1073" t="s">
        <v>695</v>
      </c>
      <c r="D84" s="1292"/>
      <c r="E84" s="1293">
        <v>10</v>
      </c>
      <c r="F84" s="1294">
        <v>43257</v>
      </c>
      <c r="G84" s="1294">
        <f t="shared" si="6"/>
        <v>43266</v>
      </c>
      <c r="H84" s="1292" t="s">
        <v>681</v>
      </c>
      <c r="I84" s="1293" t="s">
        <v>170</v>
      </c>
      <c r="J84" s="643" t="s">
        <v>696</v>
      </c>
      <c r="K84" s="1292" t="s">
        <v>692</v>
      </c>
      <c r="L84" s="1231">
        <v>23174</v>
      </c>
      <c r="M84" s="1292"/>
      <c r="N84" s="1292"/>
      <c r="O84" s="647">
        <v>18853</v>
      </c>
      <c r="P84" s="1292">
        <v>1</v>
      </c>
      <c r="Q84" s="2381">
        <f t="shared" si="8"/>
        <v>18853</v>
      </c>
      <c r="R84" s="956"/>
      <c r="S84" s="954"/>
      <c r="T84" s="954"/>
      <c r="U84" s="954"/>
      <c r="V84" s="805"/>
      <c r="W84" s="1823">
        <v>18853</v>
      </c>
      <c r="X84" s="1166"/>
      <c r="Y84" s="1144"/>
      <c r="Z84" s="1124"/>
      <c r="AA84" s="1124"/>
      <c r="AB84" s="1124"/>
      <c r="AC84" s="1124"/>
      <c r="AD84" s="1124"/>
      <c r="AE84" s="1124"/>
      <c r="AF84" s="1124"/>
      <c r="AG84" s="547">
        <f t="shared" si="7"/>
        <v>18853</v>
      </c>
    </row>
    <row r="85" spans="1:33" ht="97.5" hidden="1" customHeight="1">
      <c r="A85" s="796">
        <v>1115</v>
      </c>
      <c r="B85" s="793" t="s">
        <v>694</v>
      </c>
      <c r="C85" s="1073" t="s">
        <v>695</v>
      </c>
      <c r="D85" s="1292"/>
      <c r="E85" s="1293">
        <v>10</v>
      </c>
      <c r="F85" s="1294">
        <v>43257</v>
      </c>
      <c r="G85" s="1294">
        <f t="shared" si="6"/>
        <v>43266</v>
      </c>
      <c r="H85" s="1292" t="s">
        <v>681</v>
      </c>
      <c r="I85" s="1293" t="s">
        <v>170</v>
      </c>
      <c r="J85" s="643" t="s">
        <v>696</v>
      </c>
      <c r="K85" s="1292" t="s">
        <v>693</v>
      </c>
      <c r="L85" s="1231">
        <v>23174</v>
      </c>
      <c r="M85" s="1292"/>
      <c r="N85" s="1292"/>
      <c r="O85" s="647">
        <v>1347</v>
      </c>
      <c r="P85" s="1292">
        <v>1</v>
      </c>
      <c r="Q85" s="2381">
        <f t="shared" si="8"/>
        <v>1347</v>
      </c>
      <c r="R85" s="956"/>
      <c r="S85" s="954"/>
      <c r="T85" s="954"/>
      <c r="U85" s="954"/>
      <c r="V85" s="805"/>
      <c r="W85" s="1823">
        <v>1347</v>
      </c>
      <c r="X85" s="1166"/>
      <c r="Y85" s="1144"/>
      <c r="Z85" s="1124"/>
      <c r="AA85" s="1124"/>
      <c r="AB85" s="1124"/>
      <c r="AC85" s="1124"/>
      <c r="AD85" s="1124"/>
      <c r="AE85" s="1124"/>
      <c r="AF85" s="1124"/>
      <c r="AG85" s="547">
        <f t="shared" si="7"/>
        <v>1347</v>
      </c>
    </row>
    <row r="86" spans="1:33" ht="97.5" hidden="1" customHeight="1">
      <c r="A86" s="796">
        <v>1115</v>
      </c>
      <c r="B86" s="793" t="s">
        <v>694</v>
      </c>
      <c r="C86" s="1073" t="s">
        <v>695</v>
      </c>
      <c r="D86" s="1292"/>
      <c r="E86" s="1293">
        <v>10</v>
      </c>
      <c r="F86" s="1294">
        <v>43257</v>
      </c>
      <c r="G86" s="1294">
        <f t="shared" si="6"/>
        <v>43266</v>
      </c>
      <c r="H86" s="1292" t="s">
        <v>681</v>
      </c>
      <c r="I86" s="1293" t="s">
        <v>170</v>
      </c>
      <c r="J86" s="643" t="s">
        <v>696</v>
      </c>
      <c r="K86" s="1292" t="s">
        <v>704</v>
      </c>
      <c r="L86" s="1231">
        <v>23173</v>
      </c>
      <c r="M86" s="1292"/>
      <c r="N86" s="1292"/>
      <c r="O86" s="647">
        <v>1117</v>
      </c>
      <c r="P86" s="1292">
        <v>1</v>
      </c>
      <c r="Q86" s="2381">
        <f t="shared" si="8"/>
        <v>1117</v>
      </c>
      <c r="R86" s="956"/>
      <c r="S86" s="954"/>
      <c r="T86" s="954"/>
      <c r="U86" s="954"/>
      <c r="V86" s="1823">
        <v>1117</v>
      </c>
      <c r="W86" s="805"/>
      <c r="X86" s="1166"/>
      <c r="Y86" s="1144"/>
      <c r="Z86" s="1124"/>
      <c r="AA86" s="1124"/>
      <c r="AB86" s="1124"/>
      <c r="AC86" s="1124"/>
      <c r="AD86" s="1124"/>
      <c r="AE86" s="1124"/>
      <c r="AF86" s="1124"/>
      <c r="AG86" s="547">
        <f t="shared" si="7"/>
        <v>1117</v>
      </c>
    </row>
    <row r="87" spans="1:33" ht="97.5" hidden="1" customHeight="1">
      <c r="A87" s="796">
        <v>1115</v>
      </c>
      <c r="B87" s="793" t="s">
        <v>694</v>
      </c>
      <c r="C87" s="1073" t="s">
        <v>695</v>
      </c>
      <c r="D87" s="1292"/>
      <c r="E87" s="1293">
        <v>10</v>
      </c>
      <c r="F87" s="1294">
        <v>43257</v>
      </c>
      <c r="G87" s="1294">
        <f t="shared" si="6"/>
        <v>43266</v>
      </c>
      <c r="H87" s="1292" t="s">
        <v>681</v>
      </c>
      <c r="I87" s="1293" t="s">
        <v>170</v>
      </c>
      <c r="J87" s="643" t="s">
        <v>696</v>
      </c>
      <c r="K87" s="1292" t="s">
        <v>706</v>
      </c>
      <c r="L87" s="1231">
        <v>23173</v>
      </c>
      <c r="M87" s="1292"/>
      <c r="N87" s="1292"/>
      <c r="O87" s="647">
        <v>6450</v>
      </c>
      <c r="P87" s="1292">
        <v>1</v>
      </c>
      <c r="Q87" s="2381">
        <f t="shared" si="8"/>
        <v>6450</v>
      </c>
      <c r="R87" s="956"/>
      <c r="S87" s="954"/>
      <c r="T87" s="954"/>
      <c r="U87" s="954"/>
      <c r="V87" s="1823">
        <v>6450</v>
      </c>
      <c r="W87" s="805"/>
      <c r="X87" s="1166"/>
      <c r="Y87" s="1144"/>
      <c r="Z87" s="1124"/>
      <c r="AA87" s="1124"/>
      <c r="AB87" s="1124"/>
      <c r="AC87" s="1124"/>
      <c r="AD87" s="1124"/>
      <c r="AE87" s="1124"/>
      <c r="AF87" s="1124"/>
      <c r="AG87" s="547">
        <f t="shared" si="7"/>
        <v>6450</v>
      </c>
    </row>
    <row r="88" spans="1:33" ht="97.5" hidden="1" customHeight="1">
      <c r="A88" s="796">
        <v>1115</v>
      </c>
      <c r="B88" s="793" t="s">
        <v>694</v>
      </c>
      <c r="C88" s="1073" t="s">
        <v>695</v>
      </c>
      <c r="D88" s="1292"/>
      <c r="E88" s="1293">
        <v>10</v>
      </c>
      <c r="F88" s="1294">
        <v>43257</v>
      </c>
      <c r="G88" s="1294">
        <f t="shared" si="6"/>
        <v>43266</v>
      </c>
      <c r="H88" s="1292" t="s">
        <v>681</v>
      </c>
      <c r="I88" s="1293" t="s">
        <v>170</v>
      </c>
      <c r="J88" s="643" t="s">
        <v>696</v>
      </c>
      <c r="K88" s="1292" t="s">
        <v>638</v>
      </c>
      <c r="L88" s="1231">
        <v>23173</v>
      </c>
      <c r="M88" s="1292"/>
      <c r="N88" s="1292"/>
      <c r="O88" s="647">
        <v>4300</v>
      </c>
      <c r="P88" s="1292">
        <v>1</v>
      </c>
      <c r="Q88" s="2381">
        <f t="shared" si="8"/>
        <v>4300</v>
      </c>
      <c r="R88" s="956"/>
      <c r="S88" s="954"/>
      <c r="T88" s="954"/>
      <c r="U88" s="954"/>
      <c r="V88" s="1823">
        <v>4300</v>
      </c>
      <c r="W88" s="805"/>
      <c r="X88" s="1166"/>
      <c r="Y88" s="1144"/>
      <c r="Z88" s="1124"/>
      <c r="AA88" s="1124"/>
      <c r="AB88" s="1124"/>
      <c r="AC88" s="1124"/>
      <c r="AD88" s="1124"/>
      <c r="AE88" s="1124"/>
      <c r="AF88" s="1124"/>
      <c r="AG88" s="547">
        <f t="shared" si="7"/>
        <v>4300</v>
      </c>
    </row>
    <row r="89" spans="1:33" ht="97.5" customHeight="1">
      <c r="A89" s="2745">
        <v>1116</v>
      </c>
      <c r="B89" s="2748" t="s">
        <v>707</v>
      </c>
      <c r="C89" s="2747" t="s">
        <v>708</v>
      </c>
      <c r="D89" s="2751"/>
      <c r="E89" s="2749">
        <v>1</v>
      </c>
      <c r="F89" s="2750">
        <v>43315</v>
      </c>
      <c r="G89" s="2750">
        <f>F89+E89-1</f>
        <v>43315</v>
      </c>
      <c r="H89" s="2751" t="s">
        <v>667</v>
      </c>
      <c r="I89" s="2749" t="s">
        <v>170</v>
      </c>
      <c r="J89" s="2752" t="s">
        <v>696</v>
      </c>
      <c r="K89" s="1705"/>
      <c r="L89" s="2740"/>
      <c r="M89" s="1705"/>
      <c r="N89" s="1705"/>
      <c r="O89" s="2741"/>
      <c r="P89" s="1705"/>
      <c r="Q89" s="2805">
        <f>SUM(Q90:Q96)</f>
        <v>4019.666666666667</v>
      </c>
      <c r="R89" s="2742"/>
      <c r="S89" s="1144"/>
      <c r="T89" s="1144"/>
      <c r="U89" s="1144"/>
      <c r="V89" s="1566"/>
      <c r="W89" s="1124"/>
      <c r="X89" s="2743"/>
      <c r="Y89" s="1144"/>
      <c r="Z89" s="1124"/>
      <c r="AA89" s="1124"/>
      <c r="AB89" s="1124"/>
      <c r="AC89" s="1124"/>
      <c r="AD89" s="1124"/>
      <c r="AE89" s="1124"/>
      <c r="AF89" s="1124"/>
      <c r="AG89" s="2355"/>
    </row>
    <row r="90" spans="1:33" ht="73.900000000000006" hidden="1" customHeight="1">
      <c r="A90" s="796">
        <v>1116</v>
      </c>
      <c r="B90" s="793" t="s">
        <v>707</v>
      </c>
      <c r="C90" s="1073" t="s">
        <v>708</v>
      </c>
      <c r="D90" s="1292"/>
      <c r="E90" s="1293">
        <v>1</v>
      </c>
      <c r="F90" s="1294">
        <v>43315</v>
      </c>
      <c r="G90" s="1294">
        <f t="shared" si="6"/>
        <v>43315</v>
      </c>
      <c r="H90" s="1292" t="s">
        <v>667</v>
      </c>
      <c r="I90" s="1293" t="s">
        <v>170</v>
      </c>
      <c r="J90" s="643" t="s">
        <v>696</v>
      </c>
      <c r="K90" s="1292" t="s">
        <v>709</v>
      </c>
      <c r="L90" s="1231">
        <v>23174</v>
      </c>
      <c r="M90" s="1292"/>
      <c r="N90" s="1292"/>
      <c r="O90" s="647">
        <v>252</v>
      </c>
      <c r="P90" s="1292">
        <v>1</v>
      </c>
      <c r="Q90" s="2381">
        <f t="shared" si="8"/>
        <v>252</v>
      </c>
      <c r="R90" s="956"/>
      <c r="S90" s="954"/>
      <c r="T90" s="954"/>
      <c r="U90" s="954"/>
      <c r="V90" s="954"/>
      <c r="W90" s="954"/>
      <c r="X90" s="1824">
        <v>252</v>
      </c>
      <c r="Y90" s="1144"/>
      <c r="Z90" s="1124"/>
      <c r="AA90" s="1124"/>
      <c r="AB90" s="1124"/>
      <c r="AC90" s="1124"/>
      <c r="AD90" s="1124"/>
      <c r="AE90" s="1124"/>
      <c r="AF90" s="1124"/>
      <c r="AG90" s="547">
        <f t="shared" si="7"/>
        <v>252</v>
      </c>
    </row>
    <row r="91" spans="1:33" ht="73.900000000000006" hidden="1" customHeight="1">
      <c r="A91" s="796">
        <v>1116</v>
      </c>
      <c r="B91" s="793" t="s">
        <v>707</v>
      </c>
      <c r="C91" s="1073" t="s">
        <v>708</v>
      </c>
      <c r="D91" s="1292"/>
      <c r="E91" s="1293">
        <v>1</v>
      </c>
      <c r="F91" s="1294">
        <v>43315</v>
      </c>
      <c r="G91" s="1294">
        <f t="shared" si="6"/>
        <v>43315</v>
      </c>
      <c r="H91" s="1292" t="s">
        <v>667</v>
      </c>
      <c r="I91" s="1293" t="s">
        <v>170</v>
      </c>
      <c r="J91" s="643" t="s">
        <v>696</v>
      </c>
      <c r="K91" s="1292" t="s">
        <v>710</v>
      </c>
      <c r="L91" s="1231">
        <v>23174</v>
      </c>
      <c r="M91" s="1292"/>
      <c r="N91" s="1292"/>
      <c r="O91" s="647">
        <v>280</v>
      </c>
      <c r="P91" s="1292">
        <v>1</v>
      </c>
      <c r="Q91" s="2381">
        <f t="shared" si="8"/>
        <v>280</v>
      </c>
      <c r="R91" s="956"/>
      <c r="S91" s="954"/>
      <c r="T91" s="954"/>
      <c r="U91" s="954"/>
      <c r="V91" s="954"/>
      <c r="W91" s="954"/>
      <c r="X91" s="1824">
        <v>280</v>
      </c>
      <c r="Y91" s="1144"/>
      <c r="Z91" s="1124"/>
      <c r="AA91" s="1124"/>
      <c r="AB91" s="1124"/>
      <c r="AC91" s="1124"/>
      <c r="AD91" s="1124"/>
      <c r="AE91" s="1124"/>
      <c r="AF91" s="1124"/>
      <c r="AG91" s="547">
        <f t="shared" si="7"/>
        <v>280</v>
      </c>
    </row>
    <row r="92" spans="1:33" ht="73.900000000000006" hidden="1" customHeight="1">
      <c r="A92" s="796">
        <v>1116</v>
      </c>
      <c r="B92" s="793" t="s">
        <v>707</v>
      </c>
      <c r="C92" s="1073" t="s">
        <v>708</v>
      </c>
      <c r="D92" s="1292"/>
      <c r="E92" s="1293">
        <v>1</v>
      </c>
      <c r="F92" s="1294">
        <v>43315</v>
      </c>
      <c r="G92" s="1294">
        <f t="shared" si="6"/>
        <v>43315</v>
      </c>
      <c r="H92" s="1292" t="s">
        <v>667</v>
      </c>
      <c r="I92" s="1293" t="s">
        <v>170</v>
      </c>
      <c r="J92" s="643" t="s">
        <v>696</v>
      </c>
      <c r="K92" s="1292" t="s">
        <v>711</v>
      </c>
      <c r="L92" s="1231">
        <v>23174</v>
      </c>
      <c r="M92" s="1292"/>
      <c r="N92" s="1292"/>
      <c r="O92" s="647">
        <v>210</v>
      </c>
      <c r="P92" s="1292">
        <v>1</v>
      </c>
      <c r="Q92" s="2381">
        <f t="shared" si="8"/>
        <v>210</v>
      </c>
      <c r="R92" s="956"/>
      <c r="S92" s="954"/>
      <c r="T92" s="954"/>
      <c r="U92" s="954"/>
      <c r="V92" s="954"/>
      <c r="W92" s="954"/>
      <c r="X92" s="1824">
        <v>210</v>
      </c>
      <c r="Y92" s="1144"/>
      <c r="Z92" s="1124"/>
      <c r="AA92" s="1124"/>
      <c r="AB92" s="1124"/>
      <c r="AC92" s="1124"/>
      <c r="AD92" s="1124"/>
      <c r="AE92" s="1124"/>
      <c r="AF92" s="1124"/>
      <c r="AG92" s="547">
        <f t="shared" si="7"/>
        <v>210</v>
      </c>
    </row>
    <row r="93" spans="1:33" ht="73.900000000000006" hidden="1" customHeight="1">
      <c r="A93" s="796">
        <v>1116</v>
      </c>
      <c r="B93" s="793" t="s">
        <v>707</v>
      </c>
      <c r="C93" s="1073" t="s">
        <v>708</v>
      </c>
      <c r="D93" s="1292"/>
      <c r="E93" s="1293">
        <v>1</v>
      </c>
      <c r="F93" s="1294">
        <v>43315</v>
      </c>
      <c r="G93" s="1294">
        <f t="shared" si="6"/>
        <v>43315</v>
      </c>
      <c r="H93" s="1292" t="s">
        <v>667</v>
      </c>
      <c r="I93" s="1293" t="s">
        <v>170</v>
      </c>
      <c r="J93" s="643" t="s">
        <v>696</v>
      </c>
      <c r="K93" s="1292" t="s">
        <v>712</v>
      </c>
      <c r="L93" s="1231">
        <v>23174</v>
      </c>
      <c r="M93" s="1292"/>
      <c r="N93" s="1292"/>
      <c r="O93" s="647">
        <v>140</v>
      </c>
      <c r="P93" s="1292">
        <v>1</v>
      </c>
      <c r="Q93" s="2381">
        <f t="shared" si="8"/>
        <v>140</v>
      </c>
      <c r="R93" s="956"/>
      <c r="S93" s="954"/>
      <c r="T93" s="954"/>
      <c r="U93" s="954"/>
      <c r="V93" s="954"/>
      <c r="W93" s="954"/>
      <c r="X93" s="1824">
        <v>140</v>
      </c>
      <c r="Y93" s="1144"/>
      <c r="Z93" s="1124"/>
      <c r="AA93" s="1124"/>
      <c r="AB93" s="1124"/>
      <c r="AC93" s="1124"/>
      <c r="AD93" s="1124"/>
      <c r="AE93" s="1124"/>
      <c r="AF93" s="1124"/>
      <c r="AG93" s="547">
        <f t="shared" si="7"/>
        <v>140</v>
      </c>
    </row>
    <row r="94" spans="1:33" ht="73.900000000000006" hidden="1" customHeight="1">
      <c r="A94" s="796">
        <v>1116</v>
      </c>
      <c r="B94" s="793" t="s">
        <v>707</v>
      </c>
      <c r="C94" s="1073" t="s">
        <v>708</v>
      </c>
      <c r="D94" s="1292"/>
      <c r="E94" s="1293">
        <v>1</v>
      </c>
      <c r="F94" s="1294">
        <v>43315</v>
      </c>
      <c r="G94" s="1294">
        <f t="shared" si="6"/>
        <v>43315</v>
      </c>
      <c r="H94" s="1292" t="s">
        <v>667</v>
      </c>
      <c r="I94" s="1293" t="s">
        <v>170</v>
      </c>
      <c r="J94" s="643" t="s">
        <v>696</v>
      </c>
      <c r="K94" s="1292" t="s">
        <v>713</v>
      </c>
      <c r="L94" s="1231">
        <v>23174</v>
      </c>
      <c r="M94" s="1292"/>
      <c r="N94" s="1292"/>
      <c r="O94" s="647">
        <v>2221</v>
      </c>
      <c r="P94" s="1292">
        <v>1</v>
      </c>
      <c r="Q94" s="2381">
        <f t="shared" si="8"/>
        <v>2221</v>
      </c>
      <c r="R94" s="956"/>
      <c r="S94" s="954"/>
      <c r="T94" s="954"/>
      <c r="U94" s="954"/>
      <c r="V94" s="954"/>
      <c r="W94" s="954"/>
      <c r="X94" s="1824">
        <v>2221</v>
      </c>
      <c r="Y94" s="1144"/>
      <c r="Z94" s="1124"/>
      <c r="AA94" s="1124"/>
      <c r="AB94" s="1124"/>
      <c r="AC94" s="1124"/>
      <c r="AD94" s="1124"/>
      <c r="AE94" s="1124"/>
      <c r="AF94" s="1124"/>
      <c r="AG94" s="547">
        <f t="shared" si="7"/>
        <v>2221</v>
      </c>
    </row>
    <row r="95" spans="1:33" ht="73.900000000000006" hidden="1" customHeight="1">
      <c r="A95" s="796">
        <v>1116</v>
      </c>
      <c r="B95" s="793" t="s">
        <v>707</v>
      </c>
      <c r="C95" s="1073" t="s">
        <v>708</v>
      </c>
      <c r="D95" s="1292"/>
      <c r="E95" s="1293">
        <v>1</v>
      </c>
      <c r="F95" s="1294">
        <v>43315</v>
      </c>
      <c r="G95" s="1294">
        <f t="shared" si="6"/>
        <v>43315</v>
      </c>
      <c r="H95" s="1292" t="s">
        <v>667</v>
      </c>
      <c r="I95" s="1293" t="s">
        <v>170</v>
      </c>
      <c r="J95" s="643" t="s">
        <v>696</v>
      </c>
      <c r="K95" s="1292" t="s">
        <v>714</v>
      </c>
      <c r="L95" s="1231">
        <v>23173</v>
      </c>
      <c r="M95" s="1292"/>
      <c r="N95" s="1292"/>
      <c r="O95" s="647">
        <v>333.33333333333331</v>
      </c>
      <c r="P95" s="1292">
        <v>1</v>
      </c>
      <c r="Q95" s="2381">
        <f t="shared" si="8"/>
        <v>333.33333333333331</v>
      </c>
      <c r="R95" s="956"/>
      <c r="S95" s="954"/>
      <c r="T95" s="954"/>
      <c r="U95" s="954"/>
      <c r="V95" s="954"/>
      <c r="W95" s="954"/>
      <c r="X95" s="1824">
        <v>333.33333333333331</v>
      </c>
      <c r="Y95" s="1144"/>
      <c r="Z95" s="1124"/>
      <c r="AA95" s="1124"/>
      <c r="AB95" s="1124"/>
      <c r="AC95" s="1124"/>
      <c r="AD95" s="1124"/>
      <c r="AE95" s="1124"/>
      <c r="AF95" s="1124"/>
      <c r="AG95" s="547">
        <f t="shared" si="7"/>
        <v>333.33333333333331</v>
      </c>
    </row>
    <row r="96" spans="1:33" ht="73.900000000000006" hidden="1" customHeight="1">
      <c r="A96" s="796">
        <v>1116</v>
      </c>
      <c r="B96" s="793" t="s">
        <v>707</v>
      </c>
      <c r="C96" s="1073" t="s">
        <v>708</v>
      </c>
      <c r="D96" s="1292"/>
      <c r="E96" s="1293">
        <v>1</v>
      </c>
      <c r="F96" s="1294">
        <v>43315</v>
      </c>
      <c r="G96" s="1294">
        <f t="shared" si="6"/>
        <v>43315</v>
      </c>
      <c r="H96" s="1292" t="s">
        <v>667</v>
      </c>
      <c r="I96" s="1293" t="s">
        <v>170</v>
      </c>
      <c r="J96" s="643" t="s">
        <v>696</v>
      </c>
      <c r="K96" s="1292" t="s">
        <v>670</v>
      </c>
      <c r="L96" s="1231">
        <v>23173</v>
      </c>
      <c r="M96" s="1292"/>
      <c r="N96" s="1292"/>
      <c r="O96" s="647">
        <v>583.33333333333337</v>
      </c>
      <c r="P96" s="1292">
        <v>1</v>
      </c>
      <c r="Q96" s="2381">
        <f t="shared" si="8"/>
        <v>583.33333333333337</v>
      </c>
      <c r="R96" s="956"/>
      <c r="S96" s="954"/>
      <c r="T96" s="954"/>
      <c r="U96" s="954"/>
      <c r="V96" s="954"/>
      <c r="W96" s="954"/>
      <c r="X96" s="1824">
        <v>583.33333333333337</v>
      </c>
      <c r="Y96" s="1144"/>
      <c r="Z96" s="1124"/>
      <c r="AA96" s="1124"/>
      <c r="AB96" s="1124"/>
      <c r="AC96" s="1124"/>
      <c r="AD96" s="1124"/>
      <c r="AE96" s="1124"/>
      <c r="AF96" s="1124"/>
      <c r="AG96" s="547">
        <f t="shared" si="7"/>
        <v>583.33333333333337</v>
      </c>
    </row>
    <row r="97" spans="1:34" ht="37.5" customHeight="1">
      <c r="A97" s="1300" t="s">
        <v>234</v>
      </c>
      <c r="B97" s="786"/>
      <c r="C97" s="786"/>
      <c r="D97" s="1300"/>
      <c r="E97" s="1300"/>
      <c r="F97" s="1300"/>
      <c r="G97" s="1300"/>
      <c r="H97" s="1300"/>
      <c r="I97" s="1300"/>
      <c r="J97" s="781"/>
      <c r="K97" s="1300"/>
      <c r="L97" s="1301"/>
      <c r="M97" s="1300"/>
      <c r="N97" s="1300"/>
      <c r="O97" s="1302"/>
      <c r="P97" s="1300"/>
      <c r="Q97" s="1303">
        <f>Q98+Q168</f>
        <v>314558.67633333337</v>
      </c>
      <c r="R97" s="1303"/>
      <c r="S97" s="1302">
        <f t="shared" ref="S97:AG97" si="9">S98+S168</f>
        <v>0</v>
      </c>
      <c r="T97" s="1302">
        <f t="shared" si="9"/>
        <v>78416.399666666664</v>
      </c>
      <c r="U97" s="1302">
        <f t="shared" si="9"/>
        <v>46733.999333333333</v>
      </c>
      <c r="V97" s="1302">
        <f t="shared" si="9"/>
        <v>111933.72499999999</v>
      </c>
      <c r="W97" s="1302">
        <f t="shared" si="9"/>
        <v>45901.552333333326</v>
      </c>
      <c r="X97" s="1302">
        <f t="shared" si="9"/>
        <v>7142</v>
      </c>
      <c r="Y97" s="1302">
        <f t="shared" si="9"/>
        <v>24431</v>
      </c>
      <c r="Z97" s="1302">
        <f t="shared" si="9"/>
        <v>0</v>
      </c>
      <c r="AA97" s="1302">
        <f t="shared" si="9"/>
        <v>0</v>
      </c>
      <c r="AB97" s="1302">
        <f t="shared" si="9"/>
        <v>0</v>
      </c>
      <c r="AC97" s="1302">
        <f t="shared" si="9"/>
        <v>0</v>
      </c>
      <c r="AD97" s="1302">
        <f t="shared" si="9"/>
        <v>0</v>
      </c>
      <c r="AE97" s="1302">
        <f t="shared" si="9"/>
        <v>0</v>
      </c>
      <c r="AF97" s="1302">
        <f t="shared" si="9"/>
        <v>0</v>
      </c>
      <c r="AG97" s="1303">
        <f t="shared" si="9"/>
        <v>314558.67633333331</v>
      </c>
      <c r="AH97" s="1018"/>
    </row>
    <row r="98" spans="1:34" ht="23.25" customHeight="1">
      <c r="A98" s="1324">
        <v>121</v>
      </c>
      <c r="B98" s="1462" t="s">
        <v>715</v>
      </c>
      <c r="C98" s="1497"/>
      <c r="D98" s="1306"/>
      <c r="E98" s="1306"/>
      <c r="F98" s="1306"/>
      <c r="G98" s="1306"/>
      <c r="H98" s="1306"/>
      <c r="I98" s="1306"/>
      <c r="J98" s="636"/>
      <c r="K98" s="1296"/>
      <c r="L98" s="1298"/>
      <c r="M98" s="1296"/>
      <c r="N98" s="1296"/>
      <c r="O98" s="1299"/>
      <c r="P98" s="1296"/>
      <c r="Q98" s="2806">
        <f>SUM(Q100:Q167)</f>
        <v>163711</v>
      </c>
      <c r="R98" s="960"/>
      <c r="S98" s="1307">
        <f t="shared" ref="S98:AF98" si="10">SUM(S100:S167)</f>
        <v>0</v>
      </c>
      <c r="T98" s="1307">
        <f t="shared" si="10"/>
        <v>65000</v>
      </c>
      <c r="U98" s="1307">
        <f t="shared" si="10"/>
        <v>14002</v>
      </c>
      <c r="V98" s="1307">
        <f t="shared" si="10"/>
        <v>31374</v>
      </c>
      <c r="W98" s="1307">
        <f t="shared" si="10"/>
        <v>21762</v>
      </c>
      <c r="X98" s="1307">
        <f t="shared" si="10"/>
        <v>7142</v>
      </c>
      <c r="Y98" s="1307">
        <f t="shared" si="10"/>
        <v>24431</v>
      </c>
      <c r="Z98" s="1307">
        <f t="shared" si="10"/>
        <v>0</v>
      </c>
      <c r="AA98" s="1307">
        <f t="shared" si="10"/>
        <v>0</v>
      </c>
      <c r="AB98" s="1307">
        <f t="shared" si="10"/>
        <v>0</v>
      </c>
      <c r="AC98" s="1307">
        <f t="shared" si="10"/>
        <v>0</v>
      </c>
      <c r="AD98" s="1307">
        <f t="shared" si="10"/>
        <v>0</v>
      </c>
      <c r="AE98" s="1307">
        <f t="shared" si="10"/>
        <v>0</v>
      </c>
      <c r="AF98" s="1307">
        <f t="shared" si="10"/>
        <v>0</v>
      </c>
      <c r="AG98" s="2806">
        <f>SUM(S98:AF98)</f>
        <v>163711</v>
      </c>
      <c r="AH98" s="1614"/>
    </row>
    <row r="99" spans="1:34" ht="51" customHeight="1">
      <c r="A99" s="2764">
        <v>1211</v>
      </c>
      <c r="B99" s="2765" t="s">
        <v>716</v>
      </c>
      <c r="C99" s="2766" t="s">
        <v>717</v>
      </c>
      <c r="D99" s="2767"/>
      <c r="E99" s="2768">
        <f>+G99-F99+1</f>
        <v>12</v>
      </c>
      <c r="F99" s="2750">
        <v>43220</v>
      </c>
      <c r="G99" s="2750">
        <v>43231</v>
      </c>
      <c r="H99" s="2769" t="s">
        <v>718</v>
      </c>
      <c r="I99" s="2768" t="s">
        <v>170</v>
      </c>
      <c r="J99" s="2770" t="s">
        <v>719</v>
      </c>
      <c r="K99" s="1432"/>
      <c r="L99" s="1433"/>
      <c r="M99" s="1432"/>
      <c r="N99" s="1432"/>
      <c r="O99" s="2761"/>
      <c r="P99" s="1432"/>
      <c r="Q99" s="3003"/>
      <c r="R99" s="2742"/>
      <c r="S99" s="3015"/>
      <c r="T99" s="3015"/>
      <c r="U99" s="3015"/>
      <c r="V99" s="3015"/>
      <c r="W99" s="3015"/>
      <c r="X99" s="3016"/>
      <c r="Y99" s="3015"/>
      <c r="Z99" s="3015"/>
      <c r="AA99" s="3015"/>
      <c r="AB99" s="3015"/>
      <c r="AC99" s="3015"/>
      <c r="AD99" s="3015"/>
      <c r="AE99" s="3015"/>
      <c r="AF99" s="3015"/>
      <c r="AG99" s="3003"/>
      <c r="AH99" s="1614"/>
    </row>
    <row r="100" spans="1:34" s="1826" customFormat="1" ht="72.75" hidden="1" customHeight="1">
      <c r="A100" s="683">
        <v>1211</v>
      </c>
      <c r="B100" s="1760" t="s">
        <v>716</v>
      </c>
      <c r="C100" s="1076" t="s">
        <v>717</v>
      </c>
      <c r="D100" s="1761"/>
      <c r="E100" s="1762">
        <f t="shared" ref="E100:E133" si="11">+G100-F100+1</f>
        <v>12</v>
      </c>
      <c r="F100" s="1763">
        <v>43220</v>
      </c>
      <c r="G100" s="1763">
        <v>43231</v>
      </c>
      <c r="H100" s="1764" t="s">
        <v>718</v>
      </c>
      <c r="I100" s="1762" t="s">
        <v>170</v>
      </c>
      <c r="J100" s="667" t="s">
        <v>719</v>
      </c>
      <c r="K100" s="1292" t="s">
        <v>720</v>
      </c>
      <c r="L100" s="1233">
        <v>23174</v>
      </c>
      <c r="M100" s="1761"/>
      <c r="N100" s="1761"/>
      <c r="O100" s="1765">
        <v>157</v>
      </c>
      <c r="P100" s="1761">
        <v>28</v>
      </c>
      <c r="Q100" s="2382">
        <f t="shared" ref="Q100:Q134" si="12">+O100*P100</f>
        <v>4396</v>
      </c>
      <c r="R100" s="2382"/>
      <c r="S100" s="1766"/>
      <c r="T100" s="1766"/>
      <c r="U100" s="1765">
        <v>4396</v>
      </c>
      <c r="V100" s="1766"/>
      <c r="W100" s="1766"/>
      <c r="X100" s="1767"/>
      <c r="Y100" s="1768"/>
      <c r="Z100" s="1825"/>
      <c r="AA100" s="1825"/>
      <c r="AB100" s="1825"/>
      <c r="AC100" s="1825"/>
      <c r="AD100" s="1825"/>
      <c r="AE100" s="1825"/>
      <c r="AF100" s="1825"/>
      <c r="AG100" s="547">
        <f t="shared" ref="AG100:AG167" si="13">SUM(S100:AF100)</f>
        <v>4396</v>
      </c>
    </row>
    <row r="101" spans="1:34" s="1826" customFormat="1" ht="72.75" hidden="1" customHeight="1">
      <c r="A101" s="683">
        <v>1211</v>
      </c>
      <c r="B101" s="1760" t="s">
        <v>716</v>
      </c>
      <c r="C101" s="1076" t="s">
        <v>717</v>
      </c>
      <c r="D101" s="1761"/>
      <c r="E101" s="1762">
        <f t="shared" si="11"/>
        <v>12</v>
      </c>
      <c r="F101" s="1763">
        <f t="shared" ref="F101:F111" si="14">+F100</f>
        <v>43220</v>
      </c>
      <c r="G101" s="1763">
        <v>43231</v>
      </c>
      <c r="H101" s="1764" t="s">
        <v>718</v>
      </c>
      <c r="I101" s="1762" t="s">
        <v>170</v>
      </c>
      <c r="J101" s="667" t="s">
        <v>719</v>
      </c>
      <c r="K101" s="1769" t="s">
        <v>721</v>
      </c>
      <c r="L101" s="1233">
        <v>23174</v>
      </c>
      <c r="M101" s="1761"/>
      <c r="N101" s="1761"/>
      <c r="O101" s="1765">
        <v>162</v>
      </c>
      <c r="P101" s="1761">
        <v>28</v>
      </c>
      <c r="Q101" s="2382">
        <f t="shared" si="12"/>
        <v>4536</v>
      </c>
      <c r="R101" s="2382"/>
      <c r="S101" s="1766"/>
      <c r="T101" s="1766"/>
      <c r="U101" s="1765">
        <v>4536</v>
      </c>
      <c r="V101" s="1766"/>
      <c r="W101" s="1766"/>
      <c r="X101" s="1767"/>
      <c r="Y101" s="1768"/>
      <c r="Z101" s="1825"/>
      <c r="AA101" s="1825"/>
      <c r="AB101" s="1825"/>
      <c r="AC101" s="1825"/>
      <c r="AD101" s="1825"/>
      <c r="AE101" s="1825"/>
      <c r="AF101" s="1825"/>
      <c r="AG101" s="547">
        <f t="shared" si="13"/>
        <v>4536</v>
      </c>
    </row>
    <row r="102" spans="1:34" s="1826" customFormat="1" ht="72.75" hidden="1" customHeight="1">
      <c r="A102" s="683">
        <v>1211</v>
      </c>
      <c r="B102" s="1760" t="s">
        <v>716</v>
      </c>
      <c r="C102" s="1076" t="s">
        <v>717</v>
      </c>
      <c r="D102" s="1761"/>
      <c r="E102" s="1762">
        <f t="shared" si="11"/>
        <v>12</v>
      </c>
      <c r="F102" s="1763">
        <f t="shared" si="14"/>
        <v>43220</v>
      </c>
      <c r="G102" s="1763">
        <v>43231</v>
      </c>
      <c r="H102" s="1764" t="s">
        <v>718</v>
      </c>
      <c r="I102" s="1762" t="s">
        <v>170</v>
      </c>
      <c r="J102" s="667" t="s">
        <v>719</v>
      </c>
      <c r="K102" s="1769" t="s">
        <v>722</v>
      </c>
      <c r="L102" s="1233">
        <v>23174</v>
      </c>
      <c r="M102" s="1761"/>
      <c r="N102" s="1761"/>
      <c r="O102" s="1765">
        <v>22</v>
      </c>
      <c r="P102" s="1761">
        <v>28</v>
      </c>
      <c r="Q102" s="2382">
        <f t="shared" si="12"/>
        <v>616</v>
      </c>
      <c r="R102" s="2382"/>
      <c r="S102" s="1766"/>
      <c r="T102" s="1766"/>
      <c r="U102" s="1765">
        <v>616</v>
      </c>
      <c r="V102" s="1766"/>
      <c r="W102" s="1766"/>
      <c r="X102" s="1767"/>
      <c r="Y102" s="1768"/>
      <c r="Z102" s="1825"/>
      <c r="AA102" s="1825"/>
      <c r="AB102" s="1825"/>
      <c r="AC102" s="1825"/>
      <c r="AD102" s="1825"/>
      <c r="AE102" s="1825"/>
      <c r="AF102" s="1825"/>
      <c r="AG102" s="547">
        <f t="shared" si="13"/>
        <v>616</v>
      </c>
    </row>
    <row r="103" spans="1:34" s="1826" customFormat="1" ht="72.75" hidden="1" customHeight="1">
      <c r="A103" s="683">
        <v>1211</v>
      </c>
      <c r="B103" s="1760" t="s">
        <v>716</v>
      </c>
      <c r="C103" s="1076" t="s">
        <v>717</v>
      </c>
      <c r="D103" s="1761"/>
      <c r="E103" s="1762">
        <f t="shared" si="11"/>
        <v>12</v>
      </c>
      <c r="F103" s="1763">
        <f t="shared" si="14"/>
        <v>43220</v>
      </c>
      <c r="G103" s="1763">
        <v>43231</v>
      </c>
      <c r="H103" s="1764" t="s">
        <v>718</v>
      </c>
      <c r="I103" s="1762" t="s">
        <v>170</v>
      </c>
      <c r="J103" s="667" t="s">
        <v>719</v>
      </c>
      <c r="K103" s="1769" t="s">
        <v>415</v>
      </c>
      <c r="L103" s="1231">
        <v>23173</v>
      </c>
      <c r="M103" s="1761"/>
      <c r="N103" s="1761"/>
      <c r="O103" s="1765">
        <v>156</v>
      </c>
      <c r="P103" s="1761">
        <v>10</v>
      </c>
      <c r="Q103" s="2382">
        <f t="shared" si="12"/>
        <v>1560</v>
      </c>
      <c r="R103" s="2382"/>
      <c r="S103" s="1766"/>
      <c r="T103" s="1766"/>
      <c r="U103" s="1765">
        <v>1560</v>
      </c>
      <c r="V103" s="1766"/>
      <c r="W103" s="1766"/>
      <c r="X103" s="1767"/>
      <c r="Y103" s="1768"/>
      <c r="Z103" s="1825"/>
      <c r="AA103" s="1825"/>
      <c r="AB103" s="1825"/>
      <c r="AC103" s="1825"/>
      <c r="AD103" s="1825"/>
      <c r="AE103" s="1825"/>
      <c r="AF103" s="1825"/>
      <c r="AG103" s="547">
        <f t="shared" si="13"/>
        <v>1560</v>
      </c>
    </row>
    <row r="104" spans="1:34" s="1826" customFormat="1" ht="72.75" hidden="1" customHeight="1">
      <c r="A104" s="683">
        <v>1211</v>
      </c>
      <c r="B104" s="1760" t="s">
        <v>716</v>
      </c>
      <c r="C104" s="1076" t="s">
        <v>717</v>
      </c>
      <c r="D104" s="1761"/>
      <c r="E104" s="1762">
        <f t="shared" si="11"/>
        <v>12</v>
      </c>
      <c r="F104" s="1763">
        <f t="shared" si="14"/>
        <v>43220</v>
      </c>
      <c r="G104" s="1763">
        <v>43231</v>
      </c>
      <c r="H104" s="1764" t="s">
        <v>718</v>
      </c>
      <c r="I104" s="1762" t="s">
        <v>170</v>
      </c>
      <c r="J104" s="667" t="s">
        <v>719</v>
      </c>
      <c r="K104" s="1769" t="s">
        <v>638</v>
      </c>
      <c r="L104" s="1233">
        <v>23173</v>
      </c>
      <c r="M104" s="1761"/>
      <c r="N104" s="1761"/>
      <c r="O104" s="1765">
        <v>10</v>
      </c>
      <c r="P104" s="1761">
        <v>28</v>
      </c>
      <c r="Q104" s="2382">
        <f t="shared" si="12"/>
        <v>280</v>
      </c>
      <c r="R104" s="2382"/>
      <c r="S104" s="1766"/>
      <c r="T104" s="1766"/>
      <c r="U104" s="1765">
        <v>280</v>
      </c>
      <c r="V104" s="1766"/>
      <c r="W104" s="1766"/>
      <c r="X104" s="1767"/>
      <c r="Y104" s="1768"/>
      <c r="Z104" s="1825"/>
      <c r="AA104" s="1825"/>
      <c r="AB104" s="1825"/>
      <c r="AC104" s="1825"/>
      <c r="AD104" s="1825"/>
      <c r="AE104" s="1825"/>
      <c r="AF104" s="1825"/>
      <c r="AG104" s="547">
        <f t="shared" si="13"/>
        <v>280</v>
      </c>
    </row>
    <row r="105" spans="1:34" s="1826" customFormat="1" ht="72.75" hidden="1" customHeight="1">
      <c r="A105" s="683">
        <v>1211</v>
      </c>
      <c r="B105" s="1760" t="s">
        <v>716</v>
      </c>
      <c r="C105" s="1076" t="s">
        <v>717</v>
      </c>
      <c r="D105" s="1761"/>
      <c r="E105" s="1762">
        <f t="shared" si="11"/>
        <v>12</v>
      </c>
      <c r="F105" s="1763">
        <f t="shared" si="14"/>
        <v>43220</v>
      </c>
      <c r="G105" s="1763">
        <v>43231</v>
      </c>
      <c r="H105" s="1764" t="s">
        <v>718</v>
      </c>
      <c r="I105" s="1762" t="s">
        <v>170</v>
      </c>
      <c r="J105" s="667" t="s">
        <v>719</v>
      </c>
      <c r="K105" s="1769" t="s">
        <v>723</v>
      </c>
      <c r="L105" s="1233">
        <v>23174</v>
      </c>
      <c r="M105" s="1761"/>
      <c r="N105" s="1761"/>
      <c r="O105" s="1765">
        <v>281</v>
      </c>
      <c r="P105" s="1761">
        <v>4</v>
      </c>
      <c r="Q105" s="2382">
        <f t="shared" si="12"/>
        <v>1124</v>
      </c>
      <c r="R105" s="2382"/>
      <c r="S105" s="1766"/>
      <c r="T105" s="1766"/>
      <c r="U105" s="1765">
        <v>1124</v>
      </c>
      <c r="V105" s="1766"/>
      <c r="W105" s="1766"/>
      <c r="X105" s="1767"/>
      <c r="Y105" s="1768"/>
      <c r="Z105" s="1825"/>
      <c r="AA105" s="1825"/>
      <c r="AB105" s="1825"/>
      <c r="AC105" s="1825"/>
      <c r="AD105" s="1825"/>
      <c r="AE105" s="1825"/>
      <c r="AF105" s="1825"/>
      <c r="AG105" s="547">
        <f t="shared" si="13"/>
        <v>1124</v>
      </c>
    </row>
    <row r="106" spans="1:34" s="1826" customFormat="1" ht="72.75" hidden="1" customHeight="1">
      <c r="A106" s="683">
        <v>1211</v>
      </c>
      <c r="B106" s="1760" t="s">
        <v>716</v>
      </c>
      <c r="C106" s="1076" t="s">
        <v>717</v>
      </c>
      <c r="D106" s="1761"/>
      <c r="E106" s="1762">
        <f t="shared" si="11"/>
        <v>12</v>
      </c>
      <c r="F106" s="1763">
        <f t="shared" si="14"/>
        <v>43220</v>
      </c>
      <c r="G106" s="1763">
        <v>43231</v>
      </c>
      <c r="H106" s="1764" t="s">
        <v>718</v>
      </c>
      <c r="I106" s="1762" t="s">
        <v>170</v>
      </c>
      <c r="J106" s="667" t="s">
        <v>719</v>
      </c>
      <c r="K106" s="1769" t="s">
        <v>724</v>
      </c>
      <c r="L106" s="1233">
        <v>23173</v>
      </c>
      <c r="M106" s="1761"/>
      <c r="N106" s="1761"/>
      <c r="O106" s="1765">
        <v>10</v>
      </c>
      <c r="P106" s="1761">
        <v>28</v>
      </c>
      <c r="Q106" s="2382">
        <f t="shared" si="12"/>
        <v>280</v>
      </c>
      <c r="R106" s="2382"/>
      <c r="S106" s="1766"/>
      <c r="T106" s="1766"/>
      <c r="U106" s="1765">
        <v>280</v>
      </c>
      <c r="V106" s="1766"/>
      <c r="W106" s="1766"/>
      <c r="X106" s="1767"/>
      <c r="Y106" s="1768"/>
      <c r="Z106" s="1825"/>
      <c r="AA106" s="1825"/>
      <c r="AB106" s="1825"/>
      <c r="AC106" s="1825"/>
      <c r="AD106" s="1825"/>
      <c r="AE106" s="1825"/>
      <c r="AF106" s="1825"/>
      <c r="AG106" s="547">
        <f t="shared" si="13"/>
        <v>280</v>
      </c>
    </row>
    <row r="107" spans="1:34" s="1826" customFormat="1" ht="72.75" hidden="1" customHeight="1">
      <c r="A107" s="683">
        <v>1211</v>
      </c>
      <c r="B107" s="1760" t="s">
        <v>716</v>
      </c>
      <c r="C107" s="1076" t="s">
        <v>717</v>
      </c>
      <c r="D107" s="1761"/>
      <c r="E107" s="1762">
        <f t="shared" si="11"/>
        <v>12</v>
      </c>
      <c r="F107" s="1763">
        <f t="shared" si="14"/>
        <v>43220</v>
      </c>
      <c r="G107" s="1763">
        <v>43231</v>
      </c>
      <c r="H107" s="1764" t="s">
        <v>718</v>
      </c>
      <c r="I107" s="1762" t="s">
        <v>170</v>
      </c>
      <c r="J107" s="667" t="s">
        <v>719</v>
      </c>
      <c r="K107" s="1769" t="s">
        <v>725</v>
      </c>
      <c r="L107" s="1233">
        <v>23174</v>
      </c>
      <c r="M107" s="1761"/>
      <c r="N107" s="1761"/>
      <c r="O107" s="1765">
        <v>157</v>
      </c>
      <c r="P107" s="1761">
        <v>2</v>
      </c>
      <c r="Q107" s="2382">
        <f t="shared" si="12"/>
        <v>314</v>
      </c>
      <c r="R107" s="2382"/>
      <c r="S107" s="1766"/>
      <c r="T107" s="1766"/>
      <c r="U107" s="1765">
        <v>314</v>
      </c>
      <c r="V107" s="1766"/>
      <c r="W107" s="1766"/>
      <c r="X107" s="1767"/>
      <c r="Y107" s="1768"/>
      <c r="Z107" s="1825"/>
      <c r="AA107" s="1825"/>
      <c r="AB107" s="1825"/>
      <c r="AC107" s="1825"/>
      <c r="AD107" s="1825"/>
      <c r="AE107" s="1825"/>
      <c r="AF107" s="1825"/>
      <c r="AG107" s="547">
        <f t="shared" si="13"/>
        <v>314</v>
      </c>
    </row>
    <row r="108" spans="1:34" s="1826" customFormat="1" ht="72.75" hidden="1" customHeight="1">
      <c r="A108" s="683">
        <v>1211</v>
      </c>
      <c r="B108" s="1760" t="s">
        <v>716</v>
      </c>
      <c r="C108" s="1076" t="s">
        <v>717</v>
      </c>
      <c r="D108" s="1761"/>
      <c r="E108" s="1762">
        <f t="shared" si="11"/>
        <v>12</v>
      </c>
      <c r="F108" s="1763">
        <f t="shared" si="14"/>
        <v>43220</v>
      </c>
      <c r="G108" s="1763">
        <v>43231</v>
      </c>
      <c r="H108" s="1764" t="s">
        <v>718</v>
      </c>
      <c r="I108" s="1762" t="s">
        <v>170</v>
      </c>
      <c r="J108" s="667" t="s">
        <v>719</v>
      </c>
      <c r="K108" s="1769" t="s">
        <v>726</v>
      </c>
      <c r="L108" s="1233">
        <v>23174</v>
      </c>
      <c r="M108" s="1761"/>
      <c r="N108" s="1761"/>
      <c r="O108" s="1765">
        <v>162</v>
      </c>
      <c r="P108" s="1761">
        <v>2</v>
      </c>
      <c r="Q108" s="2382">
        <f t="shared" si="12"/>
        <v>324</v>
      </c>
      <c r="R108" s="2382"/>
      <c r="S108" s="1766"/>
      <c r="T108" s="1766"/>
      <c r="U108" s="1765">
        <v>324</v>
      </c>
      <c r="V108" s="1766"/>
      <c r="W108" s="1766"/>
      <c r="X108" s="1767"/>
      <c r="Y108" s="1768"/>
      <c r="Z108" s="1825"/>
      <c r="AA108" s="1825"/>
      <c r="AB108" s="1825"/>
      <c r="AC108" s="1825"/>
      <c r="AD108" s="1825"/>
      <c r="AE108" s="1825"/>
      <c r="AF108" s="1825"/>
      <c r="AG108" s="547">
        <f t="shared" si="13"/>
        <v>324</v>
      </c>
    </row>
    <row r="109" spans="1:34" s="1826" customFormat="1" ht="72.75" hidden="1" customHeight="1">
      <c r="A109" s="683">
        <v>1211</v>
      </c>
      <c r="B109" s="1760" t="s">
        <v>716</v>
      </c>
      <c r="C109" s="1076" t="s">
        <v>717</v>
      </c>
      <c r="D109" s="1761"/>
      <c r="E109" s="1762">
        <f t="shared" si="11"/>
        <v>12</v>
      </c>
      <c r="F109" s="1763">
        <f t="shared" si="14"/>
        <v>43220</v>
      </c>
      <c r="G109" s="1763">
        <v>43231</v>
      </c>
      <c r="H109" s="1764" t="s">
        <v>718</v>
      </c>
      <c r="I109" s="1762" t="s">
        <v>170</v>
      </c>
      <c r="J109" s="667" t="s">
        <v>719</v>
      </c>
      <c r="K109" s="1769" t="s">
        <v>727</v>
      </c>
      <c r="L109" s="1233">
        <v>23174</v>
      </c>
      <c r="M109" s="1761"/>
      <c r="N109" s="1761"/>
      <c r="O109" s="1765">
        <v>131</v>
      </c>
      <c r="P109" s="1761">
        <v>2</v>
      </c>
      <c r="Q109" s="2382">
        <f t="shared" si="12"/>
        <v>262</v>
      </c>
      <c r="R109" s="2382"/>
      <c r="S109" s="1766"/>
      <c r="T109" s="1766"/>
      <c r="U109" s="1765">
        <v>262</v>
      </c>
      <c r="V109" s="1766"/>
      <c r="W109" s="1766"/>
      <c r="X109" s="1767"/>
      <c r="Y109" s="1768"/>
      <c r="Z109" s="1825"/>
      <c r="AA109" s="1825"/>
      <c r="AB109" s="1825"/>
      <c r="AC109" s="1825"/>
      <c r="AD109" s="1825"/>
      <c r="AE109" s="1825"/>
      <c r="AF109" s="1825"/>
      <c r="AG109" s="547">
        <f t="shared" si="13"/>
        <v>262</v>
      </c>
    </row>
    <row r="110" spans="1:34" s="1826" customFormat="1" ht="72.75" hidden="1" customHeight="1">
      <c r="A110" s="683">
        <v>1211</v>
      </c>
      <c r="B110" s="1760" t="s">
        <v>716</v>
      </c>
      <c r="C110" s="1076" t="s">
        <v>717</v>
      </c>
      <c r="D110" s="1761"/>
      <c r="E110" s="1762">
        <f t="shared" si="11"/>
        <v>12</v>
      </c>
      <c r="F110" s="1763">
        <f t="shared" si="14"/>
        <v>43220</v>
      </c>
      <c r="G110" s="1763">
        <v>43231</v>
      </c>
      <c r="H110" s="1764" t="s">
        <v>718</v>
      </c>
      <c r="I110" s="1762" t="s">
        <v>170</v>
      </c>
      <c r="J110" s="667" t="s">
        <v>719</v>
      </c>
      <c r="K110" s="1769" t="s">
        <v>728</v>
      </c>
      <c r="L110" s="1233">
        <v>23174</v>
      </c>
      <c r="M110" s="1761"/>
      <c r="N110" s="1761"/>
      <c r="O110" s="1765">
        <v>81</v>
      </c>
      <c r="P110" s="1761">
        <v>2</v>
      </c>
      <c r="Q110" s="2382">
        <f t="shared" si="12"/>
        <v>162</v>
      </c>
      <c r="R110" s="2382"/>
      <c r="S110" s="1766"/>
      <c r="T110" s="1766"/>
      <c r="U110" s="1765">
        <v>162</v>
      </c>
      <c r="V110" s="1766"/>
      <c r="W110" s="1766"/>
      <c r="X110" s="1767"/>
      <c r="Y110" s="1768"/>
      <c r="Z110" s="1825"/>
      <c r="AA110" s="1825"/>
      <c r="AB110" s="1825"/>
      <c r="AC110" s="1825"/>
      <c r="AD110" s="1825"/>
      <c r="AE110" s="1825"/>
      <c r="AF110" s="1825"/>
      <c r="AG110" s="547">
        <f t="shared" si="13"/>
        <v>162</v>
      </c>
    </row>
    <row r="111" spans="1:34" s="1826" customFormat="1" ht="72.75" hidden="1" customHeight="1">
      <c r="A111" s="683">
        <v>1211</v>
      </c>
      <c r="B111" s="1760" t="s">
        <v>716</v>
      </c>
      <c r="C111" s="1076" t="s">
        <v>717</v>
      </c>
      <c r="D111" s="1761"/>
      <c r="E111" s="1762">
        <f t="shared" si="11"/>
        <v>12</v>
      </c>
      <c r="F111" s="1763">
        <f t="shared" si="14"/>
        <v>43220</v>
      </c>
      <c r="G111" s="1763">
        <v>43231</v>
      </c>
      <c r="H111" s="1764" t="s">
        <v>718</v>
      </c>
      <c r="I111" s="1762" t="s">
        <v>170</v>
      </c>
      <c r="J111" s="667" t="s">
        <v>719</v>
      </c>
      <c r="K111" s="1769" t="s">
        <v>729</v>
      </c>
      <c r="L111" s="1233">
        <v>23174</v>
      </c>
      <c r="M111" s="1761"/>
      <c r="N111" s="1761"/>
      <c r="O111" s="1765">
        <v>74</v>
      </c>
      <c r="P111" s="1761">
        <v>2</v>
      </c>
      <c r="Q111" s="2382">
        <f t="shared" si="12"/>
        <v>148</v>
      </c>
      <c r="R111" s="2382"/>
      <c r="S111" s="1766"/>
      <c r="T111" s="1766"/>
      <c r="U111" s="1765">
        <v>148</v>
      </c>
      <c r="V111" s="1766"/>
      <c r="W111" s="1766"/>
      <c r="X111" s="1767"/>
      <c r="Y111" s="1768"/>
      <c r="Z111" s="1825"/>
      <c r="AA111" s="1825"/>
      <c r="AB111" s="1825"/>
      <c r="AC111" s="1825"/>
      <c r="AD111" s="1825"/>
      <c r="AE111" s="1825"/>
      <c r="AF111" s="1825"/>
      <c r="AG111" s="547">
        <f t="shared" si="13"/>
        <v>148</v>
      </c>
    </row>
    <row r="112" spans="1:34" s="1826" customFormat="1" ht="72.75" customHeight="1">
      <c r="A112" s="2764">
        <v>1212</v>
      </c>
      <c r="B112" s="2765" t="s">
        <v>730</v>
      </c>
      <c r="C112" s="2766" t="s">
        <v>731</v>
      </c>
      <c r="D112" s="2767"/>
      <c r="E112" s="2768">
        <f>+G112-F112+1</f>
        <v>5</v>
      </c>
      <c r="F112" s="2750">
        <v>43248</v>
      </c>
      <c r="G112" s="2750">
        <f>+F112+5-1</f>
        <v>43252</v>
      </c>
      <c r="H112" s="2769" t="s">
        <v>732</v>
      </c>
      <c r="I112" s="2768" t="s">
        <v>170</v>
      </c>
      <c r="J112" s="2770" t="s">
        <v>719</v>
      </c>
      <c r="K112" s="1769"/>
      <c r="L112" s="2773"/>
      <c r="M112" s="2771"/>
      <c r="N112" s="2771"/>
      <c r="O112" s="1739"/>
      <c r="P112" s="2771"/>
      <c r="Q112" s="2496"/>
      <c r="R112" s="2496"/>
      <c r="S112" s="1768"/>
      <c r="T112" s="1768"/>
      <c r="U112" s="1739"/>
      <c r="V112" s="1768"/>
      <c r="W112" s="1768"/>
      <c r="X112" s="2774"/>
      <c r="Y112" s="1768"/>
      <c r="Z112" s="1825"/>
      <c r="AA112" s="1825"/>
      <c r="AB112" s="1825"/>
      <c r="AC112" s="1825"/>
      <c r="AD112" s="1825"/>
      <c r="AE112" s="1825"/>
      <c r="AF112" s="1825"/>
      <c r="AG112" s="2355"/>
    </row>
    <row r="113" spans="1:33" s="1826" customFormat="1" ht="72" hidden="1" customHeight="1">
      <c r="A113" s="683">
        <v>1212</v>
      </c>
      <c r="B113" s="1770" t="s">
        <v>730</v>
      </c>
      <c r="C113" s="1076" t="s">
        <v>731</v>
      </c>
      <c r="D113" s="1761"/>
      <c r="E113" s="1762">
        <f t="shared" si="11"/>
        <v>5</v>
      </c>
      <c r="F113" s="1763">
        <v>43248</v>
      </c>
      <c r="G113" s="1763">
        <f t="shared" ref="G113:G121" si="15">+F113+5-1</f>
        <v>43252</v>
      </c>
      <c r="H113" s="1764" t="s">
        <v>732</v>
      </c>
      <c r="I113" s="1762" t="s">
        <v>170</v>
      </c>
      <c r="J113" s="667" t="s">
        <v>719</v>
      </c>
      <c r="K113" s="1769" t="s">
        <v>733</v>
      </c>
      <c r="L113" s="1233">
        <v>23174</v>
      </c>
      <c r="M113" s="1761"/>
      <c r="N113" s="1761"/>
      <c r="O113" s="1765">
        <v>101</v>
      </c>
      <c r="P113" s="1761">
        <v>49</v>
      </c>
      <c r="Q113" s="2382">
        <f t="shared" si="12"/>
        <v>4949</v>
      </c>
      <c r="R113" s="2382"/>
      <c r="S113" s="1766"/>
      <c r="T113" s="1766"/>
      <c r="U113" s="1766"/>
      <c r="V113" s="1765">
        <v>4949</v>
      </c>
      <c r="W113" s="1766"/>
      <c r="X113" s="1767"/>
      <c r="Y113" s="1768"/>
      <c r="Z113" s="1825"/>
      <c r="AA113" s="1825"/>
      <c r="AB113" s="1825"/>
      <c r="AC113" s="1825"/>
      <c r="AD113" s="1825"/>
      <c r="AE113" s="1825"/>
      <c r="AF113" s="1825"/>
      <c r="AG113" s="547">
        <f t="shared" si="13"/>
        <v>4949</v>
      </c>
    </row>
    <row r="114" spans="1:33" s="1826" customFormat="1" ht="72" hidden="1" customHeight="1">
      <c r="A114" s="683">
        <v>1212</v>
      </c>
      <c r="B114" s="1770" t="s">
        <v>730</v>
      </c>
      <c r="C114" s="1076" t="s">
        <v>731</v>
      </c>
      <c r="D114" s="1761"/>
      <c r="E114" s="1762">
        <f t="shared" si="11"/>
        <v>5</v>
      </c>
      <c r="F114" s="1763">
        <v>43248</v>
      </c>
      <c r="G114" s="1763">
        <f t="shared" si="15"/>
        <v>43252</v>
      </c>
      <c r="H114" s="1764" t="s">
        <v>732</v>
      </c>
      <c r="I114" s="1762" t="s">
        <v>170</v>
      </c>
      <c r="J114" s="667" t="s">
        <v>719</v>
      </c>
      <c r="K114" s="1769" t="s">
        <v>721</v>
      </c>
      <c r="L114" s="1233">
        <v>23174</v>
      </c>
      <c r="M114" s="1761"/>
      <c r="N114" s="1761"/>
      <c r="O114" s="1765">
        <v>100</v>
      </c>
      <c r="P114" s="1761">
        <v>49</v>
      </c>
      <c r="Q114" s="2382">
        <f t="shared" si="12"/>
        <v>4900</v>
      </c>
      <c r="R114" s="2382"/>
      <c r="S114" s="1766"/>
      <c r="T114" s="1766"/>
      <c r="U114" s="1766"/>
      <c r="V114" s="1765">
        <v>4900</v>
      </c>
      <c r="W114" s="1766"/>
      <c r="X114" s="1767"/>
      <c r="Y114" s="1768"/>
      <c r="Z114" s="1825"/>
      <c r="AA114" s="1825"/>
      <c r="AB114" s="1825"/>
      <c r="AC114" s="1825"/>
      <c r="AD114" s="1825"/>
      <c r="AE114" s="1825"/>
      <c r="AF114" s="1825"/>
      <c r="AG114" s="547">
        <f t="shared" si="13"/>
        <v>4900</v>
      </c>
    </row>
    <row r="115" spans="1:33" s="1826" customFormat="1" ht="72" hidden="1" customHeight="1">
      <c r="A115" s="683">
        <v>1212</v>
      </c>
      <c r="B115" s="1770" t="s">
        <v>730</v>
      </c>
      <c r="C115" s="1076" t="s">
        <v>731</v>
      </c>
      <c r="D115" s="1761"/>
      <c r="E115" s="1762">
        <f t="shared" si="11"/>
        <v>5</v>
      </c>
      <c r="F115" s="1763">
        <v>43248</v>
      </c>
      <c r="G115" s="1763">
        <f t="shared" si="15"/>
        <v>43252</v>
      </c>
      <c r="H115" s="1764" t="s">
        <v>732</v>
      </c>
      <c r="I115" s="1762" t="s">
        <v>170</v>
      </c>
      <c r="J115" s="667" t="s">
        <v>719</v>
      </c>
      <c r="K115" s="1769" t="s">
        <v>734</v>
      </c>
      <c r="L115" s="1231">
        <v>23173</v>
      </c>
      <c r="M115" s="1761"/>
      <c r="N115" s="1761"/>
      <c r="O115" s="1765">
        <v>875</v>
      </c>
      <c r="P115" s="1761">
        <v>7</v>
      </c>
      <c r="Q115" s="2382">
        <f t="shared" si="12"/>
        <v>6125</v>
      </c>
      <c r="R115" s="2382"/>
      <c r="S115" s="1766"/>
      <c r="T115" s="1766"/>
      <c r="U115" s="1766"/>
      <c r="V115" s="1765">
        <v>6125</v>
      </c>
      <c r="W115" s="1766"/>
      <c r="X115" s="1767"/>
      <c r="Y115" s="1768"/>
      <c r="Z115" s="1825"/>
      <c r="AA115" s="1825"/>
      <c r="AB115" s="1825"/>
      <c r="AC115" s="1825"/>
      <c r="AD115" s="1825"/>
      <c r="AE115" s="1825"/>
      <c r="AF115" s="1825"/>
      <c r="AG115" s="547">
        <f t="shared" si="13"/>
        <v>6125</v>
      </c>
    </row>
    <row r="116" spans="1:33" s="1826" customFormat="1" ht="72" hidden="1" customHeight="1">
      <c r="A116" s="683">
        <v>1212</v>
      </c>
      <c r="B116" s="1770" t="s">
        <v>730</v>
      </c>
      <c r="C116" s="1076" t="s">
        <v>731</v>
      </c>
      <c r="D116" s="1761"/>
      <c r="E116" s="1762">
        <f t="shared" si="11"/>
        <v>5</v>
      </c>
      <c r="F116" s="1763">
        <v>43248</v>
      </c>
      <c r="G116" s="1763">
        <f t="shared" si="15"/>
        <v>43252</v>
      </c>
      <c r="H116" s="1764" t="s">
        <v>732</v>
      </c>
      <c r="I116" s="1762" t="s">
        <v>170</v>
      </c>
      <c r="J116" s="667" t="s">
        <v>719</v>
      </c>
      <c r="K116" s="1769" t="s">
        <v>735</v>
      </c>
      <c r="L116" s="1233">
        <v>23174</v>
      </c>
      <c r="M116" s="1761"/>
      <c r="N116" s="1761"/>
      <c r="O116" s="1765">
        <v>510</v>
      </c>
      <c r="P116" s="1761">
        <v>7</v>
      </c>
      <c r="Q116" s="2382">
        <f t="shared" si="12"/>
        <v>3570</v>
      </c>
      <c r="R116" s="2382"/>
      <c r="S116" s="1766"/>
      <c r="T116" s="1766"/>
      <c r="U116" s="1766"/>
      <c r="V116" s="1765">
        <v>3570</v>
      </c>
      <c r="W116" s="1766"/>
      <c r="X116" s="1767"/>
      <c r="Y116" s="1768"/>
      <c r="Z116" s="1825"/>
      <c r="AA116" s="1825"/>
      <c r="AB116" s="1825"/>
      <c r="AC116" s="1825"/>
      <c r="AD116" s="1825"/>
      <c r="AE116" s="1825"/>
      <c r="AF116" s="1825"/>
      <c r="AG116" s="547">
        <f t="shared" si="13"/>
        <v>3570</v>
      </c>
    </row>
    <row r="117" spans="1:33" s="1826" customFormat="1" ht="72" hidden="1" customHeight="1">
      <c r="A117" s="683">
        <v>1212</v>
      </c>
      <c r="B117" s="1770" t="s">
        <v>730</v>
      </c>
      <c r="C117" s="1076" t="s">
        <v>731</v>
      </c>
      <c r="D117" s="1761"/>
      <c r="E117" s="1762">
        <f t="shared" si="11"/>
        <v>5</v>
      </c>
      <c r="F117" s="1763">
        <v>43248</v>
      </c>
      <c r="G117" s="1763">
        <f t="shared" si="15"/>
        <v>43252</v>
      </c>
      <c r="H117" s="1764" t="s">
        <v>732</v>
      </c>
      <c r="I117" s="1762" t="s">
        <v>170</v>
      </c>
      <c r="J117" s="667" t="s">
        <v>719</v>
      </c>
      <c r="K117" s="1769" t="s">
        <v>725</v>
      </c>
      <c r="L117" s="1233">
        <v>23174</v>
      </c>
      <c r="M117" s="1761"/>
      <c r="N117" s="1761"/>
      <c r="O117" s="1765">
        <v>101</v>
      </c>
      <c r="P117" s="1761">
        <v>14</v>
      </c>
      <c r="Q117" s="2382">
        <f t="shared" si="12"/>
        <v>1414</v>
      </c>
      <c r="R117" s="2382"/>
      <c r="S117" s="1766"/>
      <c r="T117" s="1766"/>
      <c r="U117" s="1766"/>
      <c r="V117" s="1765">
        <v>1414</v>
      </c>
      <c r="W117" s="1766"/>
      <c r="X117" s="1767"/>
      <c r="Y117" s="1768"/>
      <c r="Z117" s="1825"/>
      <c r="AA117" s="1825"/>
      <c r="AB117" s="1825"/>
      <c r="AC117" s="1825"/>
      <c r="AD117" s="1825"/>
      <c r="AE117" s="1825"/>
      <c r="AF117" s="1825"/>
      <c r="AG117" s="547">
        <f t="shared" si="13"/>
        <v>1414</v>
      </c>
    </row>
    <row r="118" spans="1:33" s="1826" customFormat="1" ht="72" hidden="1" customHeight="1">
      <c r="A118" s="683">
        <v>1212</v>
      </c>
      <c r="B118" s="1770" t="s">
        <v>730</v>
      </c>
      <c r="C118" s="1076" t="s">
        <v>731</v>
      </c>
      <c r="D118" s="1761"/>
      <c r="E118" s="1762">
        <f t="shared" si="11"/>
        <v>5</v>
      </c>
      <c r="F118" s="1763">
        <v>43248</v>
      </c>
      <c r="G118" s="1763">
        <f t="shared" si="15"/>
        <v>43252</v>
      </c>
      <c r="H118" s="1764" t="s">
        <v>732</v>
      </c>
      <c r="I118" s="1762" t="s">
        <v>170</v>
      </c>
      <c r="J118" s="667" t="s">
        <v>719</v>
      </c>
      <c r="K118" s="1769" t="s">
        <v>726</v>
      </c>
      <c r="L118" s="1233">
        <v>23174</v>
      </c>
      <c r="M118" s="1761"/>
      <c r="N118" s="1761"/>
      <c r="O118" s="1765">
        <v>100</v>
      </c>
      <c r="P118" s="1761">
        <v>14</v>
      </c>
      <c r="Q118" s="2382">
        <f t="shared" si="12"/>
        <v>1400</v>
      </c>
      <c r="R118" s="2382"/>
      <c r="S118" s="1766"/>
      <c r="T118" s="1766"/>
      <c r="U118" s="1766"/>
      <c r="V118" s="1765">
        <v>1400</v>
      </c>
      <c r="W118" s="1766"/>
      <c r="X118" s="1767"/>
      <c r="Y118" s="1768"/>
      <c r="Z118" s="1825"/>
      <c r="AA118" s="1825"/>
      <c r="AB118" s="1825"/>
      <c r="AC118" s="1825"/>
      <c r="AD118" s="1825"/>
      <c r="AE118" s="1825"/>
      <c r="AF118" s="1825"/>
      <c r="AG118" s="547">
        <f t="shared" si="13"/>
        <v>1400</v>
      </c>
    </row>
    <row r="119" spans="1:33" s="1826" customFormat="1" ht="72" hidden="1" customHeight="1">
      <c r="A119" s="683">
        <v>1212</v>
      </c>
      <c r="B119" s="1770" t="s">
        <v>730</v>
      </c>
      <c r="C119" s="1076" t="s">
        <v>731</v>
      </c>
      <c r="D119" s="1761"/>
      <c r="E119" s="1762">
        <f t="shared" si="11"/>
        <v>5</v>
      </c>
      <c r="F119" s="1763">
        <v>43248</v>
      </c>
      <c r="G119" s="1763">
        <f t="shared" si="15"/>
        <v>43252</v>
      </c>
      <c r="H119" s="1764" t="s">
        <v>732</v>
      </c>
      <c r="I119" s="1762" t="s">
        <v>170</v>
      </c>
      <c r="J119" s="667" t="s">
        <v>719</v>
      </c>
      <c r="K119" s="1769" t="s">
        <v>727</v>
      </c>
      <c r="L119" s="1233">
        <v>23174</v>
      </c>
      <c r="M119" s="1761"/>
      <c r="N119" s="1761"/>
      <c r="O119" s="1765">
        <v>84</v>
      </c>
      <c r="P119" s="1761">
        <v>14</v>
      </c>
      <c r="Q119" s="2382">
        <f t="shared" si="12"/>
        <v>1176</v>
      </c>
      <c r="R119" s="2382"/>
      <c r="S119" s="1766"/>
      <c r="T119" s="1766"/>
      <c r="U119" s="1766"/>
      <c r="V119" s="1765">
        <v>1176</v>
      </c>
      <c r="W119" s="1766"/>
      <c r="X119" s="1767"/>
      <c r="Y119" s="1768"/>
      <c r="Z119" s="1825"/>
      <c r="AA119" s="1825"/>
      <c r="AB119" s="1825"/>
      <c r="AC119" s="1825"/>
      <c r="AD119" s="1825"/>
      <c r="AE119" s="1825"/>
      <c r="AF119" s="1825"/>
      <c r="AG119" s="547">
        <f t="shared" si="13"/>
        <v>1176</v>
      </c>
    </row>
    <row r="120" spans="1:33" s="1826" customFormat="1" ht="72" hidden="1" customHeight="1">
      <c r="A120" s="683">
        <v>1212</v>
      </c>
      <c r="B120" s="1770" t="s">
        <v>730</v>
      </c>
      <c r="C120" s="1076" t="s">
        <v>731</v>
      </c>
      <c r="D120" s="1761"/>
      <c r="E120" s="1762">
        <f t="shared" si="11"/>
        <v>5</v>
      </c>
      <c r="F120" s="1763">
        <v>43248</v>
      </c>
      <c r="G120" s="1763">
        <f t="shared" si="15"/>
        <v>43252</v>
      </c>
      <c r="H120" s="1764" t="s">
        <v>732</v>
      </c>
      <c r="I120" s="1762" t="s">
        <v>170</v>
      </c>
      <c r="J120" s="667" t="s">
        <v>719</v>
      </c>
      <c r="K120" s="1769" t="s">
        <v>736</v>
      </c>
      <c r="L120" s="1233">
        <v>23174</v>
      </c>
      <c r="M120" s="1761"/>
      <c r="N120" s="1761"/>
      <c r="O120" s="1765">
        <v>50</v>
      </c>
      <c r="P120" s="1761">
        <v>14</v>
      </c>
      <c r="Q120" s="2382">
        <f t="shared" si="12"/>
        <v>700</v>
      </c>
      <c r="R120" s="2382"/>
      <c r="S120" s="1766"/>
      <c r="T120" s="1766"/>
      <c r="U120" s="1766"/>
      <c r="V120" s="1765">
        <v>700</v>
      </c>
      <c r="W120" s="1766"/>
      <c r="X120" s="1767"/>
      <c r="Y120" s="1768"/>
      <c r="Z120" s="1825"/>
      <c r="AA120" s="1825"/>
      <c r="AB120" s="1825"/>
      <c r="AC120" s="1825"/>
      <c r="AD120" s="1825"/>
      <c r="AE120" s="1825"/>
      <c r="AF120" s="1825"/>
      <c r="AG120" s="547">
        <f t="shared" si="13"/>
        <v>700</v>
      </c>
    </row>
    <row r="121" spans="1:33" s="1826" customFormat="1" ht="72" hidden="1" customHeight="1">
      <c r="A121" s="683">
        <v>1212</v>
      </c>
      <c r="B121" s="1770" t="s">
        <v>730</v>
      </c>
      <c r="C121" s="1076" t="s">
        <v>731</v>
      </c>
      <c r="D121" s="1761"/>
      <c r="E121" s="1762">
        <f t="shared" si="11"/>
        <v>5</v>
      </c>
      <c r="F121" s="1763">
        <v>43248</v>
      </c>
      <c r="G121" s="1763">
        <f t="shared" si="15"/>
        <v>43252</v>
      </c>
      <c r="H121" s="1764" t="s">
        <v>732</v>
      </c>
      <c r="I121" s="1762" t="s">
        <v>170</v>
      </c>
      <c r="J121" s="667" t="s">
        <v>719</v>
      </c>
      <c r="K121" s="1769" t="s">
        <v>737</v>
      </c>
      <c r="L121" s="1233">
        <v>23174</v>
      </c>
      <c r="M121" s="1761"/>
      <c r="N121" s="1761"/>
      <c r="O121" s="1765">
        <v>510</v>
      </c>
      <c r="P121" s="1761">
        <v>14</v>
      </c>
      <c r="Q121" s="2382">
        <f t="shared" si="12"/>
        <v>7140</v>
      </c>
      <c r="R121" s="2382"/>
      <c r="S121" s="1766"/>
      <c r="T121" s="1766"/>
      <c r="U121" s="1766"/>
      <c r="V121" s="1765">
        <v>7140</v>
      </c>
      <c r="W121" s="1766"/>
      <c r="X121" s="1767"/>
      <c r="Y121" s="1768"/>
      <c r="Z121" s="1825"/>
      <c r="AA121" s="1825"/>
      <c r="AB121" s="1825"/>
      <c r="AC121" s="1825"/>
      <c r="AD121" s="1825"/>
      <c r="AE121" s="1825"/>
      <c r="AF121" s="1825"/>
      <c r="AG121" s="547">
        <f t="shared" si="13"/>
        <v>7140</v>
      </c>
    </row>
    <row r="122" spans="1:33" s="1826" customFormat="1" ht="72" customHeight="1">
      <c r="A122" s="2764">
        <v>1213</v>
      </c>
      <c r="B122" s="2765" t="s">
        <v>738</v>
      </c>
      <c r="C122" s="2766" t="s">
        <v>739</v>
      </c>
      <c r="D122" s="2767"/>
      <c r="E122" s="2768">
        <f>+G122-F122+1</f>
        <v>26</v>
      </c>
      <c r="F122" s="2750">
        <v>43262</v>
      </c>
      <c r="G122" s="2750">
        <v>43287</v>
      </c>
      <c r="H122" s="2769"/>
      <c r="I122" s="2768" t="s">
        <v>170</v>
      </c>
      <c r="J122" s="2770" t="s">
        <v>719</v>
      </c>
      <c r="K122" s="1769"/>
      <c r="L122" s="2773"/>
      <c r="M122" s="2771"/>
      <c r="N122" s="2771"/>
      <c r="O122" s="1739"/>
      <c r="P122" s="2771"/>
      <c r="Q122" s="2496"/>
      <c r="R122" s="2496"/>
      <c r="S122" s="1768"/>
      <c r="T122" s="1768"/>
      <c r="U122" s="1768"/>
      <c r="V122" s="1739"/>
      <c r="W122" s="1768"/>
      <c r="X122" s="2774"/>
      <c r="Y122" s="1768"/>
      <c r="Z122" s="1825"/>
      <c r="AA122" s="1825"/>
      <c r="AB122" s="1825"/>
      <c r="AC122" s="1825"/>
      <c r="AD122" s="1825"/>
      <c r="AE122" s="1825"/>
      <c r="AF122" s="1825"/>
      <c r="AG122" s="2355"/>
    </row>
    <row r="123" spans="1:33" s="1826" customFormat="1" ht="72" hidden="1" customHeight="1">
      <c r="A123" s="683">
        <v>1213</v>
      </c>
      <c r="B123" s="1770" t="s">
        <v>738</v>
      </c>
      <c r="C123" s="1076" t="s">
        <v>739</v>
      </c>
      <c r="D123" s="1761"/>
      <c r="E123" s="1762">
        <f t="shared" si="11"/>
        <v>26</v>
      </c>
      <c r="F123" s="1763">
        <v>43262</v>
      </c>
      <c r="G123" s="1763">
        <v>43287</v>
      </c>
      <c r="H123" s="1764"/>
      <c r="I123" s="1762" t="s">
        <v>170</v>
      </c>
      <c r="J123" s="667" t="s">
        <v>719</v>
      </c>
      <c r="K123" s="1769" t="s">
        <v>740</v>
      </c>
      <c r="L123" s="1233">
        <v>23174</v>
      </c>
      <c r="M123" s="1761"/>
      <c r="N123" s="1761"/>
      <c r="O123" s="1765">
        <v>214</v>
      </c>
      <c r="P123" s="1761">
        <v>28</v>
      </c>
      <c r="Q123" s="2382">
        <f t="shared" si="12"/>
        <v>5992</v>
      </c>
      <c r="R123" s="2382"/>
      <c r="S123" s="1766"/>
      <c r="T123" s="1766"/>
      <c r="U123" s="1766"/>
      <c r="V123" s="1766"/>
      <c r="W123" s="1765">
        <v>5992</v>
      </c>
      <c r="X123" s="1767"/>
      <c r="Y123" s="1768"/>
      <c r="Z123" s="1825"/>
      <c r="AA123" s="1825"/>
      <c r="AB123" s="1825"/>
      <c r="AC123" s="1825"/>
      <c r="AD123" s="1825"/>
      <c r="AE123" s="1825"/>
      <c r="AF123" s="1825"/>
      <c r="AG123" s="547">
        <f t="shared" si="13"/>
        <v>5992</v>
      </c>
    </row>
    <row r="124" spans="1:33" s="1826" customFormat="1" ht="72" hidden="1" customHeight="1">
      <c r="A124" s="683">
        <v>1213</v>
      </c>
      <c r="B124" s="1770" t="s">
        <v>738</v>
      </c>
      <c r="C124" s="1076" t="s">
        <v>739</v>
      </c>
      <c r="D124" s="1761"/>
      <c r="E124" s="1762">
        <f t="shared" si="11"/>
        <v>26</v>
      </c>
      <c r="F124" s="1763">
        <v>43262</v>
      </c>
      <c r="G124" s="1763">
        <v>43287</v>
      </c>
      <c r="H124" s="1764"/>
      <c r="I124" s="1762" t="s">
        <v>170</v>
      </c>
      <c r="J124" s="667" t="s">
        <v>719</v>
      </c>
      <c r="K124" s="1769" t="s">
        <v>741</v>
      </c>
      <c r="L124" s="1233">
        <v>23174</v>
      </c>
      <c r="M124" s="1761"/>
      <c r="N124" s="1761"/>
      <c r="O124" s="1765">
        <v>225</v>
      </c>
      <c r="P124" s="1761">
        <v>28</v>
      </c>
      <c r="Q124" s="2382">
        <f t="shared" si="12"/>
        <v>6300</v>
      </c>
      <c r="R124" s="2382"/>
      <c r="S124" s="1766"/>
      <c r="T124" s="1766"/>
      <c r="U124" s="1766"/>
      <c r="V124" s="1766"/>
      <c r="W124" s="1765">
        <v>6300</v>
      </c>
      <c r="X124" s="1767"/>
      <c r="Y124" s="1768"/>
      <c r="Z124" s="1825"/>
      <c r="AA124" s="1825"/>
      <c r="AB124" s="1825"/>
      <c r="AC124" s="1825"/>
      <c r="AD124" s="1825"/>
      <c r="AE124" s="1825"/>
      <c r="AF124" s="1825"/>
      <c r="AG124" s="547">
        <f t="shared" si="13"/>
        <v>6300</v>
      </c>
    </row>
    <row r="125" spans="1:33" s="1826" customFormat="1" ht="72" hidden="1" customHeight="1">
      <c r="A125" s="683">
        <v>1213</v>
      </c>
      <c r="B125" s="1770" t="s">
        <v>738</v>
      </c>
      <c r="C125" s="1076" t="s">
        <v>739</v>
      </c>
      <c r="D125" s="1761"/>
      <c r="E125" s="1762">
        <f t="shared" si="11"/>
        <v>26</v>
      </c>
      <c r="F125" s="1763">
        <v>43262</v>
      </c>
      <c r="G125" s="1763">
        <v>43287</v>
      </c>
      <c r="H125" s="1764"/>
      <c r="I125" s="1762" t="s">
        <v>170</v>
      </c>
      <c r="J125" s="667" t="s">
        <v>719</v>
      </c>
      <c r="K125" s="1769" t="s">
        <v>742</v>
      </c>
      <c r="L125" s="1233">
        <v>23174</v>
      </c>
      <c r="M125" s="1761"/>
      <c r="N125" s="1761"/>
      <c r="O125" s="1765">
        <v>38</v>
      </c>
      <c r="P125" s="1761">
        <v>28</v>
      </c>
      <c r="Q125" s="2382">
        <f t="shared" si="12"/>
        <v>1064</v>
      </c>
      <c r="R125" s="2382"/>
      <c r="S125" s="1766"/>
      <c r="T125" s="1766"/>
      <c r="U125" s="1766"/>
      <c r="V125" s="1766"/>
      <c r="W125" s="1765">
        <v>1064</v>
      </c>
      <c r="X125" s="1767"/>
      <c r="Y125" s="1768"/>
      <c r="Z125" s="1825"/>
      <c r="AA125" s="1825"/>
      <c r="AB125" s="1825"/>
      <c r="AC125" s="1825"/>
      <c r="AD125" s="1825"/>
      <c r="AE125" s="1825"/>
      <c r="AF125" s="1825"/>
      <c r="AG125" s="547">
        <f t="shared" si="13"/>
        <v>1064</v>
      </c>
    </row>
    <row r="126" spans="1:33" s="1826" customFormat="1" ht="72" hidden="1" customHeight="1">
      <c r="A126" s="683">
        <v>1213</v>
      </c>
      <c r="B126" s="1770" t="s">
        <v>738</v>
      </c>
      <c r="C126" s="1076" t="s">
        <v>739</v>
      </c>
      <c r="D126" s="1761"/>
      <c r="E126" s="1762">
        <f t="shared" si="11"/>
        <v>26</v>
      </c>
      <c r="F126" s="1763">
        <v>43262</v>
      </c>
      <c r="G126" s="1763">
        <v>43287</v>
      </c>
      <c r="H126" s="1764"/>
      <c r="I126" s="1762" t="s">
        <v>170</v>
      </c>
      <c r="J126" s="667" t="s">
        <v>719</v>
      </c>
      <c r="K126" s="1769" t="s">
        <v>743</v>
      </c>
      <c r="L126" s="1233">
        <v>23174</v>
      </c>
      <c r="M126" s="1761"/>
      <c r="N126" s="1761"/>
      <c r="O126" s="1765">
        <v>214</v>
      </c>
      <c r="P126" s="1761">
        <v>2</v>
      </c>
      <c r="Q126" s="2382">
        <f t="shared" si="12"/>
        <v>428</v>
      </c>
      <c r="R126" s="2382"/>
      <c r="S126" s="1766"/>
      <c r="T126" s="1766"/>
      <c r="U126" s="1766"/>
      <c r="V126" s="1766"/>
      <c r="W126" s="1765">
        <v>428</v>
      </c>
      <c r="X126" s="1767"/>
      <c r="Y126" s="1768"/>
      <c r="Z126" s="1825"/>
      <c r="AA126" s="1825"/>
      <c r="AB126" s="1825"/>
      <c r="AC126" s="1825"/>
      <c r="AD126" s="1825"/>
      <c r="AE126" s="1825"/>
      <c r="AF126" s="1825"/>
      <c r="AG126" s="547">
        <f t="shared" si="13"/>
        <v>428</v>
      </c>
    </row>
    <row r="127" spans="1:33" s="1826" customFormat="1" ht="72" hidden="1" customHeight="1">
      <c r="A127" s="683">
        <v>1213</v>
      </c>
      <c r="B127" s="1770" t="s">
        <v>738</v>
      </c>
      <c r="C127" s="1076" t="s">
        <v>739</v>
      </c>
      <c r="D127" s="1761"/>
      <c r="E127" s="1762">
        <f t="shared" si="11"/>
        <v>26</v>
      </c>
      <c r="F127" s="1763">
        <v>43262</v>
      </c>
      <c r="G127" s="1763">
        <v>43287</v>
      </c>
      <c r="H127" s="1764"/>
      <c r="I127" s="1762" t="s">
        <v>170</v>
      </c>
      <c r="J127" s="667" t="s">
        <v>719</v>
      </c>
      <c r="K127" s="1769" t="s">
        <v>744</v>
      </c>
      <c r="L127" s="1233">
        <v>23174</v>
      </c>
      <c r="M127" s="1761"/>
      <c r="N127" s="1761"/>
      <c r="O127" s="1765">
        <v>225</v>
      </c>
      <c r="P127" s="1761">
        <v>2</v>
      </c>
      <c r="Q127" s="2382">
        <f t="shared" si="12"/>
        <v>450</v>
      </c>
      <c r="R127" s="2382"/>
      <c r="S127" s="1766"/>
      <c r="T127" s="1766"/>
      <c r="U127" s="1766"/>
      <c r="V127" s="1766"/>
      <c r="W127" s="1765">
        <v>450</v>
      </c>
      <c r="X127" s="1767"/>
      <c r="Y127" s="1768"/>
      <c r="Z127" s="1825"/>
      <c r="AA127" s="1825"/>
      <c r="AB127" s="1825"/>
      <c r="AC127" s="1825"/>
      <c r="AD127" s="1825"/>
      <c r="AE127" s="1825"/>
      <c r="AF127" s="1825"/>
      <c r="AG127" s="547">
        <f t="shared" si="13"/>
        <v>450</v>
      </c>
    </row>
    <row r="128" spans="1:33" s="1826" customFormat="1" ht="72" hidden="1" customHeight="1">
      <c r="A128" s="683">
        <v>1213</v>
      </c>
      <c r="B128" s="1770" t="s">
        <v>738</v>
      </c>
      <c r="C128" s="1076" t="s">
        <v>739</v>
      </c>
      <c r="D128" s="1761"/>
      <c r="E128" s="1762">
        <f t="shared" si="11"/>
        <v>26</v>
      </c>
      <c r="F128" s="1763">
        <v>43262</v>
      </c>
      <c r="G128" s="1763">
        <v>43287</v>
      </c>
      <c r="H128" s="1764"/>
      <c r="I128" s="1762" t="s">
        <v>170</v>
      </c>
      <c r="J128" s="667" t="s">
        <v>719</v>
      </c>
      <c r="K128" s="1769" t="s">
        <v>745</v>
      </c>
      <c r="L128" s="1233">
        <v>23174</v>
      </c>
      <c r="M128" s="1761"/>
      <c r="N128" s="1761"/>
      <c r="O128" s="1765">
        <v>255</v>
      </c>
      <c r="P128" s="1761">
        <v>2</v>
      </c>
      <c r="Q128" s="2382">
        <f t="shared" si="12"/>
        <v>510</v>
      </c>
      <c r="R128" s="2382"/>
      <c r="S128" s="1766"/>
      <c r="T128" s="1766"/>
      <c r="U128" s="1766"/>
      <c r="V128" s="1766"/>
      <c r="W128" s="1765">
        <v>510</v>
      </c>
      <c r="X128" s="1767"/>
      <c r="Y128" s="1768"/>
      <c r="Z128" s="1825"/>
      <c r="AA128" s="1825"/>
      <c r="AB128" s="1825"/>
      <c r="AC128" s="1825"/>
      <c r="AD128" s="1825"/>
      <c r="AE128" s="1825"/>
      <c r="AF128" s="1825"/>
      <c r="AG128" s="547">
        <f t="shared" si="13"/>
        <v>510</v>
      </c>
    </row>
    <row r="129" spans="1:33" s="1826" customFormat="1" ht="72" hidden="1" customHeight="1">
      <c r="A129" s="683">
        <v>1213</v>
      </c>
      <c r="B129" s="1770" t="s">
        <v>738</v>
      </c>
      <c r="C129" s="1076" t="s">
        <v>739</v>
      </c>
      <c r="D129" s="1761"/>
      <c r="E129" s="1762">
        <f t="shared" si="11"/>
        <v>26</v>
      </c>
      <c r="F129" s="1763">
        <v>43262</v>
      </c>
      <c r="G129" s="1763">
        <v>43287</v>
      </c>
      <c r="H129" s="1764"/>
      <c r="I129" s="1762" t="s">
        <v>170</v>
      </c>
      <c r="J129" s="667" t="s">
        <v>719</v>
      </c>
      <c r="K129" s="1769" t="s">
        <v>727</v>
      </c>
      <c r="L129" s="1233">
        <v>23174</v>
      </c>
      <c r="M129" s="1761"/>
      <c r="N129" s="1761"/>
      <c r="O129" s="1765">
        <v>178</v>
      </c>
      <c r="P129" s="1761">
        <v>2</v>
      </c>
      <c r="Q129" s="2382">
        <f t="shared" si="12"/>
        <v>356</v>
      </c>
      <c r="R129" s="2382"/>
      <c r="S129" s="1766"/>
      <c r="T129" s="1766"/>
      <c r="U129" s="1766"/>
      <c r="V129" s="1766"/>
      <c r="W129" s="1765">
        <v>356</v>
      </c>
      <c r="X129" s="1767"/>
      <c r="Y129" s="1768"/>
      <c r="Z129" s="1825"/>
      <c r="AA129" s="1825"/>
      <c r="AB129" s="1825"/>
      <c r="AC129" s="1825"/>
      <c r="AD129" s="1825"/>
      <c r="AE129" s="1825"/>
      <c r="AF129" s="1825"/>
      <c r="AG129" s="547">
        <f t="shared" si="13"/>
        <v>356</v>
      </c>
    </row>
    <row r="130" spans="1:33" s="1826" customFormat="1" ht="72" hidden="1" customHeight="1">
      <c r="A130" s="683">
        <v>1213</v>
      </c>
      <c r="B130" s="1770" t="s">
        <v>738</v>
      </c>
      <c r="C130" s="1076" t="s">
        <v>739</v>
      </c>
      <c r="D130" s="1761"/>
      <c r="E130" s="1762">
        <f t="shared" si="11"/>
        <v>26</v>
      </c>
      <c r="F130" s="1763">
        <v>43262</v>
      </c>
      <c r="G130" s="1763">
        <v>43287</v>
      </c>
      <c r="H130" s="1764"/>
      <c r="I130" s="1762" t="s">
        <v>170</v>
      </c>
      <c r="J130" s="667" t="s">
        <v>719</v>
      </c>
      <c r="K130" s="1769" t="s">
        <v>736</v>
      </c>
      <c r="L130" s="1233">
        <v>23174</v>
      </c>
      <c r="M130" s="1761"/>
      <c r="N130" s="1761"/>
      <c r="O130" s="1765">
        <v>112</v>
      </c>
      <c r="P130" s="1761">
        <v>2</v>
      </c>
      <c r="Q130" s="2382">
        <f t="shared" si="12"/>
        <v>224</v>
      </c>
      <c r="R130" s="2382"/>
      <c r="S130" s="1766"/>
      <c r="T130" s="1766"/>
      <c r="U130" s="1766"/>
      <c r="V130" s="1766"/>
      <c r="W130" s="1765">
        <v>224</v>
      </c>
      <c r="X130" s="1767"/>
      <c r="Y130" s="1768"/>
      <c r="Z130" s="1825"/>
      <c r="AA130" s="1825"/>
      <c r="AB130" s="1825"/>
      <c r="AC130" s="1825"/>
      <c r="AD130" s="1825"/>
      <c r="AE130" s="1825"/>
      <c r="AF130" s="1825"/>
      <c r="AG130" s="547">
        <f t="shared" si="13"/>
        <v>224</v>
      </c>
    </row>
    <row r="131" spans="1:33" s="1826" customFormat="1" ht="72" hidden="1" customHeight="1">
      <c r="A131" s="683">
        <v>1213</v>
      </c>
      <c r="B131" s="1770" t="s">
        <v>738</v>
      </c>
      <c r="C131" s="1076" t="s">
        <v>739</v>
      </c>
      <c r="D131" s="1761"/>
      <c r="E131" s="1762">
        <f t="shared" si="11"/>
        <v>26</v>
      </c>
      <c r="F131" s="1763">
        <v>43262</v>
      </c>
      <c r="G131" s="1763">
        <v>43287</v>
      </c>
      <c r="H131" s="1764"/>
      <c r="I131" s="1762" t="s">
        <v>170</v>
      </c>
      <c r="J131" s="667" t="s">
        <v>719</v>
      </c>
      <c r="K131" s="1769" t="s">
        <v>302</v>
      </c>
      <c r="L131" s="1233">
        <v>23173</v>
      </c>
      <c r="M131" s="1761"/>
      <c r="N131" s="1761"/>
      <c r="O131" s="1765">
        <v>15</v>
      </c>
      <c r="P131" s="1761">
        <v>28</v>
      </c>
      <c r="Q131" s="2382">
        <f t="shared" si="12"/>
        <v>420</v>
      </c>
      <c r="R131" s="2382"/>
      <c r="S131" s="1766"/>
      <c r="T131" s="1766"/>
      <c r="U131" s="1766"/>
      <c r="V131" s="1766"/>
      <c r="W131" s="1765">
        <v>420</v>
      </c>
      <c r="X131" s="1767"/>
      <c r="Y131" s="1768"/>
      <c r="Z131" s="1825"/>
      <c r="AA131" s="1825"/>
      <c r="AB131" s="1825"/>
      <c r="AC131" s="1825"/>
      <c r="AD131" s="1825"/>
      <c r="AE131" s="1825"/>
      <c r="AF131" s="1825"/>
      <c r="AG131" s="547">
        <f t="shared" si="13"/>
        <v>420</v>
      </c>
    </row>
    <row r="132" spans="1:33" s="1826" customFormat="1" ht="63.75" hidden="1" customHeight="1">
      <c r="A132" s="683">
        <v>1213</v>
      </c>
      <c r="B132" s="1770" t="s">
        <v>738</v>
      </c>
      <c r="C132" s="1076" t="s">
        <v>739</v>
      </c>
      <c r="D132" s="1761"/>
      <c r="E132" s="1762">
        <f t="shared" si="11"/>
        <v>26</v>
      </c>
      <c r="F132" s="1763">
        <v>43262</v>
      </c>
      <c r="G132" s="1763">
        <v>43287</v>
      </c>
      <c r="H132" s="1764"/>
      <c r="I132" s="1762" t="s">
        <v>170</v>
      </c>
      <c r="J132" s="667" t="s">
        <v>719</v>
      </c>
      <c r="K132" s="1771" t="s">
        <v>486</v>
      </c>
      <c r="L132" s="1231">
        <v>23173</v>
      </c>
      <c r="M132" s="1761"/>
      <c r="N132" s="1761"/>
      <c r="O132" s="1765">
        <v>156</v>
      </c>
      <c r="P132" s="1761">
        <v>15</v>
      </c>
      <c r="Q132" s="2382">
        <f t="shared" si="12"/>
        <v>2340</v>
      </c>
      <c r="R132" s="2382"/>
      <c r="S132" s="1766"/>
      <c r="T132" s="1766"/>
      <c r="U132" s="1766"/>
      <c r="V132" s="1766"/>
      <c r="W132" s="1765">
        <v>2340</v>
      </c>
      <c r="X132" s="1767"/>
      <c r="Y132" s="1768"/>
      <c r="Z132" s="1825"/>
      <c r="AA132" s="1825"/>
      <c r="AB132" s="1825"/>
      <c r="AC132" s="1825"/>
      <c r="AD132" s="1825"/>
      <c r="AE132" s="1825"/>
      <c r="AF132" s="1825"/>
      <c r="AG132" s="547">
        <f t="shared" si="13"/>
        <v>2340</v>
      </c>
    </row>
    <row r="133" spans="1:33" s="1826" customFormat="1" ht="63.75" hidden="1" customHeight="1">
      <c r="A133" s="683">
        <v>1213</v>
      </c>
      <c r="B133" s="1770" t="s">
        <v>738</v>
      </c>
      <c r="C133" s="1076" t="s">
        <v>739</v>
      </c>
      <c r="D133" s="1761"/>
      <c r="E133" s="1762">
        <f t="shared" si="11"/>
        <v>26</v>
      </c>
      <c r="F133" s="1763">
        <v>43262</v>
      </c>
      <c r="G133" s="1763">
        <v>43287</v>
      </c>
      <c r="H133" s="1764"/>
      <c r="I133" s="1762" t="s">
        <v>170</v>
      </c>
      <c r="J133" s="667" t="s">
        <v>719</v>
      </c>
      <c r="K133" s="1738" t="s">
        <v>723</v>
      </c>
      <c r="L133" s="1233">
        <v>23174</v>
      </c>
      <c r="M133" s="1761"/>
      <c r="N133" s="1761"/>
      <c r="O133" s="1765">
        <v>281</v>
      </c>
      <c r="P133" s="1761">
        <v>2</v>
      </c>
      <c r="Q133" s="2382">
        <f t="shared" si="12"/>
        <v>562</v>
      </c>
      <c r="R133" s="2382"/>
      <c r="S133" s="1766"/>
      <c r="T133" s="1766"/>
      <c r="U133" s="1766"/>
      <c r="V133" s="1766"/>
      <c r="W133" s="1765">
        <v>562</v>
      </c>
      <c r="X133" s="1767"/>
      <c r="Y133" s="1768"/>
      <c r="Z133" s="1825"/>
      <c r="AA133" s="1825"/>
      <c r="AB133" s="1825"/>
      <c r="AC133" s="1825"/>
      <c r="AD133" s="1825"/>
      <c r="AE133" s="1825"/>
      <c r="AF133" s="1825"/>
      <c r="AG133" s="547">
        <f t="shared" si="13"/>
        <v>562</v>
      </c>
    </row>
    <row r="134" spans="1:33" s="1826" customFormat="1" ht="63.75" hidden="1" customHeight="1">
      <c r="A134" s="683">
        <v>1213</v>
      </c>
      <c r="B134" s="1770" t="s">
        <v>738</v>
      </c>
      <c r="C134" s="1076" t="s">
        <v>739</v>
      </c>
      <c r="D134" s="1761"/>
      <c r="E134" s="1762"/>
      <c r="F134" s="1763"/>
      <c r="G134" s="1763"/>
      <c r="H134" s="1764"/>
      <c r="I134" s="1762" t="s">
        <v>170</v>
      </c>
      <c r="J134" s="667" t="s">
        <v>719</v>
      </c>
      <c r="K134" s="2265" t="s">
        <v>1013</v>
      </c>
      <c r="L134" s="1233">
        <v>23173</v>
      </c>
      <c r="M134" s="1761"/>
      <c r="N134" s="1761"/>
      <c r="O134" s="1765">
        <v>1</v>
      </c>
      <c r="P134" s="1761">
        <v>60</v>
      </c>
      <c r="Q134" s="2382">
        <f t="shared" si="12"/>
        <v>60</v>
      </c>
      <c r="R134" s="2382"/>
      <c r="S134" s="1766"/>
      <c r="T134" s="1766"/>
      <c r="U134" s="1766"/>
      <c r="V134" s="1766"/>
      <c r="W134" s="1765">
        <v>60</v>
      </c>
      <c r="X134" s="1767"/>
      <c r="Y134" s="1768"/>
      <c r="Z134" s="1825"/>
      <c r="AA134" s="1825"/>
      <c r="AB134" s="1825"/>
      <c r="AC134" s="1825"/>
      <c r="AD134" s="1825"/>
      <c r="AE134" s="1825"/>
      <c r="AF134" s="1825"/>
      <c r="AG134" s="547">
        <f t="shared" si="13"/>
        <v>60</v>
      </c>
    </row>
    <row r="135" spans="1:33" s="1826" customFormat="1" ht="63.75" customHeight="1">
      <c r="A135" s="2764">
        <v>1214</v>
      </c>
      <c r="B135" s="2775" t="s">
        <v>747</v>
      </c>
      <c r="C135" s="2766" t="s">
        <v>748</v>
      </c>
      <c r="D135" s="2767"/>
      <c r="E135" s="2768">
        <f>+G135-F135+1</f>
        <v>3</v>
      </c>
      <c r="F135" s="2750">
        <v>43304</v>
      </c>
      <c r="G135" s="2750">
        <f>+F135+3-1</f>
        <v>43306</v>
      </c>
      <c r="H135" s="2769"/>
      <c r="I135" s="2768" t="s">
        <v>170</v>
      </c>
      <c r="J135" s="2770"/>
      <c r="K135" s="2265"/>
      <c r="L135" s="2773"/>
      <c r="M135" s="2771"/>
      <c r="N135" s="2771"/>
      <c r="O135" s="1739"/>
      <c r="P135" s="2771"/>
      <c r="Q135" s="2496"/>
      <c r="R135" s="2496"/>
      <c r="S135" s="1768"/>
      <c r="T135" s="1768"/>
      <c r="U135" s="1768"/>
      <c r="V135" s="1768"/>
      <c r="W135" s="1739"/>
      <c r="X135" s="2774"/>
      <c r="Y135" s="1768"/>
      <c r="Z135" s="1825"/>
      <c r="AA135" s="1825"/>
      <c r="AB135" s="1825"/>
      <c r="AC135" s="1825"/>
      <c r="AD135" s="1825"/>
      <c r="AE135" s="1825"/>
      <c r="AF135" s="1825"/>
      <c r="AG135" s="2355"/>
    </row>
    <row r="136" spans="1:33" s="1826" customFormat="1" ht="58.5" hidden="1" customHeight="1">
      <c r="A136" s="683">
        <v>1214</v>
      </c>
      <c r="B136" s="1772" t="s">
        <v>747</v>
      </c>
      <c r="C136" s="1076" t="s">
        <v>748</v>
      </c>
      <c r="D136" s="1761"/>
      <c r="E136" s="1762">
        <f>+G136-F136+1</f>
        <v>3</v>
      </c>
      <c r="F136" s="1763">
        <v>43304</v>
      </c>
      <c r="G136" s="1763">
        <f>+F136+3-1</f>
        <v>43306</v>
      </c>
      <c r="H136" s="1764"/>
      <c r="I136" s="1762" t="s">
        <v>170</v>
      </c>
      <c r="J136" s="667"/>
      <c r="K136" s="1738" t="s">
        <v>670</v>
      </c>
      <c r="L136" s="1233">
        <v>23173</v>
      </c>
      <c r="M136" s="1761"/>
      <c r="N136" s="1761"/>
      <c r="O136" s="1765">
        <v>48</v>
      </c>
      <c r="P136" s="1761">
        <v>40</v>
      </c>
      <c r="Q136" s="2382">
        <f>+O136*P136</f>
        <v>1920</v>
      </c>
      <c r="R136" s="2382"/>
      <c r="S136" s="1766"/>
      <c r="T136" s="1766"/>
      <c r="U136" s="1766"/>
      <c r="V136" s="1766"/>
      <c r="W136" s="1765">
        <v>1920</v>
      </c>
      <c r="X136" s="1767"/>
      <c r="Y136" s="1768"/>
      <c r="Z136" s="1825"/>
      <c r="AA136" s="1825"/>
      <c r="AB136" s="1825"/>
      <c r="AC136" s="1825"/>
      <c r="AD136" s="1825"/>
      <c r="AE136" s="1825"/>
      <c r="AF136" s="1825"/>
      <c r="AG136" s="547">
        <f t="shared" si="13"/>
        <v>1920</v>
      </c>
    </row>
    <row r="137" spans="1:33" s="1826" customFormat="1" ht="58.5" hidden="1" customHeight="1">
      <c r="A137" s="683">
        <v>1214</v>
      </c>
      <c r="B137" s="1772" t="s">
        <v>747</v>
      </c>
      <c r="C137" s="1076" t="s">
        <v>748</v>
      </c>
      <c r="D137" s="1761"/>
      <c r="E137" s="1762">
        <f>+G137-F137+1</f>
        <v>3</v>
      </c>
      <c r="F137" s="1763">
        <v>43304</v>
      </c>
      <c r="G137" s="1763">
        <f>+F137+3-1</f>
        <v>43306</v>
      </c>
      <c r="H137" s="1764"/>
      <c r="I137" s="1762" t="s">
        <v>170</v>
      </c>
      <c r="J137" s="667"/>
      <c r="K137" s="1773" t="s">
        <v>638</v>
      </c>
      <c r="L137" s="1233">
        <v>23173</v>
      </c>
      <c r="M137" s="1761"/>
      <c r="N137" s="1761"/>
      <c r="O137" s="1765">
        <v>5</v>
      </c>
      <c r="P137" s="1761">
        <v>40</v>
      </c>
      <c r="Q137" s="2382">
        <f>+O137*P137</f>
        <v>200</v>
      </c>
      <c r="R137" s="2382"/>
      <c r="S137" s="1766"/>
      <c r="T137" s="1766"/>
      <c r="U137" s="1766"/>
      <c r="V137" s="1766"/>
      <c r="W137" s="1765">
        <v>200</v>
      </c>
      <c r="X137" s="1767"/>
      <c r="Y137" s="1768"/>
      <c r="Z137" s="1825"/>
      <c r="AA137" s="1825"/>
      <c r="AB137" s="1825"/>
      <c r="AC137" s="1825"/>
      <c r="AD137" s="1825"/>
      <c r="AE137" s="1825"/>
      <c r="AF137" s="1825"/>
      <c r="AG137" s="547">
        <f t="shared" si="13"/>
        <v>200</v>
      </c>
    </row>
    <row r="138" spans="1:33" s="1826" customFormat="1" ht="58.5" hidden="1" customHeight="1">
      <c r="A138" s="683">
        <v>1214</v>
      </c>
      <c r="B138" s="1772" t="s">
        <v>747</v>
      </c>
      <c r="C138" s="1076" t="s">
        <v>748</v>
      </c>
      <c r="D138" s="1761"/>
      <c r="E138" s="1762">
        <f>+G138-F138+1</f>
        <v>3</v>
      </c>
      <c r="F138" s="1763">
        <v>43304</v>
      </c>
      <c r="G138" s="1763">
        <f>+F138+3-1</f>
        <v>43306</v>
      </c>
      <c r="H138" s="1764"/>
      <c r="I138" s="1762" t="s">
        <v>170</v>
      </c>
      <c r="J138" s="667"/>
      <c r="K138" s="1771" t="s">
        <v>486</v>
      </c>
      <c r="L138" s="1231">
        <v>23173</v>
      </c>
      <c r="M138" s="1761"/>
      <c r="N138" s="1761"/>
      <c r="O138" s="1765">
        <v>312</v>
      </c>
      <c r="P138" s="1761">
        <v>3</v>
      </c>
      <c r="Q138" s="2382">
        <f>+O138*P138</f>
        <v>936</v>
      </c>
      <c r="R138" s="2382"/>
      <c r="S138" s="1766"/>
      <c r="T138" s="1766"/>
      <c r="U138" s="1766"/>
      <c r="V138" s="1766"/>
      <c r="W138" s="1765">
        <v>936</v>
      </c>
      <c r="X138" s="1767"/>
      <c r="Y138" s="1768"/>
      <c r="Z138" s="1825"/>
      <c r="AA138" s="1825"/>
      <c r="AB138" s="1825"/>
      <c r="AC138" s="1825"/>
      <c r="AD138" s="1825"/>
      <c r="AE138" s="1825"/>
      <c r="AF138" s="1825"/>
      <c r="AG138" s="547">
        <f t="shared" si="13"/>
        <v>936</v>
      </c>
    </row>
    <row r="139" spans="1:33" s="1826" customFormat="1" ht="58.5" customHeight="1">
      <c r="A139" s="2764">
        <v>1215</v>
      </c>
      <c r="B139" s="2775" t="s">
        <v>749</v>
      </c>
      <c r="C139" s="2766" t="s">
        <v>750</v>
      </c>
      <c r="D139" s="2767"/>
      <c r="E139" s="2768">
        <f>+G139-F139+1</f>
        <v>6</v>
      </c>
      <c r="F139" s="2750">
        <v>43318</v>
      </c>
      <c r="G139" s="2750">
        <f>F139+6-1</f>
        <v>43323</v>
      </c>
      <c r="H139" s="2769"/>
      <c r="I139" s="2768" t="s">
        <v>170</v>
      </c>
      <c r="J139" s="2772"/>
      <c r="K139" s="2776"/>
      <c r="L139" s="2740"/>
      <c r="M139" s="2771"/>
      <c r="N139" s="2771"/>
      <c r="O139" s="1739"/>
      <c r="P139" s="2771"/>
      <c r="Q139" s="2496"/>
      <c r="R139" s="2496"/>
      <c r="S139" s="1768"/>
      <c r="T139" s="1768"/>
      <c r="U139" s="1768"/>
      <c r="V139" s="1768"/>
      <c r="W139" s="1739"/>
      <c r="X139" s="2774"/>
      <c r="Y139" s="1768"/>
      <c r="Z139" s="1825"/>
      <c r="AA139" s="1825"/>
      <c r="AB139" s="1825"/>
      <c r="AC139" s="1825"/>
      <c r="AD139" s="1825"/>
      <c r="AE139" s="1825"/>
      <c r="AF139" s="1825"/>
      <c r="AG139" s="2355"/>
    </row>
    <row r="140" spans="1:33" s="1826" customFormat="1" ht="75.75" hidden="1" customHeight="1">
      <c r="A140" s="683">
        <v>1215</v>
      </c>
      <c r="B140" s="1772" t="s">
        <v>749</v>
      </c>
      <c r="C140" s="1076" t="s">
        <v>750</v>
      </c>
      <c r="D140" s="1761"/>
      <c r="E140" s="1762">
        <f t="shared" ref="E140:E167" si="16">+G140-F140+1</f>
        <v>6</v>
      </c>
      <c r="F140" s="1763">
        <v>43318</v>
      </c>
      <c r="G140" s="1763">
        <f t="shared" ref="G140:G149" si="17">F140+6-1</f>
        <v>43323</v>
      </c>
      <c r="H140" s="1764"/>
      <c r="I140" s="1762" t="s">
        <v>170</v>
      </c>
      <c r="J140" s="667"/>
      <c r="K140" s="1738" t="s">
        <v>751</v>
      </c>
      <c r="L140" s="1233">
        <v>23174</v>
      </c>
      <c r="M140" s="1761"/>
      <c r="N140" s="1761"/>
      <c r="O140" s="1765">
        <v>67</v>
      </c>
      <c r="P140" s="1761">
        <v>26</v>
      </c>
      <c r="Q140" s="2382">
        <f t="shared" ref="Q140:Q165" si="18">+O140*P140</f>
        <v>1742</v>
      </c>
      <c r="R140" s="2382"/>
      <c r="S140" s="1766"/>
      <c r="T140" s="1766"/>
      <c r="U140" s="1766"/>
      <c r="V140" s="1766"/>
      <c r="W140" s="1766"/>
      <c r="X140" s="1774">
        <v>1742</v>
      </c>
      <c r="Y140" s="1768"/>
      <c r="Z140" s="1825"/>
      <c r="AA140" s="1825"/>
      <c r="AB140" s="1825"/>
      <c r="AC140" s="1825"/>
      <c r="AD140" s="1825"/>
      <c r="AE140" s="1825"/>
      <c r="AF140" s="1825"/>
      <c r="AG140" s="547">
        <f t="shared" si="13"/>
        <v>1742</v>
      </c>
    </row>
    <row r="141" spans="1:33" s="1826" customFormat="1" ht="75.75" hidden="1" customHeight="1">
      <c r="A141" s="683">
        <v>1215</v>
      </c>
      <c r="B141" s="1772" t="s">
        <v>749</v>
      </c>
      <c r="C141" s="1076" t="s">
        <v>750</v>
      </c>
      <c r="D141" s="1761"/>
      <c r="E141" s="1762">
        <f t="shared" si="16"/>
        <v>6</v>
      </c>
      <c r="F141" s="1763">
        <v>43318</v>
      </c>
      <c r="G141" s="1763">
        <f t="shared" si="17"/>
        <v>43323</v>
      </c>
      <c r="H141" s="1764"/>
      <c r="I141" s="1762" t="s">
        <v>170</v>
      </c>
      <c r="J141" s="667"/>
      <c r="K141" s="1773" t="s">
        <v>752</v>
      </c>
      <c r="L141" s="1233">
        <v>23174</v>
      </c>
      <c r="M141" s="1761"/>
      <c r="N141" s="1761"/>
      <c r="O141" s="1765">
        <v>63</v>
      </c>
      <c r="P141" s="1761">
        <v>26</v>
      </c>
      <c r="Q141" s="2382">
        <f t="shared" si="18"/>
        <v>1638</v>
      </c>
      <c r="R141" s="2382"/>
      <c r="S141" s="1766"/>
      <c r="T141" s="1766"/>
      <c r="U141" s="1766"/>
      <c r="V141" s="1766"/>
      <c r="W141" s="1766"/>
      <c r="X141" s="1774">
        <v>1638</v>
      </c>
      <c r="Y141" s="1768"/>
      <c r="Z141" s="1825"/>
      <c r="AA141" s="1825"/>
      <c r="AB141" s="1825"/>
      <c r="AC141" s="1825"/>
      <c r="AD141" s="1825"/>
      <c r="AE141" s="1825"/>
      <c r="AF141" s="1825"/>
      <c r="AG141" s="547">
        <f t="shared" si="13"/>
        <v>1638</v>
      </c>
    </row>
    <row r="142" spans="1:33" s="1826" customFormat="1" ht="75.75" hidden="1" customHeight="1">
      <c r="A142" s="683">
        <v>1215</v>
      </c>
      <c r="B142" s="1772" t="s">
        <v>749</v>
      </c>
      <c r="C142" s="1076" t="s">
        <v>750</v>
      </c>
      <c r="D142" s="1761"/>
      <c r="E142" s="1762">
        <f t="shared" si="16"/>
        <v>6</v>
      </c>
      <c r="F142" s="1763">
        <v>43318</v>
      </c>
      <c r="G142" s="1763">
        <f t="shared" si="17"/>
        <v>43323</v>
      </c>
      <c r="H142" s="1764"/>
      <c r="I142" s="1762" t="s">
        <v>170</v>
      </c>
      <c r="J142" s="667"/>
      <c r="K142" s="1769" t="s">
        <v>753</v>
      </c>
      <c r="L142" s="1233">
        <v>23174</v>
      </c>
      <c r="M142" s="1761"/>
      <c r="N142" s="1761"/>
      <c r="O142" s="1765">
        <v>38</v>
      </c>
      <c r="P142" s="1761">
        <v>26</v>
      </c>
      <c r="Q142" s="2382">
        <f t="shared" si="18"/>
        <v>988</v>
      </c>
      <c r="R142" s="2382"/>
      <c r="S142" s="1766"/>
      <c r="T142" s="1766"/>
      <c r="U142" s="1766"/>
      <c r="V142" s="1766"/>
      <c r="W142" s="1766"/>
      <c r="X142" s="1774">
        <v>988</v>
      </c>
      <c r="Y142" s="1768"/>
      <c r="Z142" s="1825"/>
      <c r="AA142" s="1825"/>
      <c r="AB142" s="1825"/>
      <c r="AC142" s="1825"/>
      <c r="AD142" s="1825"/>
      <c r="AE142" s="1825"/>
      <c r="AF142" s="1825"/>
      <c r="AG142" s="547">
        <f t="shared" si="13"/>
        <v>988</v>
      </c>
    </row>
    <row r="143" spans="1:33" s="1826" customFormat="1" ht="75.75" hidden="1" customHeight="1">
      <c r="A143" s="683">
        <v>1215</v>
      </c>
      <c r="B143" s="1772" t="s">
        <v>749</v>
      </c>
      <c r="C143" s="1076" t="s">
        <v>750</v>
      </c>
      <c r="D143" s="1761"/>
      <c r="E143" s="1762">
        <f t="shared" si="16"/>
        <v>6</v>
      </c>
      <c r="F143" s="1763">
        <v>43318</v>
      </c>
      <c r="G143" s="1763">
        <f t="shared" si="17"/>
        <v>43323</v>
      </c>
      <c r="H143" s="1764"/>
      <c r="I143" s="1762" t="s">
        <v>170</v>
      </c>
      <c r="J143" s="667"/>
      <c r="K143" s="1769" t="s">
        <v>743</v>
      </c>
      <c r="L143" s="1233">
        <v>23174</v>
      </c>
      <c r="M143" s="1761"/>
      <c r="N143" s="1761"/>
      <c r="O143" s="1765">
        <v>67</v>
      </c>
      <c r="P143" s="1761">
        <v>2</v>
      </c>
      <c r="Q143" s="2382">
        <f t="shared" si="18"/>
        <v>134</v>
      </c>
      <c r="R143" s="2382"/>
      <c r="S143" s="1766"/>
      <c r="T143" s="1766"/>
      <c r="U143" s="1766"/>
      <c r="V143" s="1766"/>
      <c r="W143" s="1766"/>
      <c r="X143" s="1774">
        <v>134</v>
      </c>
      <c r="Y143" s="1768"/>
      <c r="Z143" s="1825"/>
      <c r="AA143" s="1825"/>
      <c r="AB143" s="1825"/>
      <c r="AC143" s="1825"/>
      <c r="AD143" s="1825"/>
      <c r="AE143" s="1825"/>
      <c r="AF143" s="1825"/>
      <c r="AG143" s="547">
        <f t="shared" si="13"/>
        <v>134</v>
      </c>
    </row>
    <row r="144" spans="1:33" s="1826" customFormat="1" ht="75.75" hidden="1" customHeight="1">
      <c r="A144" s="683">
        <v>1215</v>
      </c>
      <c r="B144" s="1772" t="s">
        <v>749</v>
      </c>
      <c r="C144" s="1076" t="s">
        <v>750</v>
      </c>
      <c r="D144" s="1761"/>
      <c r="E144" s="1762">
        <f t="shared" si="16"/>
        <v>6</v>
      </c>
      <c r="F144" s="1763">
        <v>43318</v>
      </c>
      <c r="G144" s="1763">
        <f t="shared" si="17"/>
        <v>43323</v>
      </c>
      <c r="H144" s="1764"/>
      <c r="I144" s="1762" t="s">
        <v>170</v>
      </c>
      <c r="J144" s="667"/>
      <c r="K144" s="1769" t="s">
        <v>754</v>
      </c>
      <c r="L144" s="1233">
        <v>23174</v>
      </c>
      <c r="M144" s="1761"/>
      <c r="N144" s="1761"/>
      <c r="O144" s="1765">
        <v>63</v>
      </c>
      <c r="P144" s="1761">
        <v>2</v>
      </c>
      <c r="Q144" s="2382">
        <f t="shared" si="18"/>
        <v>126</v>
      </c>
      <c r="R144" s="2382"/>
      <c r="S144" s="1766"/>
      <c r="T144" s="1766"/>
      <c r="U144" s="1766"/>
      <c r="V144" s="1766"/>
      <c r="W144" s="1766"/>
      <c r="X144" s="1774">
        <v>126</v>
      </c>
      <c r="Y144" s="1768"/>
      <c r="Z144" s="1825"/>
      <c r="AA144" s="1825"/>
      <c r="AB144" s="1825"/>
      <c r="AC144" s="1825"/>
      <c r="AD144" s="1825"/>
      <c r="AE144" s="1825"/>
      <c r="AF144" s="1825"/>
      <c r="AG144" s="547">
        <f t="shared" si="13"/>
        <v>126</v>
      </c>
    </row>
    <row r="145" spans="1:33" s="1826" customFormat="1" ht="75.75" hidden="1" customHeight="1">
      <c r="A145" s="683">
        <v>1215</v>
      </c>
      <c r="B145" s="1772" t="s">
        <v>749</v>
      </c>
      <c r="C145" s="1076" t="s">
        <v>750</v>
      </c>
      <c r="D145" s="1761"/>
      <c r="E145" s="1762">
        <f t="shared" si="16"/>
        <v>6</v>
      </c>
      <c r="F145" s="1763">
        <v>43318</v>
      </c>
      <c r="G145" s="1763">
        <f t="shared" si="17"/>
        <v>43323</v>
      </c>
      <c r="H145" s="1764"/>
      <c r="I145" s="1762" t="s">
        <v>170</v>
      </c>
      <c r="J145" s="667"/>
      <c r="K145" s="1769" t="s">
        <v>729</v>
      </c>
      <c r="L145" s="1233">
        <v>23174</v>
      </c>
      <c r="M145" s="1761"/>
      <c r="N145" s="1761"/>
      <c r="O145" s="1765">
        <v>255</v>
      </c>
      <c r="P145" s="1761">
        <v>2</v>
      </c>
      <c r="Q145" s="2382">
        <f t="shared" si="18"/>
        <v>510</v>
      </c>
      <c r="R145" s="2382"/>
      <c r="S145" s="1766"/>
      <c r="T145" s="1766"/>
      <c r="U145" s="1766"/>
      <c r="V145" s="1766"/>
      <c r="W145" s="1766"/>
      <c r="X145" s="1774">
        <v>510</v>
      </c>
      <c r="Y145" s="1768"/>
      <c r="Z145" s="1825"/>
      <c r="AA145" s="1825"/>
      <c r="AB145" s="1825"/>
      <c r="AC145" s="1825"/>
      <c r="AD145" s="1825"/>
      <c r="AE145" s="1825"/>
      <c r="AF145" s="1825"/>
      <c r="AG145" s="547">
        <f t="shared" si="13"/>
        <v>510</v>
      </c>
    </row>
    <row r="146" spans="1:33" s="1826" customFormat="1" ht="75.75" hidden="1" customHeight="1">
      <c r="A146" s="683">
        <v>1215</v>
      </c>
      <c r="B146" s="1772" t="s">
        <v>749</v>
      </c>
      <c r="C146" s="1076" t="s">
        <v>750</v>
      </c>
      <c r="D146" s="1761"/>
      <c r="E146" s="1762">
        <f t="shared" si="16"/>
        <v>6</v>
      </c>
      <c r="F146" s="1763">
        <v>43318</v>
      </c>
      <c r="G146" s="1763">
        <f t="shared" si="17"/>
        <v>43323</v>
      </c>
      <c r="H146" s="1764"/>
      <c r="I146" s="1762" t="s">
        <v>170</v>
      </c>
      <c r="J146" s="667"/>
      <c r="K146" s="1769" t="s">
        <v>302</v>
      </c>
      <c r="L146" s="1233">
        <v>23173</v>
      </c>
      <c r="M146" s="1761"/>
      <c r="N146" s="1761"/>
      <c r="O146" s="1765">
        <v>5</v>
      </c>
      <c r="P146" s="1761">
        <v>26</v>
      </c>
      <c r="Q146" s="2382">
        <f t="shared" si="18"/>
        <v>130</v>
      </c>
      <c r="R146" s="2382"/>
      <c r="S146" s="1766"/>
      <c r="T146" s="1766"/>
      <c r="U146" s="1766"/>
      <c r="V146" s="1766"/>
      <c r="W146" s="1766"/>
      <c r="X146" s="1774">
        <v>130</v>
      </c>
      <c r="Y146" s="1768"/>
      <c r="Z146" s="1825"/>
      <c r="AA146" s="1825"/>
      <c r="AB146" s="1825"/>
      <c r="AC146" s="1825"/>
      <c r="AD146" s="1825"/>
      <c r="AE146" s="1825"/>
      <c r="AF146" s="1825"/>
      <c r="AG146" s="547">
        <f t="shared" si="13"/>
        <v>130</v>
      </c>
    </row>
    <row r="147" spans="1:33" s="1826" customFormat="1" ht="75.75" hidden="1" customHeight="1">
      <c r="A147" s="683">
        <v>1215</v>
      </c>
      <c r="B147" s="1772" t="s">
        <v>749</v>
      </c>
      <c r="C147" s="1076" t="s">
        <v>750</v>
      </c>
      <c r="D147" s="1761"/>
      <c r="E147" s="1762">
        <f t="shared" si="16"/>
        <v>6</v>
      </c>
      <c r="F147" s="1763">
        <v>43318</v>
      </c>
      <c r="G147" s="1763">
        <f t="shared" si="17"/>
        <v>43323</v>
      </c>
      <c r="H147" s="1764"/>
      <c r="I147" s="1762" t="s">
        <v>170</v>
      </c>
      <c r="J147" s="667"/>
      <c r="K147" s="1769" t="s">
        <v>486</v>
      </c>
      <c r="L147" s="1231">
        <v>23173</v>
      </c>
      <c r="M147" s="1761"/>
      <c r="N147" s="1761"/>
      <c r="O147" s="1765">
        <v>156</v>
      </c>
      <c r="P147" s="1761">
        <v>6</v>
      </c>
      <c r="Q147" s="2382">
        <f t="shared" si="18"/>
        <v>936</v>
      </c>
      <c r="R147" s="2382"/>
      <c r="S147" s="1766"/>
      <c r="T147" s="1766"/>
      <c r="U147" s="1766"/>
      <c r="V147" s="1766"/>
      <c r="W147" s="1766"/>
      <c r="X147" s="1774">
        <v>936</v>
      </c>
      <c r="Y147" s="1768"/>
      <c r="Z147" s="1825"/>
      <c r="AA147" s="1825"/>
      <c r="AB147" s="1825"/>
      <c r="AC147" s="1825"/>
      <c r="AD147" s="1825"/>
      <c r="AE147" s="1825"/>
      <c r="AF147" s="1825"/>
      <c r="AG147" s="547">
        <f t="shared" si="13"/>
        <v>936</v>
      </c>
    </row>
    <row r="148" spans="1:33" s="1826" customFormat="1" ht="75.75" hidden="1" customHeight="1">
      <c r="A148" s="683">
        <v>1215</v>
      </c>
      <c r="B148" s="1772" t="s">
        <v>749</v>
      </c>
      <c r="C148" s="1076" t="s">
        <v>750</v>
      </c>
      <c r="D148" s="1761"/>
      <c r="E148" s="1762">
        <f t="shared" si="16"/>
        <v>6</v>
      </c>
      <c r="F148" s="1763">
        <v>43318</v>
      </c>
      <c r="G148" s="1763">
        <f t="shared" si="17"/>
        <v>43323</v>
      </c>
      <c r="H148" s="1764"/>
      <c r="I148" s="1762" t="s">
        <v>170</v>
      </c>
      <c r="J148" s="667"/>
      <c r="K148" s="1769" t="s">
        <v>723</v>
      </c>
      <c r="L148" s="1233">
        <v>23174</v>
      </c>
      <c r="M148" s="1761"/>
      <c r="N148" s="1761"/>
      <c r="O148" s="1765">
        <v>169</v>
      </c>
      <c r="P148" s="1761">
        <v>2</v>
      </c>
      <c r="Q148" s="2382">
        <f t="shared" si="18"/>
        <v>338</v>
      </c>
      <c r="R148" s="2382"/>
      <c r="S148" s="1766"/>
      <c r="T148" s="1766"/>
      <c r="U148" s="1766"/>
      <c r="V148" s="1766"/>
      <c r="W148" s="1766"/>
      <c r="X148" s="1774">
        <v>338</v>
      </c>
      <c r="Y148" s="1768"/>
      <c r="Z148" s="1825"/>
      <c r="AA148" s="1825"/>
      <c r="AB148" s="1825"/>
      <c r="AC148" s="1825"/>
      <c r="AD148" s="1825"/>
      <c r="AE148" s="1825"/>
      <c r="AF148" s="1825"/>
      <c r="AG148" s="547">
        <f t="shared" si="13"/>
        <v>338</v>
      </c>
    </row>
    <row r="149" spans="1:33" s="1826" customFormat="1" ht="75.75" hidden="1" customHeight="1">
      <c r="A149" s="683">
        <v>1215</v>
      </c>
      <c r="B149" s="1772" t="s">
        <v>749</v>
      </c>
      <c r="C149" s="1076" t="s">
        <v>750</v>
      </c>
      <c r="D149" s="1761"/>
      <c r="E149" s="1762">
        <f t="shared" si="16"/>
        <v>6</v>
      </c>
      <c r="F149" s="1763">
        <v>43318</v>
      </c>
      <c r="G149" s="1763">
        <f t="shared" si="17"/>
        <v>43323</v>
      </c>
      <c r="H149" s="1764"/>
      <c r="I149" s="1762" t="s">
        <v>170</v>
      </c>
      <c r="J149" s="667"/>
      <c r="K149" s="1769" t="s">
        <v>755</v>
      </c>
      <c r="L149" s="1233">
        <v>23173</v>
      </c>
      <c r="M149" s="1761"/>
      <c r="N149" s="1761"/>
      <c r="O149" s="1765">
        <v>10</v>
      </c>
      <c r="P149" s="1761">
        <v>60</v>
      </c>
      <c r="Q149" s="2382">
        <f t="shared" si="18"/>
        <v>600</v>
      </c>
      <c r="R149" s="2382"/>
      <c r="S149" s="1766"/>
      <c r="T149" s="1766"/>
      <c r="U149" s="1766"/>
      <c r="V149" s="1766"/>
      <c r="W149" s="1766"/>
      <c r="X149" s="1774">
        <v>600</v>
      </c>
      <c r="Y149" s="1768"/>
      <c r="Z149" s="1825"/>
      <c r="AA149" s="1825"/>
      <c r="AB149" s="1825"/>
      <c r="AC149" s="1825"/>
      <c r="AD149" s="1825"/>
      <c r="AE149" s="1825"/>
      <c r="AF149" s="1825"/>
      <c r="AG149" s="547">
        <f t="shared" si="13"/>
        <v>600</v>
      </c>
    </row>
    <row r="150" spans="1:33" s="1826" customFormat="1" ht="75.75" customHeight="1">
      <c r="A150" s="2764">
        <v>1216</v>
      </c>
      <c r="B150" s="2765" t="s">
        <v>756</v>
      </c>
      <c r="C150" s="2766" t="s">
        <v>757</v>
      </c>
      <c r="D150" s="2767"/>
      <c r="E150" s="2768">
        <f>+G150-F150+1</f>
        <v>27</v>
      </c>
      <c r="F150" s="2750">
        <v>43332</v>
      </c>
      <c r="G150" s="2750">
        <v>43358</v>
      </c>
      <c r="H150" s="2769"/>
      <c r="I150" s="2768" t="s">
        <v>170</v>
      </c>
      <c r="J150" s="2772"/>
      <c r="K150" s="1769"/>
      <c r="L150" s="2773"/>
      <c r="M150" s="2771"/>
      <c r="N150" s="2771"/>
      <c r="O150" s="1739"/>
      <c r="P150" s="2771"/>
      <c r="Q150" s="2496"/>
      <c r="R150" s="2496"/>
      <c r="S150" s="1768"/>
      <c r="T150" s="1768"/>
      <c r="U150" s="1768"/>
      <c r="V150" s="1768"/>
      <c r="W150" s="1768"/>
      <c r="X150" s="2777"/>
      <c r="Y150" s="1768"/>
      <c r="Z150" s="1825"/>
      <c r="AA150" s="1825"/>
      <c r="AB150" s="1825"/>
      <c r="AC150" s="1825"/>
      <c r="AD150" s="1825"/>
      <c r="AE150" s="1825"/>
      <c r="AF150" s="1825"/>
      <c r="AG150" s="2355"/>
    </row>
    <row r="151" spans="1:33" s="1826" customFormat="1" ht="75.75" hidden="1" customHeight="1">
      <c r="A151" s="683">
        <v>1216</v>
      </c>
      <c r="B151" s="1770" t="s">
        <v>756</v>
      </c>
      <c r="C151" s="1076" t="s">
        <v>757</v>
      </c>
      <c r="D151" s="1761"/>
      <c r="E151" s="1762">
        <f t="shared" si="16"/>
        <v>27</v>
      </c>
      <c r="F151" s="1763">
        <v>43332</v>
      </c>
      <c r="G151" s="1763">
        <v>43358</v>
      </c>
      <c r="H151" s="1764"/>
      <c r="I151" s="1762" t="s">
        <v>170</v>
      </c>
      <c r="J151" s="667"/>
      <c r="K151" s="1769" t="s">
        <v>758</v>
      </c>
      <c r="L151" s="1233">
        <v>23174</v>
      </c>
      <c r="M151" s="1761"/>
      <c r="N151" s="1761"/>
      <c r="O151" s="1765">
        <v>214</v>
      </c>
      <c r="P151" s="1761">
        <v>31</v>
      </c>
      <c r="Q151" s="2382">
        <f t="shared" si="18"/>
        <v>6634</v>
      </c>
      <c r="R151" s="2382"/>
      <c r="S151" s="1766"/>
      <c r="T151" s="1766"/>
      <c r="U151" s="1766"/>
      <c r="V151" s="1766"/>
      <c r="W151" s="1766"/>
      <c r="X151" s="1767"/>
      <c r="Y151" s="1739">
        <v>6634</v>
      </c>
      <c r="Z151" s="1825"/>
      <c r="AA151" s="1825"/>
      <c r="AB151" s="1825"/>
      <c r="AC151" s="1825"/>
      <c r="AD151" s="1825"/>
      <c r="AE151" s="1825"/>
      <c r="AF151" s="1825"/>
      <c r="AG151" s="547">
        <f t="shared" si="13"/>
        <v>6634</v>
      </c>
    </row>
    <row r="152" spans="1:33" s="1826" customFormat="1" ht="75.75" hidden="1" customHeight="1">
      <c r="A152" s="683">
        <v>1216</v>
      </c>
      <c r="B152" s="1770" t="s">
        <v>756</v>
      </c>
      <c r="C152" s="1076" t="s">
        <v>757</v>
      </c>
      <c r="D152" s="1761"/>
      <c r="E152" s="1762">
        <f t="shared" si="16"/>
        <v>27</v>
      </c>
      <c r="F152" s="1763">
        <v>43332</v>
      </c>
      <c r="G152" s="1763">
        <v>43358</v>
      </c>
      <c r="H152" s="1764"/>
      <c r="I152" s="1762" t="s">
        <v>170</v>
      </c>
      <c r="J152" s="667"/>
      <c r="K152" s="1769" t="s">
        <v>759</v>
      </c>
      <c r="L152" s="1233">
        <v>23174</v>
      </c>
      <c r="M152" s="1761"/>
      <c r="N152" s="1761"/>
      <c r="O152" s="1765">
        <v>225</v>
      </c>
      <c r="P152" s="1761">
        <v>31</v>
      </c>
      <c r="Q152" s="2382">
        <f t="shared" si="18"/>
        <v>6975</v>
      </c>
      <c r="R152" s="2382"/>
      <c r="S152" s="1766"/>
      <c r="T152" s="1766"/>
      <c r="U152" s="1766"/>
      <c r="V152" s="1766"/>
      <c r="W152" s="1766"/>
      <c r="X152" s="1767"/>
      <c r="Y152" s="1739">
        <v>6975</v>
      </c>
      <c r="Z152" s="1825"/>
      <c r="AA152" s="1825"/>
      <c r="AB152" s="1825"/>
      <c r="AC152" s="1825"/>
      <c r="AD152" s="1825"/>
      <c r="AE152" s="1825"/>
      <c r="AF152" s="1825"/>
      <c r="AG152" s="547">
        <f t="shared" si="13"/>
        <v>6975</v>
      </c>
    </row>
    <row r="153" spans="1:33" s="1826" customFormat="1" ht="75.75" hidden="1" customHeight="1">
      <c r="A153" s="683">
        <v>1216</v>
      </c>
      <c r="B153" s="1770" t="s">
        <v>756</v>
      </c>
      <c r="C153" s="1076" t="s">
        <v>757</v>
      </c>
      <c r="D153" s="1761"/>
      <c r="E153" s="1762">
        <f t="shared" si="16"/>
        <v>27</v>
      </c>
      <c r="F153" s="1763">
        <v>43332</v>
      </c>
      <c r="G153" s="1763">
        <v>43358</v>
      </c>
      <c r="H153" s="1764"/>
      <c r="I153" s="1762" t="s">
        <v>170</v>
      </c>
      <c r="J153" s="667"/>
      <c r="K153" s="1769" t="s">
        <v>760</v>
      </c>
      <c r="L153" s="1233">
        <v>23174</v>
      </c>
      <c r="M153" s="1761"/>
      <c r="N153" s="1761"/>
      <c r="O153" s="1765">
        <v>37</v>
      </c>
      <c r="P153" s="1761">
        <v>31</v>
      </c>
      <c r="Q153" s="2382">
        <f t="shared" si="18"/>
        <v>1147</v>
      </c>
      <c r="R153" s="2382"/>
      <c r="S153" s="1766"/>
      <c r="T153" s="1766"/>
      <c r="U153" s="1766"/>
      <c r="V153" s="1766"/>
      <c r="W153" s="1766"/>
      <c r="X153" s="1767"/>
      <c r="Y153" s="1739">
        <v>1147</v>
      </c>
      <c r="Z153" s="1825"/>
      <c r="AA153" s="1825"/>
      <c r="AB153" s="1825"/>
      <c r="AC153" s="1825"/>
      <c r="AD153" s="1825"/>
      <c r="AE153" s="1825"/>
      <c r="AF153" s="1825"/>
      <c r="AG153" s="547">
        <f t="shared" si="13"/>
        <v>1147</v>
      </c>
    </row>
    <row r="154" spans="1:33" s="1826" customFormat="1" ht="75.75" hidden="1" customHeight="1">
      <c r="A154" s="683">
        <v>1216</v>
      </c>
      <c r="B154" s="1770" t="s">
        <v>756</v>
      </c>
      <c r="C154" s="1076" t="s">
        <v>757</v>
      </c>
      <c r="D154" s="1761"/>
      <c r="E154" s="1762">
        <f t="shared" si="16"/>
        <v>27</v>
      </c>
      <c r="F154" s="1763">
        <v>43332</v>
      </c>
      <c r="G154" s="1763">
        <v>43358</v>
      </c>
      <c r="H154" s="1764"/>
      <c r="I154" s="1762" t="s">
        <v>170</v>
      </c>
      <c r="J154" s="667"/>
      <c r="K154" s="1769" t="s">
        <v>743</v>
      </c>
      <c r="L154" s="1233">
        <v>23174</v>
      </c>
      <c r="M154" s="1761"/>
      <c r="N154" s="1761"/>
      <c r="O154" s="1765">
        <v>214</v>
      </c>
      <c r="P154" s="1761">
        <v>2</v>
      </c>
      <c r="Q154" s="2382">
        <f t="shared" si="18"/>
        <v>428</v>
      </c>
      <c r="R154" s="2382"/>
      <c r="S154" s="1766"/>
      <c r="T154" s="1766"/>
      <c r="U154" s="1766"/>
      <c r="V154" s="1766"/>
      <c r="W154" s="1766"/>
      <c r="X154" s="1767"/>
      <c r="Y154" s="1739">
        <v>428</v>
      </c>
      <c r="Z154" s="1825"/>
      <c r="AA154" s="1825"/>
      <c r="AB154" s="1825"/>
      <c r="AC154" s="1825"/>
      <c r="AD154" s="1825"/>
      <c r="AE154" s="1825"/>
      <c r="AF154" s="1825"/>
      <c r="AG154" s="547">
        <f t="shared" si="13"/>
        <v>428</v>
      </c>
    </row>
    <row r="155" spans="1:33" s="1826" customFormat="1" ht="75.75" hidden="1" customHeight="1">
      <c r="A155" s="683">
        <v>1216</v>
      </c>
      <c r="B155" s="1770" t="s">
        <v>756</v>
      </c>
      <c r="C155" s="1076" t="s">
        <v>757</v>
      </c>
      <c r="D155" s="1761"/>
      <c r="E155" s="1762">
        <f t="shared" si="16"/>
        <v>27</v>
      </c>
      <c r="F155" s="1763">
        <v>43332</v>
      </c>
      <c r="G155" s="1763">
        <v>43358</v>
      </c>
      <c r="H155" s="1764"/>
      <c r="I155" s="1762" t="s">
        <v>170</v>
      </c>
      <c r="J155" s="667"/>
      <c r="K155" s="1769" t="s">
        <v>744</v>
      </c>
      <c r="L155" s="1233">
        <v>23174</v>
      </c>
      <c r="M155" s="1761"/>
      <c r="N155" s="1761"/>
      <c r="O155" s="1765">
        <v>225</v>
      </c>
      <c r="P155" s="1761">
        <v>2</v>
      </c>
      <c r="Q155" s="2382">
        <f t="shared" si="18"/>
        <v>450</v>
      </c>
      <c r="R155" s="2382"/>
      <c r="S155" s="1766"/>
      <c r="T155" s="1766"/>
      <c r="U155" s="1766"/>
      <c r="V155" s="1766"/>
      <c r="W155" s="1766"/>
      <c r="X155" s="1767"/>
      <c r="Y155" s="1739">
        <v>450</v>
      </c>
      <c r="Z155" s="1825"/>
      <c r="AA155" s="1825"/>
      <c r="AB155" s="1825"/>
      <c r="AC155" s="1825"/>
      <c r="AD155" s="1825"/>
      <c r="AE155" s="1825"/>
      <c r="AF155" s="1825"/>
      <c r="AG155" s="547">
        <f t="shared" si="13"/>
        <v>450</v>
      </c>
    </row>
    <row r="156" spans="1:33" s="1826" customFormat="1" ht="75.75" hidden="1" customHeight="1">
      <c r="A156" s="683">
        <v>1216</v>
      </c>
      <c r="B156" s="1770" t="s">
        <v>756</v>
      </c>
      <c r="C156" s="1076" t="s">
        <v>757</v>
      </c>
      <c r="D156" s="1761"/>
      <c r="E156" s="1762">
        <f t="shared" si="16"/>
        <v>27</v>
      </c>
      <c r="F156" s="1763">
        <v>43332</v>
      </c>
      <c r="G156" s="1763">
        <v>43358</v>
      </c>
      <c r="H156" s="1764"/>
      <c r="I156" s="1762" t="s">
        <v>170</v>
      </c>
      <c r="J156" s="667"/>
      <c r="K156" s="1769" t="s">
        <v>745</v>
      </c>
      <c r="L156" s="1233">
        <v>23174</v>
      </c>
      <c r="M156" s="1761"/>
      <c r="N156" s="1761"/>
      <c r="O156" s="1765">
        <v>255</v>
      </c>
      <c r="P156" s="1761">
        <v>2</v>
      </c>
      <c r="Q156" s="2382">
        <f t="shared" si="18"/>
        <v>510</v>
      </c>
      <c r="R156" s="2382"/>
      <c r="S156" s="1766"/>
      <c r="T156" s="1766"/>
      <c r="U156" s="1766"/>
      <c r="V156" s="1766"/>
      <c r="W156" s="1766"/>
      <c r="X156" s="1767"/>
      <c r="Y156" s="1739">
        <v>510</v>
      </c>
      <c r="Z156" s="1825"/>
      <c r="AA156" s="1825"/>
      <c r="AB156" s="1825"/>
      <c r="AC156" s="1825"/>
      <c r="AD156" s="1825"/>
      <c r="AE156" s="1825"/>
      <c r="AF156" s="1825"/>
      <c r="AG156" s="547">
        <f t="shared" si="13"/>
        <v>510</v>
      </c>
    </row>
    <row r="157" spans="1:33" s="1826" customFormat="1" ht="75.75" hidden="1" customHeight="1">
      <c r="A157" s="683">
        <v>1216</v>
      </c>
      <c r="B157" s="1770" t="s">
        <v>756</v>
      </c>
      <c r="C157" s="1076" t="s">
        <v>757</v>
      </c>
      <c r="D157" s="1761"/>
      <c r="E157" s="1762">
        <f t="shared" si="16"/>
        <v>27</v>
      </c>
      <c r="F157" s="1763">
        <v>43332</v>
      </c>
      <c r="G157" s="1763">
        <v>43358</v>
      </c>
      <c r="H157" s="1764"/>
      <c r="I157" s="1762" t="s">
        <v>170</v>
      </c>
      <c r="J157" s="667"/>
      <c r="K157" s="1769" t="s">
        <v>727</v>
      </c>
      <c r="L157" s="1233">
        <v>23174</v>
      </c>
      <c r="M157" s="1761"/>
      <c r="N157" s="1761"/>
      <c r="O157" s="1765">
        <v>178</v>
      </c>
      <c r="P157" s="1761">
        <v>2</v>
      </c>
      <c r="Q157" s="2382">
        <f t="shared" si="18"/>
        <v>356</v>
      </c>
      <c r="R157" s="2382"/>
      <c r="S157" s="1766"/>
      <c r="T157" s="1766"/>
      <c r="U157" s="1766"/>
      <c r="V157" s="1766"/>
      <c r="W157" s="1766"/>
      <c r="X157" s="1767"/>
      <c r="Y157" s="1739">
        <v>356</v>
      </c>
      <c r="Z157" s="1825"/>
      <c r="AA157" s="1825"/>
      <c r="AB157" s="1825"/>
      <c r="AC157" s="1825"/>
      <c r="AD157" s="1825"/>
      <c r="AE157" s="1825"/>
      <c r="AF157" s="1825"/>
      <c r="AG157" s="547">
        <f t="shared" si="13"/>
        <v>356</v>
      </c>
    </row>
    <row r="158" spans="1:33" s="1826" customFormat="1" ht="75.75" hidden="1" customHeight="1">
      <c r="A158" s="683">
        <v>1216</v>
      </c>
      <c r="B158" s="1770" t="s">
        <v>756</v>
      </c>
      <c r="C158" s="1076" t="s">
        <v>757</v>
      </c>
      <c r="D158" s="1761"/>
      <c r="E158" s="1762">
        <f t="shared" si="16"/>
        <v>27</v>
      </c>
      <c r="F158" s="1763">
        <v>43332</v>
      </c>
      <c r="G158" s="1763">
        <v>43358</v>
      </c>
      <c r="H158" s="1764"/>
      <c r="I158" s="1762" t="s">
        <v>170</v>
      </c>
      <c r="J158" s="667"/>
      <c r="K158" s="1769" t="s">
        <v>736</v>
      </c>
      <c r="L158" s="1233">
        <v>23174</v>
      </c>
      <c r="M158" s="1761"/>
      <c r="N158" s="1761"/>
      <c r="O158" s="1765">
        <v>112</v>
      </c>
      <c r="P158" s="1761">
        <v>2</v>
      </c>
      <c r="Q158" s="2382">
        <f t="shared" si="18"/>
        <v>224</v>
      </c>
      <c r="R158" s="2382"/>
      <c r="S158" s="1766"/>
      <c r="T158" s="1766"/>
      <c r="U158" s="1766"/>
      <c r="V158" s="1766"/>
      <c r="W158" s="1766"/>
      <c r="X158" s="1767"/>
      <c r="Y158" s="1739">
        <v>224</v>
      </c>
      <c r="Z158" s="1825"/>
      <c r="AA158" s="1825"/>
      <c r="AB158" s="1825"/>
      <c r="AC158" s="1825"/>
      <c r="AD158" s="1825"/>
      <c r="AE158" s="1825"/>
      <c r="AF158" s="1825"/>
      <c r="AG158" s="547">
        <f t="shared" si="13"/>
        <v>224</v>
      </c>
    </row>
    <row r="159" spans="1:33" s="1826" customFormat="1" ht="75.75" hidden="1" customHeight="1">
      <c r="A159" s="683">
        <v>1216</v>
      </c>
      <c r="B159" s="1770" t="s">
        <v>756</v>
      </c>
      <c r="C159" s="1076" t="s">
        <v>757</v>
      </c>
      <c r="D159" s="1761"/>
      <c r="E159" s="1762">
        <f t="shared" si="16"/>
        <v>27</v>
      </c>
      <c r="F159" s="1763">
        <v>43332</v>
      </c>
      <c r="G159" s="1763">
        <v>43358</v>
      </c>
      <c r="H159" s="1764"/>
      <c r="I159" s="1762" t="s">
        <v>170</v>
      </c>
      <c r="J159" s="667"/>
      <c r="K159" s="1769" t="s">
        <v>302</v>
      </c>
      <c r="L159" s="1233">
        <v>23173</v>
      </c>
      <c r="M159" s="1761"/>
      <c r="N159" s="1761"/>
      <c r="O159" s="1765">
        <v>15</v>
      </c>
      <c r="P159" s="1761">
        <v>30</v>
      </c>
      <c r="Q159" s="2382">
        <f t="shared" si="18"/>
        <v>450</v>
      </c>
      <c r="R159" s="2382"/>
      <c r="S159" s="1766"/>
      <c r="T159" s="1766"/>
      <c r="U159" s="1766"/>
      <c r="V159" s="1766"/>
      <c r="W159" s="1766"/>
      <c r="X159" s="1767"/>
      <c r="Y159" s="1739">
        <v>450</v>
      </c>
      <c r="Z159" s="1825"/>
      <c r="AA159" s="1825"/>
      <c r="AB159" s="1825"/>
      <c r="AC159" s="1825"/>
      <c r="AD159" s="1825"/>
      <c r="AE159" s="1825"/>
      <c r="AF159" s="1825"/>
      <c r="AG159" s="547">
        <f t="shared" si="13"/>
        <v>450</v>
      </c>
    </row>
    <row r="160" spans="1:33" s="1826" customFormat="1" ht="75.75" hidden="1" customHeight="1">
      <c r="A160" s="683">
        <v>1216</v>
      </c>
      <c r="B160" s="1770" t="s">
        <v>756</v>
      </c>
      <c r="C160" s="1076" t="s">
        <v>757</v>
      </c>
      <c r="D160" s="1761"/>
      <c r="E160" s="1762">
        <f t="shared" si="16"/>
        <v>27</v>
      </c>
      <c r="F160" s="1763">
        <v>43332</v>
      </c>
      <c r="G160" s="1763">
        <v>43358</v>
      </c>
      <c r="H160" s="1764"/>
      <c r="I160" s="1762" t="s">
        <v>170</v>
      </c>
      <c r="J160" s="667"/>
      <c r="K160" s="1769" t="s">
        <v>486</v>
      </c>
      <c r="L160" s="1231">
        <v>23173</v>
      </c>
      <c r="M160" s="1761"/>
      <c r="N160" s="1761"/>
      <c r="O160" s="1765">
        <v>156</v>
      </c>
      <c r="P160" s="1761">
        <v>15</v>
      </c>
      <c r="Q160" s="2382">
        <f t="shared" si="18"/>
        <v>2340</v>
      </c>
      <c r="R160" s="2382"/>
      <c r="S160" s="1766"/>
      <c r="T160" s="1766"/>
      <c r="U160" s="1766"/>
      <c r="V160" s="1766"/>
      <c r="W160" s="1766"/>
      <c r="X160" s="1767"/>
      <c r="Y160" s="1739">
        <v>2340</v>
      </c>
      <c r="Z160" s="1825"/>
      <c r="AA160" s="1825"/>
      <c r="AB160" s="1825"/>
      <c r="AC160" s="1825"/>
      <c r="AD160" s="1825"/>
      <c r="AE160" s="1825"/>
      <c r="AF160" s="1825"/>
      <c r="AG160" s="547">
        <f t="shared" si="13"/>
        <v>2340</v>
      </c>
    </row>
    <row r="161" spans="1:33" s="1826" customFormat="1" ht="75.75" hidden="1" customHeight="1">
      <c r="A161" s="683">
        <v>1216</v>
      </c>
      <c r="B161" s="1770" t="s">
        <v>756</v>
      </c>
      <c r="C161" s="1076" t="s">
        <v>757</v>
      </c>
      <c r="D161" s="1761"/>
      <c r="E161" s="1762">
        <f t="shared" si="16"/>
        <v>27</v>
      </c>
      <c r="F161" s="1763">
        <v>43332</v>
      </c>
      <c r="G161" s="1763">
        <v>43358</v>
      </c>
      <c r="H161" s="1764"/>
      <c r="I161" s="1762" t="s">
        <v>170</v>
      </c>
      <c r="J161" s="667"/>
      <c r="K161" s="1769" t="s">
        <v>723</v>
      </c>
      <c r="L161" s="1233">
        <v>23174</v>
      </c>
      <c r="M161" s="1761"/>
      <c r="N161" s="1761"/>
      <c r="O161" s="1765">
        <v>281</v>
      </c>
      <c r="P161" s="1761">
        <v>2</v>
      </c>
      <c r="Q161" s="2382">
        <f t="shared" si="18"/>
        <v>562</v>
      </c>
      <c r="R161" s="2382"/>
      <c r="S161" s="1766"/>
      <c r="T161" s="1766"/>
      <c r="U161" s="1766"/>
      <c r="V161" s="1766"/>
      <c r="W161" s="1766"/>
      <c r="X161" s="1767"/>
      <c r="Y161" s="1739">
        <v>562</v>
      </c>
      <c r="Z161" s="1825"/>
      <c r="AA161" s="1825"/>
      <c r="AB161" s="1825"/>
      <c r="AC161" s="1825"/>
      <c r="AD161" s="1825"/>
      <c r="AE161" s="1825"/>
      <c r="AF161" s="1825"/>
      <c r="AG161" s="547">
        <f t="shared" si="13"/>
        <v>562</v>
      </c>
    </row>
    <row r="162" spans="1:33" s="1826" customFormat="1" ht="75.75" hidden="1" customHeight="1">
      <c r="A162" s="683">
        <v>1216</v>
      </c>
      <c r="B162" s="1770" t="s">
        <v>756</v>
      </c>
      <c r="C162" s="1076" t="s">
        <v>757</v>
      </c>
      <c r="D162" s="1761"/>
      <c r="E162" s="1762">
        <f t="shared" si="16"/>
        <v>27</v>
      </c>
      <c r="F162" s="1763">
        <v>43332</v>
      </c>
      <c r="G162" s="1763">
        <v>43358</v>
      </c>
      <c r="H162" s="1764"/>
      <c r="I162" s="1762" t="s">
        <v>170</v>
      </c>
      <c r="J162" s="667"/>
      <c r="K162" s="1769" t="s">
        <v>761</v>
      </c>
      <c r="L162" s="1233">
        <v>23173</v>
      </c>
      <c r="M162" s="1761"/>
      <c r="N162" s="1761"/>
      <c r="O162" s="1765">
        <v>10</v>
      </c>
      <c r="P162" s="1761">
        <v>50</v>
      </c>
      <c r="Q162" s="2382">
        <f t="shared" si="18"/>
        <v>500</v>
      </c>
      <c r="R162" s="2382"/>
      <c r="S162" s="1766"/>
      <c r="T162" s="1766"/>
      <c r="U162" s="1766"/>
      <c r="V162" s="1766"/>
      <c r="W162" s="1766"/>
      <c r="X162" s="1767"/>
      <c r="Y162" s="1739">
        <v>500</v>
      </c>
      <c r="Z162" s="1825"/>
      <c r="AA162" s="1825"/>
      <c r="AB162" s="1825"/>
      <c r="AC162" s="1825"/>
      <c r="AD162" s="1825"/>
      <c r="AE162" s="1825"/>
      <c r="AF162" s="1825"/>
      <c r="AG162" s="547">
        <f t="shared" si="13"/>
        <v>500</v>
      </c>
    </row>
    <row r="163" spans="1:33" s="1826" customFormat="1" ht="75.75" hidden="1" customHeight="1">
      <c r="A163" s="683">
        <v>1216</v>
      </c>
      <c r="B163" s="1770" t="s">
        <v>756</v>
      </c>
      <c r="C163" s="1076" t="s">
        <v>757</v>
      </c>
      <c r="D163" s="1761"/>
      <c r="E163" s="1762">
        <f t="shared" si="16"/>
        <v>27</v>
      </c>
      <c r="F163" s="1763">
        <v>43332</v>
      </c>
      <c r="G163" s="1763">
        <v>43358</v>
      </c>
      <c r="H163" s="1764"/>
      <c r="I163" s="1762" t="s">
        <v>170</v>
      </c>
      <c r="J163" s="667"/>
      <c r="K163" s="1769" t="s">
        <v>762</v>
      </c>
      <c r="L163" s="1233">
        <v>23173</v>
      </c>
      <c r="M163" s="1761"/>
      <c r="N163" s="1761"/>
      <c r="O163" s="1765">
        <v>15</v>
      </c>
      <c r="P163" s="1761">
        <v>50</v>
      </c>
      <c r="Q163" s="2382">
        <f t="shared" si="18"/>
        <v>750</v>
      </c>
      <c r="R163" s="2382"/>
      <c r="S163" s="1766"/>
      <c r="T163" s="1766"/>
      <c r="U163" s="1766"/>
      <c r="V163" s="1766"/>
      <c r="W163" s="1766"/>
      <c r="X163" s="1767"/>
      <c r="Y163" s="1739">
        <v>750</v>
      </c>
      <c r="Z163" s="1825"/>
      <c r="AA163" s="1825"/>
      <c r="AB163" s="1825"/>
      <c r="AC163" s="1825"/>
      <c r="AD163" s="1825"/>
      <c r="AE163" s="1825"/>
      <c r="AF163" s="1825"/>
      <c r="AG163" s="547">
        <f t="shared" si="13"/>
        <v>750</v>
      </c>
    </row>
    <row r="164" spans="1:33" s="1826" customFormat="1" ht="75.75" hidden="1" customHeight="1">
      <c r="A164" s="683">
        <v>1216</v>
      </c>
      <c r="B164" s="1770" t="s">
        <v>756</v>
      </c>
      <c r="C164" s="1076" t="s">
        <v>757</v>
      </c>
      <c r="D164" s="1761"/>
      <c r="E164" s="1762">
        <f t="shared" si="16"/>
        <v>27</v>
      </c>
      <c r="F164" s="1763">
        <v>43332</v>
      </c>
      <c r="G164" s="1763">
        <v>43358</v>
      </c>
      <c r="H164" s="1764"/>
      <c r="I164" s="1762" t="s">
        <v>170</v>
      </c>
      <c r="J164" s="667"/>
      <c r="K164" s="1769" t="s">
        <v>763</v>
      </c>
      <c r="L164" s="1233">
        <v>23173</v>
      </c>
      <c r="M164" s="1761"/>
      <c r="N164" s="1761"/>
      <c r="O164" s="1765">
        <v>10</v>
      </c>
      <c r="P164" s="1761">
        <f>22+114+28+23+10+10</f>
        <v>207</v>
      </c>
      <c r="Q164" s="2382">
        <f t="shared" si="18"/>
        <v>2070</v>
      </c>
      <c r="R164" s="2382"/>
      <c r="S164" s="1766"/>
      <c r="T164" s="1766"/>
      <c r="U164" s="1766"/>
      <c r="V164" s="1766"/>
      <c r="W164" s="1766"/>
      <c r="X164" s="1767"/>
      <c r="Y164" s="1739">
        <v>2070</v>
      </c>
      <c r="Z164" s="1825"/>
      <c r="AA164" s="1825"/>
      <c r="AB164" s="1825"/>
      <c r="AC164" s="1825"/>
      <c r="AD164" s="1825"/>
      <c r="AE164" s="1825"/>
      <c r="AF164" s="1825"/>
      <c r="AG164" s="547">
        <f t="shared" si="13"/>
        <v>2070</v>
      </c>
    </row>
    <row r="165" spans="1:33" s="1826" customFormat="1" ht="75.75" hidden="1" customHeight="1">
      <c r="A165" s="683">
        <v>1216</v>
      </c>
      <c r="B165" s="1770" t="s">
        <v>756</v>
      </c>
      <c r="C165" s="1076" t="s">
        <v>757</v>
      </c>
      <c r="D165" s="1761"/>
      <c r="E165" s="1762">
        <f t="shared" si="16"/>
        <v>27</v>
      </c>
      <c r="F165" s="1763">
        <v>43332</v>
      </c>
      <c r="G165" s="1763">
        <v>43358</v>
      </c>
      <c r="H165" s="1764"/>
      <c r="I165" s="1762" t="s">
        <v>170</v>
      </c>
      <c r="J165" s="667"/>
      <c r="K165" s="1769" t="s">
        <v>764</v>
      </c>
      <c r="L165" s="1233">
        <v>23173</v>
      </c>
      <c r="M165" s="1761"/>
      <c r="N165" s="1761"/>
      <c r="O165" s="1765">
        <v>5</v>
      </c>
      <c r="P165" s="1761">
        <v>207</v>
      </c>
      <c r="Q165" s="2382">
        <f t="shared" si="18"/>
        <v>1035</v>
      </c>
      <c r="R165" s="2382"/>
      <c r="S165" s="1766"/>
      <c r="T165" s="1766"/>
      <c r="U165" s="1766"/>
      <c r="V165" s="1766"/>
      <c r="W165" s="1766"/>
      <c r="X165" s="1767"/>
      <c r="Y165" s="1739">
        <v>1035</v>
      </c>
      <c r="Z165" s="1825"/>
      <c r="AA165" s="1825"/>
      <c r="AB165" s="1825"/>
      <c r="AC165" s="1825"/>
      <c r="AD165" s="1825"/>
      <c r="AE165" s="1825"/>
      <c r="AF165" s="1825"/>
      <c r="AG165" s="547">
        <f t="shared" si="13"/>
        <v>1035</v>
      </c>
    </row>
    <row r="166" spans="1:33" s="1826" customFormat="1" ht="75.75" customHeight="1">
      <c r="A166" s="2764">
        <v>1217</v>
      </c>
      <c r="B166" s="2765" t="s">
        <v>499</v>
      </c>
      <c r="C166" s="2766" t="s">
        <v>767</v>
      </c>
      <c r="D166" s="1761"/>
      <c r="E166" s="1762">
        <f t="shared" si="16"/>
        <v>189</v>
      </c>
      <c r="F166" s="2750">
        <v>43185</v>
      </c>
      <c r="G166" s="2750">
        <v>43373</v>
      </c>
      <c r="H166" s="2769"/>
      <c r="I166" s="2768" t="s">
        <v>768</v>
      </c>
      <c r="J166" s="667"/>
      <c r="K166" s="1769"/>
      <c r="L166" s="1233">
        <v>2313</v>
      </c>
      <c r="M166" s="1761"/>
      <c r="N166" s="1761"/>
      <c r="O166" s="1765">
        <v>50000</v>
      </c>
      <c r="P166" s="1761"/>
      <c r="Q166" s="2382">
        <v>50000</v>
      </c>
      <c r="R166" s="2382"/>
      <c r="S166" s="1766"/>
      <c r="T166" s="1765">
        <v>50000</v>
      </c>
      <c r="U166" s="1766"/>
      <c r="V166" s="1766"/>
      <c r="W166" s="1766"/>
      <c r="X166" s="1767"/>
      <c r="Y166" s="1768"/>
      <c r="Z166" s="1825"/>
      <c r="AA166" s="1825"/>
      <c r="AB166" s="1825"/>
      <c r="AC166" s="1825"/>
      <c r="AD166" s="1825"/>
      <c r="AE166" s="1825"/>
      <c r="AF166" s="1825"/>
      <c r="AG166" s="547">
        <f t="shared" si="13"/>
        <v>50000</v>
      </c>
    </row>
    <row r="167" spans="1:33" s="1826" customFormat="1" ht="57.75" customHeight="1">
      <c r="A167" s="2764">
        <v>1218</v>
      </c>
      <c r="B167" s="2765" t="s">
        <v>769</v>
      </c>
      <c r="C167" s="2766" t="s">
        <v>770</v>
      </c>
      <c r="D167" s="1761"/>
      <c r="E167" s="1762">
        <f t="shared" si="16"/>
        <v>189</v>
      </c>
      <c r="F167" s="2750">
        <v>43185</v>
      </c>
      <c r="G167" s="2750">
        <v>43373</v>
      </c>
      <c r="H167" s="2769"/>
      <c r="I167" s="2768" t="s">
        <v>768</v>
      </c>
      <c r="J167" s="667"/>
      <c r="K167" s="1769"/>
      <c r="L167" s="1233">
        <v>2313</v>
      </c>
      <c r="M167" s="1761"/>
      <c r="N167" s="1761"/>
      <c r="O167" s="1765">
        <v>15000</v>
      </c>
      <c r="P167" s="1761"/>
      <c r="Q167" s="2382">
        <v>15000</v>
      </c>
      <c r="R167" s="2382"/>
      <c r="S167" s="1766"/>
      <c r="T167" s="1765">
        <v>15000</v>
      </c>
      <c r="U167" s="1766"/>
      <c r="V167" s="1766"/>
      <c r="W167" s="1766"/>
      <c r="X167" s="1767"/>
      <c r="Y167" s="1768"/>
      <c r="Z167" s="1825"/>
      <c r="AA167" s="1825"/>
      <c r="AB167" s="1825"/>
      <c r="AC167" s="1825"/>
      <c r="AD167" s="1825"/>
      <c r="AE167" s="1825"/>
      <c r="AF167" s="1825"/>
      <c r="AG167" s="547">
        <f t="shared" si="13"/>
        <v>15000</v>
      </c>
    </row>
    <row r="168" spans="1:33" ht="27" customHeight="1">
      <c r="A168" s="1324">
        <v>122</v>
      </c>
      <c r="B168" s="1463" t="s">
        <v>771</v>
      </c>
      <c r="C168" s="1498"/>
      <c r="D168" s="1325"/>
      <c r="E168" s="1325"/>
      <c r="F168" s="1325"/>
      <c r="G168" s="1325"/>
      <c r="H168" s="1325"/>
      <c r="I168" s="1325"/>
      <c r="J168" s="636"/>
      <c r="K168" s="1296"/>
      <c r="L168" s="1298"/>
      <c r="M168" s="1326"/>
      <c r="N168" s="1297"/>
      <c r="O168" s="1327"/>
      <c r="P168" s="1328"/>
      <c r="Q168" s="2348">
        <f>SUM(Q170:Q243)</f>
        <v>150847.67633333337</v>
      </c>
      <c r="R168" s="790"/>
      <c r="S168" s="1329">
        <f t="shared" ref="S168:AF168" si="19">SUM(S170:S243)</f>
        <v>0</v>
      </c>
      <c r="T168" s="1329">
        <f t="shared" si="19"/>
        <v>13416.399666666666</v>
      </c>
      <c r="U168" s="1329">
        <f t="shared" si="19"/>
        <v>32731.999333333333</v>
      </c>
      <c r="V168" s="1329">
        <f t="shared" si="19"/>
        <v>80559.724999999991</v>
      </c>
      <c r="W168" s="1329">
        <f t="shared" si="19"/>
        <v>24139.552333333329</v>
      </c>
      <c r="X168" s="1329">
        <f t="shared" si="19"/>
        <v>0</v>
      </c>
      <c r="Y168" s="1329">
        <f t="shared" si="19"/>
        <v>0</v>
      </c>
      <c r="Z168" s="1329">
        <f t="shared" si="19"/>
        <v>0</v>
      </c>
      <c r="AA168" s="1329">
        <f t="shared" si="19"/>
        <v>0</v>
      </c>
      <c r="AB168" s="1329">
        <f t="shared" si="19"/>
        <v>0</v>
      </c>
      <c r="AC168" s="1329">
        <f t="shared" si="19"/>
        <v>0</v>
      </c>
      <c r="AD168" s="1329">
        <f t="shared" si="19"/>
        <v>0</v>
      </c>
      <c r="AE168" s="1329">
        <f t="shared" si="19"/>
        <v>0</v>
      </c>
      <c r="AF168" s="1329">
        <f t="shared" si="19"/>
        <v>0</v>
      </c>
      <c r="AG168" s="2348">
        <f>SUM(S168:AF168)</f>
        <v>150847.67633333331</v>
      </c>
    </row>
    <row r="169" spans="1:33" ht="48" customHeight="1">
      <c r="A169" s="2745">
        <v>1221</v>
      </c>
      <c r="B169" s="2779" t="s">
        <v>772</v>
      </c>
      <c r="C169" s="2748" t="s">
        <v>773</v>
      </c>
      <c r="D169" s="2780"/>
      <c r="E169" s="2745">
        <v>10</v>
      </c>
      <c r="F169" s="2781">
        <v>43206</v>
      </c>
      <c r="G169" s="2781">
        <f>F169+E169</f>
        <v>43216</v>
      </c>
      <c r="H169" s="2780" t="s">
        <v>774</v>
      </c>
      <c r="I169" s="2745" t="s">
        <v>170</v>
      </c>
      <c r="J169" s="1129"/>
      <c r="K169" s="1432"/>
      <c r="L169" s="1433"/>
      <c r="M169" s="1430"/>
      <c r="N169" s="1431"/>
      <c r="O169" s="1434"/>
      <c r="P169" s="2778"/>
      <c r="Q169" s="2808"/>
      <c r="R169" s="1133"/>
      <c r="S169" s="2733"/>
      <c r="T169" s="2733"/>
      <c r="U169" s="1343"/>
      <c r="V169" s="1343"/>
      <c r="W169" s="1343"/>
      <c r="X169" s="2733"/>
      <c r="Y169" s="1343"/>
      <c r="Z169" s="1343"/>
      <c r="AA169" s="1343"/>
      <c r="AB169" s="1343"/>
      <c r="AC169" s="1343"/>
      <c r="AD169" s="1343"/>
      <c r="AE169" s="1343"/>
      <c r="AF169" s="1343"/>
      <c r="AG169" s="2355"/>
    </row>
    <row r="170" spans="1:33" ht="57.75" hidden="1" customHeight="1">
      <c r="A170" s="796">
        <v>1221</v>
      </c>
      <c r="B170" s="858" t="s">
        <v>772</v>
      </c>
      <c r="C170" s="1074" t="s">
        <v>773</v>
      </c>
      <c r="D170" s="805"/>
      <c r="E170" s="796">
        <v>10</v>
      </c>
      <c r="F170" s="1775">
        <v>43206</v>
      </c>
      <c r="G170" s="1775">
        <f>F170+E170</f>
        <v>43216</v>
      </c>
      <c r="H170" s="805" t="s">
        <v>774</v>
      </c>
      <c r="I170" s="796" t="s">
        <v>170</v>
      </c>
      <c r="J170" s="792"/>
      <c r="K170" s="805" t="s">
        <v>775</v>
      </c>
      <c r="L170" s="1776">
        <v>23174</v>
      </c>
      <c r="M170" s="805"/>
      <c r="N170" s="805"/>
      <c r="O170" s="954">
        <v>4536</v>
      </c>
      <c r="P170" s="805">
        <v>1</v>
      </c>
      <c r="Q170" s="1778">
        <f t="shared" ref="Q170:Q198" si="20">O170*P170</f>
        <v>4536</v>
      </c>
      <c r="R170" s="1777"/>
      <c r="S170" s="1778"/>
      <c r="T170" s="1727">
        <v>4536</v>
      </c>
      <c r="U170" s="1779"/>
      <c r="V170" s="805"/>
      <c r="W170" s="1777"/>
      <c r="X170" s="1780"/>
      <c r="Y170" s="1124"/>
      <c r="Z170" s="1124"/>
      <c r="AA170" s="1124"/>
      <c r="AB170" s="1124"/>
      <c r="AC170" s="1124"/>
      <c r="AD170" s="1124"/>
      <c r="AE170" s="1124"/>
      <c r="AF170" s="1124"/>
      <c r="AG170" s="547">
        <f t="shared" ref="AG170:AG240" si="21">SUM(S170:AF170)</f>
        <v>4536</v>
      </c>
    </row>
    <row r="171" spans="1:33" ht="57.75" hidden="1" customHeight="1">
      <c r="A171" s="796">
        <v>1221</v>
      </c>
      <c r="B171" s="858" t="s">
        <v>772</v>
      </c>
      <c r="C171" s="1074" t="s">
        <v>773</v>
      </c>
      <c r="D171" s="805"/>
      <c r="E171" s="796">
        <v>10</v>
      </c>
      <c r="F171" s="1775">
        <v>43206</v>
      </c>
      <c r="G171" s="1775">
        <f t="shared" ref="G171:G176" si="22">F171+E171</f>
        <v>43216</v>
      </c>
      <c r="H171" s="805" t="s">
        <v>774</v>
      </c>
      <c r="I171" s="796" t="s">
        <v>170</v>
      </c>
      <c r="J171" s="792"/>
      <c r="K171" s="805" t="s">
        <v>776</v>
      </c>
      <c r="L171" s="1776">
        <v>23174</v>
      </c>
      <c r="M171" s="805"/>
      <c r="N171" s="805"/>
      <c r="O171" s="954">
        <v>1320</v>
      </c>
      <c r="P171" s="805">
        <v>1</v>
      </c>
      <c r="Q171" s="1778">
        <f t="shared" si="20"/>
        <v>1320</v>
      </c>
      <c r="R171" s="1777"/>
      <c r="S171" s="1778"/>
      <c r="T171" s="1727">
        <v>1320</v>
      </c>
      <c r="U171" s="1779"/>
      <c r="V171" s="805"/>
      <c r="W171" s="1777"/>
      <c r="X171" s="1781"/>
      <c r="Y171" s="1124"/>
      <c r="Z171" s="1124"/>
      <c r="AA171" s="1124"/>
      <c r="AB171" s="1124"/>
      <c r="AC171" s="1124"/>
      <c r="AD171" s="1124"/>
      <c r="AE171" s="1124"/>
      <c r="AF171" s="1124"/>
      <c r="AG171" s="547">
        <f t="shared" si="21"/>
        <v>1320</v>
      </c>
    </row>
    <row r="172" spans="1:33" ht="57.75" hidden="1" customHeight="1">
      <c r="A172" s="796">
        <v>1221</v>
      </c>
      <c r="B172" s="858" t="s">
        <v>772</v>
      </c>
      <c r="C172" s="1074" t="s">
        <v>773</v>
      </c>
      <c r="D172" s="805"/>
      <c r="E172" s="796">
        <v>10</v>
      </c>
      <c r="F172" s="1775">
        <v>43206</v>
      </c>
      <c r="G172" s="1775">
        <f t="shared" si="22"/>
        <v>43216</v>
      </c>
      <c r="H172" s="805" t="s">
        <v>774</v>
      </c>
      <c r="I172" s="796" t="s">
        <v>170</v>
      </c>
      <c r="J172" s="792"/>
      <c r="K172" s="805" t="s">
        <v>777</v>
      </c>
      <c r="L172" s="1776">
        <v>23174</v>
      </c>
      <c r="M172" s="805"/>
      <c r="N172" s="805"/>
      <c r="O172" s="954">
        <v>260</v>
      </c>
      <c r="P172" s="805">
        <v>1</v>
      </c>
      <c r="Q172" s="1778">
        <f t="shared" si="20"/>
        <v>260</v>
      </c>
      <c r="R172" s="1777"/>
      <c r="S172" s="1778"/>
      <c r="T172" s="1727">
        <v>260</v>
      </c>
      <c r="U172" s="1779"/>
      <c r="V172" s="805"/>
      <c r="W172" s="1777"/>
      <c r="X172" s="1781"/>
      <c r="Y172" s="1124"/>
      <c r="Z172" s="1124"/>
      <c r="AA172" s="1124"/>
      <c r="AB172" s="1124"/>
      <c r="AC172" s="1124"/>
      <c r="AD172" s="1124"/>
      <c r="AE172" s="1124"/>
      <c r="AF172" s="1124"/>
      <c r="AG172" s="547">
        <f t="shared" si="21"/>
        <v>260</v>
      </c>
    </row>
    <row r="173" spans="1:33" ht="57.75" hidden="1" customHeight="1">
      <c r="A173" s="796">
        <v>1221</v>
      </c>
      <c r="B173" s="858" t="s">
        <v>772</v>
      </c>
      <c r="C173" s="1074" t="s">
        <v>773</v>
      </c>
      <c r="D173" s="805"/>
      <c r="E173" s="796">
        <v>10</v>
      </c>
      <c r="F173" s="1775">
        <v>43206</v>
      </c>
      <c r="G173" s="1775">
        <f t="shared" si="22"/>
        <v>43216</v>
      </c>
      <c r="H173" s="805" t="s">
        <v>774</v>
      </c>
      <c r="I173" s="796" t="s">
        <v>170</v>
      </c>
      <c r="J173" s="792"/>
      <c r="K173" s="805" t="s">
        <v>778</v>
      </c>
      <c r="L173" s="1776">
        <v>23174</v>
      </c>
      <c r="M173" s="805"/>
      <c r="N173" s="805"/>
      <c r="O173" s="954">
        <v>4573.333333333333</v>
      </c>
      <c r="P173" s="805">
        <v>1</v>
      </c>
      <c r="Q173" s="1778">
        <f t="shared" si="20"/>
        <v>4573.333333333333</v>
      </c>
      <c r="R173" s="1777"/>
      <c r="S173" s="1778"/>
      <c r="T173" s="954">
        <v>4573.333333333333</v>
      </c>
      <c r="U173" s="1779"/>
      <c r="V173" s="805"/>
      <c r="W173" s="1777"/>
      <c r="X173" s="1781"/>
      <c r="Y173" s="1124"/>
      <c r="Z173" s="1124"/>
      <c r="AA173" s="1124"/>
      <c r="AB173" s="1124"/>
      <c r="AC173" s="1124"/>
      <c r="AD173" s="1124"/>
      <c r="AE173" s="1124"/>
      <c r="AF173" s="1124"/>
      <c r="AG173" s="547">
        <f t="shared" si="21"/>
        <v>4573.333333333333</v>
      </c>
    </row>
    <row r="174" spans="1:33" ht="57.75" hidden="1" customHeight="1">
      <c r="A174" s="796">
        <v>1221</v>
      </c>
      <c r="B174" s="858" t="s">
        <v>772</v>
      </c>
      <c r="C174" s="1074" t="s">
        <v>773</v>
      </c>
      <c r="D174" s="805"/>
      <c r="E174" s="796">
        <v>10</v>
      </c>
      <c r="F174" s="1775">
        <v>43206</v>
      </c>
      <c r="G174" s="1775">
        <f t="shared" si="22"/>
        <v>43216</v>
      </c>
      <c r="H174" s="805" t="s">
        <v>774</v>
      </c>
      <c r="I174" s="796" t="s">
        <v>170</v>
      </c>
      <c r="J174" s="792"/>
      <c r="K174" s="805" t="s">
        <v>779</v>
      </c>
      <c r="L174" s="1776">
        <v>23174</v>
      </c>
      <c r="M174" s="805"/>
      <c r="N174" s="805"/>
      <c r="O174" s="954">
        <v>153.33333333333334</v>
      </c>
      <c r="P174" s="805">
        <v>1</v>
      </c>
      <c r="Q174" s="1778">
        <f t="shared" si="20"/>
        <v>153.33333333333334</v>
      </c>
      <c r="R174" s="1777"/>
      <c r="S174" s="1778"/>
      <c r="T174" s="1727">
        <v>153.33333333333334</v>
      </c>
      <c r="U174" s="1779"/>
      <c r="V174" s="805"/>
      <c r="W174" s="1777"/>
      <c r="X174" s="1781"/>
      <c r="Y174" s="1124"/>
      <c r="Z174" s="1124"/>
      <c r="AA174" s="1124"/>
      <c r="AB174" s="1124"/>
      <c r="AC174" s="1124"/>
      <c r="AD174" s="1124"/>
      <c r="AE174" s="1124"/>
      <c r="AF174" s="1124"/>
      <c r="AG174" s="547">
        <f t="shared" si="21"/>
        <v>153.33333333333334</v>
      </c>
    </row>
    <row r="175" spans="1:33" ht="57.75" hidden="1" customHeight="1">
      <c r="A175" s="796">
        <v>1221</v>
      </c>
      <c r="B175" s="858" t="s">
        <v>772</v>
      </c>
      <c r="C175" s="1074" t="s">
        <v>773</v>
      </c>
      <c r="D175" s="805"/>
      <c r="E175" s="796">
        <v>10</v>
      </c>
      <c r="F175" s="1775">
        <v>43206</v>
      </c>
      <c r="G175" s="1775">
        <f t="shared" si="22"/>
        <v>43216</v>
      </c>
      <c r="H175" s="805" t="s">
        <v>774</v>
      </c>
      <c r="I175" s="796" t="s">
        <v>170</v>
      </c>
      <c r="J175" s="792"/>
      <c r="K175" s="805" t="s">
        <v>780</v>
      </c>
      <c r="L175" s="1776">
        <v>23174</v>
      </c>
      <c r="M175" s="805"/>
      <c r="N175" s="805"/>
      <c r="O175" s="954">
        <v>238</v>
      </c>
      <c r="P175" s="805">
        <v>1</v>
      </c>
      <c r="Q175" s="1778">
        <f t="shared" si="20"/>
        <v>238</v>
      </c>
      <c r="R175" s="1777"/>
      <c r="S175" s="1778"/>
      <c r="T175" s="1727">
        <v>238</v>
      </c>
      <c r="U175" s="1779"/>
      <c r="V175" s="805"/>
      <c r="W175" s="1777"/>
      <c r="X175" s="1781"/>
      <c r="Y175" s="1124"/>
      <c r="Z175" s="1124"/>
      <c r="AA175" s="1124"/>
      <c r="AB175" s="1124"/>
      <c r="AC175" s="1124"/>
      <c r="AD175" s="1124"/>
      <c r="AE175" s="1124"/>
      <c r="AF175" s="1124"/>
      <c r="AG175" s="547">
        <f t="shared" si="21"/>
        <v>238</v>
      </c>
    </row>
    <row r="176" spans="1:33" ht="57.75" hidden="1" customHeight="1">
      <c r="A176" s="796">
        <v>1221</v>
      </c>
      <c r="B176" s="858" t="s">
        <v>772</v>
      </c>
      <c r="C176" s="1074" t="s">
        <v>773</v>
      </c>
      <c r="D176" s="805"/>
      <c r="E176" s="796">
        <v>10</v>
      </c>
      <c r="F176" s="1775">
        <v>43206</v>
      </c>
      <c r="G176" s="1775">
        <f t="shared" si="22"/>
        <v>43216</v>
      </c>
      <c r="H176" s="805" t="s">
        <v>774</v>
      </c>
      <c r="I176" s="796" t="s">
        <v>170</v>
      </c>
      <c r="J176" s="792"/>
      <c r="K176" s="805" t="s">
        <v>781</v>
      </c>
      <c r="L176" s="1776">
        <v>23174</v>
      </c>
      <c r="M176" s="805"/>
      <c r="N176" s="805"/>
      <c r="O176" s="954">
        <v>594.73333333333335</v>
      </c>
      <c r="P176" s="805">
        <v>1</v>
      </c>
      <c r="Q176" s="1778">
        <f t="shared" si="20"/>
        <v>594.73333333333335</v>
      </c>
      <c r="R176" s="1777"/>
      <c r="S176" s="1778"/>
      <c r="T176" s="1727">
        <v>594.73333333333335</v>
      </c>
      <c r="U176" s="1779"/>
      <c r="V176" s="805"/>
      <c r="W176" s="1777"/>
      <c r="X176" s="1781"/>
      <c r="Y176" s="1124"/>
      <c r="Z176" s="1124"/>
      <c r="AA176" s="1124"/>
      <c r="AB176" s="1124"/>
      <c r="AC176" s="1124"/>
      <c r="AD176" s="1124"/>
      <c r="AE176" s="1124"/>
      <c r="AF176" s="1124"/>
      <c r="AG176" s="547">
        <f t="shared" si="21"/>
        <v>594.73333333333335</v>
      </c>
    </row>
    <row r="177" spans="1:33" ht="57.75" hidden="1" customHeight="1">
      <c r="A177" s="796">
        <v>1221</v>
      </c>
      <c r="B177" s="858" t="s">
        <v>772</v>
      </c>
      <c r="C177" s="1074" t="s">
        <v>773</v>
      </c>
      <c r="D177" s="805"/>
      <c r="E177" s="796"/>
      <c r="F177" s="1775"/>
      <c r="G177" s="1775"/>
      <c r="H177" s="805" t="s">
        <v>774</v>
      </c>
      <c r="I177" s="796" t="s">
        <v>170</v>
      </c>
      <c r="J177" s="792"/>
      <c r="K177" s="1292" t="s">
        <v>782</v>
      </c>
      <c r="L177" s="1776">
        <v>23173</v>
      </c>
      <c r="M177" s="805"/>
      <c r="N177" s="805"/>
      <c r="O177" s="954">
        <v>74.332999999999998</v>
      </c>
      <c r="P177" s="805">
        <v>1</v>
      </c>
      <c r="Q177" s="1778">
        <f t="shared" si="20"/>
        <v>74.332999999999998</v>
      </c>
      <c r="R177" s="1777"/>
      <c r="S177" s="1778"/>
      <c r="T177" s="1727">
        <v>74.332999999999998</v>
      </c>
      <c r="U177" s="1779"/>
      <c r="V177" s="805"/>
      <c r="W177" s="1777"/>
      <c r="X177" s="1781"/>
      <c r="Y177" s="1124"/>
      <c r="Z177" s="1124"/>
      <c r="AA177" s="1124"/>
      <c r="AB177" s="1124"/>
      <c r="AC177" s="1124"/>
      <c r="AD177" s="1124"/>
      <c r="AE177" s="1124"/>
      <c r="AF177" s="1124"/>
      <c r="AG177" s="547">
        <f t="shared" si="21"/>
        <v>74.332999999999998</v>
      </c>
    </row>
    <row r="178" spans="1:33" ht="57.75" hidden="1" customHeight="1">
      <c r="A178" s="796">
        <v>1221</v>
      </c>
      <c r="B178" s="858" t="s">
        <v>772</v>
      </c>
      <c r="C178" s="1074" t="s">
        <v>773</v>
      </c>
      <c r="D178" s="805"/>
      <c r="E178" s="796"/>
      <c r="F178" s="1782"/>
      <c r="G178" s="1782"/>
      <c r="H178" s="805" t="s">
        <v>774</v>
      </c>
      <c r="I178" s="796" t="s">
        <v>170</v>
      </c>
      <c r="J178" s="792"/>
      <c r="K178" s="805" t="s">
        <v>415</v>
      </c>
      <c r="L178" s="1776">
        <v>23173</v>
      </c>
      <c r="M178" s="805"/>
      <c r="N178" s="805"/>
      <c r="O178" s="954">
        <v>1666.6666666666667</v>
      </c>
      <c r="P178" s="805">
        <v>1</v>
      </c>
      <c r="Q178" s="1778">
        <f t="shared" si="20"/>
        <v>1666.6666666666667</v>
      </c>
      <c r="R178" s="1777"/>
      <c r="S178" s="1778"/>
      <c r="T178" s="1727">
        <v>1666.6666666666667</v>
      </c>
      <c r="U178" s="1779"/>
      <c r="V178" s="805"/>
      <c r="W178" s="1777"/>
      <c r="X178" s="1781"/>
      <c r="Y178" s="1124"/>
      <c r="Z178" s="1124"/>
      <c r="AA178" s="1124"/>
      <c r="AB178" s="1124"/>
      <c r="AC178" s="1124"/>
      <c r="AD178" s="1124"/>
      <c r="AE178" s="1124"/>
      <c r="AF178" s="1124"/>
      <c r="AG178" s="547">
        <f t="shared" si="21"/>
        <v>1666.6666666666667</v>
      </c>
    </row>
    <row r="179" spans="1:33" ht="57.75" customHeight="1">
      <c r="A179" s="2745">
        <v>1222</v>
      </c>
      <c r="B179" s="2748" t="s">
        <v>783</v>
      </c>
      <c r="C179" s="2779" t="s">
        <v>784</v>
      </c>
      <c r="D179" s="2780"/>
      <c r="E179" s="2745">
        <v>10</v>
      </c>
      <c r="F179" s="2781">
        <v>43227</v>
      </c>
      <c r="G179" s="2781">
        <f>F179+E179</f>
        <v>43237</v>
      </c>
      <c r="H179" s="2780" t="s">
        <v>785</v>
      </c>
      <c r="I179" s="1703"/>
      <c r="J179" s="2782"/>
      <c r="K179" s="1124"/>
      <c r="L179" s="2783"/>
      <c r="M179" s="1124"/>
      <c r="N179" s="1124"/>
      <c r="O179" s="1144"/>
      <c r="P179" s="1124"/>
      <c r="Q179" s="2714"/>
      <c r="R179" s="1199"/>
      <c r="S179" s="2714"/>
      <c r="T179" s="2743"/>
      <c r="U179" s="1743"/>
      <c r="V179" s="1124"/>
      <c r="W179" s="1199"/>
      <c r="X179" s="2784"/>
      <c r="Y179" s="1124"/>
      <c r="Z179" s="1124"/>
      <c r="AA179" s="1124"/>
      <c r="AB179" s="1124"/>
      <c r="AC179" s="1124"/>
      <c r="AD179" s="1124"/>
      <c r="AE179" s="1124"/>
      <c r="AF179" s="1124"/>
      <c r="AG179" s="2355"/>
    </row>
    <row r="180" spans="1:33" ht="57.75" hidden="1" customHeight="1">
      <c r="A180" s="796">
        <v>1222</v>
      </c>
      <c r="B180" s="793" t="s">
        <v>783</v>
      </c>
      <c r="C180" s="857" t="s">
        <v>784</v>
      </c>
      <c r="D180" s="805"/>
      <c r="E180" s="796">
        <v>10</v>
      </c>
      <c r="F180" s="1775">
        <v>43227</v>
      </c>
      <c r="G180" s="1775">
        <f>F180+E180</f>
        <v>43237</v>
      </c>
      <c r="H180" s="805" t="s">
        <v>785</v>
      </c>
      <c r="I180" s="796" t="s">
        <v>170</v>
      </c>
      <c r="J180" s="792"/>
      <c r="K180" s="805" t="s">
        <v>775</v>
      </c>
      <c r="L180" s="1776">
        <v>23174</v>
      </c>
      <c r="M180" s="805"/>
      <c r="N180" s="805"/>
      <c r="O180" s="954">
        <v>4956</v>
      </c>
      <c r="P180" s="805">
        <v>1</v>
      </c>
      <c r="Q180" s="1778">
        <f t="shared" si="20"/>
        <v>4956</v>
      </c>
      <c r="R180" s="1777"/>
      <c r="S180" s="1778"/>
      <c r="T180" s="1778"/>
      <c r="U180" s="954">
        <v>4956</v>
      </c>
      <c r="V180" s="805"/>
      <c r="W180" s="805"/>
      <c r="X180" s="1781"/>
      <c r="Y180" s="1124"/>
      <c r="Z180" s="1124"/>
      <c r="AA180" s="1124"/>
      <c r="AB180" s="1124"/>
      <c r="AC180" s="1124"/>
      <c r="AD180" s="1124"/>
      <c r="AE180" s="1124"/>
      <c r="AF180" s="1124"/>
      <c r="AG180" s="547">
        <f t="shared" si="21"/>
        <v>4956</v>
      </c>
    </row>
    <row r="181" spans="1:33" ht="57.75" hidden="1" customHeight="1">
      <c r="A181" s="796">
        <v>1222</v>
      </c>
      <c r="B181" s="793" t="s">
        <v>783</v>
      </c>
      <c r="C181" s="857" t="s">
        <v>784</v>
      </c>
      <c r="D181" s="805"/>
      <c r="E181" s="796">
        <v>10</v>
      </c>
      <c r="F181" s="1775">
        <v>43227</v>
      </c>
      <c r="G181" s="1775">
        <f t="shared" ref="G181:G186" si="23">F181+E181</f>
        <v>43237</v>
      </c>
      <c r="H181" s="805" t="s">
        <v>785</v>
      </c>
      <c r="I181" s="796" t="s">
        <v>170</v>
      </c>
      <c r="J181" s="792"/>
      <c r="K181" s="805" t="s">
        <v>777</v>
      </c>
      <c r="L181" s="1776">
        <v>23174</v>
      </c>
      <c r="M181" s="805"/>
      <c r="N181" s="805"/>
      <c r="O181" s="954">
        <v>290</v>
      </c>
      <c r="P181" s="805">
        <v>1</v>
      </c>
      <c r="Q181" s="1778">
        <f t="shared" si="20"/>
        <v>290</v>
      </c>
      <c r="R181" s="1777"/>
      <c r="S181" s="1778"/>
      <c r="T181" s="1778"/>
      <c r="U181" s="954">
        <v>290</v>
      </c>
      <c r="V181" s="805"/>
      <c r="W181" s="805"/>
      <c r="X181" s="1781"/>
      <c r="Y181" s="1124"/>
      <c r="Z181" s="1124"/>
      <c r="AA181" s="1124"/>
      <c r="AB181" s="1124"/>
      <c r="AC181" s="1124"/>
      <c r="AD181" s="1124"/>
      <c r="AE181" s="1124"/>
      <c r="AF181" s="1124"/>
      <c r="AG181" s="547">
        <f t="shared" si="21"/>
        <v>290</v>
      </c>
    </row>
    <row r="182" spans="1:33" ht="57.75" hidden="1" customHeight="1">
      <c r="A182" s="796">
        <v>1222</v>
      </c>
      <c r="B182" s="793" t="s">
        <v>783</v>
      </c>
      <c r="C182" s="857" t="s">
        <v>784</v>
      </c>
      <c r="D182" s="805"/>
      <c r="E182" s="796">
        <v>10</v>
      </c>
      <c r="F182" s="1775">
        <v>43227</v>
      </c>
      <c r="G182" s="1775">
        <f t="shared" si="23"/>
        <v>43237</v>
      </c>
      <c r="H182" s="805" t="s">
        <v>785</v>
      </c>
      <c r="I182" s="796" t="s">
        <v>170</v>
      </c>
      <c r="J182" s="792"/>
      <c r="K182" s="805" t="s">
        <v>776</v>
      </c>
      <c r="L182" s="1776">
        <v>23174</v>
      </c>
      <c r="M182" s="805"/>
      <c r="N182" s="805"/>
      <c r="O182" s="954">
        <v>1440</v>
      </c>
      <c r="P182" s="805">
        <v>1</v>
      </c>
      <c r="Q182" s="1778">
        <f t="shared" si="20"/>
        <v>1440</v>
      </c>
      <c r="R182" s="1777"/>
      <c r="S182" s="1778"/>
      <c r="T182" s="1778"/>
      <c r="U182" s="954">
        <v>1440</v>
      </c>
      <c r="V182" s="805"/>
      <c r="W182" s="805"/>
      <c r="X182" s="1781"/>
      <c r="Y182" s="1124"/>
      <c r="Z182" s="1124"/>
      <c r="AA182" s="1124"/>
      <c r="AB182" s="1124"/>
      <c r="AC182" s="1124"/>
      <c r="AD182" s="1124"/>
      <c r="AE182" s="1124"/>
      <c r="AF182" s="1124"/>
      <c r="AG182" s="547">
        <f t="shared" si="21"/>
        <v>1440</v>
      </c>
    </row>
    <row r="183" spans="1:33" ht="57.75" hidden="1" customHeight="1">
      <c r="A183" s="796">
        <v>1222</v>
      </c>
      <c r="B183" s="793" t="s">
        <v>783</v>
      </c>
      <c r="C183" s="857" t="s">
        <v>784</v>
      </c>
      <c r="D183" s="805"/>
      <c r="E183" s="796">
        <v>10</v>
      </c>
      <c r="F183" s="1775">
        <v>43227</v>
      </c>
      <c r="G183" s="1775">
        <f t="shared" si="23"/>
        <v>43237</v>
      </c>
      <c r="H183" s="805" t="s">
        <v>785</v>
      </c>
      <c r="I183" s="796" t="s">
        <v>170</v>
      </c>
      <c r="J183" s="792"/>
      <c r="K183" s="805" t="s">
        <v>778</v>
      </c>
      <c r="L183" s="1776">
        <v>23174</v>
      </c>
      <c r="M183" s="805"/>
      <c r="N183" s="805"/>
      <c r="O183" s="954">
        <v>5040</v>
      </c>
      <c r="P183" s="805">
        <v>1</v>
      </c>
      <c r="Q183" s="1778">
        <f t="shared" si="20"/>
        <v>5040</v>
      </c>
      <c r="R183" s="1777"/>
      <c r="S183" s="1778"/>
      <c r="T183" s="1778"/>
      <c r="U183" s="954">
        <v>5040</v>
      </c>
      <c r="V183" s="805"/>
      <c r="W183" s="805"/>
      <c r="X183" s="1781"/>
      <c r="Y183" s="1124"/>
      <c r="Z183" s="1124"/>
      <c r="AA183" s="1124"/>
      <c r="AB183" s="1124"/>
      <c r="AC183" s="1124"/>
      <c r="AD183" s="1124"/>
      <c r="AE183" s="1124"/>
      <c r="AF183" s="1124"/>
      <c r="AG183" s="547">
        <f t="shared" si="21"/>
        <v>5040</v>
      </c>
    </row>
    <row r="184" spans="1:33" ht="57.75" hidden="1" customHeight="1">
      <c r="A184" s="796">
        <v>1222</v>
      </c>
      <c r="B184" s="793" t="s">
        <v>783</v>
      </c>
      <c r="C184" s="857" t="s">
        <v>784</v>
      </c>
      <c r="D184" s="805"/>
      <c r="E184" s="796">
        <v>10</v>
      </c>
      <c r="F184" s="1775">
        <v>43227</v>
      </c>
      <c r="G184" s="1775">
        <f t="shared" si="23"/>
        <v>43237</v>
      </c>
      <c r="H184" s="805" t="s">
        <v>785</v>
      </c>
      <c r="I184" s="796" t="s">
        <v>170</v>
      </c>
      <c r="J184" s="792"/>
      <c r="K184" s="805" t="s">
        <v>779</v>
      </c>
      <c r="L184" s="1776">
        <v>23174</v>
      </c>
      <c r="M184" s="805"/>
      <c r="N184" s="805"/>
      <c r="O184" s="954">
        <v>173.33333333333334</v>
      </c>
      <c r="P184" s="805">
        <v>1</v>
      </c>
      <c r="Q184" s="1778">
        <f t="shared" si="20"/>
        <v>173.33333333333334</v>
      </c>
      <c r="R184" s="1777"/>
      <c r="S184" s="1778"/>
      <c r="T184" s="1778"/>
      <c r="U184" s="954">
        <v>173.33333333333334</v>
      </c>
      <c r="V184" s="805"/>
      <c r="W184" s="805"/>
      <c r="X184" s="1781"/>
      <c r="Y184" s="1124"/>
      <c r="Z184" s="1124"/>
      <c r="AA184" s="1124"/>
      <c r="AB184" s="1124"/>
      <c r="AC184" s="1124"/>
      <c r="AD184" s="1124"/>
      <c r="AE184" s="1124"/>
      <c r="AF184" s="1124"/>
      <c r="AG184" s="547">
        <f t="shared" si="21"/>
        <v>173.33333333333334</v>
      </c>
    </row>
    <row r="185" spans="1:33" ht="57.75" hidden="1" customHeight="1">
      <c r="A185" s="796">
        <v>1222</v>
      </c>
      <c r="B185" s="793" t="s">
        <v>783</v>
      </c>
      <c r="C185" s="857" t="s">
        <v>784</v>
      </c>
      <c r="D185" s="805"/>
      <c r="E185" s="796">
        <v>10</v>
      </c>
      <c r="F185" s="1775">
        <v>43227</v>
      </c>
      <c r="G185" s="1775">
        <f t="shared" si="23"/>
        <v>43237</v>
      </c>
      <c r="H185" s="805" t="s">
        <v>785</v>
      </c>
      <c r="I185" s="796" t="s">
        <v>170</v>
      </c>
      <c r="J185" s="792"/>
      <c r="K185" s="805" t="s">
        <v>780</v>
      </c>
      <c r="L185" s="1776">
        <v>23174</v>
      </c>
      <c r="M185" s="805"/>
      <c r="N185" s="805"/>
      <c r="O185" s="954">
        <v>816</v>
      </c>
      <c r="P185" s="805">
        <v>1</v>
      </c>
      <c r="Q185" s="1778">
        <f t="shared" si="20"/>
        <v>816</v>
      </c>
      <c r="R185" s="1777"/>
      <c r="S185" s="1778"/>
      <c r="T185" s="1778"/>
      <c r="U185" s="954">
        <v>816</v>
      </c>
      <c r="V185" s="805"/>
      <c r="W185" s="805"/>
      <c r="X185" s="1781"/>
      <c r="Y185" s="1124"/>
      <c r="Z185" s="1124"/>
      <c r="AA185" s="1124"/>
      <c r="AB185" s="1124"/>
      <c r="AC185" s="1124"/>
      <c r="AD185" s="1124"/>
      <c r="AE185" s="1124"/>
      <c r="AF185" s="1124"/>
      <c r="AG185" s="547">
        <f t="shared" si="21"/>
        <v>816</v>
      </c>
    </row>
    <row r="186" spans="1:33" ht="57.75" hidden="1" customHeight="1">
      <c r="A186" s="796">
        <v>1222</v>
      </c>
      <c r="B186" s="793" t="s">
        <v>783</v>
      </c>
      <c r="C186" s="857" t="s">
        <v>784</v>
      </c>
      <c r="D186" s="805"/>
      <c r="E186" s="796">
        <v>10</v>
      </c>
      <c r="F186" s="1775">
        <v>43227</v>
      </c>
      <c r="G186" s="1775">
        <f t="shared" si="23"/>
        <v>43237</v>
      </c>
      <c r="H186" s="805" t="s">
        <v>785</v>
      </c>
      <c r="I186" s="796" t="s">
        <v>170</v>
      </c>
      <c r="J186" s="792"/>
      <c r="K186" s="805" t="s">
        <v>781</v>
      </c>
      <c r="L186" s="1776">
        <v>23174</v>
      </c>
      <c r="M186" s="805"/>
      <c r="N186" s="805"/>
      <c r="O186" s="954">
        <v>1301.6666666666667</v>
      </c>
      <c r="P186" s="805">
        <v>1</v>
      </c>
      <c r="Q186" s="1778">
        <f t="shared" si="20"/>
        <v>1301.6666666666667</v>
      </c>
      <c r="R186" s="1777"/>
      <c r="S186" s="1778"/>
      <c r="T186" s="1778"/>
      <c r="U186" s="954">
        <v>1301.6666666666667</v>
      </c>
      <c r="V186" s="805"/>
      <c r="W186" s="805"/>
      <c r="X186" s="1781"/>
      <c r="Y186" s="1124"/>
      <c r="Z186" s="1124"/>
      <c r="AA186" s="1124"/>
      <c r="AB186" s="1124"/>
      <c r="AC186" s="1124"/>
      <c r="AD186" s="1124"/>
      <c r="AE186" s="1124"/>
      <c r="AF186" s="1124"/>
      <c r="AG186" s="547">
        <f t="shared" si="21"/>
        <v>1301.6666666666667</v>
      </c>
    </row>
    <row r="187" spans="1:33" ht="57.75" hidden="1" customHeight="1">
      <c r="A187" s="796">
        <v>1222</v>
      </c>
      <c r="B187" s="793" t="s">
        <v>783</v>
      </c>
      <c r="C187" s="857" t="s">
        <v>784</v>
      </c>
      <c r="D187" s="805"/>
      <c r="E187" s="796"/>
      <c r="F187" s="1775"/>
      <c r="G187" s="1775"/>
      <c r="H187" s="805" t="s">
        <v>785</v>
      </c>
      <c r="I187" s="796" t="s">
        <v>170</v>
      </c>
      <c r="J187" s="792"/>
      <c r="K187" s="1292" t="s">
        <v>782</v>
      </c>
      <c r="L187" s="1776">
        <v>23173</v>
      </c>
      <c r="M187" s="805"/>
      <c r="N187" s="805"/>
      <c r="O187" s="954">
        <v>74.332999999999998</v>
      </c>
      <c r="P187" s="805">
        <v>1</v>
      </c>
      <c r="Q187" s="1778">
        <f t="shared" si="20"/>
        <v>74.332999999999998</v>
      </c>
      <c r="R187" s="1777"/>
      <c r="S187" s="1778"/>
      <c r="T187" s="1778"/>
      <c r="U187" s="954">
        <v>74.332999999999998</v>
      </c>
      <c r="V187" s="805"/>
      <c r="W187" s="805"/>
      <c r="X187" s="1781"/>
      <c r="Y187" s="1124"/>
      <c r="Z187" s="1124"/>
      <c r="AA187" s="1124"/>
      <c r="AB187" s="1124"/>
      <c r="AC187" s="1124"/>
      <c r="AD187" s="1124"/>
      <c r="AE187" s="1124"/>
      <c r="AF187" s="1124"/>
      <c r="AG187" s="547">
        <f t="shared" si="21"/>
        <v>74.332999999999998</v>
      </c>
    </row>
    <row r="188" spans="1:33" ht="57.75" hidden="1" customHeight="1">
      <c r="A188" s="796">
        <v>1222</v>
      </c>
      <c r="B188" s="793" t="s">
        <v>783</v>
      </c>
      <c r="C188" s="857" t="s">
        <v>784</v>
      </c>
      <c r="D188" s="805"/>
      <c r="E188" s="796"/>
      <c r="F188" s="1775"/>
      <c r="G188" s="796"/>
      <c r="H188" s="805" t="s">
        <v>785</v>
      </c>
      <c r="I188" s="796" t="s">
        <v>170</v>
      </c>
      <c r="J188" s="792"/>
      <c r="K188" s="805" t="s">
        <v>415</v>
      </c>
      <c r="L188" s="1776">
        <v>23173</v>
      </c>
      <c r="M188" s="805"/>
      <c r="N188" s="805"/>
      <c r="O188" s="954">
        <v>1666.6666666666667</v>
      </c>
      <c r="P188" s="805">
        <v>1</v>
      </c>
      <c r="Q188" s="1778">
        <f t="shared" si="20"/>
        <v>1666.6666666666667</v>
      </c>
      <c r="R188" s="1777"/>
      <c r="S188" s="1778"/>
      <c r="T188" s="1778"/>
      <c r="U188" s="954">
        <v>1666.6666666666667</v>
      </c>
      <c r="V188" s="805"/>
      <c r="W188" s="805"/>
      <c r="X188" s="1781"/>
      <c r="Y188" s="1124"/>
      <c r="Z188" s="1124"/>
      <c r="AA188" s="1124"/>
      <c r="AB188" s="1124"/>
      <c r="AC188" s="1124"/>
      <c r="AD188" s="1124"/>
      <c r="AE188" s="1124"/>
      <c r="AF188" s="1124"/>
      <c r="AG188" s="547">
        <f t="shared" si="21"/>
        <v>1666.6666666666667</v>
      </c>
    </row>
    <row r="189" spans="1:33" ht="57.75" customHeight="1">
      <c r="A189" s="2745">
        <v>1223</v>
      </c>
      <c r="B189" s="2748" t="s">
        <v>786</v>
      </c>
      <c r="C189" s="2779" t="s">
        <v>787</v>
      </c>
      <c r="D189" s="2780"/>
      <c r="E189" s="2745">
        <v>10</v>
      </c>
      <c r="F189" s="2781">
        <v>43262</v>
      </c>
      <c r="G189" s="2781">
        <f>F189+E189</f>
        <v>43272</v>
      </c>
      <c r="H189" s="2780" t="s">
        <v>785</v>
      </c>
      <c r="I189" s="2745" t="s">
        <v>170</v>
      </c>
      <c r="J189" s="2782"/>
      <c r="K189" s="1124"/>
      <c r="L189" s="2783"/>
      <c r="M189" s="1124"/>
      <c r="N189" s="1124"/>
      <c r="O189" s="1144"/>
      <c r="P189" s="1124"/>
      <c r="Q189" s="2714"/>
      <c r="R189" s="1199"/>
      <c r="S189" s="2714"/>
      <c r="T189" s="2714"/>
      <c r="U189" s="1144"/>
      <c r="V189" s="1124"/>
      <c r="W189" s="1124"/>
      <c r="X189" s="2784"/>
      <c r="Y189" s="1124"/>
      <c r="Z189" s="1124"/>
      <c r="AA189" s="1124"/>
      <c r="AB189" s="1124"/>
      <c r="AC189" s="1124"/>
      <c r="AD189" s="1124"/>
      <c r="AE189" s="1124"/>
      <c r="AF189" s="1124"/>
      <c r="AG189" s="2355"/>
    </row>
    <row r="190" spans="1:33" ht="57.75" hidden="1" customHeight="1">
      <c r="A190" s="796">
        <v>1223</v>
      </c>
      <c r="B190" s="793" t="s">
        <v>786</v>
      </c>
      <c r="C190" s="857" t="s">
        <v>787</v>
      </c>
      <c r="D190" s="805"/>
      <c r="E190" s="796">
        <v>10</v>
      </c>
      <c r="F190" s="1775">
        <v>43262</v>
      </c>
      <c r="G190" s="1775">
        <f>F190+E190</f>
        <v>43272</v>
      </c>
      <c r="H190" s="805" t="s">
        <v>785</v>
      </c>
      <c r="I190" s="796" t="s">
        <v>170</v>
      </c>
      <c r="J190" s="792"/>
      <c r="K190" s="805" t="s">
        <v>775</v>
      </c>
      <c r="L190" s="1776">
        <v>23174</v>
      </c>
      <c r="M190" s="805"/>
      <c r="N190" s="805"/>
      <c r="O190" s="954">
        <v>4956</v>
      </c>
      <c r="P190" s="805">
        <v>1</v>
      </c>
      <c r="Q190" s="1778">
        <f t="shared" si="20"/>
        <v>4956</v>
      </c>
      <c r="R190" s="1777"/>
      <c r="S190" s="1778"/>
      <c r="T190" s="1778"/>
      <c r="U190" s="954">
        <v>4956</v>
      </c>
      <c r="V190" s="805"/>
      <c r="W190" s="805"/>
      <c r="X190" s="1781"/>
      <c r="Y190" s="1124"/>
      <c r="Z190" s="1124"/>
      <c r="AA190" s="1124"/>
      <c r="AB190" s="1124"/>
      <c r="AC190" s="1124"/>
      <c r="AD190" s="1124"/>
      <c r="AE190" s="1124"/>
      <c r="AF190" s="1124"/>
      <c r="AG190" s="547">
        <f t="shared" si="21"/>
        <v>4956</v>
      </c>
    </row>
    <row r="191" spans="1:33" ht="57.75" hidden="1" customHeight="1">
      <c r="A191" s="796">
        <v>1223</v>
      </c>
      <c r="B191" s="793" t="s">
        <v>786</v>
      </c>
      <c r="C191" s="857" t="s">
        <v>787</v>
      </c>
      <c r="D191" s="805"/>
      <c r="E191" s="796">
        <v>10</v>
      </c>
      <c r="F191" s="1775">
        <v>43262</v>
      </c>
      <c r="G191" s="1775">
        <f t="shared" ref="G191:G196" si="24">F191+E191</f>
        <v>43272</v>
      </c>
      <c r="H191" s="805" t="s">
        <v>785</v>
      </c>
      <c r="I191" s="796" t="s">
        <v>170</v>
      </c>
      <c r="J191" s="792"/>
      <c r="K191" s="805" t="s">
        <v>777</v>
      </c>
      <c r="L191" s="1776">
        <v>23174</v>
      </c>
      <c r="M191" s="805"/>
      <c r="N191" s="805"/>
      <c r="O191" s="954">
        <v>290</v>
      </c>
      <c r="P191" s="805">
        <v>1</v>
      </c>
      <c r="Q191" s="1778">
        <f t="shared" si="20"/>
        <v>290</v>
      </c>
      <c r="R191" s="1777"/>
      <c r="S191" s="1778"/>
      <c r="T191" s="1778"/>
      <c r="U191" s="954">
        <v>290</v>
      </c>
      <c r="V191" s="805"/>
      <c r="W191" s="805"/>
      <c r="X191" s="1781"/>
      <c r="Y191" s="1124"/>
      <c r="Z191" s="1124"/>
      <c r="AA191" s="1124"/>
      <c r="AB191" s="1124"/>
      <c r="AC191" s="1124"/>
      <c r="AD191" s="1124"/>
      <c r="AE191" s="1124"/>
      <c r="AF191" s="1124"/>
      <c r="AG191" s="547">
        <f t="shared" si="21"/>
        <v>290</v>
      </c>
    </row>
    <row r="192" spans="1:33" ht="57.75" hidden="1" customHeight="1">
      <c r="A192" s="796">
        <v>1223</v>
      </c>
      <c r="B192" s="793" t="s">
        <v>786</v>
      </c>
      <c r="C192" s="857" t="s">
        <v>787</v>
      </c>
      <c r="D192" s="805"/>
      <c r="E192" s="796">
        <v>10</v>
      </c>
      <c r="F192" s="1775">
        <v>43262</v>
      </c>
      <c r="G192" s="1775">
        <f t="shared" si="24"/>
        <v>43272</v>
      </c>
      <c r="H192" s="805" t="s">
        <v>785</v>
      </c>
      <c r="I192" s="796" t="s">
        <v>170</v>
      </c>
      <c r="J192" s="792"/>
      <c r="K192" s="805" t="s">
        <v>776</v>
      </c>
      <c r="L192" s="1776">
        <v>23174</v>
      </c>
      <c r="M192" s="805"/>
      <c r="N192" s="805"/>
      <c r="O192" s="954">
        <v>1440</v>
      </c>
      <c r="P192" s="805">
        <v>1</v>
      </c>
      <c r="Q192" s="1778">
        <f t="shared" si="20"/>
        <v>1440</v>
      </c>
      <c r="R192" s="1777"/>
      <c r="S192" s="1778"/>
      <c r="T192" s="1778"/>
      <c r="U192" s="954">
        <v>1440</v>
      </c>
      <c r="V192" s="805"/>
      <c r="W192" s="805"/>
      <c r="X192" s="1781"/>
      <c r="Y192" s="1124"/>
      <c r="Z192" s="1124"/>
      <c r="AA192" s="1124"/>
      <c r="AB192" s="1124"/>
      <c r="AC192" s="1124"/>
      <c r="AD192" s="1124"/>
      <c r="AE192" s="1124"/>
      <c r="AF192" s="1124"/>
      <c r="AG192" s="547">
        <f t="shared" si="21"/>
        <v>1440</v>
      </c>
    </row>
    <row r="193" spans="1:33" ht="57.75" hidden="1" customHeight="1">
      <c r="A193" s="796">
        <v>1223</v>
      </c>
      <c r="B193" s="793" t="s">
        <v>786</v>
      </c>
      <c r="C193" s="857" t="s">
        <v>787</v>
      </c>
      <c r="D193" s="805"/>
      <c r="E193" s="796">
        <v>10</v>
      </c>
      <c r="F193" s="1775">
        <v>43262</v>
      </c>
      <c r="G193" s="1775">
        <f t="shared" si="24"/>
        <v>43272</v>
      </c>
      <c r="H193" s="805" t="s">
        <v>785</v>
      </c>
      <c r="I193" s="796" t="s">
        <v>170</v>
      </c>
      <c r="J193" s="792"/>
      <c r="K193" s="805" t="s">
        <v>778</v>
      </c>
      <c r="L193" s="1776">
        <v>23174</v>
      </c>
      <c r="M193" s="805"/>
      <c r="N193" s="805"/>
      <c r="O193" s="954">
        <v>5040</v>
      </c>
      <c r="P193" s="805">
        <v>1</v>
      </c>
      <c r="Q193" s="1778">
        <f t="shared" si="20"/>
        <v>5040</v>
      </c>
      <c r="R193" s="1777"/>
      <c r="S193" s="1778"/>
      <c r="T193" s="1778"/>
      <c r="U193" s="954">
        <v>5040</v>
      </c>
      <c r="V193" s="805"/>
      <c r="W193" s="805"/>
      <c r="X193" s="1781"/>
      <c r="Y193" s="1124"/>
      <c r="Z193" s="1124"/>
      <c r="AA193" s="1124"/>
      <c r="AB193" s="1124"/>
      <c r="AC193" s="1124"/>
      <c r="AD193" s="1124"/>
      <c r="AE193" s="1124"/>
      <c r="AF193" s="1124"/>
      <c r="AG193" s="547">
        <f t="shared" si="21"/>
        <v>5040</v>
      </c>
    </row>
    <row r="194" spans="1:33" ht="57.75" hidden="1" customHeight="1">
      <c r="A194" s="796">
        <v>1223</v>
      </c>
      <c r="B194" s="793" t="s">
        <v>786</v>
      </c>
      <c r="C194" s="857" t="s">
        <v>787</v>
      </c>
      <c r="D194" s="805"/>
      <c r="E194" s="796">
        <v>10</v>
      </c>
      <c r="F194" s="1775">
        <v>43262</v>
      </c>
      <c r="G194" s="1775">
        <f t="shared" si="24"/>
        <v>43272</v>
      </c>
      <c r="H194" s="805" t="s">
        <v>785</v>
      </c>
      <c r="I194" s="796" t="s">
        <v>170</v>
      </c>
      <c r="J194" s="792"/>
      <c r="K194" s="805" t="s">
        <v>779</v>
      </c>
      <c r="L194" s="1776">
        <v>23174</v>
      </c>
      <c r="M194" s="805"/>
      <c r="N194" s="805"/>
      <c r="O194" s="954">
        <v>173.33333333333334</v>
      </c>
      <c r="P194" s="805">
        <v>1</v>
      </c>
      <c r="Q194" s="1778">
        <f t="shared" si="20"/>
        <v>173.33333333333334</v>
      </c>
      <c r="R194" s="1777"/>
      <c r="S194" s="1778"/>
      <c r="T194" s="1778"/>
      <c r="U194" s="954">
        <v>173.33333333333334</v>
      </c>
      <c r="V194" s="805"/>
      <c r="W194" s="805"/>
      <c r="X194" s="1781"/>
      <c r="Y194" s="1124"/>
      <c r="Z194" s="1124"/>
      <c r="AA194" s="1124"/>
      <c r="AB194" s="1124"/>
      <c r="AC194" s="1124"/>
      <c r="AD194" s="1124"/>
      <c r="AE194" s="1124"/>
      <c r="AF194" s="1124"/>
      <c r="AG194" s="547">
        <f t="shared" si="21"/>
        <v>173.33333333333334</v>
      </c>
    </row>
    <row r="195" spans="1:33" ht="57.75" hidden="1" customHeight="1">
      <c r="A195" s="796">
        <v>1223</v>
      </c>
      <c r="B195" s="793" t="s">
        <v>786</v>
      </c>
      <c r="C195" s="857" t="s">
        <v>787</v>
      </c>
      <c r="D195" s="805"/>
      <c r="E195" s="796">
        <v>10</v>
      </c>
      <c r="F195" s="1775">
        <v>43262</v>
      </c>
      <c r="G195" s="1775">
        <f t="shared" si="24"/>
        <v>43272</v>
      </c>
      <c r="H195" s="805" t="s">
        <v>785</v>
      </c>
      <c r="I195" s="796" t="s">
        <v>170</v>
      </c>
      <c r="J195" s="792"/>
      <c r="K195" s="805" t="s">
        <v>780</v>
      </c>
      <c r="L195" s="1776">
        <v>23174</v>
      </c>
      <c r="M195" s="805"/>
      <c r="N195" s="805"/>
      <c r="O195" s="954">
        <v>816</v>
      </c>
      <c r="P195" s="805">
        <v>1</v>
      </c>
      <c r="Q195" s="1778">
        <f t="shared" si="20"/>
        <v>816</v>
      </c>
      <c r="R195" s="1777"/>
      <c r="S195" s="1778"/>
      <c r="T195" s="1778"/>
      <c r="U195" s="954">
        <v>816</v>
      </c>
      <c r="V195" s="805"/>
      <c r="W195" s="805"/>
      <c r="X195" s="1781"/>
      <c r="Y195" s="1124"/>
      <c r="Z195" s="1124"/>
      <c r="AA195" s="1124"/>
      <c r="AB195" s="1124"/>
      <c r="AC195" s="1124"/>
      <c r="AD195" s="1124"/>
      <c r="AE195" s="1124"/>
      <c r="AF195" s="1124"/>
      <c r="AG195" s="547">
        <f t="shared" si="21"/>
        <v>816</v>
      </c>
    </row>
    <row r="196" spans="1:33" ht="57.75" hidden="1" customHeight="1">
      <c r="A196" s="796">
        <v>1223</v>
      </c>
      <c r="B196" s="793" t="s">
        <v>786</v>
      </c>
      <c r="C196" s="857" t="s">
        <v>787</v>
      </c>
      <c r="D196" s="805"/>
      <c r="E196" s="796">
        <v>10</v>
      </c>
      <c r="F196" s="1775">
        <v>43262</v>
      </c>
      <c r="G196" s="1775">
        <f t="shared" si="24"/>
        <v>43272</v>
      </c>
      <c r="H196" s="805" t="s">
        <v>785</v>
      </c>
      <c r="I196" s="796" t="s">
        <v>170</v>
      </c>
      <c r="J196" s="792"/>
      <c r="K196" s="805" t="s">
        <v>781</v>
      </c>
      <c r="L196" s="1776">
        <v>23174</v>
      </c>
      <c r="M196" s="805"/>
      <c r="N196" s="805"/>
      <c r="O196" s="954">
        <v>1301.6666666666667</v>
      </c>
      <c r="P196" s="805">
        <v>1</v>
      </c>
      <c r="Q196" s="1778">
        <f t="shared" si="20"/>
        <v>1301.6666666666667</v>
      </c>
      <c r="R196" s="1777"/>
      <c r="S196" s="1778"/>
      <c r="T196" s="1778"/>
      <c r="U196" s="954">
        <v>1301.6666666666667</v>
      </c>
      <c r="V196" s="805"/>
      <c r="W196" s="805"/>
      <c r="X196" s="1781"/>
      <c r="Y196" s="1124"/>
      <c r="Z196" s="1124"/>
      <c r="AA196" s="1124"/>
      <c r="AB196" s="1124"/>
      <c r="AC196" s="1124"/>
      <c r="AD196" s="1124"/>
      <c r="AE196" s="1124"/>
      <c r="AF196" s="1124"/>
      <c r="AG196" s="547">
        <f t="shared" si="21"/>
        <v>1301.6666666666667</v>
      </c>
    </row>
    <row r="197" spans="1:33" ht="57.75" hidden="1" customHeight="1">
      <c r="A197" s="796">
        <v>1223</v>
      </c>
      <c r="B197" s="793" t="s">
        <v>786</v>
      </c>
      <c r="C197" s="857" t="s">
        <v>787</v>
      </c>
      <c r="D197" s="805"/>
      <c r="E197" s="796"/>
      <c r="F197" s="1775"/>
      <c r="G197" s="1775"/>
      <c r="H197" s="805" t="s">
        <v>785</v>
      </c>
      <c r="I197" s="796" t="s">
        <v>170</v>
      </c>
      <c r="J197" s="792"/>
      <c r="K197" s="1292" t="s">
        <v>782</v>
      </c>
      <c r="L197" s="1776">
        <v>23173</v>
      </c>
      <c r="M197" s="805"/>
      <c r="N197" s="805"/>
      <c r="O197" s="954">
        <v>74.332999999999998</v>
      </c>
      <c r="P197" s="805">
        <v>1</v>
      </c>
      <c r="Q197" s="1778">
        <f t="shared" si="20"/>
        <v>74.332999999999998</v>
      </c>
      <c r="R197" s="1777"/>
      <c r="S197" s="1778"/>
      <c r="T197" s="1778"/>
      <c r="U197" s="954">
        <v>74.332999999999998</v>
      </c>
      <c r="V197" s="805"/>
      <c r="W197" s="805"/>
      <c r="X197" s="1781"/>
      <c r="Y197" s="1124"/>
      <c r="Z197" s="1124"/>
      <c r="AA197" s="1124"/>
      <c r="AB197" s="1124"/>
      <c r="AC197" s="1124"/>
      <c r="AD197" s="1124"/>
      <c r="AE197" s="1124"/>
      <c r="AF197" s="1124"/>
      <c r="AG197" s="547">
        <f t="shared" si="21"/>
        <v>74.332999999999998</v>
      </c>
    </row>
    <row r="198" spans="1:33" ht="57.75" hidden="1" customHeight="1">
      <c r="A198" s="796">
        <v>1223</v>
      </c>
      <c r="B198" s="793" t="s">
        <v>786</v>
      </c>
      <c r="C198" s="857" t="s">
        <v>787</v>
      </c>
      <c r="D198" s="805"/>
      <c r="E198" s="796"/>
      <c r="F198" s="1775"/>
      <c r="G198" s="1775"/>
      <c r="H198" s="805" t="s">
        <v>785</v>
      </c>
      <c r="I198" s="796" t="s">
        <v>170</v>
      </c>
      <c r="J198" s="792"/>
      <c r="K198" s="805" t="s">
        <v>415</v>
      </c>
      <c r="L198" s="1776">
        <v>23173</v>
      </c>
      <c r="M198" s="805"/>
      <c r="N198" s="805"/>
      <c r="O198" s="954">
        <v>1666.6666666666667</v>
      </c>
      <c r="P198" s="805">
        <v>1</v>
      </c>
      <c r="Q198" s="1778">
        <f t="shared" si="20"/>
        <v>1666.6666666666667</v>
      </c>
      <c r="R198" s="1777"/>
      <c r="S198" s="1778"/>
      <c r="T198" s="1778"/>
      <c r="U198" s="954">
        <v>1666.6666666666667</v>
      </c>
      <c r="V198" s="805"/>
      <c r="W198" s="805"/>
      <c r="X198" s="1781"/>
      <c r="Y198" s="1124"/>
      <c r="Z198" s="1124"/>
      <c r="AA198" s="1124"/>
      <c r="AB198" s="1124"/>
      <c r="AC198" s="1124"/>
      <c r="AD198" s="1124"/>
      <c r="AE198" s="1124"/>
      <c r="AF198" s="1124"/>
      <c r="AG198" s="547">
        <f t="shared" si="21"/>
        <v>1666.6666666666667</v>
      </c>
    </row>
    <row r="199" spans="1:33" ht="57.75" customHeight="1">
      <c r="A199" s="2745">
        <v>1224</v>
      </c>
      <c r="B199" s="2748" t="s">
        <v>788</v>
      </c>
      <c r="C199" s="2748" t="s">
        <v>789</v>
      </c>
      <c r="D199" s="2780"/>
      <c r="E199" s="2745">
        <v>1</v>
      </c>
      <c r="F199" s="2781">
        <v>43279</v>
      </c>
      <c r="G199" s="2781">
        <f>F199+E199-1</f>
        <v>43279</v>
      </c>
      <c r="H199" s="2780" t="s">
        <v>790</v>
      </c>
      <c r="I199" s="2745" t="s">
        <v>170</v>
      </c>
      <c r="J199" s="2782"/>
      <c r="K199" s="1124"/>
      <c r="L199" s="2783"/>
      <c r="M199" s="1124"/>
      <c r="N199" s="1124"/>
      <c r="O199" s="1144"/>
      <c r="P199" s="1124"/>
      <c r="Q199" s="2714"/>
      <c r="R199" s="1199"/>
      <c r="S199" s="2714"/>
      <c r="T199" s="2714"/>
      <c r="U199" s="1144"/>
      <c r="V199" s="1124"/>
      <c r="W199" s="1124"/>
      <c r="X199" s="2784"/>
      <c r="Y199" s="1124"/>
      <c r="Z199" s="1124"/>
      <c r="AA199" s="1124"/>
      <c r="AB199" s="1124"/>
      <c r="AC199" s="1124"/>
      <c r="AD199" s="1124"/>
      <c r="AE199" s="1124"/>
      <c r="AF199" s="1124"/>
      <c r="AG199" s="2355"/>
    </row>
    <row r="200" spans="1:33" ht="57.75" hidden="1" customHeight="1">
      <c r="A200" s="796">
        <v>1224</v>
      </c>
      <c r="B200" s="793" t="s">
        <v>788</v>
      </c>
      <c r="C200" s="1074" t="s">
        <v>789</v>
      </c>
      <c r="D200" s="805"/>
      <c r="E200" s="796">
        <v>1</v>
      </c>
      <c r="F200" s="1775">
        <v>43279</v>
      </c>
      <c r="G200" s="1775">
        <f>F200+E200-1</f>
        <v>43279</v>
      </c>
      <c r="H200" s="805" t="s">
        <v>790</v>
      </c>
      <c r="I200" s="796" t="s">
        <v>170</v>
      </c>
      <c r="J200" s="792"/>
      <c r="K200" s="805" t="s">
        <v>670</v>
      </c>
      <c r="L200" s="1776">
        <v>23173</v>
      </c>
      <c r="M200" s="805"/>
      <c r="N200" s="805"/>
      <c r="O200" s="954">
        <v>666.66666666666663</v>
      </c>
      <c r="P200" s="805">
        <v>1</v>
      </c>
      <c r="Q200" s="1778">
        <f>O200*P200</f>
        <v>666.66666666666663</v>
      </c>
      <c r="R200" s="1777"/>
      <c r="S200" s="1778"/>
      <c r="T200" s="1779"/>
      <c r="U200" s="954">
        <v>666.66666666666663</v>
      </c>
      <c r="V200" s="805"/>
      <c r="W200" s="805"/>
      <c r="X200" s="1781"/>
      <c r="Y200" s="1124"/>
      <c r="Z200" s="1124"/>
      <c r="AA200" s="1124"/>
      <c r="AB200" s="1124"/>
      <c r="AC200" s="1124"/>
      <c r="AD200" s="1124"/>
      <c r="AE200" s="1124"/>
      <c r="AF200" s="1124"/>
      <c r="AG200" s="547">
        <f t="shared" si="21"/>
        <v>666.66666666666663</v>
      </c>
    </row>
    <row r="201" spans="1:33" ht="57.75" hidden="1" customHeight="1">
      <c r="A201" s="796">
        <v>1224</v>
      </c>
      <c r="B201" s="793" t="s">
        <v>788</v>
      </c>
      <c r="C201" s="1074" t="s">
        <v>789</v>
      </c>
      <c r="D201" s="805"/>
      <c r="E201" s="796">
        <v>1</v>
      </c>
      <c r="F201" s="1775">
        <v>43279</v>
      </c>
      <c r="G201" s="1775">
        <f>F201+E201-1</f>
        <v>43279</v>
      </c>
      <c r="H201" s="805" t="s">
        <v>790</v>
      </c>
      <c r="I201" s="796" t="s">
        <v>170</v>
      </c>
      <c r="J201" s="792"/>
      <c r="K201" s="805" t="s">
        <v>415</v>
      </c>
      <c r="L201" s="1776">
        <v>23173</v>
      </c>
      <c r="M201" s="805"/>
      <c r="N201" s="805"/>
      <c r="O201" s="954">
        <v>333.33333333333331</v>
      </c>
      <c r="P201" s="805">
        <v>1</v>
      </c>
      <c r="Q201" s="1778">
        <f>O201*P201</f>
        <v>333.33333333333331</v>
      </c>
      <c r="R201" s="1777"/>
      <c r="S201" s="1778"/>
      <c r="T201" s="1778"/>
      <c r="U201" s="954">
        <v>333.33333333333331</v>
      </c>
      <c r="V201" s="805"/>
      <c r="W201" s="805"/>
      <c r="X201" s="1781"/>
      <c r="Y201" s="1124"/>
      <c r="Z201" s="1124"/>
      <c r="AA201" s="1124"/>
      <c r="AB201" s="1124"/>
      <c r="AC201" s="1124"/>
      <c r="AD201" s="1124"/>
      <c r="AE201" s="1124"/>
      <c r="AF201" s="1124"/>
      <c r="AG201" s="547">
        <f t="shared" si="21"/>
        <v>333.33333333333331</v>
      </c>
    </row>
    <row r="202" spans="1:33" ht="57.75" hidden="1" customHeight="1">
      <c r="A202" s="796">
        <v>1224</v>
      </c>
      <c r="B202" s="793" t="s">
        <v>788</v>
      </c>
      <c r="C202" s="1074" t="s">
        <v>789</v>
      </c>
      <c r="D202" s="805"/>
      <c r="E202" s="796">
        <v>1</v>
      </c>
      <c r="F202" s="1775">
        <v>43279</v>
      </c>
      <c r="G202" s="1775">
        <f>F202+E202-1</f>
        <v>43279</v>
      </c>
      <c r="H202" s="805" t="s">
        <v>790</v>
      </c>
      <c r="I202" s="796" t="s">
        <v>170</v>
      </c>
      <c r="J202" s="792"/>
      <c r="K202" s="805" t="s">
        <v>638</v>
      </c>
      <c r="L202" s="1776">
        <v>23173</v>
      </c>
      <c r="M202" s="805"/>
      <c r="N202" s="805"/>
      <c r="O202" s="954">
        <v>216</v>
      </c>
      <c r="P202" s="805">
        <v>1</v>
      </c>
      <c r="Q202" s="1778">
        <f>O202*P202</f>
        <v>216</v>
      </c>
      <c r="R202" s="1777"/>
      <c r="S202" s="1778"/>
      <c r="T202" s="1778"/>
      <c r="U202" s="954">
        <v>216</v>
      </c>
      <c r="V202" s="805"/>
      <c r="W202" s="805"/>
      <c r="X202" s="1781"/>
      <c r="Y202" s="1124"/>
      <c r="Z202" s="1124"/>
      <c r="AA202" s="1124"/>
      <c r="AB202" s="1124"/>
      <c r="AC202" s="1124"/>
      <c r="AD202" s="1124"/>
      <c r="AE202" s="1124"/>
      <c r="AF202" s="1124"/>
      <c r="AG202" s="547">
        <f t="shared" si="21"/>
        <v>216</v>
      </c>
    </row>
    <row r="203" spans="1:33" ht="57.75" customHeight="1">
      <c r="A203" s="2745">
        <v>1225</v>
      </c>
      <c r="B203" s="2748" t="s">
        <v>791</v>
      </c>
      <c r="C203" s="2748" t="s">
        <v>792</v>
      </c>
      <c r="D203" s="2780"/>
      <c r="E203" s="2745"/>
      <c r="F203" s="2781">
        <v>43283</v>
      </c>
      <c r="G203" s="2745"/>
      <c r="H203" s="2780" t="s">
        <v>793</v>
      </c>
      <c r="I203" s="2745" t="s">
        <v>170</v>
      </c>
      <c r="J203" s="792"/>
      <c r="K203" s="805" t="s">
        <v>794</v>
      </c>
      <c r="L203" s="1776">
        <v>23173</v>
      </c>
      <c r="M203" s="805"/>
      <c r="N203" s="805"/>
      <c r="O203" s="954">
        <v>12705</v>
      </c>
      <c r="P203" s="805">
        <v>1</v>
      </c>
      <c r="Q203" s="1778">
        <f>O203*P203</f>
        <v>12705</v>
      </c>
      <c r="R203" s="1777"/>
      <c r="S203" s="1778"/>
      <c r="T203" s="1778"/>
      <c r="U203" s="1778"/>
      <c r="V203" s="1778">
        <v>12705</v>
      </c>
      <c r="W203" s="1778"/>
      <c r="X203" s="1783"/>
      <c r="Y203" s="1743"/>
      <c r="Z203" s="1743"/>
      <c r="AA203" s="1743"/>
      <c r="AB203" s="1743"/>
      <c r="AC203" s="1743"/>
      <c r="AD203" s="1743"/>
      <c r="AE203" s="1743"/>
      <c r="AF203" s="1743"/>
      <c r="AG203" s="547">
        <f t="shared" si="21"/>
        <v>12705</v>
      </c>
    </row>
    <row r="204" spans="1:33" ht="57.75" customHeight="1">
      <c r="A204" s="2745">
        <v>1226</v>
      </c>
      <c r="B204" s="2748" t="s">
        <v>795</v>
      </c>
      <c r="C204" s="2748" t="s">
        <v>796</v>
      </c>
      <c r="D204" s="2780"/>
      <c r="E204" s="2745">
        <v>5</v>
      </c>
      <c r="F204" s="2781">
        <v>43297</v>
      </c>
      <c r="G204" s="2781">
        <f>F204+E204</f>
        <v>43302</v>
      </c>
      <c r="H204" s="2780" t="s">
        <v>785</v>
      </c>
      <c r="I204" s="2745" t="s">
        <v>170</v>
      </c>
      <c r="J204" s="2782"/>
      <c r="K204" s="1124"/>
      <c r="L204" s="2783"/>
      <c r="M204" s="1124"/>
      <c r="N204" s="1124"/>
      <c r="O204" s="1144"/>
      <c r="P204" s="1124"/>
      <c r="Q204" s="2714"/>
      <c r="R204" s="1199"/>
      <c r="S204" s="2714"/>
      <c r="T204" s="2714"/>
      <c r="U204" s="2714"/>
      <c r="V204" s="2714"/>
      <c r="W204" s="2714"/>
      <c r="X204" s="2714"/>
      <c r="Y204" s="1743"/>
      <c r="Z204" s="1743"/>
      <c r="AA204" s="1743"/>
      <c r="AB204" s="1743"/>
      <c r="AC204" s="1743"/>
      <c r="AD204" s="1743"/>
      <c r="AE204" s="1743"/>
      <c r="AF204" s="1743"/>
      <c r="AG204" s="2355"/>
    </row>
    <row r="205" spans="1:33" ht="57.75" hidden="1" customHeight="1">
      <c r="A205" s="796">
        <v>1226</v>
      </c>
      <c r="B205" s="793" t="s">
        <v>795</v>
      </c>
      <c r="C205" s="1074" t="s">
        <v>796</v>
      </c>
      <c r="D205" s="805"/>
      <c r="E205" s="796">
        <v>5</v>
      </c>
      <c r="F205" s="1775">
        <v>43297</v>
      </c>
      <c r="G205" s="1775">
        <f>F205+E205</f>
        <v>43302</v>
      </c>
      <c r="H205" s="805" t="s">
        <v>785</v>
      </c>
      <c r="I205" s="796" t="s">
        <v>170</v>
      </c>
      <c r="J205" s="792"/>
      <c r="K205" s="805" t="s">
        <v>797</v>
      </c>
      <c r="L205" s="1776">
        <v>23174</v>
      </c>
      <c r="M205" s="805"/>
      <c r="N205" s="805"/>
      <c r="O205" s="954">
        <v>1680</v>
      </c>
      <c r="P205" s="805">
        <v>1</v>
      </c>
      <c r="Q205" s="1778">
        <f t="shared" ref="Q205:Q213" si="25">O205*P205</f>
        <v>1680</v>
      </c>
      <c r="R205" s="1777"/>
      <c r="S205" s="1778"/>
      <c r="T205" s="1778"/>
      <c r="U205" s="1779"/>
      <c r="V205" s="954">
        <v>1680</v>
      </c>
      <c r="W205" s="805"/>
      <c r="X205" s="1781"/>
      <c r="Y205" s="1124"/>
      <c r="Z205" s="1124"/>
      <c r="AA205" s="1124"/>
      <c r="AB205" s="1124"/>
      <c r="AC205" s="1124"/>
      <c r="AD205" s="1124"/>
      <c r="AE205" s="1124"/>
      <c r="AF205" s="1124"/>
      <c r="AG205" s="547">
        <f t="shared" si="21"/>
        <v>1680</v>
      </c>
    </row>
    <row r="206" spans="1:33" ht="57.75" hidden="1" customHeight="1">
      <c r="A206" s="796">
        <v>1226</v>
      </c>
      <c r="B206" s="793" t="s">
        <v>795</v>
      </c>
      <c r="C206" s="1074" t="s">
        <v>796</v>
      </c>
      <c r="D206" s="805"/>
      <c r="E206" s="796">
        <v>5</v>
      </c>
      <c r="F206" s="1775">
        <v>43297</v>
      </c>
      <c r="G206" s="1775">
        <f t="shared" ref="G206:G211" si="26">F206+E206</f>
        <v>43302</v>
      </c>
      <c r="H206" s="805" t="s">
        <v>785</v>
      </c>
      <c r="I206" s="796" t="s">
        <v>170</v>
      </c>
      <c r="J206" s="792"/>
      <c r="K206" s="805" t="s">
        <v>798</v>
      </c>
      <c r="L206" s="1776">
        <v>23174</v>
      </c>
      <c r="M206" s="805"/>
      <c r="N206" s="805"/>
      <c r="O206" s="954">
        <v>900</v>
      </c>
      <c r="P206" s="805">
        <v>1</v>
      </c>
      <c r="Q206" s="1778">
        <f t="shared" si="25"/>
        <v>900</v>
      </c>
      <c r="R206" s="1777"/>
      <c r="S206" s="1778"/>
      <c r="T206" s="1778"/>
      <c r="U206" s="1779"/>
      <c r="V206" s="954">
        <v>900</v>
      </c>
      <c r="W206" s="805"/>
      <c r="X206" s="1781"/>
      <c r="Y206" s="1124"/>
      <c r="Z206" s="1124"/>
      <c r="AA206" s="1124"/>
      <c r="AB206" s="1124"/>
      <c r="AC206" s="1124"/>
      <c r="AD206" s="1124"/>
      <c r="AE206" s="1124"/>
      <c r="AF206" s="1124"/>
      <c r="AG206" s="547">
        <f t="shared" si="21"/>
        <v>900</v>
      </c>
    </row>
    <row r="207" spans="1:33" ht="57.75" hidden="1" customHeight="1">
      <c r="A207" s="796">
        <v>1226</v>
      </c>
      <c r="B207" s="793" t="s">
        <v>795</v>
      </c>
      <c r="C207" s="1074" t="s">
        <v>796</v>
      </c>
      <c r="D207" s="805"/>
      <c r="E207" s="796">
        <v>5</v>
      </c>
      <c r="F207" s="1775">
        <v>43297</v>
      </c>
      <c r="G207" s="1775">
        <f t="shared" si="26"/>
        <v>43302</v>
      </c>
      <c r="H207" s="805" t="s">
        <v>785</v>
      </c>
      <c r="I207" s="796" t="s">
        <v>170</v>
      </c>
      <c r="J207" s="792"/>
      <c r="K207" s="805" t="s">
        <v>799</v>
      </c>
      <c r="L207" s="1776">
        <v>23174</v>
      </c>
      <c r="M207" s="805"/>
      <c r="N207" s="805"/>
      <c r="O207" s="954">
        <v>120</v>
      </c>
      <c r="P207" s="805">
        <v>1</v>
      </c>
      <c r="Q207" s="1778">
        <f t="shared" si="25"/>
        <v>120</v>
      </c>
      <c r="R207" s="1777"/>
      <c r="S207" s="1778"/>
      <c r="T207" s="1778"/>
      <c r="U207" s="1779"/>
      <c r="V207" s="954">
        <v>120</v>
      </c>
      <c r="W207" s="805"/>
      <c r="X207" s="1781"/>
      <c r="Y207" s="1124"/>
      <c r="Z207" s="1124"/>
      <c r="AA207" s="1124"/>
      <c r="AB207" s="1124"/>
      <c r="AC207" s="1124"/>
      <c r="AD207" s="1124"/>
      <c r="AE207" s="1124"/>
      <c r="AF207" s="1124"/>
      <c r="AG207" s="547">
        <f t="shared" si="21"/>
        <v>120</v>
      </c>
    </row>
    <row r="208" spans="1:33" ht="57.75" hidden="1" customHeight="1">
      <c r="A208" s="796">
        <v>1226</v>
      </c>
      <c r="B208" s="793" t="s">
        <v>795</v>
      </c>
      <c r="C208" s="1074" t="s">
        <v>796</v>
      </c>
      <c r="D208" s="805"/>
      <c r="E208" s="796">
        <v>5</v>
      </c>
      <c r="F208" s="1775">
        <v>43297</v>
      </c>
      <c r="G208" s="1775">
        <f t="shared" si="26"/>
        <v>43302</v>
      </c>
      <c r="H208" s="805" t="s">
        <v>785</v>
      </c>
      <c r="I208" s="796" t="s">
        <v>170</v>
      </c>
      <c r="J208" s="792"/>
      <c r="K208" s="805" t="s">
        <v>800</v>
      </c>
      <c r="L208" s="1776">
        <v>23174</v>
      </c>
      <c r="M208" s="805"/>
      <c r="N208" s="805"/>
      <c r="O208" s="954">
        <v>773.33333333333337</v>
      </c>
      <c r="P208" s="805">
        <v>1</v>
      </c>
      <c r="Q208" s="1778">
        <f t="shared" si="25"/>
        <v>773.33333333333337</v>
      </c>
      <c r="R208" s="1777"/>
      <c r="S208" s="1778"/>
      <c r="T208" s="1778"/>
      <c r="U208" s="1779"/>
      <c r="V208" s="954">
        <v>773.33333333333337</v>
      </c>
      <c r="W208" s="805"/>
      <c r="X208" s="1781"/>
      <c r="Y208" s="1124"/>
      <c r="Z208" s="1124"/>
      <c r="AA208" s="1124"/>
      <c r="AB208" s="1124"/>
      <c r="AC208" s="1124"/>
      <c r="AD208" s="1124"/>
      <c r="AE208" s="1124"/>
      <c r="AF208" s="1124"/>
      <c r="AG208" s="547">
        <f t="shared" si="21"/>
        <v>773.33333333333337</v>
      </c>
    </row>
    <row r="209" spans="1:33" ht="57.75" hidden="1" customHeight="1">
      <c r="A209" s="796">
        <v>1226</v>
      </c>
      <c r="B209" s="793" t="s">
        <v>795</v>
      </c>
      <c r="C209" s="1074" t="s">
        <v>796</v>
      </c>
      <c r="D209" s="805"/>
      <c r="E209" s="796">
        <v>5</v>
      </c>
      <c r="F209" s="1775">
        <v>43297</v>
      </c>
      <c r="G209" s="1775">
        <f t="shared" si="26"/>
        <v>43302</v>
      </c>
      <c r="H209" s="805" t="s">
        <v>785</v>
      </c>
      <c r="I209" s="796" t="s">
        <v>170</v>
      </c>
      <c r="J209" s="792"/>
      <c r="K209" s="805" t="s">
        <v>801</v>
      </c>
      <c r="L209" s="1776">
        <v>23174</v>
      </c>
      <c r="M209" s="805"/>
      <c r="N209" s="805"/>
      <c r="O209" s="954">
        <v>106.66666666666667</v>
      </c>
      <c r="P209" s="805">
        <v>1</v>
      </c>
      <c r="Q209" s="1778">
        <f t="shared" si="25"/>
        <v>106.66666666666667</v>
      </c>
      <c r="R209" s="1777"/>
      <c r="S209" s="1778"/>
      <c r="T209" s="1778"/>
      <c r="U209" s="1779"/>
      <c r="V209" s="954">
        <v>106.66666666666667</v>
      </c>
      <c r="W209" s="805"/>
      <c r="X209" s="1781"/>
      <c r="Y209" s="1124"/>
      <c r="Z209" s="1124"/>
      <c r="AA209" s="1124"/>
      <c r="AB209" s="1124"/>
      <c r="AC209" s="1124"/>
      <c r="AD209" s="1124"/>
      <c r="AE209" s="1124"/>
      <c r="AF209" s="1124"/>
      <c r="AG209" s="547">
        <f t="shared" si="21"/>
        <v>106.66666666666667</v>
      </c>
    </row>
    <row r="210" spans="1:33" ht="57.75" hidden="1" customHeight="1">
      <c r="A210" s="796">
        <v>1226</v>
      </c>
      <c r="B210" s="793" t="s">
        <v>795</v>
      </c>
      <c r="C210" s="1074" t="s">
        <v>796</v>
      </c>
      <c r="D210" s="805"/>
      <c r="E210" s="796">
        <v>5</v>
      </c>
      <c r="F210" s="1775">
        <v>43297</v>
      </c>
      <c r="G210" s="1775">
        <f t="shared" si="26"/>
        <v>43302</v>
      </c>
      <c r="H210" s="805" t="s">
        <v>785</v>
      </c>
      <c r="I210" s="796" t="s">
        <v>170</v>
      </c>
      <c r="J210" s="792"/>
      <c r="K210" s="805" t="s">
        <v>802</v>
      </c>
      <c r="L210" s="1776">
        <v>23174</v>
      </c>
      <c r="M210" s="805"/>
      <c r="N210" s="805"/>
      <c r="O210" s="954">
        <v>816</v>
      </c>
      <c r="P210" s="805">
        <v>1</v>
      </c>
      <c r="Q210" s="1778">
        <f t="shared" si="25"/>
        <v>816</v>
      </c>
      <c r="R210" s="1777"/>
      <c r="S210" s="1778"/>
      <c r="T210" s="1778"/>
      <c r="U210" s="1779"/>
      <c r="V210" s="954">
        <v>816</v>
      </c>
      <c r="W210" s="805"/>
      <c r="X210" s="1781"/>
      <c r="Y210" s="1124"/>
      <c r="Z210" s="1124"/>
      <c r="AA210" s="1124"/>
      <c r="AB210" s="1124"/>
      <c r="AC210" s="1124"/>
      <c r="AD210" s="1124"/>
      <c r="AE210" s="1124"/>
      <c r="AF210" s="1124"/>
      <c r="AG210" s="547">
        <f t="shared" si="21"/>
        <v>816</v>
      </c>
    </row>
    <row r="211" spans="1:33" ht="57.75" hidden="1" customHeight="1">
      <c r="A211" s="796">
        <v>1226</v>
      </c>
      <c r="B211" s="793" t="s">
        <v>795</v>
      </c>
      <c r="C211" s="1074" t="s">
        <v>796</v>
      </c>
      <c r="D211" s="805"/>
      <c r="E211" s="796">
        <v>5</v>
      </c>
      <c r="F211" s="1775">
        <v>43297</v>
      </c>
      <c r="G211" s="1775">
        <f t="shared" si="26"/>
        <v>43302</v>
      </c>
      <c r="H211" s="805" t="s">
        <v>785</v>
      </c>
      <c r="I211" s="796" t="s">
        <v>170</v>
      </c>
      <c r="J211" s="792"/>
      <c r="K211" s="805" t="s">
        <v>803</v>
      </c>
      <c r="L211" s="1776">
        <v>23174</v>
      </c>
      <c r="M211" s="805"/>
      <c r="N211" s="805"/>
      <c r="O211" s="954">
        <v>480</v>
      </c>
      <c r="P211" s="805">
        <v>1</v>
      </c>
      <c r="Q211" s="1778">
        <f t="shared" si="25"/>
        <v>480</v>
      </c>
      <c r="R211" s="1777"/>
      <c r="S211" s="1778"/>
      <c r="T211" s="1778"/>
      <c r="U211" s="1779"/>
      <c r="V211" s="954">
        <v>480</v>
      </c>
      <c r="W211" s="805"/>
      <c r="X211" s="1781"/>
      <c r="Y211" s="1124"/>
      <c r="Z211" s="1124"/>
      <c r="AA211" s="1124"/>
      <c r="AB211" s="1124"/>
      <c r="AC211" s="1124"/>
      <c r="AD211" s="1124"/>
      <c r="AE211" s="1124"/>
      <c r="AF211" s="1124"/>
      <c r="AG211" s="547">
        <f t="shared" si="21"/>
        <v>480</v>
      </c>
    </row>
    <row r="212" spans="1:33" ht="57.75" hidden="1" customHeight="1">
      <c r="A212" s="796">
        <v>1226</v>
      </c>
      <c r="B212" s="793" t="s">
        <v>795</v>
      </c>
      <c r="C212" s="1074" t="s">
        <v>796</v>
      </c>
      <c r="D212" s="805"/>
      <c r="E212" s="796"/>
      <c r="F212" s="1775"/>
      <c r="G212" s="1775"/>
      <c r="H212" s="805" t="s">
        <v>785</v>
      </c>
      <c r="I212" s="796" t="s">
        <v>170</v>
      </c>
      <c r="J212" s="792"/>
      <c r="K212" s="805" t="s">
        <v>415</v>
      </c>
      <c r="L212" s="1776">
        <v>23173</v>
      </c>
      <c r="M212" s="805"/>
      <c r="N212" s="805"/>
      <c r="O212" s="954">
        <v>833.33333333333337</v>
      </c>
      <c r="P212" s="805">
        <v>1</v>
      </c>
      <c r="Q212" s="1778">
        <f t="shared" si="25"/>
        <v>833.33333333333337</v>
      </c>
      <c r="R212" s="1777"/>
      <c r="S212" s="1778"/>
      <c r="T212" s="1778"/>
      <c r="U212" s="1779"/>
      <c r="V212" s="954">
        <v>833.33333333333337</v>
      </c>
      <c r="W212" s="805"/>
      <c r="X212" s="1781"/>
      <c r="Y212" s="1124"/>
      <c r="Z212" s="1124"/>
      <c r="AA212" s="1124"/>
      <c r="AB212" s="1124"/>
      <c r="AC212" s="1124"/>
      <c r="AD212" s="1124"/>
      <c r="AE212" s="1124"/>
      <c r="AF212" s="1124"/>
      <c r="AG212" s="547">
        <f t="shared" si="21"/>
        <v>833.33333333333337</v>
      </c>
    </row>
    <row r="213" spans="1:33" ht="57.75" hidden="1" customHeight="1">
      <c r="A213" s="796">
        <v>1226</v>
      </c>
      <c r="B213" s="793" t="s">
        <v>795</v>
      </c>
      <c r="C213" s="1074" t="s">
        <v>796</v>
      </c>
      <c r="D213" s="805"/>
      <c r="E213" s="796"/>
      <c r="F213" s="1775"/>
      <c r="G213" s="1775"/>
      <c r="H213" s="805" t="s">
        <v>785</v>
      </c>
      <c r="I213" s="796" t="s">
        <v>170</v>
      </c>
      <c r="J213" s="792"/>
      <c r="K213" s="805" t="s">
        <v>804</v>
      </c>
      <c r="L213" s="1776">
        <v>23173</v>
      </c>
      <c r="M213" s="805"/>
      <c r="N213" s="805"/>
      <c r="O213" s="954">
        <v>35.833333333333336</v>
      </c>
      <c r="P213" s="805">
        <v>1</v>
      </c>
      <c r="Q213" s="1778">
        <f t="shared" si="25"/>
        <v>35.833333333333336</v>
      </c>
      <c r="R213" s="1777"/>
      <c r="S213" s="1778"/>
      <c r="T213" s="1778"/>
      <c r="U213" s="1779"/>
      <c r="V213" s="954">
        <v>35.833333333333336</v>
      </c>
      <c r="W213" s="805"/>
      <c r="X213" s="1781"/>
      <c r="Y213" s="1124"/>
      <c r="Z213" s="1124"/>
      <c r="AA213" s="1124"/>
      <c r="AB213" s="1124"/>
      <c r="AC213" s="1124"/>
      <c r="AD213" s="1124"/>
      <c r="AE213" s="1124"/>
      <c r="AF213" s="1124"/>
      <c r="AG213" s="547">
        <f t="shared" si="21"/>
        <v>35.833333333333336</v>
      </c>
    </row>
    <row r="214" spans="1:33" ht="57.75" customHeight="1">
      <c r="A214" s="2745">
        <v>1227</v>
      </c>
      <c r="B214" s="2748" t="s">
        <v>805</v>
      </c>
      <c r="C214" s="2748" t="s">
        <v>806</v>
      </c>
      <c r="D214" s="2780"/>
      <c r="E214" s="2745"/>
      <c r="F214" s="2781">
        <v>43304</v>
      </c>
      <c r="G214" s="2745"/>
      <c r="H214" s="2780" t="s">
        <v>793</v>
      </c>
      <c r="I214" s="2745" t="s">
        <v>170</v>
      </c>
      <c r="J214" s="792"/>
      <c r="K214" s="805" t="s">
        <v>807</v>
      </c>
      <c r="L214" s="1776">
        <v>23173</v>
      </c>
      <c r="M214" s="805"/>
      <c r="N214" s="805"/>
      <c r="O214" s="954">
        <v>1089</v>
      </c>
      <c r="P214" s="805">
        <v>1</v>
      </c>
      <c r="Q214" s="1779">
        <f>P214*O214</f>
        <v>1089</v>
      </c>
      <c r="R214" s="1777"/>
      <c r="S214" s="1784"/>
      <c r="T214" s="1784"/>
      <c r="U214" s="1784"/>
      <c r="V214" s="1779">
        <v>1089</v>
      </c>
      <c r="W214" s="1784"/>
      <c r="X214" s="1785"/>
      <c r="Y214" s="1786"/>
      <c r="Z214" s="1786"/>
      <c r="AA214" s="1786"/>
      <c r="AB214" s="1786"/>
      <c r="AC214" s="1786"/>
      <c r="AD214" s="1786"/>
      <c r="AE214" s="1786"/>
      <c r="AF214" s="1786"/>
      <c r="AG214" s="547">
        <f t="shared" si="21"/>
        <v>1089</v>
      </c>
    </row>
    <row r="215" spans="1:33" ht="57.75" customHeight="1">
      <c r="A215" s="2745">
        <v>1228</v>
      </c>
      <c r="B215" s="2748" t="s">
        <v>808</v>
      </c>
      <c r="C215" s="2748" t="s">
        <v>809</v>
      </c>
      <c r="D215" s="2780"/>
      <c r="E215" s="2745">
        <v>10</v>
      </c>
      <c r="F215" s="2781">
        <v>43318</v>
      </c>
      <c r="G215" s="2781">
        <f>F215+E215</f>
        <v>43328</v>
      </c>
      <c r="H215" s="2780" t="s">
        <v>810</v>
      </c>
      <c r="I215" s="2745" t="s">
        <v>170</v>
      </c>
      <c r="J215" s="2782"/>
      <c r="K215" s="1124"/>
      <c r="L215" s="2783"/>
      <c r="M215" s="1124"/>
      <c r="N215" s="1124"/>
      <c r="O215" s="1144"/>
      <c r="P215" s="1124"/>
      <c r="Q215" s="1743"/>
      <c r="R215" s="1199"/>
      <c r="S215" s="2785"/>
      <c r="T215" s="2785"/>
      <c r="U215" s="1786"/>
      <c r="V215" s="1743"/>
      <c r="W215" s="1786"/>
      <c r="X215" s="2785"/>
      <c r="Y215" s="1786"/>
      <c r="Z215" s="1786"/>
      <c r="AA215" s="1786"/>
      <c r="AB215" s="1786"/>
      <c r="AC215" s="1786"/>
      <c r="AD215" s="1786"/>
      <c r="AE215" s="1786"/>
      <c r="AF215" s="1786"/>
      <c r="AG215" s="2355"/>
    </row>
    <row r="216" spans="1:33" ht="57.75" hidden="1" customHeight="1">
      <c r="A216" s="796">
        <v>1228</v>
      </c>
      <c r="B216" s="793" t="s">
        <v>808</v>
      </c>
      <c r="C216" s="1074" t="s">
        <v>809</v>
      </c>
      <c r="D216" s="805"/>
      <c r="E216" s="796">
        <v>10</v>
      </c>
      <c r="F216" s="1775">
        <v>43318</v>
      </c>
      <c r="G216" s="1775">
        <f>F216+E216</f>
        <v>43328</v>
      </c>
      <c r="H216" s="805" t="s">
        <v>810</v>
      </c>
      <c r="I216" s="796" t="s">
        <v>170</v>
      </c>
      <c r="J216" s="792"/>
      <c r="K216" s="805" t="s">
        <v>811</v>
      </c>
      <c r="L216" s="1776">
        <v>23174</v>
      </c>
      <c r="M216" s="805"/>
      <c r="N216" s="805"/>
      <c r="O216" s="954">
        <v>36000</v>
      </c>
      <c r="P216" s="805">
        <v>1</v>
      </c>
      <c r="Q216" s="1779">
        <f t="shared" ref="Q216:Q233" si="27">O216*P216</f>
        <v>36000</v>
      </c>
      <c r="R216" s="1777"/>
      <c r="S216" s="1778"/>
      <c r="T216" s="1778"/>
      <c r="U216" s="1779"/>
      <c r="V216" s="954">
        <v>36000</v>
      </c>
      <c r="W216" s="805"/>
      <c r="X216" s="1781"/>
      <c r="Y216" s="1124"/>
      <c r="Z216" s="1124"/>
      <c r="AA216" s="1124"/>
      <c r="AB216" s="1124"/>
      <c r="AC216" s="1124"/>
      <c r="AD216" s="1124"/>
      <c r="AE216" s="1124"/>
      <c r="AF216" s="1124"/>
      <c r="AG216" s="547">
        <f t="shared" si="21"/>
        <v>36000</v>
      </c>
    </row>
    <row r="217" spans="1:33" ht="57.75" hidden="1" customHeight="1">
      <c r="A217" s="796">
        <v>1228</v>
      </c>
      <c r="B217" s="793" t="s">
        <v>808</v>
      </c>
      <c r="C217" s="1074" t="s">
        <v>809</v>
      </c>
      <c r="D217" s="805"/>
      <c r="E217" s="796">
        <v>10</v>
      </c>
      <c r="F217" s="1775">
        <v>43318</v>
      </c>
      <c r="G217" s="1775">
        <f t="shared" ref="G217:G222" si="28">F217+E217</f>
        <v>43328</v>
      </c>
      <c r="H217" s="805" t="s">
        <v>810</v>
      </c>
      <c r="I217" s="796" t="s">
        <v>170</v>
      </c>
      <c r="J217" s="792"/>
      <c r="K217" s="805" t="s">
        <v>812</v>
      </c>
      <c r="L217" s="1776">
        <v>23174</v>
      </c>
      <c r="N217" s="805"/>
      <c r="O217" s="954">
        <v>7920</v>
      </c>
      <c r="P217" s="805">
        <v>1</v>
      </c>
      <c r="Q217" s="1779">
        <f t="shared" si="27"/>
        <v>7920</v>
      </c>
      <c r="R217" s="1777"/>
      <c r="S217" s="1778"/>
      <c r="T217" s="1778"/>
      <c r="U217" s="1779"/>
      <c r="V217" s="954">
        <v>7920</v>
      </c>
      <c r="W217" s="805"/>
      <c r="X217" s="1781"/>
      <c r="Y217" s="1124"/>
      <c r="Z217" s="1124"/>
      <c r="AA217" s="1124"/>
      <c r="AB217" s="1124"/>
      <c r="AC217" s="1124"/>
      <c r="AD217" s="1124"/>
      <c r="AE217" s="1124"/>
      <c r="AF217" s="1124"/>
      <c r="AG217" s="547">
        <f t="shared" si="21"/>
        <v>7920</v>
      </c>
    </row>
    <row r="218" spans="1:33" ht="57.75" hidden="1" customHeight="1">
      <c r="A218" s="796">
        <v>1228</v>
      </c>
      <c r="B218" s="793" t="s">
        <v>808</v>
      </c>
      <c r="C218" s="1074" t="s">
        <v>809</v>
      </c>
      <c r="D218" s="805"/>
      <c r="E218" s="796">
        <v>10</v>
      </c>
      <c r="F218" s="1775">
        <v>43318</v>
      </c>
      <c r="G218" s="1775">
        <f t="shared" si="28"/>
        <v>43328</v>
      </c>
      <c r="H218" s="805" t="s">
        <v>810</v>
      </c>
      <c r="I218" s="796" t="s">
        <v>170</v>
      </c>
      <c r="J218" s="792"/>
      <c r="K218" s="805" t="s">
        <v>813</v>
      </c>
      <c r="L218" s="1776">
        <v>23174</v>
      </c>
      <c r="M218" s="805"/>
      <c r="N218" s="805"/>
      <c r="O218" s="954">
        <v>600</v>
      </c>
      <c r="P218" s="805">
        <v>1</v>
      </c>
      <c r="Q218" s="1779">
        <f t="shared" si="27"/>
        <v>600</v>
      </c>
      <c r="R218" s="1777"/>
      <c r="S218" s="1778"/>
      <c r="T218" s="1778"/>
      <c r="U218" s="1779"/>
      <c r="V218" s="954">
        <v>600</v>
      </c>
      <c r="W218" s="805"/>
      <c r="X218" s="1781"/>
      <c r="Y218" s="1124"/>
      <c r="Z218" s="1124"/>
      <c r="AA218" s="1124"/>
      <c r="AB218" s="1124"/>
      <c r="AC218" s="1124"/>
      <c r="AD218" s="1124"/>
      <c r="AE218" s="1124"/>
      <c r="AF218" s="1124"/>
      <c r="AG218" s="547">
        <f t="shared" si="21"/>
        <v>600</v>
      </c>
    </row>
    <row r="219" spans="1:33" ht="57.75" hidden="1" customHeight="1">
      <c r="A219" s="796">
        <v>1228</v>
      </c>
      <c r="B219" s="793" t="s">
        <v>808</v>
      </c>
      <c r="C219" s="1074" t="s">
        <v>809</v>
      </c>
      <c r="D219" s="805"/>
      <c r="E219" s="796">
        <v>10</v>
      </c>
      <c r="F219" s="1775">
        <v>43318</v>
      </c>
      <c r="G219" s="1775">
        <f t="shared" si="28"/>
        <v>43328</v>
      </c>
      <c r="H219" s="805" t="s">
        <v>810</v>
      </c>
      <c r="I219" s="796" t="s">
        <v>170</v>
      </c>
      <c r="J219" s="792"/>
      <c r="K219" s="805" t="s">
        <v>814</v>
      </c>
      <c r="L219" s="1776">
        <v>23174</v>
      </c>
      <c r="M219" s="805"/>
      <c r="N219" s="805"/>
      <c r="O219" s="954">
        <v>6600</v>
      </c>
      <c r="P219" s="805">
        <v>1</v>
      </c>
      <c r="Q219" s="1779">
        <f t="shared" si="27"/>
        <v>6600</v>
      </c>
      <c r="R219" s="1777"/>
      <c r="S219" s="1778"/>
      <c r="T219" s="1778"/>
      <c r="U219" s="1779"/>
      <c r="V219" s="954">
        <v>6600</v>
      </c>
      <c r="W219" s="805"/>
      <c r="X219" s="1781"/>
      <c r="Y219" s="1124"/>
      <c r="Z219" s="1124"/>
      <c r="AA219" s="1124"/>
      <c r="AB219" s="1124"/>
      <c r="AC219" s="1124"/>
      <c r="AD219" s="1124"/>
      <c r="AE219" s="1124"/>
      <c r="AF219" s="1124"/>
      <c r="AG219" s="547">
        <f t="shared" si="21"/>
        <v>6600</v>
      </c>
    </row>
    <row r="220" spans="1:33" ht="57.75" hidden="1" customHeight="1">
      <c r="A220" s="796">
        <v>1228</v>
      </c>
      <c r="B220" s="793" t="s">
        <v>808</v>
      </c>
      <c r="C220" s="1074" t="s">
        <v>809</v>
      </c>
      <c r="D220" s="805"/>
      <c r="E220" s="796">
        <v>10</v>
      </c>
      <c r="F220" s="1775">
        <v>43318</v>
      </c>
      <c r="G220" s="1775">
        <f t="shared" si="28"/>
        <v>43328</v>
      </c>
      <c r="H220" s="805" t="s">
        <v>810</v>
      </c>
      <c r="I220" s="796" t="s">
        <v>170</v>
      </c>
      <c r="J220" s="792"/>
      <c r="K220" s="805" t="s">
        <v>815</v>
      </c>
      <c r="L220" s="1776">
        <v>23174</v>
      </c>
      <c r="M220" s="805"/>
      <c r="N220" s="805"/>
      <c r="O220" s="954">
        <v>300</v>
      </c>
      <c r="P220" s="805">
        <v>1</v>
      </c>
      <c r="Q220" s="1779">
        <f t="shared" si="27"/>
        <v>300</v>
      </c>
      <c r="R220" s="1777"/>
      <c r="S220" s="1778"/>
      <c r="T220" s="1778"/>
      <c r="U220" s="1779"/>
      <c r="V220" s="954">
        <v>300</v>
      </c>
      <c r="W220" s="805"/>
      <c r="X220" s="1781"/>
      <c r="Y220" s="1124"/>
      <c r="Z220" s="1124"/>
      <c r="AA220" s="1124"/>
      <c r="AB220" s="1124"/>
      <c r="AC220" s="1124"/>
      <c r="AD220" s="1124"/>
      <c r="AE220" s="1124"/>
      <c r="AF220" s="1124"/>
      <c r="AG220" s="547">
        <f t="shared" si="21"/>
        <v>300</v>
      </c>
    </row>
    <row r="221" spans="1:33" ht="57.75" hidden="1" customHeight="1">
      <c r="A221" s="796">
        <v>1228</v>
      </c>
      <c r="B221" s="793" t="s">
        <v>808</v>
      </c>
      <c r="C221" s="1074" t="s">
        <v>809</v>
      </c>
      <c r="D221" s="805"/>
      <c r="E221" s="796">
        <v>10</v>
      </c>
      <c r="F221" s="1775">
        <v>43318</v>
      </c>
      <c r="G221" s="1775">
        <f t="shared" si="28"/>
        <v>43328</v>
      </c>
      <c r="H221" s="805" t="s">
        <v>810</v>
      </c>
      <c r="I221" s="796" t="s">
        <v>170</v>
      </c>
      <c r="J221" s="792"/>
      <c r="K221" s="805" t="s">
        <v>816</v>
      </c>
      <c r="L221" s="1776">
        <v>23174</v>
      </c>
      <c r="M221" s="805"/>
      <c r="N221" s="805"/>
      <c r="O221" s="954">
        <v>2720</v>
      </c>
      <c r="P221" s="805">
        <v>1</v>
      </c>
      <c r="Q221" s="1779">
        <f t="shared" si="27"/>
        <v>2720</v>
      </c>
      <c r="R221" s="1777"/>
      <c r="S221" s="1778"/>
      <c r="T221" s="1778"/>
      <c r="U221" s="1779"/>
      <c r="V221" s="954">
        <v>2720</v>
      </c>
      <c r="W221" s="805"/>
      <c r="X221" s="1781"/>
      <c r="Y221" s="1124"/>
      <c r="Z221" s="1124"/>
      <c r="AA221" s="1124"/>
      <c r="AB221" s="1124"/>
      <c r="AC221" s="1124"/>
      <c r="AD221" s="1124"/>
      <c r="AE221" s="1124"/>
      <c r="AF221" s="1124"/>
      <c r="AG221" s="547">
        <f t="shared" si="21"/>
        <v>2720</v>
      </c>
    </row>
    <row r="222" spans="1:33" ht="57.75" hidden="1" customHeight="1">
      <c r="A222" s="796">
        <v>1228</v>
      </c>
      <c r="B222" s="793" t="s">
        <v>808</v>
      </c>
      <c r="C222" s="1074" t="s">
        <v>809</v>
      </c>
      <c r="D222" s="805"/>
      <c r="E222" s="796">
        <v>10</v>
      </c>
      <c r="F222" s="1775">
        <v>43318</v>
      </c>
      <c r="G222" s="1775">
        <f t="shared" si="28"/>
        <v>43328</v>
      </c>
      <c r="H222" s="805" t="s">
        <v>810</v>
      </c>
      <c r="I222" s="796" t="s">
        <v>170</v>
      </c>
      <c r="J222" s="792"/>
      <c r="K222" s="805" t="s">
        <v>817</v>
      </c>
      <c r="L222" s="1776">
        <v>23174</v>
      </c>
      <c r="M222" s="805"/>
      <c r="N222" s="805"/>
      <c r="O222" s="954">
        <v>6674.9333333333334</v>
      </c>
      <c r="P222" s="805">
        <v>1</v>
      </c>
      <c r="Q222" s="1779">
        <f t="shared" si="27"/>
        <v>6674.9333333333334</v>
      </c>
      <c r="R222" s="1777"/>
      <c r="S222" s="1778"/>
      <c r="T222" s="1778"/>
      <c r="U222" s="1779"/>
      <c r="V222" s="954">
        <v>6674.9333333333334</v>
      </c>
      <c r="W222" s="805"/>
      <c r="X222" s="1781"/>
      <c r="Y222" s="1124"/>
      <c r="Z222" s="1124"/>
      <c r="AA222" s="1124"/>
      <c r="AB222" s="1124"/>
      <c r="AC222" s="1124"/>
      <c r="AD222" s="1124"/>
      <c r="AE222" s="1124"/>
      <c r="AF222" s="1124"/>
      <c r="AG222" s="547">
        <f t="shared" si="21"/>
        <v>6674.9333333333334</v>
      </c>
    </row>
    <row r="223" spans="1:33" ht="57.75" hidden="1" customHeight="1">
      <c r="A223" s="796">
        <v>1228</v>
      </c>
      <c r="B223" s="793" t="s">
        <v>808</v>
      </c>
      <c r="C223" s="1074" t="s">
        <v>809</v>
      </c>
      <c r="D223" s="805"/>
      <c r="E223" s="796">
        <v>45</v>
      </c>
      <c r="F223" s="1775"/>
      <c r="G223" s="1775"/>
      <c r="H223" s="805" t="s">
        <v>810</v>
      </c>
      <c r="I223" s="796" t="s">
        <v>170</v>
      </c>
      <c r="J223" s="792"/>
      <c r="K223" s="805" t="s">
        <v>818</v>
      </c>
      <c r="L223" s="1776">
        <v>23173</v>
      </c>
      <c r="M223" s="805"/>
      <c r="N223" s="805"/>
      <c r="O223" s="954">
        <v>205.625</v>
      </c>
      <c r="P223" s="805">
        <v>1</v>
      </c>
      <c r="Q223" s="1779">
        <f t="shared" si="27"/>
        <v>205.625</v>
      </c>
      <c r="R223" s="1777"/>
      <c r="S223" s="1778"/>
      <c r="T223" s="1778"/>
      <c r="U223" s="1779"/>
      <c r="V223" s="954">
        <v>205.625</v>
      </c>
      <c r="W223" s="805"/>
      <c r="X223" s="1781"/>
      <c r="Y223" s="1124"/>
      <c r="Z223" s="1124"/>
      <c r="AA223" s="1124"/>
      <c r="AB223" s="1124"/>
      <c r="AC223" s="1124"/>
      <c r="AD223" s="1124"/>
      <c r="AE223" s="1124"/>
      <c r="AF223" s="1124"/>
      <c r="AG223" s="547">
        <f t="shared" si="21"/>
        <v>205.625</v>
      </c>
    </row>
    <row r="224" spans="1:33" ht="57.75" customHeight="1">
      <c r="A224" s="2745">
        <v>1229</v>
      </c>
      <c r="B224" s="2748" t="s">
        <v>819</v>
      </c>
      <c r="C224" s="2779" t="s">
        <v>820</v>
      </c>
      <c r="D224" s="2780"/>
      <c r="E224" s="2745">
        <v>10</v>
      </c>
      <c r="F224" s="2781">
        <v>43339</v>
      </c>
      <c r="G224" s="2781">
        <f>F224+E224</f>
        <v>43349</v>
      </c>
      <c r="H224" s="2780" t="s">
        <v>774</v>
      </c>
      <c r="I224" s="2745" t="s">
        <v>170</v>
      </c>
      <c r="J224" s="2782"/>
      <c r="K224" s="1124"/>
      <c r="L224" s="2783"/>
      <c r="M224" s="1124"/>
      <c r="N224" s="1124"/>
      <c r="O224" s="1144"/>
      <c r="P224" s="1124"/>
      <c r="Q224" s="1743"/>
      <c r="R224" s="1199"/>
      <c r="S224" s="2714"/>
      <c r="T224" s="2714"/>
      <c r="U224" s="1743"/>
      <c r="V224" s="1144"/>
      <c r="W224" s="1124"/>
      <c r="X224" s="2784"/>
      <c r="Y224" s="1124"/>
      <c r="Z224" s="1124"/>
      <c r="AA224" s="1124"/>
      <c r="AB224" s="1124"/>
      <c r="AC224" s="1124"/>
      <c r="AD224" s="1124"/>
      <c r="AE224" s="1124"/>
      <c r="AF224" s="1124"/>
      <c r="AG224" s="2355"/>
    </row>
    <row r="225" spans="1:33" ht="57.75" hidden="1" customHeight="1">
      <c r="A225" s="796">
        <v>1229</v>
      </c>
      <c r="B225" s="793" t="s">
        <v>819</v>
      </c>
      <c r="C225" s="857" t="s">
        <v>820</v>
      </c>
      <c r="D225" s="805"/>
      <c r="E225" s="796">
        <v>10</v>
      </c>
      <c r="F225" s="1775">
        <v>43339</v>
      </c>
      <c r="G225" s="1775">
        <f>F225+E225</f>
        <v>43349</v>
      </c>
      <c r="H225" s="805" t="s">
        <v>774</v>
      </c>
      <c r="I225" s="796" t="s">
        <v>170</v>
      </c>
      <c r="J225" s="792"/>
      <c r="K225" s="805" t="s">
        <v>821</v>
      </c>
      <c r="L225" s="1776">
        <v>23174</v>
      </c>
      <c r="M225" s="805"/>
      <c r="N225" s="805"/>
      <c r="O225" s="954">
        <v>1320</v>
      </c>
      <c r="P225" s="805">
        <v>1</v>
      </c>
      <c r="Q225" s="1779">
        <f t="shared" si="27"/>
        <v>1320</v>
      </c>
      <c r="R225" s="1777"/>
      <c r="S225" s="1778"/>
      <c r="T225" s="1778"/>
      <c r="U225" s="1779"/>
      <c r="V225" s="805"/>
      <c r="W225" s="954">
        <v>1320</v>
      </c>
      <c r="X225" s="1781"/>
      <c r="Y225" s="1124"/>
      <c r="Z225" s="1124"/>
      <c r="AA225" s="1124"/>
      <c r="AB225" s="1124"/>
      <c r="AC225" s="1124"/>
      <c r="AD225" s="1124"/>
      <c r="AE225" s="1124"/>
      <c r="AF225" s="1124"/>
      <c r="AG225" s="547">
        <f t="shared" si="21"/>
        <v>1320</v>
      </c>
    </row>
    <row r="226" spans="1:33" ht="57.75" hidden="1" customHeight="1">
      <c r="A226" s="796">
        <v>1229</v>
      </c>
      <c r="B226" s="793" t="s">
        <v>819</v>
      </c>
      <c r="C226" s="857" t="s">
        <v>820</v>
      </c>
      <c r="D226" s="805"/>
      <c r="E226" s="796">
        <v>10</v>
      </c>
      <c r="F226" s="1775">
        <v>43339</v>
      </c>
      <c r="G226" s="1775">
        <f t="shared" ref="G226:G231" si="29">F226+E226</f>
        <v>43349</v>
      </c>
      <c r="H226" s="805" t="s">
        <v>774</v>
      </c>
      <c r="I226" s="796" t="s">
        <v>170</v>
      </c>
      <c r="J226" s="792"/>
      <c r="K226" s="805" t="s">
        <v>822</v>
      </c>
      <c r="L226" s="1776">
        <v>23174</v>
      </c>
      <c r="M226" s="805"/>
      <c r="N226" s="805"/>
      <c r="O226" s="954">
        <v>5724</v>
      </c>
      <c r="P226" s="805">
        <v>1</v>
      </c>
      <c r="Q226" s="1779">
        <f t="shared" si="27"/>
        <v>5724</v>
      </c>
      <c r="R226" s="1777"/>
      <c r="S226" s="1778"/>
      <c r="T226" s="1778"/>
      <c r="U226" s="1779"/>
      <c r="V226" s="805"/>
      <c r="W226" s="954">
        <v>5724</v>
      </c>
      <c r="X226" s="1781"/>
      <c r="Y226" s="1124"/>
      <c r="Z226" s="1124"/>
      <c r="AA226" s="1124"/>
      <c r="AB226" s="1124"/>
      <c r="AC226" s="1124"/>
      <c r="AD226" s="1124"/>
      <c r="AE226" s="1124"/>
      <c r="AF226" s="1124"/>
      <c r="AG226" s="547">
        <f t="shared" si="21"/>
        <v>5724</v>
      </c>
    </row>
    <row r="227" spans="1:33" ht="57.75" hidden="1" customHeight="1">
      <c r="A227" s="796">
        <v>1229</v>
      </c>
      <c r="B227" s="793" t="s">
        <v>819</v>
      </c>
      <c r="C227" s="857" t="s">
        <v>820</v>
      </c>
      <c r="D227" s="805"/>
      <c r="E227" s="796">
        <v>10</v>
      </c>
      <c r="F227" s="1775">
        <v>43339</v>
      </c>
      <c r="G227" s="1775">
        <f t="shared" si="29"/>
        <v>43349</v>
      </c>
      <c r="H227" s="805" t="s">
        <v>774</v>
      </c>
      <c r="I227" s="796" t="s">
        <v>170</v>
      </c>
      <c r="J227" s="792"/>
      <c r="K227" s="805" t="s">
        <v>799</v>
      </c>
      <c r="L227" s="1776">
        <v>23174</v>
      </c>
      <c r="M227" s="805"/>
      <c r="N227" s="805"/>
      <c r="O227" s="954">
        <v>260</v>
      </c>
      <c r="P227" s="805">
        <v>1</v>
      </c>
      <c r="Q227" s="1779">
        <f t="shared" si="27"/>
        <v>260</v>
      </c>
      <c r="R227" s="1777"/>
      <c r="S227" s="1778"/>
      <c r="T227" s="1778"/>
      <c r="U227" s="1779"/>
      <c r="V227" s="805"/>
      <c r="W227" s="954">
        <v>260</v>
      </c>
      <c r="X227" s="1781"/>
      <c r="Y227" s="1124"/>
      <c r="Z227" s="1124"/>
      <c r="AA227" s="1124"/>
      <c r="AB227" s="1124"/>
      <c r="AC227" s="1124"/>
      <c r="AD227" s="1124"/>
      <c r="AE227" s="1124"/>
      <c r="AF227" s="1124"/>
      <c r="AG227" s="547">
        <f t="shared" si="21"/>
        <v>260</v>
      </c>
    </row>
    <row r="228" spans="1:33" ht="57.75" hidden="1" customHeight="1">
      <c r="A228" s="796">
        <v>1229</v>
      </c>
      <c r="B228" s="793" t="s">
        <v>819</v>
      </c>
      <c r="C228" s="857" t="s">
        <v>820</v>
      </c>
      <c r="D228" s="805"/>
      <c r="E228" s="796">
        <v>10</v>
      </c>
      <c r="F228" s="1775">
        <v>43339</v>
      </c>
      <c r="G228" s="1775">
        <f t="shared" si="29"/>
        <v>43349</v>
      </c>
      <c r="H228" s="805" t="s">
        <v>774</v>
      </c>
      <c r="I228" s="796" t="s">
        <v>170</v>
      </c>
      <c r="J228" s="792"/>
      <c r="K228" s="805" t="s">
        <v>823</v>
      </c>
      <c r="L228" s="1776">
        <v>23174</v>
      </c>
      <c r="M228" s="805"/>
      <c r="N228" s="805"/>
      <c r="O228" s="954">
        <v>5773.333333333333</v>
      </c>
      <c r="P228" s="805">
        <v>1</v>
      </c>
      <c r="Q228" s="1779">
        <f t="shared" si="27"/>
        <v>5773.333333333333</v>
      </c>
      <c r="R228" s="1777"/>
      <c r="S228" s="1778"/>
      <c r="T228" s="1778"/>
      <c r="U228" s="1779"/>
      <c r="V228" s="805"/>
      <c r="W228" s="954">
        <v>5773.333333333333</v>
      </c>
      <c r="X228" s="1781"/>
      <c r="Y228" s="1124"/>
      <c r="Z228" s="1124"/>
      <c r="AA228" s="1124"/>
      <c r="AB228" s="1124"/>
      <c r="AC228" s="1124"/>
      <c r="AD228" s="1124"/>
      <c r="AE228" s="1124"/>
      <c r="AF228" s="1124"/>
      <c r="AG228" s="547">
        <f t="shared" si="21"/>
        <v>5773.333333333333</v>
      </c>
    </row>
    <row r="229" spans="1:33" ht="57.75" hidden="1" customHeight="1">
      <c r="A229" s="796">
        <v>1229</v>
      </c>
      <c r="B229" s="793" t="s">
        <v>819</v>
      </c>
      <c r="C229" s="857" t="s">
        <v>820</v>
      </c>
      <c r="D229" s="805"/>
      <c r="E229" s="796">
        <v>10</v>
      </c>
      <c r="F229" s="1775">
        <v>43339</v>
      </c>
      <c r="G229" s="1775">
        <f t="shared" si="29"/>
        <v>43349</v>
      </c>
      <c r="H229" s="805" t="s">
        <v>774</v>
      </c>
      <c r="I229" s="796" t="s">
        <v>170</v>
      </c>
      <c r="J229" s="792"/>
      <c r="K229" s="805" t="s">
        <v>779</v>
      </c>
      <c r="L229" s="1776">
        <v>23174</v>
      </c>
      <c r="M229" s="805"/>
      <c r="N229" s="805"/>
      <c r="O229" s="954">
        <v>153.33333333333334</v>
      </c>
      <c r="P229" s="805">
        <v>1</v>
      </c>
      <c r="Q229" s="1779">
        <f t="shared" si="27"/>
        <v>153.33333333333334</v>
      </c>
      <c r="R229" s="1777"/>
      <c r="S229" s="1778"/>
      <c r="T229" s="1778"/>
      <c r="U229" s="1779"/>
      <c r="V229" s="805"/>
      <c r="W229" s="954">
        <v>153.33333333333334</v>
      </c>
      <c r="X229" s="1781"/>
      <c r="Y229" s="1124"/>
      <c r="Z229" s="1124"/>
      <c r="AA229" s="1124"/>
      <c r="AB229" s="1124"/>
      <c r="AC229" s="1124"/>
      <c r="AD229" s="1124"/>
      <c r="AE229" s="1124"/>
      <c r="AF229" s="1124"/>
      <c r="AG229" s="547">
        <f t="shared" si="21"/>
        <v>153.33333333333334</v>
      </c>
    </row>
    <row r="230" spans="1:33" ht="57.75" hidden="1" customHeight="1">
      <c r="A230" s="796">
        <v>1229</v>
      </c>
      <c r="B230" s="793" t="s">
        <v>819</v>
      </c>
      <c r="C230" s="857" t="s">
        <v>820</v>
      </c>
      <c r="D230" s="805"/>
      <c r="E230" s="796">
        <v>10</v>
      </c>
      <c r="F230" s="1775">
        <v>43339</v>
      </c>
      <c r="G230" s="1775">
        <f t="shared" si="29"/>
        <v>43349</v>
      </c>
      <c r="H230" s="805" t="s">
        <v>774</v>
      </c>
      <c r="I230" s="796" t="s">
        <v>170</v>
      </c>
      <c r="J230" s="792"/>
      <c r="K230" s="805" t="s">
        <v>824</v>
      </c>
      <c r="L230" s="1776">
        <v>23174</v>
      </c>
      <c r="M230" s="805"/>
      <c r="N230" s="805"/>
      <c r="O230" s="954">
        <v>238</v>
      </c>
      <c r="P230" s="805">
        <v>1</v>
      </c>
      <c r="Q230" s="1779">
        <f t="shared" si="27"/>
        <v>238</v>
      </c>
      <c r="R230" s="1777"/>
      <c r="S230" s="1778"/>
      <c r="T230" s="1778"/>
      <c r="U230" s="1779"/>
      <c r="V230" s="805"/>
      <c r="W230" s="954">
        <v>238</v>
      </c>
      <c r="X230" s="1781"/>
      <c r="Y230" s="1124"/>
      <c r="Z230" s="1124"/>
      <c r="AA230" s="1124"/>
      <c r="AB230" s="1124"/>
      <c r="AC230" s="1124"/>
      <c r="AD230" s="1124"/>
      <c r="AE230" s="1124"/>
      <c r="AF230" s="1124"/>
      <c r="AG230" s="547">
        <f t="shared" si="21"/>
        <v>238</v>
      </c>
    </row>
    <row r="231" spans="1:33" ht="57.75" hidden="1" customHeight="1">
      <c r="A231" s="796">
        <v>1229</v>
      </c>
      <c r="B231" s="793" t="s">
        <v>819</v>
      </c>
      <c r="C231" s="857" t="s">
        <v>820</v>
      </c>
      <c r="D231" s="805"/>
      <c r="E231" s="796">
        <v>10</v>
      </c>
      <c r="F231" s="1775">
        <v>43339</v>
      </c>
      <c r="G231" s="1775">
        <f t="shared" si="29"/>
        <v>43349</v>
      </c>
      <c r="H231" s="805" t="s">
        <v>774</v>
      </c>
      <c r="I231" s="796" t="s">
        <v>170</v>
      </c>
      <c r="J231" s="792"/>
      <c r="K231" s="805" t="s">
        <v>825</v>
      </c>
      <c r="L231" s="1776">
        <v>23174</v>
      </c>
      <c r="M231" s="805"/>
      <c r="N231" s="805"/>
      <c r="O231" s="954">
        <v>501.66666666666669</v>
      </c>
      <c r="P231" s="805">
        <v>1</v>
      </c>
      <c r="Q231" s="1779">
        <f t="shared" si="27"/>
        <v>501.66666666666669</v>
      </c>
      <c r="R231" s="1777"/>
      <c r="S231" s="1778"/>
      <c r="T231" s="1778"/>
      <c r="U231" s="1779"/>
      <c r="V231" s="805"/>
      <c r="W231" s="954">
        <v>501.66666666666669</v>
      </c>
      <c r="X231" s="1781"/>
      <c r="Y231" s="1124"/>
      <c r="Z231" s="1124"/>
      <c r="AA231" s="1124"/>
      <c r="AB231" s="1124"/>
      <c r="AC231" s="1124"/>
      <c r="AD231" s="1124"/>
      <c r="AE231" s="1124"/>
      <c r="AF231" s="1124"/>
      <c r="AG231" s="547">
        <f t="shared" si="21"/>
        <v>501.66666666666669</v>
      </c>
    </row>
    <row r="232" spans="1:33" ht="57.75" hidden="1" customHeight="1">
      <c r="A232" s="796">
        <v>1229</v>
      </c>
      <c r="B232" s="793" t="s">
        <v>819</v>
      </c>
      <c r="C232" s="857" t="s">
        <v>820</v>
      </c>
      <c r="D232" s="805"/>
      <c r="E232" s="796"/>
      <c r="F232" s="1775"/>
      <c r="G232" s="1775"/>
      <c r="H232" s="805" t="s">
        <v>774</v>
      </c>
      <c r="I232" s="796" t="s">
        <v>170</v>
      </c>
      <c r="J232" s="792"/>
      <c r="K232" s="1292" t="s">
        <v>818</v>
      </c>
      <c r="L232" s="1776">
        <v>23173</v>
      </c>
      <c r="M232" s="805"/>
      <c r="N232" s="805"/>
      <c r="O232" s="954">
        <v>534.88800000000003</v>
      </c>
      <c r="P232" s="1779">
        <v>1</v>
      </c>
      <c r="Q232" s="1779">
        <f t="shared" si="27"/>
        <v>534.88800000000003</v>
      </c>
      <c r="R232" s="1777"/>
      <c r="S232" s="1778"/>
      <c r="T232" s="1778"/>
      <c r="U232" s="1779"/>
      <c r="V232" s="805"/>
      <c r="W232" s="954">
        <v>534.88800000000003</v>
      </c>
      <c r="X232" s="1781"/>
      <c r="Y232" s="1124"/>
      <c r="Z232" s="1124"/>
      <c r="AA232" s="1124"/>
      <c r="AB232" s="1124"/>
      <c r="AC232" s="1124"/>
      <c r="AD232" s="1124"/>
      <c r="AE232" s="1124"/>
      <c r="AF232" s="1124"/>
      <c r="AG232" s="547">
        <f t="shared" si="21"/>
        <v>534.88800000000003</v>
      </c>
    </row>
    <row r="233" spans="1:33" ht="57.75" hidden="1" customHeight="1">
      <c r="A233" s="796">
        <v>1229</v>
      </c>
      <c r="B233" s="793" t="s">
        <v>819</v>
      </c>
      <c r="C233" s="857" t="s">
        <v>820</v>
      </c>
      <c r="D233" s="805"/>
      <c r="E233" s="796"/>
      <c r="F233" s="796"/>
      <c r="G233" s="796"/>
      <c r="H233" s="805" t="s">
        <v>774</v>
      </c>
      <c r="I233" s="796" t="s">
        <v>170</v>
      </c>
      <c r="J233" s="792"/>
      <c r="K233" s="805" t="s">
        <v>415</v>
      </c>
      <c r="L233" s="1776">
        <v>23173</v>
      </c>
      <c r="M233" s="805"/>
      <c r="N233" s="805"/>
      <c r="O233" s="954">
        <v>1666.6666666666667</v>
      </c>
      <c r="P233" s="805">
        <v>1</v>
      </c>
      <c r="Q233" s="1779">
        <f t="shared" si="27"/>
        <v>1666.6666666666667</v>
      </c>
      <c r="R233" s="1777"/>
      <c r="S233" s="1778"/>
      <c r="T233" s="1778"/>
      <c r="U233" s="1779"/>
      <c r="V233" s="805"/>
      <c r="W233" s="954">
        <v>1666.6666666666667</v>
      </c>
      <c r="X233" s="1781"/>
      <c r="Y233" s="1124"/>
      <c r="Z233" s="1124"/>
      <c r="AA233" s="1124"/>
      <c r="AB233" s="1124"/>
      <c r="AC233" s="1124"/>
      <c r="AD233" s="1124"/>
      <c r="AE233" s="1124"/>
      <c r="AF233" s="1124"/>
      <c r="AG233" s="547">
        <f t="shared" si="21"/>
        <v>1666.6666666666667</v>
      </c>
    </row>
    <row r="234" spans="1:33" ht="57.75" customHeight="1">
      <c r="A234" s="2745">
        <v>1230</v>
      </c>
      <c r="B234" s="2748" t="s">
        <v>826</v>
      </c>
      <c r="C234" s="2748" t="s">
        <v>827</v>
      </c>
      <c r="D234" s="2780"/>
      <c r="E234" s="2745">
        <v>5</v>
      </c>
      <c r="F234" s="2781">
        <v>43360</v>
      </c>
      <c r="G234" s="2781">
        <f>F234+E234</f>
        <v>43365</v>
      </c>
      <c r="H234" s="2780" t="s">
        <v>785</v>
      </c>
      <c r="I234" s="2745" t="s">
        <v>170</v>
      </c>
      <c r="J234" s="2782"/>
      <c r="K234" s="1124"/>
      <c r="L234" s="2783"/>
      <c r="M234" s="1124"/>
      <c r="N234" s="1124"/>
      <c r="O234" s="1144"/>
      <c r="P234" s="1124"/>
      <c r="Q234" s="1743"/>
      <c r="R234" s="1199"/>
      <c r="S234" s="2714"/>
      <c r="T234" s="2714"/>
      <c r="U234" s="1743"/>
      <c r="V234" s="1124"/>
      <c r="W234" s="1144"/>
      <c r="X234" s="2784"/>
      <c r="Y234" s="1124"/>
      <c r="Z234" s="1124"/>
      <c r="AA234" s="1124"/>
      <c r="AB234" s="1124"/>
      <c r="AC234" s="1124"/>
      <c r="AD234" s="1124"/>
      <c r="AE234" s="1124"/>
      <c r="AF234" s="1124"/>
      <c r="AG234" s="2355"/>
    </row>
    <row r="235" spans="1:33" ht="57.75" hidden="1" customHeight="1">
      <c r="A235" s="796">
        <v>1230</v>
      </c>
      <c r="B235" s="793" t="s">
        <v>826</v>
      </c>
      <c r="C235" s="1074" t="s">
        <v>827</v>
      </c>
      <c r="D235" s="805"/>
      <c r="E235" s="796">
        <v>5</v>
      </c>
      <c r="F235" s="1775">
        <v>43360</v>
      </c>
      <c r="G235" s="1775">
        <f>F235+E235</f>
        <v>43365</v>
      </c>
      <c r="H235" s="805" t="s">
        <v>785</v>
      </c>
      <c r="I235" s="796" t="s">
        <v>170</v>
      </c>
      <c r="J235" s="792"/>
      <c r="K235" s="805" t="s">
        <v>828</v>
      </c>
      <c r="L235" s="1776">
        <v>23174</v>
      </c>
      <c r="M235" s="805"/>
      <c r="N235" s="805"/>
      <c r="O235" s="954">
        <v>2520</v>
      </c>
      <c r="P235" s="805">
        <v>1</v>
      </c>
      <c r="Q235" s="1779">
        <f>O235*P235</f>
        <v>2520</v>
      </c>
      <c r="R235" s="1777"/>
      <c r="S235" s="1778"/>
      <c r="T235" s="1778"/>
      <c r="U235" s="1779"/>
      <c r="V235" s="805"/>
      <c r="W235" s="954">
        <v>2520</v>
      </c>
      <c r="X235" s="1781"/>
      <c r="Y235" s="1124"/>
      <c r="Z235" s="1124"/>
      <c r="AA235" s="1124"/>
      <c r="AB235" s="1124"/>
      <c r="AC235" s="1124"/>
      <c r="AD235" s="1124"/>
      <c r="AE235" s="1124"/>
      <c r="AF235" s="1124"/>
      <c r="AG235" s="547">
        <f t="shared" si="21"/>
        <v>2520</v>
      </c>
    </row>
    <row r="236" spans="1:33" ht="57.75" hidden="1" customHeight="1">
      <c r="A236" s="796">
        <v>1230</v>
      </c>
      <c r="B236" s="793" t="s">
        <v>826</v>
      </c>
      <c r="C236" s="1074" t="s">
        <v>827</v>
      </c>
      <c r="D236" s="805"/>
      <c r="E236" s="796">
        <v>5</v>
      </c>
      <c r="F236" s="1775">
        <v>43360</v>
      </c>
      <c r="G236" s="1775">
        <f t="shared" ref="G236:G241" si="30">F236+E236</f>
        <v>43365</v>
      </c>
      <c r="H236" s="805" t="s">
        <v>785</v>
      </c>
      <c r="I236" s="796" t="s">
        <v>170</v>
      </c>
      <c r="J236" s="792"/>
      <c r="K236" s="805" t="s">
        <v>829</v>
      </c>
      <c r="L236" s="1776">
        <v>23174</v>
      </c>
      <c r="M236" s="805"/>
      <c r="N236" s="805"/>
      <c r="O236" s="954">
        <v>1236</v>
      </c>
      <c r="P236" s="805">
        <v>1</v>
      </c>
      <c r="Q236" s="1779">
        <f>O236*P236</f>
        <v>1236</v>
      </c>
      <c r="R236" s="1777"/>
      <c r="S236" s="1778"/>
      <c r="T236" s="1778"/>
      <c r="U236" s="1779"/>
      <c r="V236" s="805"/>
      <c r="W236" s="954">
        <v>1236</v>
      </c>
      <c r="X236" s="1781"/>
      <c r="Y236" s="1124"/>
      <c r="Z236" s="1124"/>
      <c r="AA236" s="1124"/>
      <c r="AB236" s="1124"/>
      <c r="AC236" s="1124"/>
      <c r="AD236" s="1124"/>
      <c r="AE236" s="1124"/>
      <c r="AF236" s="1124"/>
      <c r="AG236" s="547">
        <f t="shared" si="21"/>
        <v>1236</v>
      </c>
    </row>
    <row r="237" spans="1:33" ht="57.75" hidden="1" customHeight="1">
      <c r="A237" s="796">
        <v>1230</v>
      </c>
      <c r="B237" s="793" t="s">
        <v>826</v>
      </c>
      <c r="C237" s="1074" t="s">
        <v>827</v>
      </c>
      <c r="D237" s="805"/>
      <c r="E237" s="796">
        <v>5</v>
      </c>
      <c r="F237" s="1775">
        <v>43360</v>
      </c>
      <c r="G237" s="1775">
        <f t="shared" si="30"/>
        <v>43365</v>
      </c>
      <c r="H237" s="805" t="s">
        <v>785</v>
      </c>
      <c r="I237" s="796" t="s">
        <v>170</v>
      </c>
      <c r="J237" s="792"/>
      <c r="K237" s="805" t="s">
        <v>830</v>
      </c>
      <c r="L237" s="1776">
        <v>23174</v>
      </c>
      <c r="M237" s="805"/>
      <c r="N237" s="805"/>
      <c r="O237" s="954">
        <v>260</v>
      </c>
      <c r="P237" s="805">
        <v>1</v>
      </c>
      <c r="Q237" s="1779">
        <f>O237*P237</f>
        <v>260</v>
      </c>
      <c r="R237" s="1777"/>
      <c r="S237" s="1778"/>
      <c r="T237" s="1778"/>
      <c r="U237" s="1779"/>
      <c r="V237" s="805"/>
      <c r="W237" s="954">
        <v>260</v>
      </c>
      <c r="X237" s="1781"/>
      <c r="Y237" s="1124"/>
      <c r="Z237" s="1124"/>
      <c r="AA237" s="1124"/>
      <c r="AB237" s="1124"/>
      <c r="AC237" s="1124"/>
      <c r="AD237" s="1124"/>
      <c r="AE237" s="1124"/>
      <c r="AF237" s="1124"/>
      <c r="AG237" s="547">
        <f t="shared" si="21"/>
        <v>260</v>
      </c>
    </row>
    <row r="238" spans="1:33" ht="57.75" hidden="1" customHeight="1">
      <c r="A238" s="796">
        <v>1230</v>
      </c>
      <c r="B238" s="793" t="s">
        <v>826</v>
      </c>
      <c r="C238" s="1074" t="s">
        <v>827</v>
      </c>
      <c r="D238" s="805"/>
      <c r="E238" s="796">
        <v>5</v>
      </c>
      <c r="F238" s="1775">
        <v>43360</v>
      </c>
      <c r="G238" s="1775">
        <f t="shared" si="30"/>
        <v>43365</v>
      </c>
      <c r="H238" s="805" t="s">
        <v>785</v>
      </c>
      <c r="I238" s="796" t="s">
        <v>170</v>
      </c>
      <c r="J238" s="792"/>
      <c r="K238" s="805" t="s">
        <v>831</v>
      </c>
      <c r="L238" s="1776">
        <v>23174</v>
      </c>
      <c r="M238" s="805"/>
      <c r="N238" s="805"/>
      <c r="O238" s="954">
        <v>1173.3333333333333</v>
      </c>
      <c r="P238" s="805">
        <v>1</v>
      </c>
      <c r="Q238" s="1779">
        <f>O238*P238</f>
        <v>1173.3333333333333</v>
      </c>
      <c r="R238" s="1777"/>
      <c r="S238" s="1778"/>
      <c r="T238" s="1778"/>
      <c r="U238" s="1779"/>
      <c r="V238" s="805"/>
      <c r="W238" s="954">
        <v>1173.3333333333333</v>
      </c>
      <c r="X238" s="1781"/>
      <c r="Y238" s="1124"/>
      <c r="Z238" s="1124"/>
      <c r="AA238" s="1124"/>
      <c r="AB238" s="1124"/>
      <c r="AC238" s="1124"/>
      <c r="AD238" s="1124"/>
      <c r="AE238" s="1124"/>
      <c r="AF238" s="1124"/>
      <c r="AG238" s="547">
        <f t="shared" si="21"/>
        <v>1173.3333333333333</v>
      </c>
    </row>
    <row r="239" spans="1:33" ht="57.75" hidden="1" customHeight="1">
      <c r="A239" s="796">
        <v>1230</v>
      </c>
      <c r="B239" s="793" t="s">
        <v>826</v>
      </c>
      <c r="C239" s="1074" t="s">
        <v>827</v>
      </c>
      <c r="D239" s="805"/>
      <c r="E239" s="796">
        <v>5</v>
      </c>
      <c r="F239" s="1775">
        <v>43360</v>
      </c>
      <c r="G239" s="1775">
        <f t="shared" si="30"/>
        <v>43365</v>
      </c>
      <c r="H239" s="805" t="s">
        <v>785</v>
      </c>
      <c r="I239" s="796" t="s">
        <v>170</v>
      </c>
      <c r="J239" s="792"/>
      <c r="K239" s="805" t="s">
        <v>832</v>
      </c>
      <c r="L239" s="1776">
        <v>23174</v>
      </c>
      <c r="M239" s="805"/>
      <c r="N239" s="805"/>
      <c r="O239" s="954">
        <v>146.66666666666666</v>
      </c>
      <c r="P239" s="805">
        <v>1</v>
      </c>
      <c r="Q239" s="1779">
        <f>P239*O239</f>
        <v>146.66666666666666</v>
      </c>
      <c r="R239" s="1777"/>
      <c r="S239" s="1778"/>
      <c r="T239" s="1778"/>
      <c r="U239" s="1779"/>
      <c r="V239" s="805"/>
      <c r="W239" s="954">
        <v>146.66666666666666</v>
      </c>
      <c r="X239" s="1781"/>
      <c r="Y239" s="1124"/>
      <c r="Z239" s="1124"/>
      <c r="AA239" s="1124"/>
      <c r="AB239" s="1124"/>
      <c r="AC239" s="1124"/>
      <c r="AD239" s="1124"/>
      <c r="AE239" s="1124"/>
      <c r="AF239" s="1124"/>
      <c r="AG239" s="547">
        <f t="shared" si="21"/>
        <v>146.66666666666666</v>
      </c>
    </row>
    <row r="240" spans="1:33" ht="57.75" hidden="1" customHeight="1">
      <c r="A240" s="796">
        <v>1230</v>
      </c>
      <c r="B240" s="793" t="s">
        <v>826</v>
      </c>
      <c r="C240" s="1074" t="s">
        <v>827</v>
      </c>
      <c r="D240" s="805"/>
      <c r="E240" s="796">
        <v>5</v>
      </c>
      <c r="F240" s="1775">
        <v>43360</v>
      </c>
      <c r="G240" s="1775">
        <f t="shared" si="30"/>
        <v>43365</v>
      </c>
      <c r="H240" s="805" t="s">
        <v>785</v>
      </c>
      <c r="I240" s="796" t="s">
        <v>170</v>
      </c>
      <c r="J240" s="792"/>
      <c r="K240" s="805" t="s">
        <v>833</v>
      </c>
      <c r="L240" s="1776">
        <v>23174</v>
      </c>
      <c r="M240" s="805"/>
      <c r="N240" s="805"/>
      <c r="O240" s="954">
        <v>1088</v>
      </c>
      <c r="P240" s="805">
        <v>1</v>
      </c>
      <c r="Q240" s="1779">
        <f>P240*O240</f>
        <v>1088</v>
      </c>
      <c r="R240" s="1777"/>
      <c r="S240" s="1778"/>
      <c r="T240" s="1778"/>
      <c r="U240" s="1779"/>
      <c r="V240" s="805"/>
      <c r="W240" s="954">
        <v>1088</v>
      </c>
      <c r="X240" s="1781"/>
      <c r="Y240" s="1124"/>
      <c r="Z240" s="1124"/>
      <c r="AA240" s="1124"/>
      <c r="AB240" s="1124"/>
      <c r="AC240" s="1124"/>
      <c r="AD240" s="1124"/>
      <c r="AE240" s="1124"/>
      <c r="AF240" s="1124"/>
      <c r="AG240" s="547">
        <f t="shared" si="21"/>
        <v>1088</v>
      </c>
    </row>
    <row r="241" spans="1:33" ht="57.75" hidden="1" customHeight="1">
      <c r="A241" s="796">
        <v>1230</v>
      </c>
      <c r="B241" s="793" t="s">
        <v>826</v>
      </c>
      <c r="C241" s="1074" t="s">
        <v>827</v>
      </c>
      <c r="D241" s="805"/>
      <c r="E241" s="796">
        <v>5</v>
      </c>
      <c r="F241" s="1775">
        <v>43360</v>
      </c>
      <c r="G241" s="1775">
        <f t="shared" si="30"/>
        <v>43365</v>
      </c>
      <c r="H241" s="805" t="s">
        <v>785</v>
      </c>
      <c r="I241" s="796" t="s">
        <v>170</v>
      </c>
      <c r="J241" s="792"/>
      <c r="K241" s="805" t="s">
        <v>834</v>
      </c>
      <c r="L241" s="1776">
        <v>23174</v>
      </c>
      <c r="M241" s="805"/>
      <c r="N241" s="805"/>
      <c r="O241" s="954">
        <v>680</v>
      </c>
      <c r="P241" s="805">
        <v>1</v>
      </c>
      <c r="Q241" s="1779">
        <f>O241*P241</f>
        <v>680</v>
      </c>
      <c r="R241" s="1777"/>
      <c r="S241" s="1778"/>
      <c r="T241" s="1778"/>
      <c r="U241" s="1779"/>
      <c r="V241" s="805"/>
      <c r="W241" s="954">
        <v>680</v>
      </c>
      <c r="X241" s="1781"/>
      <c r="Y241" s="1124"/>
      <c r="Z241" s="1124"/>
      <c r="AA241" s="1124"/>
      <c r="AB241" s="1124"/>
      <c r="AC241" s="1124"/>
      <c r="AD241" s="1124"/>
      <c r="AE241" s="1124"/>
      <c r="AF241" s="1124"/>
      <c r="AG241" s="547">
        <f>SUM(S241:AF241)</f>
        <v>680</v>
      </c>
    </row>
    <row r="242" spans="1:33" ht="57.75" hidden="1" customHeight="1">
      <c r="A242" s="796">
        <v>1230</v>
      </c>
      <c r="B242" s="793" t="s">
        <v>826</v>
      </c>
      <c r="C242" s="1074" t="s">
        <v>827</v>
      </c>
      <c r="D242" s="805"/>
      <c r="E242" s="796"/>
      <c r="F242" s="1775"/>
      <c r="G242" s="1775"/>
      <c r="H242" s="805" t="s">
        <v>785</v>
      </c>
      <c r="I242" s="796" t="s">
        <v>170</v>
      </c>
      <c r="J242" s="792"/>
      <c r="K242" s="1292" t="s">
        <v>835</v>
      </c>
      <c r="L242" s="1776">
        <v>23173</v>
      </c>
      <c r="M242" s="805"/>
      <c r="N242" s="805"/>
      <c r="O242" s="954">
        <v>30.331</v>
      </c>
      <c r="P242" s="805">
        <v>1</v>
      </c>
      <c r="Q242" s="1779">
        <f>O242*P242</f>
        <v>30.331</v>
      </c>
      <c r="R242" s="1777"/>
      <c r="S242" s="1778"/>
      <c r="T242" s="1778"/>
      <c r="U242" s="1779"/>
      <c r="V242" s="805"/>
      <c r="W242" s="954">
        <v>30.331</v>
      </c>
      <c r="X242" s="1781"/>
      <c r="Y242" s="1124"/>
      <c r="Z242" s="1124"/>
      <c r="AA242" s="1124"/>
      <c r="AB242" s="1124"/>
      <c r="AC242" s="1124"/>
      <c r="AD242" s="1124"/>
      <c r="AE242" s="1124"/>
      <c r="AF242" s="1124"/>
      <c r="AG242" s="547">
        <f>SUM(S242:AF242)</f>
        <v>30.331</v>
      </c>
    </row>
    <row r="243" spans="1:33" ht="57.75" hidden="1" customHeight="1">
      <c r="A243" s="796">
        <v>1230</v>
      </c>
      <c r="B243" s="793" t="s">
        <v>826</v>
      </c>
      <c r="C243" s="1074" t="s">
        <v>827</v>
      </c>
      <c r="D243" s="805"/>
      <c r="E243" s="796"/>
      <c r="F243" s="796"/>
      <c r="G243" s="796"/>
      <c r="H243" s="805" t="s">
        <v>785</v>
      </c>
      <c r="I243" s="796" t="s">
        <v>170</v>
      </c>
      <c r="J243" s="792"/>
      <c r="K243" s="805" t="s">
        <v>415</v>
      </c>
      <c r="L243" s="1776">
        <v>23173</v>
      </c>
      <c r="M243" s="805"/>
      <c r="N243" s="805"/>
      <c r="O243" s="954">
        <v>833.33333333333337</v>
      </c>
      <c r="P243" s="805">
        <v>1</v>
      </c>
      <c r="Q243" s="1779">
        <f>O243*P243</f>
        <v>833.33333333333337</v>
      </c>
      <c r="R243" s="1777"/>
      <c r="S243" s="1778"/>
      <c r="T243" s="1778"/>
      <c r="U243" s="1779"/>
      <c r="V243" s="805"/>
      <c r="W243" s="954">
        <v>833.33333333333337</v>
      </c>
      <c r="X243" s="1781"/>
      <c r="Y243" s="1124"/>
      <c r="Z243" s="1124"/>
      <c r="AA243" s="1124"/>
      <c r="AB243" s="1124"/>
      <c r="AC243" s="1124"/>
      <c r="AD243" s="1124"/>
      <c r="AE243" s="1124"/>
      <c r="AF243" s="1124"/>
      <c r="AG243" s="547">
        <f>SUM(S243:AF243)</f>
        <v>833.33333333333337</v>
      </c>
    </row>
    <row r="244" spans="1:33" ht="33.75" customHeight="1">
      <c r="A244" s="1827" t="s">
        <v>235</v>
      </c>
      <c r="B244" s="1517"/>
      <c r="C244" s="1828"/>
      <c r="D244" s="1829"/>
      <c r="E244" s="1829"/>
      <c r="F244" s="1829"/>
      <c r="G244" s="1829"/>
      <c r="H244" s="1829"/>
      <c r="I244" s="1830"/>
      <c r="J244" s="835"/>
      <c r="K244" s="1815"/>
      <c r="L244" s="1817"/>
      <c r="M244" s="1818"/>
      <c r="N244" s="1819"/>
      <c r="O244" s="1820"/>
      <c r="P244" s="1819"/>
      <c r="Q244" s="1822">
        <f>Q245+Q334+Q389</f>
        <v>688782.5104266667</v>
      </c>
      <c r="R244" s="1822">
        <f>+R245+R334+R389</f>
        <v>688782.21</v>
      </c>
      <c r="S244" s="1821">
        <f t="shared" ref="S244:AG244" si="31">S245+S334+S389</f>
        <v>0</v>
      </c>
      <c r="T244" s="1821">
        <f t="shared" si="31"/>
        <v>1700</v>
      </c>
      <c r="U244" s="1821">
        <f t="shared" si="31"/>
        <v>152563.84376000002</v>
      </c>
      <c r="V244" s="1821">
        <f t="shared" si="31"/>
        <v>137838.66666666669</v>
      </c>
      <c r="W244" s="1821">
        <f t="shared" si="31"/>
        <v>64436</v>
      </c>
      <c r="X244" s="1831">
        <f t="shared" si="31"/>
        <v>109804</v>
      </c>
      <c r="Y244" s="1832">
        <f t="shared" si="31"/>
        <v>187000</v>
      </c>
      <c r="Z244" s="1833">
        <f t="shared" si="31"/>
        <v>11600</v>
      </c>
      <c r="AA244" s="1833">
        <f t="shared" si="31"/>
        <v>11640</v>
      </c>
      <c r="AB244" s="1833">
        <f t="shared" si="31"/>
        <v>500</v>
      </c>
      <c r="AC244" s="1833">
        <f t="shared" si="31"/>
        <v>500</v>
      </c>
      <c r="AD244" s="1833">
        <f t="shared" si="31"/>
        <v>10200</v>
      </c>
      <c r="AE244" s="1833">
        <f t="shared" si="31"/>
        <v>500</v>
      </c>
      <c r="AF244" s="1833">
        <f t="shared" si="31"/>
        <v>500</v>
      </c>
      <c r="AG244" s="1822">
        <f t="shared" si="31"/>
        <v>688782.5104266667</v>
      </c>
    </row>
    <row r="245" spans="1:33" ht="37.5" customHeight="1">
      <c r="A245" s="1540" t="s">
        <v>236</v>
      </c>
      <c r="B245" s="1461"/>
      <c r="C245" s="1500"/>
      <c r="D245" s="1335"/>
      <c r="E245" s="1335"/>
      <c r="F245" s="1335"/>
      <c r="G245" s="1335"/>
      <c r="H245" s="1335"/>
      <c r="I245" s="1336"/>
      <c r="J245" s="273"/>
      <c r="K245" s="1248"/>
      <c r="L245" s="1269"/>
      <c r="M245" s="1270"/>
      <c r="N245" s="1268"/>
      <c r="O245" s="1271"/>
      <c r="P245" s="1268"/>
      <c r="Q245" s="1273">
        <f>+Q246+Q256+Q269+Q291+Q313</f>
        <v>300354.41666666669</v>
      </c>
      <c r="R245" s="1273">
        <f>+'[2]Compil Costing PPA 3 millions'!F7</f>
        <v>300354.12</v>
      </c>
      <c r="S245" s="1272">
        <f>+S246+S256+S269+S291+S313</f>
        <v>0</v>
      </c>
      <c r="T245" s="1272">
        <f>+T246+T256+T269+T291+T313</f>
        <v>0</v>
      </c>
      <c r="U245" s="1272">
        <f t="shared" ref="U245:AF245" si="32">+U246+U256+U269+U291+U313</f>
        <v>79470.75</v>
      </c>
      <c r="V245" s="1272">
        <f t="shared" si="32"/>
        <v>40583.666666666672</v>
      </c>
      <c r="W245" s="1272">
        <f t="shared" si="32"/>
        <v>54436</v>
      </c>
      <c r="X245" s="1272">
        <f t="shared" si="32"/>
        <v>45624</v>
      </c>
      <c r="Y245" s="1272">
        <f t="shared" si="32"/>
        <v>77200</v>
      </c>
      <c r="Z245" s="1272">
        <f t="shared" si="32"/>
        <v>0</v>
      </c>
      <c r="AA245" s="1272">
        <f t="shared" si="32"/>
        <v>3040</v>
      </c>
      <c r="AB245" s="1272">
        <f t="shared" si="32"/>
        <v>0</v>
      </c>
      <c r="AC245" s="1272">
        <f t="shared" si="32"/>
        <v>0</v>
      </c>
      <c r="AD245" s="1272">
        <f t="shared" si="32"/>
        <v>0</v>
      </c>
      <c r="AE245" s="1272">
        <f t="shared" si="32"/>
        <v>0</v>
      </c>
      <c r="AF245" s="1272">
        <f t="shared" si="32"/>
        <v>0</v>
      </c>
      <c r="AG245" s="1273">
        <f>+AG246+AG256+AG269+AG291+AG313</f>
        <v>300354.41666666669</v>
      </c>
    </row>
    <row r="246" spans="1:33" ht="29.25" customHeight="1">
      <c r="A246" s="1275">
        <v>211</v>
      </c>
      <c r="B246" s="995" t="s">
        <v>59</v>
      </c>
      <c r="C246" s="1083"/>
      <c r="D246" s="1339"/>
      <c r="E246" s="1340"/>
      <c r="F246" s="1340"/>
      <c r="G246" s="1340"/>
      <c r="H246" s="1339"/>
      <c r="I246" s="1341"/>
      <c r="J246" s="283"/>
      <c r="K246" s="1278"/>
      <c r="L246" s="1279"/>
      <c r="M246" s="1280"/>
      <c r="N246" s="1277"/>
      <c r="O246" s="1281"/>
      <c r="P246" s="1277"/>
      <c r="Q246" s="547">
        <f>SUM(Q248:Q255)</f>
        <v>32625.75</v>
      </c>
      <c r="R246" s="287"/>
      <c r="S246" s="1282">
        <f t="shared" ref="S246:AF246" si="33">SUM(S248:S255)</f>
        <v>0</v>
      </c>
      <c r="T246" s="1282">
        <f t="shared" si="33"/>
        <v>0</v>
      </c>
      <c r="U246" s="1282">
        <f t="shared" si="33"/>
        <v>32625.75</v>
      </c>
      <c r="V246" s="1282">
        <f t="shared" si="33"/>
        <v>0</v>
      </c>
      <c r="W246" s="1282">
        <f t="shared" si="33"/>
        <v>0</v>
      </c>
      <c r="X246" s="1282">
        <f t="shared" si="33"/>
        <v>0</v>
      </c>
      <c r="Y246" s="1282">
        <f t="shared" si="33"/>
        <v>0</v>
      </c>
      <c r="Z246" s="1282">
        <f t="shared" si="33"/>
        <v>0</v>
      </c>
      <c r="AA246" s="1282">
        <f t="shared" si="33"/>
        <v>0</v>
      </c>
      <c r="AB246" s="1282">
        <f t="shared" si="33"/>
        <v>0</v>
      </c>
      <c r="AC246" s="1282">
        <f t="shared" si="33"/>
        <v>0</v>
      </c>
      <c r="AD246" s="1282">
        <f t="shared" si="33"/>
        <v>0</v>
      </c>
      <c r="AE246" s="1282">
        <f t="shared" si="33"/>
        <v>0</v>
      </c>
      <c r="AF246" s="1282">
        <f t="shared" si="33"/>
        <v>0</v>
      </c>
      <c r="AG246" s="547">
        <f>SUM(S246:AF246)</f>
        <v>32625.75</v>
      </c>
    </row>
    <row r="247" spans="1:33" ht="29.25" customHeight="1">
      <c r="A247" s="2789">
        <v>2111</v>
      </c>
      <c r="B247" s="2790" t="s">
        <v>59</v>
      </c>
      <c r="C247" s="2790" t="s">
        <v>293</v>
      </c>
      <c r="D247" s="2791"/>
      <c r="E247" s="2789">
        <v>5</v>
      </c>
      <c r="F247" s="2792">
        <v>43221</v>
      </c>
      <c r="G247" s="2792">
        <f>+E247+F247</f>
        <v>43226</v>
      </c>
      <c r="H247" s="2792" t="s">
        <v>294</v>
      </c>
      <c r="I247" s="2789" t="s">
        <v>171</v>
      </c>
      <c r="J247" s="2793" t="s">
        <v>295</v>
      </c>
      <c r="K247" s="1705"/>
      <c r="L247" s="2786"/>
      <c r="M247" s="2736"/>
      <c r="N247" s="2737"/>
      <c r="O247" s="2738"/>
      <c r="P247" s="2737"/>
      <c r="Q247" s="3017">
        <v>9915</v>
      </c>
      <c r="R247" s="2787"/>
      <c r="S247" s="2739"/>
      <c r="T247" s="2739"/>
      <c r="U247" s="2739"/>
      <c r="V247" s="2739"/>
      <c r="W247" s="2739"/>
      <c r="X247" s="2788"/>
      <c r="Y247" s="2739"/>
      <c r="Z247" s="2739"/>
      <c r="AA247" s="2739"/>
      <c r="AB247" s="2739"/>
      <c r="AC247" s="2739"/>
      <c r="AD247" s="2739"/>
      <c r="AE247" s="2739"/>
      <c r="AF247" s="2739"/>
      <c r="AG247" s="2809"/>
    </row>
    <row r="248" spans="1:33" ht="32.25" hidden="1" customHeight="1">
      <c r="A248" s="294">
        <v>2111</v>
      </c>
      <c r="B248" s="291" t="s">
        <v>59</v>
      </c>
      <c r="C248" s="824" t="s">
        <v>293</v>
      </c>
      <c r="D248" s="326"/>
      <c r="E248" s="294">
        <v>5</v>
      </c>
      <c r="F248" s="293">
        <v>43221</v>
      </c>
      <c r="G248" s="293">
        <f>+E248+F248</f>
        <v>43226</v>
      </c>
      <c r="H248" s="293" t="s">
        <v>294</v>
      </c>
      <c r="I248" s="294" t="s">
        <v>171</v>
      </c>
      <c r="J248" s="307" t="s">
        <v>295</v>
      </c>
      <c r="K248" s="326" t="s">
        <v>296</v>
      </c>
      <c r="L248" s="1237">
        <v>23174</v>
      </c>
      <c r="M248" s="326"/>
      <c r="N248" s="294"/>
      <c r="O248" s="354">
        <v>1800</v>
      </c>
      <c r="P248" s="294">
        <v>3</v>
      </c>
      <c r="Q248" s="299">
        <f t="shared" ref="Q248:Q255" si="34">+O248*P248</f>
        <v>5400</v>
      </c>
      <c r="R248" s="299"/>
      <c r="S248" s="355"/>
      <c r="T248" s="355"/>
      <c r="U248" s="355">
        <v>5400</v>
      </c>
      <c r="V248" s="355"/>
      <c r="W248" s="355"/>
      <c r="X248" s="1137"/>
      <c r="Y248" s="1126"/>
      <c r="Z248" s="1194"/>
      <c r="AA248" s="1194"/>
      <c r="AB248" s="1194"/>
      <c r="AC248" s="1124"/>
      <c r="AD248" s="1124"/>
      <c r="AE248" s="1152"/>
      <c r="AF248" s="1124"/>
      <c r="AG248" s="547">
        <f t="shared" ref="AG248:AG255" si="35">SUM(S248:AF248)</f>
        <v>5400</v>
      </c>
    </row>
    <row r="249" spans="1:33" ht="32.25" hidden="1" customHeight="1">
      <c r="A249" s="294">
        <v>2111</v>
      </c>
      <c r="B249" s="291" t="s">
        <v>59</v>
      </c>
      <c r="C249" s="824" t="s">
        <v>293</v>
      </c>
      <c r="D249" s="326"/>
      <c r="E249" s="294">
        <v>5</v>
      </c>
      <c r="F249" s="293">
        <v>43221</v>
      </c>
      <c r="G249" s="293">
        <f t="shared" ref="G249:G255" si="36">+E249+F249</f>
        <v>43226</v>
      </c>
      <c r="H249" s="293" t="s">
        <v>294</v>
      </c>
      <c r="I249" s="294" t="s">
        <v>171</v>
      </c>
      <c r="J249" s="307" t="s">
        <v>295</v>
      </c>
      <c r="K249" s="326" t="s">
        <v>297</v>
      </c>
      <c r="L249" s="1237">
        <v>23174</v>
      </c>
      <c r="M249" s="326"/>
      <c r="N249" s="294"/>
      <c r="O249" s="354">
        <v>177.33333333333334</v>
      </c>
      <c r="P249" s="294">
        <v>3</v>
      </c>
      <c r="Q249" s="299">
        <f t="shared" si="34"/>
        <v>532</v>
      </c>
      <c r="R249" s="299"/>
      <c r="S249" s="355"/>
      <c r="T249" s="355"/>
      <c r="U249" s="355">
        <v>532</v>
      </c>
      <c r="V249" s="355"/>
      <c r="W249" s="355"/>
      <c r="X249" s="1137"/>
      <c r="Y249" s="1126"/>
      <c r="Z249" s="1194"/>
      <c r="AA249" s="1194"/>
      <c r="AB249" s="1194"/>
      <c r="AC249" s="1124"/>
      <c r="AD249" s="1124"/>
      <c r="AE249" s="1152"/>
      <c r="AF249" s="1124"/>
      <c r="AG249" s="547">
        <f t="shared" si="35"/>
        <v>532</v>
      </c>
    </row>
    <row r="250" spans="1:33" ht="32.25" hidden="1" customHeight="1">
      <c r="A250" s="294">
        <v>2111</v>
      </c>
      <c r="B250" s="291" t="s">
        <v>59</v>
      </c>
      <c r="C250" s="824" t="s">
        <v>293</v>
      </c>
      <c r="D250" s="326"/>
      <c r="E250" s="294">
        <v>5</v>
      </c>
      <c r="F250" s="293">
        <v>43221</v>
      </c>
      <c r="G250" s="293">
        <f t="shared" si="36"/>
        <v>43226</v>
      </c>
      <c r="H250" s="293" t="s">
        <v>294</v>
      </c>
      <c r="I250" s="294" t="s">
        <v>171</v>
      </c>
      <c r="J250" s="307" t="s">
        <v>295</v>
      </c>
      <c r="K250" s="326" t="s">
        <v>298</v>
      </c>
      <c r="L250" s="1237">
        <v>23174</v>
      </c>
      <c r="M250" s="326"/>
      <c r="N250" s="294"/>
      <c r="O250" s="354">
        <v>224</v>
      </c>
      <c r="P250" s="294">
        <v>3</v>
      </c>
      <c r="Q250" s="299">
        <f t="shared" si="34"/>
        <v>672</v>
      </c>
      <c r="R250" s="299"/>
      <c r="S250" s="355"/>
      <c r="T250" s="355"/>
      <c r="U250" s="355">
        <v>672</v>
      </c>
      <c r="V250" s="355"/>
      <c r="W250" s="355"/>
      <c r="X250" s="1137"/>
      <c r="Y250" s="1126"/>
      <c r="Z250" s="1194"/>
      <c r="AA250" s="1194"/>
      <c r="AB250" s="1194"/>
      <c r="AC250" s="1124"/>
      <c r="AD250" s="1124"/>
      <c r="AE250" s="1152"/>
      <c r="AF250" s="1124"/>
      <c r="AG250" s="547">
        <f t="shared" si="35"/>
        <v>672</v>
      </c>
    </row>
    <row r="251" spans="1:33" ht="32.25" hidden="1" customHeight="1">
      <c r="A251" s="294">
        <v>2111</v>
      </c>
      <c r="B251" s="291" t="s">
        <v>59</v>
      </c>
      <c r="C251" s="824" t="s">
        <v>293</v>
      </c>
      <c r="D251" s="326"/>
      <c r="E251" s="294">
        <v>5</v>
      </c>
      <c r="F251" s="293">
        <v>43221</v>
      </c>
      <c r="G251" s="293">
        <f t="shared" si="36"/>
        <v>43226</v>
      </c>
      <c r="H251" s="293" t="s">
        <v>294</v>
      </c>
      <c r="I251" s="294" t="s">
        <v>171</v>
      </c>
      <c r="J251" s="307" t="s">
        <v>295</v>
      </c>
      <c r="K251" s="326" t="s">
        <v>299</v>
      </c>
      <c r="L251" s="1237">
        <v>23174</v>
      </c>
      <c r="M251" s="326"/>
      <c r="N251" s="294"/>
      <c r="O251" s="354">
        <v>166.66666666666666</v>
      </c>
      <c r="P251" s="294">
        <v>3</v>
      </c>
      <c r="Q251" s="299">
        <f t="shared" si="34"/>
        <v>500</v>
      </c>
      <c r="R251" s="299"/>
      <c r="S251" s="355"/>
      <c r="T251" s="355"/>
      <c r="U251" s="355">
        <v>500</v>
      </c>
      <c r="V251" s="355"/>
      <c r="W251" s="355"/>
      <c r="X251" s="1137"/>
      <c r="Y251" s="1126"/>
      <c r="Z251" s="1194"/>
      <c r="AA251" s="1194"/>
      <c r="AB251" s="1194"/>
      <c r="AC251" s="1124"/>
      <c r="AD251" s="1124"/>
      <c r="AE251" s="1152"/>
      <c r="AF251" s="1124"/>
      <c r="AG251" s="547">
        <f t="shared" si="35"/>
        <v>500</v>
      </c>
    </row>
    <row r="252" spans="1:33" ht="32.25" hidden="1" customHeight="1">
      <c r="A252" s="294">
        <v>2111</v>
      </c>
      <c r="B252" s="291" t="s">
        <v>59</v>
      </c>
      <c r="C252" s="824" t="s">
        <v>293</v>
      </c>
      <c r="D252" s="326"/>
      <c r="E252" s="294">
        <v>5</v>
      </c>
      <c r="F252" s="293">
        <v>43221</v>
      </c>
      <c r="G252" s="293">
        <f t="shared" si="36"/>
        <v>43226</v>
      </c>
      <c r="H252" s="293" t="s">
        <v>294</v>
      </c>
      <c r="I252" s="294" t="s">
        <v>171</v>
      </c>
      <c r="J252" s="307" t="s">
        <v>295</v>
      </c>
      <c r="K252" s="326" t="s">
        <v>300</v>
      </c>
      <c r="L252" s="1237">
        <v>23174</v>
      </c>
      <c r="M252" s="326"/>
      <c r="N252" s="294"/>
      <c r="O252" s="354">
        <v>426.66666666666669</v>
      </c>
      <c r="P252" s="294">
        <v>3</v>
      </c>
      <c r="Q252" s="299">
        <f t="shared" si="34"/>
        <v>1280</v>
      </c>
      <c r="R252" s="299"/>
      <c r="S252" s="355"/>
      <c r="T252" s="355"/>
      <c r="U252" s="355">
        <v>1280</v>
      </c>
      <c r="V252" s="355"/>
      <c r="W252" s="355"/>
      <c r="X252" s="1137"/>
      <c r="Y252" s="1126"/>
      <c r="Z252" s="1194"/>
      <c r="AA252" s="1194"/>
      <c r="AB252" s="1194"/>
      <c r="AC252" s="1124"/>
      <c r="AD252" s="1124"/>
      <c r="AE252" s="1152"/>
      <c r="AF252" s="1124"/>
      <c r="AG252" s="547">
        <f t="shared" si="35"/>
        <v>1280</v>
      </c>
    </row>
    <row r="253" spans="1:33" ht="32.25" hidden="1" customHeight="1">
      <c r="A253" s="294">
        <v>2111</v>
      </c>
      <c r="B253" s="291" t="s">
        <v>59</v>
      </c>
      <c r="C253" s="824" t="s">
        <v>293</v>
      </c>
      <c r="D253" s="326"/>
      <c r="E253" s="294">
        <v>5</v>
      </c>
      <c r="F253" s="293">
        <v>43221</v>
      </c>
      <c r="G253" s="293">
        <f t="shared" si="36"/>
        <v>43226</v>
      </c>
      <c r="H253" s="293" t="s">
        <v>294</v>
      </c>
      <c r="I253" s="294" t="s">
        <v>171</v>
      </c>
      <c r="J253" s="307" t="s">
        <v>295</v>
      </c>
      <c r="K253" s="326" t="s">
        <v>301</v>
      </c>
      <c r="L253" s="1237">
        <v>23173</v>
      </c>
      <c r="M253" s="326"/>
      <c r="N253" s="294"/>
      <c r="O253" s="354">
        <v>166.66666666666666</v>
      </c>
      <c r="P253" s="294">
        <v>3</v>
      </c>
      <c r="Q253" s="299">
        <f t="shared" si="34"/>
        <v>500</v>
      </c>
      <c r="R253" s="299"/>
      <c r="S253" s="355"/>
      <c r="T253" s="355"/>
      <c r="U253" s="355">
        <v>500</v>
      </c>
      <c r="V253" s="355"/>
      <c r="W253" s="355"/>
      <c r="X253" s="1137"/>
      <c r="Y253" s="1126"/>
      <c r="Z253" s="1194"/>
      <c r="AA253" s="1194"/>
      <c r="AB253" s="1194"/>
      <c r="AC253" s="1124"/>
      <c r="AD253" s="1124"/>
      <c r="AE253" s="1152"/>
      <c r="AF253" s="1124"/>
      <c r="AG253" s="547">
        <f t="shared" si="35"/>
        <v>500</v>
      </c>
    </row>
    <row r="254" spans="1:33" ht="32.25" hidden="1" customHeight="1">
      <c r="A254" s="294">
        <v>2111</v>
      </c>
      <c r="B254" s="291" t="s">
        <v>59</v>
      </c>
      <c r="C254" s="824" t="s">
        <v>293</v>
      </c>
      <c r="D254" s="326"/>
      <c r="E254" s="294">
        <v>5</v>
      </c>
      <c r="F254" s="293">
        <v>43221</v>
      </c>
      <c r="G254" s="293">
        <f t="shared" si="36"/>
        <v>43226</v>
      </c>
      <c r="H254" s="293" t="s">
        <v>294</v>
      </c>
      <c r="I254" s="294" t="s">
        <v>171</v>
      </c>
      <c r="J254" s="307" t="s">
        <v>295</v>
      </c>
      <c r="K254" s="326" t="s">
        <v>302</v>
      </c>
      <c r="L254" s="1237">
        <v>23173</v>
      </c>
      <c r="M254" s="326"/>
      <c r="N254" s="294"/>
      <c r="O254" s="354">
        <v>343.66666666666669</v>
      </c>
      <c r="P254" s="294">
        <v>3</v>
      </c>
      <c r="Q254" s="299">
        <f t="shared" si="34"/>
        <v>1031</v>
      </c>
      <c r="R254" s="299"/>
      <c r="S254" s="355"/>
      <c r="T254" s="355"/>
      <c r="U254" s="355">
        <v>1031</v>
      </c>
      <c r="V254" s="355"/>
      <c r="W254" s="355"/>
      <c r="X254" s="1137"/>
      <c r="Y254" s="1126"/>
      <c r="Z254" s="1194"/>
      <c r="AA254" s="1194"/>
      <c r="AB254" s="1194"/>
      <c r="AC254" s="1124"/>
      <c r="AD254" s="1124"/>
      <c r="AE254" s="1152"/>
      <c r="AF254" s="1124"/>
      <c r="AG254" s="547">
        <f t="shared" si="35"/>
        <v>1031</v>
      </c>
    </row>
    <row r="255" spans="1:33" ht="32.25" customHeight="1">
      <c r="A255" s="2789">
        <v>2112</v>
      </c>
      <c r="B255" s="2790" t="s">
        <v>303</v>
      </c>
      <c r="C255" s="2790" t="s">
        <v>304</v>
      </c>
      <c r="D255" s="2791"/>
      <c r="E255" s="2789">
        <v>60</v>
      </c>
      <c r="F255" s="2792">
        <v>43221</v>
      </c>
      <c r="G255" s="2792">
        <f t="shared" si="36"/>
        <v>43281</v>
      </c>
      <c r="H255" s="2792" t="s">
        <v>294</v>
      </c>
      <c r="I255" s="2789" t="s">
        <v>171</v>
      </c>
      <c r="J255" s="2793" t="s">
        <v>295</v>
      </c>
      <c r="K255" s="326" t="s">
        <v>305</v>
      </c>
      <c r="L255" s="1237">
        <v>2461</v>
      </c>
      <c r="M255" s="326"/>
      <c r="N255" s="294"/>
      <c r="O255" s="354">
        <v>504.68333333333334</v>
      </c>
      <c r="P255" s="294">
        <v>45</v>
      </c>
      <c r="Q255" s="3017">
        <f t="shared" si="34"/>
        <v>22710.75</v>
      </c>
      <c r="R255" s="299"/>
      <c r="S255" s="355"/>
      <c r="T255" s="355"/>
      <c r="U255" s="355">
        <v>22710.75</v>
      </c>
      <c r="V255" s="355"/>
      <c r="W255" s="355"/>
      <c r="X255" s="1137"/>
      <c r="Y255" s="1126"/>
      <c r="Z255" s="1194"/>
      <c r="AA255" s="1194"/>
      <c r="AB255" s="1194"/>
      <c r="AC255" s="1124"/>
      <c r="AD255" s="1124"/>
      <c r="AE255" s="1152"/>
      <c r="AF255" s="1124"/>
      <c r="AG255" s="547">
        <f t="shared" si="35"/>
        <v>22710.75</v>
      </c>
    </row>
    <row r="256" spans="1:33" ht="29.25" customHeight="1">
      <c r="A256" s="1275">
        <v>212</v>
      </c>
      <c r="B256" s="995" t="s">
        <v>306</v>
      </c>
      <c r="C256" s="1083"/>
      <c r="D256" s="1339"/>
      <c r="E256" s="1340"/>
      <c r="F256" s="1340"/>
      <c r="G256" s="1340"/>
      <c r="H256" s="1339"/>
      <c r="I256" s="1341"/>
      <c r="J256" s="283"/>
      <c r="K256" s="1278"/>
      <c r="L256" s="1279"/>
      <c r="M256" s="1280"/>
      <c r="N256" s="1277"/>
      <c r="O256" s="1281"/>
      <c r="P256" s="1277"/>
      <c r="Q256" s="547">
        <f>SUM(Q258:Q268)</f>
        <v>39681</v>
      </c>
      <c r="R256" s="287"/>
      <c r="S256" s="1282">
        <f t="shared" ref="S256:AF256" si="37">SUM(S258:S268)</f>
        <v>0</v>
      </c>
      <c r="T256" s="1282">
        <f t="shared" si="37"/>
        <v>0</v>
      </c>
      <c r="U256" s="1282">
        <f t="shared" si="37"/>
        <v>11347.666666666666</v>
      </c>
      <c r="V256" s="1282">
        <f t="shared" si="37"/>
        <v>0</v>
      </c>
      <c r="W256" s="1282">
        <f t="shared" si="37"/>
        <v>28333.333333333336</v>
      </c>
      <c r="X256" s="1282">
        <f t="shared" si="37"/>
        <v>0</v>
      </c>
      <c r="Y256" s="1282">
        <f t="shared" si="37"/>
        <v>0</v>
      </c>
      <c r="Z256" s="1282">
        <f t="shared" si="37"/>
        <v>0</v>
      </c>
      <c r="AA256" s="1282">
        <f t="shared" si="37"/>
        <v>0</v>
      </c>
      <c r="AB256" s="1282">
        <f t="shared" si="37"/>
        <v>0</v>
      </c>
      <c r="AC256" s="1282">
        <f t="shared" si="37"/>
        <v>0</v>
      </c>
      <c r="AD256" s="1282">
        <f t="shared" si="37"/>
        <v>0</v>
      </c>
      <c r="AE256" s="1282">
        <f t="shared" si="37"/>
        <v>0</v>
      </c>
      <c r="AF256" s="1282">
        <f t="shared" si="37"/>
        <v>0</v>
      </c>
      <c r="AG256" s="547">
        <f>SUM(S256:AF256)</f>
        <v>39681</v>
      </c>
    </row>
    <row r="257" spans="1:33" s="2799" customFormat="1" ht="29.25" customHeight="1">
      <c r="A257" s="2789">
        <v>2121</v>
      </c>
      <c r="B257" s="2790" t="s">
        <v>60</v>
      </c>
      <c r="C257" s="2790" t="s">
        <v>307</v>
      </c>
      <c r="D257" s="2791"/>
      <c r="E257" s="2789">
        <v>2</v>
      </c>
      <c r="F257" s="2792">
        <v>43227</v>
      </c>
      <c r="G257" s="2792">
        <f>+E257+F257</f>
        <v>43229</v>
      </c>
      <c r="H257" s="2792" t="s">
        <v>294</v>
      </c>
      <c r="I257" s="2789" t="s">
        <v>171</v>
      </c>
      <c r="J257" s="2793" t="s">
        <v>295</v>
      </c>
      <c r="K257" s="2757"/>
      <c r="L257" s="2794"/>
      <c r="M257" s="2795"/>
      <c r="N257" s="2758"/>
      <c r="O257" s="2796"/>
      <c r="P257" s="2758"/>
      <c r="Q257" s="3017">
        <v>5347.67</v>
      </c>
      <c r="R257" s="2797"/>
      <c r="S257" s="2753"/>
      <c r="T257" s="2753"/>
      <c r="U257" s="2753"/>
      <c r="V257" s="2753"/>
      <c r="W257" s="2753"/>
      <c r="X257" s="2798"/>
      <c r="Y257" s="2753"/>
      <c r="Z257" s="2753"/>
      <c r="AA257" s="2753"/>
      <c r="AB257" s="2753"/>
      <c r="AC257" s="2753"/>
      <c r="AD257" s="2753"/>
      <c r="AE257" s="2753"/>
      <c r="AF257" s="2753"/>
      <c r="AG257" s="2803"/>
    </row>
    <row r="258" spans="1:33" ht="32.25" hidden="1" customHeight="1">
      <c r="A258" s="294">
        <v>2121</v>
      </c>
      <c r="B258" s="291" t="s">
        <v>60</v>
      </c>
      <c r="C258" s="824" t="s">
        <v>307</v>
      </c>
      <c r="D258" s="326"/>
      <c r="E258" s="294">
        <v>2</v>
      </c>
      <c r="F258" s="293">
        <v>43227</v>
      </c>
      <c r="G258" s="293">
        <f t="shared" ref="G258:G268" si="38">+E258+F258</f>
        <v>43229</v>
      </c>
      <c r="H258" s="293" t="s">
        <v>294</v>
      </c>
      <c r="I258" s="294" t="s">
        <v>171</v>
      </c>
      <c r="J258" s="307" t="s">
        <v>295</v>
      </c>
      <c r="K258" s="326" t="s">
        <v>308</v>
      </c>
      <c r="L258" s="1237">
        <v>23173</v>
      </c>
      <c r="M258" s="326"/>
      <c r="N258" s="294"/>
      <c r="O258" s="1110">
        <v>270</v>
      </c>
      <c r="P258" s="294">
        <v>1</v>
      </c>
      <c r="Q258" s="299">
        <v>90</v>
      </c>
      <c r="R258" s="299"/>
      <c r="S258" s="355"/>
      <c r="T258" s="355"/>
      <c r="U258" s="355">
        <v>90</v>
      </c>
      <c r="V258" s="355"/>
      <c r="W258" s="355"/>
      <c r="X258" s="1137"/>
      <c r="Y258" s="1126"/>
      <c r="Z258" s="1194"/>
      <c r="AA258" s="1194"/>
      <c r="AB258" s="1194"/>
      <c r="AC258" s="1124"/>
      <c r="AD258" s="1124"/>
      <c r="AE258" s="1152"/>
      <c r="AF258" s="1124"/>
      <c r="AG258" s="547">
        <f t="shared" ref="AG258:AG268" si="39">SUM(S258:AF258)</f>
        <v>90</v>
      </c>
    </row>
    <row r="259" spans="1:33" ht="32.25" hidden="1" customHeight="1">
      <c r="A259" s="294">
        <v>2121</v>
      </c>
      <c r="B259" s="291" t="s">
        <v>60</v>
      </c>
      <c r="C259" s="824" t="s">
        <v>307</v>
      </c>
      <c r="D259" s="326"/>
      <c r="E259" s="294">
        <v>2</v>
      </c>
      <c r="F259" s="293">
        <v>43227</v>
      </c>
      <c r="G259" s="293">
        <f t="shared" si="38"/>
        <v>43229</v>
      </c>
      <c r="H259" s="293" t="s">
        <v>294</v>
      </c>
      <c r="I259" s="294" t="s">
        <v>171</v>
      </c>
      <c r="J259" s="307" t="s">
        <v>295</v>
      </c>
      <c r="K259" s="326" t="s">
        <v>309</v>
      </c>
      <c r="L259" s="1237">
        <v>23173</v>
      </c>
      <c r="M259" s="326"/>
      <c r="N259" s="294"/>
      <c r="O259" s="1110">
        <v>1260</v>
      </c>
      <c r="P259" s="294">
        <v>1</v>
      </c>
      <c r="Q259" s="299">
        <v>420</v>
      </c>
      <c r="R259" s="299"/>
      <c r="S259" s="355"/>
      <c r="T259" s="355"/>
      <c r="U259" s="355">
        <v>420</v>
      </c>
      <c r="V259" s="355"/>
      <c r="W259" s="355"/>
      <c r="X259" s="1137"/>
      <c r="Y259" s="1126"/>
      <c r="Z259" s="1194"/>
      <c r="AA259" s="1194"/>
      <c r="AB259" s="1194"/>
      <c r="AC259" s="1124"/>
      <c r="AD259" s="1124"/>
      <c r="AE259" s="1152"/>
      <c r="AF259" s="1124"/>
      <c r="AG259" s="547">
        <f t="shared" si="39"/>
        <v>420</v>
      </c>
    </row>
    <row r="260" spans="1:33" ht="32.25" hidden="1" customHeight="1">
      <c r="A260" s="294">
        <v>2121</v>
      </c>
      <c r="B260" s="291" t="s">
        <v>60</v>
      </c>
      <c r="C260" s="824" t="s">
        <v>307</v>
      </c>
      <c r="D260" s="326"/>
      <c r="E260" s="294">
        <v>2</v>
      </c>
      <c r="F260" s="293">
        <v>43227</v>
      </c>
      <c r="G260" s="293">
        <f t="shared" si="38"/>
        <v>43229</v>
      </c>
      <c r="H260" s="293" t="s">
        <v>294</v>
      </c>
      <c r="I260" s="294" t="s">
        <v>171</v>
      </c>
      <c r="J260" s="307" t="s">
        <v>295</v>
      </c>
      <c r="K260" s="1094" t="s">
        <v>310</v>
      </c>
      <c r="L260" s="1237">
        <v>23174</v>
      </c>
      <c r="M260" s="326"/>
      <c r="N260" s="294"/>
      <c r="O260" s="1110">
        <v>11400</v>
      </c>
      <c r="P260" s="294">
        <v>1</v>
      </c>
      <c r="Q260" s="299">
        <v>3800</v>
      </c>
      <c r="R260" s="299"/>
      <c r="S260" s="355"/>
      <c r="T260" s="355"/>
      <c r="U260" s="355">
        <v>3800</v>
      </c>
      <c r="V260" s="355"/>
      <c r="W260" s="355"/>
      <c r="X260" s="1137"/>
      <c r="Y260" s="1126"/>
      <c r="Z260" s="1194"/>
      <c r="AA260" s="1194"/>
      <c r="AB260" s="1194"/>
      <c r="AC260" s="1124"/>
      <c r="AD260" s="1124"/>
      <c r="AE260" s="1152"/>
      <c r="AF260" s="1124"/>
      <c r="AG260" s="547">
        <f t="shared" si="39"/>
        <v>3800</v>
      </c>
    </row>
    <row r="261" spans="1:33" ht="32.25" hidden="1" customHeight="1">
      <c r="A261" s="294">
        <v>2121</v>
      </c>
      <c r="B261" s="291" t="s">
        <v>60</v>
      </c>
      <c r="C261" s="824" t="s">
        <v>307</v>
      </c>
      <c r="D261" s="326"/>
      <c r="E261" s="294">
        <v>2</v>
      </c>
      <c r="F261" s="293">
        <v>43227</v>
      </c>
      <c r="G261" s="293">
        <f t="shared" si="38"/>
        <v>43229</v>
      </c>
      <c r="H261" s="293" t="s">
        <v>294</v>
      </c>
      <c r="I261" s="294" t="s">
        <v>171</v>
      </c>
      <c r="J261" s="307" t="s">
        <v>295</v>
      </c>
      <c r="K261" s="326" t="s">
        <v>311</v>
      </c>
      <c r="L261" s="1237">
        <v>23174</v>
      </c>
      <c r="M261" s="326"/>
      <c r="N261" s="294"/>
      <c r="O261" s="1110">
        <v>1200</v>
      </c>
      <c r="P261" s="294">
        <v>1</v>
      </c>
      <c r="Q261" s="299">
        <v>400</v>
      </c>
      <c r="R261" s="299"/>
      <c r="S261" s="355"/>
      <c r="T261" s="355"/>
      <c r="U261" s="355">
        <v>400</v>
      </c>
      <c r="V261" s="355"/>
      <c r="W261" s="355"/>
      <c r="X261" s="1137"/>
      <c r="Y261" s="1126"/>
      <c r="Z261" s="1194"/>
      <c r="AA261" s="1194"/>
      <c r="AB261" s="1194"/>
      <c r="AC261" s="1124"/>
      <c r="AD261" s="1124"/>
      <c r="AE261" s="1152"/>
      <c r="AF261" s="1124"/>
      <c r="AG261" s="547">
        <f t="shared" si="39"/>
        <v>400</v>
      </c>
    </row>
    <row r="262" spans="1:33" ht="32.25" hidden="1" customHeight="1">
      <c r="A262" s="294">
        <v>2121</v>
      </c>
      <c r="B262" s="291" t="s">
        <v>60</v>
      </c>
      <c r="C262" s="824" t="s">
        <v>307</v>
      </c>
      <c r="D262" s="326"/>
      <c r="E262" s="294">
        <v>2</v>
      </c>
      <c r="F262" s="293">
        <v>43227</v>
      </c>
      <c r="G262" s="293">
        <f t="shared" si="38"/>
        <v>43229</v>
      </c>
      <c r="H262" s="293" t="s">
        <v>294</v>
      </c>
      <c r="I262" s="294" t="s">
        <v>171</v>
      </c>
      <c r="J262" s="307" t="s">
        <v>295</v>
      </c>
      <c r="K262" s="326" t="s">
        <v>301</v>
      </c>
      <c r="L262" s="1237">
        <v>23173</v>
      </c>
      <c r="M262" s="326"/>
      <c r="N262" s="294"/>
      <c r="O262" s="1110">
        <v>900</v>
      </c>
      <c r="P262" s="294">
        <v>1</v>
      </c>
      <c r="Q262" s="299">
        <v>300</v>
      </c>
      <c r="R262" s="299"/>
      <c r="S262" s="355"/>
      <c r="T262" s="355"/>
      <c r="U262" s="355">
        <v>300</v>
      </c>
      <c r="V262" s="355"/>
      <c r="W262" s="355"/>
      <c r="X262" s="1137"/>
      <c r="Y262" s="1126"/>
      <c r="Z262" s="1194"/>
      <c r="AA262" s="1194"/>
      <c r="AB262" s="1194"/>
      <c r="AC262" s="1124"/>
      <c r="AD262" s="1124"/>
      <c r="AE262" s="1152"/>
      <c r="AF262" s="1124"/>
      <c r="AG262" s="547">
        <f t="shared" si="39"/>
        <v>300</v>
      </c>
    </row>
    <row r="263" spans="1:33" ht="32.25" hidden="1" customHeight="1">
      <c r="A263" s="294">
        <v>2121</v>
      </c>
      <c r="B263" s="291" t="s">
        <v>60</v>
      </c>
      <c r="C263" s="824" t="s">
        <v>307</v>
      </c>
      <c r="D263" s="326"/>
      <c r="E263" s="294">
        <v>2</v>
      </c>
      <c r="F263" s="293">
        <v>43227</v>
      </c>
      <c r="G263" s="293">
        <f t="shared" si="38"/>
        <v>43229</v>
      </c>
      <c r="H263" s="293" t="s">
        <v>294</v>
      </c>
      <c r="I263" s="294" t="s">
        <v>171</v>
      </c>
      <c r="J263" s="307" t="s">
        <v>295</v>
      </c>
      <c r="K263" s="1094" t="s">
        <v>312</v>
      </c>
      <c r="L263" s="1237">
        <v>23173</v>
      </c>
      <c r="M263" s="326"/>
      <c r="N263" s="294"/>
      <c r="O263" s="1110">
        <v>300</v>
      </c>
      <c r="P263" s="294">
        <v>1</v>
      </c>
      <c r="Q263" s="299">
        <v>100</v>
      </c>
      <c r="R263" s="299"/>
      <c r="S263" s="355"/>
      <c r="T263" s="355"/>
      <c r="U263" s="355">
        <v>100</v>
      </c>
      <c r="V263" s="355"/>
      <c r="W263" s="355"/>
      <c r="X263" s="1137"/>
      <c r="Y263" s="1126"/>
      <c r="Z263" s="1194"/>
      <c r="AA263" s="1194"/>
      <c r="AB263" s="1194"/>
      <c r="AC263" s="1124"/>
      <c r="AD263" s="1124"/>
      <c r="AE263" s="1152"/>
      <c r="AF263" s="1124"/>
      <c r="AG263" s="547">
        <f t="shared" si="39"/>
        <v>100</v>
      </c>
    </row>
    <row r="264" spans="1:33" ht="32.25" hidden="1" customHeight="1">
      <c r="A264" s="294">
        <v>2121</v>
      </c>
      <c r="B264" s="291" t="s">
        <v>60</v>
      </c>
      <c r="C264" s="824" t="s">
        <v>307</v>
      </c>
      <c r="D264" s="326"/>
      <c r="E264" s="294">
        <v>2</v>
      </c>
      <c r="F264" s="293">
        <v>43227</v>
      </c>
      <c r="G264" s="293">
        <f t="shared" si="38"/>
        <v>43229</v>
      </c>
      <c r="H264" s="293" t="s">
        <v>294</v>
      </c>
      <c r="I264" s="294" t="s">
        <v>171</v>
      </c>
      <c r="J264" s="307" t="s">
        <v>295</v>
      </c>
      <c r="K264" s="326" t="s">
        <v>302</v>
      </c>
      <c r="L264" s="1237">
        <v>23173</v>
      </c>
      <c r="M264" s="326"/>
      <c r="N264" s="294"/>
      <c r="O264" s="1110">
        <v>713</v>
      </c>
      <c r="P264" s="294">
        <v>1</v>
      </c>
      <c r="Q264" s="299">
        <v>237.66666666666666</v>
      </c>
      <c r="R264" s="299"/>
      <c r="S264" s="355"/>
      <c r="T264" s="355"/>
      <c r="U264" s="355">
        <v>237.66666666666666</v>
      </c>
      <c r="V264" s="355"/>
      <c r="W264" s="355"/>
      <c r="X264" s="1137"/>
      <c r="Y264" s="1126"/>
      <c r="Z264" s="1194"/>
      <c r="AA264" s="1194"/>
      <c r="AB264" s="1194"/>
      <c r="AC264" s="1124"/>
      <c r="AD264" s="1124"/>
      <c r="AE264" s="1152"/>
      <c r="AF264" s="1124"/>
      <c r="AG264" s="547">
        <f t="shared" si="39"/>
        <v>237.66666666666666</v>
      </c>
    </row>
    <row r="265" spans="1:33" ht="32.25" customHeight="1">
      <c r="A265" s="2789">
        <v>2122</v>
      </c>
      <c r="B265" s="2790" t="s">
        <v>313</v>
      </c>
      <c r="C265" s="2800" t="s">
        <v>314</v>
      </c>
      <c r="D265" s="2791"/>
      <c r="E265" s="2789">
        <v>60</v>
      </c>
      <c r="F265" s="2792">
        <v>43221</v>
      </c>
      <c r="G265" s="2792">
        <f t="shared" si="38"/>
        <v>43281</v>
      </c>
      <c r="H265" s="2792" t="s">
        <v>294</v>
      </c>
      <c r="I265" s="2789" t="s">
        <v>171</v>
      </c>
      <c r="J265" s="2793" t="s">
        <v>295</v>
      </c>
      <c r="K265" s="326" t="s">
        <v>315</v>
      </c>
      <c r="L265" s="1237">
        <v>2313</v>
      </c>
      <c r="M265" s="326"/>
      <c r="N265" s="294"/>
      <c r="O265" s="354">
        <v>3333.3333333333335</v>
      </c>
      <c r="P265" s="294">
        <v>1</v>
      </c>
      <c r="Q265" s="3017">
        <f>+O265*P265</f>
        <v>3333.3333333333335</v>
      </c>
      <c r="R265" s="299"/>
      <c r="S265" s="355"/>
      <c r="T265" s="355"/>
      <c r="U265" s="355">
        <v>3333.3333333333335</v>
      </c>
      <c r="V265" s="355"/>
      <c r="W265" s="355"/>
      <c r="X265" s="1137"/>
      <c r="Y265" s="1126"/>
      <c r="Z265" s="1194"/>
      <c r="AA265" s="1194"/>
      <c r="AB265" s="1194"/>
      <c r="AC265" s="1124"/>
      <c r="AD265" s="1124"/>
      <c r="AE265" s="1152"/>
      <c r="AF265" s="1124"/>
      <c r="AG265" s="547">
        <f t="shared" si="39"/>
        <v>3333.3333333333335</v>
      </c>
    </row>
    <row r="266" spans="1:33" ht="32.25" customHeight="1">
      <c r="A266" s="2789">
        <v>2123</v>
      </c>
      <c r="B266" s="2790" t="s">
        <v>316</v>
      </c>
      <c r="C266" s="2800" t="s">
        <v>314</v>
      </c>
      <c r="D266" s="2791"/>
      <c r="E266" s="2789">
        <v>60</v>
      </c>
      <c r="F266" s="2792">
        <v>43221</v>
      </c>
      <c r="G266" s="2792">
        <f t="shared" si="38"/>
        <v>43281</v>
      </c>
      <c r="H266" s="2792" t="s">
        <v>294</v>
      </c>
      <c r="I266" s="2789" t="s">
        <v>171</v>
      </c>
      <c r="J266" s="2793" t="s">
        <v>295</v>
      </c>
      <c r="K266" s="326" t="s">
        <v>317</v>
      </c>
      <c r="L266" s="1237">
        <v>2313</v>
      </c>
      <c r="M266" s="326"/>
      <c r="N266" s="294"/>
      <c r="O266" s="354">
        <v>2666.6666666666665</v>
      </c>
      <c r="P266" s="294">
        <v>1</v>
      </c>
      <c r="Q266" s="3017">
        <f>+O266*P266</f>
        <v>2666.6666666666665</v>
      </c>
      <c r="R266" s="299"/>
      <c r="S266" s="355"/>
      <c r="T266" s="355"/>
      <c r="U266" s="355">
        <v>2666.6666666666665</v>
      </c>
      <c r="V266" s="355"/>
      <c r="W266" s="355"/>
      <c r="X266" s="1137"/>
      <c r="Y266" s="1126"/>
      <c r="Z266" s="1194"/>
      <c r="AA266" s="1194"/>
      <c r="AB266" s="1194"/>
      <c r="AC266" s="1124"/>
      <c r="AD266" s="1124"/>
      <c r="AE266" s="1152"/>
      <c r="AF266" s="1124"/>
      <c r="AG266" s="547">
        <f t="shared" si="39"/>
        <v>2666.6666666666665</v>
      </c>
    </row>
    <row r="267" spans="1:33" ht="32.25" customHeight="1">
      <c r="A267" s="2789">
        <v>2124</v>
      </c>
      <c r="B267" s="2790" t="s">
        <v>318</v>
      </c>
      <c r="C267" s="2800" t="s">
        <v>319</v>
      </c>
      <c r="D267" s="2791"/>
      <c r="E267" s="2789">
        <v>15</v>
      </c>
      <c r="F267" s="2792">
        <v>43283</v>
      </c>
      <c r="G267" s="2792">
        <f t="shared" si="38"/>
        <v>43298</v>
      </c>
      <c r="H267" s="2792" t="s">
        <v>294</v>
      </c>
      <c r="I267" s="2789" t="s">
        <v>171</v>
      </c>
      <c r="J267" s="307" t="s">
        <v>295</v>
      </c>
      <c r="K267" s="1787" t="s">
        <v>320</v>
      </c>
      <c r="L267" s="1237">
        <v>23173</v>
      </c>
      <c r="M267" s="326"/>
      <c r="N267" s="294"/>
      <c r="O267" s="354">
        <v>16666.666666666668</v>
      </c>
      <c r="P267" s="354">
        <v>0.5</v>
      </c>
      <c r="Q267" s="3017">
        <f>+O267*P267</f>
        <v>8333.3333333333339</v>
      </c>
      <c r="R267" s="299"/>
      <c r="S267" s="355"/>
      <c r="T267" s="355"/>
      <c r="U267" s="355"/>
      <c r="V267" s="355"/>
      <c r="W267" s="355">
        <v>8333.3333333333339</v>
      </c>
      <c r="X267" s="1137"/>
      <c r="Y267" s="1126"/>
      <c r="Z267" s="1194"/>
      <c r="AA267" s="1194"/>
      <c r="AB267" s="1194"/>
      <c r="AC267" s="1124"/>
      <c r="AD267" s="1124"/>
      <c r="AE267" s="1152"/>
      <c r="AF267" s="1124"/>
      <c r="AG267" s="547">
        <f t="shared" si="39"/>
        <v>8333.3333333333339</v>
      </c>
    </row>
    <row r="268" spans="1:33" ht="32.25" customHeight="1">
      <c r="A268" s="2789">
        <v>2125</v>
      </c>
      <c r="B268" s="2790" t="s">
        <v>61</v>
      </c>
      <c r="C268" s="2801" t="s">
        <v>321</v>
      </c>
      <c r="D268" s="2791"/>
      <c r="E268" s="2789">
        <v>15</v>
      </c>
      <c r="F268" s="2792">
        <v>43304</v>
      </c>
      <c r="G268" s="2792">
        <f t="shared" si="38"/>
        <v>43319</v>
      </c>
      <c r="H268" s="2792" t="s">
        <v>294</v>
      </c>
      <c r="I268" s="2789" t="s">
        <v>171</v>
      </c>
      <c r="J268" s="307" t="s">
        <v>295</v>
      </c>
      <c r="K268" s="326" t="s">
        <v>322</v>
      </c>
      <c r="L268" s="1237">
        <v>2315</v>
      </c>
      <c r="M268" s="326"/>
      <c r="N268" s="294"/>
      <c r="O268" s="354">
        <v>333.33333333333331</v>
      </c>
      <c r="P268" s="294">
        <v>60</v>
      </c>
      <c r="Q268" s="3017">
        <f>+O268*P268</f>
        <v>20000</v>
      </c>
      <c r="R268" s="299"/>
      <c r="S268" s="355"/>
      <c r="T268" s="355"/>
      <c r="U268" s="355"/>
      <c r="V268" s="355"/>
      <c r="W268" s="355">
        <v>20000</v>
      </c>
      <c r="X268" s="1137"/>
      <c r="Y268" s="1126"/>
      <c r="Z268" s="1194"/>
      <c r="AA268" s="1194"/>
      <c r="AB268" s="1194"/>
      <c r="AC268" s="1124"/>
      <c r="AD268" s="1124"/>
      <c r="AE268" s="1152"/>
      <c r="AF268" s="1124"/>
      <c r="AG268" s="547">
        <f t="shared" si="39"/>
        <v>20000</v>
      </c>
    </row>
    <row r="269" spans="1:33" ht="29.25" customHeight="1">
      <c r="A269" s="1275">
        <v>213</v>
      </c>
      <c r="B269" s="995" t="s">
        <v>323</v>
      </c>
      <c r="C269" s="1083"/>
      <c r="D269" s="1339"/>
      <c r="E269" s="1340"/>
      <c r="F269" s="1340"/>
      <c r="G269" s="1340"/>
      <c r="H269" s="1339"/>
      <c r="I269" s="1341"/>
      <c r="J269" s="283"/>
      <c r="K269" s="1278"/>
      <c r="L269" s="1279"/>
      <c r="M269" s="1280"/>
      <c r="N269" s="1277"/>
      <c r="O269" s="1281"/>
      <c r="P269" s="1277"/>
      <c r="Q269" s="547">
        <f>SUM(Q271:Q290)</f>
        <v>127504</v>
      </c>
      <c r="R269" s="287"/>
      <c r="S269" s="1282">
        <f t="shared" ref="S269:AF269" si="40">SUM(S271:S290)</f>
        <v>0</v>
      </c>
      <c r="T269" s="1282">
        <f t="shared" si="40"/>
        <v>0</v>
      </c>
      <c r="U269" s="1282">
        <f t="shared" si="40"/>
        <v>0</v>
      </c>
      <c r="V269" s="1282">
        <f t="shared" si="40"/>
        <v>0</v>
      </c>
      <c r="W269" s="1282">
        <f t="shared" si="40"/>
        <v>4680</v>
      </c>
      <c r="X269" s="1342">
        <f t="shared" si="40"/>
        <v>45624</v>
      </c>
      <c r="Y269" s="1343">
        <f t="shared" si="40"/>
        <v>77200</v>
      </c>
      <c r="Z269" s="1151">
        <f t="shared" si="40"/>
        <v>0</v>
      </c>
      <c r="AA269" s="1151">
        <f t="shared" si="40"/>
        <v>0</v>
      </c>
      <c r="AB269" s="1151">
        <f t="shared" si="40"/>
        <v>0</v>
      </c>
      <c r="AC269" s="1151">
        <f t="shared" si="40"/>
        <v>0</v>
      </c>
      <c r="AD269" s="1151">
        <f t="shared" si="40"/>
        <v>0</v>
      </c>
      <c r="AE269" s="1151">
        <f t="shared" si="40"/>
        <v>0</v>
      </c>
      <c r="AF269" s="1151">
        <f t="shared" si="40"/>
        <v>0</v>
      </c>
      <c r="AG269" s="3004">
        <f>SUM(S269:AF269)</f>
        <v>127504</v>
      </c>
    </row>
    <row r="270" spans="1:33" ht="29.25" customHeight="1">
      <c r="A270" s="2789">
        <v>2131</v>
      </c>
      <c r="B270" s="2790" t="s">
        <v>62</v>
      </c>
      <c r="C270" s="2800" t="s">
        <v>324</v>
      </c>
      <c r="D270" s="2791"/>
      <c r="E270" s="2789">
        <v>1</v>
      </c>
      <c r="F270" s="2792">
        <v>43318</v>
      </c>
      <c r="G270" s="2792">
        <f>+E270+F270</f>
        <v>43319</v>
      </c>
      <c r="H270" s="2792" t="s">
        <v>294</v>
      </c>
      <c r="I270" s="2789" t="s">
        <v>171</v>
      </c>
      <c r="J270" s="2793" t="s">
        <v>295</v>
      </c>
      <c r="K270" s="1705"/>
      <c r="L270" s="2786"/>
      <c r="M270" s="2736"/>
      <c r="N270" s="2737"/>
      <c r="O270" s="2738"/>
      <c r="P270" s="2737"/>
      <c r="Q270" s="3017">
        <v>9360</v>
      </c>
      <c r="R270" s="2787"/>
      <c r="S270" s="2739"/>
      <c r="T270" s="2739"/>
      <c r="U270" s="2739"/>
      <c r="V270" s="2739"/>
      <c r="W270" s="2739"/>
      <c r="X270" s="2788"/>
      <c r="Y270" s="2739"/>
      <c r="Z270" s="2832"/>
      <c r="AA270" s="2832"/>
      <c r="AB270" s="2832"/>
      <c r="AC270" s="2832"/>
      <c r="AD270" s="2832"/>
      <c r="AE270" s="2832"/>
      <c r="AF270" s="2832"/>
      <c r="AG270" s="3005"/>
    </row>
    <row r="271" spans="1:33" ht="47.25" hidden="1">
      <c r="A271" s="294">
        <v>2131</v>
      </c>
      <c r="B271" s="291" t="s">
        <v>62</v>
      </c>
      <c r="C271" s="1834" t="s">
        <v>324</v>
      </c>
      <c r="D271" s="326"/>
      <c r="E271" s="294">
        <v>1</v>
      </c>
      <c r="F271" s="293">
        <v>43318</v>
      </c>
      <c r="G271" s="293">
        <f t="shared" ref="G271:G290" si="41">+E271+F271</f>
        <v>43319</v>
      </c>
      <c r="H271" s="293" t="s">
        <v>294</v>
      </c>
      <c r="I271" s="294" t="s">
        <v>171</v>
      </c>
      <c r="J271" s="307" t="s">
        <v>295</v>
      </c>
      <c r="K271" s="1094" t="s">
        <v>296</v>
      </c>
      <c r="L271" s="1237">
        <v>23174</v>
      </c>
      <c r="M271" s="326"/>
      <c r="N271" s="294"/>
      <c r="O271" s="354">
        <v>36</v>
      </c>
      <c r="P271" s="887">
        <v>60</v>
      </c>
      <c r="Q271" s="299">
        <f t="shared" ref="Q271:Q290" si="42">+O271*P271</f>
        <v>2160</v>
      </c>
      <c r="R271" s="299"/>
      <c r="S271" s="355"/>
      <c r="T271" s="355"/>
      <c r="U271" s="355"/>
      <c r="V271" s="355"/>
      <c r="W271" s="355">
        <v>1080</v>
      </c>
      <c r="X271" s="1137">
        <v>1080</v>
      </c>
      <c r="Y271" s="1126"/>
      <c r="Z271" s="1194"/>
      <c r="AA271" s="1194"/>
      <c r="AB271" s="1194"/>
      <c r="AC271" s="1124"/>
      <c r="AD271" s="1124"/>
      <c r="AE271" s="1152"/>
      <c r="AF271" s="1124"/>
      <c r="AG271" s="547">
        <f t="shared" ref="AG271:AG290" si="43">SUM(S271:AF271)</f>
        <v>2160</v>
      </c>
    </row>
    <row r="272" spans="1:33" ht="47.25" hidden="1">
      <c r="A272" s="294">
        <v>2131</v>
      </c>
      <c r="B272" s="291" t="s">
        <v>62</v>
      </c>
      <c r="C272" s="1834" t="s">
        <v>324</v>
      </c>
      <c r="D272" s="326"/>
      <c r="E272" s="294">
        <v>1</v>
      </c>
      <c r="F272" s="293">
        <v>43304</v>
      </c>
      <c r="G272" s="293">
        <f t="shared" si="41"/>
        <v>43305</v>
      </c>
      <c r="H272" s="293" t="s">
        <v>294</v>
      </c>
      <c r="I272" s="294" t="s">
        <v>171</v>
      </c>
      <c r="J272" s="307" t="s">
        <v>295</v>
      </c>
      <c r="K272" s="1094" t="s">
        <v>325</v>
      </c>
      <c r="L272" s="1237">
        <v>23174</v>
      </c>
      <c r="M272" s="326"/>
      <c r="N272" s="294"/>
      <c r="O272" s="354">
        <v>10</v>
      </c>
      <c r="P272" s="887">
        <v>60</v>
      </c>
      <c r="Q272" s="299">
        <f t="shared" si="42"/>
        <v>600</v>
      </c>
      <c r="R272" s="299"/>
      <c r="S272" s="355"/>
      <c r="T272" s="355"/>
      <c r="U272" s="355"/>
      <c r="V272" s="355"/>
      <c r="W272" s="355">
        <v>300</v>
      </c>
      <c r="X272" s="1137">
        <v>300</v>
      </c>
      <c r="Y272" s="1126"/>
      <c r="Z272" s="1194"/>
      <c r="AA272" s="1194"/>
      <c r="AB272" s="1194"/>
      <c r="AC272" s="1124"/>
      <c r="AD272" s="1124"/>
      <c r="AE272" s="1152"/>
      <c r="AF272" s="1124"/>
      <c r="AG272" s="547">
        <f t="shared" si="43"/>
        <v>600</v>
      </c>
    </row>
    <row r="273" spans="1:33" ht="47.25" hidden="1">
      <c r="A273" s="294">
        <v>2131</v>
      </c>
      <c r="B273" s="291" t="s">
        <v>62</v>
      </c>
      <c r="C273" s="1834" t="s">
        <v>324</v>
      </c>
      <c r="D273" s="326"/>
      <c r="E273" s="294">
        <v>1</v>
      </c>
      <c r="F273" s="293">
        <v>43304</v>
      </c>
      <c r="G273" s="293">
        <f t="shared" si="41"/>
        <v>43305</v>
      </c>
      <c r="H273" s="293" t="s">
        <v>294</v>
      </c>
      <c r="I273" s="294" t="s">
        <v>171</v>
      </c>
      <c r="J273" s="307" t="s">
        <v>295</v>
      </c>
      <c r="K273" s="1094" t="s">
        <v>326</v>
      </c>
      <c r="L273" s="1237">
        <v>23174</v>
      </c>
      <c r="M273" s="326"/>
      <c r="N273" s="294"/>
      <c r="O273" s="354">
        <v>100</v>
      </c>
      <c r="P273" s="887">
        <v>60</v>
      </c>
      <c r="Q273" s="299">
        <f t="shared" si="42"/>
        <v>6000</v>
      </c>
      <c r="R273" s="299"/>
      <c r="S273" s="355"/>
      <c r="T273" s="355"/>
      <c r="U273" s="355"/>
      <c r="V273" s="355"/>
      <c r="W273" s="355">
        <v>3000</v>
      </c>
      <c r="X273" s="1137">
        <v>3000</v>
      </c>
      <c r="Y273" s="1126"/>
      <c r="Z273" s="1194"/>
      <c r="AA273" s="1194"/>
      <c r="AB273" s="1194"/>
      <c r="AC273" s="1124"/>
      <c r="AD273" s="1124"/>
      <c r="AE273" s="1152"/>
      <c r="AF273" s="1124"/>
      <c r="AG273" s="547">
        <f t="shared" si="43"/>
        <v>6000</v>
      </c>
    </row>
    <row r="274" spans="1:33" ht="47.25" hidden="1">
      <c r="A274" s="294">
        <v>2131</v>
      </c>
      <c r="B274" s="291" t="s">
        <v>62</v>
      </c>
      <c r="C274" s="1834" t="s">
        <v>324</v>
      </c>
      <c r="D274" s="326"/>
      <c r="E274" s="294">
        <v>1</v>
      </c>
      <c r="F274" s="293">
        <v>43304</v>
      </c>
      <c r="G274" s="293">
        <f t="shared" si="41"/>
        <v>43305</v>
      </c>
      <c r="H274" s="293" t="s">
        <v>294</v>
      </c>
      <c r="I274" s="294" t="s">
        <v>171</v>
      </c>
      <c r="J274" s="307" t="s">
        <v>295</v>
      </c>
      <c r="K274" s="1094" t="s">
        <v>312</v>
      </c>
      <c r="L274" s="1237">
        <v>23173</v>
      </c>
      <c r="M274" s="326"/>
      <c r="N274" s="294"/>
      <c r="O274" s="354">
        <v>10</v>
      </c>
      <c r="P274" s="887">
        <v>60</v>
      </c>
      <c r="Q274" s="299">
        <f t="shared" si="42"/>
        <v>600</v>
      </c>
      <c r="R274" s="299"/>
      <c r="S274" s="355"/>
      <c r="T274" s="355"/>
      <c r="U274" s="355"/>
      <c r="V274" s="355"/>
      <c r="W274" s="355">
        <v>300</v>
      </c>
      <c r="X274" s="1137">
        <v>300</v>
      </c>
      <c r="Y274" s="1126"/>
      <c r="Z274" s="1194"/>
      <c r="AA274" s="1194"/>
      <c r="AB274" s="1194"/>
      <c r="AC274" s="1124"/>
      <c r="AD274" s="1124"/>
      <c r="AE274" s="1152"/>
      <c r="AF274" s="1124"/>
      <c r="AG274" s="547">
        <f t="shared" si="43"/>
        <v>600</v>
      </c>
    </row>
    <row r="275" spans="1:33" ht="31.5">
      <c r="A275" s="2789">
        <v>2132</v>
      </c>
      <c r="B275" s="2790" t="s">
        <v>63</v>
      </c>
      <c r="C275" s="2800" t="s">
        <v>327</v>
      </c>
      <c r="D275" s="2791"/>
      <c r="E275" s="2789">
        <v>3</v>
      </c>
      <c r="F275" s="2792">
        <v>43318</v>
      </c>
      <c r="G275" s="2792">
        <f>+E275+F275</f>
        <v>43321</v>
      </c>
      <c r="H275" s="2792" t="s">
        <v>294</v>
      </c>
      <c r="I275" s="2789" t="s">
        <v>171</v>
      </c>
      <c r="J275" s="2793" t="s">
        <v>295</v>
      </c>
      <c r="K275" s="2833"/>
      <c r="L275" s="1704"/>
      <c r="M275" s="1124"/>
      <c r="N275" s="1703"/>
      <c r="O275" s="1125"/>
      <c r="P275" s="2834"/>
      <c r="Q275" s="1127"/>
      <c r="R275" s="1127"/>
      <c r="S275" s="1126"/>
      <c r="T275" s="1126"/>
      <c r="U275" s="1126"/>
      <c r="V275" s="1126"/>
      <c r="W275" s="1126"/>
      <c r="X275" s="2835"/>
      <c r="Y275" s="1126"/>
      <c r="Z275" s="1194"/>
      <c r="AA275" s="1194"/>
      <c r="AB275" s="1194"/>
      <c r="AC275" s="1124"/>
      <c r="AD275" s="1124"/>
      <c r="AE275" s="1152"/>
      <c r="AF275" s="1124"/>
      <c r="AG275" s="2355"/>
    </row>
    <row r="276" spans="1:33" ht="32.25" hidden="1" customHeight="1">
      <c r="A276" s="294">
        <v>2132</v>
      </c>
      <c r="B276" s="291" t="s">
        <v>63</v>
      </c>
      <c r="C276" s="1834" t="s">
        <v>327</v>
      </c>
      <c r="D276" s="326"/>
      <c r="E276" s="294">
        <v>3</v>
      </c>
      <c r="F276" s="293">
        <v>43318</v>
      </c>
      <c r="G276" s="293">
        <f t="shared" si="41"/>
        <v>43321</v>
      </c>
      <c r="H276" s="293" t="s">
        <v>294</v>
      </c>
      <c r="I276" s="294" t="s">
        <v>171</v>
      </c>
      <c r="J276" s="307" t="s">
        <v>295</v>
      </c>
      <c r="K276" s="1094" t="s">
        <v>328</v>
      </c>
      <c r="L276" s="1237">
        <v>23174</v>
      </c>
      <c r="M276" s="326"/>
      <c r="N276" s="294"/>
      <c r="O276" s="354">
        <v>380</v>
      </c>
      <c r="P276" s="887">
        <v>3</v>
      </c>
      <c r="Q276" s="299">
        <f t="shared" si="42"/>
        <v>1140</v>
      </c>
      <c r="R276" s="299"/>
      <c r="S276" s="355"/>
      <c r="T276" s="355"/>
      <c r="U276" s="355"/>
      <c r="V276" s="355"/>
      <c r="W276" s="355"/>
      <c r="X276" s="1137">
        <v>1140</v>
      </c>
      <c r="Y276" s="1126"/>
      <c r="Z276" s="1194"/>
      <c r="AA276" s="1194"/>
      <c r="AB276" s="1194"/>
      <c r="AC276" s="1124"/>
      <c r="AD276" s="1124"/>
      <c r="AE276" s="1152"/>
      <c r="AF276" s="1124"/>
      <c r="AG276" s="547">
        <f t="shared" si="43"/>
        <v>1140</v>
      </c>
    </row>
    <row r="277" spans="1:33" ht="32.25" hidden="1" customHeight="1">
      <c r="A277" s="294">
        <v>2132</v>
      </c>
      <c r="B277" s="291" t="s">
        <v>63</v>
      </c>
      <c r="C277" s="1834" t="s">
        <v>327</v>
      </c>
      <c r="D277" s="326"/>
      <c r="E277" s="294">
        <v>3</v>
      </c>
      <c r="F277" s="293">
        <v>43318</v>
      </c>
      <c r="G277" s="293">
        <f t="shared" si="41"/>
        <v>43321</v>
      </c>
      <c r="H277" s="293" t="s">
        <v>294</v>
      </c>
      <c r="I277" s="294" t="s">
        <v>171</v>
      </c>
      <c r="J277" s="307" t="s">
        <v>295</v>
      </c>
      <c r="K277" s="1094" t="s">
        <v>325</v>
      </c>
      <c r="L277" s="1237">
        <v>23174</v>
      </c>
      <c r="M277" s="326"/>
      <c r="N277" s="294"/>
      <c r="O277" s="354">
        <v>96.666666666666671</v>
      </c>
      <c r="P277" s="887">
        <v>3</v>
      </c>
      <c r="Q277" s="299">
        <f t="shared" si="42"/>
        <v>290</v>
      </c>
      <c r="R277" s="299"/>
      <c r="S277" s="355"/>
      <c r="T277" s="355"/>
      <c r="U277" s="355"/>
      <c r="V277" s="355"/>
      <c r="W277" s="355"/>
      <c r="X277" s="1137">
        <v>290</v>
      </c>
      <c r="Y277" s="1126"/>
      <c r="Z277" s="1194"/>
      <c r="AA277" s="1194"/>
      <c r="AB277" s="1194"/>
      <c r="AC277" s="1124"/>
      <c r="AD277" s="1124"/>
      <c r="AE277" s="1152"/>
      <c r="AF277" s="1124"/>
      <c r="AG277" s="547">
        <f t="shared" si="43"/>
        <v>290</v>
      </c>
    </row>
    <row r="278" spans="1:33" ht="32.25" hidden="1" customHeight="1">
      <c r="A278" s="294">
        <v>2132</v>
      </c>
      <c r="B278" s="291" t="s">
        <v>63</v>
      </c>
      <c r="C278" s="1834" t="s">
        <v>327</v>
      </c>
      <c r="D278" s="326"/>
      <c r="E278" s="294">
        <v>3</v>
      </c>
      <c r="F278" s="293">
        <v>43318</v>
      </c>
      <c r="G278" s="293">
        <f t="shared" si="41"/>
        <v>43321</v>
      </c>
      <c r="H278" s="293" t="s">
        <v>294</v>
      </c>
      <c r="I278" s="294" t="s">
        <v>171</v>
      </c>
      <c r="J278" s="307" t="s">
        <v>295</v>
      </c>
      <c r="K278" s="1094" t="s">
        <v>329</v>
      </c>
      <c r="L278" s="1237">
        <v>23174</v>
      </c>
      <c r="M278" s="326"/>
      <c r="N278" s="294"/>
      <c r="O278" s="354">
        <v>1000</v>
      </c>
      <c r="P278" s="887">
        <v>3</v>
      </c>
      <c r="Q278" s="299">
        <f t="shared" si="42"/>
        <v>3000</v>
      </c>
      <c r="R278" s="299"/>
      <c r="S278" s="355"/>
      <c r="T278" s="355"/>
      <c r="U278" s="355"/>
      <c r="V278" s="355"/>
      <c r="W278" s="355"/>
      <c r="X278" s="1137">
        <v>3000</v>
      </c>
      <c r="Y278" s="1126"/>
      <c r="Z278" s="1194"/>
      <c r="AA278" s="1194"/>
      <c r="AB278" s="1194"/>
      <c r="AC278" s="1124"/>
      <c r="AD278" s="1124"/>
      <c r="AE278" s="1152"/>
      <c r="AF278" s="1124"/>
      <c r="AG278" s="547">
        <f t="shared" si="43"/>
        <v>3000</v>
      </c>
    </row>
    <row r="279" spans="1:33" ht="32.25" hidden="1" customHeight="1">
      <c r="A279" s="294">
        <v>2132</v>
      </c>
      <c r="B279" s="291" t="s">
        <v>63</v>
      </c>
      <c r="C279" s="1834" t="s">
        <v>327</v>
      </c>
      <c r="D279" s="326"/>
      <c r="E279" s="294">
        <v>3</v>
      </c>
      <c r="F279" s="293">
        <v>43318</v>
      </c>
      <c r="G279" s="293">
        <f t="shared" si="41"/>
        <v>43321</v>
      </c>
      <c r="H279" s="293" t="s">
        <v>294</v>
      </c>
      <c r="I279" s="294" t="s">
        <v>171</v>
      </c>
      <c r="J279" s="307" t="s">
        <v>295</v>
      </c>
      <c r="K279" s="1094" t="s">
        <v>326</v>
      </c>
      <c r="L279" s="1237">
        <v>23174</v>
      </c>
      <c r="M279" s="294"/>
      <c r="N279" s="294"/>
      <c r="O279" s="354">
        <v>100</v>
      </c>
      <c r="P279" s="887">
        <v>3</v>
      </c>
      <c r="Q279" s="299">
        <f t="shared" si="42"/>
        <v>300</v>
      </c>
      <c r="R279" s="299"/>
      <c r="S279" s="355"/>
      <c r="T279" s="355"/>
      <c r="U279" s="355"/>
      <c r="V279" s="355"/>
      <c r="W279" s="355"/>
      <c r="X279" s="1137">
        <v>300</v>
      </c>
      <c r="Y279" s="1126"/>
      <c r="Z279" s="1194"/>
      <c r="AA279" s="1194"/>
      <c r="AB279" s="1194"/>
      <c r="AC279" s="1124"/>
      <c r="AD279" s="1124"/>
      <c r="AE279" s="1152"/>
      <c r="AF279" s="1124"/>
      <c r="AG279" s="547">
        <f t="shared" si="43"/>
        <v>300</v>
      </c>
    </row>
    <row r="280" spans="1:33" ht="32.25" customHeight="1">
      <c r="A280" s="2789">
        <v>2133</v>
      </c>
      <c r="B280" s="2790" t="s">
        <v>64</v>
      </c>
      <c r="C280" s="2801" t="s">
        <v>330</v>
      </c>
      <c r="D280" s="2791"/>
      <c r="E280" s="2789">
        <v>2</v>
      </c>
      <c r="F280" s="2792">
        <v>43325</v>
      </c>
      <c r="G280" s="2792">
        <f>+E280+F280</f>
        <v>43327</v>
      </c>
      <c r="H280" s="2792" t="s">
        <v>294</v>
      </c>
      <c r="I280" s="2789" t="s">
        <v>171</v>
      </c>
      <c r="J280" s="2793" t="s">
        <v>295</v>
      </c>
      <c r="K280" s="2833"/>
      <c r="L280" s="1704"/>
      <c r="M280" s="1703"/>
      <c r="N280" s="1703"/>
      <c r="O280" s="1125"/>
      <c r="P280" s="2834"/>
      <c r="Q280" s="1127"/>
      <c r="R280" s="1127"/>
      <c r="S280" s="1126"/>
      <c r="T280" s="1126"/>
      <c r="U280" s="1126"/>
      <c r="V280" s="1126"/>
      <c r="W280" s="1126"/>
      <c r="X280" s="2835"/>
      <c r="Y280" s="1126"/>
      <c r="Z280" s="1194"/>
      <c r="AA280" s="1194"/>
      <c r="AB280" s="1194"/>
      <c r="AC280" s="1124"/>
      <c r="AD280" s="1124"/>
      <c r="AE280" s="1152"/>
      <c r="AF280" s="1124"/>
      <c r="AG280" s="2355"/>
    </row>
    <row r="281" spans="1:33" ht="32.25" hidden="1" customHeight="1">
      <c r="A281" s="294">
        <v>2133</v>
      </c>
      <c r="B281" s="291" t="s">
        <v>64</v>
      </c>
      <c r="C281" s="1835" t="s">
        <v>330</v>
      </c>
      <c r="D281" s="326"/>
      <c r="E281" s="294">
        <v>2</v>
      </c>
      <c r="F281" s="293">
        <v>43325</v>
      </c>
      <c r="G281" s="293">
        <f t="shared" si="41"/>
        <v>43327</v>
      </c>
      <c r="H281" s="293" t="s">
        <v>294</v>
      </c>
      <c r="I281" s="294" t="s">
        <v>171</v>
      </c>
      <c r="J281" s="307" t="s">
        <v>295</v>
      </c>
      <c r="K281" s="1094" t="s">
        <v>296</v>
      </c>
      <c r="L281" s="1237">
        <v>23174</v>
      </c>
      <c r="M281" s="294"/>
      <c r="N281" s="294"/>
      <c r="O281" s="354">
        <v>900</v>
      </c>
      <c r="P281" s="887">
        <v>3</v>
      </c>
      <c r="Q281" s="299">
        <f t="shared" si="42"/>
        <v>2700</v>
      </c>
      <c r="R281" s="299"/>
      <c r="S281" s="355"/>
      <c r="T281" s="355"/>
      <c r="U281" s="355"/>
      <c r="V281" s="355"/>
      <c r="W281" s="355"/>
      <c r="X281" s="1137">
        <v>2700</v>
      </c>
      <c r="Y281" s="1126"/>
      <c r="Z281" s="1194"/>
      <c r="AA281" s="1194"/>
      <c r="AB281" s="1194"/>
      <c r="AC281" s="1124"/>
      <c r="AD281" s="1124"/>
      <c r="AE281" s="1152"/>
      <c r="AF281" s="1124"/>
      <c r="AG281" s="547">
        <f t="shared" si="43"/>
        <v>2700</v>
      </c>
    </row>
    <row r="282" spans="1:33" ht="32.25" hidden="1" customHeight="1">
      <c r="A282" s="294">
        <v>2133</v>
      </c>
      <c r="B282" s="291" t="s">
        <v>64</v>
      </c>
      <c r="C282" s="1835" t="s">
        <v>330</v>
      </c>
      <c r="D282" s="326"/>
      <c r="E282" s="294">
        <v>2</v>
      </c>
      <c r="F282" s="293">
        <v>43325</v>
      </c>
      <c r="G282" s="293">
        <f t="shared" si="41"/>
        <v>43327</v>
      </c>
      <c r="H282" s="293" t="s">
        <v>294</v>
      </c>
      <c r="I282" s="294" t="s">
        <v>171</v>
      </c>
      <c r="J282" s="307" t="s">
        <v>295</v>
      </c>
      <c r="K282" s="1094" t="s">
        <v>297</v>
      </c>
      <c r="L282" s="1237">
        <v>23174</v>
      </c>
      <c r="M282" s="294"/>
      <c r="N282" s="294"/>
      <c r="O282" s="354">
        <v>101.33333333333333</v>
      </c>
      <c r="P282" s="887">
        <v>3</v>
      </c>
      <c r="Q282" s="299">
        <f t="shared" si="42"/>
        <v>304</v>
      </c>
      <c r="R282" s="299"/>
      <c r="S282" s="355"/>
      <c r="T282" s="355"/>
      <c r="U282" s="355"/>
      <c r="V282" s="355"/>
      <c r="W282" s="355"/>
      <c r="X282" s="1137">
        <v>304</v>
      </c>
      <c r="Y282" s="1126"/>
      <c r="Z282" s="1194"/>
      <c r="AA282" s="1194"/>
      <c r="AB282" s="1194"/>
      <c r="AC282" s="1124"/>
      <c r="AD282" s="1124"/>
      <c r="AE282" s="1152"/>
      <c r="AF282" s="1124"/>
      <c r="AG282" s="547">
        <f t="shared" si="43"/>
        <v>304</v>
      </c>
    </row>
    <row r="283" spans="1:33" ht="32.25" hidden="1" customHeight="1">
      <c r="A283" s="294">
        <v>2133</v>
      </c>
      <c r="B283" s="291" t="s">
        <v>64</v>
      </c>
      <c r="C283" s="1835" t="s">
        <v>330</v>
      </c>
      <c r="D283" s="326"/>
      <c r="E283" s="294">
        <v>2</v>
      </c>
      <c r="F283" s="293">
        <v>43325</v>
      </c>
      <c r="G283" s="293">
        <f t="shared" si="41"/>
        <v>43327</v>
      </c>
      <c r="H283" s="293" t="s">
        <v>294</v>
      </c>
      <c r="I283" s="294" t="s">
        <v>171</v>
      </c>
      <c r="J283" s="307" t="s">
        <v>295</v>
      </c>
      <c r="K283" s="1094" t="s">
        <v>331</v>
      </c>
      <c r="L283" s="1237">
        <v>23174</v>
      </c>
      <c r="M283" s="294"/>
      <c r="N283" s="294"/>
      <c r="O283" s="354">
        <v>112</v>
      </c>
      <c r="P283" s="887">
        <v>3</v>
      </c>
      <c r="Q283" s="299">
        <f t="shared" si="42"/>
        <v>336</v>
      </c>
      <c r="R283" s="299"/>
      <c r="S283" s="355"/>
      <c r="T283" s="355"/>
      <c r="U283" s="355"/>
      <c r="V283" s="355"/>
      <c r="W283" s="355"/>
      <c r="X283" s="1137">
        <v>336</v>
      </c>
      <c r="Y283" s="1126"/>
      <c r="Z283" s="1194"/>
      <c r="AA283" s="1194"/>
      <c r="AB283" s="1194"/>
      <c r="AC283" s="1124"/>
      <c r="AD283" s="1124"/>
      <c r="AE283" s="1152"/>
      <c r="AF283" s="1124"/>
      <c r="AG283" s="547">
        <f t="shared" si="43"/>
        <v>336</v>
      </c>
    </row>
    <row r="284" spans="1:33" ht="32.25" hidden="1" customHeight="1">
      <c r="A284" s="294">
        <v>2133</v>
      </c>
      <c r="B284" s="291" t="s">
        <v>64</v>
      </c>
      <c r="C284" s="1835" t="s">
        <v>330</v>
      </c>
      <c r="D284" s="326"/>
      <c r="E284" s="294">
        <v>2</v>
      </c>
      <c r="F284" s="293">
        <v>43325</v>
      </c>
      <c r="G284" s="293">
        <f t="shared" si="41"/>
        <v>43327</v>
      </c>
      <c r="H284" s="293" t="s">
        <v>294</v>
      </c>
      <c r="I284" s="294" t="s">
        <v>171</v>
      </c>
      <c r="J284" s="307" t="s">
        <v>295</v>
      </c>
      <c r="K284" s="1094" t="s">
        <v>332</v>
      </c>
      <c r="L284" s="1237">
        <v>23174</v>
      </c>
      <c r="M284" s="294"/>
      <c r="N284" s="294"/>
      <c r="O284" s="354">
        <v>166.66666666666666</v>
      </c>
      <c r="P284" s="887">
        <v>3</v>
      </c>
      <c r="Q284" s="299">
        <f t="shared" si="42"/>
        <v>500</v>
      </c>
      <c r="R284" s="299"/>
      <c r="S284" s="355"/>
      <c r="T284" s="355"/>
      <c r="U284" s="355"/>
      <c r="V284" s="355"/>
      <c r="W284" s="355"/>
      <c r="X284" s="1137">
        <v>500</v>
      </c>
      <c r="Y284" s="1126"/>
      <c r="Z284" s="1194"/>
      <c r="AA284" s="1194"/>
      <c r="AB284" s="1194"/>
      <c r="AC284" s="1124"/>
      <c r="AD284" s="1124"/>
      <c r="AE284" s="1152"/>
      <c r="AF284" s="1124"/>
      <c r="AG284" s="547">
        <f t="shared" si="43"/>
        <v>500</v>
      </c>
    </row>
    <row r="285" spans="1:33" ht="32.25" hidden="1" customHeight="1">
      <c r="A285" s="294">
        <v>2133</v>
      </c>
      <c r="B285" s="291" t="s">
        <v>64</v>
      </c>
      <c r="C285" s="1835" t="s">
        <v>330</v>
      </c>
      <c r="D285" s="326"/>
      <c r="E285" s="294">
        <v>2</v>
      </c>
      <c r="F285" s="293">
        <v>43325</v>
      </c>
      <c r="G285" s="293">
        <f t="shared" si="41"/>
        <v>43327</v>
      </c>
      <c r="H285" s="293" t="s">
        <v>294</v>
      </c>
      <c r="I285" s="294" t="s">
        <v>171</v>
      </c>
      <c r="J285" s="307" t="s">
        <v>295</v>
      </c>
      <c r="K285" s="1094" t="s">
        <v>311</v>
      </c>
      <c r="L285" s="1237">
        <v>23174</v>
      </c>
      <c r="M285" s="294"/>
      <c r="N285" s="294"/>
      <c r="O285" s="354">
        <v>426.66666666666669</v>
      </c>
      <c r="P285" s="887">
        <v>3</v>
      </c>
      <c r="Q285" s="299">
        <f t="shared" si="42"/>
        <v>1280</v>
      </c>
      <c r="R285" s="299"/>
      <c r="S285" s="355"/>
      <c r="T285" s="355"/>
      <c r="U285" s="355"/>
      <c r="V285" s="355"/>
      <c r="W285" s="355"/>
      <c r="X285" s="1137">
        <v>1280</v>
      </c>
      <c r="Y285" s="1126"/>
      <c r="Z285" s="1194"/>
      <c r="AA285" s="1194"/>
      <c r="AB285" s="1194"/>
      <c r="AC285" s="1124"/>
      <c r="AD285" s="1124"/>
      <c r="AE285" s="1152"/>
      <c r="AF285" s="1124"/>
      <c r="AG285" s="547">
        <f t="shared" si="43"/>
        <v>1280</v>
      </c>
    </row>
    <row r="286" spans="1:33" ht="32.25" hidden="1" customHeight="1">
      <c r="A286" s="294">
        <v>2133</v>
      </c>
      <c r="B286" s="291" t="s">
        <v>64</v>
      </c>
      <c r="C286" s="1835" t="s">
        <v>330</v>
      </c>
      <c r="D286" s="326"/>
      <c r="E286" s="294">
        <v>2</v>
      </c>
      <c r="F286" s="293">
        <v>43325</v>
      </c>
      <c r="G286" s="293">
        <f t="shared" si="41"/>
        <v>43327</v>
      </c>
      <c r="H286" s="293" t="s">
        <v>294</v>
      </c>
      <c r="I286" s="294" t="s">
        <v>171</v>
      </c>
      <c r="J286" s="307" t="s">
        <v>295</v>
      </c>
      <c r="K286" s="1094" t="s">
        <v>301</v>
      </c>
      <c r="L286" s="1237">
        <v>23173</v>
      </c>
      <c r="M286" s="294"/>
      <c r="N286" s="294"/>
      <c r="O286" s="354">
        <v>33.333333333333336</v>
      </c>
      <c r="P286" s="887">
        <v>3</v>
      </c>
      <c r="Q286" s="299">
        <f t="shared" si="42"/>
        <v>100</v>
      </c>
      <c r="R286" s="299"/>
      <c r="S286" s="355"/>
      <c r="T286" s="355"/>
      <c r="U286" s="355"/>
      <c r="V286" s="355"/>
      <c r="W286" s="355"/>
      <c r="X286" s="1137">
        <v>100</v>
      </c>
      <c r="Y286" s="1126"/>
      <c r="Z286" s="1194"/>
      <c r="AA286" s="1194"/>
      <c r="AB286" s="1194"/>
      <c r="AC286" s="1124"/>
      <c r="AD286" s="1124"/>
      <c r="AE286" s="1152"/>
      <c r="AF286" s="1124"/>
      <c r="AG286" s="547">
        <f t="shared" si="43"/>
        <v>100</v>
      </c>
    </row>
    <row r="287" spans="1:33" ht="32.25" hidden="1" customHeight="1">
      <c r="A287" s="294">
        <v>2133</v>
      </c>
      <c r="B287" s="291" t="s">
        <v>64</v>
      </c>
      <c r="C287" s="1835" t="s">
        <v>330</v>
      </c>
      <c r="D287" s="326"/>
      <c r="E287" s="294">
        <v>2</v>
      </c>
      <c r="F287" s="293">
        <v>43325</v>
      </c>
      <c r="G287" s="293">
        <f t="shared" si="41"/>
        <v>43327</v>
      </c>
      <c r="H287" s="293" t="s">
        <v>294</v>
      </c>
      <c r="I287" s="294" t="s">
        <v>171</v>
      </c>
      <c r="J287" s="307" t="s">
        <v>295</v>
      </c>
      <c r="K287" s="1094" t="s">
        <v>302</v>
      </c>
      <c r="L287" s="1237">
        <v>23173</v>
      </c>
      <c r="M287" s="294"/>
      <c r="N287" s="294"/>
      <c r="O287" s="354">
        <v>237.66666666666666</v>
      </c>
      <c r="P287" s="887">
        <v>3</v>
      </c>
      <c r="Q287" s="299">
        <f t="shared" si="42"/>
        <v>713</v>
      </c>
      <c r="R287" s="299"/>
      <c r="S287" s="355"/>
      <c r="T287" s="355"/>
      <c r="U287" s="355"/>
      <c r="V287" s="355"/>
      <c r="W287" s="355"/>
      <c r="X287" s="1137">
        <v>713</v>
      </c>
      <c r="Y287" s="1126"/>
      <c r="Z287" s="1194"/>
      <c r="AA287" s="1194"/>
      <c r="AB287" s="1194"/>
      <c r="AC287" s="1124"/>
      <c r="AD287" s="1124"/>
      <c r="AE287" s="1152"/>
      <c r="AF287" s="1124"/>
      <c r="AG287" s="547">
        <f t="shared" si="43"/>
        <v>713</v>
      </c>
    </row>
    <row r="288" spans="1:33" ht="32.25" customHeight="1">
      <c r="A288" s="2789">
        <v>2134</v>
      </c>
      <c r="B288" s="2790" t="s">
        <v>333</v>
      </c>
      <c r="C288" s="2800" t="s">
        <v>334</v>
      </c>
      <c r="D288" s="2791"/>
      <c r="E288" s="2789">
        <v>15</v>
      </c>
      <c r="F288" s="2792">
        <v>43304</v>
      </c>
      <c r="G288" s="2792">
        <f t="shared" si="41"/>
        <v>43319</v>
      </c>
      <c r="H288" s="2792" t="s">
        <v>294</v>
      </c>
      <c r="I288" s="2789" t="s">
        <v>171</v>
      </c>
      <c r="J288" s="2793" t="s">
        <v>295</v>
      </c>
      <c r="K288" s="2842" t="s">
        <v>335</v>
      </c>
      <c r="L288" s="1788">
        <v>2461</v>
      </c>
      <c r="M288" s="294"/>
      <c r="N288" s="294"/>
      <c r="O288" s="354">
        <v>504.68333333333334</v>
      </c>
      <c r="P288" s="887">
        <v>60</v>
      </c>
      <c r="Q288" s="3017">
        <f t="shared" si="42"/>
        <v>30281</v>
      </c>
      <c r="R288" s="299"/>
      <c r="S288" s="355"/>
      <c r="T288" s="355"/>
      <c r="U288" s="355"/>
      <c r="V288" s="355"/>
      <c r="W288" s="355"/>
      <c r="X288" s="1137">
        <v>30281</v>
      </c>
      <c r="Y288" s="1126"/>
      <c r="Z288" s="1194"/>
      <c r="AA288" s="1194"/>
      <c r="AB288" s="1194"/>
      <c r="AC288" s="1124"/>
      <c r="AD288" s="1124"/>
      <c r="AE288" s="1152"/>
      <c r="AF288" s="1124"/>
      <c r="AG288" s="547">
        <f t="shared" si="43"/>
        <v>30281</v>
      </c>
    </row>
    <row r="289" spans="1:33" ht="32.25" customHeight="1">
      <c r="A289" s="2789">
        <v>2135</v>
      </c>
      <c r="B289" s="2790" t="s">
        <v>65</v>
      </c>
      <c r="C289" s="2800" t="s">
        <v>336</v>
      </c>
      <c r="D289" s="2791"/>
      <c r="E289" s="2789">
        <v>30</v>
      </c>
      <c r="F289" s="2792">
        <v>43346</v>
      </c>
      <c r="G289" s="2792">
        <f t="shared" si="41"/>
        <v>43376</v>
      </c>
      <c r="H289" s="2792" t="s">
        <v>294</v>
      </c>
      <c r="I289" s="2789" t="s">
        <v>171</v>
      </c>
      <c r="J289" s="2793" t="s">
        <v>295</v>
      </c>
      <c r="K289" s="2791" t="s">
        <v>337</v>
      </c>
      <c r="L289" s="2837">
        <v>6552</v>
      </c>
      <c r="M289" s="326"/>
      <c r="N289" s="294"/>
      <c r="O289" s="354">
        <v>1166.6666666666667</v>
      </c>
      <c r="P289" s="887">
        <v>60</v>
      </c>
      <c r="Q289" s="3017">
        <f t="shared" si="42"/>
        <v>70000</v>
      </c>
      <c r="R289" s="299"/>
      <c r="S289" s="355"/>
      <c r="T289" s="355"/>
      <c r="U289" s="355"/>
      <c r="V289" s="355"/>
      <c r="W289" s="355"/>
      <c r="X289" s="1137"/>
      <c r="Y289" s="1126">
        <v>70000</v>
      </c>
      <c r="Z289" s="1194"/>
      <c r="AA289" s="1194"/>
      <c r="AB289" s="1194"/>
      <c r="AC289" s="1124"/>
      <c r="AD289" s="1124"/>
      <c r="AE289" s="1152"/>
      <c r="AF289" s="1124"/>
      <c r="AG289" s="547">
        <f t="shared" si="43"/>
        <v>70000</v>
      </c>
    </row>
    <row r="290" spans="1:33" ht="32.25" customHeight="1">
      <c r="A290" s="2789">
        <v>2136</v>
      </c>
      <c r="B290" s="2790" t="s">
        <v>66</v>
      </c>
      <c r="C290" s="2801" t="s">
        <v>338</v>
      </c>
      <c r="D290" s="2791"/>
      <c r="E290" s="2789">
        <v>30</v>
      </c>
      <c r="F290" s="2792">
        <v>43346</v>
      </c>
      <c r="G290" s="2792">
        <f t="shared" si="41"/>
        <v>43376</v>
      </c>
      <c r="H290" s="2792" t="s">
        <v>294</v>
      </c>
      <c r="I290" s="2789" t="s">
        <v>171</v>
      </c>
      <c r="J290" s="2793" t="s">
        <v>295</v>
      </c>
      <c r="K290" s="2791" t="s">
        <v>339</v>
      </c>
      <c r="L290" s="2838">
        <v>6565</v>
      </c>
      <c r="M290" s="326"/>
      <c r="N290" s="294"/>
      <c r="O290" s="354">
        <v>60</v>
      </c>
      <c r="P290" s="887">
        <v>120</v>
      </c>
      <c r="Q290" s="3017">
        <f t="shared" si="42"/>
        <v>7200</v>
      </c>
      <c r="R290" s="299"/>
      <c r="S290" s="355"/>
      <c r="T290" s="355"/>
      <c r="U290" s="355"/>
      <c r="V290" s="355"/>
      <c r="W290" s="355"/>
      <c r="X290" s="1137"/>
      <c r="Y290" s="1126">
        <v>7200</v>
      </c>
      <c r="Z290" s="1194"/>
      <c r="AA290" s="1194"/>
      <c r="AB290" s="1194"/>
      <c r="AC290" s="1124"/>
      <c r="AD290" s="1124"/>
      <c r="AE290" s="1152"/>
      <c r="AF290" s="1124"/>
      <c r="AG290" s="547">
        <f t="shared" si="43"/>
        <v>7200</v>
      </c>
    </row>
    <row r="291" spans="1:33" ht="29.25" customHeight="1">
      <c r="A291" s="1275">
        <v>214</v>
      </c>
      <c r="B291" s="995" t="s">
        <v>340</v>
      </c>
      <c r="C291" s="1083"/>
      <c r="D291" s="1339"/>
      <c r="E291" s="1340"/>
      <c r="F291" s="1340"/>
      <c r="G291" s="1340"/>
      <c r="H291" s="1339"/>
      <c r="I291" s="1341"/>
      <c r="J291" s="283"/>
      <c r="K291" s="1278"/>
      <c r="L291" s="1279"/>
      <c r="M291" s="1280"/>
      <c r="N291" s="1277"/>
      <c r="O291" s="1281"/>
      <c r="P291" s="1277"/>
      <c r="Q291" s="547">
        <f>SUM(Q293:Q312)</f>
        <v>47057.333333333336</v>
      </c>
      <c r="R291" s="287"/>
      <c r="S291" s="1282">
        <f t="shared" ref="S291:AF291" si="44">SUM(S293:S312)</f>
        <v>0</v>
      </c>
      <c r="T291" s="1282">
        <f t="shared" si="44"/>
        <v>0</v>
      </c>
      <c r="U291" s="1282">
        <f t="shared" si="44"/>
        <v>22594.666666666668</v>
      </c>
      <c r="V291" s="1282">
        <f t="shared" si="44"/>
        <v>0</v>
      </c>
      <c r="W291" s="1282">
        <f t="shared" si="44"/>
        <v>21422.666666666668</v>
      </c>
      <c r="X291" s="1342">
        <f t="shared" si="44"/>
        <v>0</v>
      </c>
      <c r="Y291" s="1343">
        <f t="shared" si="44"/>
        <v>0</v>
      </c>
      <c r="Z291" s="1151">
        <f t="shared" si="44"/>
        <v>0</v>
      </c>
      <c r="AA291" s="1151">
        <f t="shared" si="44"/>
        <v>3040</v>
      </c>
      <c r="AB291" s="1151">
        <f t="shared" si="44"/>
        <v>0</v>
      </c>
      <c r="AC291" s="1151">
        <f t="shared" si="44"/>
        <v>0</v>
      </c>
      <c r="AD291" s="1151">
        <f t="shared" si="44"/>
        <v>0</v>
      </c>
      <c r="AE291" s="1151">
        <f t="shared" si="44"/>
        <v>0</v>
      </c>
      <c r="AF291" s="1151">
        <f t="shared" si="44"/>
        <v>0</v>
      </c>
      <c r="AG291" s="3004">
        <f>SUM(S291:AF291)</f>
        <v>47057.333333333336</v>
      </c>
    </row>
    <row r="292" spans="1:33" ht="29.25" customHeight="1">
      <c r="A292" s="2789">
        <v>2141</v>
      </c>
      <c r="B292" s="2790" t="s">
        <v>341</v>
      </c>
      <c r="C292" s="2790" t="s">
        <v>342</v>
      </c>
      <c r="D292" s="2791"/>
      <c r="E292" s="2789">
        <v>5</v>
      </c>
      <c r="F292" s="2792">
        <v>43227</v>
      </c>
      <c r="G292" s="2792">
        <f>+E292+F292</f>
        <v>43232</v>
      </c>
      <c r="H292" s="2792" t="s">
        <v>294</v>
      </c>
      <c r="I292" s="2789" t="s">
        <v>171</v>
      </c>
      <c r="J292" s="2793" t="s">
        <v>295</v>
      </c>
      <c r="K292" s="1705"/>
      <c r="L292" s="2786"/>
      <c r="M292" s="2736"/>
      <c r="N292" s="2737"/>
      <c r="O292" s="2738"/>
      <c r="P292" s="2737"/>
      <c r="Q292" s="2809"/>
      <c r="R292" s="2787"/>
      <c r="S292" s="2739"/>
      <c r="T292" s="2739"/>
      <c r="U292" s="2739"/>
      <c r="V292" s="2739"/>
      <c r="W292" s="2739"/>
      <c r="X292" s="2788"/>
      <c r="Y292" s="2739"/>
      <c r="Z292" s="2832"/>
      <c r="AA292" s="2832"/>
      <c r="AB292" s="2832"/>
      <c r="AC292" s="2832"/>
      <c r="AD292" s="2832"/>
      <c r="AE292" s="2832"/>
      <c r="AF292" s="2832"/>
      <c r="AG292" s="3005"/>
    </row>
    <row r="293" spans="1:33" ht="32.25" hidden="1" customHeight="1">
      <c r="A293" s="294">
        <v>2141</v>
      </c>
      <c r="B293" s="291" t="s">
        <v>341</v>
      </c>
      <c r="C293" s="1834" t="s">
        <v>342</v>
      </c>
      <c r="D293" s="326"/>
      <c r="E293" s="294">
        <v>5</v>
      </c>
      <c r="F293" s="293">
        <v>43227</v>
      </c>
      <c r="G293" s="293">
        <f t="shared" ref="G293:G312" si="45">+E293+F293</f>
        <v>43232</v>
      </c>
      <c r="H293" s="293" t="s">
        <v>294</v>
      </c>
      <c r="I293" s="294" t="s">
        <v>171</v>
      </c>
      <c r="J293" s="307" t="s">
        <v>295</v>
      </c>
      <c r="K293" s="936" t="s">
        <v>343</v>
      </c>
      <c r="L293" s="1237">
        <v>23173</v>
      </c>
      <c r="M293" s="294"/>
      <c r="N293" s="294"/>
      <c r="O293" s="354">
        <v>770</v>
      </c>
      <c r="P293" s="1836">
        <v>2</v>
      </c>
      <c r="Q293" s="299">
        <f t="shared" ref="Q293:Q312" si="46">+O293*P293</f>
        <v>1540</v>
      </c>
      <c r="R293" s="299"/>
      <c r="S293" s="355"/>
      <c r="T293" s="355"/>
      <c r="U293" s="355">
        <v>1540</v>
      </c>
      <c r="V293" s="355"/>
      <c r="W293" s="355"/>
      <c r="X293" s="1137"/>
      <c r="Y293" s="1126"/>
      <c r="Z293" s="1194"/>
      <c r="AA293" s="1194"/>
      <c r="AB293" s="1194"/>
      <c r="AC293" s="1124"/>
      <c r="AD293" s="1124"/>
      <c r="AE293" s="1152"/>
      <c r="AF293" s="1124"/>
      <c r="AG293" s="547">
        <f t="shared" ref="AG293:AG312" si="47">SUM(S293:AF293)</f>
        <v>1540</v>
      </c>
    </row>
    <row r="294" spans="1:33" ht="32.25" hidden="1" customHeight="1">
      <c r="A294" s="294">
        <v>2141</v>
      </c>
      <c r="B294" s="291" t="s">
        <v>341</v>
      </c>
      <c r="C294" s="1834" t="s">
        <v>342</v>
      </c>
      <c r="D294" s="326"/>
      <c r="E294" s="294">
        <v>5</v>
      </c>
      <c r="F294" s="293">
        <v>43227</v>
      </c>
      <c r="G294" s="293">
        <f t="shared" si="45"/>
        <v>43232</v>
      </c>
      <c r="H294" s="293" t="s">
        <v>294</v>
      </c>
      <c r="I294" s="294" t="s">
        <v>171</v>
      </c>
      <c r="J294" s="307" t="s">
        <v>295</v>
      </c>
      <c r="K294" s="936" t="s">
        <v>344</v>
      </c>
      <c r="L294" s="1237">
        <v>23173</v>
      </c>
      <c r="M294" s="294"/>
      <c r="N294" s="294"/>
      <c r="O294" s="354">
        <v>165</v>
      </c>
      <c r="P294" s="1836">
        <v>2</v>
      </c>
      <c r="Q294" s="299">
        <f t="shared" si="46"/>
        <v>330</v>
      </c>
      <c r="R294" s="299"/>
      <c r="S294" s="355"/>
      <c r="T294" s="355"/>
      <c r="U294" s="355">
        <v>330</v>
      </c>
      <c r="V294" s="355"/>
      <c r="W294" s="355"/>
      <c r="X294" s="1137"/>
      <c r="Y294" s="1126"/>
      <c r="Z294" s="1194"/>
      <c r="AA294" s="1194"/>
      <c r="AB294" s="1194"/>
      <c r="AC294" s="1124"/>
      <c r="AD294" s="1124"/>
      <c r="AE294" s="1152"/>
      <c r="AF294" s="1124"/>
      <c r="AG294" s="547">
        <f t="shared" si="47"/>
        <v>330</v>
      </c>
    </row>
    <row r="295" spans="1:33" ht="32.25" hidden="1" customHeight="1">
      <c r="A295" s="294">
        <v>2141</v>
      </c>
      <c r="B295" s="291" t="s">
        <v>341</v>
      </c>
      <c r="C295" s="1834" t="s">
        <v>342</v>
      </c>
      <c r="D295" s="326"/>
      <c r="E295" s="294">
        <v>5</v>
      </c>
      <c r="F295" s="293">
        <v>43227</v>
      </c>
      <c r="G295" s="293">
        <f t="shared" si="45"/>
        <v>43232</v>
      </c>
      <c r="H295" s="293" t="s">
        <v>294</v>
      </c>
      <c r="I295" s="294" t="s">
        <v>171</v>
      </c>
      <c r="J295" s="307" t="s">
        <v>295</v>
      </c>
      <c r="K295" s="936" t="s">
        <v>310</v>
      </c>
      <c r="L295" s="1237">
        <v>23174</v>
      </c>
      <c r="M295" s="887"/>
      <c r="N295" s="294"/>
      <c r="O295" s="354">
        <v>5320</v>
      </c>
      <c r="P295" s="1836">
        <v>2</v>
      </c>
      <c r="Q295" s="299">
        <f t="shared" si="46"/>
        <v>10640</v>
      </c>
      <c r="R295" s="299"/>
      <c r="S295" s="355"/>
      <c r="T295" s="355"/>
      <c r="U295" s="355">
        <v>10640</v>
      </c>
      <c r="V295" s="355"/>
      <c r="W295" s="355"/>
      <c r="X295" s="1137"/>
      <c r="Y295" s="1126"/>
      <c r="Z295" s="1194"/>
      <c r="AA295" s="1194"/>
      <c r="AB295" s="1194"/>
      <c r="AC295" s="1124"/>
      <c r="AD295" s="1124"/>
      <c r="AE295" s="1152"/>
      <c r="AF295" s="1124"/>
      <c r="AG295" s="547">
        <f t="shared" si="47"/>
        <v>10640</v>
      </c>
    </row>
    <row r="296" spans="1:33" ht="32.25" hidden="1" customHeight="1">
      <c r="A296" s="294">
        <v>2141</v>
      </c>
      <c r="B296" s="291" t="s">
        <v>341</v>
      </c>
      <c r="C296" s="1834" t="s">
        <v>342</v>
      </c>
      <c r="D296" s="326"/>
      <c r="E296" s="294">
        <v>5</v>
      </c>
      <c r="F296" s="293">
        <v>43227</v>
      </c>
      <c r="G296" s="293">
        <f t="shared" si="45"/>
        <v>43232</v>
      </c>
      <c r="H296" s="293" t="s">
        <v>294</v>
      </c>
      <c r="I296" s="294" t="s">
        <v>171</v>
      </c>
      <c r="J296" s="307" t="s">
        <v>295</v>
      </c>
      <c r="K296" s="936" t="s">
        <v>345</v>
      </c>
      <c r="L296" s="1237">
        <v>23174</v>
      </c>
      <c r="M296" s="294"/>
      <c r="N296" s="294"/>
      <c r="O296" s="354">
        <v>532</v>
      </c>
      <c r="P296" s="1836">
        <v>2</v>
      </c>
      <c r="Q296" s="299">
        <f t="shared" si="46"/>
        <v>1064</v>
      </c>
      <c r="R296" s="299"/>
      <c r="S296" s="355"/>
      <c r="T296" s="355"/>
      <c r="U296" s="355">
        <v>1064</v>
      </c>
      <c r="V296" s="355"/>
      <c r="W296" s="355"/>
      <c r="X296" s="1137"/>
      <c r="Y296" s="1126"/>
      <c r="Z296" s="1194"/>
      <c r="AA296" s="1194"/>
      <c r="AB296" s="1194"/>
      <c r="AC296" s="1124"/>
      <c r="AD296" s="1124"/>
      <c r="AE296" s="1152"/>
      <c r="AF296" s="1124"/>
      <c r="AG296" s="547">
        <f t="shared" si="47"/>
        <v>1064</v>
      </c>
    </row>
    <row r="297" spans="1:33" ht="32.25" hidden="1" customHeight="1">
      <c r="A297" s="294">
        <v>2141</v>
      </c>
      <c r="B297" s="291" t="s">
        <v>341</v>
      </c>
      <c r="C297" s="1834" t="s">
        <v>342</v>
      </c>
      <c r="D297" s="326"/>
      <c r="E297" s="294">
        <v>5</v>
      </c>
      <c r="F297" s="293">
        <v>43227</v>
      </c>
      <c r="G297" s="293">
        <f t="shared" si="45"/>
        <v>43232</v>
      </c>
      <c r="H297" s="293" t="s">
        <v>294</v>
      </c>
      <c r="I297" s="294" t="s">
        <v>171</v>
      </c>
      <c r="J297" s="307" t="s">
        <v>295</v>
      </c>
      <c r="K297" s="936" t="s">
        <v>300</v>
      </c>
      <c r="L297" s="1237">
        <v>23174</v>
      </c>
      <c r="M297" s="294"/>
      <c r="N297" s="294"/>
      <c r="O297" s="354">
        <v>1000</v>
      </c>
      <c r="P297" s="1836">
        <v>2</v>
      </c>
      <c r="Q297" s="299">
        <f t="shared" si="46"/>
        <v>2000</v>
      </c>
      <c r="R297" s="299"/>
      <c r="S297" s="355"/>
      <c r="T297" s="355"/>
      <c r="U297" s="355">
        <v>2000</v>
      </c>
      <c r="V297" s="355"/>
      <c r="W297" s="355"/>
      <c r="X297" s="1137"/>
      <c r="Y297" s="1126"/>
      <c r="Z297" s="1194"/>
      <c r="AA297" s="1194"/>
      <c r="AB297" s="1194"/>
      <c r="AC297" s="1124"/>
      <c r="AD297" s="1124"/>
      <c r="AE297" s="1152"/>
      <c r="AF297" s="1124"/>
      <c r="AG297" s="547">
        <f t="shared" si="47"/>
        <v>2000</v>
      </c>
    </row>
    <row r="298" spans="1:33" ht="32.25" hidden="1" customHeight="1">
      <c r="A298" s="294">
        <v>2141</v>
      </c>
      <c r="B298" s="291" t="s">
        <v>341</v>
      </c>
      <c r="C298" s="1834" t="s">
        <v>342</v>
      </c>
      <c r="D298" s="326"/>
      <c r="E298" s="294">
        <v>5</v>
      </c>
      <c r="F298" s="293">
        <v>43227</v>
      </c>
      <c r="G298" s="293">
        <f t="shared" si="45"/>
        <v>43232</v>
      </c>
      <c r="H298" s="293" t="s">
        <v>294</v>
      </c>
      <c r="I298" s="294" t="s">
        <v>171</v>
      </c>
      <c r="J298" s="307" t="s">
        <v>295</v>
      </c>
      <c r="K298" s="936" t="s">
        <v>346</v>
      </c>
      <c r="L298" s="1237">
        <v>23174</v>
      </c>
      <c r="M298" s="887"/>
      <c r="N298" s="294"/>
      <c r="O298" s="354">
        <v>1000</v>
      </c>
      <c r="P298" s="1836">
        <v>2</v>
      </c>
      <c r="Q298" s="299">
        <f t="shared" si="46"/>
        <v>2000</v>
      </c>
      <c r="R298" s="299"/>
      <c r="S298" s="355"/>
      <c r="T298" s="355"/>
      <c r="U298" s="355">
        <v>2000</v>
      </c>
      <c r="V298" s="355"/>
      <c r="W298" s="355"/>
      <c r="X298" s="1137"/>
      <c r="Y298" s="1126"/>
      <c r="Z298" s="1194"/>
      <c r="AA298" s="1194"/>
      <c r="AB298" s="1194"/>
      <c r="AC298" s="1124"/>
      <c r="AD298" s="1124"/>
      <c r="AE298" s="1152"/>
      <c r="AF298" s="1124"/>
      <c r="AG298" s="547">
        <f t="shared" si="47"/>
        <v>2000</v>
      </c>
    </row>
    <row r="299" spans="1:33" ht="32.25" hidden="1" customHeight="1">
      <c r="A299" s="294">
        <v>2141</v>
      </c>
      <c r="B299" s="291" t="s">
        <v>341</v>
      </c>
      <c r="C299" s="1834" t="s">
        <v>342</v>
      </c>
      <c r="D299" s="326"/>
      <c r="E299" s="294">
        <v>5</v>
      </c>
      <c r="F299" s="293">
        <v>43227</v>
      </c>
      <c r="G299" s="293">
        <f t="shared" si="45"/>
        <v>43232</v>
      </c>
      <c r="H299" s="293" t="s">
        <v>294</v>
      </c>
      <c r="I299" s="294" t="s">
        <v>171</v>
      </c>
      <c r="J299" s="307" t="s">
        <v>295</v>
      </c>
      <c r="K299" s="936" t="s">
        <v>301</v>
      </c>
      <c r="L299" s="1237">
        <v>23173</v>
      </c>
      <c r="M299" s="294"/>
      <c r="N299" s="294"/>
      <c r="O299" s="354">
        <v>500</v>
      </c>
      <c r="P299" s="1836">
        <v>2</v>
      </c>
      <c r="Q299" s="299">
        <f t="shared" si="46"/>
        <v>1000</v>
      </c>
      <c r="R299" s="299"/>
      <c r="S299" s="355"/>
      <c r="T299" s="355"/>
      <c r="U299" s="355">
        <v>1000</v>
      </c>
      <c r="V299" s="355"/>
      <c r="W299" s="355"/>
      <c r="X299" s="1137"/>
      <c r="Y299" s="1126"/>
      <c r="Z299" s="1194"/>
      <c r="AA299" s="1194"/>
      <c r="AB299" s="1194"/>
      <c r="AC299" s="1124"/>
      <c r="AD299" s="1124"/>
      <c r="AE299" s="1152"/>
      <c r="AF299" s="1124"/>
      <c r="AG299" s="547">
        <f t="shared" si="47"/>
        <v>1000</v>
      </c>
    </row>
    <row r="300" spans="1:33" ht="32.25" hidden="1" customHeight="1">
      <c r="A300" s="294">
        <v>2141</v>
      </c>
      <c r="B300" s="291" t="s">
        <v>341</v>
      </c>
      <c r="C300" s="1834" t="s">
        <v>342</v>
      </c>
      <c r="D300" s="326"/>
      <c r="E300" s="294">
        <v>5</v>
      </c>
      <c r="F300" s="293">
        <v>43227</v>
      </c>
      <c r="G300" s="293">
        <f t="shared" si="45"/>
        <v>43232</v>
      </c>
      <c r="H300" s="293" t="s">
        <v>294</v>
      </c>
      <c r="I300" s="294" t="s">
        <v>171</v>
      </c>
      <c r="J300" s="307" t="s">
        <v>295</v>
      </c>
      <c r="K300" s="936" t="s">
        <v>302</v>
      </c>
      <c r="L300" s="1237">
        <v>23173</v>
      </c>
      <c r="M300" s="326"/>
      <c r="N300" s="294"/>
      <c r="O300" s="354">
        <v>677</v>
      </c>
      <c r="P300" s="1836">
        <v>2</v>
      </c>
      <c r="Q300" s="299">
        <f t="shared" si="46"/>
        <v>1354</v>
      </c>
      <c r="R300" s="299"/>
      <c r="S300" s="355"/>
      <c r="T300" s="355"/>
      <c r="U300" s="355">
        <v>1354</v>
      </c>
      <c r="V300" s="355"/>
      <c r="W300" s="355"/>
      <c r="X300" s="1137"/>
      <c r="Y300" s="1126"/>
      <c r="Z300" s="1194"/>
      <c r="AA300" s="1194"/>
      <c r="AB300" s="1194"/>
      <c r="AC300" s="1124"/>
      <c r="AD300" s="1124"/>
      <c r="AE300" s="1152"/>
      <c r="AF300" s="1124"/>
      <c r="AG300" s="547">
        <f t="shared" si="47"/>
        <v>1354</v>
      </c>
    </row>
    <row r="301" spans="1:33" ht="32.25" hidden="1" customHeight="1">
      <c r="A301" s="294">
        <v>2141</v>
      </c>
      <c r="B301" s="291" t="s">
        <v>341</v>
      </c>
      <c r="C301" s="1834" t="s">
        <v>314</v>
      </c>
      <c r="D301" s="326"/>
      <c r="E301" s="294">
        <v>5</v>
      </c>
      <c r="F301" s="293">
        <v>43227</v>
      </c>
      <c r="G301" s="293">
        <f t="shared" si="45"/>
        <v>43232</v>
      </c>
      <c r="H301" s="293" t="s">
        <v>294</v>
      </c>
      <c r="I301" s="294" t="s">
        <v>171</v>
      </c>
      <c r="J301" s="307" t="s">
        <v>295</v>
      </c>
      <c r="K301" s="326" t="s">
        <v>315</v>
      </c>
      <c r="L301" s="1237">
        <v>2313</v>
      </c>
      <c r="M301" s="326"/>
      <c r="N301" s="294"/>
      <c r="O301" s="354">
        <v>2666.6666666666665</v>
      </c>
      <c r="P301" s="294">
        <v>1</v>
      </c>
      <c r="Q301" s="299">
        <f t="shared" si="46"/>
        <v>2666.6666666666665</v>
      </c>
      <c r="R301" s="299"/>
      <c r="S301" s="355"/>
      <c r="T301" s="355"/>
      <c r="U301" s="355">
        <v>2666.6666666666665</v>
      </c>
      <c r="V301" s="355"/>
      <c r="W301" s="355"/>
      <c r="X301" s="1137"/>
      <c r="Y301" s="1126"/>
      <c r="Z301" s="1194"/>
      <c r="AA301" s="1194"/>
      <c r="AB301" s="1194"/>
      <c r="AC301" s="1124"/>
      <c r="AD301" s="1124"/>
      <c r="AE301" s="1152"/>
      <c r="AF301" s="1124"/>
      <c r="AG301" s="547">
        <f t="shared" si="47"/>
        <v>2666.6666666666665</v>
      </c>
    </row>
    <row r="302" spans="1:33" ht="32.25" customHeight="1">
      <c r="A302" s="2789">
        <v>2142</v>
      </c>
      <c r="B302" s="2790" t="s">
        <v>347</v>
      </c>
      <c r="C302" s="2801" t="s">
        <v>348</v>
      </c>
      <c r="D302" s="2791"/>
      <c r="E302" s="2789">
        <v>10</v>
      </c>
      <c r="F302" s="2792">
        <v>43283</v>
      </c>
      <c r="G302" s="2792">
        <f>+E302+F302</f>
        <v>43293</v>
      </c>
      <c r="H302" s="2792" t="s">
        <v>294</v>
      </c>
      <c r="I302" s="2789" t="s">
        <v>171</v>
      </c>
      <c r="J302" s="2793" t="s">
        <v>295</v>
      </c>
      <c r="K302" s="1124"/>
      <c r="L302" s="1704"/>
      <c r="M302" s="1124"/>
      <c r="N302" s="1703"/>
      <c r="O302" s="1125"/>
      <c r="P302" s="1703"/>
      <c r="Q302" s="1127"/>
      <c r="R302" s="1127"/>
      <c r="S302" s="1126"/>
      <c r="T302" s="1126"/>
      <c r="U302" s="1126"/>
      <c r="V302" s="1126"/>
      <c r="W302" s="1126"/>
      <c r="X302" s="2835"/>
      <c r="Y302" s="1126"/>
      <c r="Z302" s="1194"/>
      <c r="AA302" s="1194"/>
      <c r="AB302" s="1194"/>
      <c r="AC302" s="1124"/>
      <c r="AD302" s="1124"/>
      <c r="AE302" s="1152"/>
      <c r="AF302" s="1124"/>
      <c r="AG302" s="2355"/>
    </row>
    <row r="303" spans="1:33" ht="32.25" hidden="1" customHeight="1">
      <c r="A303" s="294">
        <v>2142</v>
      </c>
      <c r="B303" s="291" t="s">
        <v>347</v>
      </c>
      <c r="C303" s="1835" t="s">
        <v>348</v>
      </c>
      <c r="D303" s="326"/>
      <c r="E303" s="294">
        <v>10</v>
      </c>
      <c r="F303" s="293">
        <v>43283</v>
      </c>
      <c r="G303" s="293">
        <f t="shared" si="45"/>
        <v>43293</v>
      </c>
      <c r="H303" s="293" t="s">
        <v>294</v>
      </c>
      <c r="I303" s="294" t="s">
        <v>171</v>
      </c>
      <c r="J303" s="307" t="s">
        <v>295</v>
      </c>
      <c r="K303" s="1837" t="s">
        <v>301</v>
      </c>
      <c r="L303" s="1237">
        <v>23173</v>
      </c>
      <c r="M303" s="326"/>
      <c r="N303" s="294"/>
      <c r="O303" s="354">
        <v>166.66666666666666</v>
      </c>
      <c r="P303" s="294">
        <v>4</v>
      </c>
      <c r="Q303" s="299">
        <f t="shared" si="46"/>
        <v>666.66666666666663</v>
      </c>
      <c r="R303" s="299"/>
      <c r="S303" s="355"/>
      <c r="T303" s="355"/>
      <c r="U303" s="355"/>
      <c r="V303" s="355"/>
      <c r="W303" s="355">
        <v>666.66666666666663</v>
      </c>
      <c r="X303" s="1137"/>
      <c r="Y303" s="1126"/>
      <c r="Z303" s="1194"/>
      <c r="AA303" s="1194"/>
      <c r="AB303" s="1194"/>
      <c r="AC303" s="1124"/>
      <c r="AD303" s="1124"/>
      <c r="AE303" s="1152"/>
      <c r="AF303" s="1124"/>
      <c r="AG303" s="547">
        <f t="shared" si="47"/>
        <v>666.66666666666663</v>
      </c>
    </row>
    <row r="304" spans="1:33" ht="32.25" hidden="1" customHeight="1">
      <c r="A304" s="294">
        <v>2142</v>
      </c>
      <c r="B304" s="291" t="s">
        <v>347</v>
      </c>
      <c r="C304" s="1835" t="s">
        <v>348</v>
      </c>
      <c r="D304" s="326"/>
      <c r="E304" s="294">
        <v>10</v>
      </c>
      <c r="F304" s="293">
        <v>43283</v>
      </c>
      <c r="G304" s="293">
        <f t="shared" si="45"/>
        <v>43293</v>
      </c>
      <c r="H304" s="293" t="s">
        <v>294</v>
      </c>
      <c r="I304" s="294" t="s">
        <v>171</v>
      </c>
      <c r="J304" s="307" t="s">
        <v>295</v>
      </c>
      <c r="K304" s="1837" t="s">
        <v>302</v>
      </c>
      <c r="L304" s="1237">
        <v>23173</v>
      </c>
      <c r="M304" s="326"/>
      <c r="N304" s="294"/>
      <c r="O304" s="354">
        <v>870.33333333333337</v>
      </c>
      <c r="P304" s="294">
        <v>4</v>
      </c>
      <c r="Q304" s="299">
        <f t="shared" si="46"/>
        <v>3481.3333333333335</v>
      </c>
      <c r="R304" s="299"/>
      <c r="S304" s="355"/>
      <c r="T304" s="355"/>
      <c r="U304" s="355"/>
      <c r="V304" s="355"/>
      <c r="W304" s="355">
        <v>3481.3333333333335</v>
      </c>
      <c r="X304" s="1137"/>
      <c r="Y304" s="1126"/>
      <c r="Z304" s="1194"/>
      <c r="AA304" s="1194"/>
      <c r="AB304" s="1194"/>
      <c r="AC304" s="1124"/>
      <c r="AD304" s="1124"/>
      <c r="AE304" s="1152"/>
      <c r="AF304" s="1124"/>
      <c r="AG304" s="547">
        <f t="shared" si="47"/>
        <v>3481.3333333333335</v>
      </c>
    </row>
    <row r="305" spans="1:33" ht="32.25" hidden="1" customHeight="1">
      <c r="A305" s="294">
        <v>2142</v>
      </c>
      <c r="B305" s="291" t="s">
        <v>347</v>
      </c>
      <c r="C305" s="1835" t="s">
        <v>348</v>
      </c>
      <c r="D305" s="326"/>
      <c r="E305" s="294">
        <v>10</v>
      </c>
      <c r="F305" s="293">
        <v>43283</v>
      </c>
      <c r="G305" s="293">
        <f t="shared" si="45"/>
        <v>43293</v>
      </c>
      <c r="H305" s="293" t="s">
        <v>294</v>
      </c>
      <c r="I305" s="294" t="s">
        <v>171</v>
      </c>
      <c r="J305" s="307" t="s">
        <v>295</v>
      </c>
      <c r="K305" s="1837" t="s">
        <v>296</v>
      </c>
      <c r="L305" s="1237">
        <v>23174</v>
      </c>
      <c r="M305" s="326"/>
      <c r="N305" s="294"/>
      <c r="O305" s="354">
        <v>3000</v>
      </c>
      <c r="P305" s="294">
        <v>4</v>
      </c>
      <c r="Q305" s="299">
        <f t="shared" si="46"/>
        <v>12000</v>
      </c>
      <c r="R305" s="299"/>
      <c r="S305" s="355"/>
      <c r="T305" s="355"/>
      <c r="U305" s="355"/>
      <c r="V305" s="355"/>
      <c r="W305" s="355">
        <v>12000</v>
      </c>
      <c r="X305" s="1137"/>
      <c r="Y305" s="1126"/>
      <c r="Z305" s="1194"/>
      <c r="AA305" s="1194"/>
      <c r="AB305" s="1194"/>
      <c r="AC305" s="1124"/>
      <c r="AD305" s="1124"/>
      <c r="AE305" s="1152"/>
      <c r="AF305" s="1124"/>
      <c r="AG305" s="547">
        <f t="shared" si="47"/>
        <v>12000</v>
      </c>
    </row>
    <row r="306" spans="1:33" ht="32.25" hidden="1" customHeight="1">
      <c r="A306" s="294">
        <v>2142</v>
      </c>
      <c r="B306" s="291" t="s">
        <v>347</v>
      </c>
      <c r="C306" s="1835" t="s">
        <v>348</v>
      </c>
      <c r="D306" s="326"/>
      <c r="E306" s="294">
        <v>10</v>
      </c>
      <c r="F306" s="293">
        <v>43283</v>
      </c>
      <c r="G306" s="293">
        <f t="shared" si="45"/>
        <v>43293</v>
      </c>
      <c r="H306" s="293" t="s">
        <v>294</v>
      </c>
      <c r="I306" s="294" t="s">
        <v>171</v>
      </c>
      <c r="J306" s="307" t="s">
        <v>295</v>
      </c>
      <c r="K306" s="1837" t="s">
        <v>349</v>
      </c>
      <c r="L306" s="1237">
        <v>23174</v>
      </c>
      <c r="M306" s="326"/>
      <c r="N306" s="294"/>
      <c r="O306" s="354">
        <v>304</v>
      </c>
      <c r="P306" s="294">
        <v>4</v>
      </c>
      <c r="Q306" s="299">
        <f t="shared" si="46"/>
        <v>1216</v>
      </c>
      <c r="R306" s="299"/>
      <c r="S306" s="355"/>
      <c r="T306" s="355"/>
      <c r="U306" s="355"/>
      <c r="V306" s="355"/>
      <c r="W306" s="355">
        <v>1216</v>
      </c>
      <c r="X306" s="1137"/>
      <c r="Y306" s="1126"/>
      <c r="Z306" s="1194"/>
      <c r="AA306" s="1194"/>
      <c r="AB306" s="1194"/>
      <c r="AC306" s="1124"/>
      <c r="AD306" s="1124"/>
      <c r="AE306" s="1152"/>
      <c r="AF306" s="1124"/>
      <c r="AG306" s="547">
        <f t="shared" si="47"/>
        <v>1216</v>
      </c>
    </row>
    <row r="307" spans="1:33" ht="32.25" hidden="1" customHeight="1">
      <c r="A307" s="294">
        <v>2142</v>
      </c>
      <c r="B307" s="291" t="s">
        <v>347</v>
      </c>
      <c r="C307" s="1835" t="s">
        <v>348</v>
      </c>
      <c r="D307" s="326"/>
      <c r="E307" s="294">
        <v>10</v>
      </c>
      <c r="F307" s="293">
        <v>43283</v>
      </c>
      <c r="G307" s="293">
        <f t="shared" si="45"/>
        <v>43293</v>
      </c>
      <c r="H307" s="293" t="s">
        <v>294</v>
      </c>
      <c r="I307" s="294" t="s">
        <v>171</v>
      </c>
      <c r="J307" s="307" t="s">
        <v>295</v>
      </c>
      <c r="K307" s="1837" t="s">
        <v>298</v>
      </c>
      <c r="L307" s="1237">
        <v>23174</v>
      </c>
      <c r="M307" s="326"/>
      <c r="N307" s="294"/>
      <c r="O307" s="354">
        <v>448</v>
      </c>
      <c r="P307" s="294">
        <v>4</v>
      </c>
      <c r="Q307" s="299">
        <f t="shared" si="46"/>
        <v>1792</v>
      </c>
      <c r="R307" s="299"/>
      <c r="S307" s="355"/>
      <c r="T307" s="355"/>
      <c r="U307" s="355"/>
      <c r="V307" s="355"/>
      <c r="W307" s="355">
        <v>1792</v>
      </c>
      <c r="X307" s="1137"/>
      <c r="Y307" s="1126"/>
      <c r="Z307" s="1194"/>
      <c r="AA307" s="1194"/>
      <c r="AB307" s="1194"/>
      <c r="AC307" s="1124"/>
      <c r="AD307" s="1124"/>
      <c r="AE307" s="1152"/>
      <c r="AF307" s="1124"/>
      <c r="AG307" s="547">
        <f t="shared" si="47"/>
        <v>1792</v>
      </c>
    </row>
    <row r="308" spans="1:33" ht="32.25" hidden="1" customHeight="1">
      <c r="A308" s="294">
        <v>2142</v>
      </c>
      <c r="B308" s="291" t="s">
        <v>347</v>
      </c>
      <c r="C308" s="1835" t="s">
        <v>348</v>
      </c>
      <c r="D308" s="326"/>
      <c r="E308" s="294">
        <v>10</v>
      </c>
      <c r="F308" s="293">
        <v>43283</v>
      </c>
      <c r="G308" s="293">
        <f t="shared" si="45"/>
        <v>43293</v>
      </c>
      <c r="H308" s="293" t="s">
        <v>294</v>
      </c>
      <c r="I308" s="294" t="s">
        <v>171</v>
      </c>
      <c r="J308" s="307" t="s">
        <v>295</v>
      </c>
      <c r="K308" s="1837" t="s">
        <v>350</v>
      </c>
      <c r="L308" s="1237">
        <v>23174</v>
      </c>
      <c r="M308" s="326"/>
      <c r="N308" s="294"/>
      <c r="O308" s="354">
        <v>166.66666666666666</v>
      </c>
      <c r="P308" s="294">
        <v>4</v>
      </c>
      <c r="Q308" s="299">
        <f t="shared" si="46"/>
        <v>666.66666666666663</v>
      </c>
      <c r="R308" s="299"/>
      <c r="S308" s="355"/>
      <c r="T308" s="355"/>
      <c r="U308" s="355"/>
      <c r="V308" s="355"/>
      <c r="W308" s="355">
        <v>666.66666666666663</v>
      </c>
      <c r="X308" s="1137"/>
      <c r="Y308" s="1126"/>
      <c r="Z308" s="1194"/>
      <c r="AA308" s="1194"/>
      <c r="AB308" s="1194"/>
      <c r="AC308" s="1124"/>
      <c r="AD308" s="1124"/>
      <c r="AE308" s="1152"/>
      <c r="AF308" s="1124"/>
      <c r="AG308" s="547">
        <f t="shared" si="47"/>
        <v>666.66666666666663</v>
      </c>
    </row>
    <row r="309" spans="1:33" ht="32.25" hidden="1" customHeight="1">
      <c r="A309" s="294">
        <v>2142</v>
      </c>
      <c r="B309" s="291" t="s">
        <v>347</v>
      </c>
      <c r="C309" s="1835" t="s">
        <v>348</v>
      </c>
      <c r="D309" s="326"/>
      <c r="E309" s="294">
        <v>10</v>
      </c>
      <c r="F309" s="293">
        <v>43283</v>
      </c>
      <c r="G309" s="293">
        <f t="shared" si="45"/>
        <v>43293</v>
      </c>
      <c r="H309" s="293" t="s">
        <v>294</v>
      </c>
      <c r="I309" s="294" t="s">
        <v>171</v>
      </c>
      <c r="J309" s="307" t="s">
        <v>295</v>
      </c>
      <c r="K309" s="1837" t="s">
        <v>300</v>
      </c>
      <c r="L309" s="1237">
        <v>23174</v>
      </c>
      <c r="M309" s="326"/>
      <c r="N309" s="294"/>
      <c r="O309" s="354">
        <v>400</v>
      </c>
      <c r="P309" s="294">
        <v>4</v>
      </c>
      <c r="Q309" s="299">
        <f t="shared" si="46"/>
        <v>1600</v>
      </c>
      <c r="R309" s="299"/>
      <c r="S309" s="355"/>
      <c r="T309" s="355"/>
      <c r="U309" s="355"/>
      <c r="V309" s="355"/>
      <c r="W309" s="355">
        <v>1600</v>
      </c>
      <c r="X309" s="1137"/>
      <c r="Y309" s="1126"/>
      <c r="Z309" s="1194"/>
      <c r="AA309" s="1194"/>
      <c r="AB309" s="1194"/>
      <c r="AC309" s="1124"/>
      <c r="AD309" s="1124"/>
      <c r="AE309" s="1152"/>
      <c r="AF309" s="1124"/>
      <c r="AG309" s="547">
        <f t="shared" si="47"/>
        <v>1600</v>
      </c>
    </row>
    <row r="310" spans="1:33" ht="32.25" customHeight="1">
      <c r="A310" s="2789">
        <v>2143</v>
      </c>
      <c r="B310" s="2790" t="s">
        <v>69</v>
      </c>
      <c r="C310" s="2801" t="s">
        <v>351</v>
      </c>
      <c r="D310" s="2791"/>
      <c r="E310" s="2789">
        <v>1</v>
      </c>
      <c r="F310" s="2792">
        <v>43409</v>
      </c>
      <c r="G310" s="2792">
        <f>+E310+F310</f>
        <v>43410</v>
      </c>
      <c r="H310" s="2792" t="s">
        <v>294</v>
      </c>
      <c r="I310" s="2789" t="s">
        <v>171</v>
      </c>
      <c r="J310" s="2793" t="s">
        <v>295</v>
      </c>
      <c r="K310" s="2843"/>
      <c r="L310" s="1704"/>
      <c r="M310" s="1124"/>
      <c r="N310" s="1703"/>
      <c r="O310" s="1125"/>
      <c r="P310" s="1703"/>
      <c r="Q310" s="1127"/>
      <c r="R310" s="1127"/>
      <c r="S310" s="1126"/>
      <c r="T310" s="1126"/>
      <c r="U310" s="1126"/>
      <c r="V310" s="1126"/>
      <c r="W310" s="1126"/>
      <c r="X310" s="2835"/>
      <c r="Y310" s="1126"/>
      <c r="Z310" s="1194"/>
      <c r="AA310" s="1194"/>
      <c r="AB310" s="1194"/>
      <c r="AC310" s="1124"/>
      <c r="AD310" s="1124"/>
      <c r="AE310" s="1152"/>
      <c r="AF310" s="1124"/>
      <c r="AG310" s="2355"/>
    </row>
    <row r="311" spans="1:33" ht="32.25" hidden="1" customHeight="1">
      <c r="A311" s="294">
        <v>2143</v>
      </c>
      <c r="B311" s="291" t="s">
        <v>69</v>
      </c>
      <c r="C311" s="1835" t="s">
        <v>351</v>
      </c>
      <c r="D311" s="326"/>
      <c r="E311" s="294">
        <v>1</v>
      </c>
      <c r="F311" s="293">
        <v>43409</v>
      </c>
      <c r="G311" s="293">
        <f t="shared" si="45"/>
        <v>43410</v>
      </c>
      <c r="H311" s="293" t="s">
        <v>294</v>
      </c>
      <c r="I311" s="294" t="s">
        <v>171</v>
      </c>
      <c r="J311" s="307" t="s">
        <v>295</v>
      </c>
      <c r="K311" s="326" t="s">
        <v>296</v>
      </c>
      <c r="L311" s="1237">
        <v>23174</v>
      </c>
      <c r="M311" s="326"/>
      <c r="N311" s="294"/>
      <c r="O311" s="1557">
        <v>24</v>
      </c>
      <c r="P311" s="887">
        <v>60</v>
      </c>
      <c r="Q311" s="299">
        <f t="shared" si="46"/>
        <v>1440</v>
      </c>
      <c r="R311" s="299"/>
      <c r="S311" s="355"/>
      <c r="T311" s="355"/>
      <c r="U311" s="355"/>
      <c r="V311" s="355"/>
      <c r="W311" s="355"/>
      <c r="X311" s="1137"/>
      <c r="Y311" s="1126"/>
      <c r="Z311" s="1194"/>
      <c r="AA311" s="1126">
        <v>1440</v>
      </c>
      <c r="AB311" s="1194"/>
      <c r="AC311" s="1124"/>
      <c r="AD311" s="1124"/>
      <c r="AE311" s="1152"/>
      <c r="AF311" s="1124"/>
      <c r="AG311" s="547">
        <f t="shared" si="47"/>
        <v>1440</v>
      </c>
    </row>
    <row r="312" spans="1:33" ht="32.25" hidden="1" customHeight="1">
      <c r="A312" s="294">
        <v>2143</v>
      </c>
      <c r="B312" s="291" t="s">
        <v>69</v>
      </c>
      <c r="C312" s="1835" t="s">
        <v>351</v>
      </c>
      <c r="D312" s="326"/>
      <c r="E312" s="294">
        <v>1</v>
      </c>
      <c r="F312" s="293">
        <v>43409</v>
      </c>
      <c r="G312" s="293">
        <f t="shared" si="45"/>
        <v>43410</v>
      </c>
      <c r="H312" s="293" t="s">
        <v>294</v>
      </c>
      <c r="I312" s="294" t="s">
        <v>171</v>
      </c>
      <c r="J312" s="307" t="s">
        <v>295</v>
      </c>
      <c r="K312" s="326" t="s">
        <v>352</v>
      </c>
      <c r="L312" s="1237">
        <v>23174</v>
      </c>
      <c r="M312" s="326"/>
      <c r="N312" s="294"/>
      <c r="O312" s="1557">
        <v>26.666666666666668</v>
      </c>
      <c r="P312" s="887">
        <v>60</v>
      </c>
      <c r="Q312" s="299">
        <f t="shared" si="46"/>
        <v>1600</v>
      </c>
      <c r="R312" s="299"/>
      <c r="S312" s="355"/>
      <c r="T312" s="355"/>
      <c r="U312" s="355"/>
      <c r="V312" s="355"/>
      <c r="W312" s="355"/>
      <c r="X312" s="1137"/>
      <c r="Y312" s="1126"/>
      <c r="Z312" s="1194"/>
      <c r="AA312" s="1126">
        <v>1600</v>
      </c>
      <c r="AB312" s="1194"/>
      <c r="AC312" s="1124"/>
      <c r="AD312" s="1124"/>
      <c r="AE312" s="1152"/>
      <c r="AF312" s="1124"/>
      <c r="AG312" s="547">
        <f t="shared" si="47"/>
        <v>1600</v>
      </c>
    </row>
    <row r="313" spans="1:33" ht="29.25" customHeight="1">
      <c r="A313" s="1275">
        <v>215</v>
      </c>
      <c r="B313" s="995" t="s">
        <v>353</v>
      </c>
      <c r="C313" s="1083"/>
      <c r="D313" s="1339"/>
      <c r="E313" s="1340"/>
      <c r="F313" s="1340"/>
      <c r="G313" s="1340"/>
      <c r="H313" s="1339"/>
      <c r="I313" s="1341"/>
      <c r="J313" s="283"/>
      <c r="K313" s="1278"/>
      <c r="L313" s="1279"/>
      <c r="M313" s="1280"/>
      <c r="N313" s="1277"/>
      <c r="O313" s="1281"/>
      <c r="P313" s="1277"/>
      <c r="Q313" s="547">
        <f>SUM(Q315:Q333)</f>
        <v>53486.333333333343</v>
      </c>
      <c r="R313" s="287"/>
      <c r="S313" s="1282">
        <f t="shared" ref="S313:AF313" si="48">SUM(S315:S333)</f>
        <v>0</v>
      </c>
      <c r="T313" s="1282">
        <f t="shared" si="48"/>
        <v>0</v>
      </c>
      <c r="U313" s="1282">
        <f t="shared" si="48"/>
        <v>12902.666666666664</v>
      </c>
      <c r="V313" s="1282">
        <f t="shared" si="48"/>
        <v>40583.666666666672</v>
      </c>
      <c r="W313" s="1282">
        <f t="shared" si="48"/>
        <v>0</v>
      </c>
      <c r="X313" s="1342">
        <f t="shared" si="48"/>
        <v>0</v>
      </c>
      <c r="Y313" s="1343">
        <f t="shared" si="48"/>
        <v>0</v>
      </c>
      <c r="Z313" s="1151">
        <f t="shared" si="48"/>
        <v>0</v>
      </c>
      <c r="AA313" s="1151">
        <f t="shared" si="48"/>
        <v>0</v>
      </c>
      <c r="AB313" s="1151">
        <f t="shared" si="48"/>
        <v>0</v>
      </c>
      <c r="AC313" s="1151">
        <f t="shared" si="48"/>
        <v>0</v>
      </c>
      <c r="AD313" s="1151">
        <f t="shared" si="48"/>
        <v>0</v>
      </c>
      <c r="AE313" s="1151">
        <f t="shared" si="48"/>
        <v>0</v>
      </c>
      <c r="AF313" s="1151">
        <f t="shared" si="48"/>
        <v>0</v>
      </c>
      <c r="AG313" s="3004">
        <f>SUM(S313:AF313)</f>
        <v>53486.333333333336</v>
      </c>
    </row>
    <row r="314" spans="1:33" ht="29.25" customHeight="1">
      <c r="A314" s="2789">
        <v>2151</v>
      </c>
      <c r="B314" s="2790" t="s">
        <v>70</v>
      </c>
      <c r="C314" s="2800" t="s">
        <v>307</v>
      </c>
      <c r="D314" s="2791"/>
      <c r="E314" s="2789">
        <v>2</v>
      </c>
      <c r="F314" s="2792">
        <v>43269</v>
      </c>
      <c r="G314" s="2792">
        <f>+E314+F314</f>
        <v>43271</v>
      </c>
      <c r="H314" s="2792" t="s">
        <v>294</v>
      </c>
      <c r="I314" s="2789" t="s">
        <v>171</v>
      </c>
      <c r="J314" s="2793" t="s">
        <v>295</v>
      </c>
      <c r="K314" s="1432"/>
      <c r="L314" s="1433"/>
      <c r="M314" s="1430"/>
      <c r="N314" s="1431"/>
      <c r="O314" s="1434"/>
      <c r="P314" s="1431"/>
      <c r="Q314" s="2355"/>
      <c r="R314" s="1133"/>
      <c r="S314" s="1343"/>
      <c r="T314" s="1343"/>
      <c r="U314" s="1343"/>
      <c r="V314" s="1343"/>
      <c r="W314" s="1343"/>
      <c r="X314" s="2733"/>
      <c r="Y314" s="1343"/>
      <c r="Z314" s="1151"/>
      <c r="AA314" s="1151"/>
      <c r="AB314" s="1151"/>
      <c r="AC314" s="1151"/>
      <c r="AD314" s="1151"/>
      <c r="AE314" s="1151"/>
      <c r="AF314" s="1151"/>
      <c r="AG314" s="3004"/>
    </row>
    <row r="315" spans="1:33" ht="32.25" hidden="1" customHeight="1">
      <c r="A315" s="294">
        <v>2151</v>
      </c>
      <c r="B315" s="291" t="s">
        <v>70</v>
      </c>
      <c r="C315" s="1834" t="s">
        <v>307</v>
      </c>
      <c r="D315" s="326"/>
      <c r="E315" s="294">
        <v>2</v>
      </c>
      <c r="F315" s="293">
        <v>43269</v>
      </c>
      <c r="G315" s="293">
        <f t="shared" ref="G315:G333" si="49">+E315+F315</f>
        <v>43271</v>
      </c>
      <c r="H315" s="293" t="s">
        <v>294</v>
      </c>
      <c r="I315" s="294" t="s">
        <v>171</v>
      </c>
      <c r="J315" s="307" t="s">
        <v>295</v>
      </c>
      <c r="K315" s="326" t="s">
        <v>309</v>
      </c>
      <c r="L315" s="1237">
        <v>23173</v>
      </c>
      <c r="M315" s="294"/>
      <c r="N315" s="294"/>
      <c r="O315" s="354">
        <v>205.33333333333334</v>
      </c>
      <c r="P315" s="887">
        <v>3</v>
      </c>
      <c r="Q315" s="299">
        <f t="shared" ref="Q315:Q333" si="50">+O315*P315</f>
        <v>616</v>
      </c>
      <c r="R315" s="299"/>
      <c r="S315" s="355"/>
      <c r="T315" s="355"/>
      <c r="U315" s="355"/>
      <c r="V315" s="355">
        <v>616</v>
      </c>
      <c r="W315" s="355"/>
      <c r="X315" s="1137"/>
      <c r="Y315" s="1126"/>
      <c r="Z315" s="1194"/>
      <c r="AA315" s="1194"/>
      <c r="AB315" s="1194"/>
      <c r="AC315" s="1124"/>
      <c r="AD315" s="1124"/>
      <c r="AE315" s="1152"/>
      <c r="AF315" s="1124"/>
      <c r="AG315" s="547">
        <f t="shared" ref="AG315:AG333" si="51">SUM(S315:AF315)</f>
        <v>616</v>
      </c>
    </row>
    <row r="316" spans="1:33" ht="32.25" hidden="1" customHeight="1">
      <c r="A316" s="294">
        <v>2151</v>
      </c>
      <c r="B316" s="291" t="s">
        <v>70</v>
      </c>
      <c r="C316" s="1834" t="s">
        <v>307</v>
      </c>
      <c r="D316" s="326"/>
      <c r="E316" s="294">
        <v>2</v>
      </c>
      <c r="F316" s="293">
        <v>43269</v>
      </c>
      <c r="G316" s="293">
        <f t="shared" si="49"/>
        <v>43271</v>
      </c>
      <c r="H316" s="293" t="s">
        <v>294</v>
      </c>
      <c r="I316" s="294" t="s">
        <v>171</v>
      </c>
      <c r="J316" s="307" t="s">
        <v>295</v>
      </c>
      <c r="K316" s="326" t="s">
        <v>308</v>
      </c>
      <c r="L316" s="1237">
        <v>23173</v>
      </c>
      <c r="M316" s="326"/>
      <c r="N316" s="294"/>
      <c r="O316" s="354">
        <v>44</v>
      </c>
      <c r="P316" s="887">
        <v>3</v>
      </c>
      <c r="Q316" s="299">
        <f t="shared" si="50"/>
        <v>132</v>
      </c>
      <c r="R316" s="299"/>
      <c r="S316" s="355"/>
      <c r="T316" s="355"/>
      <c r="U316" s="355"/>
      <c r="V316" s="355">
        <v>132</v>
      </c>
      <c r="W316" s="355"/>
      <c r="X316" s="1137"/>
      <c r="Y316" s="1126"/>
      <c r="Z316" s="1194"/>
      <c r="AA316" s="1194"/>
      <c r="AB316" s="1194"/>
      <c r="AC316" s="1124"/>
      <c r="AD316" s="1124"/>
      <c r="AE316" s="1152"/>
      <c r="AF316" s="1124"/>
      <c r="AG316" s="547">
        <f t="shared" si="51"/>
        <v>132</v>
      </c>
    </row>
    <row r="317" spans="1:33" ht="32.25" hidden="1" customHeight="1">
      <c r="A317" s="294">
        <v>2151</v>
      </c>
      <c r="B317" s="291" t="s">
        <v>70</v>
      </c>
      <c r="C317" s="1834" t="s">
        <v>307</v>
      </c>
      <c r="D317" s="326"/>
      <c r="E317" s="294">
        <v>2</v>
      </c>
      <c r="F317" s="293">
        <v>43269</v>
      </c>
      <c r="G317" s="293">
        <f t="shared" si="49"/>
        <v>43271</v>
      </c>
      <c r="H317" s="293" t="s">
        <v>294</v>
      </c>
      <c r="I317" s="294" t="s">
        <v>171</v>
      </c>
      <c r="J317" s="307" t="s">
        <v>295</v>
      </c>
      <c r="K317" s="326" t="s">
        <v>296</v>
      </c>
      <c r="L317" s="1237">
        <v>23174</v>
      </c>
      <c r="M317" s="326"/>
      <c r="N317" s="294"/>
      <c r="O317" s="354">
        <v>480</v>
      </c>
      <c r="P317" s="887">
        <v>3</v>
      </c>
      <c r="Q317" s="299">
        <f t="shared" si="50"/>
        <v>1440</v>
      </c>
      <c r="R317" s="299"/>
      <c r="S317" s="355"/>
      <c r="T317" s="355"/>
      <c r="U317" s="355"/>
      <c r="V317" s="355">
        <v>1440</v>
      </c>
      <c r="W317" s="355"/>
      <c r="X317" s="1137"/>
      <c r="Y317" s="1126"/>
      <c r="Z317" s="1194"/>
      <c r="AA317" s="1194"/>
      <c r="AB317" s="1194"/>
      <c r="AC317" s="1124"/>
      <c r="AD317" s="1124"/>
      <c r="AE317" s="1152"/>
      <c r="AF317" s="1124"/>
      <c r="AG317" s="547">
        <f t="shared" si="51"/>
        <v>1440</v>
      </c>
    </row>
    <row r="318" spans="1:33" ht="32.25" hidden="1" customHeight="1">
      <c r="A318" s="294">
        <v>2151</v>
      </c>
      <c r="B318" s="291" t="s">
        <v>70</v>
      </c>
      <c r="C318" s="1834" t="s">
        <v>307</v>
      </c>
      <c r="D318" s="326"/>
      <c r="E318" s="294">
        <v>2</v>
      </c>
      <c r="F318" s="293">
        <v>43269</v>
      </c>
      <c r="G318" s="293">
        <f t="shared" si="49"/>
        <v>43271</v>
      </c>
      <c r="H318" s="293" t="s">
        <v>294</v>
      </c>
      <c r="I318" s="294" t="s">
        <v>171</v>
      </c>
      <c r="J318" s="307" t="s">
        <v>295</v>
      </c>
      <c r="K318" s="326" t="s">
        <v>354</v>
      </c>
      <c r="L318" s="1237">
        <v>23174</v>
      </c>
      <c r="M318" s="326"/>
      <c r="N318" s="294"/>
      <c r="O318" s="354">
        <v>202.66666666666666</v>
      </c>
      <c r="P318" s="887">
        <v>3</v>
      </c>
      <c r="Q318" s="299">
        <f t="shared" si="50"/>
        <v>608</v>
      </c>
      <c r="R318" s="299"/>
      <c r="S318" s="355"/>
      <c r="T318" s="355"/>
      <c r="U318" s="355"/>
      <c r="V318" s="355">
        <v>608</v>
      </c>
      <c r="W318" s="355"/>
      <c r="X318" s="1137"/>
      <c r="Y318" s="1126"/>
      <c r="Z318" s="1194"/>
      <c r="AA318" s="1194"/>
      <c r="AB318" s="1194"/>
      <c r="AC318" s="1124"/>
      <c r="AD318" s="1124"/>
      <c r="AE318" s="1152"/>
      <c r="AF318" s="1124"/>
      <c r="AG318" s="547">
        <f t="shared" si="51"/>
        <v>608</v>
      </c>
    </row>
    <row r="319" spans="1:33" ht="32.25" hidden="1" customHeight="1">
      <c r="A319" s="294">
        <v>2151</v>
      </c>
      <c r="B319" s="291" t="s">
        <v>70</v>
      </c>
      <c r="C319" s="1834" t="s">
        <v>307</v>
      </c>
      <c r="D319" s="326"/>
      <c r="E319" s="294">
        <v>2</v>
      </c>
      <c r="F319" s="293">
        <v>43269</v>
      </c>
      <c r="G319" s="293">
        <f t="shared" si="49"/>
        <v>43271</v>
      </c>
      <c r="H319" s="293" t="s">
        <v>294</v>
      </c>
      <c r="I319" s="294" t="s">
        <v>171</v>
      </c>
      <c r="J319" s="307" t="s">
        <v>295</v>
      </c>
      <c r="K319" s="326" t="s">
        <v>355</v>
      </c>
      <c r="L319" s="1237">
        <v>23174</v>
      </c>
      <c r="M319" s="326"/>
      <c r="N319" s="294"/>
      <c r="O319" s="354">
        <v>333.33333333333331</v>
      </c>
      <c r="P319" s="887">
        <v>3</v>
      </c>
      <c r="Q319" s="299">
        <f t="shared" si="50"/>
        <v>1000</v>
      </c>
      <c r="R319" s="299"/>
      <c r="S319" s="355"/>
      <c r="T319" s="355"/>
      <c r="U319" s="355"/>
      <c r="V319" s="355">
        <v>1000</v>
      </c>
      <c r="W319" s="355"/>
      <c r="X319" s="1137"/>
      <c r="Y319" s="1126"/>
      <c r="Z319" s="1194"/>
      <c r="AA319" s="1194"/>
      <c r="AB319" s="1194"/>
      <c r="AC319" s="1124"/>
      <c r="AD319" s="1124"/>
      <c r="AE319" s="1152"/>
      <c r="AF319" s="1124"/>
      <c r="AG319" s="547">
        <f t="shared" si="51"/>
        <v>1000</v>
      </c>
    </row>
    <row r="320" spans="1:33" ht="32.25" hidden="1" customHeight="1">
      <c r="A320" s="294">
        <v>2151</v>
      </c>
      <c r="B320" s="291" t="s">
        <v>70</v>
      </c>
      <c r="C320" s="1834" t="s">
        <v>307</v>
      </c>
      <c r="D320" s="326"/>
      <c r="E320" s="294">
        <v>2</v>
      </c>
      <c r="F320" s="293">
        <v>43269</v>
      </c>
      <c r="G320" s="293">
        <f t="shared" si="49"/>
        <v>43271</v>
      </c>
      <c r="H320" s="293" t="s">
        <v>294</v>
      </c>
      <c r="I320" s="294" t="s">
        <v>171</v>
      </c>
      <c r="J320" s="307" t="s">
        <v>295</v>
      </c>
      <c r="K320" s="326" t="s">
        <v>356</v>
      </c>
      <c r="L320" s="1237">
        <v>23174</v>
      </c>
      <c r="M320" s="326"/>
      <c r="N320" s="294"/>
      <c r="O320" s="354">
        <v>133.33333333333334</v>
      </c>
      <c r="P320" s="887">
        <v>3</v>
      </c>
      <c r="Q320" s="299">
        <f t="shared" si="50"/>
        <v>400</v>
      </c>
      <c r="R320" s="299"/>
      <c r="S320" s="355"/>
      <c r="T320" s="355"/>
      <c r="U320" s="355"/>
      <c r="V320" s="355">
        <v>400</v>
      </c>
      <c r="W320" s="355"/>
      <c r="X320" s="1137"/>
      <c r="Y320" s="1126"/>
      <c r="Z320" s="1194"/>
      <c r="AA320" s="1194"/>
      <c r="AB320" s="1194"/>
      <c r="AC320" s="1124"/>
      <c r="AD320" s="1124"/>
      <c r="AE320" s="1152"/>
      <c r="AF320" s="1124"/>
      <c r="AG320" s="547">
        <f t="shared" si="51"/>
        <v>400</v>
      </c>
    </row>
    <row r="321" spans="1:33" ht="32.25" hidden="1" customHeight="1">
      <c r="A321" s="294">
        <v>2151</v>
      </c>
      <c r="B321" s="291" t="s">
        <v>70</v>
      </c>
      <c r="C321" s="1834" t="s">
        <v>307</v>
      </c>
      <c r="D321" s="326"/>
      <c r="E321" s="294">
        <v>2</v>
      </c>
      <c r="F321" s="293">
        <v>43269</v>
      </c>
      <c r="G321" s="293">
        <f t="shared" si="49"/>
        <v>43271</v>
      </c>
      <c r="H321" s="293" t="s">
        <v>294</v>
      </c>
      <c r="I321" s="294" t="s">
        <v>171</v>
      </c>
      <c r="J321" s="307" t="s">
        <v>295</v>
      </c>
      <c r="K321" s="326" t="s">
        <v>301</v>
      </c>
      <c r="L321" s="1237">
        <v>23173</v>
      </c>
      <c r="M321" s="326"/>
      <c r="N321" s="294"/>
      <c r="O321" s="354">
        <v>200</v>
      </c>
      <c r="P321" s="887">
        <v>3</v>
      </c>
      <c r="Q321" s="299">
        <f t="shared" si="50"/>
        <v>600</v>
      </c>
      <c r="R321" s="299"/>
      <c r="S321" s="355"/>
      <c r="T321" s="355"/>
      <c r="U321" s="355"/>
      <c r="V321" s="355">
        <v>600</v>
      </c>
      <c r="W321" s="355"/>
      <c r="X321" s="1137"/>
      <c r="Y321" s="1126"/>
      <c r="Z321" s="1194"/>
      <c r="AA321" s="1194"/>
      <c r="AB321" s="1194"/>
      <c r="AC321" s="1124"/>
      <c r="AD321" s="1124"/>
      <c r="AE321" s="1152"/>
      <c r="AF321" s="1124"/>
      <c r="AG321" s="547">
        <f t="shared" si="51"/>
        <v>600</v>
      </c>
    </row>
    <row r="322" spans="1:33" ht="32.25" hidden="1" customHeight="1">
      <c r="A322" s="294">
        <v>2151</v>
      </c>
      <c r="B322" s="291" t="s">
        <v>70</v>
      </c>
      <c r="C322" s="1834" t="s">
        <v>307</v>
      </c>
      <c r="D322" s="326"/>
      <c r="E322" s="294">
        <v>2</v>
      </c>
      <c r="F322" s="293">
        <v>43269</v>
      </c>
      <c r="G322" s="293">
        <f t="shared" si="49"/>
        <v>43271</v>
      </c>
      <c r="H322" s="293" t="s">
        <v>294</v>
      </c>
      <c r="I322" s="294" t="s">
        <v>171</v>
      </c>
      <c r="J322" s="307" t="s">
        <v>295</v>
      </c>
      <c r="K322" s="326" t="s">
        <v>302</v>
      </c>
      <c r="L322" s="1237">
        <v>23173</v>
      </c>
      <c r="M322" s="326"/>
      <c r="N322" s="294"/>
      <c r="O322" s="354">
        <v>207</v>
      </c>
      <c r="P322" s="887">
        <v>3</v>
      </c>
      <c r="Q322" s="299">
        <f t="shared" si="50"/>
        <v>621</v>
      </c>
      <c r="R322" s="299"/>
      <c r="S322" s="355"/>
      <c r="T322" s="355"/>
      <c r="U322" s="355"/>
      <c r="V322" s="355">
        <v>621</v>
      </c>
      <c r="W322" s="355"/>
      <c r="X322" s="1137"/>
      <c r="Y322" s="1126"/>
      <c r="Z322" s="1194"/>
      <c r="AA322" s="1194"/>
      <c r="AB322" s="1194"/>
      <c r="AC322" s="1124"/>
      <c r="AD322" s="1124"/>
      <c r="AE322" s="1152"/>
      <c r="AF322" s="1124"/>
      <c r="AG322" s="547">
        <f t="shared" si="51"/>
        <v>621</v>
      </c>
    </row>
    <row r="323" spans="1:33" ht="32.25" customHeight="1">
      <c r="A323" s="2789">
        <v>2152</v>
      </c>
      <c r="B323" s="2790" t="s">
        <v>71</v>
      </c>
      <c r="C323" s="2801" t="s">
        <v>307</v>
      </c>
      <c r="D323" s="2791"/>
      <c r="E323" s="2789">
        <v>5</v>
      </c>
      <c r="F323" s="2792">
        <v>43234</v>
      </c>
      <c r="G323" s="2792">
        <f>+E323+F323</f>
        <v>43239</v>
      </c>
      <c r="H323" s="2792" t="s">
        <v>294</v>
      </c>
      <c r="I323" s="2789" t="s">
        <v>171</v>
      </c>
      <c r="J323" s="2793" t="s">
        <v>295</v>
      </c>
      <c r="K323" s="1124"/>
      <c r="L323" s="1704"/>
      <c r="M323" s="1124"/>
      <c r="N323" s="1703"/>
      <c r="O323" s="1125"/>
      <c r="P323" s="2834"/>
      <c r="Q323" s="1127"/>
      <c r="R323" s="1127"/>
      <c r="S323" s="1126"/>
      <c r="T323" s="1126"/>
      <c r="U323" s="1126"/>
      <c r="V323" s="1126"/>
      <c r="W323" s="1126"/>
      <c r="X323" s="2835"/>
      <c r="Y323" s="1126"/>
      <c r="Z323" s="1194"/>
      <c r="AA323" s="1194"/>
      <c r="AB323" s="1194"/>
      <c r="AC323" s="1124"/>
      <c r="AD323" s="1124"/>
      <c r="AE323" s="1152"/>
      <c r="AF323" s="1124"/>
      <c r="AG323" s="2355"/>
    </row>
    <row r="324" spans="1:33" ht="32.25" hidden="1" customHeight="1">
      <c r="A324" s="294">
        <v>2152</v>
      </c>
      <c r="B324" s="291" t="s">
        <v>71</v>
      </c>
      <c r="C324" s="1835" t="s">
        <v>307</v>
      </c>
      <c r="D324" s="326"/>
      <c r="E324" s="294">
        <v>5</v>
      </c>
      <c r="F324" s="293">
        <v>43234</v>
      </c>
      <c r="G324" s="293">
        <f t="shared" si="49"/>
        <v>43239</v>
      </c>
      <c r="H324" s="293" t="s">
        <v>294</v>
      </c>
      <c r="I324" s="294" t="s">
        <v>171</v>
      </c>
      <c r="J324" s="307" t="s">
        <v>295</v>
      </c>
      <c r="K324" s="326" t="s">
        <v>309</v>
      </c>
      <c r="L324" s="1237">
        <v>23173</v>
      </c>
      <c r="M324" s="326"/>
      <c r="N324" s="294"/>
      <c r="O324" s="354">
        <v>933.33333333333337</v>
      </c>
      <c r="P324" s="294">
        <v>1</v>
      </c>
      <c r="Q324" s="299">
        <f t="shared" si="50"/>
        <v>933.33333333333337</v>
      </c>
      <c r="R324" s="299"/>
      <c r="S324" s="355"/>
      <c r="T324" s="355"/>
      <c r="U324" s="355">
        <v>933.33333333333337</v>
      </c>
      <c r="V324" s="355"/>
      <c r="W324" s="355"/>
      <c r="X324" s="1137"/>
      <c r="Y324" s="1126"/>
      <c r="Z324" s="1194"/>
      <c r="AA324" s="1194"/>
      <c r="AB324" s="1194"/>
      <c r="AC324" s="1124"/>
      <c r="AD324" s="1124"/>
      <c r="AE324" s="1152"/>
      <c r="AF324" s="1124"/>
      <c r="AG324" s="547">
        <f t="shared" si="51"/>
        <v>933.33333333333337</v>
      </c>
    </row>
    <row r="325" spans="1:33" ht="32.25" hidden="1" customHeight="1">
      <c r="A325" s="294">
        <v>2152</v>
      </c>
      <c r="B325" s="291" t="s">
        <v>71</v>
      </c>
      <c r="C325" s="1835" t="s">
        <v>307</v>
      </c>
      <c r="D325" s="326"/>
      <c r="E325" s="294">
        <v>5</v>
      </c>
      <c r="F325" s="293">
        <v>43234</v>
      </c>
      <c r="G325" s="293">
        <f t="shared" si="49"/>
        <v>43239</v>
      </c>
      <c r="H325" s="293" t="s">
        <v>294</v>
      </c>
      <c r="I325" s="294" t="s">
        <v>171</v>
      </c>
      <c r="J325" s="307" t="s">
        <v>295</v>
      </c>
      <c r="K325" s="326" t="s">
        <v>308</v>
      </c>
      <c r="L325" s="1237">
        <v>23173</v>
      </c>
      <c r="M325" s="326"/>
      <c r="N325" s="294"/>
      <c r="O325" s="354">
        <v>200</v>
      </c>
      <c r="P325" s="294">
        <v>1</v>
      </c>
      <c r="Q325" s="299">
        <f t="shared" si="50"/>
        <v>200</v>
      </c>
      <c r="R325" s="299"/>
      <c r="S325" s="355"/>
      <c r="T325" s="355"/>
      <c r="U325" s="355">
        <v>200</v>
      </c>
      <c r="V325" s="355"/>
      <c r="W325" s="355"/>
      <c r="X325" s="1137"/>
      <c r="Y325" s="1126"/>
      <c r="Z325" s="1194"/>
      <c r="AA325" s="1194"/>
      <c r="AB325" s="1194"/>
      <c r="AC325" s="1124"/>
      <c r="AD325" s="1124"/>
      <c r="AE325" s="1152"/>
      <c r="AF325" s="1124"/>
      <c r="AG325" s="547">
        <f t="shared" si="51"/>
        <v>200</v>
      </c>
    </row>
    <row r="326" spans="1:33" ht="32.25" hidden="1" customHeight="1">
      <c r="A326" s="294">
        <v>2152</v>
      </c>
      <c r="B326" s="291" t="s">
        <v>71</v>
      </c>
      <c r="C326" s="1835" t="s">
        <v>307</v>
      </c>
      <c r="D326" s="326"/>
      <c r="E326" s="294">
        <v>5</v>
      </c>
      <c r="F326" s="293">
        <v>43234</v>
      </c>
      <c r="G326" s="293">
        <f t="shared" si="49"/>
        <v>43239</v>
      </c>
      <c r="H326" s="293" t="s">
        <v>294</v>
      </c>
      <c r="I326" s="294" t="s">
        <v>171</v>
      </c>
      <c r="J326" s="307" t="s">
        <v>295</v>
      </c>
      <c r="K326" s="936" t="s">
        <v>357</v>
      </c>
      <c r="L326" s="1237">
        <v>23174</v>
      </c>
      <c r="M326" s="326"/>
      <c r="N326" s="294"/>
      <c r="O326" s="354">
        <v>7093.333333333333</v>
      </c>
      <c r="P326" s="294">
        <v>1</v>
      </c>
      <c r="Q326" s="299">
        <f t="shared" si="50"/>
        <v>7093.333333333333</v>
      </c>
      <c r="R326" s="299"/>
      <c r="S326" s="355"/>
      <c r="T326" s="355"/>
      <c r="U326" s="355">
        <v>7093.333333333333</v>
      </c>
      <c r="V326" s="355"/>
      <c r="W326" s="355"/>
      <c r="X326" s="1137"/>
      <c r="Y326" s="1126"/>
      <c r="Z326" s="1194"/>
      <c r="AA326" s="1194"/>
      <c r="AB326" s="1194"/>
      <c r="AC326" s="1124"/>
      <c r="AD326" s="1124"/>
      <c r="AE326" s="1152"/>
      <c r="AF326" s="1124"/>
      <c r="AG326" s="547">
        <f t="shared" si="51"/>
        <v>7093.333333333333</v>
      </c>
    </row>
    <row r="327" spans="1:33" ht="32.25" hidden="1" customHeight="1">
      <c r="A327" s="294">
        <v>2152</v>
      </c>
      <c r="B327" s="291" t="s">
        <v>71</v>
      </c>
      <c r="C327" s="1835" t="s">
        <v>307</v>
      </c>
      <c r="D327" s="326"/>
      <c r="E327" s="294">
        <v>5</v>
      </c>
      <c r="F327" s="293">
        <v>43234</v>
      </c>
      <c r="G327" s="293">
        <f t="shared" si="49"/>
        <v>43239</v>
      </c>
      <c r="H327" s="293" t="s">
        <v>294</v>
      </c>
      <c r="I327" s="294" t="s">
        <v>171</v>
      </c>
      <c r="J327" s="307" t="s">
        <v>295</v>
      </c>
      <c r="K327" s="936" t="s">
        <v>346</v>
      </c>
      <c r="L327" s="1237">
        <v>23174</v>
      </c>
      <c r="M327" s="326"/>
      <c r="N327" s="294"/>
      <c r="O327" s="354">
        <v>2666.6666666666665</v>
      </c>
      <c r="P327" s="294">
        <v>1</v>
      </c>
      <c r="Q327" s="299">
        <f t="shared" si="50"/>
        <v>2666.6666666666665</v>
      </c>
      <c r="R327" s="299"/>
      <c r="S327" s="355"/>
      <c r="T327" s="355"/>
      <c r="U327" s="355">
        <v>2666.6666666666665</v>
      </c>
      <c r="V327" s="355"/>
      <c r="W327" s="355"/>
      <c r="X327" s="1137"/>
      <c r="Y327" s="1126"/>
      <c r="Z327" s="1194"/>
      <c r="AA327" s="1194"/>
      <c r="AB327" s="1194"/>
      <c r="AC327" s="1124"/>
      <c r="AD327" s="1124"/>
      <c r="AE327" s="1152"/>
      <c r="AF327" s="1124"/>
      <c r="AG327" s="547">
        <f t="shared" si="51"/>
        <v>2666.6666666666665</v>
      </c>
    </row>
    <row r="328" spans="1:33" ht="32.25" hidden="1" customHeight="1">
      <c r="A328" s="294">
        <v>2152</v>
      </c>
      <c r="B328" s="291" t="s">
        <v>71</v>
      </c>
      <c r="C328" s="1835" t="s">
        <v>307</v>
      </c>
      <c r="D328" s="326"/>
      <c r="E328" s="294">
        <v>5</v>
      </c>
      <c r="F328" s="293">
        <v>43234</v>
      </c>
      <c r="G328" s="293">
        <f t="shared" si="49"/>
        <v>43239</v>
      </c>
      <c r="H328" s="293" t="s">
        <v>294</v>
      </c>
      <c r="I328" s="294" t="s">
        <v>171</v>
      </c>
      <c r="J328" s="307" t="s">
        <v>295</v>
      </c>
      <c r="K328" s="1838" t="s">
        <v>358</v>
      </c>
      <c r="L328" s="1237">
        <v>23174</v>
      </c>
      <c r="M328" s="326"/>
      <c r="N328" s="294"/>
      <c r="O328" s="354">
        <v>1066.6666666666667</v>
      </c>
      <c r="P328" s="294">
        <v>1</v>
      </c>
      <c r="Q328" s="299">
        <f t="shared" si="50"/>
        <v>1066.6666666666667</v>
      </c>
      <c r="R328" s="299"/>
      <c r="S328" s="355"/>
      <c r="T328" s="355"/>
      <c r="U328" s="355">
        <v>1066.6666666666667</v>
      </c>
      <c r="V328" s="355"/>
      <c r="W328" s="355"/>
      <c r="X328" s="1137"/>
      <c r="Y328" s="1126"/>
      <c r="Z328" s="1194"/>
      <c r="AA328" s="1194"/>
      <c r="AB328" s="1194"/>
      <c r="AC328" s="1124"/>
      <c r="AD328" s="1124"/>
      <c r="AE328" s="1152"/>
      <c r="AF328" s="1124"/>
      <c r="AG328" s="547">
        <f t="shared" si="51"/>
        <v>1066.6666666666667</v>
      </c>
    </row>
    <row r="329" spans="1:33" ht="32.25" hidden="1" customHeight="1">
      <c r="A329" s="294">
        <v>2152</v>
      </c>
      <c r="B329" s="291" t="s">
        <v>71</v>
      </c>
      <c r="C329" s="1835" t="s">
        <v>307</v>
      </c>
      <c r="D329" s="326"/>
      <c r="E329" s="294">
        <v>5</v>
      </c>
      <c r="F329" s="293">
        <v>43234</v>
      </c>
      <c r="G329" s="293">
        <f t="shared" si="49"/>
        <v>43239</v>
      </c>
      <c r="H329" s="293" t="s">
        <v>294</v>
      </c>
      <c r="I329" s="294" t="s">
        <v>171</v>
      </c>
      <c r="J329" s="307" t="s">
        <v>295</v>
      </c>
      <c r="K329" s="936" t="s">
        <v>301</v>
      </c>
      <c r="L329" s="1237">
        <v>23173</v>
      </c>
      <c r="M329" s="326"/>
      <c r="N329" s="294"/>
      <c r="O329" s="354">
        <v>666.66666666666663</v>
      </c>
      <c r="P329" s="294">
        <v>1</v>
      </c>
      <c r="Q329" s="299">
        <f t="shared" si="50"/>
        <v>666.66666666666663</v>
      </c>
      <c r="R329" s="299"/>
      <c r="S329" s="355"/>
      <c r="T329" s="355"/>
      <c r="U329" s="355">
        <v>666.66666666666663</v>
      </c>
      <c r="V329" s="355"/>
      <c r="W329" s="355"/>
      <c r="X329" s="1137"/>
      <c r="Y329" s="1126"/>
      <c r="Z329" s="1194"/>
      <c r="AA329" s="1194"/>
      <c r="AB329" s="1194"/>
      <c r="AC329" s="1124"/>
      <c r="AD329" s="1124"/>
      <c r="AE329" s="1152"/>
      <c r="AF329" s="1124"/>
      <c r="AG329" s="547">
        <f t="shared" si="51"/>
        <v>666.66666666666663</v>
      </c>
    </row>
    <row r="330" spans="1:33" ht="32.25" hidden="1" customHeight="1">
      <c r="A330" s="294">
        <v>2152</v>
      </c>
      <c r="B330" s="291" t="s">
        <v>71</v>
      </c>
      <c r="C330" s="1835" t="s">
        <v>307</v>
      </c>
      <c r="D330" s="326"/>
      <c r="E330" s="294">
        <v>5</v>
      </c>
      <c r="F330" s="293">
        <v>43234</v>
      </c>
      <c r="G330" s="293">
        <f t="shared" si="49"/>
        <v>43239</v>
      </c>
      <c r="H330" s="293" t="s">
        <v>294</v>
      </c>
      <c r="I330" s="294" t="s">
        <v>171</v>
      </c>
      <c r="J330" s="307" t="s">
        <v>295</v>
      </c>
      <c r="K330" s="936" t="s">
        <v>302</v>
      </c>
      <c r="L330" s="1237">
        <v>23173</v>
      </c>
      <c r="M330" s="326"/>
      <c r="N330" s="294"/>
      <c r="O330" s="354">
        <v>276</v>
      </c>
      <c r="P330" s="294">
        <v>1</v>
      </c>
      <c r="Q330" s="299">
        <f t="shared" si="50"/>
        <v>276</v>
      </c>
      <c r="R330" s="299"/>
      <c r="S330" s="355"/>
      <c r="T330" s="355"/>
      <c r="U330" s="355">
        <v>276</v>
      </c>
      <c r="V330" s="355"/>
      <c r="W330" s="355"/>
      <c r="X330" s="1137"/>
      <c r="Y330" s="1126"/>
      <c r="Z330" s="1194"/>
      <c r="AA330" s="1194"/>
      <c r="AB330" s="1194"/>
      <c r="AC330" s="1124"/>
      <c r="AD330" s="1124"/>
      <c r="AE330" s="1152"/>
      <c r="AF330" s="1124"/>
      <c r="AG330" s="547">
        <f t="shared" si="51"/>
        <v>276</v>
      </c>
    </row>
    <row r="331" spans="1:33" ht="32.25" customHeight="1">
      <c r="A331" s="2789">
        <v>2153</v>
      </c>
      <c r="B331" s="2790" t="s">
        <v>72</v>
      </c>
      <c r="C331" s="2790" t="s">
        <v>359</v>
      </c>
      <c r="D331" s="2791"/>
      <c r="E331" s="2789">
        <v>30</v>
      </c>
      <c r="F331" s="2792">
        <v>43255</v>
      </c>
      <c r="G331" s="2792">
        <f t="shared" si="49"/>
        <v>43285</v>
      </c>
      <c r="H331" s="2792" t="s">
        <v>294</v>
      </c>
      <c r="I331" s="2789" t="s">
        <v>171</v>
      </c>
      <c r="J331" s="2793" t="s">
        <v>295</v>
      </c>
      <c r="K331" s="326" t="s">
        <v>360</v>
      </c>
      <c r="L331" s="1237">
        <v>23172</v>
      </c>
      <c r="M331" s="326"/>
      <c r="N331" s="294"/>
      <c r="O331" s="354">
        <v>133333.33333333334</v>
      </c>
      <c r="P331" s="294">
        <v>0.2</v>
      </c>
      <c r="Q331" s="299">
        <f t="shared" si="50"/>
        <v>26666.666666666672</v>
      </c>
      <c r="R331" s="299"/>
      <c r="S331" s="355"/>
      <c r="T331" s="355"/>
      <c r="U331" s="355"/>
      <c r="V331" s="355">
        <v>26666.666666666672</v>
      </c>
      <c r="W331" s="355"/>
      <c r="X331" s="1137"/>
      <c r="Y331" s="1126"/>
      <c r="Z331" s="1194"/>
      <c r="AA331" s="1194"/>
      <c r="AB331" s="1194"/>
      <c r="AC331" s="1124"/>
      <c r="AD331" s="1124"/>
      <c r="AE331" s="1152"/>
      <c r="AF331" s="1124"/>
      <c r="AG331" s="547">
        <f t="shared" si="51"/>
        <v>26666.666666666672</v>
      </c>
    </row>
    <row r="332" spans="1:33" ht="32.25" customHeight="1">
      <c r="A332" s="2789">
        <v>2154</v>
      </c>
      <c r="B332" s="2790" t="s">
        <v>73</v>
      </c>
      <c r="C332" s="2790" t="s">
        <v>361</v>
      </c>
      <c r="D332" s="2791"/>
      <c r="E332" s="2789">
        <v>30</v>
      </c>
      <c r="F332" s="2792">
        <v>43255</v>
      </c>
      <c r="G332" s="2792">
        <f t="shared" si="49"/>
        <v>43285</v>
      </c>
      <c r="H332" s="2792" t="s">
        <v>294</v>
      </c>
      <c r="I332" s="2789" t="s">
        <v>171</v>
      </c>
      <c r="J332" s="2793" t="s">
        <v>295</v>
      </c>
      <c r="K332" s="326" t="s">
        <v>360</v>
      </c>
      <c r="L332" s="1237">
        <v>23172</v>
      </c>
      <c r="M332" s="326"/>
      <c r="N332" s="294"/>
      <c r="O332" s="354">
        <v>2000</v>
      </c>
      <c r="P332" s="294">
        <v>3</v>
      </c>
      <c r="Q332" s="299">
        <f t="shared" si="50"/>
        <v>6000</v>
      </c>
      <c r="R332" s="299"/>
      <c r="S332" s="355"/>
      <c r="T332" s="355"/>
      <c r="U332" s="355"/>
      <c r="V332" s="355">
        <v>6000</v>
      </c>
      <c r="W332" s="355"/>
      <c r="X332" s="1137"/>
      <c r="Y332" s="1126"/>
      <c r="Z332" s="1194"/>
      <c r="AA332" s="1194"/>
      <c r="AB332" s="1194"/>
      <c r="AC332" s="1124"/>
      <c r="AD332" s="1124"/>
      <c r="AE332" s="1152"/>
      <c r="AF332" s="1124"/>
      <c r="AG332" s="547">
        <f t="shared" si="51"/>
        <v>6000</v>
      </c>
    </row>
    <row r="333" spans="1:33" ht="32.25" customHeight="1">
      <c r="A333" s="2789">
        <v>2155</v>
      </c>
      <c r="B333" s="2790" t="s">
        <v>74</v>
      </c>
      <c r="C333" s="2800" t="s">
        <v>362</v>
      </c>
      <c r="D333" s="2791"/>
      <c r="E333" s="2789">
        <v>30</v>
      </c>
      <c r="F333" s="2792">
        <v>43255</v>
      </c>
      <c r="G333" s="2792">
        <f t="shared" si="49"/>
        <v>43285</v>
      </c>
      <c r="H333" s="2792" t="s">
        <v>294</v>
      </c>
      <c r="I333" s="2789" t="s">
        <v>171</v>
      </c>
      <c r="J333" s="2793" t="s">
        <v>295</v>
      </c>
      <c r="K333" s="326" t="s">
        <v>360</v>
      </c>
      <c r="L333" s="1237">
        <v>23172</v>
      </c>
      <c r="M333" s="326"/>
      <c r="N333" s="294"/>
      <c r="O333" s="354">
        <v>833.33333333333337</v>
      </c>
      <c r="P333" s="294">
        <v>3</v>
      </c>
      <c r="Q333" s="299">
        <f t="shared" si="50"/>
        <v>2500</v>
      </c>
      <c r="R333" s="299"/>
      <c r="S333" s="355"/>
      <c r="T333" s="355"/>
      <c r="U333" s="355"/>
      <c r="V333" s="355">
        <v>2500</v>
      </c>
      <c r="W333" s="355"/>
      <c r="X333" s="1137"/>
      <c r="Y333" s="1126"/>
      <c r="Z333" s="1194"/>
      <c r="AA333" s="1194"/>
      <c r="AB333" s="1194"/>
      <c r="AC333" s="1124"/>
      <c r="AD333" s="1124"/>
      <c r="AE333" s="1152"/>
      <c r="AF333" s="1124"/>
      <c r="AG333" s="547">
        <f t="shared" si="51"/>
        <v>2500</v>
      </c>
    </row>
    <row r="334" spans="1:33" ht="37.5" customHeight="1">
      <c r="A334" s="1248" t="s">
        <v>237</v>
      </c>
      <c r="B334" s="274"/>
      <c r="C334" s="278"/>
      <c r="D334" s="1270"/>
      <c r="E334" s="1270"/>
      <c r="F334" s="1270"/>
      <c r="G334" s="1270"/>
      <c r="H334" s="1270"/>
      <c r="I334" s="1270"/>
      <c r="J334" s="273"/>
      <c r="K334" s="1248"/>
      <c r="L334" s="1269"/>
      <c r="M334" s="1270"/>
      <c r="N334" s="1268"/>
      <c r="O334" s="1271"/>
      <c r="P334" s="1268"/>
      <c r="Q334" s="1273">
        <f>Q335+Q349+Q365+Q385</f>
        <v>300000</v>
      </c>
      <c r="R334" s="1273">
        <f>+'[2]Compil Costing PPA 3 millions'!F8</f>
        <v>300000</v>
      </c>
      <c r="S334" s="1272">
        <f t="shared" ref="S334:AG334" si="52">S335+S349+S365+S385</f>
        <v>0</v>
      </c>
      <c r="T334" s="1272">
        <f t="shared" si="52"/>
        <v>1700</v>
      </c>
      <c r="U334" s="1272">
        <f t="shared" si="52"/>
        <v>17480</v>
      </c>
      <c r="V334" s="1272">
        <f t="shared" si="52"/>
        <v>64440</v>
      </c>
      <c r="W334" s="1272">
        <f t="shared" si="52"/>
        <v>10000</v>
      </c>
      <c r="X334" s="1337">
        <f t="shared" si="52"/>
        <v>64180</v>
      </c>
      <c r="Y334" s="1338">
        <f t="shared" si="52"/>
        <v>109800</v>
      </c>
      <c r="Z334" s="1071">
        <f t="shared" si="52"/>
        <v>11600</v>
      </c>
      <c r="AA334" s="1071">
        <f t="shared" si="52"/>
        <v>8600</v>
      </c>
      <c r="AB334" s="1071">
        <f t="shared" si="52"/>
        <v>500</v>
      </c>
      <c r="AC334" s="1071">
        <f t="shared" si="52"/>
        <v>500</v>
      </c>
      <c r="AD334" s="1071">
        <f t="shared" si="52"/>
        <v>10200</v>
      </c>
      <c r="AE334" s="1071">
        <f t="shared" si="52"/>
        <v>500</v>
      </c>
      <c r="AF334" s="1071">
        <f t="shared" si="52"/>
        <v>500</v>
      </c>
      <c r="AG334" s="1273">
        <f t="shared" si="52"/>
        <v>300000</v>
      </c>
    </row>
    <row r="335" spans="1:33" s="280" customFormat="1" ht="27.75" customHeight="1">
      <c r="A335" s="1324">
        <v>221</v>
      </c>
      <c r="B335" s="806" t="s">
        <v>238</v>
      </c>
      <c r="C335" s="1502"/>
      <c r="D335" s="1345"/>
      <c r="E335" s="1345"/>
      <c r="F335" s="1345"/>
      <c r="G335" s="1345"/>
      <c r="H335" s="1345"/>
      <c r="I335" s="1345"/>
      <c r="J335" s="635"/>
      <c r="K335" s="1296"/>
      <c r="L335" s="1347"/>
      <c r="M335" s="1348"/>
      <c r="N335" s="1297"/>
      <c r="O335" s="1349"/>
      <c r="P335" s="1346"/>
      <c r="Q335" s="2810">
        <f>SUM(Q337:Q348)</f>
        <v>42960</v>
      </c>
      <c r="R335" s="790"/>
      <c r="S335" s="1350">
        <f t="shared" ref="S335:AF335" si="53">SUM(S337:S348)</f>
        <v>0</v>
      </c>
      <c r="T335" s="1350">
        <f t="shared" si="53"/>
        <v>240</v>
      </c>
      <c r="U335" s="1350">
        <f t="shared" si="53"/>
        <v>0</v>
      </c>
      <c r="V335" s="1350">
        <f t="shared" si="53"/>
        <v>740</v>
      </c>
      <c r="W335" s="1350">
        <f t="shared" si="53"/>
        <v>0</v>
      </c>
      <c r="X335" s="1351">
        <f t="shared" si="53"/>
        <v>12480</v>
      </c>
      <c r="Y335" s="1352">
        <f t="shared" si="53"/>
        <v>10300</v>
      </c>
      <c r="Z335" s="1195">
        <f t="shared" si="53"/>
        <v>11100</v>
      </c>
      <c r="AA335" s="1195">
        <f t="shared" si="53"/>
        <v>8100</v>
      </c>
      <c r="AB335" s="1195">
        <f t="shared" si="53"/>
        <v>0</v>
      </c>
      <c r="AC335" s="1195">
        <f t="shared" si="53"/>
        <v>0</v>
      </c>
      <c r="AD335" s="1195">
        <f t="shared" si="53"/>
        <v>0</v>
      </c>
      <c r="AE335" s="1195">
        <f t="shared" si="53"/>
        <v>0</v>
      </c>
      <c r="AF335" s="1195">
        <f t="shared" si="53"/>
        <v>0</v>
      </c>
      <c r="AG335" s="2810">
        <f>SUM(S335:AF335)</f>
        <v>42960</v>
      </c>
    </row>
    <row r="336" spans="1:33" s="280" customFormat="1" ht="32.25" customHeight="1">
      <c r="A336" s="2745">
        <v>2211</v>
      </c>
      <c r="B336" s="2748" t="s">
        <v>845</v>
      </c>
      <c r="C336" s="2748" t="s">
        <v>846</v>
      </c>
      <c r="D336" s="2845"/>
      <c r="E336" s="2745">
        <v>15</v>
      </c>
      <c r="F336" s="2852">
        <v>43199</v>
      </c>
      <c r="G336" s="2852">
        <f>+F336+E336</f>
        <v>43214</v>
      </c>
      <c r="H336" s="2852" t="s">
        <v>368</v>
      </c>
      <c r="I336" s="2745" t="s">
        <v>169</v>
      </c>
      <c r="J336" s="2853" t="s">
        <v>174</v>
      </c>
      <c r="K336" s="1432"/>
      <c r="L336" s="2846"/>
      <c r="M336" s="2847"/>
      <c r="N336" s="1431"/>
      <c r="O336" s="2848"/>
      <c r="P336" s="2849"/>
      <c r="Q336" s="2850"/>
      <c r="R336" s="1133"/>
      <c r="S336" s="1352"/>
      <c r="T336" s="1352"/>
      <c r="U336" s="1352"/>
      <c r="V336" s="1352"/>
      <c r="W336" s="1352"/>
      <c r="X336" s="2851"/>
      <c r="Y336" s="1352"/>
      <c r="Z336" s="1195"/>
      <c r="AA336" s="1195"/>
      <c r="AB336" s="1195"/>
      <c r="AC336" s="1195"/>
      <c r="AD336" s="1195"/>
      <c r="AE336" s="1195"/>
      <c r="AF336" s="1195"/>
      <c r="AG336" s="2850"/>
    </row>
    <row r="337" spans="1:33" s="280" customFormat="1" hidden="1">
      <c r="A337" s="796">
        <v>2211</v>
      </c>
      <c r="B337" s="808" t="s">
        <v>845</v>
      </c>
      <c r="C337" s="793" t="s">
        <v>846</v>
      </c>
      <c r="D337" s="797"/>
      <c r="E337" s="796">
        <v>15</v>
      </c>
      <c r="F337" s="795">
        <v>43199</v>
      </c>
      <c r="G337" s="795">
        <f>+F337+E337</f>
        <v>43214</v>
      </c>
      <c r="H337" s="795" t="s">
        <v>368</v>
      </c>
      <c r="I337" s="796" t="s">
        <v>169</v>
      </c>
      <c r="J337" s="794" t="s">
        <v>174</v>
      </c>
      <c r="K337" s="805" t="s">
        <v>847</v>
      </c>
      <c r="L337" s="1240">
        <v>23173</v>
      </c>
      <c r="M337" s="780"/>
      <c r="N337" s="796" t="s">
        <v>366</v>
      </c>
      <c r="O337" s="1107">
        <v>80</v>
      </c>
      <c r="P337" s="796">
        <v>3</v>
      </c>
      <c r="Q337" s="800">
        <f>+P337*O337</f>
        <v>240</v>
      </c>
      <c r="R337" s="800"/>
      <c r="S337" s="799"/>
      <c r="T337" s="1107">
        <v>240</v>
      </c>
      <c r="U337" s="799"/>
      <c r="V337" s="799"/>
      <c r="W337" s="799"/>
      <c r="X337" s="1179"/>
      <c r="Y337" s="1154"/>
      <c r="Z337" s="1165"/>
      <c r="AA337" s="1165"/>
      <c r="AB337" s="1165"/>
      <c r="AC337" s="1152"/>
      <c r="AD337" s="1152"/>
      <c r="AE337" s="1152"/>
      <c r="AF337" s="1152"/>
      <c r="AG337" s="547">
        <f t="shared" ref="AG337:AG348" si="54">SUM(S337:AF337)</f>
        <v>240</v>
      </c>
    </row>
    <row r="338" spans="1:33" s="280" customFormat="1" hidden="1">
      <c r="A338" s="796">
        <v>2211</v>
      </c>
      <c r="B338" s="808" t="s">
        <v>845</v>
      </c>
      <c r="C338" s="1503" t="s">
        <v>848</v>
      </c>
      <c r="D338" s="797" t="s">
        <v>849</v>
      </c>
      <c r="E338" s="796">
        <v>150</v>
      </c>
      <c r="F338" s="795">
        <f>+G337</f>
        <v>43214</v>
      </c>
      <c r="G338" s="795">
        <f>+G337+E338</f>
        <v>43364</v>
      </c>
      <c r="H338" s="795" t="s">
        <v>368</v>
      </c>
      <c r="I338" s="796" t="s">
        <v>174</v>
      </c>
      <c r="J338" s="794" t="s">
        <v>169</v>
      </c>
      <c r="K338" s="1543" t="s">
        <v>365</v>
      </c>
      <c r="L338" s="1240">
        <v>2313</v>
      </c>
      <c r="M338" s="780"/>
      <c r="N338" s="796" t="s">
        <v>366</v>
      </c>
      <c r="O338" s="1107">
        <v>27000</v>
      </c>
      <c r="P338" s="796">
        <v>1</v>
      </c>
      <c r="Q338" s="800">
        <f>+O338*P338</f>
        <v>27000</v>
      </c>
      <c r="R338" s="800"/>
      <c r="S338" s="799"/>
      <c r="T338" s="799"/>
      <c r="U338" s="799"/>
      <c r="V338" s="799"/>
      <c r="W338" s="315"/>
      <c r="X338" s="1137">
        <v>5400</v>
      </c>
      <c r="Y338" s="1126">
        <v>5400</v>
      </c>
      <c r="Z338" s="1126">
        <v>8100</v>
      </c>
      <c r="AA338" s="1165">
        <v>8100</v>
      </c>
      <c r="AB338" s="1165"/>
      <c r="AC338" s="1152"/>
      <c r="AD338" s="1152"/>
      <c r="AE338" s="1152"/>
      <c r="AF338" s="1152"/>
      <c r="AG338" s="547">
        <f t="shared" si="54"/>
        <v>27000</v>
      </c>
    </row>
    <row r="339" spans="1:33" s="280" customFormat="1" ht="31.5" customHeight="1">
      <c r="A339" s="2745">
        <v>2212</v>
      </c>
      <c r="B339" s="2857" t="s">
        <v>850</v>
      </c>
      <c r="C339" s="2748" t="s">
        <v>846</v>
      </c>
      <c r="D339" s="2858"/>
      <c r="E339" s="2745">
        <v>20</v>
      </c>
      <c r="F339" s="2852">
        <v>43226</v>
      </c>
      <c r="G339" s="2852">
        <v>43246</v>
      </c>
      <c r="H339" s="2852" t="s">
        <v>368</v>
      </c>
      <c r="I339" s="2745" t="s">
        <v>169</v>
      </c>
      <c r="J339" s="2853" t="s">
        <v>174</v>
      </c>
      <c r="K339" s="2855"/>
      <c r="L339" s="2856"/>
      <c r="M339" s="1152"/>
      <c r="N339" s="1703"/>
      <c r="O339" s="1126"/>
      <c r="P339" s="1703"/>
      <c r="Q339" s="1127"/>
      <c r="R339" s="1127"/>
      <c r="S339" s="1154"/>
      <c r="T339" s="1154"/>
      <c r="U339" s="1154"/>
      <c r="V339" s="1154"/>
      <c r="W339" s="315"/>
      <c r="X339" s="2835"/>
      <c r="Y339" s="1126"/>
      <c r="Z339" s="1126"/>
      <c r="AA339" s="1165"/>
      <c r="AB339" s="1165"/>
      <c r="AC339" s="1152"/>
      <c r="AD339" s="1152"/>
      <c r="AE339" s="1152"/>
      <c r="AF339" s="1152"/>
      <c r="AG339" s="2355"/>
    </row>
    <row r="340" spans="1:33" s="280" customFormat="1" hidden="1">
      <c r="A340" s="796">
        <v>2212</v>
      </c>
      <c r="B340" s="808" t="s">
        <v>850</v>
      </c>
      <c r="C340" s="793" t="s">
        <v>846</v>
      </c>
      <c r="D340" s="797"/>
      <c r="E340" s="796">
        <v>20</v>
      </c>
      <c r="F340" s="795">
        <v>43226</v>
      </c>
      <c r="G340" s="795">
        <v>43246</v>
      </c>
      <c r="H340" s="795" t="s">
        <v>368</v>
      </c>
      <c r="I340" s="796" t="s">
        <v>169</v>
      </c>
      <c r="J340" s="794" t="s">
        <v>174</v>
      </c>
      <c r="K340" s="805" t="s">
        <v>847</v>
      </c>
      <c r="L340" s="1240">
        <v>23173</v>
      </c>
      <c r="M340" s="780"/>
      <c r="N340" s="796" t="s">
        <v>366</v>
      </c>
      <c r="O340" s="1107">
        <v>80</v>
      </c>
      <c r="P340" s="796">
        <v>3</v>
      </c>
      <c r="Q340" s="800">
        <f t="shared" ref="Q340:Q348" si="55">O340*P340</f>
        <v>240</v>
      </c>
      <c r="R340" s="800"/>
      <c r="S340" s="799"/>
      <c r="T340" s="799"/>
      <c r="U340" s="799"/>
      <c r="V340" s="1107">
        <v>240</v>
      </c>
      <c r="W340" s="799"/>
      <c r="X340" s="1179"/>
      <c r="Y340" s="1154"/>
      <c r="Z340" s="1165"/>
      <c r="AA340" s="1165"/>
      <c r="AB340" s="1165"/>
      <c r="AC340" s="1152"/>
      <c r="AD340" s="1152"/>
      <c r="AE340" s="1152"/>
      <c r="AF340" s="1152"/>
      <c r="AG340" s="547">
        <f t="shared" si="54"/>
        <v>240</v>
      </c>
    </row>
    <row r="341" spans="1:33" s="280" customFormat="1" hidden="1">
      <c r="A341" s="796">
        <v>2212</v>
      </c>
      <c r="B341" s="808" t="s">
        <v>851</v>
      </c>
      <c r="C341" s="1503" t="s">
        <v>852</v>
      </c>
      <c r="D341" s="797" t="s">
        <v>849</v>
      </c>
      <c r="E341" s="796">
        <v>95</v>
      </c>
      <c r="F341" s="795">
        <v>43249</v>
      </c>
      <c r="G341" s="795">
        <v>43341</v>
      </c>
      <c r="H341" s="795" t="s">
        <v>368</v>
      </c>
      <c r="I341" s="796" t="s">
        <v>174</v>
      </c>
      <c r="J341" s="794" t="s">
        <v>169</v>
      </c>
      <c r="K341" s="805" t="s">
        <v>365</v>
      </c>
      <c r="L341" s="1240">
        <v>2313</v>
      </c>
      <c r="M341" s="780"/>
      <c r="N341" s="796" t="s">
        <v>366</v>
      </c>
      <c r="O341" s="1353">
        <v>5000</v>
      </c>
      <c r="P341" s="797">
        <v>1</v>
      </c>
      <c r="Q341" s="2811">
        <f t="shared" si="55"/>
        <v>5000</v>
      </c>
      <c r="R341" s="800"/>
      <c r="S341" s="799"/>
      <c r="T341" s="799"/>
      <c r="U341" s="799"/>
      <c r="V341" s="1107">
        <v>500</v>
      </c>
      <c r="W341" s="799"/>
      <c r="X341" s="1179">
        <v>2000</v>
      </c>
      <c r="Y341" s="1154">
        <v>2500</v>
      </c>
      <c r="Z341" s="1165"/>
      <c r="AA341" s="1165"/>
      <c r="AB341" s="1165"/>
      <c r="AC341" s="1152"/>
      <c r="AD341" s="1152"/>
      <c r="AE341" s="1152"/>
      <c r="AF341" s="1152"/>
      <c r="AG341" s="547">
        <f t="shared" si="54"/>
        <v>5000</v>
      </c>
    </row>
    <row r="342" spans="1:33" s="280" customFormat="1" ht="33.75" customHeight="1">
      <c r="A342" s="2745">
        <v>2213</v>
      </c>
      <c r="B342" s="2857" t="s">
        <v>853</v>
      </c>
      <c r="C342" s="2748" t="s">
        <v>846</v>
      </c>
      <c r="D342" s="2858"/>
      <c r="E342" s="2745">
        <v>20</v>
      </c>
      <c r="F342" s="2852">
        <v>43288</v>
      </c>
      <c r="G342" s="2852">
        <v>43308</v>
      </c>
      <c r="H342" s="2852" t="s">
        <v>368</v>
      </c>
      <c r="I342" s="2745" t="s">
        <v>169</v>
      </c>
      <c r="J342" s="2853" t="s">
        <v>174</v>
      </c>
      <c r="K342" s="1124"/>
      <c r="L342" s="2856"/>
      <c r="M342" s="1152"/>
      <c r="N342" s="1703"/>
      <c r="O342" s="2859"/>
      <c r="P342" s="2854"/>
      <c r="Q342" s="1198"/>
      <c r="R342" s="1127"/>
      <c r="S342" s="1154"/>
      <c r="T342" s="1154"/>
      <c r="U342" s="1154"/>
      <c r="V342" s="1126"/>
      <c r="W342" s="1154"/>
      <c r="X342" s="2860"/>
      <c r="Y342" s="1154"/>
      <c r="Z342" s="1165"/>
      <c r="AA342" s="1165"/>
      <c r="AB342" s="1165"/>
      <c r="AC342" s="1152"/>
      <c r="AD342" s="1152"/>
      <c r="AE342" s="1152"/>
      <c r="AF342" s="1152"/>
      <c r="AG342" s="2355"/>
    </row>
    <row r="343" spans="1:33" s="280" customFormat="1" hidden="1">
      <c r="A343" s="796">
        <v>2213</v>
      </c>
      <c r="B343" s="808" t="s">
        <v>853</v>
      </c>
      <c r="C343" s="793" t="s">
        <v>846</v>
      </c>
      <c r="D343" s="797"/>
      <c r="E343" s="796">
        <v>20</v>
      </c>
      <c r="F343" s="795">
        <v>43288</v>
      </c>
      <c r="G343" s="795">
        <v>43308</v>
      </c>
      <c r="H343" s="795" t="s">
        <v>368</v>
      </c>
      <c r="I343" s="796" t="s">
        <v>169</v>
      </c>
      <c r="J343" s="794" t="s">
        <v>174</v>
      </c>
      <c r="K343" s="805" t="s">
        <v>847</v>
      </c>
      <c r="L343" s="1240">
        <v>23173</v>
      </c>
      <c r="M343" s="780"/>
      <c r="N343" s="796" t="s">
        <v>366</v>
      </c>
      <c r="O343" s="1353">
        <v>80</v>
      </c>
      <c r="P343" s="797">
        <v>3</v>
      </c>
      <c r="Q343" s="2811">
        <f t="shared" si="55"/>
        <v>240</v>
      </c>
      <c r="R343" s="800"/>
      <c r="S343" s="799"/>
      <c r="T343" s="799"/>
      <c r="U343" s="799"/>
      <c r="V343" s="799"/>
      <c r="W343" s="799"/>
      <c r="X343" s="1179">
        <v>240</v>
      </c>
      <c r="Y343" s="1154"/>
      <c r="Z343" s="1165"/>
      <c r="AA343" s="1165"/>
      <c r="AB343" s="1165"/>
      <c r="AC343" s="1152"/>
      <c r="AD343" s="1152"/>
      <c r="AE343" s="1152"/>
      <c r="AF343" s="1152"/>
      <c r="AG343" s="547">
        <f t="shared" si="54"/>
        <v>240</v>
      </c>
    </row>
    <row r="344" spans="1:33" s="280" customFormat="1" hidden="1">
      <c r="A344" s="796">
        <v>2213</v>
      </c>
      <c r="B344" s="808" t="s">
        <v>854</v>
      </c>
      <c r="C344" s="793" t="s">
        <v>367</v>
      </c>
      <c r="D344" s="797" t="s">
        <v>849</v>
      </c>
      <c r="E344" s="796">
        <v>95</v>
      </c>
      <c r="F344" s="795">
        <v>43309</v>
      </c>
      <c r="G344" s="795">
        <v>43403</v>
      </c>
      <c r="H344" s="795" t="s">
        <v>368</v>
      </c>
      <c r="I344" s="796" t="s">
        <v>174</v>
      </c>
      <c r="J344" s="794" t="s">
        <v>169</v>
      </c>
      <c r="K344" s="805" t="s">
        <v>365</v>
      </c>
      <c r="L344" s="1240">
        <v>2313</v>
      </c>
      <c r="M344" s="780"/>
      <c r="N344" s="796" t="s">
        <v>366</v>
      </c>
      <c r="O344" s="1353">
        <v>6000</v>
      </c>
      <c r="P344" s="797">
        <v>1</v>
      </c>
      <c r="Q344" s="2811">
        <f t="shared" si="55"/>
        <v>6000</v>
      </c>
      <c r="R344" s="800"/>
      <c r="S344" s="799"/>
      <c r="T344" s="799"/>
      <c r="U344" s="799"/>
      <c r="V344" s="799"/>
      <c r="W344" s="799"/>
      <c r="X344" s="1179">
        <v>600</v>
      </c>
      <c r="Y344" s="1154">
        <v>2400</v>
      </c>
      <c r="Z344" s="1165">
        <v>3000</v>
      </c>
      <c r="AA344" s="1165"/>
      <c r="AB344" s="1165"/>
      <c r="AC344" s="1152"/>
      <c r="AD344" s="1152"/>
      <c r="AE344" s="1152"/>
      <c r="AF344" s="1152"/>
      <c r="AG344" s="547">
        <f t="shared" si="54"/>
        <v>6000</v>
      </c>
    </row>
    <row r="345" spans="1:33" s="280" customFormat="1" ht="54" customHeight="1">
      <c r="A345" s="2745">
        <v>2214</v>
      </c>
      <c r="B345" s="2857" t="s">
        <v>855</v>
      </c>
      <c r="C345" s="2748" t="s">
        <v>856</v>
      </c>
      <c r="D345" s="2861"/>
      <c r="E345" s="2745">
        <v>5</v>
      </c>
      <c r="F345" s="2862">
        <v>43318</v>
      </c>
      <c r="G345" s="2862">
        <v>43321</v>
      </c>
      <c r="H345" s="2852" t="s">
        <v>368</v>
      </c>
      <c r="I345" s="2745" t="s">
        <v>174</v>
      </c>
      <c r="J345" s="2863" t="s">
        <v>169</v>
      </c>
      <c r="K345" s="1124"/>
      <c r="L345" s="2856"/>
      <c r="M345" s="1152"/>
      <c r="N345" s="1703"/>
      <c r="O345" s="2859"/>
      <c r="P345" s="2854"/>
      <c r="Q345" s="1198"/>
      <c r="R345" s="1127"/>
      <c r="S345" s="1154"/>
      <c r="T345" s="1154"/>
      <c r="U345" s="1154"/>
      <c r="V345" s="1154"/>
      <c r="W345" s="1154"/>
      <c r="X345" s="2860"/>
      <c r="Y345" s="1154"/>
      <c r="Z345" s="1165"/>
      <c r="AA345" s="1165"/>
      <c r="AB345" s="1165"/>
      <c r="AC345" s="1152"/>
      <c r="AD345" s="1152"/>
      <c r="AE345" s="1152"/>
      <c r="AF345" s="1152"/>
      <c r="AG345" s="2355"/>
    </row>
    <row r="346" spans="1:33" s="280" customFormat="1" ht="47.25" hidden="1">
      <c r="A346" s="796">
        <v>2214</v>
      </c>
      <c r="B346" s="808" t="s">
        <v>855</v>
      </c>
      <c r="C346" s="793" t="s">
        <v>856</v>
      </c>
      <c r="D346" s="813"/>
      <c r="E346" s="796">
        <v>5</v>
      </c>
      <c r="F346" s="816">
        <v>43318</v>
      </c>
      <c r="G346" s="816">
        <v>43321</v>
      </c>
      <c r="H346" s="795" t="s">
        <v>368</v>
      </c>
      <c r="I346" s="796" t="s">
        <v>174</v>
      </c>
      <c r="J346" s="792" t="s">
        <v>169</v>
      </c>
      <c r="K346" s="805" t="s">
        <v>486</v>
      </c>
      <c r="L346" s="1240">
        <v>23173</v>
      </c>
      <c r="M346" s="780"/>
      <c r="N346" s="796" t="s">
        <v>366</v>
      </c>
      <c r="O346" s="1115">
        <v>343</v>
      </c>
      <c r="P346" s="797">
        <v>1</v>
      </c>
      <c r="Q346" s="800">
        <f t="shared" si="55"/>
        <v>343</v>
      </c>
      <c r="R346" s="800"/>
      <c r="S346" s="799"/>
      <c r="T346" s="799"/>
      <c r="U346" s="799"/>
      <c r="V346" s="799"/>
      <c r="W346" s="799"/>
      <c r="X346" s="1180">
        <v>343</v>
      </c>
      <c r="Y346" s="1154"/>
      <c r="Z346" s="1165"/>
      <c r="AA346" s="1165"/>
      <c r="AB346" s="1165"/>
      <c r="AC346" s="1152"/>
      <c r="AD346" s="1152"/>
      <c r="AE346" s="1152"/>
      <c r="AF346" s="1152"/>
      <c r="AG346" s="547">
        <f t="shared" si="54"/>
        <v>343</v>
      </c>
    </row>
    <row r="347" spans="1:33" s="280" customFormat="1" ht="47.25" hidden="1">
      <c r="A347" s="796">
        <v>2214</v>
      </c>
      <c r="B347" s="808" t="s">
        <v>855</v>
      </c>
      <c r="C347" s="793" t="s">
        <v>856</v>
      </c>
      <c r="D347" s="813"/>
      <c r="E347" s="796">
        <v>5</v>
      </c>
      <c r="F347" s="816">
        <v>43318</v>
      </c>
      <c r="G347" s="816">
        <v>43321</v>
      </c>
      <c r="H347" s="795" t="s">
        <v>368</v>
      </c>
      <c r="I347" s="796" t="s">
        <v>169</v>
      </c>
      <c r="J347" s="792" t="s">
        <v>174</v>
      </c>
      <c r="K347" s="1544" t="s">
        <v>857</v>
      </c>
      <c r="L347" s="1241">
        <v>23174</v>
      </c>
      <c r="M347" s="296"/>
      <c r="N347" s="294"/>
      <c r="O347" s="1354">
        <v>3657</v>
      </c>
      <c r="P347" s="295">
        <v>1</v>
      </c>
      <c r="Q347" s="299">
        <f t="shared" si="55"/>
        <v>3657</v>
      </c>
      <c r="R347" s="299"/>
      <c r="S347" s="298"/>
      <c r="T347" s="298"/>
      <c r="U347" s="298"/>
      <c r="V347" s="298"/>
      <c r="W347" s="298"/>
      <c r="X347" s="1355">
        <v>3657</v>
      </c>
      <c r="Y347" s="1154"/>
      <c r="Z347" s="1165"/>
      <c r="AA347" s="1165"/>
      <c r="AB347" s="1165"/>
      <c r="AC347" s="1152"/>
      <c r="AD347" s="1152"/>
      <c r="AE347" s="1152"/>
      <c r="AF347" s="1152"/>
      <c r="AG347" s="547">
        <f t="shared" si="54"/>
        <v>3657</v>
      </c>
    </row>
    <row r="348" spans="1:33" s="280" customFormat="1" ht="41.25" customHeight="1">
      <c r="A348" s="2789">
        <v>2215</v>
      </c>
      <c r="B348" s="2864" t="s">
        <v>858</v>
      </c>
      <c r="C348" s="2790" t="s">
        <v>859</v>
      </c>
      <c r="D348" s="2789" t="s">
        <v>514</v>
      </c>
      <c r="E348" s="2865">
        <v>20</v>
      </c>
      <c r="F348" s="2792">
        <v>43288</v>
      </c>
      <c r="G348" s="2792">
        <v>43308</v>
      </c>
      <c r="H348" s="2792" t="s">
        <v>368</v>
      </c>
      <c r="I348" s="2789" t="s">
        <v>174</v>
      </c>
      <c r="J348" s="2866" t="s">
        <v>169</v>
      </c>
      <c r="K348" s="326" t="s">
        <v>860</v>
      </c>
      <c r="L348" s="1241">
        <v>23173</v>
      </c>
      <c r="M348" s="296"/>
      <c r="N348" s="294"/>
      <c r="O348" s="1357">
        <v>80</v>
      </c>
      <c r="P348" s="295">
        <v>3</v>
      </c>
      <c r="Q348" s="854">
        <f t="shared" si="55"/>
        <v>240</v>
      </c>
      <c r="R348" s="299"/>
      <c r="S348" s="298"/>
      <c r="T348" s="298"/>
      <c r="U348" s="298"/>
      <c r="V348" s="298"/>
      <c r="W348" s="298"/>
      <c r="X348" s="1179">
        <v>240</v>
      </c>
      <c r="Y348" s="1154"/>
      <c r="Z348" s="1165"/>
      <c r="AA348" s="1165"/>
      <c r="AB348" s="1165"/>
      <c r="AC348" s="1152"/>
      <c r="AD348" s="1152"/>
      <c r="AE348" s="1152"/>
      <c r="AF348" s="1152"/>
      <c r="AG348" s="547">
        <f t="shared" si="54"/>
        <v>240</v>
      </c>
    </row>
    <row r="349" spans="1:33" ht="33.75" customHeight="1">
      <c r="A349" s="1275">
        <v>222</v>
      </c>
      <c r="B349" s="508" t="s">
        <v>861</v>
      </c>
      <c r="C349" s="1559"/>
      <c r="D349" s="822"/>
      <c r="E349" s="822"/>
      <c r="F349" s="822"/>
      <c r="G349" s="822"/>
      <c r="H349" s="822"/>
      <c r="I349" s="822"/>
      <c r="J349" s="508"/>
      <c r="K349" s="1560"/>
      <c r="L349" s="1561"/>
      <c r="M349" s="822"/>
      <c r="N349" s="822"/>
      <c r="O349" s="1562"/>
      <c r="P349" s="822"/>
      <c r="Q349" s="2812">
        <f>SUM(Q351:Q364)</f>
        <v>24920.000000000004</v>
      </c>
      <c r="R349" s="2813"/>
      <c r="S349" s="1562">
        <f t="shared" ref="S349:AF349" si="56">SUM(S351:S364)</f>
        <v>0</v>
      </c>
      <c r="T349" s="1562">
        <f t="shared" si="56"/>
        <v>720</v>
      </c>
      <c r="U349" s="1562">
        <f t="shared" si="56"/>
        <v>500</v>
      </c>
      <c r="V349" s="1562">
        <f t="shared" si="56"/>
        <v>500</v>
      </c>
      <c r="W349" s="1562">
        <f t="shared" si="56"/>
        <v>9000</v>
      </c>
      <c r="X349" s="1562">
        <f t="shared" si="56"/>
        <v>500</v>
      </c>
      <c r="Y349" s="1562">
        <f t="shared" si="56"/>
        <v>500</v>
      </c>
      <c r="Z349" s="1563">
        <f t="shared" si="56"/>
        <v>500</v>
      </c>
      <c r="AA349" s="1563">
        <f t="shared" si="56"/>
        <v>500</v>
      </c>
      <c r="AB349" s="1563">
        <f t="shared" si="56"/>
        <v>500</v>
      </c>
      <c r="AC349" s="1563">
        <f t="shared" si="56"/>
        <v>500</v>
      </c>
      <c r="AD349" s="1563">
        <f t="shared" si="56"/>
        <v>10200</v>
      </c>
      <c r="AE349" s="1563">
        <f t="shared" si="56"/>
        <v>500</v>
      </c>
      <c r="AF349" s="1563">
        <f t="shared" si="56"/>
        <v>500</v>
      </c>
      <c r="AG349" s="3006">
        <f>SUM(S349:AF349)</f>
        <v>24920</v>
      </c>
    </row>
    <row r="350" spans="1:33" ht="33.75" customHeight="1">
      <c r="A350" s="2789">
        <v>2221</v>
      </c>
      <c r="B350" s="2790" t="s">
        <v>862</v>
      </c>
      <c r="C350" s="2790" t="s">
        <v>846</v>
      </c>
      <c r="D350" s="2875"/>
      <c r="E350" s="2789">
        <v>20</v>
      </c>
      <c r="F350" s="2792">
        <v>43199</v>
      </c>
      <c r="G350" s="2792">
        <v>43219</v>
      </c>
      <c r="H350" s="2792" t="s">
        <v>368</v>
      </c>
      <c r="I350" s="2789" t="s">
        <v>169</v>
      </c>
      <c r="J350" s="2793" t="s">
        <v>174</v>
      </c>
      <c r="K350" s="2868"/>
      <c r="L350" s="2869"/>
      <c r="M350" s="2867"/>
      <c r="N350" s="2867"/>
      <c r="O350" s="1903"/>
      <c r="P350" s="2867"/>
      <c r="Q350" s="2870"/>
      <c r="R350" s="2871"/>
      <c r="S350" s="1903"/>
      <c r="T350" s="1903"/>
      <c r="U350" s="1903"/>
      <c r="V350" s="1903"/>
      <c r="W350" s="1903"/>
      <c r="X350" s="2872"/>
      <c r="Y350" s="1903"/>
      <c r="Z350" s="2873"/>
      <c r="AA350" s="2873"/>
      <c r="AB350" s="2873"/>
      <c r="AC350" s="2873"/>
      <c r="AD350" s="2873"/>
      <c r="AE350" s="2873"/>
      <c r="AF350" s="2873"/>
      <c r="AG350" s="3007"/>
    </row>
    <row r="351" spans="1:33" ht="45" hidden="1" customHeight="1">
      <c r="A351" s="294">
        <v>2221</v>
      </c>
      <c r="B351" s="291" t="s">
        <v>862</v>
      </c>
      <c r="C351" s="291" t="s">
        <v>846</v>
      </c>
      <c r="D351" s="821"/>
      <c r="E351" s="294">
        <v>20</v>
      </c>
      <c r="F351" s="293">
        <v>43199</v>
      </c>
      <c r="G351" s="293">
        <v>43219</v>
      </c>
      <c r="H351" s="293" t="s">
        <v>368</v>
      </c>
      <c r="I351" s="294" t="s">
        <v>169</v>
      </c>
      <c r="J351" s="307" t="s">
        <v>174</v>
      </c>
      <c r="K351" s="326" t="s">
        <v>847</v>
      </c>
      <c r="L351" s="1237">
        <v>23173</v>
      </c>
      <c r="M351" s="326"/>
      <c r="N351" s="294"/>
      <c r="O351" s="354">
        <v>80</v>
      </c>
      <c r="P351" s="294">
        <v>3</v>
      </c>
      <c r="Q351" s="299">
        <f t="shared" ref="Q351:Q364" si="57">O351*P351</f>
        <v>240</v>
      </c>
      <c r="R351" s="299"/>
      <c r="S351" s="355"/>
      <c r="T351" s="355">
        <v>240</v>
      </c>
      <c r="U351" s="355"/>
      <c r="V351" s="355"/>
      <c r="W351" s="355"/>
      <c r="X351" s="1137"/>
      <c r="Y351" s="1126"/>
      <c r="Z351" s="1124"/>
      <c r="AA351" s="1124"/>
      <c r="AB351" s="1124"/>
      <c r="AC351" s="1124"/>
      <c r="AD351" s="1124"/>
      <c r="AE351" s="1124"/>
      <c r="AF351" s="1124"/>
      <c r="AG351" s="547">
        <f t="shared" ref="AG351:AG364" si="58">SUM(S351:AF351)</f>
        <v>240</v>
      </c>
    </row>
    <row r="352" spans="1:33" ht="72" hidden="1" customHeight="1">
      <c r="A352" s="294">
        <v>2221</v>
      </c>
      <c r="B352" s="291" t="s">
        <v>862</v>
      </c>
      <c r="C352" s="291" t="s">
        <v>863</v>
      </c>
      <c r="D352" s="821"/>
      <c r="E352" s="294">
        <f>56+365</f>
        <v>421</v>
      </c>
      <c r="F352" s="293">
        <v>43181</v>
      </c>
      <c r="G352" s="293">
        <v>43581</v>
      </c>
      <c r="H352" s="293" t="s">
        <v>368</v>
      </c>
      <c r="I352" s="294" t="s">
        <v>174</v>
      </c>
      <c r="J352" s="307" t="s">
        <v>169</v>
      </c>
      <c r="K352" s="326" t="s">
        <v>864</v>
      </c>
      <c r="L352" s="1237">
        <v>23171</v>
      </c>
      <c r="M352" s="326"/>
      <c r="N352" s="294"/>
      <c r="O352" s="354">
        <v>250</v>
      </c>
      <c r="P352" s="294">
        <v>12</v>
      </c>
      <c r="Q352" s="299">
        <f t="shared" si="57"/>
        <v>3000</v>
      </c>
      <c r="R352" s="299"/>
      <c r="S352" s="355"/>
      <c r="T352" s="355"/>
      <c r="U352" s="355">
        <v>250</v>
      </c>
      <c r="V352" s="355">
        <v>250</v>
      </c>
      <c r="W352" s="355">
        <v>250</v>
      </c>
      <c r="X352" s="1137">
        <v>250</v>
      </c>
      <c r="Y352" s="1126">
        <v>250</v>
      </c>
      <c r="Z352" s="1126">
        <v>250</v>
      </c>
      <c r="AA352" s="1126">
        <v>250</v>
      </c>
      <c r="AB352" s="1126">
        <v>250</v>
      </c>
      <c r="AC352" s="1126">
        <v>250</v>
      </c>
      <c r="AD352" s="1126">
        <v>250</v>
      </c>
      <c r="AE352" s="1126">
        <v>250</v>
      </c>
      <c r="AF352" s="1126">
        <v>250</v>
      </c>
      <c r="AG352" s="547">
        <f t="shared" si="58"/>
        <v>3000</v>
      </c>
    </row>
    <row r="353" spans="1:33" ht="60.75" customHeight="1">
      <c r="A353" s="2789">
        <v>2222</v>
      </c>
      <c r="B353" s="2790" t="s">
        <v>865</v>
      </c>
      <c r="C353" s="2790" t="s">
        <v>846</v>
      </c>
      <c r="D353" s="2875"/>
      <c r="E353" s="2789">
        <v>20</v>
      </c>
      <c r="F353" s="2792">
        <v>43199</v>
      </c>
      <c r="G353" s="2792">
        <v>43219</v>
      </c>
      <c r="H353" s="2792" t="s">
        <v>368</v>
      </c>
      <c r="I353" s="2789" t="s">
        <v>169</v>
      </c>
      <c r="J353" s="2793" t="s">
        <v>174</v>
      </c>
      <c r="K353" s="1124"/>
      <c r="L353" s="1704"/>
      <c r="M353" s="1124"/>
      <c r="N353" s="1703"/>
      <c r="O353" s="1125"/>
      <c r="P353" s="1703"/>
      <c r="Q353" s="1127"/>
      <c r="R353" s="1127"/>
      <c r="S353" s="1126"/>
      <c r="T353" s="1126"/>
      <c r="U353" s="1126"/>
      <c r="V353" s="1126"/>
      <c r="W353" s="1126"/>
      <c r="X353" s="2835"/>
      <c r="Y353" s="1126"/>
      <c r="Z353" s="1126"/>
      <c r="AA353" s="1126"/>
      <c r="AB353" s="1126"/>
      <c r="AC353" s="1126"/>
      <c r="AD353" s="1126"/>
      <c r="AE353" s="1126"/>
      <c r="AF353" s="1126"/>
      <c r="AG353" s="2355"/>
    </row>
    <row r="354" spans="1:33" ht="31.5" hidden="1">
      <c r="A354" s="294">
        <v>2222</v>
      </c>
      <c r="B354" s="291" t="s">
        <v>865</v>
      </c>
      <c r="C354" s="291" t="s">
        <v>846</v>
      </c>
      <c r="D354" s="821"/>
      <c r="E354" s="294">
        <v>20</v>
      </c>
      <c r="F354" s="293">
        <v>43199</v>
      </c>
      <c r="G354" s="293">
        <v>43219</v>
      </c>
      <c r="H354" s="293" t="s">
        <v>368</v>
      </c>
      <c r="I354" s="294" t="s">
        <v>169</v>
      </c>
      <c r="J354" s="307" t="s">
        <v>174</v>
      </c>
      <c r="K354" s="326" t="s">
        <v>847</v>
      </c>
      <c r="L354" s="1237">
        <v>23173</v>
      </c>
      <c r="M354" s="326"/>
      <c r="N354" s="294"/>
      <c r="O354" s="354">
        <v>80</v>
      </c>
      <c r="P354" s="294">
        <v>3</v>
      </c>
      <c r="Q354" s="299">
        <f t="shared" si="57"/>
        <v>240</v>
      </c>
      <c r="R354" s="299"/>
      <c r="S354" s="355"/>
      <c r="T354" s="355">
        <v>240</v>
      </c>
      <c r="U354" s="355"/>
      <c r="V354" s="355"/>
      <c r="W354" s="355"/>
      <c r="X354" s="1137"/>
      <c r="Y354" s="1126"/>
      <c r="Z354" s="1124"/>
      <c r="AA354" s="1124"/>
      <c r="AB354" s="1124"/>
      <c r="AC354" s="1124"/>
      <c r="AD354" s="1124"/>
      <c r="AE354" s="1124"/>
      <c r="AF354" s="1124"/>
      <c r="AG354" s="547">
        <f t="shared" si="58"/>
        <v>240</v>
      </c>
    </row>
    <row r="355" spans="1:33" ht="31.5" hidden="1">
      <c r="A355" s="294">
        <v>2222</v>
      </c>
      <c r="B355" s="291" t="s">
        <v>865</v>
      </c>
      <c r="C355" s="291" t="s">
        <v>866</v>
      </c>
      <c r="D355" s="821"/>
      <c r="E355" s="294">
        <f>56+365</f>
        <v>421</v>
      </c>
      <c r="F355" s="293">
        <v>43181</v>
      </c>
      <c r="G355" s="293">
        <v>43581</v>
      </c>
      <c r="H355" s="293" t="s">
        <v>368</v>
      </c>
      <c r="I355" s="294" t="s">
        <v>174</v>
      </c>
      <c r="J355" s="307" t="s">
        <v>169</v>
      </c>
      <c r="K355" s="326" t="s">
        <v>864</v>
      </c>
      <c r="L355" s="1237">
        <v>23171</v>
      </c>
      <c r="M355" s="326"/>
      <c r="N355" s="294"/>
      <c r="O355" s="354">
        <v>250</v>
      </c>
      <c r="P355" s="294">
        <v>12</v>
      </c>
      <c r="Q355" s="299">
        <f t="shared" si="57"/>
        <v>3000</v>
      </c>
      <c r="R355" s="299"/>
      <c r="S355" s="355"/>
      <c r="T355" s="355"/>
      <c r="U355" s="355">
        <v>250</v>
      </c>
      <c r="V355" s="355">
        <v>250</v>
      </c>
      <c r="W355" s="355">
        <v>250</v>
      </c>
      <c r="X355" s="1137">
        <v>250</v>
      </c>
      <c r="Y355" s="1126">
        <v>250</v>
      </c>
      <c r="Z355" s="1126">
        <v>250</v>
      </c>
      <c r="AA355" s="1126">
        <v>250</v>
      </c>
      <c r="AB355" s="1126">
        <v>250</v>
      </c>
      <c r="AC355" s="1126">
        <v>250</v>
      </c>
      <c r="AD355" s="1126">
        <v>250</v>
      </c>
      <c r="AE355" s="1126">
        <v>250</v>
      </c>
      <c r="AF355" s="1126">
        <v>250</v>
      </c>
      <c r="AG355" s="547">
        <f t="shared" si="58"/>
        <v>3000</v>
      </c>
    </row>
    <row r="356" spans="1:33" ht="36" customHeight="1">
      <c r="A356" s="2789">
        <v>2223</v>
      </c>
      <c r="B356" s="2790" t="s">
        <v>99</v>
      </c>
      <c r="C356" s="2790" t="s">
        <v>846</v>
      </c>
      <c r="D356" s="2875"/>
      <c r="E356" s="2789">
        <v>20</v>
      </c>
      <c r="F356" s="2792">
        <v>43196</v>
      </c>
      <c r="G356" s="2792">
        <v>43215</v>
      </c>
      <c r="H356" s="2792" t="s">
        <v>368</v>
      </c>
      <c r="I356" s="2789" t="s">
        <v>867</v>
      </c>
      <c r="J356" s="2793" t="s">
        <v>169</v>
      </c>
      <c r="K356" s="1124"/>
      <c r="L356" s="1704"/>
      <c r="M356" s="1124"/>
      <c r="N356" s="1703"/>
      <c r="O356" s="1125"/>
      <c r="P356" s="1703"/>
      <c r="Q356" s="1127"/>
      <c r="R356" s="1127"/>
      <c r="S356" s="1126"/>
      <c r="T356" s="1126"/>
      <c r="U356" s="1126"/>
      <c r="V356" s="1126"/>
      <c r="W356" s="1126"/>
      <c r="X356" s="2835"/>
      <c r="Y356" s="1126"/>
      <c r="Z356" s="1126"/>
      <c r="AA356" s="1126"/>
      <c r="AB356" s="1126"/>
      <c r="AC356" s="1126"/>
      <c r="AD356" s="1126"/>
      <c r="AE356" s="1126"/>
      <c r="AF356" s="1126"/>
      <c r="AG356" s="2355"/>
    </row>
    <row r="357" spans="1:33" ht="31.5" hidden="1">
      <c r="A357" s="294">
        <v>2223</v>
      </c>
      <c r="B357" s="824" t="s">
        <v>99</v>
      </c>
      <c r="C357" s="291" t="s">
        <v>846</v>
      </c>
      <c r="D357" s="821"/>
      <c r="E357" s="294">
        <v>20</v>
      </c>
      <c r="F357" s="293">
        <v>43196</v>
      </c>
      <c r="G357" s="293">
        <v>43215</v>
      </c>
      <c r="H357" s="293" t="s">
        <v>368</v>
      </c>
      <c r="I357" s="294" t="s">
        <v>867</v>
      </c>
      <c r="J357" s="307" t="s">
        <v>169</v>
      </c>
      <c r="K357" s="326" t="s">
        <v>847</v>
      </c>
      <c r="L357" s="1237">
        <v>23173</v>
      </c>
      <c r="M357" s="326"/>
      <c r="N357" s="294"/>
      <c r="O357" s="354">
        <v>80</v>
      </c>
      <c r="P357" s="294">
        <v>3</v>
      </c>
      <c r="Q357" s="299">
        <f t="shared" si="57"/>
        <v>240</v>
      </c>
      <c r="R357" s="299"/>
      <c r="S357" s="355"/>
      <c r="T357" s="355">
        <v>240</v>
      </c>
      <c r="U357" s="355"/>
      <c r="V357" s="355"/>
      <c r="W357" s="355"/>
      <c r="X357" s="1137"/>
      <c r="Y357" s="1126"/>
      <c r="Z357" s="1124"/>
      <c r="AA357" s="1124"/>
      <c r="AB357" s="1124"/>
      <c r="AC357" s="1124"/>
      <c r="AD357" s="1124"/>
      <c r="AE357" s="1124"/>
      <c r="AF357" s="1124"/>
      <c r="AG357" s="547">
        <f t="shared" si="58"/>
        <v>240</v>
      </c>
    </row>
    <row r="358" spans="1:33" ht="31.5" hidden="1">
      <c r="A358" s="294">
        <v>2223</v>
      </c>
      <c r="B358" s="824" t="s">
        <v>99</v>
      </c>
      <c r="C358" s="291" t="s">
        <v>868</v>
      </c>
      <c r="D358" s="821"/>
      <c r="E358" s="294">
        <v>2</v>
      </c>
      <c r="F358" s="293">
        <v>43279</v>
      </c>
      <c r="G358" s="293">
        <f>+F358+E358</f>
        <v>43281</v>
      </c>
      <c r="H358" s="293" t="s">
        <v>869</v>
      </c>
      <c r="I358" s="294" t="s">
        <v>174</v>
      </c>
      <c r="J358" s="306" t="s">
        <v>169</v>
      </c>
      <c r="K358" s="326" t="s">
        <v>365</v>
      </c>
      <c r="L358" s="1237">
        <v>2313</v>
      </c>
      <c r="M358" s="326"/>
      <c r="N358" s="294"/>
      <c r="O358" s="354">
        <v>2711.4</v>
      </c>
      <c r="P358" s="294">
        <v>1</v>
      </c>
      <c r="Q358" s="299">
        <f t="shared" si="57"/>
        <v>2711.4</v>
      </c>
      <c r="R358" s="299"/>
      <c r="S358" s="355"/>
      <c r="T358" s="355"/>
      <c r="U358" s="355"/>
      <c r="V358" s="355"/>
      <c r="W358" s="354">
        <v>2711.4</v>
      </c>
      <c r="X358" s="1137"/>
      <c r="Y358" s="1126"/>
      <c r="Z358" s="1124"/>
      <c r="AA358" s="1124"/>
      <c r="AB358" s="1124"/>
      <c r="AC358" s="1124"/>
      <c r="AD358" s="1124"/>
      <c r="AE358" s="1124"/>
      <c r="AF358" s="1124"/>
      <c r="AG358" s="547">
        <f t="shared" si="58"/>
        <v>2711.4</v>
      </c>
    </row>
    <row r="359" spans="1:33" ht="31.5" hidden="1">
      <c r="A359" s="294">
        <v>2223</v>
      </c>
      <c r="B359" s="824" t="s">
        <v>99</v>
      </c>
      <c r="C359" s="291" t="s">
        <v>868</v>
      </c>
      <c r="D359" s="821"/>
      <c r="E359" s="294">
        <v>2</v>
      </c>
      <c r="F359" s="293">
        <v>43279</v>
      </c>
      <c r="G359" s="293">
        <f>+F359+E359</f>
        <v>43281</v>
      </c>
      <c r="H359" s="293" t="s">
        <v>869</v>
      </c>
      <c r="I359" s="293" t="s">
        <v>169</v>
      </c>
      <c r="J359" s="307" t="s">
        <v>174</v>
      </c>
      <c r="K359" s="326" t="s">
        <v>486</v>
      </c>
      <c r="L359" s="1237">
        <v>23173</v>
      </c>
      <c r="M359" s="326"/>
      <c r="N359" s="294"/>
      <c r="O359" s="354">
        <v>257.33</v>
      </c>
      <c r="P359" s="294">
        <v>1</v>
      </c>
      <c r="Q359" s="299">
        <f t="shared" si="57"/>
        <v>257.33</v>
      </c>
      <c r="R359" s="299"/>
      <c r="S359" s="355"/>
      <c r="T359" s="355"/>
      <c r="U359" s="355"/>
      <c r="V359" s="355"/>
      <c r="W359" s="354">
        <v>257.33</v>
      </c>
      <c r="X359" s="1137"/>
      <c r="Y359" s="1126"/>
      <c r="Z359" s="1124"/>
      <c r="AA359" s="1124"/>
      <c r="AB359" s="1124"/>
      <c r="AC359" s="1124"/>
      <c r="AD359" s="1124"/>
      <c r="AE359" s="1124"/>
      <c r="AF359" s="1124"/>
      <c r="AG359" s="547">
        <f t="shared" si="58"/>
        <v>257.33</v>
      </c>
    </row>
    <row r="360" spans="1:33" ht="31.5" hidden="1">
      <c r="A360" s="294">
        <v>2223</v>
      </c>
      <c r="B360" s="824" t="s">
        <v>99</v>
      </c>
      <c r="C360" s="291" t="s">
        <v>868</v>
      </c>
      <c r="D360" s="821"/>
      <c r="E360" s="294">
        <v>2</v>
      </c>
      <c r="F360" s="293">
        <v>43279</v>
      </c>
      <c r="G360" s="293">
        <f>+F360+E360</f>
        <v>43281</v>
      </c>
      <c r="H360" s="293" t="s">
        <v>869</v>
      </c>
      <c r="I360" s="293" t="s">
        <v>169</v>
      </c>
      <c r="J360" s="307" t="s">
        <v>174</v>
      </c>
      <c r="K360" s="1544" t="s">
        <v>857</v>
      </c>
      <c r="L360" s="1237">
        <v>23174</v>
      </c>
      <c r="M360" s="326"/>
      <c r="N360" s="294"/>
      <c r="O360" s="354">
        <v>5531.27</v>
      </c>
      <c r="P360" s="294">
        <v>1</v>
      </c>
      <c r="Q360" s="299">
        <f t="shared" si="57"/>
        <v>5531.27</v>
      </c>
      <c r="R360" s="299"/>
      <c r="S360" s="355"/>
      <c r="T360" s="355"/>
      <c r="U360" s="355"/>
      <c r="V360" s="355"/>
      <c r="W360" s="354">
        <v>5531.27</v>
      </c>
      <c r="X360" s="1137"/>
      <c r="Y360" s="1126"/>
      <c r="Z360" s="1124"/>
      <c r="AA360" s="1124"/>
      <c r="AB360" s="1124"/>
      <c r="AC360" s="1124"/>
      <c r="AD360" s="1124"/>
      <c r="AE360" s="1124"/>
      <c r="AF360" s="1124"/>
      <c r="AG360" s="547">
        <f t="shared" si="58"/>
        <v>5531.27</v>
      </c>
    </row>
    <row r="361" spans="1:33" ht="30.75" customHeight="1">
      <c r="A361" s="2789">
        <v>2224</v>
      </c>
      <c r="B361" s="2790" t="s">
        <v>99</v>
      </c>
      <c r="C361" s="2790" t="s">
        <v>870</v>
      </c>
      <c r="D361" s="2875"/>
      <c r="E361" s="2789">
        <v>2</v>
      </c>
      <c r="F361" s="2792">
        <v>43500</v>
      </c>
      <c r="G361" s="2792">
        <f>+F361+E361</f>
        <v>43502</v>
      </c>
      <c r="H361" s="2792" t="s">
        <v>871</v>
      </c>
      <c r="I361" s="2789" t="s">
        <v>174</v>
      </c>
      <c r="J361" s="2876" t="s">
        <v>169</v>
      </c>
      <c r="K361" s="1725"/>
      <c r="L361" s="1704"/>
      <c r="M361" s="1124"/>
      <c r="N361" s="1703"/>
      <c r="O361" s="1125"/>
      <c r="P361" s="1703"/>
      <c r="Q361" s="1127"/>
      <c r="R361" s="1127"/>
      <c r="S361" s="1126"/>
      <c r="T361" s="1126"/>
      <c r="U361" s="1126"/>
      <c r="V361" s="1126"/>
      <c r="W361" s="1125"/>
      <c r="X361" s="2835"/>
      <c r="Y361" s="1126"/>
      <c r="Z361" s="1124"/>
      <c r="AA361" s="1124"/>
      <c r="AB361" s="1124"/>
      <c r="AC361" s="1124"/>
      <c r="AD361" s="1124"/>
      <c r="AE361" s="1124"/>
      <c r="AF361" s="1124"/>
      <c r="AG361" s="2355"/>
    </row>
    <row r="362" spans="1:33" ht="31.5" hidden="1">
      <c r="A362" s="294">
        <v>2224</v>
      </c>
      <c r="B362" s="824" t="s">
        <v>99</v>
      </c>
      <c r="C362" s="291" t="s">
        <v>870</v>
      </c>
      <c r="D362" s="821"/>
      <c r="E362" s="294">
        <v>2</v>
      </c>
      <c r="F362" s="293">
        <v>43500</v>
      </c>
      <c r="G362" s="293">
        <f>+F362+E362</f>
        <v>43502</v>
      </c>
      <c r="H362" s="293" t="s">
        <v>871</v>
      </c>
      <c r="I362" s="294" t="s">
        <v>174</v>
      </c>
      <c r="J362" s="306" t="s">
        <v>169</v>
      </c>
      <c r="K362" s="326" t="s">
        <v>365</v>
      </c>
      <c r="L362" s="1237">
        <v>2313</v>
      </c>
      <c r="M362" s="326"/>
      <c r="N362" s="294"/>
      <c r="O362" s="354">
        <v>2711.4</v>
      </c>
      <c r="P362" s="294">
        <v>1</v>
      </c>
      <c r="Q362" s="299">
        <f t="shared" si="57"/>
        <v>2711.4</v>
      </c>
      <c r="R362" s="299"/>
      <c r="S362" s="355"/>
      <c r="T362" s="355"/>
      <c r="U362" s="355"/>
      <c r="V362" s="355"/>
      <c r="W362" s="355"/>
      <c r="X362" s="1137"/>
      <c r="Y362" s="1126"/>
      <c r="Z362" s="1124"/>
      <c r="AA362" s="1124"/>
      <c r="AB362" s="1124"/>
      <c r="AC362" s="1124"/>
      <c r="AD362" s="355">
        <v>2711.4</v>
      </c>
      <c r="AE362" s="1124"/>
      <c r="AF362" s="1124"/>
      <c r="AG362" s="547">
        <f t="shared" si="58"/>
        <v>2711.4</v>
      </c>
    </row>
    <row r="363" spans="1:33" ht="31.5" hidden="1">
      <c r="A363" s="294">
        <v>2224</v>
      </c>
      <c r="B363" s="824" t="s">
        <v>99</v>
      </c>
      <c r="C363" s="291" t="s">
        <v>870</v>
      </c>
      <c r="D363" s="821"/>
      <c r="E363" s="294">
        <v>2</v>
      </c>
      <c r="F363" s="293">
        <v>43500</v>
      </c>
      <c r="G363" s="293">
        <v>43502</v>
      </c>
      <c r="H363" s="293" t="s">
        <v>871</v>
      </c>
      <c r="I363" s="293" t="s">
        <v>169</v>
      </c>
      <c r="J363" s="307" t="s">
        <v>174</v>
      </c>
      <c r="K363" s="326" t="s">
        <v>486</v>
      </c>
      <c r="L363" s="1237">
        <v>23173</v>
      </c>
      <c r="M363" s="326"/>
      <c r="N363" s="294"/>
      <c r="O363" s="354">
        <v>431.33</v>
      </c>
      <c r="P363" s="294">
        <v>1</v>
      </c>
      <c r="Q363" s="299">
        <f t="shared" si="57"/>
        <v>431.33</v>
      </c>
      <c r="R363" s="299"/>
      <c r="S363" s="355"/>
      <c r="T363" s="355"/>
      <c r="U363" s="355"/>
      <c r="V363" s="355"/>
      <c r="W363" s="355"/>
      <c r="X363" s="1137"/>
      <c r="Y363" s="1126"/>
      <c r="Z363" s="1124"/>
      <c r="AA363" s="1124"/>
      <c r="AB363" s="1124"/>
      <c r="AC363" s="1124"/>
      <c r="AD363" s="355">
        <v>431.33</v>
      </c>
      <c r="AE363" s="1124"/>
      <c r="AF363" s="1124"/>
      <c r="AG363" s="547">
        <f t="shared" si="58"/>
        <v>431.33</v>
      </c>
    </row>
    <row r="364" spans="1:33" ht="31.5" hidden="1">
      <c r="A364" s="294">
        <v>2224</v>
      </c>
      <c r="B364" s="824" t="s">
        <v>99</v>
      </c>
      <c r="C364" s="291" t="s">
        <v>870</v>
      </c>
      <c r="D364" s="821"/>
      <c r="E364" s="294">
        <v>2</v>
      </c>
      <c r="F364" s="293">
        <v>43500</v>
      </c>
      <c r="G364" s="293">
        <v>43502</v>
      </c>
      <c r="H364" s="293" t="s">
        <v>871</v>
      </c>
      <c r="I364" s="293" t="s">
        <v>169</v>
      </c>
      <c r="J364" s="307" t="s">
        <v>174</v>
      </c>
      <c r="K364" s="1544" t="s">
        <v>857</v>
      </c>
      <c r="L364" s="1237">
        <v>23174</v>
      </c>
      <c r="M364" s="326"/>
      <c r="N364" s="294"/>
      <c r="O364" s="354">
        <v>6557.27</v>
      </c>
      <c r="P364" s="294">
        <v>1</v>
      </c>
      <c r="Q364" s="299">
        <f t="shared" si="57"/>
        <v>6557.27</v>
      </c>
      <c r="R364" s="299"/>
      <c r="S364" s="355"/>
      <c r="T364" s="355"/>
      <c r="U364" s="355"/>
      <c r="V364" s="355"/>
      <c r="W364" s="355"/>
      <c r="X364" s="1137"/>
      <c r="Y364" s="1126"/>
      <c r="Z364" s="1124"/>
      <c r="AA364" s="1124"/>
      <c r="AB364" s="1124"/>
      <c r="AC364" s="1124"/>
      <c r="AD364" s="355">
        <v>6557.27</v>
      </c>
      <c r="AE364" s="1124"/>
      <c r="AF364" s="1124"/>
      <c r="AG364" s="547">
        <f t="shared" si="58"/>
        <v>6557.27</v>
      </c>
    </row>
    <row r="365" spans="1:33" s="280" customFormat="1" ht="38.25" customHeight="1">
      <c r="A365" s="1275">
        <v>223</v>
      </c>
      <c r="B365" s="508" t="s">
        <v>872</v>
      </c>
      <c r="C365" s="1504"/>
      <c r="D365" s="1358"/>
      <c r="E365" s="1358"/>
      <c r="F365" s="1358"/>
      <c r="G365" s="1358"/>
      <c r="H365" s="1358"/>
      <c r="I365" s="1358"/>
      <c r="J365" s="523"/>
      <c r="K365" s="1560"/>
      <c r="L365" s="1359"/>
      <c r="M365" s="1358"/>
      <c r="N365" s="1358"/>
      <c r="O365" s="1360"/>
      <c r="P365" s="1358"/>
      <c r="Q365" s="2812">
        <f>SUM(Q367:Q384)</f>
        <v>209880</v>
      </c>
      <c r="R365" s="2814"/>
      <c r="S365" s="1562">
        <f t="shared" ref="S365:AF365" si="59">SUM(S367:S384)</f>
        <v>0</v>
      </c>
      <c r="T365" s="1562">
        <f t="shared" si="59"/>
        <v>740</v>
      </c>
      <c r="U365" s="1562">
        <f t="shared" si="59"/>
        <v>16740</v>
      </c>
      <c r="V365" s="1562">
        <f t="shared" si="59"/>
        <v>63200</v>
      </c>
      <c r="W365" s="1562">
        <f t="shared" si="59"/>
        <v>1000</v>
      </c>
      <c r="X365" s="1562">
        <f t="shared" si="59"/>
        <v>40200</v>
      </c>
      <c r="Y365" s="1562">
        <f t="shared" si="59"/>
        <v>88000</v>
      </c>
      <c r="Z365" s="1562">
        <f t="shared" si="59"/>
        <v>0</v>
      </c>
      <c r="AA365" s="1562">
        <f t="shared" si="59"/>
        <v>0</v>
      </c>
      <c r="AB365" s="1562">
        <f t="shared" si="59"/>
        <v>0</v>
      </c>
      <c r="AC365" s="1562">
        <f t="shared" si="59"/>
        <v>0</v>
      </c>
      <c r="AD365" s="1562">
        <f t="shared" si="59"/>
        <v>0</v>
      </c>
      <c r="AE365" s="1562">
        <f t="shared" si="59"/>
        <v>0</v>
      </c>
      <c r="AF365" s="1562">
        <f t="shared" si="59"/>
        <v>0</v>
      </c>
      <c r="AG365" s="3008">
        <f>SUM(S365:AF365)</f>
        <v>209880</v>
      </c>
    </row>
    <row r="366" spans="1:33" s="280" customFormat="1" ht="38.25" customHeight="1">
      <c r="A366" s="2789">
        <v>2231</v>
      </c>
      <c r="B366" s="2790" t="s">
        <v>1027</v>
      </c>
      <c r="C366" s="2790" t="s">
        <v>846</v>
      </c>
      <c r="D366" s="2865" t="s">
        <v>849</v>
      </c>
      <c r="E366" s="2789">
        <v>20</v>
      </c>
      <c r="F366" s="2881">
        <v>43196</v>
      </c>
      <c r="G366" s="2881">
        <v>43215</v>
      </c>
      <c r="H366" s="2789" t="s">
        <v>368</v>
      </c>
      <c r="I366" s="2789" t="s">
        <v>169</v>
      </c>
      <c r="J366" s="2793" t="s">
        <v>174</v>
      </c>
      <c r="K366" s="2868"/>
      <c r="L366" s="2877"/>
      <c r="M366" s="2845"/>
      <c r="N366" s="2845"/>
      <c r="O366" s="2878"/>
      <c r="P366" s="2845"/>
      <c r="Q366" s="2870"/>
      <c r="R366" s="2879"/>
      <c r="S366" s="1903"/>
      <c r="T366" s="1903"/>
      <c r="U366" s="1903"/>
      <c r="V366" s="1903"/>
      <c r="W366" s="1903"/>
      <c r="X366" s="2872"/>
      <c r="Y366" s="1903"/>
      <c r="Z366" s="1903"/>
      <c r="AA366" s="1903"/>
      <c r="AB366" s="1903"/>
      <c r="AC366" s="1903"/>
      <c r="AD366" s="1903"/>
      <c r="AE366" s="1903"/>
      <c r="AF366" s="1903"/>
      <c r="AG366" s="3009"/>
    </row>
    <row r="367" spans="1:33" s="833" customFormat="1" ht="31.5" hidden="1">
      <c r="A367" s="294">
        <v>2231</v>
      </c>
      <c r="B367" s="820" t="s">
        <v>1027</v>
      </c>
      <c r="C367" s="291" t="s">
        <v>846</v>
      </c>
      <c r="D367" s="295" t="s">
        <v>849</v>
      </c>
      <c r="E367" s="294">
        <v>20</v>
      </c>
      <c r="F367" s="829">
        <v>43196</v>
      </c>
      <c r="G367" s="829">
        <v>43215</v>
      </c>
      <c r="H367" s="294" t="s">
        <v>368</v>
      </c>
      <c r="I367" s="294" t="s">
        <v>169</v>
      </c>
      <c r="J367" s="307" t="s">
        <v>174</v>
      </c>
      <c r="K367" s="326" t="s">
        <v>847</v>
      </c>
      <c r="L367" s="1241">
        <v>23173</v>
      </c>
      <c r="M367" s="830"/>
      <c r="N367" s="569"/>
      <c r="O367" s="355">
        <v>80</v>
      </c>
      <c r="P367" s="294">
        <v>3</v>
      </c>
      <c r="Q367" s="299">
        <f>O367*P367</f>
        <v>240</v>
      </c>
      <c r="R367" s="831"/>
      <c r="S367" s="494"/>
      <c r="T367" s="294">
        <v>240</v>
      </c>
      <c r="U367" s="494"/>
      <c r="V367" s="494"/>
      <c r="W367" s="494"/>
      <c r="X367" s="1181"/>
      <c r="Y367" s="1196"/>
      <c r="Z367" s="1155"/>
      <c r="AA367" s="1155"/>
      <c r="AB367" s="1155"/>
      <c r="AC367" s="1155"/>
      <c r="AD367" s="1155"/>
      <c r="AE367" s="1155"/>
      <c r="AF367" s="1155"/>
      <c r="AG367" s="547">
        <f t="shared" ref="AG367:AG384" si="60">SUM(S367:AF367)</f>
        <v>240</v>
      </c>
    </row>
    <row r="368" spans="1:33" s="280" customFormat="1" ht="31.5" hidden="1">
      <c r="A368" s="294">
        <v>2231</v>
      </c>
      <c r="B368" s="820" t="s">
        <v>1027</v>
      </c>
      <c r="C368" s="291" t="s">
        <v>875</v>
      </c>
      <c r="D368" s="294" t="s">
        <v>849</v>
      </c>
      <c r="E368" s="294">
        <v>30</v>
      </c>
      <c r="F368" s="293">
        <v>43205</v>
      </c>
      <c r="G368" s="293">
        <v>43235</v>
      </c>
      <c r="H368" s="293" t="s">
        <v>368</v>
      </c>
      <c r="I368" s="294" t="s">
        <v>174</v>
      </c>
      <c r="J368" s="307" t="s">
        <v>169</v>
      </c>
      <c r="K368" s="326" t="s">
        <v>365</v>
      </c>
      <c r="L368" s="1237">
        <v>2313</v>
      </c>
      <c r="M368" s="296"/>
      <c r="N368" s="294"/>
      <c r="O368" s="355">
        <v>5000</v>
      </c>
      <c r="P368" s="294">
        <v>1</v>
      </c>
      <c r="Q368" s="299">
        <f>O368*P368</f>
        <v>5000</v>
      </c>
      <c r="R368" s="299"/>
      <c r="S368" s="298"/>
      <c r="T368" s="294">
        <v>500</v>
      </c>
      <c r="U368" s="294">
        <v>4500</v>
      </c>
      <c r="V368" s="298"/>
      <c r="W368" s="298"/>
      <c r="X368" s="1179"/>
      <c r="Y368" s="1154"/>
      <c r="Z368" s="1152"/>
      <c r="AA368" s="1152"/>
      <c r="AB368" s="1152"/>
      <c r="AC368" s="1152"/>
      <c r="AD368" s="1152"/>
      <c r="AE368" s="1152"/>
      <c r="AF368" s="1152"/>
      <c r="AG368" s="547">
        <f t="shared" si="60"/>
        <v>5000</v>
      </c>
    </row>
    <row r="369" spans="1:33" s="280" customFormat="1" ht="29.25" customHeight="1">
      <c r="A369" s="2789">
        <v>2232</v>
      </c>
      <c r="B369" s="2882" t="s">
        <v>1028</v>
      </c>
      <c r="C369" s="2790" t="s">
        <v>878</v>
      </c>
      <c r="D369" s="2875"/>
      <c r="E369" s="2883">
        <v>66</v>
      </c>
      <c r="F369" s="2792">
        <v>43195</v>
      </c>
      <c r="G369" s="2792">
        <f>F369+E369</f>
        <v>43261</v>
      </c>
      <c r="H369" s="2792" t="s">
        <v>368</v>
      </c>
      <c r="I369" s="2789" t="s">
        <v>169</v>
      </c>
      <c r="J369" s="2793" t="s">
        <v>174</v>
      </c>
      <c r="K369" s="1124"/>
      <c r="L369" s="1704"/>
      <c r="M369" s="1152"/>
      <c r="N369" s="1703"/>
      <c r="O369" s="1126"/>
      <c r="P369" s="1703"/>
      <c r="Q369" s="1127"/>
      <c r="R369" s="1127"/>
      <c r="S369" s="1154"/>
      <c r="T369" s="1703"/>
      <c r="U369" s="1703"/>
      <c r="V369" s="1154"/>
      <c r="W369" s="1154"/>
      <c r="X369" s="2860"/>
      <c r="Y369" s="1154"/>
      <c r="Z369" s="1152"/>
      <c r="AA369" s="1152"/>
      <c r="AB369" s="1152"/>
      <c r="AC369" s="1152"/>
      <c r="AD369" s="1152"/>
      <c r="AE369" s="1152"/>
      <c r="AF369" s="1152"/>
      <c r="AG369" s="2355"/>
    </row>
    <row r="370" spans="1:33" s="280" customFormat="1" ht="31.5" hidden="1">
      <c r="A370" s="294">
        <v>2232</v>
      </c>
      <c r="B370" s="834" t="s">
        <v>1028</v>
      </c>
      <c r="C370" s="291" t="s">
        <v>878</v>
      </c>
      <c r="D370" s="821"/>
      <c r="E370" s="1363">
        <v>66</v>
      </c>
      <c r="F370" s="293">
        <v>43195</v>
      </c>
      <c r="G370" s="293">
        <f>F370+E370</f>
        <v>43261</v>
      </c>
      <c r="H370" s="293" t="s">
        <v>368</v>
      </c>
      <c r="I370" s="294" t="s">
        <v>169</v>
      </c>
      <c r="J370" s="307" t="s">
        <v>174</v>
      </c>
      <c r="K370" s="326" t="s">
        <v>879</v>
      </c>
      <c r="L370" s="1241">
        <v>2463</v>
      </c>
      <c r="M370" s="296"/>
      <c r="N370" s="294"/>
      <c r="O370" s="1357">
        <v>1500</v>
      </c>
      <c r="P370" s="295">
        <v>4</v>
      </c>
      <c r="Q370" s="854">
        <f>O370*P370</f>
        <v>6000</v>
      </c>
      <c r="R370" s="299"/>
      <c r="S370" s="298"/>
      <c r="T370" s="298"/>
      <c r="U370" s="298"/>
      <c r="V370" s="298">
        <v>6000</v>
      </c>
      <c r="W370" s="298"/>
      <c r="X370" s="1179"/>
      <c r="Y370" s="1154"/>
      <c r="Z370" s="1152"/>
      <c r="AA370" s="1152"/>
      <c r="AB370" s="1152"/>
      <c r="AC370" s="1152"/>
      <c r="AD370" s="1152"/>
      <c r="AE370" s="1152"/>
      <c r="AF370" s="1152"/>
      <c r="AG370" s="547">
        <f t="shared" si="60"/>
        <v>6000</v>
      </c>
    </row>
    <row r="371" spans="1:33" s="280" customFormat="1" ht="31.5" hidden="1">
      <c r="A371" s="294">
        <v>2232</v>
      </c>
      <c r="B371" s="291" t="s">
        <v>1029</v>
      </c>
      <c r="C371" s="291" t="s">
        <v>881</v>
      </c>
      <c r="D371" s="821"/>
      <c r="E371" s="1363">
        <v>77</v>
      </c>
      <c r="F371" s="293">
        <v>43196</v>
      </c>
      <c r="G371" s="293">
        <f>F371+E371</f>
        <v>43273</v>
      </c>
      <c r="H371" s="293" t="s">
        <v>368</v>
      </c>
      <c r="I371" s="294" t="s">
        <v>169</v>
      </c>
      <c r="J371" s="307" t="s">
        <v>174</v>
      </c>
      <c r="K371" s="326" t="s">
        <v>320</v>
      </c>
      <c r="L371" s="1241">
        <v>23173</v>
      </c>
      <c r="M371" s="296"/>
      <c r="N371" s="294"/>
      <c r="O371" s="1357">
        <v>2000</v>
      </c>
      <c r="P371" s="295">
        <v>1</v>
      </c>
      <c r="Q371" s="854">
        <f>O371*P371</f>
        <v>2000</v>
      </c>
      <c r="R371" s="299"/>
      <c r="S371" s="298"/>
      <c r="T371" s="298"/>
      <c r="U371" s="298"/>
      <c r="V371" s="298">
        <v>2000</v>
      </c>
      <c r="W371" s="298"/>
      <c r="X371" s="1179"/>
      <c r="Y371" s="1154"/>
      <c r="Z371" s="1152"/>
      <c r="AA371" s="1152"/>
      <c r="AB371" s="1152"/>
      <c r="AC371" s="1152"/>
      <c r="AD371" s="1152"/>
      <c r="AE371" s="1152"/>
      <c r="AF371" s="1152"/>
      <c r="AG371" s="547">
        <f t="shared" si="60"/>
        <v>2000</v>
      </c>
    </row>
    <row r="372" spans="1:33" s="280" customFormat="1" ht="31.5" hidden="1">
      <c r="A372" s="294">
        <v>2232</v>
      </c>
      <c r="B372" s="834" t="s">
        <v>1030</v>
      </c>
      <c r="C372" s="291" t="s">
        <v>883</v>
      </c>
      <c r="D372" s="821"/>
      <c r="E372" s="1363">
        <v>125</v>
      </c>
      <c r="F372" s="293">
        <v>43196</v>
      </c>
      <c r="G372" s="293">
        <f>F372+E372</f>
        <v>43321</v>
      </c>
      <c r="H372" s="293" t="s">
        <v>368</v>
      </c>
      <c r="I372" s="294" t="s">
        <v>169</v>
      </c>
      <c r="J372" s="307" t="s">
        <v>884</v>
      </c>
      <c r="K372" s="326" t="s">
        <v>879</v>
      </c>
      <c r="L372" s="1241">
        <v>2463</v>
      </c>
      <c r="M372" s="296"/>
      <c r="N372" s="294"/>
      <c r="O372" s="1357">
        <v>19200</v>
      </c>
      <c r="P372" s="295">
        <v>1</v>
      </c>
      <c r="Q372" s="854">
        <f>O372*P372</f>
        <v>19200</v>
      </c>
      <c r="R372" s="299"/>
      <c r="S372" s="298"/>
      <c r="T372" s="298"/>
      <c r="U372" s="298"/>
      <c r="V372" s="298"/>
      <c r="W372" s="298"/>
      <c r="X372" s="1179">
        <v>19200</v>
      </c>
      <c r="Y372" s="1154"/>
      <c r="Z372" s="1152"/>
      <c r="AA372" s="1152"/>
      <c r="AB372" s="1152"/>
      <c r="AC372" s="1152"/>
      <c r="AD372" s="1152"/>
      <c r="AE372" s="1152"/>
      <c r="AF372" s="1152"/>
      <c r="AG372" s="547">
        <f t="shared" si="60"/>
        <v>19200</v>
      </c>
    </row>
    <row r="373" spans="1:33" s="280" customFormat="1" ht="31.5">
      <c r="A373" s="2789">
        <v>2233</v>
      </c>
      <c r="B373" s="2790" t="s">
        <v>1031</v>
      </c>
      <c r="C373" s="2790" t="s">
        <v>887</v>
      </c>
      <c r="D373" s="2799"/>
      <c r="E373" s="2789">
        <v>1</v>
      </c>
      <c r="F373" s="2792">
        <v>43235</v>
      </c>
      <c r="G373" s="2792">
        <v>43235</v>
      </c>
      <c r="H373" s="2792" t="s">
        <v>368</v>
      </c>
      <c r="I373" s="2789" t="s">
        <v>867</v>
      </c>
      <c r="J373" s="2793" t="s">
        <v>169</v>
      </c>
      <c r="K373" s="1124"/>
      <c r="L373" s="2856"/>
      <c r="N373" s="341"/>
      <c r="O373" s="2884"/>
      <c r="P373" s="342"/>
      <c r="Q373" s="1198"/>
      <c r="R373" s="2604"/>
      <c r="S373" s="2885"/>
      <c r="T373" s="2885"/>
      <c r="U373" s="1154"/>
      <c r="V373" s="1154"/>
      <c r="W373" s="1154"/>
      <c r="X373" s="2860"/>
      <c r="Y373" s="1154"/>
      <c r="Z373" s="1152"/>
      <c r="AA373" s="1152"/>
      <c r="AB373" s="1152"/>
      <c r="AC373" s="1152"/>
      <c r="AD373" s="1152"/>
      <c r="AE373" s="1152"/>
      <c r="AF373" s="1152"/>
      <c r="AG373" s="2355"/>
    </row>
    <row r="374" spans="1:33" s="280" customFormat="1" ht="31.5" hidden="1">
      <c r="A374" s="294">
        <v>2233</v>
      </c>
      <c r="B374" s="291" t="s">
        <v>1031</v>
      </c>
      <c r="C374" s="291" t="s">
        <v>887</v>
      </c>
      <c r="D374" s="357"/>
      <c r="E374" s="294">
        <v>1</v>
      </c>
      <c r="F374" s="293">
        <v>43235</v>
      </c>
      <c r="G374" s="293">
        <v>43235</v>
      </c>
      <c r="H374" s="293" t="s">
        <v>368</v>
      </c>
      <c r="I374" s="294" t="s">
        <v>867</v>
      </c>
      <c r="J374" s="307" t="s">
        <v>169</v>
      </c>
      <c r="K374" s="326" t="s">
        <v>320</v>
      </c>
      <c r="L374" s="1241">
        <v>23173</v>
      </c>
      <c r="N374" s="341"/>
      <c r="O374" s="1364">
        <v>3000</v>
      </c>
      <c r="P374" s="342">
        <v>1</v>
      </c>
      <c r="Q374" s="854">
        <f t="shared" ref="Q374:Q383" si="61">O374*P374</f>
        <v>3000</v>
      </c>
      <c r="R374" s="344"/>
      <c r="S374" s="315"/>
      <c r="T374" s="315"/>
      <c r="U374" s="298">
        <v>3000</v>
      </c>
      <c r="V374" s="1154"/>
      <c r="W374" s="1154"/>
      <c r="X374" s="1154"/>
      <c r="Y374" s="1154"/>
      <c r="Z374" s="1152"/>
      <c r="AA374" s="1152"/>
      <c r="AB374" s="1152"/>
      <c r="AC374" s="1152"/>
      <c r="AD374" s="1152"/>
      <c r="AE374" s="1152"/>
      <c r="AF374" s="1152"/>
      <c r="AG374" s="547">
        <f t="shared" si="60"/>
        <v>3000</v>
      </c>
    </row>
    <row r="375" spans="1:33" s="280" customFormat="1" ht="31.5" hidden="1">
      <c r="A375" s="294">
        <v>2233</v>
      </c>
      <c r="B375" s="291" t="s">
        <v>1031</v>
      </c>
      <c r="C375" s="291" t="s">
        <v>887</v>
      </c>
      <c r="D375" s="821"/>
      <c r="E375" s="294">
        <v>1</v>
      </c>
      <c r="F375" s="293">
        <v>43235</v>
      </c>
      <c r="G375" s="293">
        <v>43235</v>
      </c>
      <c r="H375" s="293" t="s">
        <v>368</v>
      </c>
      <c r="I375" s="294" t="s">
        <v>169</v>
      </c>
      <c r="J375" s="307" t="s">
        <v>867</v>
      </c>
      <c r="K375" s="326" t="s">
        <v>888</v>
      </c>
      <c r="L375" s="1241">
        <v>23174</v>
      </c>
      <c r="M375" s="296"/>
      <c r="N375" s="294"/>
      <c r="O375" s="1357">
        <v>9000</v>
      </c>
      <c r="P375" s="342">
        <v>1</v>
      </c>
      <c r="Q375" s="854">
        <f t="shared" si="61"/>
        <v>9000</v>
      </c>
      <c r="R375" s="299"/>
      <c r="S375" s="298"/>
      <c r="T375" s="298"/>
      <c r="U375" s="298">
        <v>9000</v>
      </c>
      <c r="V375" s="298"/>
      <c r="W375" s="298"/>
      <c r="X375" s="1179"/>
      <c r="Y375" s="1154"/>
      <c r="Z375" s="1152"/>
      <c r="AA375" s="1152"/>
      <c r="AB375" s="1152"/>
      <c r="AC375" s="1152"/>
      <c r="AD375" s="1152"/>
      <c r="AE375" s="1152"/>
      <c r="AF375" s="1152"/>
      <c r="AG375" s="547">
        <f t="shared" si="60"/>
        <v>9000</v>
      </c>
    </row>
    <row r="376" spans="1:33" s="280" customFormat="1" ht="31.5" hidden="1">
      <c r="A376" s="294">
        <v>2233</v>
      </c>
      <c r="B376" s="291" t="s">
        <v>1032</v>
      </c>
      <c r="C376" s="291" t="s">
        <v>846</v>
      </c>
      <c r="D376" s="294"/>
      <c r="E376" s="294">
        <v>20</v>
      </c>
      <c r="F376" s="293">
        <v>43235</v>
      </c>
      <c r="G376" s="293">
        <v>43256</v>
      </c>
      <c r="H376" s="293" t="s">
        <v>368</v>
      </c>
      <c r="I376" s="294" t="s">
        <v>867</v>
      </c>
      <c r="J376" s="307" t="s">
        <v>169</v>
      </c>
      <c r="K376" s="326" t="s">
        <v>847</v>
      </c>
      <c r="L376" s="1241">
        <v>23173</v>
      </c>
      <c r="M376" s="296"/>
      <c r="N376" s="294"/>
      <c r="O376" s="1357">
        <v>80</v>
      </c>
      <c r="P376" s="295">
        <v>3</v>
      </c>
      <c r="Q376" s="854">
        <f t="shared" si="61"/>
        <v>240</v>
      </c>
      <c r="R376" s="299"/>
      <c r="S376" s="298"/>
      <c r="T376" s="298"/>
      <c r="U376" s="298">
        <v>240</v>
      </c>
      <c r="V376" s="298"/>
      <c r="W376" s="298"/>
      <c r="X376" s="1179"/>
      <c r="Y376" s="1154"/>
      <c r="Z376" s="1152"/>
      <c r="AA376" s="1152"/>
      <c r="AB376" s="1152"/>
      <c r="AC376" s="1152"/>
      <c r="AD376" s="1152"/>
      <c r="AE376" s="1152"/>
      <c r="AF376" s="1152"/>
      <c r="AG376" s="547">
        <f t="shared" si="60"/>
        <v>240</v>
      </c>
    </row>
    <row r="377" spans="1:33" s="280" customFormat="1" ht="31.5" hidden="1">
      <c r="A377" s="294">
        <v>2233</v>
      </c>
      <c r="B377" s="291" t="s">
        <v>1032</v>
      </c>
      <c r="C377" s="291" t="s">
        <v>890</v>
      </c>
      <c r="D377" s="821"/>
      <c r="E377" s="294">
        <v>66</v>
      </c>
      <c r="F377" s="293">
        <v>43257</v>
      </c>
      <c r="G377" s="293">
        <v>43278</v>
      </c>
      <c r="H377" s="293" t="s">
        <v>368</v>
      </c>
      <c r="I377" s="294" t="s">
        <v>867</v>
      </c>
      <c r="J377" s="307" t="s">
        <v>169</v>
      </c>
      <c r="K377" s="326" t="s">
        <v>302</v>
      </c>
      <c r="L377" s="1241">
        <v>23173</v>
      </c>
      <c r="M377" s="296"/>
      <c r="N377" s="294"/>
      <c r="O377" s="1357">
        <v>8000</v>
      </c>
      <c r="P377" s="295">
        <v>2</v>
      </c>
      <c r="Q377" s="854">
        <f t="shared" si="61"/>
        <v>16000</v>
      </c>
      <c r="R377" s="299"/>
      <c r="S377" s="298"/>
      <c r="T377" s="298"/>
      <c r="U377" s="298"/>
      <c r="V377" s="298">
        <v>16000</v>
      </c>
      <c r="W377" s="298"/>
      <c r="X377" s="1179"/>
      <c r="Y377" s="1154"/>
      <c r="Z377" s="1152"/>
      <c r="AA377" s="1152"/>
      <c r="AB377" s="1152"/>
      <c r="AC377" s="1152"/>
      <c r="AD377" s="1152"/>
      <c r="AE377" s="1152"/>
      <c r="AF377" s="1152"/>
      <c r="AG377" s="547">
        <f t="shared" si="60"/>
        <v>16000</v>
      </c>
    </row>
    <row r="378" spans="1:33" s="280" customFormat="1" ht="31.5" hidden="1">
      <c r="A378" s="294">
        <v>2233</v>
      </c>
      <c r="B378" s="291" t="s">
        <v>1033</v>
      </c>
      <c r="C378" s="291" t="s">
        <v>892</v>
      </c>
      <c r="D378" s="821"/>
      <c r="E378" s="294">
        <v>6</v>
      </c>
      <c r="F378" s="293">
        <v>43241</v>
      </c>
      <c r="G378" s="293">
        <v>43246</v>
      </c>
      <c r="H378" s="293" t="s">
        <v>368</v>
      </c>
      <c r="I378" s="294" t="s">
        <v>867</v>
      </c>
      <c r="J378" s="307" t="s">
        <v>169</v>
      </c>
      <c r="K378" s="326" t="s">
        <v>486</v>
      </c>
      <c r="L378" s="1241">
        <v>23173</v>
      </c>
      <c r="M378" s="296"/>
      <c r="N378" s="294"/>
      <c r="O378" s="1357">
        <v>1081</v>
      </c>
      <c r="P378" s="295">
        <v>4</v>
      </c>
      <c r="Q378" s="854">
        <f t="shared" si="61"/>
        <v>4324</v>
      </c>
      <c r="R378" s="299"/>
      <c r="S378" s="298"/>
      <c r="T378" s="298"/>
      <c r="U378" s="298"/>
      <c r="V378" s="298">
        <v>4324</v>
      </c>
      <c r="W378" s="298"/>
      <c r="X378" s="1179"/>
      <c r="Y378" s="1154"/>
      <c r="Z378" s="1152"/>
      <c r="AA378" s="1152"/>
      <c r="AB378" s="1152"/>
      <c r="AC378" s="1152"/>
      <c r="AD378" s="1152"/>
      <c r="AE378" s="1152"/>
      <c r="AF378" s="1152"/>
      <c r="AG378" s="547">
        <f t="shared" si="60"/>
        <v>4324</v>
      </c>
    </row>
    <row r="379" spans="1:33" s="280" customFormat="1" ht="31.5" hidden="1">
      <c r="A379" s="294">
        <v>2233</v>
      </c>
      <c r="B379" s="291" t="s">
        <v>1033</v>
      </c>
      <c r="C379" s="291" t="s">
        <v>892</v>
      </c>
      <c r="D379" s="821"/>
      <c r="E379" s="294">
        <v>6</v>
      </c>
      <c r="F379" s="293">
        <v>43241</v>
      </c>
      <c r="G379" s="293">
        <v>43246</v>
      </c>
      <c r="H379" s="293" t="s">
        <v>368</v>
      </c>
      <c r="I379" s="294" t="s">
        <v>169</v>
      </c>
      <c r="J379" s="307" t="s">
        <v>867</v>
      </c>
      <c r="K379" s="326" t="s">
        <v>888</v>
      </c>
      <c r="L379" s="1241">
        <v>23174</v>
      </c>
      <c r="M379" s="296"/>
      <c r="N379" s="294"/>
      <c r="O379" s="1357">
        <v>8659</v>
      </c>
      <c r="P379" s="295">
        <v>4</v>
      </c>
      <c r="Q379" s="854">
        <f t="shared" si="61"/>
        <v>34636</v>
      </c>
      <c r="R379" s="299"/>
      <c r="S379" s="298"/>
      <c r="T379" s="298"/>
      <c r="U379" s="298"/>
      <c r="V379" s="298">
        <v>34636</v>
      </c>
      <c r="W379" s="298"/>
      <c r="X379" s="1179"/>
      <c r="Y379" s="1154"/>
      <c r="Z379" s="1152"/>
      <c r="AA379" s="1152"/>
      <c r="AB379" s="1152"/>
      <c r="AC379" s="1152"/>
      <c r="AD379" s="1152"/>
      <c r="AE379" s="1152"/>
      <c r="AF379" s="1152"/>
      <c r="AG379" s="547">
        <f t="shared" si="60"/>
        <v>34636</v>
      </c>
    </row>
    <row r="380" spans="1:33" s="280" customFormat="1" ht="31.5" hidden="1">
      <c r="A380" s="294">
        <v>2233</v>
      </c>
      <c r="B380" s="291" t="s">
        <v>1034</v>
      </c>
      <c r="C380" s="291" t="s">
        <v>894</v>
      </c>
      <c r="D380" s="821"/>
      <c r="E380" s="294">
        <v>2</v>
      </c>
      <c r="F380" s="293">
        <v>43283</v>
      </c>
      <c r="G380" s="293">
        <v>43284</v>
      </c>
      <c r="H380" s="293" t="s">
        <v>895</v>
      </c>
      <c r="I380" s="294" t="s">
        <v>169</v>
      </c>
      <c r="J380" s="307" t="s">
        <v>867</v>
      </c>
      <c r="K380" s="326" t="s">
        <v>896</v>
      </c>
      <c r="L380" s="1241">
        <v>23173</v>
      </c>
      <c r="M380" s="296"/>
      <c r="N380" s="294"/>
      <c r="O380" s="1357">
        <v>1000</v>
      </c>
      <c r="P380" s="295">
        <v>1</v>
      </c>
      <c r="Q380" s="854">
        <f t="shared" si="61"/>
        <v>1000</v>
      </c>
      <c r="R380" s="299"/>
      <c r="S380" s="298"/>
      <c r="T380" s="298"/>
      <c r="U380" s="298"/>
      <c r="V380" s="298"/>
      <c r="W380" s="298">
        <v>1000</v>
      </c>
      <c r="X380" s="1179"/>
      <c r="Y380" s="1154"/>
      <c r="Z380" s="1152"/>
      <c r="AA380" s="1152"/>
      <c r="AB380" s="1152"/>
      <c r="AC380" s="1152"/>
      <c r="AD380" s="1152"/>
      <c r="AE380" s="1152"/>
      <c r="AF380" s="1152"/>
      <c r="AG380" s="547">
        <f t="shared" si="60"/>
        <v>1000</v>
      </c>
    </row>
    <row r="381" spans="1:33" s="280" customFormat="1" ht="43.5" hidden="1" customHeight="1">
      <c r="A381" s="294">
        <v>2233</v>
      </c>
      <c r="B381" s="291" t="s">
        <v>1035</v>
      </c>
      <c r="C381" s="291" t="s">
        <v>897</v>
      </c>
      <c r="D381" s="821"/>
      <c r="E381" s="294">
        <v>2</v>
      </c>
      <c r="F381" s="293">
        <v>43318</v>
      </c>
      <c r="G381" s="293">
        <v>43321</v>
      </c>
      <c r="H381" s="293" t="s">
        <v>895</v>
      </c>
      <c r="I381" s="294" t="s">
        <v>867</v>
      </c>
      <c r="J381" s="307" t="s">
        <v>169</v>
      </c>
      <c r="K381" s="326" t="s">
        <v>888</v>
      </c>
      <c r="L381" s="1241">
        <v>23174</v>
      </c>
      <c r="M381" s="296"/>
      <c r="N381" s="294"/>
      <c r="O381" s="1357">
        <v>1000</v>
      </c>
      <c r="P381" s="295">
        <v>20</v>
      </c>
      <c r="Q381" s="854">
        <f t="shared" si="61"/>
        <v>20000</v>
      </c>
      <c r="R381" s="299"/>
      <c r="S381" s="298"/>
      <c r="T381" s="298"/>
      <c r="U381" s="298"/>
      <c r="V381" s="298"/>
      <c r="W381" s="298"/>
      <c r="X381" s="1179">
        <v>20000</v>
      </c>
      <c r="Y381" s="1154"/>
      <c r="Z381" s="1152"/>
      <c r="AA381" s="1152"/>
      <c r="AB381" s="1152"/>
      <c r="AC381" s="1152"/>
      <c r="AD381" s="1152"/>
      <c r="AE381" s="1152"/>
      <c r="AF381" s="1152"/>
      <c r="AG381" s="547">
        <f t="shared" si="60"/>
        <v>20000</v>
      </c>
    </row>
    <row r="382" spans="1:33" s="280" customFormat="1" ht="31.5" hidden="1">
      <c r="A382" s="294">
        <v>2233</v>
      </c>
      <c r="B382" s="291" t="s">
        <v>1036</v>
      </c>
      <c r="C382" s="291" t="s">
        <v>894</v>
      </c>
      <c r="D382" s="821"/>
      <c r="E382" s="294">
        <v>2</v>
      </c>
      <c r="F382" s="293" t="s">
        <v>899</v>
      </c>
      <c r="G382" s="293" t="s">
        <v>900</v>
      </c>
      <c r="H382" s="293" t="s">
        <v>895</v>
      </c>
      <c r="I382" s="294" t="s">
        <v>169</v>
      </c>
      <c r="J382" s="307" t="s">
        <v>867</v>
      </c>
      <c r="K382" s="326" t="s">
        <v>896</v>
      </c>
      <c r="L382" s="1241">
        <v>23173</v>
      </c>
      <c r="M382" s="296"/>
      <c r="N382" s="294"/>
      <c r="O382" s="1357">
        <v>1000</v>
      </c>
      <c r="P382" s="295">
        <v>1</v>
      </c>
      <c r="Q382" s="854">
        <f t="shared" si="61"/>
        <v>1000</v>
      </c>
      <c r="R382" s="299"/>
      <c r="S382" s="298"/>
      <c r="T382" s="298"/>
      <c r="U382" s="298"/>
      <c r="V382" s="298"/>
      <c r="W382" s="298"/>
      <c r="X382" s="1179">
        <v>1000</v>
      </c>
      <c r="Y382" s="1154"/>
      <c r="Z382" s="1152"/>
      <c r="AA382" s="1152"/>
      <c r="AB382" s="1152"/>
      <c r="AC382" s="1152"/>
      <c r="AD382" s="1152"/>
      <c r="AE382" s="1152"/>
      <c r="AF382" s="1152"/>
      <c r="AG382" s="547">
        <f t="shared" si="60"/>
        <v>1000</v>
      </c>
    </row>
    <row r="383" spans="1:33" s="280" customFormat="1" ht="42.75" hidden="1" customHeight="1">
      <c r="A383" s="294">
        <v>2233</v>
      </c>
      <c r="B383" s="291" t="s">
        <v>1037</v>
      </c>
      <c r="C383" s="291" t="s">
        <v>901</v>
      </c>
      <c r="D383" s="821"/>
      <c r="E383" s="1363">
        <v>30</v>
      </c>
      <c r="F383" s="293" t="s">
        <v>902</v>
      </c>
      <c r="G383" s="293">
        <v>43359</v>
      </c>
      <c r="H383" s="293" t="s">
        <v>895</v>
      </c>
      <c r="I383" s="294" t="s">
        <v>867</v>
      </c>
      <c r="J383" s="307" t="s">
        <v>169</v>
      </c>
      <c r="K383" s="326" t="s">
        <v>888</v>
      </c>
      <c r="L383" s="1241">
        <v>23174</v>
      </c>
      <c r="M383" s="296"/>
      <c r="N383" s="294"/>
      <c r="O383" s="1357">
        <v>440</v>
      </c>
      <c r="P383" s="295">
        <v>200</v>
      </c>
      <c r="Q383" s="854">
        <f t="shared" si="61"/>
        <v>88000</v>
      </c>
      <c r="R383" s="299"/>
      <c r="S383" s="298"/>
      <c r="T383" s="298"/>
      <c r="U383" s="298"/>
      <c r="V383" s="298"/>
      <c r="W383" s="298"/>
      <c r="X383" s="1179"/>
      <c r="Y383" s="1154">
        <v>88000</v>
      </c>
      <c r="Z383" s="1152"/>
      <c r="AA383" s="1152"/>
      <c r="AB383" s="1152"/>
      <c r="AC383" s="1152"/>
      <c r="AD383" s="1152"/>
      <c r="AE383" s="1152"/>
      <c r="AF383" s="1152"/>
      <c r="AG383" s="547">
        <f t="shared" si="60"/>
        <v>88000</v>
      </c>
    </row>
    <row r="384" spans="1:33" s="280" customFormat="1" ht="31.5">
      <c r="A384" s="2789">
        <v>2234</v>
      </c>
      <c r="B384" s="2864" t="s">
        <v>1038</v>
      </c>
      <c r="C384" s="2790" t="s">
        <v>846</v>
      </c>
      <c r="D384" s="2875"/>
      <c r="E384" s="2865">
        <v>45</v>
      </c>
      <c r="F384" s="2792">
        <v>43200</v>
      </c>
      <c r="G384" s="2792">
        <v>43245</v>
      </c>
      <c r="H384" s="2792" t="s">
        <v>368</v>
      </c>
      <c r="I384" s="2789" t="s">
        <v>174</v>
      </c>
      <c r="J384" s="2793" t="s">
        <v>169</v>
      </c>
      <c r="K384" s="326" t="s">
        <v>847</v>
      </c>
      <c r="L384" s="1241">
        <v>23173</v>
      </c>
      <c r="M384" s="296"/>
      <c r="N384" s="294"/>
      <c r="O384" s="355">
        <v>80</v>
      </c>
      <c r="P384" s="294">
        <v>3</v>
      </c>
      <c r="Q384" s="299">
        <f>O384*P384</f>
        <v>240</v>
      </c>
      <c r="R384" s="299"/>
      <c r="S384" s="298"/>
      <c r="T384" s="298"/>
      <c r="U384" s="298"/>
      <c r="V384" s="294">
        <v>240</v>
      </c>
      <c r="W384" s="298"/>
      <c r="X384" s="1179"/>
      <c r="Y384" s="1154"/>
      <c r="Z384" s="1152"/>
      <c r="AA384" s="1152"/>
      <c r="AB384" s="1152"/>
      <c r="AC384" s="1152"/>
      <c r="AD384" s="1152"/>
      <c r="AE384" s="1152"/>
      <c r="AF384" s="1152"/>
      <c r="AG384" s="547">
        <f t="shared" si="60"/>
        <v>240</v>
      </c>
    </row>
    <row r="385" spans="1:33" s="280" customFormat="1">
      <c r="A385" s="1275">
        <v>224</v>
      </c>
      <c r="B385" s="823" t="s">
        <v>905</v>
      </c>
      <c r="C385" s="1506"/>
      <c r="D385" s="1365"/>
      <c r="E385" s="1365"/>
      <c r="F385" s="1365"/>
      <c r="G385" s="1365"/>
      <c r="H385" s="1365"/>
      <c r="I385" s="1366"/>
      <c r="J385" s="1489"/>
      <c r="K385" s="1001"/>
      <c r="L385" s="1242"/>
      <c r="M385" s="514"/>
      <c r="N385" s="512"/>
      <c r="O385" s="1367"/>
      <c r="P385" s="513"/>
      <c r="Q385" s="2815">
        <f>SUM(Q387:Q388)</f>
        <v>22240</v>
      </c>
      <c r="R385" s="1097"/>
      <c r="S385" s="548">
        <f t="shared" ref="S385:AF385" si="62">SUM(S387:S388)</f>
        <v>0</v>
      </c>
      <c r="T385" s="548">
        <f t="shared" si="62"/>
        <v>0</v>
      </c>
      <c r="U385" s="548">
        <f t="shared" si="62"/>
        <v>240</v>
      </c>
      <c r="V385" s="548">
        <f t="shared" si="62"/>
        <v>0</v>
      </c>
      <c r="W385" s="548">
        <f t="shared" si="62"/>
        <v>0</v>
      </c>
      <c r="X385" s="548">
        <f t="shared" si="62"/>
        <v>11000</v>
      </c>
      <c r="Y385" s="548">
        <f t="shared" si="62"/>
        <v>11000</v>
      </c>
      <c r="Z385" s="548">
        <f t="shared" si="62"/>
        <v>0</v>
      </c>
      <c r="AA385" s="548">
        <f t="shared" si="62"/>
        <v>0</v>
      </c>
      <c r="AB385" s="548">
        <f t="shared" si="62"/>
        <v>0</v>
      </c>
      <c r="AC385" s="548">
        <f t="shared" si="62"/>
        <v>0</v>
      </c>
      <c r="AD385" s="548">
        <f t="shared" si="62"/>
        <v>0</v>
      </c>
      <c r="AE385" s="548">
        <f t="shared" si="62"/>
        <v>0</v>
      </c>
      <c r="AF385" s="548">
        <f t="shared" si="62"/>
        <v>0</v>
      </c>
      <c r="AG385" s="2815">
        <f>SUM(S385:AF385)</f>
        <v>22240</v>
      </c>
    </row>
    <row r="386" spans="1:33" s="280" customFormat="1" ht="33.75" customHeight="1">
      <c r="A386" s="2789">
        <v>2241</v>
      </c>
      <c r="B386" s="2790" t="s">
        <v>906</v>
      </c>
      <c r="C386" s="2790" t="s">
        <v>1104</v>
      </c>
      <c r="D386" s="2875"/>
      <c r="E386" s="2883">
        <v>20</v>
      </c>
      <c r="F386" s="2792">
        <v>43212</v>
      </c>
      <c r="G386" s="2792">
        <v>43231</v>
      </c>
      <c r="H386" s="2792" t="s">
        <v>368</v>
      </c>
      <c r="I386" s="2789" t="s">
        <v>169</v>
      </c>
      <c r="J386" s="2793" t="s">
        <v>174</v>
      </c>
      <c r="K386" s="2886"/>
      <c r="L386" s="2887"/>
      <c r="M386" s="2888"/>
      <c r="N386" s="2889"/>
      <c r="O386" s="2890"/>
      <c r="P386" s="2891"/>
      <c r="Q386" s="2892"/>
      <c r="R386" s="2893"/>
      <c r="S386" s="2894"/>
      <c r="T386" s="2894"/>
      <c r="U386" s="2894"/>
      <c r="V386" s="2895"/>
      <c r="W386" s="2894"/>
      <c r="X386" s="2896"/>
      <c r="Y386" s="2894"/>
      <c r="Z386" s="2894"/>
      <c r="AA386" s="2894"/>
      <c r="AB386" s="2894"/>
      <c r="AC386" s="2894"/>
      <c r="AD386" s="2894"/>
      <c r="AE386" s="2894"/>
      <c r="AF386" s="2894"/>
      <c r="AG386" s="2892"/>
    </row>
    <row r="387" spans="1:33" s="280" customFormat="1" hidden="1">
      <c r="A387" s="294">
        <v>2241</v>
      </c>
      <c r="B387" s="291" t="s">
        <v>906</v>
      </c>
      <c r="C387" s="291" t="s">
        <v>907</v>
      </c>
      <c r="D387" s="821"/>
      <c r="E387" s="1363">
        <v>20</v>
      </c>
      <c r="F387" s="293">
        <v>43212</v>
      </c>
      <c r="G387" s="293">
        <v>43231</v>
      </c>
      <c r="H387" s="293" t="s">
        <v>368</v>
      </c>
      <c r="I387" s="294" t="s">
        <v>169</v>
      </c>
      <c r="J387" s="307" t="s">
        <v>174</v>
      </c>
      <c r="K387" s="326" t="s">
        <v>847</v>
      </c>
      <c r="L387" s="1241">
        <v>23173</v>
      </c>
      <c r="M387" s="296"/>
      <c r="N387" s="294"/>
      <c r="O387" s="1357">
        <v>80</v>
      </c>
      <c r="P387" s="295">
        <v>3</v>
      </c>
      <c r="Q387" s="854">
        <f>O387*P387</f>
        <v>240</v>
      </c>
      <c r="R387" s="299"/>
      <c r="S387" s="298"/>
      <c r="T387" s="298"/>
      <c r="U387" s="298">
        <v>240</v>
      </c>
      <c r="V387" s="315"/>
      <c r="W387" s="298"/>
      <c r="X387" s="1179"/>
      <c r="Y387" s="1154"/>
      <c r="Z387" s="1152"/>
      <c r="AA387" s="1152"/>
      <c r="AB387" s="1152"/>
      <c r="AC387" s="1152"/>
      <c r="AD387" s="1152"/>
      <c r="AE387" s="1152"/>
      <c r="AF387" s="1152"/>
      <c r="AG387" s="547">
        <f>SUM(S387:AF387)</f>
        <v>240</v>
      </c>
    </row>
    <row r="388" spans="1:33" s="280" customFormat="1" ht="31.5" hidden="1">
      <c r="A388" s="294">
        <v>2241</v>
      </c>
      <c r="B388" s="291" t="s">
        <v>906</v>
      </c>
      <c r="C388" s="291" t="s">
        <v>908</v>
      </c>
      <c r="D388" s="821"/>
      <c r="E388" s="1363">
        <v>115</v>
      </c>
      <c r="F388" s="293">
        <v>43232</v>
      </c>
      <c r="G388" s="293">
        <v>43346</v>
      </c>
      <c r="H388" s="293" t="s">
        <v>368</v>
      </c>
      <c r="I388" s="294" t="s">
        <v>174</v>
      </c>
      <c r="J388" s="307" t="s">
        <v>169</v>
      </c>
      <c r="K388" s="326" t="s">
        <v>365</v>
      </c>
      <c r="L388" s="1237">
        <v>2313</v>
      </c>
      <c r="M388" s="296"/>
      <c r="N388" s="294"/>
      <c r="O388" s="1357">
        <v>22000</v>
      </c>
      <c r="P388" s="295">
        <v>1</v>
      </c>
      <c r="Q388" s="854">
        <f>O388*P388</f>
        <v>22000</v>
      </c>
      <c r="R388" s="299"/>
      <c r="S388" s="298"/>
      <c r="T388" s="298"/>
      <c r="U388" s="298"/>
      <c r="V388" s="298"/>
      <c r="W388" s="298"/>
      <c r="X388" s="1179">
        <v>11000</v>
      </c>
      <c r="Y388" s="1154">
        <v>11000</v>
      </c>
      <c r="Z388" s="1152"/>
      <c r="AA388" s="1152"/>
      <c r="AB388" s="1152"/>
      <c r="AC388" s="1152"/>
      <c r="AD388" s="1152"/>
      <c r="AE388" s="1152"/>
      <c r="AF388" s="1152"/>
      <c r="AG388" s="547">
        <f>SUM(S388:AF388)</f>
        <v>22000</v>
      </c>
    </row>
    <row r="389" spans="1:33" ht="37.5" customHeight="1">
      <c r="A389" s="1248" t="s">
        <v>240</v>
      </c>
      <c r="B389" s="274"/>
      <c r="C389" s="278"/>
      <c r="D389" s="1270"/>
      <c r="E389" s="1270"/>
      <c r="F389" s="1270"/>
      <c r="G389" s="1270"/>
      <c r="H389" s="1270"/>
      <c r="I389" s="1270"/>
      <c r="J389" s="273"/>
      <c r="K389" s="1248"/>
      <c r="L389" s="1269"/>
      <c r="M389" s="1270"/>
      <c r="N389" s="1268"/>
      <c r="O389" s="1271"/>
      <c r="P389" s="1268"/>
      <c r="Q389" s="1273">
        <f>Q390+Q393+Q398+Q401+Q403</f>
        <v>88428.093760000003</v>
      </c>
      <c r="R389" s="1273">
        <v>88428.09</v>
      </c>
      <c r="S389" s="1272">
        <f t="shared" ref="S389:AF389" si="63">S390+S393+S398+S401+S403</f>
        <v>0</v>
      </c>
      <c r="T389" s="1272">
        <f t="shared" si="63"/>
        <v>0</v>
      </c>
      <c r="U389" s="1272">
        <f t="shared" si="63"/>
        <v>55613.093760000011</v>
      </c>
      <c r="V389" s="1272">
        <f t="shared" si="63"/>
        <v>32815</v>
      </c>
      <c r="W389" s="1272">
        <f t="shared" si="63"/>
        <v>0</v>
      </c>
      <c r="X389" s="1272">
        <f t="shared" si="63"/>
        <v>0</v>
      </c>
      <c r="Y389" s="1272">
        <f t="shared" si="63"/>
        <v>0</v>
      </c>
      <c r="Z389" s="276">
        <f t="shared" si="63"/>
        <v>0</v>
      </c>
      <c r="AA389" s="276">
        <f t="shared" si="63"/>
        <v>0</v>
      </c>
      <c r="AB389" s="276">
        <f t="shared" si="63"/>
        <v>0</v>
      </c>
      <c r="AC389" s="276">
        <f t="shared" si="63"/>
        <v>0</v>
      </c>
      <c r="AD389" s="276">
        <f t="shared" si="63"/>
        <v>0</v>
      </c>
      <c r="AE389" s="276">
        <f t="shared" si="63"/>
        <v>0</v>
      </c>
      <c r="AF389" s="276">
        <f t="shared" si="63"/>
        <v>0</v>
      </c>
      <c r="AG389" s="1273">
        <f>AG390+AG393+AG398+AG401+AG403</f>
        <v>88428.093760000003</v>
      </c>
    </row>
    <row r="390" spans="1:33" ht="16.5" customHeight="1">
      <c r="A390" s="1275">
        <v>231</v>
      </c>
      <c r="B390" s="359" t="s">
        <v>511</v>
      </c>
      <c r="C390" s="1021"/>
      <c r="D390" s="1280"/>
      <c r="E390" s="1280"/>
      <c r="F390" s="1280"/>
      <c r="G390" s="1280"/>
      <c r="H390" s="1280"/>
      <c r="I390" s="1280"/>
      <c r="J390" s="283"/>
      <c r="K390" s="1278"/>
      <c r="L390" s="1279"/>
      <c r="M390" s="1280"/>
      <c r="N390" s="1277"/>
      <c r="O390" s="1281"/>
      <c r="P390" s="1277"/>
      <c r="Q390" s="547">
        <f>SUM(Q391:Q392)</f>
        <v>45378.293760000008</v>
      </c>
      <c r="R390" s="287"/>
      <c r="S390" s="1282">
        <f t="shared" ref="S390:AF390" si="64">SUM(S391:S392)</f>
        <v>0</v>
      </c>
      <c r="T390" s="1282">
        <f t="shared" si="64"/>
        <v>0</v>
      </c>
      <c r="U390" s="1282">
        <f t="shared" si="64"/>
        <v>45378.293760000008</v>
      </c>
      <c r="V390" s="1282">
        <f t="shared" si="64"/>
        <v>0</v>
      </c>
      <c r="W390" s="1282">
        <f t="shared" si="64"/>
        <v>0</v>
      </c>
      <c r="X390" s="1282">
        <f t="shared" si="64"/>
        <v>0</v>
      </c>
      <c r="Y390" s="1282">
        <f t="shared" si="64"/>
        <v>0</v>
      </c>
      <c r="Z390" s="546">
        <f t="shared" si="64"/>
        <v>0</v>
      </c>
      <c r="AA390" s="546">
        <f t="shared" si="64"/>
        <v>0</v>
      </c>
      <c r="AB390" s="546">
        <f t="shared" si="64"/>
        <v>0</v>
      </c>
      <c r="AC390" s="546">
        <f t="shared" si="64"/>
        <v>0</v>
      </c>
      <c r="AD390" s="546">
        <f t="shared" si="64"/>
        <v>0</v>
      </c>
      <c r="AE390" s="546">
        <f t="shared" si="64"/>
        <v>0</v>
      </c>
      <c r="AF390" s="546">
        <f t="shared" si="64"/>
        <v>0</v>
      </c>
      <c r="AG390" s="547">
        <f>SUM(S390:AF390)</f>
        <v>45378.293760000008</v>
      </c>
    </row>
    <row r="391" spans="1:33" ht="31.5">
      <c r="A391" s="2789">
        <v>2311</v>
      </c>
      <c r="B391" s="2897" t="s">
        <v>512</v>
      </c>
      <c r="C391" s="2897" t="s">
        <v>513</v>
      </c>
      <c r="D391" s="2898" t="s">
        <v>514</v>
      </c>
      <c r="E391" s="2898">
        <v>150</v>
      </c>
      <c r="F391" s="2899">
        <v>43193</v>
      </c>
      <c r="G391" s="2899">
        <f>E391+F391</f>
        <v>43343</v>
      </c>
      <c r="H391" s="2898" t="s">
        <v>515</v>
      </c>
      <c r="I391" s="2898" t="s">
        <v>516</v>
      </c>
      <c r="J391" s="2900" t="s">
        <v>517</v>
      </c>
      <c r="K391" s="1369" t="s">
        <v>518</v>
      </c>
      <c r="L391" s="1244">
        <v>23173</v>
      </c>
      <c r="M391" s="506"/>
      <c r="N391" s="506" t="s">
        <v>366</v>
      </c>
      <c r="O391" s="517">
        <v>0.12</v>
      </c>
      <c r="P391" s="486">
        <v>52301.824000000001</v>
      </c>
      <c r="Q391" s="486">
        <f>O391*P391</f>
        <v>6276.2188799999994</v>
      </c>
      <c r="R391" s="486"/>
      <c r="S391" s="487"/>
      <c r="T391" s="488"/>
      <c r="U391" s="487">
        <v>6276.2188799999994</v>
      </c>
      <c r="V391" s="487"/>
      <c r="W391" s="487"/>
      <c r="X391" s="1138"/>
      <c r="Y391" s="1156"/>
      <c r="Z391" s="1124"/>
      <c r="AA391" s="1124"/>
      <c r="AB391" s="1124"/>
      <c r="AC391" s="1124"/>
      <c r="AD391" s="1124"/>
      <c r="AE391" s="1124"/>
      <c r="AF391" s="1124"/>
      <c r="AG391" s="547">
        <f>SUM(S391:AF391)</f>
        <v>6276.2188799999994</v>
      </c>
    </row>
    <row r="392" spans="1:33" ht="31.5">
      <c r="A392" s="2789">
        <v>2312</v>
      </c>
      <c r="B392" s="2897" t="s">
        <v>519</v>
      </c>
      <c r="C392" s="2897" t="s">
        <v>520</v>
      </c>
      <c r="D392" s="2898" t="s">
        <v>514</v>
      </c>
      <c r="E392" s="2898">
        <v>150</v>
      </c>
      <c r="F392" s="2899">
        <v>43193</v>
      </c>
      <c r="G392" s="2899">
        <f>E392+F392</f>
        <v>43343</v>
      </c>
      <c r="H392" s="2898" t="s">
        <v>515</v>
      </c>
      <c r="I392" s="2898" t="s">
        <v>516</v>
      </c>
      <c r="J392" s="2900" t="s">
        <v>517</v>
      </c>
      <c r="K392" s="1369" t="s">
        <v>521</v>
      </c>
      <c r="L392" s="1244">
        <v>23173</v>
      </c>
      <c r="M392" s="1370"/>
      <c r="N392" s="506" t="s">
        <v>366</v>
      </c>
      <c r="O392" s="1371">
        <v>0.11</v>
      </c>
      <c r="P392" s="1372">
        <v>355473.40800000005</v>
      </c>
      <c r="Q392" s="486">
        <f>O392*P392</f>
        <v>39102.074880000007</v>
      </c>
      <c r="R392" s="486"/>
      <c r="S392" s="487"/>
      <c r="T392" s="488"/>
      <c r="U392" s="487">
        <v>39102.074880000007</v>
      </c>
      <c r="V392" s="487"/>
      <c r="W392" s="487"/>
      <c r="X392" s="1138"/>
      <c r="Y392" s="1156"/>
      <c r="Z392" s="1124"/>
      <c r="AA392" s="1124"/>
      <c r="AB392" s="1124"/>
      <c r="AC392" s="1124"/>
      <c r="AD392" s="1124"/>
      <c r="AE392" s="1124"/>
      <c r="AF392" s="1124"/>
      <c r="AG392" s="547">
        <f>SUM(S392:AF392)</f>
        <v>39102.074880000007</v>
      </c>
    </row>
    <row r="393" spans="1:33" ht="31.5">
      <c r="A393" s="1275">
        <v>232</v>
      </c>
      <c r="B393" s="981" t="s">
        <v>522</v>
      </c>
      <c r="C393" s="1507"/>
      <c r="D393" s="1280"/>
      <c r="E393" s="1277"/>
      <c r="F393" s="1277"/>
      <c r="G393" s="1277"/>
      <c r="H393" s="1280"/>
      <c r="I393" s="1277"/>
      <c r="J393" s="283"/>
      <c r="K393" s="1278"/>
      <c r="L393" s="1279"/>
      <c r="M393" s="1280"/>
      <c r="N393" s="1277"/>
      <c r="O393" s="1281"/>
      <c r="P393" s="1277"/>
      <c r="Q393" s="547">
        <f>SUM(Q394:Q397)</f>
        <v>32475</v>
      </c>
      <c r="R393" s="287"/>
      <c r="S393" s="1282">
        <f t="shared" ref="S393:AF393" si="65">SUM(S394:S397)</f>
        <v>0</v>
      </c>
      <c r="T393" s="1282">
        <f t="shared" si="65"/>
        <v>0</v>
      </c>
      <c r="U393" s="1282">
        <f t="shared" si="65"/>
        <v>0</v>
      </c>
      <c r="V393" s="1282">
        <f t="shared" si="65"/>
        <v>32475</v>
      </c>
      <c r="W393" s="1282">
        <f t="shared" si="65"/>
        <v>0</v>
      </c>
      <c r="X393" s="1282">
        <f t="shared" si="65"/>
        <v>0</v>
      </c>
      <c r="Y393" s="1282">
        <f t="shared" si="65"/>
        <v>0</v>
      </c>
      <c r="Z393" s="546">
        <f t="shared" si="65"/>
        <v>0</v>
      </c>
      <c r="AA393" s="546">
        <f t="shared" si="65"/>
        <v>0</v>
      </c>
      <c r="AB393" s="546">
        <f t="shared" si="65"/>
        <v>0</v>
      </c>
      <c r="AC393" s="546">
        <f t="shared" si="65"/>
        <v>0</v>
      </c>
      <c r="AD393" s="546">
        <f t="shared" si="65"/>
        <v>0</v>
      </c>
      <c r="AE393" s="546">
        <f t="shared" si="65"/>
        <v>0</v>
      </c>
      <c r="AF393" s="546">
        <f t="shared" si="65"/>
        <v>0</v>
      </c>
      <c r="AG393" s="547">
        <f>SUM(S393:AF393)</f>
        <v>32475</v>
      </c>
    </row>
    <row r="394" spans="1:33" ht="69" customHeight="1">
      <c r="A394" s="2789">
        <v>2321</v>
      </c>
      <c r="B394" s="2897" t="s">
        <v>523</v>
      </c>
      <c r="C394" s="2897" t="s">
        <v>524</v>
      </c>
      <c r="D394" s="2898" t="s">
        <v>514</v>
      </c>
      <c r="E394" s="2898">
        <v>56</v>
      </c>
      <c r="F394" s="2899">
        <v>43210</v>
      </c>
      <c r="G394" s="2899">
        <f>E394+F394</f>
        <v>43266</v>
      </c>
      <c r="H394" s="2898" t="s">
        <v>525</v>
      </c>
      <c r="I394" s="2898" t="s">
        <v>526</v>
      </c>
      <c r="J394" s="2900" t="s">
        <v>526</v>
      </c>
      <c r="K394" s="1373" t="s">
        <v>527</v>
      </c>
      <c r="L394" s="1244">
        <v>23174</v>
      </c>
      <c r="M394" s="1370"/>
      <c r="N394" s="506" t="s">
        <v>366</v>
      </c>
      <c r="O394" s="1371">
        <v>2104</v>
      </c>
      <c r="P394" s="506">
        <v>12</v>
      </c>
      <c r="Q394" s="486">
        <f>O394*P394</f>
        <v>25248</v>
      </c>
      <c r="R394" s="486"/>
      <c r="S394" s="487"/>
      <c r="T394" s="487"/>
      <c r="U394" s="487"/>
      <c r="V394" s="488">
        <v>25248</v>
      </c>
      <c r="W394" s="487"/>
      <c r="X394" s="1138"/>
      <c r="Y394" s="1156"/>
      <c r="Z394" s="1124"/>
      <c r="AA394" s="1124"/>
      <c r="AB394" s="1124"/>
      <c r="AC394" s="1124"/>
      <c r="AD394" s="1124"/>
      <c r="AE394" s="1124"/>
      <c r="AF394" s="1124"/>
      <c r="AG394" s="547">
        <f>SUM(S394:AF394)</f>
        <v>25248</v>
      </c>
    </row>
    <row r="395" spans="1:33" ht="69" customHeight="1">
      <c r="A395" s="2789">
        <v>2322</v>
      </c>
      <c r="B395" s="2897" t="s">
        <v>523</v>
      </c>
      <c r="C395" s="2897" t="s">
        <v>528</v>
      </c>
      <c r="D395" s="2898" t="s">
        <v>514</v>
      </c>
      <c r="E395" s="2898">
        <v>56</v>
      </c>
      <c r="F395" s="2899">
        <v>43210</v>
      </c>
      <c r="G395" s="2899">
        <f>E395+F395</f>
        <v>43266</v>
      </c>
      <c r="H395" s="2898" t="s">
        <v>529</v>
      </c>
      <c r="I395" s="2898" t="s">
        <v>526</v>
      </c>
      <c r="J395" s="2900" t="s">
        <v>295</v>
      </c>
      <c r="K395" s="2901"/>
      <c r="L395" s="2786"/>
      <c r="M395" s="2736"/>
      <c r="N395" s="2737"/>
      <c r="O395" s="2738"/>
      <c r="P395" s="2737"/>
      <c r="Q395" s="2787"/>
      <c r="R395" s="2787"/>
      <c r="S395" s="1156"/>
      <c r="T395" s="1156"/>
      <c r="U395" s="1156"/>
      <c r="V395" s="1568"/>
      <c r="W395" s="1156"/>
      <c r="X395" s="2902"/>
      <c r="Y395" s="1156"/>
      <c r="Z395" s="1124"/>
      <c r="AA395" s="1124"/>
      <c r="AB395" s="1124"/>
      <c r="AC395" s="1124"/>
      <c r="AD395" s="1124"/>
      <c r="AE395" s="1124"/>
      <c r="AF395" s="1124"/>
      <c r="AG395" s="2355"/>
    </row>
    <row r="396" spans="1:33" ht="47.25" hidden="1">
      <c r="A396" s="294">
        <v>2322</v>
      </c>
      <c r="B396" s="481" t="s">
        <v>523</v>
      </c>
      <c r="C396" s="1084" t="s">
        <v>528</v>
      </c>
      <c r="D396" s="506" t="s">
        <v>514</v>
      </c>
      <c r="E396" s="506">
        <v>56</v>
      </c>
      <c r="F396" s="1368">
        <v>43210</v>
      </c>
      <c r="G396" s="1368">
        <f>E396+F396</f>
        <v>43266</v>
      </c>
      <c r="H396" s="506" t="s">
        <v>529</v>
      </c>
      <c r="I396" s="506" t="s">
        <v>526</v>
      </c>
      <c r="J396" s="482" t="s">
        <v>295</v>
      </c>
      <c r="K396" s="1373" t="s">
        <v>530</v>
      </c>
      <c r="L396" s="1244">
        <v>23174</v>
      </c>
      <c r="M396" s="1370"/>
      <c r="N396" s="506" t="s">
        <v>366</v>
      </c>
      <c r="O396" s="1371">
        <v>6440</v>
      </c>
      <c r="P396" s="506">
        <v>1</v>
      </c>
      <c r="Q396" s="486">
        <f>O396*P396</f>
        <v>6440</v>
      </c>
      <c r="R396" s="486"/>
      <c r="S396" s="487"/>
      <c r="T396" s="487"/>
      <c r="U396" s="487"/>
      <c r="V396" s="488">
        <v>6440</v>
      </c>
      <c r="W396" s="487"/>
      <c r="X396" s="1138"/>
      <c r="Y396" s="1156"/>
      <c r="Z396" s="1124"/>
      <c r="AA396" s="1124"/>
      <c r="AB396" s="1124"/>
      <c r="AC396" s="1124"/>
      <c r="AD396" s="1124"/>
      <c r="AE396" s="1124"/>
      <c r="AF396" s="1124"/>
      <c r="AG396" s="547">
        <f t="shared" ref="AG396:AG404" si="66">SUM(S396:AF396)</f>
        <v>6440</v>
      </c>
    </row>
    <row r="397" spans="1:33" ht="47.25" hidden="1">
      <c r="A397" s="294">
        <v>2322</v>
      </c>
      <c r="B397" s="481" t="s">
        <v>523</v>
      </c>
      <c r="C397" s="1084" t="s">
        <v>531</v>
      </c>
      <c r="D397" s="506" t="s">
        <v>514</v>
      </c>
      <c r="E397" s="506">
        <v>56</v>
      </c>
      <c r="F397" s="1368">
        <v>43210</v>
      </c>
      <c r="G397" s="1368">
        <f>E397+F397</f>
        <v>43266</v>
      </c>
      <c r="H397" s="506" t="s">
        <v>529</v>
      </c>
      <c r="I397" s="506" t="s">
        <v>526</v>
      </c>
      <c r="J397" s="482" t="s">
        <v>532</v>
      </c>
      <c r="K397" s="1373" t="s">
        <v>533</v>
      </c>
      <c r="L397" s="1244">
        <v>23172</v>
      </c>
      <c r="M397" s="1370"/>
      <c r="N397" s="506" t="s">
        <v>366</v>
      </c>
      <c r="O397" s="1371">
        <v>787</v>
      </c>
      <c r="P397" s="506">
        <v>1</v>
      </c>
      <c r="Q397" s="486">
        <f>O397*P397</f>
        <v>787</v>
      </c>
      <c r="R397" s="486"/>
      <c r="S397" s="487"/>
      <c r="T397" s="487"/>
      <c r="U397" s="487"/>
      <c r="V397" s="488">
        <v>787</v>
      </c>
      <c r="W397" s="487"/>
      <c r="X397" s="1138"/>
      <c r="Y397" s="1156"/>
      <c r="Z397" s="1124"/>
      <c r="AA397" s="1124"/>
      <c r="AB397" s="1124"/>
      <c r="AC397" s="1124"/>
      <c r="AD397" s="1124"/>
      <c r="AE397" s="1124"/>
      <c r="AF397" s="1124"/>
      <c r="AG397" s="547">
        <f t="shared" si="66"/>
        <v>787</v>
      </c>
    </row>
    <row r="398" spans="1:33" ht="16.5" customHeight="1">
      <c r="A398" s="1275">
        <v>233</v>
      </c>
      <c r="B398" s="981" t="s">
        <v>534</v>
      </c>
      <c r="C398" s="1507"/>
      <c r="D398" s="1277"/>
      <c r="E398" s="1277"/>
      <c r="F398" s="1277"/>
      <c r="G398" s="1277"/>
      <c r="H398" s="1280"/>
      <c r="I398" s="1277"/>
      <c r="J398" s="283"/>
      <c r="K398" s="1278"/>
      <c r="L398" s="1279"/>
      <c r="M398" s="1280"/>
      <c r="N398" s="1277"/>
      <c r="O398" s="1281"/>
      <c r="P398" s="1277"/>
      <c r="Q398" s="547">
        <f>SUM(Q399:Q400)</f>
        <v>3957.8</v>
      </c>
      <c r="R398" s="287"/>
      <c r="S398" s="1282">
        <f t="shared" ref="S398:AF398" si="67">SUM(S399:S400)</f>
        <v>0</v>
      </c>
      <c r="T398" s="1282">
        <f t="shared" si="67"/>
        <v>0</v>
      </c>
      <c r="U398" s="1282">
        <f t="shared" si="67"/>
        <v>3957.8</v>
      </c>
      <c r="V398" s="1282">
        <f t="shared" si="67"/>
        <v>0</v>
      </c>
      <c r="W398" s="1282">
        <f t="shared" si="67"/>
        <v>0</v>
      </c>
      <c r="X398" s="1282">
        <f t="shared" si="67"/>
        <v>0</v>
      </c>
      <c r="Y398" s="1282">
        <f t="shared" si="67"/>
        <v>0</v>
      </c>
      <c r="Z398" s="546">
        <f t="shared" si="67"/>
        <v>0</v>
      </c>
      <c r="AA398" s="546">
        <f t="shared" si="67"/>
        <v>0</v>
      </c>
      <c r="AB398" s="546">
        <f t="shared" si="67"/>
        <v>0</v>
      </c>
      <c r="AC398" s="546">
        <f t="shared" si="67"/>
        <v>0</v>
      </c>
      <c r="AD398" s="546">
        <f t="shared" si="67"/>
        <v>0</v>
      </c>
      <c r="AE398" s="546">
        <f t="shared" si="67"/>
        <v>0</v>
      </c>
      <c r="AF398" s="546">
        <f t="shared" si="67"/>
        <v>0</v>
      </c>
      <c r="AG398" s="547">
        <f t="shared" si="66"/>
        <v>3957.8</v>
      </c>
    </row>
    <row r="399" spans="1:33" ht="25.5" customHeight="1">
      <c r="A399" s="2789">
        <v>2331</v>
      </c>
      <c r="B399" s="2897" t="s">
        <v>535</v>
      </c>
      <c r="C399" s="2897" t="s">
        <v>536</v>
      </c>
      <c r="D399" s="2898" t="s">
        <v>514</v>
      </c>
      <c r="E399" s="2898">
        <v>6</v>
      </c>
      <c r="F399" s="2903">
        <v>43233</v>
      </c>
      <c r="G399" s="2899">
        <f>E399+F399</f>
        <v>43239</v>
      </c>
      <c r="H399" s="2898" t="s">
        <v>525</v>
      </c>
      <c r="I399" s="2904" t="s">
        <v>526</v>
      </c>
      <c r="J399" s="2905" t="s">
        <v>537</v>
      </c>
      <c r="K399" s="1373" t="s">
        <v>527</v>
      </c>
      <c r="L399" s="1244">
        <v>23174</v>
      </c>
      <c r="M399" s="1376"/>
      <c r="N399" s="506" t="s">
        <v>366</v>
      </c>
      <c r="O399" s="1371">
        <v>3477.8</v>
      </c>
      <c r="P399" s="506">
        <v>1</v>
      </c>
      <c r="Q399" s="486">
        <f>O399*P399</f>
        <v>3477.8</v>
      </c>
      <c r="R399" s="486"/>
      <c r="S399" s="487"/>
      <c r="T399" s="487"/>
      <c r="U399" s="488">
        <v>3477.8</v>
      </c>
      <c r="V399" s="487"/>
      <c r="W399" s="487"/>
      <c r="X399" s="1138"/>
      <c r="Y399" s="1156"/>
      <c r="Z399" s="1156"/>
      <c r="AA399" s="1156"/>
      <c r="AB399" s="1156"/>
      <c r="AC399" s="1156"/>
      <c r="AD399" s="1156"/>
      <c r="AE399" s="1156"/>
      <c r="AF399" s="1156"/>
      <c r="AG399" s="547">
        <f t="shared" si="66"/>
        <v>3477.8</v>
      </c>
    </row>
    <row r="400" spans="1:33" ht="33" customHeight="1">
      <c r="A400" s="2789">
        <v>2332</v>
      </c>
      <c r="B400" s="2897" t="s">
        <v>535</v>
      </c>
      <c r="C400" s="2897" t="s">
        <v>536</v>
      </c>
      <c r="D400" s="2898" t="s">
        <v>514</v>
      </c>
      <c r="E400" s="2898">
        <v>4</v>
      </c>
      <c r="F400" s="2903">
        <v>43234</v>
      </c>
      <c r="G400" s="2899">
        <f>E400+F400</f>
        <v>43238</v>
      </c>
      <c r="H400" s="2898" t="s">
        <v>525</v>
      </c>
      <c r="I400" s="2904" t="s">
        <v>526</v>
      </c>
      <c r="J400" s="2906" t="s">
        <v>537</v>
      </c>
      <c r="K400" s="1705" t="s">
        <v>538</v>
      </c>
      <c r="L400" s="2267">
        <v>23172</v>
      </c>
      <c r="M400" s="1370"/>
      <c r="N400" s="506" t="s">
        <v>366</v>
      </c>
      <c r="O400" s="1371">
        <v>480</v>
      </c>
      <c r="P400" s="506">
        <v>1</v>
      </c>
      <c r="Q400" s="486">
        <f>O400*P400</f>
        <v>480</v>
      </c>
      <c r="R400" s="486"/>
      <c r="S400" s="487"/>
      <c r="T400" s="487"/>
      <c r="U400" s="488">
        <v>480</v>
      </c>
      <c r="V400" s="487"/>
      <c r="W400" s="487"/>
      <c r="X400" s="1138"/>
      <c r="Y400" s="1156"/>
      <c r="Z400" s="1156"/>
      <c r="AA400" s="1156"/>
      <c r="AB400" s="1156"/>
      <c r="AC400" s="1156"/>
      <c r="AD400" s="1156"/>
      <c r="AE400" s="1156"/>
      <c r="AF400" s="1156"/>
      <c r="AG400" s="547">
        <f t="shared" si="66"/>
        <v>480</v>
      </c>
    </row>
    <row r="401" spans="1:33" ht="35.25" customHeight="1">
      <c r="A401" s="1275">
        <v>234</v>
      </c>
      <c r="B401" s="981" t="s">
        <v>539</v>
      </c>
      <c r="C401" s="1507"/>
      <c r="D401" s="1280"/>
      <c r="E401" s="1277"/>
      <c r="F401" s="1277"/>
      <c r="G401" s="1277"/>
      <c r="H401" s="1280"/>
      <c r="I401" s="1277"/>
      <c r="J401" s="283"/>
      <c r="K401" s="2181"/>
      <c r="L401" s="1279"/>
      <c r="M401" s="1280"/>
      <c r="N401" s="1277"/>
      <c r="O401" s="1281"/>
      <c r="P401" s="1277"/>
      <c r="Q401" s="547">
        <f>SUM(Q402)</f>
        <v>6277</v>
      </c>
      <c r="R401" s="287"/>
      <c r="S401" s="1282">
        <f t="shared" ref="S401:AF401" si="68">SUM(S402)</f>
        <v>0</v>
      </c>
      <c r="T401" s="1282">
        <f t="shared" si="68"/>
        <v>0</v>
      </c>
      <c r="U401" s="1282">
        <f t="shared" si="68"/>
        <v>6277</v>
      </c>
      <c r="V401" s="1282">
        <f t="shared" si="68"/>
        <v>0</v>
      </c>
      <c r="W401" s="1282">
        <f t="shared" si="68"/>
        <v>0</v>
      </c>
      <c r="X401" s="1282">
        <f t="shared" si="68"/>
        <v>0</v>
      </c>
      <c r="Y401" s="1282">
        <f t="shared" si="68"/>
        <v>0</v>
      </c>
      <c r="Z401" s="546">
        <f t="shared" si="68"/>
        <v>0</v>
      </c>
      <c r="AA401" s="546">
        <f t="shared" si="68"/>
        <v>0</v>
      </c>
      <c r="AB401" s="546">
        <f t="shared" si="68"/>
        <v>0</v>
      </c>
      <c r="AC401" s="546">
        <f t="shared" si="68"/>
        <v>0</v>
      </c>
      <c r="AD401" s="546">
        <f t="shared" si="68"/>
        <v>0</v>
      </c>
      <c r="AE401" s="546">
        <f t="shared" si="68"/>
        <v>0</v>
      </c>
      <c r="AF401" s="546">
        <f t="shared" si="68"/>
        <v>0</v>
      </c>
      <c r="AG401" s="547">
        <f t="shared" si="66"/>
        <v>6277</v>
      </c>
    </row>
    <row r="402" spans="1:33" ht="47.25">
      <c r="A402" s="2907">
        <v>2341</v>
      </c>
      <c r="B402" s="2908" t="s">
        <v>540</v>
      </c>
      <c r="C402" s="2908" t="s">
        <v>541</v>
      </c>
      <c r="D402" s="2904" t="s">
        <v>542</v>
      </c>
      <c r="E402" s="2904">
        <v>135</v>
      </c>
      <c r="F402" s="2903">
        <v>43193</v>
      </c>
      <c r="G402" s="2903">
        <f>E402+F402</f>
        <v>43328</v>
      </c>
      <c r="H402" s="2904" t="s">
        <v>525</v>
      </c>
      <c r="I402" s="2904" t="s">
        <v>169</v>
      </c>
      <c r="J402" s="2900" t="s">
        <v>526</v>
      </c>
      <c r="K402" s="1373" t="s">
        <v>543</v>
      </c>
      <c r="L402" s="1244">
        <v>2463</v>
      </c>
      <c r="M402" s="1370"/>
      <c r="N402" s="506" t="s">
        <v>366</v>
      </c>
      <c r="O402" s="1371">
        <v>6277</v>
      </c>
      <c r="P402" s="569">
        <v>1</v>
      </c>
      <c r="Q402" s="486">
        <f>O402*P402</f>
        <v>6277</v>
      </c>
      <c r="R402" s="486"/>
      <c r="S402" s="487"/>
      <c r="T402" s="488"/>
      <c r="U402" s="487">
        <v>6277</v>
      </c>
      <c r="V402" s="487"/>
      <c r="W402" s="487"/>
      <c r="X402" s="1138"/>
      <c r="Y402" s="1156"/>
      <c r="Z402" s="1156"/>
      <c r="AA402" s="1156"/>
      <c r="AB402" s="1156"/>
      <c r="AC402" s="1156"/>
      <c r="AD402" s="1156"/>
      <c r="AE402" s="1156"/>
      <c r="AF402" s="1156"/>
      <c r="AG402" s="547">
        <f t="shared" si="66"/>
        <v>6277</v>
      </c>
    </row>
    <row r="403" spans="1:33">
      <c r="A403" s="1275">
        <v>235</v>
      </c>
      <c r="B403" s="981" t="s">
        <v>544</v>
      </c>
      <c r="C403" s="1508"/>
      <c r="D403" s="822"/>
      <c r="E403" s="1275"/>
      <c r="F403" s="511"/>
      <c r="G403" s="511"/>
      <c r="H403" s="511"/>
      <c r="I403" s="512"/>
      <c r="J403" s="1490"/>
      <c r="K403" s="1001"/>
      <c r="L403" s="1243"/>
      <c r="M403" s="1001"/>
      <c r="N403" s="512"/>
      <c r="O403" s="1002"/>
      <c r="P403" s="512"/>
      <c r="Q403" s="2816">
        <f>SUM(Q404)</f>
        <v>340</v>
      </c>
      <c r="R403" s="287"/>
      <c r="S403" s="1109">
        <f t="shared" ref="S403:AF403" si="69">SUM(S404)</f>
        <v>0</v>
      </c>
      <c r="T403" s="1109">
        <f t="shared" si="69"/>
        <v>0</v>
      </c>
      <c r="U403" s="1109">
        <f t="shared" si="69"/>
        <v>0</v>
      </c>
      <c r="V403" s="1109">
        <f t="shared" si="69"/>
        <v>340</v>
      </c>
      <c r="W403" s="1109">
        <f t="shared" si="69"/>
        <v>0</v>
      </c>
      <c r="X403" s="1109">
        <f t="shared" si="69"/>
        <v>0</v>
      </c>
      <c r="Y403" s="1109">
        <f t="shared" si="69"/>
        <v>0</v>
      </c>
      <c r="Z403" s="1109">
        <f t="shared" si="69"/>
        <v>0</v>
      </c>
      <c r="AA403" s="1109">
        <f t="shared" si="69"/>
        <v>0</v>
      </c>
      <c r="AB403" s="1109">
        <f t="shared" si="69"/>
        <v>0</v>
      </c>
      <c r="AC403" s="1109">
        <f t="shared" si="69"/>
        <v>0</v>
      </c>
      <c r="AD403" s="1109">
        <f t="shared" si="69"/>
        <v>0</v>
      </c>
      <c r="AE403" s="1109">
        <f t="shared" si="69"/>
        <v>0</v>
      </c>
      <c r="AF403" s="1109">
        <f t="shared" si="69"/>
        <v>0</v>
      </c>
      <c r="AG403" s="547">
        <f t="shared" si="66"/>
        <v>340</v>
      </c>
    </row>
    <row r="404" spans="1:33" ht="47.25" customHeight="1">
      <c r="A404" s="2789">
        <v>2351</v>
      </c>
      <c r="B404" s="2908" t="s">
        <v>545</v>
      </c>
      <c r="C404" s="2908" t="s">
        <v>546</v>
      </c>
      <c r="D404" s="2898" t="s">
        <v>514</v>
      </c>
      <c r="E404" s="2898">
        <v>70</v>
      </c>
      <c r="F404" s="2903">
        <v>43248</v>
      </c>
      <c r="G404" s="2903">
        <f>E404+F404</f>
        <v>43318</v>
      </c>
      <c r="H404" s="2898" t="s">
        <v>529</v>
      </c>
      <c r="I404" s="2904" t="s">
        <v>169</v>
      </c>
      <c r="J404" s="2900" t="s">
        <v>526</v>
      </c>
      <c r="K404" s="1369" t="s">
        <v>547</v>
      </c>
      <c r="L404" s="1244">
        <v>23173</v>
      </c>
      <c r="M404" s="326"/>
      <c r="N404" s="506" t="s">
        <v>366</v>
      </c>
      <c r="O404" s="517">
        <v>340</v>
      </c>
      <c r="P404" s="506">
        <v>1</v>
      </c>
      <c r="Q404" s="486">
        <f>O404*P404</f>
        <v>340</v>
      </c>
      <c r="R404" s="518"/>
      <c r="S404" s="487"/>
      <c r="T404" s="487"/>
      <c r="U404" s="488"/>
      <c r="V404" s="487">
        <v>340</v>
      </c>
      <c r="W404" s="487"/>
      <c r="X404" s="1138"/>
      <c r="Y404" s="1156"/>
      <c r="Z404" s="1156"/>
      <c r="AA404" s="1156"/>
      <c r="AB404" s="1156"/>
      <c r="AC404" s="1156"/>
      <c r="AD404" s="1156"/>
      <c r="AE404" s="1156"/>
      <c r="AF404" s="1156"/>
      <c r="AG404" s="547">
        <f t="shared" si="66"/>
        <v>340</v>
      </c>
    </row>
    <row r="405" spans="1:33" ht="33.75" customHeight="1">
      <c r="A405" s="1815" t="s">
        <v>241</v>
      </c>
      <c r="B405" s="836"/>
      <c r="C405" s="1816"/>
      <c r="D405" s="1818"/>
      <c r="E405" s="1818"/>
      <c r="F405" s="1818"/>
      <c r="G405" s="1818"/>
      <c r="H405" s="1818"/>
      <c r="I405" s="1818"/>
      <c r="J405" s="835"/>
      <c r="K405" s="1815"/>
      <c r="L405" s="1817"/>
      <c r="M405" s="1818"/>
      <c r="N405" s="1819"/>
      <c r="O405" s="1820"/>
      <c r="P405" s="1819"/>
      <c r="Q405" s="1822">
        <f>Q406+Q442</f>
        <v>129720.37666666668</v>
      </c>
      <c r="R405" s="1822">
        <f>+R406+R442</f>
        <v>129240.07333333333</v>
      </c>
      <c r="S405" s="1821">
        <f t="shared" ref="S405:AG405" si="70">S406+S442</f>
        <v>0</v>
      </c>
      <c r="T405" s="1821">
        <f t="shared" si="70"/>
        <v>0</v>
      </c>
      <c r="U405" s="1821">
        <f t="shared" si="70"/>
        <v>6219</v>
      </c>
      <c r="V405" s="1821">
        <f t="shared" si="70"/>
        <v>7696.0000000000009</v>
      </c>
      <c r="W405" s="1821">
        <f t="shared" si="70"/>
        <v>56065.666666666672</v>
      </c>
      <c r="X405" s="1821">
        <f t="shared" si="70"/>
        <v>37073.043333333335</v>
      </c>
      <c r="Y405" s="1821">
        <f t="shared" si="70"/>
        <v>0</v>
      </c>
      <c r="Z405" s="838">
        <f t="shared" si="70"/>
        <v>22666.666666666668</v>
      </c>
      <c r="AA405" s="838">
        <f t="shared" si="70"/>
        <v>0</v>
      </c>
      <c r="AB405" s="838">
        <f t="shared" si="70"/>
        <v>0</v>
      </c>
      <c r="AC405" s="838">
        <f t="shared" si="70"/>
        <v>0</v>
      </c>
      <c r="AD405" s="838">
        <f t="shared" si="70"/>
        <v>0</v>
      </c>
      <c r="AE405" s="838">
        <f t="shared" si="70"/>
        <v>0</v>
      </c>
      <c r="AF405" s="838">
        <f t="shared" si="70"/>
        <v>0</v>
      </c>
      <c r="AG405" s="1822">
        <f t="shared" si="70"/>
        <v>129720.37666666668</v>
      </c>
    </row>
    <row r="406" spans="1:33" ht="24.75" customHeight="1">
      <c r="A406" s="1248" t="s">
        <v>242</v>
      </c>
      <c r="B406" s="274"/>
      <c r="C406" s="278"/>
      <c r="D406" s="1270"/>
      <c r="E406" s="1270"/>
      <c r="F406" s="1270"/>
      <c r="G406" s="1270"/>
      <c r="H406" s="1270"/>
      <c r="I406" s="1270"/>
      <c r="J406" s="273"/>
      <c r="K406" s="1248"/>
      <c r="L406" s="1269"/>
      <c r="M406" s="1270"/>
      <c r="N406" s="1268"/>
      <c r="O406" s="1271"/>
      <c r="P406" s="1268"/>
      <c r="Q406" s="1273">
        <f>+Q407</f>
        <v>29720.666666666668</v>
      </c>
      <c r="R406" s="1273">
        <f>+'[3]Compil Costing PPA 3 millions'!F11</f>
        <v>29240.073333333334</v>
      </c>
      <c r="S406" s="1272">
        <f t="shared" ref="S406:AF406" si="71">+S407</f>
        <v>0</v>
      </c>
      <c r="T406" s="1272">
        <f t="shared" si="71"/>
        <v>0</v>
      </c>
      <c r="U406" s="1272">
        <f t="shared" si="71"/>
        <v>6219</v>
      </c>
      <c r="V406" s="1272">
        <f t="shared" si="71"/>
        <v>7696.0000000000009</v>
      </c>
      <c r="W406" s="1272">
        <f t="shared" si="71"/>
        <v>5028.0000000000009</v>
      </c>
      <c r="X406" s="1272">
        <f t="shared" si="71"/>
        <v>10777.666666666666</v>
      </c>
      <c r="Y406" s="1272">
        <f t="shared" si="71"/>
        <v>0</v>
      </c>
      <c r="Z406" s="276">
        <f t="shared" si="71"/>
        <v>0</v>
      </c>
      <c r="AA406" s="276">
        <f t="shared" si="71"/>
        <v>0</v>
      </c>
      <c r="AB406" s="276">
        <f t="shared" si="71"/>
        <v>0</v>
      </c>
      <c r="AC406" s="276">
        <f t="shared" si="71"/>
        <v>0</v>
      </c>
      <c r="AD406" s="276">
        <f t="shared" si="71"/>
        <v>0</v>
      </c>
      <c r="AE406" s="276">
        <f t="shared" si="71"/>
        <v>0</v>
      </c>
      <c r="AF406" s="276">
        <f t="shared" si="71"/>
        <v>0</v>
      </c>
      <c r="AG406" s="1273">
        <f>+AG407</f>
        <v>29720.666666666664</v>
      </c>
    </row>
    <row r="407" spans="1:33" s="1725" customFormat="1" ht="31.5">
      <c r="A407" s="1790">
        <v>311</v>
      </c>
      <c r="B407" s="1791" t="s">
        <v>243</v>
      </c>
      <c r="C407" s="1792"/>
      <c r="D407" s="1793"/>
      <c r="E407" s="1794"/>
      <c r="F407" s="1794"/>
      <c r="G407" s="1794"/>
      <c r="H407" s="1793"/>
      <c r="I407" s="1794"/>
      <c r="J407" s="1795"/>
      <c r="K407" s="1796"/>
      <c r="L407" s="1797"/>
      <c r="M407" s="1793"/>
      <c r="N407" s="1794"/>
      <c r="O407" s="1885"/>
      <c r="P407" s="1886"/>
      <c r="Q407" s="2817">
        <f>SUM(Q408:Q441)</f>
        <v>29720.666666666668</v>
      </c>
      <c r="R407" s="2818"/>
      <c r="S407" s="1798">
        <f t="shared" ref="S407:AF407" si="72">SUM(S408:S441)</f>
        <v>0</v>
      </c>
      <c r="T407" s="1798">
        <f t="shared" si="72"/>
        <v>0</v>
      </c>
      <c r="U407" s="1798">
        <f t="shared" si="72"/>
        <v>6219</v>
      </c>
      <c r="V407" s="1798">
        <f t="shared" si="72"/>
        <v>7696.0000000000009</v>
      </c>
      <c r="W407" s="1798">
        <f t="shared" si="72"/>
        <v>5028.0000000000009</v>
      </c>
      <c r="X407" s="1798">
        <f t="shared" si="72"/>
        <v>10777.666666666666</v>
      </c>
      <c r="Y407" s="1798">
        <f t="shared" si="72"/>
        <v>0</v>
      </c>
      <c r="Z407" s="1800">
        <f t="shared" si="72"/>
        <v>0</v>
      </c>
      <c r="AA407" s="1800">
        <f t="shared" si="72"/>
        <v>0</v>
      </c>
      <c r="AB407" s="1800">
        <f t="shared" si="72"/>
        <v>0</v>
      </c>
      <c r="AC407" s="1800">
        <f t="shared" si="72"/>
        <v>0</v>
      </c>
      <c r="AD407" s="1800">
        <f t="shared" si="72"/>
        <v>0</v>
      </c>
      <c r="AE407" s="1800">
        <f t="shared" si="72"/>
        <v>0</v>
      </c>
      <c r="AF407" s="1800">
        <f t="shared" si="72"/>
        <v>0</v>
      </c>
      <c r="AG407" s="2817">
        <f>SUM(S407:AF407)</f>
        <v>29720.666666666664</v>
      </c>
    </row>
    <row r="408" spans="1:33" s="1725" customFormat="1" ht="57" customHeight="1">
      <c r="A408" s="2909">
        <v>3111</v>
      </c>
      <c r="B408" s="2910" t="s">
        <v>244</v>
      </c>
      <c r="C408" s="2910" t="s">
        <v>245</v>
      </c>
      <c r="D408" s="2911" t="s">
        <v>246</v>
      </c>
      <c r="E408" s="2912">
        <f>70+55</f>
        <v>125</v>
      </c>
      <c r="F408" s="2913">
        <v>43193</v>
      </c>
      <c r="G408" s="2913">
        <f>+F408+E408</f>
        <v>43318</v>
      </c>
      <c r="H408" s="2912" t="s">
        <v>247</v>
      </c>
      <c r="I408" s="2912" t="s">
        <v>176</v>
      </c>
      <c r="J408" s="2914" t="s">
        <v>169</v>
      </c>
      <c r="K408" s="1544" t="s">
        <v>248</v>
      </c>
      <c r="L408" s="1804">
        <v>2313</v>
      </c>
      <c r="M408" s="1544"/>
      <c r="N408" s="1883">
        <v>2313</v>
      </c>
      <c r="O408" s="1737">
        <v>10643</v>
      </c>
      <c r="P408" s="1736">
        <v>1</v>
      </c>
      <c r="Q408" s="2819">
        <f>O408*P408</f>
        <v>10643</v>
      </c>
      <c r="R408" s="2820"/>
      <c r="S408" s="1806"/>
      <c r="T408" s="1806"/>
      <c r="U408" s="1806"/>
      <c r="V408" s="1806"/>
      <c r="W408" s="1806"/>
      <c r="X408" s="1807">
        <v>10643</v>
      </c>
      <c r="Y408" s="1808"/>
      <c r="Z408" s="1735"/>
      <c r="AA408" s="1735"/>
      <c r="AB408" s="1735"/>
      <c r="AC408" s="1735"/>
      <c r="AD408" s="1735"/>
      <c r="AE408" s="1735"/>
      <c r="AF408" s="1735"/>
      <c r="AG408" s="547">
        <f t="shared" ref="AG408:AG441" si="73">SUM(S408:AF408)</f>
        <v>10643</v>
      </c>
    </row>
    <row r="409" spans="1:33" s="1725" customFormat="1" ht="57" customHeight="1">
      <c r="A409" s="2909">
        <v>3112</v>
      </c>
      <c r="B409" s="2910" t="s">
        <v>249</v>
      </c>
      <c r="C409" s="2910" t="s">
        <v>250</v>
      </c>
      <c r="D409" s="2911"/>
      <c r="E409" s="2912">
        <v>10</v>
      </c>
      <c r="F409" s="2913">
        <v>43238</v>
      </c>
      <c r="G409" s="2913">
        <f>F409+E409</f>
        <v>43248</v>
      </c>
      <c r="H409" s="2912" t="s">
        <v>247</v>
      </c>
      <c r="I409" s="2912" t="s">
        <v>169</v>
      </c>
      <c r="J409" s="2914" t="s">
        <v>176</v>
      </c>
      <c r="K409" s="1544"/>
      <c r="L409" s="1804"/>
      <c r="M409" s="1544"/>
      <c r="N409" s="2915"/>
      <c r="O409" s="1737"/>
      <c r="P409" s="1736"/>
      <c r="Q409" s="2819"/>
      <c r="R409" s="2820"/>
      <c r="S409" s="1806"/>
      <c r="T409" s="1806"/>
      <c r="U409" s="1806"/>
      <c r="V409" s="1806"/>
      <c r="W409" s="1806"/>
      <c r="X409" s="1807"/>
      <c r="Y409" s="1808"/>
      <c r="Z409" s="1735"/>
      <c r="AA409" s="1735"/>
      <c r="AB409" s="1735"/>
      <c r="AC409" s="1735"/>
      <c r="AD409" s="1735"/>
      <c r="AE409" s="1735"/>
      <c r="AF409" s="1735"/>
      <c r="AG409" s="2355"/>
    </row>
    <row r="410" spans="1:33" s="1725" customFormat="1" ht="57" hidden="1" customHeight="1">
      <c r="A410" s="1839">
        <v>3112</v>
      </c>
      <c r="B410" s="1889" t="s">
        <v>249</v>
      </c>
      <c r="C410" s="1840" t="s">
        <v>250</v>
      </c>
      <c r="D410" s="1890"/>
      <c r="E410" s="1802">
        <v>10</v>
      </c>
      <c r="F410" s="1801">
        <v>43238</v>
      </c>
      <c r="G410" s="1801">
        <f t="shared" ref="G410:G441" si="74">F410+E410</f>
        <v>43248</v>
      </c>
      <c r="H410" s="1802" t="s">
        <v>247</v>
      </c>
      <c r="I410" s="1802" t="s">
        <v>169</v>
      </c>
      <c r="J410" s="1803" t="s">
        <v>176</v>
      </c>
      <c r="K410" s="1544" t="s">
        <v>252</v>
      </c>
      <c r="L410" s="1804">
        <v>23174</v>
      </c>
      <c r="M410" s="1544"/>
      <c r="N410" s="1883">
        <v>23174</v>
      </c>
      <c r="O410" s="1721">
        <v>12</v>
      </c>
      <c r="P410" s="1736">
        <f>15*7</f>
        <v>105</v>
      </c>
      <c r="Q410" s="2819">
        <f t="shared" ref="Q410:Q417" si="75">O410*P410</f>
        <v>1260</v>
      </c>
      <c r="R410" s="2820"/>
      <c r="S410" s="1806"/>
      <c r="T410" s="1806"/>
      <c r="U410" s="1806">
        <v>1260</v>
      </c>
      <c r="V410" s="1806"/>
      <c r="W410" s="1806"/>
      <c r="X410" s="1807"/>
      <c r="Y410" s="1808"/>
      <c r="Z410" s="1735"/>
      <c r="AA410" s="1735"/>
      <c r="AB410" s="1735"/>
      <c r="AC410" s="1735"/>
      <c r="AD410" s="1735"/>
      <c r="AE410" s="1735"/>
      <c r="AF410" s="1735"/>
      <c r="AG410" s="547">
        <f t="shared" si="73"/>
        <v>1260</v>
      </c>
    </row>
    <row r="411" spans="1:33" s="1725" customFormat="1" ht="57" hidden="1" customHeight="1">
      <c r="A411" s="1839">
        <v>3112</v>
      </c>
      <c r="B411" s="1889" t="s">
        <v>249</v>
      </c>
      <c r="C411" s="1840" t="s">
        <v>250</v>
      </c>
      <c r="D411" s="1890"/>
      <c r="E411" s="1802">
        <v>10</v>
      </c>
      <c r="F411" s="1801">
        <v>43238</v>
      </c>
      <c r="G411" s="1801">
        <f t="shared" si="74"/>
        <v>43248</v>
      </c>
      <c r="H411" s="1802" t="s">
        <v>247</v>
      </c>
      <c r="I411" s="1802" t="s">
        <v>169</v>
      </c>
      <c r="J411" s="1803" t="s">
        <v>176</v>
      </c>
      <c r="K411" s="1544" t="s">
        <v>253</v>
      </c>
      <c r="L411" s="1804">
        <v>23174</v>
      </c>
      <c r="M411" s="1544"/>
      <c r="N411" s="1802">
        <v>23174</v>
      </c>
      <c r="O411" s="1809">
        <v>13.333333333333334</v>
      </c>
      <c r="P411" s="1888">
        <f>15*7</f>
        <v>105</v>
      </c>
      <c r="Q411" s="2821">
        <f t="shared" si="75"/>
        <v>1400</v>
      </c>
      <c r="R411" s="2822"/>
      <c r="S411" s="1806"/>
      <c r="T411" s="1806"/>
      <c r="U411" s="1806">
        <v>1400</v>
      </c>
      <c r="V411" s="1806"/>
      <c r="W411" s="1806"/>
      <c r="X411" s="1807"/>
      <c r="Y411" s="1808"/>
      <c r="Z411" s="1735"/>
      <c r="AA411" s="1735"/>
      <c r="AB411" s="1735"/>
      <c r="AC411" s="1735"/>
      <c r="AD411" s="1735"/>
      <c r="AE411" s="1735"/>
      <c r="AF411" s="1735"/>
      <c r="AG411" s="547">
        <f t="shared" si="73"/>
        <v>1400</v>
      </c>
    </row>
    <row r="412" spans="1:33" s="1725" customFormat="1" ht="57" hidden="1" customHeight="1">
      <c r="A412" s="1839">
        <v>3112</v>
      </c>
      <c r="B412" s="1889" t="s">
        <v>249</v>
      </c>
      <c r="C412" s="1840" t="s">
        <v>250</v>
      </c>
      <c r="D412" s="1890"/>
      <c r="E412" s="1802">
        <v>10</v>
      </c>
      <c r="F412" s="1801">
        <v>43238</v>
      </c>
      <c r="G412" s="1801">
        <f t="shared" si="74"/>
        <v>43248</v>
      </c>
      <c r="H412" s="1802" t="s">
        <v>247</v>
      </c>
      <c r="I412" s="1802" t="s">
        <v>169</v>
      </c>
      <c r="J412" s="1803" t="s">
        <v>176</v>
      </c>
      <c r="K412" s="2264" t="s">
        <v>254</v>
      </c>
      <c r="L412" s="1804">
        <v>23174</v>
      </c>
      <c r="M412" s="1544"/>
      <c r="N412" s="1802">
        <v>23174</v>
      </c>
      <c r="O412" s="1841">
        <v>10</v>
      </c>
      <c r="P412" s="887">
        <v>15</v>
      </c>
      <c r="Q412" s="2823">
        <f t="shared" si="75"/>
        <v>150</v>
      </c>
      <c r="R412" s="2822"/>
      <c r="S412" s="1806"/>
      <c r="T412" s="1806"/>
      <c r="U412" s="1806">
        <v>150</v>
      </c>
      <c r="V412" s="1806"/>
      <c r="W412" s="1806"/>
      <c r="X412" s="1807"/>
      <c r="Y412" s="1808"/>
      <c r="Z412" s="1735"/>
      <c r="AA412" s="1735"/>
      <c r="AB412" s="1735"/>
      <c r="AC412" s="1735"/>
      <c r="AD412" s="1735"/>
      <c r="AE412" s="1735"/>
      <c r="AF412" s="1735"/>
      <c r="AG412" s="547">
        <f t="shared" si="73"/>
        <v>150</v>
      </c>
    </row>
    <row r="413" spans="1:33" s="1725" customFormat="1" ht="57" hidden="1" customHeight="1">
      <c r="A413" s="1839">
        <v>3112</v>
      </c>
      <c r="B413" s="1889" t="s">
        <v>249</v>
      </c>
      <c r="C413" s="1840" t="s">
        <v>250</v>
      </c>
      <c r="D413" s="1890"/>
      <c r="E413" s="1802">
        <v>10</v>
      </c>
      <c r="F413" s="1801">
        <v>43238</v>
      </c>
      <c r="G413" s="1801">
        <f t="shared" si="74"/>
        <v>43248</v>
      </c>
      <c r="H413" s="1802" t="s">
        <v>247</v>
      </c>
      <c r="I413" s="1802" t="s">
        <v>169</v>
      </c>
      <c r="J413" s="2263" t="s">
        <v>176</v>
      </c>
      <c r="K413" s="1735" t="s">
        <v>255</v>
      </c>
      <c r="L413" s="1892">
        <v>23174</v>
      </c>
      <c r="M413" s="1544"/>
      <c r="N413" s="1802">
        <v>23174</v>
      </c>
      <c r="O413" s="1841">
        <v>0.4</v>
      </c>
      <c r="P413" s="887">
        <v>170</v>
      </c>
      <c r="Q413" s="2823">
        <f t="shared" si="75"/>
        <v>68</v>
      </c>
      <c r="R413" s="2822"/>
      <c r="S413" s="1806"/>
      <c r="T413" s="1806"/>
      <c r="U413" s="1806">
        <v>68</v>
      </c>
      <c r="V413" s="1806"/>
      <c r="W413" s="1806"/>
      <c r="X413" s="1807"/>
      <c r="Y413" s="1808"/>
      <c r="Z413" s="1735"/>
      <c r="AA413" s="1735"/>
      <c r="AB413" s="1735"/>
      <c r="AC413" s="1735"/>
      <c r="AD413" s="1735"/>
      <c r="AE413" s="1735"/>
      <c r="AF413" s="1735"/>
      <c r="AG413" s="547">
        <f t="shared" si="73"/>
        <v>68</v>
      </c>
    </row>
    <row r="414" spans="1:33" s="1725" customFormat="1" ht="57" hidden="1" customHeight="1">
      <c r="A414" s="1839">
        <v>3112</v>
      </c>
      <c r="B414" s="1889" t="s">
        <v>249</v>
      </c>
      <c r="C414" s="1840" t="s">
        <v>250</v>
      </c>
      <c r="D414" s="1890"/>
      <c r="E414" s="1802">
        <v>45</v>
      </c>
      <c r="F414" s="1801">
        <v>43193</v>
      </c>
      <c r="G414" s="1801">
        <f t="shared" si="74"/>
        <v>43238</v>
      </c>
      <c r="H414" s="1802" t="s">
        <v>247</v>
      </c>
      <c r="I414" s="1802" t="s">
        <v>169</v>
      </c>
      <c r="J414" s="1803" t="s">
        <v>176</v>
      </c>
      <c r="K414" s="326" t="s">
        <v>256</v>
      </c>
      <c r="L414" s="1804">
        <v>23173</v>
      </c>
      <c r="M414" s="1544"/>
      <c r="N414" s="1802">
        <v>23173</v>
      </c>
      <c r="O414" s="1841">
        <v>255</v>
      </c>
      <c r="P414" s="887">
        <v>1</v>
      </c>
      <c r="Q414" s="2823">
        <f t="shared" si="75"/>
        <v>255</v>
      </c>
      <c r="R414" s="2822"/>
      <c r="S414" s="1806"/>
      <c r="T414" s="1806"/>
      <c r="U414" s="1806">
        <v>255</v>
      </c>
      <c r="V414" s="1806"/>
      <c r="W414" s="1806"/>
      <c r="X414" s="1807"/>
      <c r="Y414" s="1808"/>
      <c r="Z414" s="1735"/>
      <c r="AA414" s="1735"/>
      <c r="AB414" s="1735"/>
      <c r="AC414" s="1735"/>
      <c r="AD414" s="1735"/>
      <c r="AE414" s="1735"/>
      <c r="AF414" s="1735"/>
      <c r="AG414" s="547">
        <f t="shared" si="73"/>
        <v>255</v>
      </c>
    </row>
    <row r="415" spans="1:33" s="1725" customFormat="1" ht="57" hidden="1" customHeight="1">
      <c r="A415" s="1839">
        <v>3112</v>
      </c>
      <c r="B415" s="1889" t="s">
        <v>249</v>
      </c>
      <c r="C415" s="1840" t="s">
        <v>250</v>
      </c>
      <c r="D415" s="1890"/>
      <c r="E415" s="1802">
        <v>10</v>
      </c>
      <c r="F415" s="1801">
        <v>43238</v>
      </c>
      <c r="G415" s="1801">
        <f t="shared" si="74"/>
        <v>43248</v>
      </c>
      <c r="H415" s="1802" t="s">
        <v>247</v>
      </c>
      <c r="I415" s="1802" t="s">
        <v>169</v>
      </c>
      <c r="J415" s="2263" t="s">
        <v>176</v>
      </c>
      <c r="K415" s="1735" t="s">
        <v>257</v>
      </c>
      <c r="L415" s="2268">
        <v>23173</v>
      </c>
      <c r="M415" s="1544"/>
      <c r="N415" s="1802">
        <v>23172</v>
      </c>
      <c r="O415" s="1841">
        <v>66.666666666666671</v>
      </c>
      <c r="P415" s="887">
        <v>5</v>
      </c>
      <c r="Q415" s="2823">
        <f t="shared" si="75"/>
        <v>333.33333333333337</v>
      </c>
      <c r="R415" s="2822"/>
      <c r="S415" s="1806"/>
      <c r="T415" s="1806"/>
      <c r="U415" s="1806">
        <v>333.33333333333337</v>
      </c>
      <c r="V415" s="1806"/>
      <c r="W415" s="1806"/>
      <c r="X415" s="1807"/>
      <c r="Y415" s="1808"/>
      <c r="Z415" s="1735"/>
      <c r="AA415" s="1735"/>
      <c r="AB415" s="1735"/>
      <c r="AC415" s="1735"/>
      <c r="AD415" s="1735"/>
      <c r="AE415" s="1735"/>
      <c r="AF415" s="1735"/>
      <c r="AG415" s="547">
        <f t="shared" si="73"/>
        <v>333.33333333333337</v>
      </c>
    </row>
    <row r="416" spans="1:33" s="1725" customFormat="1" ht="57" hidden="1" customHeight="1">
      <c r="A416" s="1839">
        <v>3112</v>
      </c>
      <c r="B416" s="1889" t="s">
        <v>249</v>
      </c>
      <c r="C416" s="1840" t="s">
        <v>250</v>
      </c>
      <c r="D416" s="1890"/>
      <c r="E416" s="1802">
        <v>45</v>
      </c>
      <c r="F416" s="1801">
        <v>43193</v>
      </c>
      <c r="G416" s="1801">
        <f t="shared" si="74"/>
        <v>43238</v>
      </c>
      <c r="H416" s="1802" t="s">
        <v>247</v>
      </c>
      <c r="I416" s="1802" t="s">
        <v>169</v>
      </c>
      <c r="J416" s="1803" t="s">
        <v>176</v>
      </c>
      <c r="K416" s="1585" t="s">
        <v>258</v>
      </c>
      <c r="L416" s="1804">
        <v>2463</v>
      </c>
      <c r="M416" s="1544"/>
      <c r="N416" s="1802">
        <v>23173</v>
      </c>
      <c r="O416" s="1726">
        <v>616.66666666666663</v>
      </c>
      <c r="P416" s="887">
        <v>1</v>
      </c>
      <c r="Q416" s="2823">
        <f t="shared" si="75"/>
        <v>616.66666666666663</v>
      </c>
      <c r="R416" s="2822"/>
      <c r="S416" s="1806"/>
      <c r="T416" s="1806"/>
      <c r="U416" s="1806">
        <v>616.66666666666663</v>
      </c>
      <c r="V416" s="1806"/>
      <c r="W416" s="1806"/>
      <c r="X416" s="1807"/>
      <c r="Y416" s="1808"/>
      <c r="Z416" s="1735"/>
      <c r="AA416" s="1735"/>
      <c r="AB416" s="1735"/>
      <c r="AC416" s="1735"/>
      <c r="AD416" s="1735"/>
      <c r="AE416" s="1735"/>
      <c r="AF416" s="1735"/>
      <c r="AG416" s="547">
        <f t="shared" si="73"/>
        <v>616.66666666666663</v>
      </c>
    </row>
    <row r="417" spans="1:33" s="1725" customFormat="1" ht="57" hidden="1" customHeight="1">
      <c r="A417" s="1839">
        <v>3112</v>
      </c>
      <c r="B417" s="1889" t="s">
        <v>249</v>
      </c>
      <c r="C417" s="1840" t="s">
        <v>250</v>
      </c>
      <c r="D417" s="1890"/>
      <c r="E417" s="1802">
        <v>45</v>
      </c>
      <c r="F417" s="1801">
        <v>43193</v>
      </c>
      <c r="G417" s="1801">
        <f t="shared" si="74"/>
        <v>43238</v>
      </c>
      <c r="H417" s="1802" t="s">
        <v>247</v>
      </c>
      <c r="I417" s="1802" t="s">
        <v>169</v>
      </c>
      <c r="J417" s="1803" t="s">
        <v>176</v>
      </c>
      <c r="K417" s="326" t="s">
        <v>259</v>
      </c>
      <c r="L417" s="1804">
        <v>2463</v>
      </c>
      <c r="M417" s="1544"/>
      <c r="N417" s="1802">
        <v>23173</v>
      </c>
      <c r="O417" s="1726">
        <v>2000</v>
      </c>
      <c r="P417" s="887">
        <v>1</v>
      </c>
      <c r="Q417" s="2823">
        <f t="shared" si="75"/>
        <v>2000</v>
      </c>
      <c r="R417" s="2822"/>
      <c r="S417" s="1806"/>
      <c r="T417" s="1806"/>
      <c r="U417" s="1806">
        <v>2000</v>
      </c>
      <c r="V417" s="1806"/>
      <c r="W417" s="1806"/>
      <c r="X417" s="1807"/>
      <c r="Y417" s="1808"/>
      <c r="Z417" s="1735"/>
      <c r="AA417" s="1735"/>
      <c r="AB417" s="1735"/>
      <c r="AC417" s="1735"/>
      <c r="AD417" s="1735"/>
      <c r="AE417" s="1735"/>
      <c r="AF417" s="1735"/>
      <c r="AG417" s="547">
        <f t="shared" si="73"/>
        <v>2000</v>
      </c>
    </row>
    <row r="418" spans="1:33" s="1725" customFormat="1" ht="57" customHeight="1">
      <c r="A418" s="2909">
        <v>3113</v>
      </c>
      <c r="B418" s="2910" t="s">
        <v>260</v>
      </c>
      <c r="C418" s="2910" t="s">
        <v>261</v>
      </c>
      <c r="D418" s="2911"/>
      <c r="E418" s="2912">
        <v>15</v>
      </c>
      <c r="F418" s="2913">
        <v>43248</v>
      </c>
      <c r="G418" s="2913">
        <f>F418+E418</f>
        <v>43263</v>
      </c>
      <c r="H418" s="2912" t="s">
        <v>247</v>
      </c>
      <c r="I418" s="2912" t="s">
        <v>169</v>
      </c>
      <c r="J418" s="2914" t="s">
        <v>176</v>
      </c>
      <c r="K418" s="357"/>
      <c r="L418" s="1804"/>
      <c r="M418" s="1544"/>
      <c r="N418" s="1802"/>
      <c r="O418" s="2916"/>
      <c r="P418" s="237"/>
      <c r="Q418" s="2823"/>
      <c r="R418" s="2822"/>
      <c r="S418" s="1806"/>
      <c r="T418" s="1806"/>
      <c r="U418" s="1806"/>
      <c r="V418" s="1806"/>
      <c r="W418" s="1806"/>
      <c r="X418" s="1807"/>
      <c r="Y418" s="1808"/>
      <c r="Z418" s="1735"/>
      <c r="AA418" s="1735"/>
      <c r="AB418" s="1735"/>
      <c r="AC418" s="1735"/>
      <c r="AD418" s="1735"/>
      <c r="AE418" s="1735"/>
      <c r="AF418" s="1735"/>
      <c r="AG418" s="2355"/>
    </row>
    <row r="419" spans="1:33" s="1725" customFormat="1" ht="57" hidden="1" customHeight="1">
      <c r="A419" s="1839">
        <v>3113</v>
      </c>
      <c r="B419" s="1889" t="s">
        <v>260</v>
      </c>
      <c r="C419" s="1840" t="s">
        <v>261</v>
      </c>
      <c r="D419" s="1890"/>
      <c r="E419" s="1802">
        <v>15</v>
      </c>
      <c r="F419" s="1801">
        <v>43248</v>
      </c>
      <c r="G419" s="1801">
        <f t="shared" si="74"/>
        <v>43263</v>
      </c>
      <c r="H419" s="1802" t="s">
        <v>247</v>
      </c>
      <c r="I419" s="1802" t="s">
        <v>169</v>
      </c>
      <c r="J419" s="1803" t="s">
        <v>176</v>
      </c>
      <c r="K419" s="1544" t="s">
        <v>252</v>
      </c>
      <c r="L419" s="1804">
        <v>23174</v>
      </c>
      <c r="M419" s="1544"/>
      <c r="N419" s="1802">
        <v>23174</v>
      </c>
      <c r="O419" s="1810">
        <v>12</v>
      </c>
      <c r="P419" s="1802">
        <f>12*9</f>
        <v>108</v>
      </c>
      <c r="Q419" s="2823">
        <f>O419*P419</f>
        <v>1296</v>
      </c>
      <c r="R419" s="2822"/>
      <c r="S419" s="1806"/>
      <c r="T419" s="1806"/>
      <c r="U419" s="1806"/>
      <c r="V419" s="1806">
        <v>1296</v>
      </c>
      <c r="W419" s="1806"/>
      <c r="X419" s="1807"/>
      <c r="Y419" s="1808"/>
      <c r="Z419" s="1735"/>
      <c r="AA419" s="1735"/>
      <c r="AB419" s="1735"/>
      <c r="AC419" s="1735"/>
      <c r="AD419" s="1735"/>
      <c r="AE419" s="1735"/>
      <c r="AF419" s="1735"/>
      <c r="AG419" s="547">
        <f t="shared" si="73"/>
        <v>1296</v>
      </c>
    </row>
    <row r="420" spans="1:33" s="1725" customFormat="1" ht="57" hidden="1" customHeight="1">
      <c r="A420" s="1839">
        <v>3113</v>
      </c>
      <c r="B420" s="1889" t="s">
        <v>260</v>
      </c>
      <c r="C420" s="1840" t="s">
        <v>261</v>
      </c>
      <c r="D420" s="1890"/>
      <c r="E420" s="1802">
        <v>15</v>
      </c>
      <c r="F420" s="1801">
        <v>43248</v>
      </c>
      <c r="G420" s="1801">
        <f t="shared" si="74"/>
        <v>43263</v>
      </c>
      <c r="H420" s="1802" t="s">
        <v>247</v>
      </c>
      <c r="I420" s="1802" t="s">
        <v>169</v>
      </c>
      <c r="J420" s="1803" t="s">
        <v>176</v>
      </c>
      <c r="K420" s="1544" t="s">
        <v>253</v>
      </c>
      <c r="L420" s="1804">
        <v>23174</v>
      </c>
      <c r="M420" s="1544"/>
      <c r="N420" s="1802">
        <v>23174</v>
      </c>
      <c r="O420" s="1810">
        <v>13.333333333333334</v>
      </c>
      <c r="P420" s="1802">
        <f>12*8</f>
        <v>96</v>
      </c>
      <c r="Q420" s="2823">
        <f>O420*P420</f>
        <v>1280</v>
      </c>
      <c r="R420" s="2822"/>
      <c r="S420" s="1806"/>
      <c r="T420" s="1806"/>
      <c r="U420" s="1806"/>
      <c r="V420" s="1806">
        <v>1280</v>
      </c>
      <c r="W420" s="1806"/>
      <c r="X420" s="1807"/>
      <c r="Y420" s="1808"/>
      <c r="Z420" s="1735"/>
      <c r="AA420" s="1735"/>
      <c r="AB420" s="1735"/>
      <c r="AC420" s="1735"/>
      <c r="AD420" s="1735"/>
      <c r="AE420" s="1735"/>
      <c r="AF420" s="1735"/>
      <c r="AG420" s="547">
        <f t="shared" si="73"/>
        <v>1280</v>
      </c>
    </row>
    <row r="421" spans="1:33" s="1725" customFormat="1" ht="57" hidden="1" customHeight="1">
      <c r="A421" s="1839">
        <v>3113</v>
      </c>
      <c r="B421" s="1889" t="s">
        <v>260</v>
      </c>
      <c r="C421" s="1840" t="s">
        <v>261</v>
      </c>
      <c r="D421" s="1890"/>
      <c r="E421" s="1802">
        <v>15</v>
      </c>
      <c r="F421" s="1801">
        <v>43248</v>
      </c>
      <c r="G421" s="1801">
        <f t="shared" si="74"/>
        <v>43263</v>
      </c>
      <c r="H421" s="1802" t="s">
        <v>247</v>
      </c>
      <c r="I421" s="1802" t="s">
        <v>169</v>
      </c>
      <c r="J421" s="1803" t="s">
        <v>176</v>
      </c>
      <c r="K421" s="1544" t="s">
        <v>263</v>
      </c>
      <c r="L421" s="1804">
        <v>23174</v>
      </c>
      <c r="M421" s="1544"/>
      <c r="N421" s="1802">
        <v>23174</v>
      </c>
      <c r="O421" s="1841">
        <v>58.333333333333336</v>
      </c>
      <c r="P421" s="887">
        <v>4</v>
      </c>
      <c r="Q421" s="2823">
        <f>O421*P421</f>
        <v>233.33333333333334</v>
      </c>
      <c r="R421" s="2822"/>
      <c r="S421" s="1806"/>
      <c r="T421" s="1806"/>
      <c r="U421" s="1806"/>
      <c r="V421" s="1806">
        <v>233.33333333333334</v>
      </c>
      <c r="W421" s="1806"/>
      <c r="X421" s="1807"/>
      <c r="Y421" s="1808"/>
      <c r="Z421" s="1735"/>
      <c r="AA421" s="1735"/>
      <c r="AB421" s="1735"/>
      <c r="AC421" s="1735"/>
      <c r="AD421" s="1735"/>
      <c r="AE421" s="1735"/>
      <c r="AF421" s="1735"/>
      <c r="AG421" s="547">
        <f t="shared" si="73"/>
        <v>233.33333333333334</v>
      </c>
    </row>
    <row r="422" spans="1:33" s="1725" customFormat="1" ht="57" hidden="1" customHeight="1">
      <c r="A422" s="1839">
        <v>3113</v>
      </c>
      <c r="B422" s="1889" t="s">
        <v>260</v>
      </c>
      <c r="C422" s="1840" t="s">
        <v>261</v>
      </c>
      <c r="D422" s="1890"/>
      <c r="E422" s="1802">
        <v>15</v>
      </c>
      <c r="F422" s="1801">
        <v>43248</v>
      </c>
      <c r="G422" s="1801">
        <f t="shared" si="74"/>
        <v>43263</v>
      </c>
      <c r="H422" s="1802" t="s">
        <v>247</v>
      </c>
      <c r="I422" s="1802" t="s">
        <v>169</v>
      </c>
      <c r="J422" s="1803" t="s">
        <v>176</v>
      </c>
      <c r="K422" s="1544" t="s">
        <v>264</v>
      </c>
      <c r="L422" s="1804">
        <v>23174</v>
      </c>
      <c r="M422" s="1544"/>
      <c r="N422" s="1883">
        <v>23174</v>
      </c>
      <c r="O422" s="1744">
        <v>36.333333333333336</v>
      </c>
      <c r="P422" s="887">
        <v>4</v>
      </c>
      <c r="Q422" s="2823">
        <f>O422*P422</f>
        <v>145.33333333333334</v>
      </c>
      <c r="R422" s="2822"/>
      <c r="S422" s="1806"/>
      <c r="T422" s="1806"/>
      <c r="U422" s="1806"/>
      <c r="V422" s="1806">
        <v>145.33333333333334</v>
      </c>
      <c r="W422" s="1806"/>
      <c r="X422" s="1807"/>
      <c r="Y422" s="1808"/>
      <c r="Z422" s="1735"/>
      <c r="AA422" s="1735"/>
      <c r="AB422" s="1735"/>
      <c r="AC422" s="1735"/>
      <c r="AD422" s="1735"/>
      <c r="AE422" s="1735"/>
      <c r="AF422" s="1735"/>
      <c r="AG422" s="547">
        <f t="shared" si="73"/>
        <v>145.33333333333334</v>
      </c>
    </row>
    <row r="423" spans="1:33" s="1725" customFormat="1" ht="57" hidden="1" customHeight="1">
      <c r="A423" s="1839">
        <v>3113</v>
      </c>
      <c r="B423" s="1889" t="s">
        <v>260</v>
      </c>
      <c r="C423" s="1840" t="s">
        <v>261</v>
      </c>
      <c r="D423" s="1890"/>
      <c r="E423" s="1802">
        <v>15</v>
      </c>
      <c r="F423" s="1801">
        <v>43248</v>
      </c>
      <c r="G423" s="1801">
        <f t="shared" si="74"/>
        <v>43263</v>
      </c>
      <c r="H423" s="1802" t="s">
        <v>247</v>
      </c>
      <c r="I423" s="1802" t="s">
        <v>169</v>
      </c>
      <c r="J423" s="1803" t="s">
        <v>176</v>
      </c>
      <c r="K423" s="1544" t="s">
        <v>265</v>
      </c>
      <c r="L423" s="1804">
        <v>23174</v>
      </c>
      <c r="M423" s="1544"/>
      <c r="N423" s="1883">
        <v>23174</v>
      </c>
      <c r="O423" s="1744">
        <v>71.666666666666671</v>
      </c>
      <c r="P423" s="887">
        <v>4</v>
      </c>
      <c r="Q423" s="2823">
        <f>O423*P423</f>
        <v>286.66666666666669</v>
      </c>
      <c r="R423" s="2822"/>
      <c r="S423" s="1806"/>
      <c r="T423" s="1806"/>
      <c r="U423" s="1806"/>
      <c r="V423" s="1806">
        <v>286.66666666666669</v>
      </c>
      <c r="W423" s="1806"/>
      <c r="X423" s="1807"/>
      <c r="Y423" s="1808"/>
      <c r="Z423" s="1735"/>
      <c r="AA423" s="1735"/>
      <c r="AB423" s="1735"/>
      <c r="AC423" s="1735"/>
      <c r="AD423" s="1735"/>
      <c r="AE423" s="1735"/>
      <c r="AF423" s="1735"/>
      <c r="AG423" s="547">
        <f t="shared" si="73"/>
        <v>286.66666666666669</v>
      </c>
    </row>
    <row r="424" spans="1:33" s="1725" customFormat="1" ht="57" customHeight="1">
      <c r="A424" s="2909">
        <v>3114</v>
      </c>
      <c r="B424" s="2910" t="s">
        <v>266</v>
      </c>
      <c r="C424" s="2910" t="s">
        <v>267</v>
      </c>
      <c r="D424" s="2911"/>
      <c r="E424" s="2912">
        <v>15</v>
      </c>
      <c r="F424" s="2913">
        <v>43269</v>
      </c>
      <c r="G424" s="2913">
        <f>F424+E424</f>
        <v>43284</v>
      </c>
      <c r="H424" s="2912" t="s">
        <v>247</v>
      </c>
      <c r="I424" s="2912" t="s">
        <v>169</v>
      </c>
      <c r="J424" s="2914" t="s">
        <v>176</v>
      </c>
      <c r="K424" s="1544"/>
      <c r="L424" s="1804"/>
      <c r="M424" s="1544"/>
      <c r="N424" s="2915"/>
      <c r="O424" s="2917"/>
      <c r="P424" s="237"/>
      <c r="Q424" s="2823"/>
      <c r="R424" s="2822"/>
      <c r="S424" s="1806"/>
      <c r="T424" s="1806"/>
      <c r="U424" s="1806"/>
      <c r="V424" s="1806"/>
      <c r="W424" s="1806"/>
      <c r="X424" s="1807"/>
      <c r="Y424" s="1808"/>
      <c r="Z424" s="1735"/>
      <c r="AA424" s="1735"/>
      <c r="AB424" s="1735"/>
      <c r="AC424" s="1735"/>
      <c r="AD424" s="1735"/>
      <c r="AE424" s="1735"/>
      <c r="AF424" s="1735"/>
      <c r="AG424" s="2355"/>
    </row>
    <row r="425" spans="1:33" s="1725" customFormat="1" ht="57" hidden="1" customHeight="1">
      <c r="A425" s="1839">
        <v>3114</v>
      </c>
      <c r="B425" s="1889" t="s">
        <v>266</v>
      </c>
      <c r="C425" s="1840" t="s">
        <v>267</v>
      </c>
      <c r="D425" s="1890"/>
      <c r="E425" s="1802">
        <v>15</v>
      </c>
      <c r="F425" s="1801">
        <v>43269</v>
      </c>
      <c r="G425" s="1801">
        <f t="shared" si="74"/>
        <v>43284</v>
      </c>
      <c r="H425" s="1802" t="s">
        <v>247</v>
      </c>
      <c r="I425" s="1802" t="s">
        <v>169</v>
      </c>
      <c r="J425" s="1803" t="s">
        <v>176</v>
      </c>
      <c r="K425" s="1544" t="s">
        <v>252</v>
      </c>
      <c r="L425" s="1804">
        <v>23174</v>
      </c>
      <c r="M425" s="1544"/>
      <c r="N425" s="1802">
        <v>23174</v>
      </c>
      <c r="O425" s="1809">
        <v>12</v>
      </c>
      <c r="P425" s="1802">
        <f>20*8</f>
        <v>160</v>
      </c>
      <c r="Q425" s="2823">
        <f t="shared" ref="Q425:Q437" si="76">O425*P425</f>
        <v>1920</v>
      </c>
      <c r="R425" s="2822"/>
      <c r="S425" s="1806"/>
      <c r="T425" s="1806"/>
      <c r="U425" s="1806"/>
      <c r="V425" s="1806">
        <v>1920</v>
      </c>
      <c r="W425" s="1806"/>
      <c r="X425" s="1807"/>
      <c r="Y425" s="1808"/>
      <c r="Z425" s="1735"/>
      <c r="AA425" s="1735"/>
      <c r="AB425" s="1735"/>
      <c r="AC425" s="1735"/>
      <c r="AD425" s="1735"/>
      <c r="AE425" s="1735"/>
      <c r="AF425" s="1735"/>
      <c r="AG425" s="547">
        <f t="shared" si="73"/>
        <v>1920</v>
      </c>
    </row>
    <row r="426" spans="1:33" s="1725" customFormat="1" ht="57" hidden="1" customHeight="1">
      <c r="A426" s="1839">
        <v>3114</v>
      </c>
      <c r="B426" s="1889" t="s">
        <v>266</v>
      </c>
      <c r="C426" s="1840" t="s">
        <v>267</v>
      </c>
      <c r="D426" s="1890"/>
      <c r="E426" s="1802">
        <v>15</v>
      </c>
      <c r="F426" s="1801">
        <v>43269</v>
      </c>
      <c r="G426" s="1801">
        <f t="shared" si="74"/>
        <v>43284</v>
      </c>
      <c r="H426" s="1802" t="s">
        <v>247</v>
      </c>
      <c r="I426" s="1802" t="s">
        <v>169</v>
      </c>
      <c r="J426" s="1803" t="s">
        <v>176</v>
      </c>
      <c r="K426" s="1544" t="s">
        <v>253</v>
      </c>
      <c r="L426" s="1804">
        <v>23174</v>
      </c>
      <c r="M426" s="1544"/>
      <c r="N426" s="1802">
        <v>23174</v>
      </c>
      <c r="O426" s="1810">
        <v>13.333333333333334</v>
      </c>
      <c r="P426" s="1802">
        <f>20*7</f>
        <v>140</v>
      </c>
      <c r="Q426" s="2823">
        <f t="shared" si="76"/>
        <v>1866.6666666666667</v>
      </c>
      <c r="R426" s="2822"/>
      <c r="S426" s="1806"/>
      <c r="T426" s="1806"/>
      <c r="U426" s="1806"/>
      <c r="V426" s="1806">
        <v>1866.6666666666667</v>
      </c>
      <c r="W426" s="1806"/>
      <c r="X426" s="1807"/>
      <c r="Y426" s="1808"/>
      <c r="Z426" s="1735"/>
      <c r="AA426" s="1735"/>
      <c r="AB426" s="1735"/>
      <c r="AC426" s="1735"/>
      <c r="AD426" s="1735"/>
      <c r="AE426" s="1735"/>
      <c r="AF426" s="1735"/>
      <c r="AG426" s="547">
        <f t="shared" si="73"/>
        <v>1866.6666666666667</v>
      </c>
    </row>
    <row r="427" spans="1:33" s="1725" customFormat="1" ht="57" hidden="1" customHeight="1">
      <c r="A427" s="1839">
        <v>3114</v>
      </c>
      <c r="B427" s="1889" t="s">
        <v>266</v>
      </c>
      <c r="C427" s="1840" t="s">
        <v>267</v>
      </c>
      <c r="D427" s="1890"/>
      <c r="E427" s="1802">
        <v>15</v>
      </c>
      <c r="F427" s="1801">
        <v>43269</v>
      </c>
      <c r="G427" s="1801">
        <f t="shared" si="74"/>
        <v>43284</v>
      </c>
      <c r="H427" s="1802" t="s">
        <v>247</v>
      </c>
      <c r="I427" s="1802" t="s">
        <v>169</v>
      </c>
      <c r="J427" s="1803" t="s">
        <v>176</v>
      </c>
      <c r="K427" s="2264" t="s">
        <v>254</v>
      </c>
      <c r="L427" s="1804">
        <v>23174</v>
      </c>
      <c r="M427" s="1544"/>
      <c r="N427" s="1802">
        <v>23174</v>
      </c>
      <c r="O427" s="1841">
        <v>10</v>
      </c>
      <c r="P427" s="887">
        <v>20</v>
      </c>
      <c r="Q427" s="2823">
        <f t="shared" si="76"/>
        <v>200</v>
      </c>
      <c r="R427" s="2822"/>
      <c r="S427" s="1806"/>
      <c r="T427" s="1806"/>
      <c r="U427" s="1806"/>
      <c r="V427" s="1806">
        <v>200</v>
      </c>
      <c r="W427" s="1806"/>
      <c r="X427" s="1807"/>
      <c r="Y427" s="1808"/>
      <c r="Z427" s="1735"/>
      <c r="AA427" s="1735"/>
      <c r="AB427" s="1735"/>
      <c r="AC427" s="1735"/>
      <c r="AD427" s="1735"/>
      <c r="AE427" s="1735"/>
      <c r="AF427" s="1735"/>
      <c r="AG427" s="547">
        <f t="shared" si="73"/>
        <v>200</v>
      </c>
    </row>
    <row r="428" spans="1:33" s="1725" customFormat="1" ht="57" hidden="1" customHeight="1">
      <c r="A428" s="1839">
        <v>3114</v>
      </c>
      <c r="B428" s="1889" t="s">
        <v>266</v>
      </c>
      <c r="C428" s="1840" t="s">
        <v>267</v>
      </c>
      <c r="D428" s="1890"/>
      <c r="E428" s="1802">
        <v>15</v>
      </c>
      <c r="F428" s="1801">
        <v>43269</v>
      </c>
      <c r="G428" s="1801">
        <f t="shared" si="74"/>
        <v>43284</v>
      </c>
      <c r="H428" s="1802" t="s">
        <v>247</v>
      </c>
      <c r="I428" s="1802" t="s">
        <v>169</v>
      </c>
      <c r="J428" s="2263" t="s">
        <v>176</v>
      </c>
      <c r="K428" s="1735" t="s">
        <v>255</v>
      </c>
      <c r="L428" s="1892">
        <v>23174</v>
      </c>
      <c r="M428" s="1544"/>
      <c r="N428" s="1802">
        <v>23174</v>
      </c>
      <c r="O428" s="1841">
        <v>0.4</v>
      </c>
      <c r="P428" s="887">
        <v>170</v>
      </c>
      <c r="Q428" s="2823">
        <f t="shared" si="76"/>
        <v>68</v>
      </c>
      <c r="R428" s="2822"/>
      <c r="S428" s="1806"/>
      <c r="T428" s="1806"/>
      <c r="U428" s="1806"/>
      <c r="V428" s="1806">
        <v>68</v>
      </c>
      <c r="W428" s="1806"/>
      <c r="X428" s="1807"/>
      <c r="Y428" s="1808"/>
      <c r="Z428" s="1735"/>
      <c r="AA428" s="1735"/>
      <c r="AB428" s="1735"/>
      <c r="AC428" s="1735"/>
      <c r="AD428" s="1735"/>
      <c r="AE428" s="1735"/>
      <c r="AF428" s="1735"/>
      <c r="AG428" s="547">
        <f t="shared" si="73"/>
        <v>68</v>
      </c>
    </row>
    <row r="429" spans="1:33" s="1725" customFormat="1" ht="57" hidden="1" customHeight="1">
      <c r="A429" s="1839">
        <v>3114</v>
      </c>
      <c r="B429" s="1889" t="s">
        <v>266</v>
      </c>
      <c r="C429" s="1840" t="s">
        <v>267</v>
      </c>
      <c r="D429" s="1890"/>
      <c r="E429" s="1802">
        <v>45</v>
      </c>
      <c r="F429" s="1801">
        <v>43193</v>
      </c>
      <c r="G429" s="1801">
        <f t="shared" si="74"/>
        <v>43238</v>
      </c>
      <c r="H429" s="1802" t="s">
        <v>247</v>
      </c>
      <c r="I429" s="1802" t="s">
        <v>169</v>
      </c>
      <c r="J429" s="1803" t="s">
        <v>176</v>
      </c>
      <c r="K429" s="326" t="s">
        <v>256</v>
      </c>
      <c r="L429" s="1804">
        <v>23173</v>
      </c>
      <c r="M429" s="1544"/>
      <c r="N429" s="1802">
        <v>23173</v>
      </c>
      <c r="O429" s="1841">
        <v>15</v>
      </c>
      <c r="P429" s="887">
        <v>1</v>
      </c>
      <c r="Q429" s="2823">
        <f t="shared" si="76"/>
        <v>15</v>
      </c>
      <c r="R429" s="2822"/>
      <c r="S429" s="1806"/>
      <c r="T429" s="1806"/>
      <c r="U429" s="1806">
        <v>15</v>
      </c>
      <c r="W429" s="1806"/>
      <c r="X429" s="1807"/>
      <c r="Y429" s="1808"/>
      <c r="Z429" s="1735"/>
      <c r="AA429" s="1735"/>
      <c r="AB429" s="1735"/>
      <c r="AC429" s="1735"/>
      <c r="AD429" s="1735"/>
      <c r="AE429" s="1735"/>
      <c r="AF429" s="1735"/>
      <c r="AG429" s="547">
        <f t="shared" si="73"/>
        <v>15</v>
      </c>
    </row>
    <row r="430" spans="1:33" s="1725" customFormat="1" ht="57" hidden="1" customHeight="1">
      <c r="A430" s="1839">
        <v>3114</v>
      </c>
      <c r="B430" s="1889" t="s">
        <v>266</v>
      </c>
      <c r="C430" s="1840" t="s">
        <v>267</v>
      </c>
      <c r="D430" s="1890"/>
      <c r="E430" s="1802">
        <v>15</v>
      </c>
      <c r="F430" s="1801">
        <v>43269</v>
      </c>
      <c r="G430" s="1801">
        <f t="shared" si="74"/>
        <v>43284</v>
      </c>
      <c r="H430" s="1802" t="s">
        <v>247</v>
      </c>
      <c r="I430" s="1802" t="s">
        <v>169</v>
      </c>
      <c r="J430" s="2263" t="s">
        <v>176</v>
      </c>
      <c r="K430" s="1735" t="s">
        <v>257</v>
      </c>
      <c r="L430" s="2268">
        <v>23173</v>
      </c>
      <c r="M430" s="1544"/>
      <c r="N430" s="1802">
        <v>23172</v>
      </c>
      <c r="O430" s="1841">
        <v>66.666666666666671</v>
      </c>
      <c r="P430" s="887">
        <v>6</v>
      </c>
      <c r="Q430" s="2823">
        <f t="shared" si="76"/>
        <v>400</v>
      </c>
      <c r="R430" s="2822"/>
      <c r="S430" s="1806"/>
      <c r="T430" s="1806"/>
      <c r="U430" s="1806"/>
      <c r="V430" s="1806">
        <v>400</v>
      </c>
      <c r="W430" s="1806"/>
      <c r="X430" s="1807"/>
      <c r="Y430" s="1808"/>
      <c r="Z430" s="1735"/>
      <c r="AA430" s="1735"/>
      <c r="AB430" s="1735"/>
      <c r="AC430" s="1735"/>
      <c r="AD430" s="1735"/>
      <c r="AE430" s="1735"/>
      <c r="AF430" s="1735"/>
      <c r="AG430" s="547">
        <f t="shared" si="73"/>
        <v>400</v>
      </c>
    </row>
    <row r="431" spans="1:33" s="1725" customFormat="1" ht="57" customHeight="1">
      <c r="A431" s="2909">
        <v>3115</v>
      </c>
      <c r="B431" s="2910" t="s">
        <v>269</v>
      </c>
      <c r="C431" s="2910" t="s">
        <v>270</v>
      </c>
      <c r="D431" s="2911"/>
      <c r="E431" s="2912">
        <v>15</v>
      </c>
      <c r="F431" s="2913">
        <v>43290</v>
      </c>
      <c r="G431" s="2913">
        <f>F431+E431</f>
        <v>43305</v>
      </c>
      <c r="H431" s="2912" t="s">
        <v>247</v>
      </c>
      <c r="I431" s="2912" t="s">
        <v>169</v>
      </c>
      <c r="J431" s="2914" t="s">
        <v>176</v>
      </c>
      <c r="L431" s="1892"/>
      <c r="M431" s="1544"/>
      <c r="N431" s="1802"/>
      <c r="O431" s="2917"/>
      <c r="P431" s="237"/>
      <c r="Q431" s="2823"/>
      <c r="R431" s="2822"/>
      <c r="S431" s="1806"/>
      <c r="T431" s="1806"/>
      <c r="U431" s="1806"/>
      <c r="V431" s="1806"/>
      <c r="W431" s="1806"/>
      <c r="X431" s="1807"/>
      <c r="Y431" s="1808"/>
      <c r="Z431" s="1735"/>
      <c r="AA431" s="1735"/>
      <c r="AB431" s="1735"/>
      <c r="AC431" s="1735"/>
      <c r="AD431" s="1735"/>
      <c r="AE431" s="1735"/>
      <c r="AF431" s="1735"/>
      <c r="AG431" s="2355"/>
    </row>
    <row r="432" spans="1:33" s="1725" customFormat="1" ht="57" hidden="1" customHeight="1">
      <c r="A432" s="1839">
        <v>3115</v>
      </c>
      <c r="B432" s="1889" t="s">
        <v>269</v>
      </c>
      <c r="C432" s="1840" t="s">
        <v>270</v>
      </c>
      <c r="D432" s="1890"/>
      <c r="E432" s="1802">
        <v>15</v>
      </c>
      <c r="F432" s="1801">
        <v>43290</v>
      </c>
      <c r="G432" s="1801">
        <f t="shared" si="74"/>
        <v>43305</v>
      </c>
      <c r="H432" s="1802" t="s">
        <v>247</v>
      </c>
      <c r="I432" s="1802" t="s">
        <v>169</v>
      </c>
      <c r="J432" s="1803" t="s">
        <v>176</v>
      </c>
      <c r="K432" s="2112" t="s">
        <v>252</v>
      </c>
      <c r="L432" s="1804">
        <v>23174</v>
      </c>
      <c r="M432" s="1544"/>
      <c r="N432" s="1802">
        <v>23174</v>
      </c>
      <c r="O432" s="1810">
        <v>12</v>
      </c>
      <c r="P432" s="1802">
        <f>20*9</f>
        <v>180</v>
      </c>
      <c r="Q432" s="2823">
        <f t="shared" si="76"/>
        <v>2160</v>
      </c>
      <c r="R432" s="2822"/>
      <c r="S432" s="1806"/>
      <c r="T432" s="1806"/>
      <c r="U432" s="1806"/>
      <c r="V432" s="1806"/>
      <c r="W432" s="1806">
        <v>2160</v>
      </c>
      <c r="X432" s="1807"/>
      <c r="Y432" s="1808"/>
      <c r="Z432" s="1735"/>
      <c r="AA432" s="1735"/>
      <c r="AB432" s="1735"/>
      <c r="AC432" s="1735"/>
      <c r="AD432" s="1735"/>
      <c r="AE432" s="1735"/>
      <c r="AF432" s="1735"/>
      <c r="AG432" s="547">
        <f t="shared" si="73"/>
        <v>2160</v>
      </c>
    </row>
    <row r="433" spans="1:33" s="1725" customFormat="1" ht="57" hidden="1" customHeight="1">
      <c r="A433" s="1839">
        <v>3115</v>
      </c>
      <c r="B433" s="1889" t="s">
        <v>269</v>
      </c>
      <c r="C433" s="1840" t="s">
        <v>270</v>
      </c>
      <c r="D433" s="1890"/>
      <c r="E433" s="1802">
        <v>15</v>
      </c>
      <c r="F433" s="1801">
        <v>43290</v>
      </c>
      <c r="G433" s="1801">
        <f t="shared" si="74"/>
        <v>43305</v>
      </c>
      <c r="H433" s="1802" t="s">
        <v>247</v>
      </c>
      <c r="I433" s="1802" t="s">
        <v>169</v>
      </c>
      <c r="J433" s="1803" t="s">
        <v>176</v>
      </c>
      <c r="K433" s="1544" t="s">
        <v>253</v>
      </c>
      <c r="L433" s="1804">
        <v>23174</v>
      </c>
      <c r="M433" s="1544"/>
      <c r="N433" s="1802">
        <v>23174</v>
      </c>
      <c r="O433" s="1810">
        <v>13.333333333333334</v>
      </c>
      <c r="P433" s="1802">
        <f>20*8</f>
        <v>160</v>
      </c>
      <c r="Q433" s="2823">
        <f t="shared" si="76"/>
        <v>2133.3333333333335</v>
      </c>
      <c r="R433" s="2822"/>
      <c r="S433" s="1806"/>
      <c r="T433" s="1806"/>
      <c r="U433" s="1806"/>
      <c r="V433" s="1806"/>
      <c r="W433" s="1806">
        <v>2133.3333333333335</v>
      </c>
      <c r="X433" s="1807"/>
      <c r="Y433" s="1808"/>
      <c r="Z433" s="1735"/>
      <c r="AA433" s="1735"/>
      <c r="AB433" s="1735"/>
      <c r="AC433" s="1735"/>
      <c r="AD433" s="1735"/>
      <c r="AE433" s="1735"/>
      <c r="AF433" s="1735"/>
      <c r="AG433" s="547">
        <f t="shared" si="73"/>
        <v>2133.3333333333335</v>
      </c>
    </row>
    <row r="434" spans="1:33" s="1725" customFormat="1" ht="57" hidden="1" customHeight="1">
      <c r="A434" s="1839">
        <v>3115</v>
      </c>
      <c r="B434" s="1889" t="s">
        <v>269</v>
      </c>
      <c r="C434" s="1840" t="s">
        <v>270</v>
      </c>
      <c r="D434" s="1890"/>
      <c r="E434" s="1802">
        <v>15</v>
      </c>
      <c r="F434" s="1801">
        <v>43290</v>
      </c>
      <c r="G434" s="1801">
        <f t="shared" si="74"/>
        <v>43305</v>
      </c>
      <c r="H434" s="1802" t="s">
        <v>247</v>
      </c>
      <c r="I434" s="1802" t="s">
        <v>169</v>
      </c>
      <c r="J434" s="1803" t="s">
        <v>176</v>
      </c>
      <c r="K434" s="2264" t="s">
        <v>254</v>
      </c>
      <c r="L434" s="1804">
        <v>23174</v>
      </c>
      <c r="M434" s="1544"/>
      <c r="N434" s="1802">
        <v>23174</v>
      </c>
      <c r="O434" s="1841">
        <v>10</v>
      </c>
      <c r="P434" s="887">
        <v>20</v>
      </c>
      <c r="Q434" s="2823">
        <f t="shared" si="76"/>
        <v>200</v>
      </c>
      <c r="R434" s="2822"/>
      <c r="S434" s="1806"/>
      <c r="T434" s="1806"/>
      <c r="U434" s="1806"/>
      <c r="V434" s="1806"/>
      <c r="W434" s="1806">
        <v>200</v>
      </c>
      <c r="X434" s="1807"/>
      <c r="Y434" s="1808"/>
      <c r="Z434" s="1735"/>
      <c r="AA434" s="1735"/>
      <c r="AB434" s="1735"/>
      <c r="AC434" s="1735"/>
      <c r="AD434" s="1735"/>
      <c r="AE434" s="1735"/>
      <c r="AF434" s="1735"/>
      <c r="AG434" s="547">
        <f t="shared" si="73"/>
        <v>200</v>
      </c>
    </row>
    <row r="435" spans="1:33" s="1725" customFormat="1" ht="57" hidden="1" customHeight="1">
      <c r="A435" s="1839">
        <v>3115</v>
      </c>
      <c r="B435" s="1889" t="s">
        <v>269</v>
      </c>
      <c r="C435" s="1840" t="s">
        <v>270</v>
      </c>
      <c r="D435" s="1890"/>
      <c r="E435" s="1802">
        <v>15</v>
      </c>
      <c r="F435" s="1801">
        <v>43290</v>
      </c>
      <c r="G435" s="1801">
        <f t="shared" si="74"/>
        <v>43305</v>
      </c>
      <c r="H435" s="1802" t="s">
        <v>247</v>
      </c>
      <c r="I435" s="1802" t="s">
        <v>169</v>
      </c>
      <c r="J435" s="2263" t="s">
        <v>176</v>
      </c>
      <c r="K435" s="1735" t="s">
        <v>255</v>
      </c>
      <c r="L435" s="1892">
        <v>23174</v>
      </c>
      <c r="M435" s="1544"/>
      <c r="N435" s="1802">
        <v>23174</v>
      </c>
      <c r="O435" s="1841">
        <v>0.4</v>
      </c>
      <c r="P435" s="887">
        <v>170</v>
      </c>
      <c r="Q435" s="2823">
        <f t="shared" si="76"/>
        <v>68</v>
      </c>
      <c r="R435" s="2822"/>
      <c r="S435" s="1806"/>
      <c r="T435" s="1806"/>
      <c r="U435" s="1806"/>
      <c r="V435" s="1806"/>
      <c r="W435" s="1806">
        <v>68</v>
      </c>
      <c r="X435" s="1807"/>
      <c r="Y435" s="1808"/>
      <c r="Z435" s="1735"/>
      <c r="AA435" s="1735"/>
      <c r="AB435" s="1735"/>
      <c r="AC435" s="1735"/>
      <c r="AD435" s="1735"/>
      <c r="AE435" s="1735"/>
      <c r="AF435" s="1735"/>
      <c r="AG435" s="547">
        <f t="shared" si="73"/>
        <v>68</v>
      </c>
    </row>
    <row r="436" spans="1:33" s="1725" customFormat="1" ht="57" hidden="1" customHeight="1">
      <c r="A436" s="1839">
        <v>3115</v>
      </c>
      <c r="B436" s="1889" t="s">
        <v>269</v>
      </c>
      <c r="C436" s="1840" t="s">
        <v>270</v>
      </c>
      <c r="D436" s="1890"/>
      <c r="E436" s="1802">
        <v>45</v>
      </c>
      <c r="F436" s="1801">
        <v>43193</v>
      </c>
      <c r="G436" s="1801">
        <f t="shared" si="74"/>
        <v>43238</v>
      </c>
      <c r="H436" s="1802" t="s">
        <v>247</v>
      </c>
      <c r="I436" s="1802" t="s">
        <v>169</v>
      </c>
      <c r="J436" s="1803" t="s">
        <v>176</v>
      </c>
      <c r="K436" s="326" t="s">
        <v>256</v>
      </c>
      <c r="L436" s="1804">
        <v>23173</v>
      </c>
      <c r="M436" s="1544"/>
      <c r="N436" s="1802">
        <v>23173</v>
      </c>
      <c r="O436" s="1841">
        <v>72.333333333333329</v>
      </c>
      <c r="P436" s="887">
        <v>1</v>
      </c>
      <c r="Q436" s="2823">
        <f t="shared" si="76"/>
        <v>72.333333333333329</v>
      </c>
      <c r="R436" s="2822"/>
      <c r="S436" s="1806"/>
      <c r="T436" s="1806"/>
      <c r="U436" s="1806">
        <v>72.333333333333329</v>
      </c>
      <c r="V436" s="1806"/>
      <c r="X436" s="1807"/>
      <c r="Y436" s="1808"/>
      <c r="Z436" s="1735"/>
      <c r="AA436" s="1735"/>
      <c r="AB436" s="1735"/>
      <c r="AC436" s="1735"/>
      <c r="AD436" s="1735"/>
      <c r="AE436" s="1735"/>
      <c r="AF436" s="1735"/>
      <c r="AG436" s="547">
        <f t="shared" si="73"/>
        <v>72.333333333333329</v>
      </c>
    </row>
    <row r="437" spans="1:33" s="1725" customFormat="1" ht="57" hidden="1" customHeight="1">
      <c r="A437" s="1839">
        <v>3115</v>
      </c>
      <c r="B437" s="1889" t="s">
        <v>269</v>
      </c>
      <c r="C437" s="1840" t="s">
        <v>270</v>
      </c>
      <c r="D437" s="1890"/>
      <c r="E437" s="1802">
        <v>15</v>
      </c>
      <c r="F437" s="1801">
        <v>43290</v>
      </c>
      <c r="G437" s="1801">
        <f t="shared" si="74"/>
        <v>43305</v>
      </c>
      <c r="H437" s="1802" t="s">
        <v>247</v>
      </c>
      <c r="I437" s="1802" t="s">
        <v>169</v>
      </c>
      <c r="J437" s="1891" t="s">
        <v>176</v>
      </c>
      <c r="K437" s="1735" t="s">
        <v>257</v>
      </c>
      <c r="L437" s="1892">
        <v>23173</v>
      </c>
      <c r="M437" s="1544"/>
      <c r="N437" s="1802">
        <v>23172</v>
      </c>
      <c r="O437" s="1841">
        <v>66.666666666666671</v>
      </c>
      <c r="P437" s="887">
        <v>7</v>
      </c>
      <c r="Q437" s="2823">
        <f t="shared" si="76"/>
        <v>466.66666666666669</v>
      </c>
      <c r="R437" s="2822"/>
      <c r="S437" s="1806"/>
      <c r="T437" s="1806"/>
      <c r="U437" s="1806"/>
      <c r="V437" s="1806"/>
      <c r="W437" s="1806">
        <v>466.66666666666669</v>
      </c>
      <c r="X437" s="1807"/>
      <c r="Y437" s="1808"/>
      <c r="Z437" s="1735"/>
      <c r="AA437" s="1735"/>
      <c r="AB437" s="1735"/>
      <c r="AC437" s="1735"/>
      <c r="AD437" s="1735"/>
      <c r="AE437" s="1735"/>
      <c r="AF437" s="1735"/>
      <c r="AG437" s="547">
        <f t="shared" si="73"/>
        <v>466.66666666666669</v>
      </c>
    </row>
    <row r="438" spans="1:33" s="1725" customFormat="1" ht="57" customHeight="1">
      <c r="A438" s="2909">
        <v>3116</v>
      </c>
      <c r="B438" s="2910" t="s">
        <v>271</v>
      </c>
      <c r="C438" s="2910" t="s">
        <v>272</v>
      </c>
      <c r="D438" s="2911"/>
      <c r="E438" s="2912">
        <v>15</v>
      </c>
      <c r="F438" s="2913">
        <v>43311</v>
      </c>
      <c r="G438" s="2913">
        <f>F438+E438</f>
        <v>43326</v>
      </c>
      <c r="H438" s="2912" t="s">
        <v>247</v>
      </c>
      <c r="I438" s="2912" t="s">
        <v>169</v>
      </c>
      <c r="J438" s="2918" t="s">
        <v>176</v>
      </c>
      <c r="K438" s="1735"/>
      <c r="L438" s="1892"/>
      <c r="M438" s="1544"/>
      <c r="N438" s="1802"/>
      <c r="O438" s="1744"/>
      <c r="P438" s="2834"/>
      <c r="Q438" s="2823"/>
      <c r="R438" s="2822"/>
      <c r="S438" s="1806"/>
      <c r="T438" s="1806"/>
      <c r="U438" s="1806"/>
      <c r="V438" s="1806"/>
      <c r="W438" s="1806"/>
      <c r="X438" s="1807"/>
      <c r="Y438" s="1808"/>
      <c r="Z438" s="1735"/>
      <c r="AA438" s="1735"/>
      <c r="AB438" s="1735"/>
      <c r="AC438" s="1735"/>
      <c r="AD438" s="1735"/>
      <c r="AE438" s="1735"/>
      <c r="AF438" s="1735"/>
      <c r="AG438" s="2355"/>
    </row>
    <row r="439" spans="1:33" s="1725" customFormat="1" ht="57" hidden="1" customHeight="1">
      <c r="A439" s="1839">
        <v>3116</v>
      </c>
      <c r="B439" s="1889" t="s">
        <v>271</v>
      </c>
      <c r="C439" s="1840" t="s">
        <v>272</v>
      </c>
      <c r="D439" s="1890"/>
      <c r="E439" s="1802">
        <v>15</v>
      </c>
      <c r="F439" s="1801">
        <v>43311</v>
      </c>
      <c r="G439" s="1801">
        <f t="shared" si="74"/>
        <v>43326</v>
      </c>
      <c r="H439" s="1802" t="s">
        <v>247</v>
      </c>
      <c r="I439" s="1802" t="s">
        <v>169</v>
      </c>
      <c r="J439" s="1891" t="s">
        <v>176</v>
      </c>
      <c r="K439" s="1735" t="s">
        <v>273</v>
      </c>
      <c r="L439" s="1892">
        <v>23173</v>
      </c>
      <c r="M439" s="1544"/>
      <c r="N439" s="1802">
        <v>23173</v>
      </c>
      <c r="O439" s="1841">
        <v>0.4</v>
      </c>
      <c r="P439" s="887">
        <v>170</v>
      </c>
      <c r="Q439" s="2823">
        <f>O439*P439</f>
        <v>68</v>
      </c>
      <c r="R439" s="2822"/>
      <c r="S439" s="1806"/>
      <c r="T439" s="1806"/>
      <c r="U439" s="1806"/>
      <c r="V439" s="1806"/>
      <c r="W439" s="1806"/>
      <c r="X439" s="1807">
        <v>68</v>
      </c>
      <c r="Y439" s="1808"/>
      <c r="Z439" s="1735"/>
      <c r="AA439" s="1735"/>
      <c r="AB439" s="1735"/>
      <c r="AC439" s="1735"/>
      <c r="AD439" s="1735"/>
      <c r="AE439" s="1735"/>
      <c r="AF439" s="1735"/>
      <c r="AG439" s="547">
        <f t="shared" si="73"/>
        <v>68</v>
      </c>
    </row>
    <row r="440" spans="1:33" s="1725" customFormat="1" ht="57" hidden="1" customHeight="1">
      <c r="A440" s="1839">
        <v>3116</v>
      </c>
      <c r="B440" s="1889" t="s">
        <v>271</v>
      </c>
      <c r="C440" s="1840" t="s">
        <v>272</v>
      </c>
      <c r="D440" s="1890"/>
      <c r="E440" s="1802">
        <v>45</v>
      </c>
      <c r="F440" s="1801">
        <v>43193</v>
      </c>
      <c r="G440" s="1801">
        <f t="shared" si="74"/>
        <v>43238</v>
      </c>
      <c r="H440" s="1802" t="s">
        <v>247</v>
      </c>
      <c r="I440" s="1802" t="s">
        <v>169</v>
      </c>
      <c r="J440" s="1803" t="s">
        <v>176</v>
      </c>
      <c r="K440" s="326" t="s">
        <v>256</v>
      </c>
      <c r="L440" s="1804">
        <v>23173</v>
      </c>
      <c r="M440" s="1544"/>
      <c r="N440" s="1802">
        <v>23173</v>
      </c>
      <c r="O440" s="1841">
        <v>48.666666666666664</v>
      </c>
      <c r="P440" s="887">
        <v>1</v>
      </c>
      <c r="Q440" s="2823">
        <f>O440*P440</f>
        <v>48.666666666666664</v>
      </c>
      <c r="R440" s="2822"/>
      <c r="S440" s="1806"/>
      <c r="T440" s="1806"/>
      <c r="U440" s="1806">
        <v>48.666666666666664</v>
      </c>
      <c r="V440" s="1806"/>
      <c r="W440" s="1806"/>
      <c r="Y440" s="1808"/>
      <c r="Z440" s="1735"/>
      <c r="AA440" s="1735"/>
      <c r="AB440" s="1735"/>
      <c r="AC440" s="1735"/>
      <c r="AD440" s="1735"/>
      <c r="AE440" s="1735"/>
      <c r="AF440" s="1735"/>
      <c r="AG440" s="547">
        <f t="shared" si="73"/>
        <v>48.666666666666664</v>
      </c>
    </row>
    <row r="441" spans="1:33" s="1725" customFormat="1" ht="57" hidden="1" customHeight="1">
      <c r="A441" s="1839">
        <v>3116</v>
      </c>
      <c r="B441" s="1889" t="s">
        <v>271</v>
      </c>
      <c r="C441" s="1840" t="s">
        <v>272</v>
      </c>
      <c r="D441" s="1890"/>
      <c r="E441" s="1802">
        <v>15</v>
      </c>
      <c r="F441" s="1801">
        <v>43311</v>
      </c>
      <c r="G441" s="1801">
        <f t="shared" si="74"/>
        <v>43326</v>
      </c>
      <c r="H441" s="1802" t="s">
        <v>247</v>
      </c>
      <c r="I441" s="1802" t="s">
        <v>169</v>
      </c>
      <c r="J441" s="1803" t="s">
        <v>176</v>
      </c>
      <c r="K441" s="1725" t="s">
        <v>257</v>
      </c>
      <c r="L441" s="1804">
        <v>23173</v>
      </c>
      <c r="M441" s="1544"/>
      <c r="N441" s="1802">
        <v>23172</v>
      </c>
      <c r="O441" s="1841">
        <v>66.666666666666671</v>
      </c>
      <c r="P441" s="887">
        <v>1</v>
      </c>
      <c r="Q441" s="2823">
        <f>O441*P441</f>
        <v>66.666666666666671</v>
      </c>
      <c r="R441" s="2822"/>
      <c r="S441" s="1806"/>
      <c r="T441" s="1806"/>
      <c r="U441" s="1806"/>
      <c r="V441" s="1806"/>
      <c r="W441" s="1806"/>
      <c r="X441" s="1807">
        <v>66.666666666666671</v>
      </c>
      <c r="Y441" s="1808"/>
      <c r="Z441" s="1735"/>
      <c r="AA441" s="1735"/>
      <c r="AB441" s="1735"/>
      <c r="AC441" s="1735"/>
      <c r="AD441" s="1735"/>
      <c r="AE441" s="1735"/>
      <c r="AF441" s="1735"/>
      <c r="AG441" s="547">
        <f t="shared" si="73"/>
        <v>66.666666666666671</v>
      </c>
    </row>
    <row r="442" spans="1:33" s="280" customFormat="1" ht="24" customHeight="1">
      <c r="A442" s="1248" t="s">
        <v>274</v>
      </c>
      <c r="B442" s="274"/>
      <c r="C442" s="278"/>
      <c r="D442" s="1270"/>
      <c r="E442" s="1270"/>
      <c r="F442" s="1270"/>
      <c r="G442" s="1270"/>
      <c r="H442" s="1270"/>
      <c r="I442" s="1270"/>
      <c r="J442" s="273"/>
      <c r="K442" s="1248"/>
      <c r="L442" s="1269"/>
      <c r="M442" s="1270"/>
      <c r="N442" s="1268"/>
      <c r="O442" s="1272"/>
      <c r="P442" s="1268"/>
      <c r="Q442" s="1273">
        <f>+Q443+Q451+Q460+Q477+Q485+Q492</f>
        <v>99999.71</v>
      </c>
      <c r="R442" s="1273">
        <v>100000</v>
      </c>
      <c r="S442" s="1272">
        <f t="shared" ref="S442:AG442" si="77">+S443+S451+S460+S477+S485+S492</f>
        <v>0</v>
      </c>
      <c r="T442" s="1272">
        <f t="shared" si="77"/>
        <v>0</v>
      </c>
      <c r="U442" s="1272">
        <f t="shared" si="77"/>
        <v>0</v>
      </c>
      <c r="V442" s="1272">
        <f t="shared" si="77"/>
        <v>0</v>
      </c>
      <c r="W442" s="1272">
        <f t="shared" si="77"/>
        <v>51037.666666666672</v>
      </c>
      <c r="X442" s="1272">
        <f t="shared" si="77"/>
        <v>26295.376666666667</v>
      </c>
      <c r="Y442" s="1272">
        <f t="shared" si="77"/>
        <v>0</v>
      </c>
      <c r="Z442" s="276">
        <f t="shared" si="77"/>
        <v>22666.666666666668</v>
      </c>
      <c r="AA442" s="276">
        <f t="shared" si="77"/>
        <v>0</v>
      </c>
      <c r="AB442" s="276">
        <f t="shared" si="77"/>
        <v>0</v>
      </c>
      <c r="AC442" s="276">
        <f t="shared" si="77"/>
        <v>0</v>
      </c>
      <c r="AD442" s="276">
        <f t="shared" si="77"/>
        <v>0</v>
      </c>
      <c r="AE442" s="276">
        <f t="shared" si="77"/>
        <v>0</v>
      </c>
      <c r="AF442" s="276">
        <f t="shared" si="77"/>
        <v>0</v>
      </c>
      <c r="AG442" s="1273">
        <f t="shared" si="77"/>
        <v>99999.71</v>
      </c>
    </row>
    <row r="443" spans="1:33" s="550" customFormat="1" ht="36.75" customHeight="1">
      <c r="A443" s="1275">
        <v>321</v>
      </c>
      <c r="B443" s="523" t="s">
        <v>552</v>
      </c>
      <c r="C443" s="1504"/>
      <c r="D443" s="1358"/>
      <c r="E443" s="1358"/>
      <c r="F443" s="1358"/>
      <c r="G443" s="1358"/>
      <c r="H443" s="1358"/>
      <c r="I443" s="1358"/>
      <c r="J443" s="543"/>
      <c r="K443" s="1545"/>
      <c r="L443" s="1389"/>
      <c r="M443" s="1390"/>
      <c r="N443" s="1388"/>
      <c r="O443" s="1282"/>
      <c r="P443" s="1388"/>
      <c r="Q443" s="547">
        <f>SUM(Q445:Q450)</f>
        <v>22794.666666666668</v>
      </c>
      <c r="R443" s="547"/>
      <c r="S443" s="1282">
        <f t="shared" ref="S443:AF443" si="78">SUM(S445:S450)</f>
        <v>0</v>
      </c>
      <c r="T443" s="1282">
        <f t="shared" si="78"/>
        <v>0</v>
      </c>
      <c r="U443" s="1282">
        <f t="shared" si="78"/>
        <v>0</v>
      </c>
      <c r="V443" s="1282">
        <f t="shared" si="78"/>
        <v>0</v>
      </c>
      <c r="W443" s="1282">
        <f t="shared" si="78"/>
        <v>22794.666666666668</v>
      </c>
      <c r="X443" s="1282">
        <f t="shared" si="78"/>
        <v>0</v>
      </c>
      <c r="Y443" s="1282">
        <f t="shared" si="78"/>
        <v>0</v>
      </c>
      <c r="Z443" s="1282">
        <f t="shared" si="78"/>
        <v>0</v>
      </c>
      <c r="AA443" s="1282">
        <f t="shared" si="78"/>
        <v>0</v>
      </c>
      <c r="AB443" s="1282">
        <f t="shared" si="78"/>
        <v>0</v>
      </c>
      <c r="AC443" s="1282">
        <f t="shared" si="78"/>
        <v>0</v>
      </c>
      <c r="AD443" s="1282">
        <f t="shared" si="78"/>
        <v>0</v>
      </c>
      <c r="AE443" s="1282">
        <f t="shared" si="78"/>
        <v>0</v>
      </c>
      <c r="AF443" s="1282">
        <f t="shared" si="78"/>
        <v>0</v>
      </c>
      <c r="AG443" s="547">
        <f>SUM(S443:AF443)</f>
        <v>22794.666666666668</v>
      </c>
    </row>
    <row r="444" spans="1:33" s="550" customFormat="1" ht="36.75" customHeight="1">
      <c r="A444" s="998">
        <v>3211</v>
      </c>
      <c r="B444" s="2790" t="s">
        <v>556</v>
      </c>
      <c r="C444" s="2790" t="s">
        <v>559</v>
      </c>
      <c r="D444" s="2789" t="s">
        <v>514</v>
      </c>
      <c r="E444" s="2789">
        <v>45</v>
      </c>
      <c r="F444" s="2881">
        <v>43194</v>
      </c>
      <c r="G444" s="2881">
        <f>+E444+F444</f>
        <v>43239</v>
      </c>
      <c r="H444" s="2924" t="s">
        <v>555</v>
      </c>
      <c r="I444" s="2789" t="s">
        <v>169</v>
      </c>
      <c r="J444" s="2793" t="s">
        <v>177</v>
      </c>
      <c r="K444" s="2920"/>
      <c r="L444" s="2921"/>
      <c r="M444" s="2734"/>
      <c r="N444" s="2922"/>
      <c r="O444" s="2739"/>
      <c r="P444" s="2922"/>
      <c r="Q444" s="2803">
        <f>+Q445+Q446+Q447+Q448+Q449</f>
        <v>6666.666666666667</v>
      </c>
      <c r="R444" s="2809"/>
      <c r="S444" s="2739"/>
      <c r="T444" s="2739"/>
      <c r="U444" s="2739"/>
      <c r="V444" s="2739"/>
      <c r="W444" s="2739"/>
      <c r="X444" s="2923"/>
      <c r="Y444" s="2739"/>
      <c r="Z444" s="2739"/>
      <c r="AA444" s="2739"/>
      <c r="AB444" s="2739"/>
      <c r="AC444" s="2739"/>
      <c r="AD444" s="2739"/>
      <c r="AE444" s="2739"/>
      <c r="AF444" s="2739"/>
      <c r="AG444" s="2809"/>
    </row>
    <row r="445" spans="1:33" s="280" customFormat="1" hidden="1">
      <c r="A445" s="998">
        <v>3211</v>
      </c>
      <c r="B445" s="291" t="s">
        <v>556</v>
      </c>
      <c r="C445" s="824" t="s">
        <v>559</v>
      </c>
      <c r="D445" s="294" t="s">
        <v>514</v>
      </c>
      <c r="E445" s="294">
        <v>45</v>
      </c>
      <c r="F445" s="829">
        <v>43194</v>
      </c>
      <c r="G445" s="829">
        <f>+E445+F445</f>
        <v>43239</v>
      </c>
      <c r="H445" s="1391" t="s">
        <v>555</v>
      </c>
      <c r="I445" s="294" t="s">
        <v>169</v>
      </c>
      <c r="J445" s="307" t="s">
        <v>177</v>
      </c>
      <c r="K445" s="326" t="s">
        <v>302</v>
      </c>
      <c r="L445" s="1241">
        <v>23173</v>
      </c>
      <c r="M445" s="296"/>
      <c r="N445" s="294"/>
      <c r="O445" s="355">
        <v>202.6</v>
      </c>
      <c r="P445" s="294">
        <v>1</v>
      </c>
      <c r="Q445" s="299">
        <f>O445*P445</f>
        <v>202.6</v>
      </c>
      <c r="R445" s="299"/>
      <c r="S445" s="298"/>
      <c r="T445" s="298"/>
      <c r="U445" s="298"/>
      <c r="V445" s="298"/>
      <c r="W445" s="355">
        <v>202.6</v>
      </c>
      <c r="X445" s="1137"/>
      <c r="Y445" s="1126"/>
      <c r="Z445" s="1126"/>
      <c r="AA445" s="1126"/>
      <c r="AB445" s="1126"/>
      <c r="AC445" s="1126"/>
      <c r="AD445" s="1126"/>
      <c r="AE445" s="1126"/>
      <c r="AF445" s="1126"/>
      <c r="AG445" s="547">
        <f t="shared" ref="AG445:AG450" si="79">SUM(S445:AF445)</f>
        <v>202.6</v>
      </c>
    </row>
    <row r="446" spans="1:33" s="280" customFormat="1" hidden="1">
      <c r="A446" s="998">
        <v>3211</v>
      </c>
      <c r="B446" s="291" t="s">
        <v>556</v>
      </c>
      <c r="C446" s="824" t="s">
        <v>560</v>
      </c>
      <c r="D446" s="1391"/>
      <c r="E446" s="294">
        <f>10</f>
        <v>10</v>
      </c>
      <c r="F446" s="829">
        <v>43252</v>
      </c>
      <c r="G446" s="829">
        <f>+F446+E446</f>
        <v>43262</v>
      </c>
      <c r="H446" s="1391" t="s">
        <v>555</v>
      </c>
      <c r="I446" s="294" t="s">
        <v>177</v>
      </c>
      <c r="J446" s="307"/>
      <c r="K446" s="326" t="s">
        <v>561</v>
      </c>
      <c r="L446" s="1241">
        <v>23174</v>
      </c>
      <c r="M446" s="296"/>
      <c r="N446" s="294"/>
      <c r="O446" s="1364">
        <v>4064</v>
      </c>
      <c r="P446" s="294">
        <v>1</v>
      </c>
      <c r="Q446" s="299">
        <f>O446*P446</f>
        <v>4064</v>
      </c>
      <c r="R446" s="299"/>
      <c r="S446" s="298"/>
      <c r="T446" s="298"/>
      <c r="U446" s="298"/>
      <c r="V446" s="298"/>
      <c r="W446" s="355">
        <v>4064</v>
      </c>
      <c r="X446" s="1137"/>
      <c r="Y446" s="1126"/>
      <c r="Z446" s="1126"/>
      <c r="AA446" s="1126"/>
      <c r="AB446" s="1126"/>
      <c r="AC446" s="1126"/>
      <c r="AD446" s="1126"/>
      <c r="AE446" s="1126"/>
      <c r="AF446" s="1126"/>
      <c r="AG446" s="547">
        <f t="shared" si="79"/>
        <v>4064</v>
      </c>
    </row>
    <row r="447" spans="1:33" s="280" customFormat="1" hidden="1">
      <c r="A447" s="998">
        <v>3211</v>
      </c>
      <c r="B447" s="291" t="s">
        <v>556</v>
      </c>
      <c r="C447" s="824" t="s">
        <v>562</v>
      </c>
      <c r="D447" s="1391"/>
      <c r="E447" s="294">
        <f>10</f>
        <v>10</v>
      </c>
      <c r="F447" s="829">
        <v>43252</v>
      </c>
      <c r="G447" s="829">
        <f>+F447+E447</f>
        <v>43262</v>
      </c>
      <c r="H447" s="1391" t="s">
        <v>555</v>
      </c>
      <c r="I447" s="294" t="s">
        <v>177</v>
      </c>
      <c r="J447" s="307"/>
      <c r="K447" s="326" t="s">
        <v>563</v>
      </c>
      <c r="L447" s="1241">
        <v>23174</v>
      </c>
      <c r="M447" s="296"/>
      <c r="N447" s="294"/>
      <c r="O447" s="355">
        <v>1640</v>
      </c>
      <c r="P447" s="294">
        <v>1</v>
      </c>
      <c r="Q447" s="299">
        <f>O447*P447</f>
        <v>1640</v>
      </c>
      <c r="R447" s="299"/>
      <c r="S447" s="298"/>
      <c r="T447" s="298"/>
      <c r="U447" s="298"/>
      <c r="V447" s="298"/>
      <c r="W447" s="355">
        <v>1640</v>
      </c>
      <c r="X447" s="1137"/>
      <c r="Y447" s="1126"/>
      <c r="Z447" s="1126"/>
      <c r="AA447" s="1126"/>
      <c r="AB447" s="1126"/>
      <c r="AC447" s="1126"/>
      <c r="AD447" s="1126"/>
      <c r="AE447" s="1126"/>
      <c r="AF447" s="1126"/>
      <c r="AG447" s="547">
        <f t="shared" si="79"/>
        <v>1640</v>
      </c>
    </row>
    <row r="448" spans="1:33" s="280" customFormat="1" hidden="1">
      <c r="A448" s="998">
        <v>3211</v>
      </c>
      <c r="B448" s="291" t="s">
        <v>556</v>
      </c>
      <c r="C448" s="824" t="s">
        <v>564</v>
      </c>
      <c r="D448" s="1391"/>
      <c r="E448" s="294">
        <f>10</f>
        <v>10</v>
      </c>
      <c r="F448" s="829">
        <v>43252</v>
      </c>
      <c r="G448" s="829">
        <f>+F448+E448</f>
        <v>43262</v>
      </c>
      <c r="H448" s="1391" t="s">
        <v>555</v>
      </c>
      <c r="I448" s="294" t="s">
        <v>177</v>
      </c>
      <c r="J448" s="307"/>
      <c r="K448" s="326" t="s">
        <v>565</v>
      </c>
      <c r="L448" s="1241">
        <v>23174</v>
      </c>
      <c r="M448" s="296"/>
      <c r="N448" s="294"/>
      <c r="O448" s="355">
        <v>426.73333333333335</v>
      </c>
      <c r="P448" s="294">
        <v>1</v>
      </c>
      <c r="Q448" s="299">
        <f>O448*P448</f>
        <v>426.73333333333335</v>
      </c>
      <c r="R448" s="299"/>
      <c r="S448" s="298"/>
      <c r="T448" s="298"/>
      <c r="U448" s="298"/>
      <c r="V448" s="298"/>
      <c r="W448" s="355">
        <v>426.73333333333335</v>
      </c>
      <c r="X448" s="1137"/>
      <c r="Y448" s="1126"/>
      <c r="Z448" s="1126"/>
      <c r="AA448" s="1126"/>
      <c r="AB448" s="1126"/>
      <c r="AC448" s="1126"/>
      <c r="AD448" s="1126"/>
      <c r="AE448" s="1126"/>
      <c r="AF448" s="1126"/>
      <c r="AG448" s="547">
        <f t="shared" si="79"/>
        <v>426.73333333333335</v>
      </c>
    </row>
    <row r="449" spans="1:33" s="280" customFormat="1" hidden="1">
      <c r="A449" s="998">
        <v>3211</v>
      </c>
      <c r="B449" s="291" t="s">
        <v>556</v>
      </c>
      <c r="C449" s="824" t="s">
        <v>566</v>
      </c>
      <c r="D449" s="1391"/>
      <c r="E449" s="294">
        <f>10</f>
        <v>10</v>
      </c>
      <c r="F449" s="829">
        <v>43252</v>
      </c>
      <c r="G449" s="829">
        <f>+F449+E449</f>
        <v>43262</v>
      </c>
      <c r="H449" s="1391" t="s">
        <v>555</v>
      </c>
      <c r="I449" s="294" t="s">
        <v>169</v>
      </c>
      <c r="J449" s="307" t="s">
        <v>177</v>
      </c>
      <c r="K449" s="326" t="s">
        <v>486</v>
      </c>
      <c r="L449" s="1241">
        <v>23173</v>
      </c>
      <c r="M449" s="296"/>
      <c r="N449" s="294"/>
      <c r="O449" s="355">
        <v>333.33333333333331</v>
      </c>
      <c r="P449" s="294">
        <v>1</v>
      </c>
      <c r="Q449" s="299">
        <f>O449*P449</f>
        <v>333.33333333333331</v>
      </c>
      <c r="R449" s="299"/>
      <c r="S449" s="298"/>
      <c r="T449" s="298"/>
      <c r="U449" s="298"/>
      <c r="V449" s="298"/>
      <c r="W449" s="355">
        <v>333.33333333333331</v>
      </c>
      <c r="X449" s="1137"/>
      <c r="Y449" s="1126"/>
      <c r="Z449" s="1126"/>
      <c r="AA449" s="1126"/>
      <c r="AB449" s="1126"/>
      <c r="AC449" s="1126"/>
      <c r="AD449" s="1126"/>
      <c r="AE449" s="1126"/>
      <c r="AF449" s="1126"/>
      <c r="AG449" s="547">
        <f t="shared" si="79"/>
        <v>333.33333333333331</v>
      </c>
    </row>
    <row r="450" spans="1:33" s="280" customFormat="1" ht="26.25" customHeight="1">
      <c r="A450" s="2789">
        <v>3212</v>
      </c>
      <c r="B450" s="2790" t="s">
        <v>570</v>
      </c>
      <c r="C450" s="2790" t="s">
        <v>571</v>
      </c>
      <c r="D450" s="2789"/>
      <c r="E450" s="2789"/>
      <c r="F450" s="2881">
        <v>43282</v>
      </c>
      <c r="G450" s="2881"/>
      <c r="H450" s="2789" t="s">
        <v>555</v>
      </c>
      <c r="I450" s="2934" t="s">
        <v>169</v>
      </c>
      <c r="J450" s="2793" t="s">
        <v>177</v>
      </c>
      <c r="K450" s="326" t="s">
        <v>302</v>
      </c>
      <c r="L450" s="1241">
        <v>23173</v>
      </c>
      <c r="M450" s="296"/>
      <c r="N450" s="294"/>
      <c r="O450" s="487">
        <v>0.63</v>
      </c>
      <c r="P450" s="1014">
        <v>25600</v>
      </c>
      <c r="Q450" s="3020">
        <f>+O450*P450</f>
        <v>16128</v>
      </c>
      <c r="R450" s="518"/>
      <c r="S450" s="493"/>
      <c r="T450" s="493"/>
      <c r="U450" s="493"/>
      <c r="V450" s="493"/>
      <c r="W450" s="487">
        <v>16128</v>
      </c>
      <c r="X450" s="1138"/>
      <c r="Y450" s="1156"/>
      <c r="Z450" s="1156"/>
      <c r="AA450" s="1156"/>
      <c r="AB450" s="1156"/>
      <c r="AC450" s="1156"/>
      <c r="AD450" s="1156"/>
      <c r="AE450" s="1156"/>
      <c r="AF450" s="1156"/>
      <c r="AG450" s="547">
        <f t="shared" si="79"/>
        <v>16128</v>
      </c>
    </row>
    <row r="451" spans="1:33" s="280" customFormat="1">
      <c r="A451" s="1275">
        <v>322</v>
      </c>
      <c r="B451" s="523" t="s">
        <v>572</v>
      </c>
      <c r="C451" s="1504"/>
      <c r="D451" s="1358"/>
      <c r="E451" s="1358"/>
      <c r="F451" s="1358"/>
      <c r="G451" s="1358"/>
      <c r="H451" s="1358"/>
      <c r="I451" s="1358"/>
      <c r="J451" s="283"/>
      <c r="K451" s="1278"/>
      <c r="L451" s="1394"/>
      <c r="M451" s="495"/>
      <c r="N451" s="1277"/>
      <c r="O451" s="1395"/>
      <c r="P451" s="1277"/>
      <c r="Q451" s="547">
        <f>SUM(Q454:Q459)</f>
        <v>7666.666666666667</v>
      </c>
      <c r="R451" s="287"/>
      <c r="S451" s="1282">
        <f t="shared" ref="S451:AF451" si="80">SUM(S454:S459)</f>
        <v>0</v>
      </c>
      <c r="T451" s="1282">
        <f t="shared" si="80"/>
        <v>0</v>
      </c>
      <c r="U451" s="1282">
        <f t="shared" si="80"/>
        <v>0</v>
      </c>
      <c r="V451" s="1282">
        <f t="shared" si="80"/>
        <v>0</v>
      </c>
      <c r="W451" s="1282">
        <f t="shared" si="80"/>
        <v>0</v>
      </c>
      <c r="X451" s="1282">
        <f t="shared" si="80"/>
        <v>0</v>
      </c>
      <c r="Y451" s="1282">
        <f t="shared" si="80"/>
        <v>0</v>
      </c>
      <c r="Z451" s="1282">
        <f t="shared" si="80"/>
        <v>7666.666666666667</v>
      </c>
      <c r="AA451" s="1282">
        <f t="shared" si="80"/>
        <v>0</v>
      </c>
      <c r="AB451" s="1282">
        <f t="shared" si="80"/>
        <v>0</v>
      </c>
      <c r="AC451" s="1282">
        <f t="shared" si="80"/>
        <v>0</v>
      </c>
      <c r="AD451" s="1282">
        <f t="shared" si="80"/>
        <v>0</v>
      </c>
      <c r="AE451" s="1282">
        <f t="shared" si="80"/>
        <v>0</v>
      </c>
      <c r="AF451" s="1282">
        <f t="shared" si="80"/>
        <v>0</v>
      </c>
      <c r="AG451" s="547">
        <f>SUM(S451:AF451)</f>
        <v>7666.666666666667</v>
      </c>
    </row>
    <row r="452" spans="1:33" s="280" customFormat="1">
      <c r="A452" s="2731"/>
      <c r="B452" s="2925"/>
      <c r="C452" s="2844"/>
      <c r="D452" s="2845"/>
      <c r="E452" s="2845"/>
      <c r="F452" s="2845"/>
      <c r="G452" s="2845"/>
      <c r="H452" s="2845"/>
      <c r="I452" s="2845"/>
      <c r="J452" s="1129"/>
      <c r="K452" s="1432"/>
      <c r="L452" s="2846"/>
      <c r="M452" s="2847"/>
      <c r="N452" s="1431"/>
      <c r="O452" s="1435"/>
      <c r="P452" s="1431"/>
      <c r="Q452" s="2355"/>
      <c r="R452" s="1133"/>
      <c r="S452" s="1343"/>
      <c r="T452" s="1343"/>
      <c r="U452" s="1343"/>
      <c r="V452" s="1343"/>
      <c r="W452" s="1343"/>
      <c r="X452" s="1342"/>
      <c r="Y452" s="1343"/>
      <c r="Z452" s="1343"/>
      <c r="AA452" s="1343"/>
      <c r="AB452" s="1343"/>
      <c r="AC452" s="1343"/>
      <c r="AD452" s="1343"/>
      <c r="AE452" s="1343"/>
      <c r="AF452" s="1343"/>
      <c r="AG452" s="2355"/>
    </row>
    <row r="453" spans="1:33" s="280" customFormat="1" ht="39.75" customHeight="1">
      <c r="A453" s="998">
        <v>3221</v>
      </c>
      <c r="B453" s="2928" t="s">
        <v>575</v>
      </c>
      <c r="C453" s="2790" t="s">
        <v>579</v>
      </c>
      <c r="D453" s="2789" t="s">
        <v>514</v>
      </c>
      <c r="E453" s="2789">
        <v>45</v>
      </c>
      <c r="F453" s="2881">
        <v>43194</v>
      </c>
      <c r="G453" s="2881">
        <f t="shared" ref="G453:G459" si="81">+F453+E453</f>
        <v>43239</v>
      </c>
      <c r="H453" s="2924" t="s">
        <v>555</v>
      </c>
      <c r="I453" s="2789" t="s">
        <v>169</v>
      </c>
      <c r="J453" s="2793"/>
      <c r="K453" s="1432"/>
      <c r="L453" s="2846"/>
      <c r="M453" s="2847"/>
      <c r="N453" s="1431"/>
      <c r="O453" s="1435"/>
      <c r="P453" s="1431"/>
      <c r="Q453" s="2355"/>
      <c r="R453" s="1133"/>
      <c r="S453" s="1343"/>
      <c r="T453" s="1343"/>
      <c r="U453" s="1343"/>
      <c r="V453" s="1343"/>
      <c r="W453" s="1343"/>
      <c r="X453" s="1342"/>
      <c r="Y453" s="1343"/>
      <c r="Z453" s="1343"/>
      <c r="AA453" s="1343"/>
      <c r="AB453" s="1343"/>
      <c r="AC453" s="1343"/>
      <c r="AD453" s="1343"/>
      <c r="AE453" s="1343"/>
      <c r="AF453" s="1343"/>
      <c r="AG453" s="2355"/>
    </row>
    <row r="454" spans="1:33" s="280" customFormat="1" hidden="1">
      <c r="A454" s="294">
        <v>3221</v>
      </c>
      <c r="B454" s="561" t="s">
        <v>575</v>
      </c>
      <c r="C454" s="824" t="s">
        <v>579</v>
      </c>
      <c r="D454" s="294" t="s">
        <v>514</v>
      </c>
      <c r="E454" s="294">
        <v>45</v>
      </c>
      <c r="F454" s="829">
        <v>43194</v>
      </c>
      <c r="G454" s="829">
        <f t="shared" si="81"/>
        <v>43239</v>
      </c>
      <c r="H454" s="1391" t="s">
        <v>555</v>
      </c>
      <c r="I454" s="294" t="s">
        <v>169</v>
      </c>
      <c r="J454" s="307"/>
      <c r="K454" s="326" t="s">
        <v>302</v>
      </c>
      <c r="L454" s="1241">
        <v>23173</v>
      </c>
      <c r="M454" s="296"/>
      <c r="N454" s="294"/>
      <c r="O454" s="355">
        <v>202.6</v>
      </c>
      <c r="P454" s="294">
        <f>1</f>
        <v>1</v>
      </c>
      <c r="Q454" s="299">
        <f t="shared" ref="Q454:Q459" si="82">+O454*P454</f>
        <v>202.6</v>
      </c>
      <c r="R454" s="299"/>
      <c r="S454" s="298"/>
      <c r="T454" s="298"/>
      <c r="U454" s="298"/>
      <c r="V454" s="298"/>
      <c r="W454" s="355"/>
      <c r="X454" s="1137"/>
      <c r="Y454" s="1126"/>
      <c r="Z454" s="1126">
        <v>202.6</v>
      </c>
      <c r="AA454" s="1126"/>
      <c r="AB454" s="1126"/>
      <c r="AC454" s="1126"/>
      <c r="AD454" s="1126"/>
      <c r="AE454" s="1126"/>
      <c r="AF454" s="1126"/>
      <c r="AG454" s="547">
        <f t="shared" ref="AG454:AG459" si="83">SUM(S454:AF454)</f>
        <v>202.6</v>
      </c>
    </row>
    <row r="455" spans="1:33" s="280" customFormat="1" hidden="1">
      <c r="A455" s="294">
        <v>3221</v>
      </c>
      <c r="B455" s="561" t="s">
        <v>575</v>
      </c>
      <c r="C455" s="824" t="s">
        <v>560</v>
      </c>
      <c r="D455" s="1391"/>
      <c r="E455" s="294">
        <v>10</v>
      </c>
      <c r="F455" s="829">
        <v>43313</v>
      </c>
      <c r="G455" s="829">
        <f t="shared" si="81"/>
        <v>43323</v>
      </c>
      <c r="H455" s="1391" t="s">
        <v>555</v>
      </c>
      <c r="I455" s="294" t="s">
        <v>177</v>
      </c>
      <c r="J455" s="307"/>
      <c r="K455" s="326" t="s">
        <v>561</v>
      </c>
      <c r="L455" s="1241">
        <v>23174</v>
      </c>
      <c r="M455" s="296"/>
      <c r="N455" s="294"/>
      <c r="O455" s="355">
        <v>4064</v>
      </c>
      <c r="P455" s="294">
        <f>1</f>
        <v>1</v>
      </c>
      <c r="Q455" s="299">
        <f t="shared" si="82"/>
        <v>4064</v>
      </c>
      <c r="R455" s="299"/>
      <c r="S455" s="298"/>
      <c r="T455" s="298"/>
      <c r="U455" s="298"/>
      <c r="V455" s="298"/>
      <c r="W455" s="355"/>
      <c r="X455" s="1137"/>
      <c r="Y455" s="1126"/>
      <c r="Z455" s="1126">
        <v>4064</v>
      </c>
      <c r="AA455" s="1126"/>
      <c r="AB455" s="1126"/>
      <c r="AC455" s="1126"/>
      <c r="AD455" s="1126"/>
      <c r="AE455" s="1126"/>
      <c r="AF455" s="1126"/>
      <c r="AG455" s="547">
        <f t="shared" si="83"/>
        <v>4064</v>
      </c>
    </row>
    <row r="456" spans="1:33" s="280" customFormat="1" hidden="1">
      <c r="A456" s="294">
        <v>3221</v>
      </c>
      <c r="B456" s="561" t="s">
        <v>575</v>
      </c>
      <c r="C456" s="824" t="s">
        <v>562</v>
      </c>
      <c r="D456" s="1391"/>
      <c r="E456" s="294">
        <f>10</f>
        <v>10</v>
      </c>
      <c r="F456" s="829">
        <v>43313</v>
      </c>
      <c r="G456" s="829">
        <f t="shared" si="81"/>
        <v>43323</v>
      </c>
      <c r="H456" s="1391" t="s">
        <v>555</v>
      </c>
      <c r="I456" s="294" t="s">
        <v>177</v>
      </c>
      <c r="J456" s="307"/>
      <c r="K456" s="326" t="s">
        <v>563</v>
      </c>
      <c r="L456" s="1241">
        <v>23174</v>
      </c>
      <c r="M456" s="296"/>
      <c r="N456" s="294"/>
      <c r="O456" s="355">
        <v>1640</v>
      </c>
      <c r="P456" s="294">
        <f>1</f>
        <v>1</v>
      </c>
      <c r="Q456" s="299">
        <f t="shared" si="82"/>
        <v>1640</v>
      </c>
      <c r="R456" s="299"/>
      <c r="S456" s="298"/>
      <c r="T456" s="298"/>
      <c r="U456" s="298"/>
      <c r="V456" s="298"/>
      <c r="W456" s="355"/>
      <c r="X456" s="1137"/>
      <c r="Y456" s="1126"/>
      <c r="Z456" s="1126">
        <v>1640</v>
      </c>
      <c r="AA456" s="1126"/>
      <c r="AB456" s="1126"/>
      <c r="AC456" s="1126"/>
      <c r="AD456" s="1126"/>
      <c r="AE456" s="1126"/>
      <c r="AF456" s="1126"/>
      <c r="AG456" s="547">
        <f t="shared" si="83"/>
        <v>1640</v>
      </c>
    </row>
    <row r="457" spans="1:33" s="280" customFormat="1" hidden="1">
      <c r="A457" s="294">
        <v>3221</v>
      </c>
      <c r="B457" s="561" t="s">
        <v>575</v>
      </c>
      <c r="C457" s="824" t="s">
        <v>564</v>
      </c>
      <c r="D457" s="1391"/>
      <c r="E457" s="294">
        <f>10</f>
        <v>10</v>
      </c>
      <c r="F457" s="829">
        <v>43313</v>
      </c>
      <c r="G457" s="829">
        <f t="shared" si="81"/>
        <v>43323</v>
      </c>
      <c r="H457" s="1391" t="s">
        <v>555</v>
      </c>
      <c r="I457" s="294" t="s">
        <v>177</v>
      </c>
      <c r="J457" s="307"/>
      <c r="K457" s="326" t="s">
        <v>565</v>
      </c>
      <c r="L457" s="1241">
        <v>23174</v>
      </c>
      <c r="M457" s="296"/>
      <c r="N457" s="294"/>
      <c r="O457" s="355">
        <v>426.73333333333335</v>
      </c>
      <c r="P457" s="294">
        <f>1</f>
        <v>1</v>
      </c>
      <c r="Q457" s="299">
        <f t="shared" si="82"/>
        <v>426.73333333333335</v>
      </c>
      <c r="R457" s="299"/>
      <c r="S457" s="298"/>
      <c r="T457" s="298"/>
      <c r="U457" s="298"/>
      <c r="V457" s="298"/>
      <c r="W457" s="355"/>
      <c r="X457" s="1137"/>
      <c r="Y457" s="1126"/>
      <c r="Z457" s="1126">
        <v>426.73333333333335</v>
      </c>
      <c r="AA457" s="1126"/>
      <c r="AB457" s="1126"/>
      <c r="AC457" s="1126"/>
      <c r="AD457" s="1126"/>
      <c r="AE457" s="1126"/>
      <c r="AF457" s="1126"/>
      <c r="AG457" s="547">
        <f t="shared" si="83"/>
        <v>426.73333333333335</v>
      </c>
    </row>
    <row r="458" spans="1:33" s="280" customFormat="1" hidden="1">
      <c r="A458" s="294">
        <v>3221</v>
      </c>
      <c r="B458" s="561" t="s">
        <v>575</v>
      </c>
      <c r="C458" s="824" t="s">
        <v>566</v>
      </c>
      <c r="D458" s="1391"/>
      <c r="E458" s="294">
        <f>10</f>
        <v>10</v>
      </c>
      <c r="F458" s="829">
        <v>43313</v>
      </c>
      <c r="G458" s="829">
        <f t="shared" si="81"/>
        <v>43323</v>
      </c>
      <c r="H458" s="1391" t="s">
        <v>555</v>
      </c>
      <c r="I458" s="294" t="s">
        <v>169</v>
      </c>
      <c r="J458" s="307" t="s">
        <v>177</v>
      </c>
      <c r="K458" s="326" t="s">
        <v>486</v>
      </c>
      <c r="L458" s="1241">
        <v>23173</v>
      </c>
      <c r="M458" s="296"/>
      <c r="N458" s="294"/>
      <c r="O458" s="355">
        <v>333.33333333333331</v>
      </c>
      <c r="P458" s="294">
        <f>1</f>
        <v>1</v>
      </c>
      <c r="Q458" s="299">
        <f t="shared" si="82"/>
        <v>333.33333333333331</v>
      </c>
      <c r="R458" s="299"/>
      <c r="S458" s="298"/>
      <c r="T458" s="298"/>
      <c r="U458" s="298"/>
      <c r="V458" s="298"/>
      <c r="W458" s="355"/>
      <c r="X458" s="1137"/>
      <c r="Y458" s="1126"/>
      <c r="Z458" s="1126">
        <v>333.33333333333331</v>
      </c>
      <c r="AA458" s="1126"/>
      <c r="AB458" s="1126"/>
      <c r="AC458" s="1126"/>
      <c r="AD458" s="1126"/>
      <c r="AE458" s="1126"/>
      <c r="AF458" s="1126"/>
      <c r="AG458" s="547">
        <f t="shared" si="83"/>
        <v>333.33333333333331</v>
      </c>
    </row>
    <row r="459" spans="1:33" s="280" customFormat="1" ht="38.25" customHeight="1">
      <c r="A459" s="2930">
        <v>3222</v>
      </c>
      <c r="B459" s="2790" t="s">
        <v>583</v>
      </c>
      <c r="C459" s="2790" t="s">
        <v>584</v>
      </c>
      <c r="D459" s="2929"/>
      <c r="E459" s="2924">
        <v>5</v>
      </c>
      <c r="F459" s="2881">
        <v>43381</v>
      </c>
      <c r="G459" s="2881">
        <f t="shared" si="81"/>
        <v>43386</v>
      </c>
      <c r="H459" s="2924" t="s">
        <v>555</v>
      </c>
      <c r="I459" s="2789" t="s">
        <v>169</v>
      </c>
      <c r="J459" s="2793" t="s">
        <v>177</v>
      </c>
      <c r="K459" s="326"/>
      <c r="L459" s="1241">
        <v>23173</v>
      </c>
      <c r="M459" s="296"/>
      <c r="N459" s="294"/>
      <c r="O459" s="487">
        <v>1000</v>
      </c>
      <c r="P459" s="294">
        <v>1</v>
      </c>
      <c r="Q459" s="518">
        <f t="shared" si="82"/>
        <v>1000</v>
      </c>
      <c r="R459" s="518"/>
      <c r="S459" s="493"/>
      <c r="T459" s="493"/>
      <c r="U459" s="493"/>
      <c r="V459" s="493"/>
      <c r="W459" s="487"/>
      <c r="X459" s="563"/>
      <c r="Y459" s="1156"/>
      <c r="Z459" s="1156">
        <v>1000</v>
      </c>
      <c r="AA459" s="1156"/>
      <c r="AB459" s="1156"/>
      <c r="AC459" s="1156"/>
      <c r="AD459" s="1156"/>
      <c r="AE459" s="1156"/>
      <c r="AF459" s="1156"/>
      <c r="AG459" s="547">
        <f t="shared" si="83"/>
        <v>1000</v>
      </c>
    </row>
    <row r="460" spans="1:33" s="280" customFormat="1" ht="32.25" customHeight="1">
      <c r="A460" s="1275">
        <v>323</v>
      </c>
      <c r="B460" s="523" t="s">
        <v>585</v>
      </c>
      <c r="C460" s="1504"/>
      <c r="D460" s="1358"/>
      <c r="E460" s="1358"/>
      <c r="F460" s="1358"/>
      <c r="G460" s="1358"/>
      <c r="H460" s="1358"/>
      <c r="I460" s="1358"/>
      <c r="J460" s="283"/>
      <c r="K460" s="1278"/>
      <c r="L460" s="1394"/>
      <c r="M460" s="495"/>
      <c r="N460" s="1277"/>
      <c r="O460" s="1395"/>
      <c r="P460" s="1277"/>
      <c r="Q460" s="547">
        <f>SUM(Q462:Q476)</f>
        <v>14314.71</v>
      </c>
      <c r="R460" s="287"/>
      <c r="S460" s="1282">
        <f t="shared" ref="S460:AF460" si="84">SUM(S462:S476)</f>
        <v>0</v>
      </c>
      <c r="T460" s="1282">
        <f t="shared" si="84"/>
        <v>0</v>
      </c>
      <c r="U460" s="1282">
        <f t="shared" si="84"/>
        <v>0</v>
      </c>
      <c r="V460" s="1282">
        <f t="shared" si="84"/>
        <v>0</v>
      </c>
      <c r="W460" s="1282">
        <f t="shared" si="84"/>
        <v>0</v>
      </c>
      <c r="X460" s="1282">
        <f t="shared" si="84"/>
        <v>14314.71</v>
      </c>
      <c r="Y460" s="1282">
        <f t="shared" si="84"/>
        <v>0</v>
      </c>
      <c r="Z460" s="1282">
        <f t="shared" si="84"/>
        <v>0</v>
      </c>
      <c r="AA460" s="1282">
        <f t="shared" si="84"/>
        <v>0</v>
      </c>
      <c r="AB460" s="1282">
        <f t="shared" si="84"/>
        <v>0</v>
      </c>
      <c r="AC460" s="1282">
        <f t="shared" si="84"/>
        <v>0</v>
      </c>
      <c r="AD460" s="1282">
        <f t="shared" si="84"/>
        <v>0</v>
      </c>
      <c r="AE460" s="1282">
        <f t="shared" si="84"/>
        <v>0</v>
      </c>
      <c r="AF460" s="1282">
        <f t="shared" si="84"/>
        <v>0</v>
      </c>
      <c r="AG460" s="547">
        <f>SUM(S460:AF460)</f>
        <v>14314.71</v>
      </c>
    </row>
    <row r="461" spans="1:33" s="280" customFormat="1" ht="31.5" customHeight="1">
      <c r="A461" s="2839">
        <v>3231</v>
      </c>
      <c r="B461" s="2840" t="s">
        <v>588</v>
      </c>
      <c r="C461" s="2840" t="s">
        <v>579</v>
      </c>
      <c r="D461" s="2931"/>
      <c r="E461" s="2839">
        <v>45</v>
      </c>
      <c r="F461" s="2926">
        <v>43194</v>
      </c>
      <c r="G461" s="2926">
        <f t="shared" ref="G461:G469" si="85">+F461+E461</f>
        <v>43239</v>
      </c>
      <c r="H461" s="2927"/>
      <c r="I461" s="2839" t="s">
        <v>169</v>
      </c>
      <c r="J461" s="2841" t="s">
        <v>177</v>
      </c>
      <c r="K461" s="1432"/>
      <c r="L461" s="2846"/>
      <c r="M461" s="2847"/>
      <c r="N461" s="1431"/>
      <c r="O461" s="1435"/>
      <c r="P461" s="1431"/>
      <c r="Q461" s="2355"/>
      <c r="R461" s="1133"/>
      <c r="S461" s="1343"/>
      <c r="T461" s="1343"/>
      <c r="U461" s="1343"/>
      <c r="V461" s="1343"/>
      <c r="W461" s="1343"/>
      <c r="X461" s="1342"/>
      <c r="Y461" s="1343"/>
      <c r="Z461" s="1343"/>
      <c r="AA461" s="1343"/>
      <c r="AB461" s="1343"/>
      <c r="AC461" s="1343"/>
      <c r="AD461" s="1343"/>
      <c r="AE461" s="1343"/>
      <c r="AF461" s="1343"/>
      <c r="AG461" s="2355"/>
    </row>
    <row r="462" spans="1:33" s="280" customFormat="1" hidden="1">
      <c r="A462" s="294">
        <v>3231</v>
      </c>
      <c r="B462" s="291" t="s">
        <v>588</v>
      </c>
      <c r="C462" s="824" t="s">
        <v>579</v>
      </c>
      <c r="D462" s="341"/>
      <c r="E462" s="294">
        <v>45</v>
      </c>
      <c r="F462" s="829">
        <v>43194</v>
      </c>
      <c r="G462" s="829">
        <f t="shared" si="85"/>
        <v>43239</v>
      </c>
      <c r="H462" s="1391"/>
      <c r="I462" s="294" t="s">
        <v>169</v>
      </c>
      <c r="J462" s="307" t="s">
        <v>177</v>
      </c>
      <c r="K462" s="326" t="s">
        <v>302</v>
      </c>
      <c r="L462" s="1241">
        <v>23173</v>
      </c>
      <c r="M462" s="296"/>
      <c r="N462" s="294"/>
      <c r="O462" s="355">
        <v>79.5</v>
      </c>
      <c r="P462" s="294">
        <v>1</v>
      </c>
      <c r="Q462" s="299">
        <f t="shared" ref="Q462:Q467" si="86">+O462*P462</f>
        <v>79.5</v>
      </c>
      <c r="R462" s="299"/>
      <c r="S462" s="298"/>
      <c r="T462" s="298"/>
      <c r="U462" s="298"/>
      <c r="V462" s="298"/>
      <c r="W462" s="355"/>
      <c r="X462" s="1137">
        <v>79.5</v>
      </c>
      <c r="Y462" s="1126"/>
      <c r="Z462" s="1152"/>
      <c r="AA462" s="1152"/>
      <c r="AB462" s="1152"/>
      <c r="AC462" s="1152"/>
      <c r="AD462" s="1152"/>
      <c r="AE462" s="1152"/>
      <c r="AF462" s="1152"/>
      <c r="AG462" s="547">
        <f t="shared" ref="AG462:AG476" si="87">SUM(S462:AF462)</f>
        <v>79.5</v>
      </c>
    </row>
    <row r="463" spans="1:33" s="280" customFormat="1" hidden="1">
      <c r="A463" s="294">
        <v>3231</v>
      </c>
      <c r="B463" s="291" t="s">
        <v>588</v>
      </c>
      <c r="C463" s="824" t="s">
        <v>560</v>
      </c>
      <c r="D463" s="1391"/>
      <c r="E463" s="294">
        <v>6</v>
      </c>
      <c r="F463" s="829">
        <v>43287</v>
      </c>
      <c r="G463" s="829">
        <f t="shared" si="85"/>
        <v>43293</v>
      </c>
      <c r="H463" s="1391"/>
      <c r="I463" s="294" t="s">
        <v>177</v>
      </c>
      <c r="J463" s="307"/>
      <c r="K463" s="326" t="s">
        <v>561</v>
      </c>
      <c r="L463" s="1241">
        <v>23174</v>
      </c>
      <c r="M463" s="296"/>
      <c r="N463" s="294"/>
      <c r="O463" s="355">
        <v>2400</v>
      </c>
      <c r="P463" s="294">
        <v>1</v>
      </c>
      <c r="Q463" s="299">
        <f t="shared" si="86"/>
        <v>2400</v>
      </c>
      <c r="R463" s="299"/>
      <c r="S463" s="298"/>
      <c r="T463" s="298"/>
      <c r="U463" s="298"/>
      <c r="V463" s="298"/>
      <c r="W463" s="355"/>
      <c r="X463" s="1137">
        <v>2400</v>
      </c>
      <c r="Y463" s="1126"/>
      <c r="Z463" s="1152"/>
      <c r="AA463" s="1152"/>
      <c r="AB463" s="1152"/>
      <c r="AC463" s="1152"/>
      <c r="AD463" s="1152"/>
      <c r="AE463" s="1152"/>
      <c r="AF463" s="1152"/>
      <c r="AG463" s="547">
        <f t="shared" si="87"/>
        <v>2400</v>
      </c>
    </row>
    <row r="464" spans="1:33" s="280" customFormat="1" ht="36" hidden="1" customHeight="1">
      <c r="A464" s="294">
        <v>3231</v>
      </c>
      <c r="B464" s="291" t="s">
        <v>588</v>
      </c>
      <c r="C464" s="824" t="s">
        <v>562</v>
      </c>
      <c r="D464" s="1391"/>
      <c r="E464" s="294">
        <v>6</v>
      </c>
      <c r="F464" s="829">
        <v>43287</v>
      </c>
      <c r="G464" s="829">
        <f t="shared" si="85"/>
        <v>43293</v>
      </c>
      <c r="H464" s="1391"/>
      <c r="I464" s="294" t="s">
        <v>177</v>
      </c>
      <c r="J464" s="307"/>
      <c r="K464" s="326" t="s">
        <v>563</v>
      </c>
      <c r="L464" s="1241">
        <v>23174</v>
      </c>
      <c r="M464" s="296"/>
      <c r="N464" s="294"/>
      <c r="O464" s="355">
        <v>1973.3333333333333</v>
      </c>
      <c r="P464" s="294">
        <v>1</v>
      </c>
      <c r="Q464" s="299">
        <f t="shared" si="86"/>
        <v>1973.3333333333333</v>
      </c>
      <c r="R464" s="299"/>
      <c r="S464" s="298"/>
      <c r="T464" s="298"/>
      <c r="U464" s="298"/>
      <c r="V464" s="298"/>
      <c r="W464" s="355"/>
      <c r="X464" s="1137">
        <v>1973.3333333333333</v>
      </c>
      <c r="Y464" s="1126"/>
      <c r="Z464" s="1152"/>
      <c r="AA464" s="1152"/>
      <c r="AB464" s="1152"/>
      <c r="AC464" s="1152"/>
      <c r="AD464" s="1152"/>
      <c r="AE464" s="1152"/>
      <c r="AF464" s="1152"/>
      <c r="AG464" s="547">
        <f t="shared" si="87"/>
        <v>1973.3333333333333</v>
      </c>
    </row>
    <row r="465" spans="1:33" s="280" customFormat="1" ht="36" hidden="1" customHeight="1">
      <c r="A465" s="294">
        <v>3231</v>
      </c>
      <c r="B465" s="291" t="s">
        <v>588</v>
      </c>
      <c r="C465" s="824" t="s">
        <v>564</v>
      </c>
      <c r="D465" s="1391"/>
      <c r="E465" s="294">
        <v>6</v>
      </c>
      <c r="F465" s="829">
        <v>43287</v>
      </c>
      <c r="G465" s="829">
        <f t="shared" si="85"/>
        <v>43293</v>
      </c>
      <c r="H465" s="1391"/>
      <c r="I465" s="294" t="s">
        <v>177</v>
      </c>
      <c r="J465" s="307"/>
      <c r="K465" s="326" t="s">
        <v>565</v>
      </c>
      <c r="L465" s="1241">
        <v>23174</v>
      </c>
      <c r="M465" s="296"/>
      <c r="N465" s="294"/>
      <c r="O465" s="355">
        <v>340.13333333333333</v>
      </c>
      <c r="P465" s="294">
        <v>1</v>
      </c>
      <c r="Q465" s="299">
        <f t="shared" si="86"/>
        <v>340.13333333333333</v>
      </c>
      <c r="R465" s="299"/>
      <c r="S465" s="298"/>
      <c r="T465" s="298"/>
      <c r="U465" s="298"/>
      <c r="V465" s="298"/>
      <c r="W465" s="355"/>
      <c r="X465" s="1137">
        <v>340.13333333333333</v>
      </c>
      <c r="Y465" s="1126"/>
      <c r="Z465" s="1152"/>
      <c r="AA465" s="1152"/>
      <c r="AB465" s="1152"/>
      <c r="AC465" s="1152"/>
      <c r="AD465" s="1152"/>
      <c r="AE465" s="1152"/>
      <c r="AF465" s="1152"/>
      <c r="AG465" s="547">
        <f t="shared" si="87"/>
        <v>340.13333333333333</v>
      </c>
    </row>
    <row r="466" spans="1:33" s="280" customFormat="1" ht="36" hidden="1" customHeight="1">
      <c r="A466" s="294">
        <v>3231</v>
      </c>
      <c r="B466" s="291" t="s">
        <v>588</v>
      </c>
      <c r="C466" s="824" t="s">
        <v>566</v>
      </c>
      <c r="D466" s="1391"/>
      <c r="E466" s="294">
        <v>6</v>
      </c>
      <c r="F466" s="829">
        <v>43287</v>
      </c>
      <c r="G466" s="829">
        <f t="shared" si="85"/>
        <v>43293</v>
      </c>
      <c r="H466" s="1391"/>
      <c r="I466" s="294" t="s">
        <v>169</v>
      </c>
      <c r="J466" s="307" t="s">
        <v>177</v>
      </c>
      <c r="K466" s="326" t="s">
        <v>486</v>
      </c>
      <c r="L466" s="1241">
        <v>23173</v>
      </c>
      <c r="M466" s="296"/>
      <c r="N466" s="294"/>
      <c r="O466" s="355">
        <v>500</v>
      </c>
      <c r="P466" s="294">
        <v>1</v>
      </c>
      <c r="Q466" s="299">
        <f t="shared" si="86"/>
        <v>500</v>
      </c>
      <c r="R466" s="299"/>
      <c r="S466" s="298"/>
      <c r="T466" s="298"/>
      <c r="U466" s="298"/>
      <c r="V466" s="298"/>
      <c r="W466" s="355"/>
      <c r="X466" s="1137">
        <v>500</v>
      </c>
      <c r="Y466" s="1126"/>
      <c r="Z466" s="1152"/>
      <c r="AA466" s="1152"/>
      <c r="AB466" s="1152"/>
      <c r="AC466" s="1152"/>
      <c r="AD466" s="1152"/>
      <c r="AE466" s="1152"/>
      <c r="AF466" s="1152"/>
      <c r="AG466" s="547">
        <f t="shared" si="87"/>
        <v>500</v>
      </c>
    </row>
    <row r="467" spans="1:33" s="280" customFormat="1" hidden="1">
      <c r="A467" s="294">
        <v>3231</v>
      </c>
      <c r="B467" s="291" t="s">
        <v>588</v>
      </c>
      <c r="C467" s="824" t="s">
        <v>591</v>
      </c>
      <c r="D467" s="341" t="s">
        <v>514</v>
      </c>
      <c r="E467" s="294">
        <v>45</v>
      </c>
      <c r="F467" s="829">
        <v>43298</v>
      </c>
      <c r="G467" s="829">
        <f t="shared" si="85"/>
        <v>43343</v>
      </c>
      <c r="H467" s="1391"/>
      <c r="I467" s="294" t="s">
        <v>169</v>
      </c>
      <c r="J467" s="307" t="s">
        <v>177</v>
      </c>
      <c r="K467" s="326"/>
      <c r="L467" s="1677">
        <v>23173</v>
      </c>
      <c r="M467" s="296"/>
      <c r="N467" s="294"/>
      <c r="O467" s="355">
        <v>377.33</v>
      </c>
      <c r="P467" s="294">
        <v>1</v>
      </c>
      <c r="Q467" s="299">
        <f t="shared" si="86"/>
        <v>377.33</v>
      </c>
      <c r="R467" s="299"/>
      <c r="S467" s="298"/>
      <c r="T467" s="298"/>
      <c r="U467" s="298"/>
      <c r="V467" s="298"/>
      <c r="W467" s="355"/>
      <c r="X467" s="1137">
        <v>377.33</v>
      </c>
      <c r="Y467" s="1126"/>
      <c r="Z467" s="1152"/>
      <c r="AA467" s="1152"/>
      <c r="AB467" s="1152"/>
      <c r="AC467" s="1152"/>
      <c r="AD467" s="1152"/>
      <c r="AE467" s="1152"/>
      <c r="AF467" s="1152"/>
      <c r="AG467" s="547">
        <f t="shared" si="87"/>
        <v>377.33</v>
      </c>
    </row>
    <row r="468" spans="1:33" s="280" customFormat="1" ht="34.5" customHeight="1">
      <c r="A468" s="2839">
        <v>3232</v>
      </c>
      <c r="B468" s="2933" t="s">
        <v>458</v>
      </c>
      <c r="C468" s="2840" t="s">
        <v>1105</v>
      </c>
      <c r="D468" s="2927"/>
      <c r="E468" s="2927">
        <v>9</v>
      </c>
      <c r="F468" s="2926">
        <v>43346</v>
      </c>
      <c r="G468" s="2926">
        <f t="shared" si="85"/>
        <v>43355</v>
      </c>
      <c r="H468" s="2927"/>
      <c r="I468" s="2839"/>
      <c r="J468" s="2841"/>
      <c r="K468" s="1124"/>
      <c r="L468" s="2932"/>
      <c r="M468" s="1152"/>
      <c r="N468" s="1703"/>
      <c r="O468" s="1126"/>
      <c r="P468" s="1703"/>
      <c r="Q468" s="1127"/>
      <c r="R468" s="1127"/>
      <c r="S468" s="1154"/>
      <c r="T468" s="1154"/>
      <c r="U468" s="1154"/>
      <c r="V468" s="1154"/>
      <c r="W468" s="1126"/>
      <c r="X468" s="1137"/>
      <c r="Y468" s="1126"/>
      <c r="Z468" s="1152"/>
      <c r="AA468" s="1152"/>
      <c r="AB468" s="1152"/>
      <c r="AC468" s="1152"/>
      <c r="AD468" s="1152"/>
      <c r="AE468" s="1152"/>
      <c r="AF468" s="1152"/>
      <c r="AG468" s="2355"/>
    </row>
    <row r="469" spans="1:33" s="280" customFormat="1" ht="15.75" hidden="1" customHeight="1">
      <c r="A469" s="294">
        <v>3232</v>
      </c>
      <c r="B469" s="567" t="s">
        <v>458</v>
      </c>
      <c r="C469" s="824" t="s">
        <v>560</v>
      </c>
      <c r="D469" s="1391"/>
      <c r="E469" s="1391">
        <v>9</v>
      </c>
      <c r="F469" s="829">
        <v>43346</v>
      </c>
      <c r="G469" s="829">
        <f t="shared" si="85"/>
        <v>43355</v>
      </c>
      <c r="H469" s="1391"/>
      <c r="I469" s="294"/>
      <c r="J469" s="307"/>
      <c r="K469" s="326" t="s">
        <v>561</v>
      </c>
      <c r="L469" s="1241">
        <v>23174</v>
      </c>
      <c r="M469" s="296"/>
      <c r="N469" s="294"/>
      <c r="O469" s="487">
        <v>2546</v>
      </c>
      <c r="P469" s="294">
        <v>1</v>
      </c>
      <c r="Q469" s="299">
        <f t="shared" ref="Q469:Q476" si="88">+O469*P469</f>
        <v>2546</v>
      </c>
      <c r="R469" s="299"/>
      <c r="S469" s="298"/>
      <c r="T469" s="298"/>
      <c r="U469" s="298"/>
      <c r="V469" s="298"/>
      <c r="W469" s="355"/>
      <c r="X469" s="1137">
        <v>2546</v>
      </c>
      <c r="Y469" s="1126"/>
      <c r="Z469" s="1152"/>
      <c r="AA469" s="1152"/>
      <c r="AB469" s="1152"/>
      <c r="AC469" s="1152"/>
      <c r="AD469" s="1152"/>
      <c r="AE469" s="1152"/>
      <c r="AF469" s="1152"/>
      <c r="AG469" s="547">
        <f t="shared" si="87"/>
        <v>2546</v>
      </c>
    </row>
    <row r="470" spans="1:33" s="280" customFormat="1" ht="15.75" hidden="1" customHeight="1">
      <c r="A470" s="294">
        <v>3232</v>
      </c>
      <c r="B470" s="567" t="s">
        <v>458</v>
      </c>
      <c r="C470" s="824" t="s">
        <v>562</v>
      </c>
      <c r="D470" s="1391"/>
      <c r="E470" s="1391">
        <v>9</v>
      </c>
      <c r="F470" s="829">
        <v>43346</v>
      </c>
      <c r="G470" s="829">
        <f t="shared" ref="G470:G476" si="89">+F470+E470</f>
        <v>43355</v>
      </c>
      <c r="H470" s="1391"/>
      <c r="I470" s="294"/>
      <c r="J470" s="307"/>
      <c r="K470" s="326" t="s">
        <v>563</v>
      </c>
      <c r="L470" s="1241">
        <v>23174</v>
      </c>
      <c r="M470" s="296"/>
      <c r="N470" s="294"/>
      <c r="O470" s="487">
        <v>1306.6666666666667</v>
      </c>
      <c r="P470" s="294">
        <v>1</v>
      </c>
      <c r="Q470" s="299">
        <f t="shared" si="88"/>
        <v>1306.6666666666667</v>
      </c>
      <c r="R470" s="299"/>
      <c r="S470" s="298"/>
      <c r="T470" s="298"/>
      <c r="U470" s="298"/>
      <c r="V470" s="298"/>
      <c r="W470" s="355"/>
      <c r="X470" s="1137">
        <v>1306.6666666666667</v>
      </c>
      <c r="Y470" s="1126"/>
      <c r="Z470" s="1152"/>
      <c r="AA470" s="1152"/>
      <c r="AB470" s="1152"/>
      <c r="AC470" s="1152"/>
      <c r="AD470" s="1152"/>
      <c r="AE470" s="1152"/>
      <c r="AF470" s="1152"/>
      <c r="AG470" s="547">
        <f t="shared" si="87"/>
        <v>1306.6666666666667</v>
      </c>
    </row>
    <row r="471" spans="1:33" s="280" customFormat="1" ht="15.75" hidden="1" customHeight="1">
      <c r="A471" s="294">
        <v>3232</v>
      </c>
      <c r="B471" s="567" t="s">
        <v>458</v>
      </c>
      <c r="C471" s="824" t="s">
        <v>564</v>
      </c>
      <c r="D471" s="1391"/>
      <c r="E471" s="1391">
        <v>9</v>
      </c>
      <c r="F471" s="829">
        <v>43346</v>
      </c>
      <c r="G471" s="829">
        <f t="shared" si="89"/>
        <v>43355</v>
      </c>
      <c r="H471" s="1391"/>
      <c r="I471" s="294"/>
      <c r="J471" s="307"/>
      <c r="K471" s="326" t="s">
        <v>565</v>
      </c>
      <c r="L471" s="1241">
        <v>23174</v>
      </c>
      <c r="M471" s="296"/>
      <c r="N471" s="294"/>
      <c r="O471" s="487">
        <v>557.74666666666667</v>
      </c>
      <c r="P471" s="294">
        <v>1</v>
      </c>
      <c r="Q471" s="299">
        <f t="shared" si="88"/>
        <v>557.74666666666667</v>
      </c>
      <c r="R471" s="299"/>
      <c r="S471" s="298"/>
      <c r="T471" s="298"/>
      <c r="U471" s="298"/>
      <c r="V471" s="298"/>
      <c r="W471" s="355"/>
      <c r="X471" s="1137">
        <v>557.74666666666667</v>
      </c>
      <c r="Y471" s="1126"/>
      <c r="Z471" s="1152"/>
      <c r="AA471" s="1152"/>
      <c r="AB471" s="1152"/>
      <c r="AC471" s="1152"/>
      <c r="AD471" s="1152"/>
      <c r="AE471" s="1152"/>
      <c r="AF471" s="1152"/>
      <c r="AG471" s="547">
        <f t="shared" si="87"/>
        <v>557.74666666666667</v>
      </c>
    </row>
    <row r="472" spans="1:33" s="280" customFormat="1" ht="36.75" customHeight="1">
      <c r="A472" s="2789">
        <v>3233</v>
      </c>
      <c r="B472" s="2790" t="s">
        <v>593</v>
      </c>
      <c r="C472" s="2840" t="s">
        <v>1105</v>
      </c>
      <c r="D472" s="2789" t="s">
        <v>514</v>
      </c>
      <c r="E472" s="2789">
        <v>45</v>
      </c>
      <c r="F472" s="2881">
        <v>43194</v>
      </c>
      <c r="G472" s="2881">
        <f>+F472+E472</f>
        <v>43239</v>
      </c>
      <c r="H472" s="2924"/>
      <c r="I472" s="2789" t="s">
        <v>169</v>
      </c>
      <c r="J472" s="2793"/>
      <c r="K472" s="1124"/>
      <c r="L472" s="2856"/>
      <c r="M472" s="1152"/>
      <c r="N472" s="1703"/>
      <c r="O472" s="1156"/>
      <c r="P472" s="1703"/>
      <c r="Q472" s="1127"/>
      <c r="R472" s="1127"/>
      <c r="S472" s="1154"/>
      <c r="T472" s="1154"/>
      <c r="U472" s="1154"/>
      <c r="V472" s="1154"/>
      <c r="W472" s="1126"/>
      <c r="X472" s="1137"/>
      <c r="Y472" s="1126"/>
      <c r="Z472" s="1152"/>
      <c r="AA472" s="1152"/>
      <c r="AB472" s="1152"/>
      <c r="AC472" s="1152"/>
      <c r="AD472" s="1152"/>
      <c r="AE472" s="1152"/>
      <c r="AF472" s="1152"/>
      <c r="AG472" s="2355"/>
    </row>
    <row r="473" spans="1:33" s="280" customFormat="1" hidden="1">
      <c r="A473" s="294">
        <v>3233</v>
      </c>
      <c r="B473" s="291" t="s">
        <v>593</v>
      </c>
      <c r="C473" s="824" t="s">
        <v>579</v>
      </c>
      <c r="D473" s="294" t="s">
        <v>514</v>
      </c>
      <c r="E473" s="294">
        <v>45</v>
      </c>
      <c r="F473" s="829">
        <v>43194</v>
      </c>
      <c r="G473" s="829">
        <f t="shared" si="89"/>
        <v>43239</v>
      </c>
      <c r="H473" s="1391"/>
      <c r="I473" s="294" t="s">
        <v>169</v>
      </c>
      <c r="J473" s="307"/>
      <c r="K473" s="326" t="s">
        <v>302</v>
      </c>
      <c r="L473" s="1241">
        <v>23173</v>
      </c>
      <c r="M473" s="296"/>
      <c r="N473" s="294"/>
      <c r="O473" s="355">
        <v>57.333333333333336</v>
      </c>
      <c r="P473" s="294">
        <v>1</v>
      </c>
      <c r="Q473" s="299">
        <f t="shared" si="88"/>
        <v>57.333333333333336</v>
      </c>
      <c r="R473" s="299"/>
      <c r="S473" s="298"/>
      <c r="T473" s="298"/>
      <c r="U473" s="298"/>
      <c r="V473" s="298"/>
      <c r="W473" s="355"/>
      <c r="X473" s="1137">
        <v>57.333333333333336</v>
      </c>
      <c r="Y473" s="1126"/>
      <c r="Z473" s="1152"/>
      <c r="AA473" s="1152"/>
      <c r="AB473" s="1152"/>
      <c r="AC473" s="1152"/>
      <c r="AD473" s="1152"/>
      <c r="AE473" s="1152"/>
      <c r="AF473" s="1152"/>
      <c r="AG473" s="547">
        <f t="shared" si="87"/>
        <v>57.333333333333336</v>
      </c>
    </row>
    <row r="474" spans="1:33" s="280" customFormat="1" hidden="1">
      <c r="A474" s="998">
        <v>3233</v>
      </c>
      <c r="B474" s="291" t="s">
        <v>593</v>
      </c>
      <c r="C474" s="824" t="s">
        <v>560</v>
      </c>
      <c r="D474" s="1391"/>
      <c r="E474" s="294">
        <v>4</v>
      </c>
      <c r="F474" s="829">
        <v>43367</v>
      </c>
      <c r="G474" s="829">
        <f t="shared" si="89"/>
        <v>43371</v>
      </c>
      <c r="H474" s="1391"/>
      <c r="I474" s="294" t="s">
        <v>177</v>
      </c>
      <c r="J474" s="307"/>
      <c r="K474" s="326" t="s">
        <v>596</v>
      </c>
      <c r="L474" s="1241">
        <v>23174</v>
      </c>
      <c r="M474" s="296"/>
      <c r="N474" s="294"/>
      <c r="O474" s="355">
        <v>2150</v>
      </c>
      <c r="P474" s="294">
        <v>1</v>
      </c>
      <c r="Q474" s="299">
        <f t="shared" si="88"/>
        <v>2150</v>
      </c>
      <c r="R474" s="299"/>
      <c r="S474" s="298"/>
      <c r="T474" s="298"/>
      <c r="U474" s="298"/>
      <c r="V474" s="298"/>
      <c r="W474" s="355"/>
      <c r="X474" s="1137">
        <v>2150</v>
      </c>
      <c r="Y474" s="1126"/>
      <c r="Z474" s="1152"/>
      <c r="AA474" s="1152"/>
      <c r="AB474" s="1152"/>
      <c r="AC474" s="1152"/>
      <c r="AD474" s="1152"/>
      <c r="AE474" s="1152"/>
      <c r="AF474" s="1152"/>
      <c r="AG474" s="547">
        <f t="shared" si="87"/>
        <v>2150</v>
      </c>
    </row>
    <row r="475" spans="1:33" s="280" customFormat="1" hidden="1">
      <c r="A475" s="998">
        <v>3233</v>
      </c>
      <c r="B475" s="291" t="s">
        <v>593</v>
      </c>
      <c r="C475" s="824" t="s">
        <v>564</v>
      </c>
      <c r="D475" s="1391"/>
      <c r="E475" s="294">
        <v>4</v>
      </c>
      <c r="F475" s="829">
        <v>43367</v>
      </c>
      <c r="G475" s="829">
        <f t="shared" si="89"/>
        <v>43371</v>
      </c>
      <c r="H475" s="1391"/>
      <c r="I475" s="294" t="s">
        <v>177</v>
      </c>
      <c r="J475" s="307"/>
      <c r="K475" s="326" t="s">
        <v>597</v>
      </c>
      <c r="L475" s="1241">
        <v>23174</v>
      </c>
      <c r="M475" s="296"/>
      <c r="N475" s="294"/>
      <c r="O475" s="355">
        <v>1893.3333333333333</v>
      </c>
      <c r="P475" s="294">
        <v>1</v>
      </c>
      <c r="Q475" s="299">
        <f t="shared" si="88"/>
        <v>1893.3333333333333</v>
      </c>
      <c r="R475" s="299"/>
      <c r="S475" s="298"/>
      <c r="T475" s="298"/>
      <c r="U475" s="298"/>
      <c r="V475" s="298"/>
      <c r="W475" s="355"/>
      <c r="X475" s="1137">
        <v>1893.3333333333333</v>
      </c>
      <c r="Y475" s="1126"/>
      <c r="Z475" s="1152"/>
      <c r="AA475" s="1152"/>
      <c r="AB475" s="1152"/>
      <c r="AC475" s="1152"/>
      <c r="AD475" s="1152"/>
      <c r="AE475" s="1152"/>
      <c r="AF475" s="1152"/>
      <c r="AG475" s="547">
        <f t="shared" si="87"/>
        <v>1893.3333333333333</v>
      </c>
    </row>
    <row r="476" spans="1:33" s="280" customFormat="1" hidden="1">
      <c r="A476" s="998">
        <v>3233</v>
      </c>
      <c r="B476" s="291" t="s">
        <v>593</v>
      </c>
      <c r="C476" s="824" t="s">
        <v>566</v>
      </c>
      <c r="D476" s="1391"/>
      <c r="E476" s="294">
        <v>4</v>
      </c>
      <c r="F476" s="829">
        <v>43367</v>
      </c>
      <c r="G476" s="829">
        <f t="shared" si="89"/>
        <v>43371</v>
      </c>
      <c r="H476" s="1391"/>
      <c r="I476" s="294" t="s">
        <v>169</v>
      </c>
      <c r="J476" s="307"/>
      <c r="K476" s="326" t="s">
        <v>486</v>
      </c>
      <c r="L476" s="1241">
        <v>23173</v>
      </c>
      <c r="M476" s="296"/>
      <c r="N476" s="294"/>
      <c r="O476" s="355">
        <v>133.33333333333334</v>
      </c>
      <c r="P476" s="294">
        <v>1</v>
      </c>
      <c r="Q476" s="299">
        <f t="shared" si="88"/>
        <v>133.33333333333334</v>
      </c>
      <c r="R476" s="299"/>
      <c r="S476" s="298"/>
      <c r="T476" s="298"/>
      <c r="U476" s="298"/>
      <c r="V476" s="298"/>
      <c r="W476" s="355"/>
      <c r="X476" s="1137">
        <v>133.33333333333334</v>
      </c>
      <c r="Y476" s="1126"/>
      <c r="Z476" s="1152"/>
      <c r="AA476" s="1152"/>
      <c r="AB476" s="1152"/>
      <c r="AC476" s="1152"/>
      <c r="AD476" s="1152"/>
      <c r="AE476" s="1152"/>
      <c r="AF476" s="1152"/>
      <c r="AG476" s="547">
        <f t="shared" si="87"/>
        <v>133.33333333333334</v>
      </c>
    </row>
    <row r="477" spans="1:33" s="280" customFormat="1" ht="39" customHeight="1">
      <c r="A477" s="1275">
        <v>324</v>
      </c>
      <c r="B477" s="523" t="s">
        <v>598</v>
      </c>
      <c r="C477" s="1504"/>
      <c r="D477" s="1358"/>
      <c r="E477" s="1358"/>
      <c r="F477" s="1358"/>
      <c r="G477" s="1358"/>
      <c r="H477" s="1358"/>
      <c r="I477" s="1358"/>
      <c r="J477" s="283"/>
      <c r="K477" s="1278"/>
      <c r="L477" s="1394"/>
      <c r="M477" s="495"/>
      <c r="N477" s="1277"/>
      <c r="O477" s="1395"/>
      <c r="P477" s="1277"/>
      <c r="Q477" s="547">
        <f>SUM(Q479:Q484)</f>
        <v>11980.666666666668</v>
      </c>
      <c r="R477" s="287"/>
      <c r="S477" s="1282">
        <f t="shared" ref="S477:AF477" si="90">SUM(S479:S484)</f>
        <v>0</v>
      </c>
      <c r="T477" s="1282">
        <f t="shared" si="90"/>
        <v>0</v>
      </c>
      <c r="U477" s="1282">
        <f t="shared" si="90"/>
        <v>0</v>
      </c>
      <c r="V477" s="1282">
        <f t="shared" si="90"/>
        <v>0</v>
      </c>
      <c r="W477" s="1282">
        <f t="shared" si="90"/>
        <v>0</v>
      </c>
      <c r="X477" s="1282">
        <f t="shared" si="90"/>
        <v>11980.666666666668</v>
      </c>
      <c r="Y477" s="1282">
        <f t="shared" si="90"/>
        <v>0</v>
      </c>
      <c r="Z477" s="1282">
        <f t="shared" si="90"/>
        <v>0</v>
      </c>
      <c r="AA477" s="1282">
        <f t="shared" si="90"/>
        <v>0</v>
      </c>
      <c r="AB477" s="1282">
        <f t="shared" si="90"/>
        <v>0</v>
      </c>
      <c r="AC477" s="1282">
        <f t="shared" si="90"/>
        <v>0</v>
      </c>
      <c r="AD477" s="1282">
        <f t="shared" si="90"/>
        <v>0</v>
      </c>
      <c r="AE477" s="1282">
        <f t="shared" si="90"/>
        <v>0</v>
      </c>
      <c r="AF477" s="1282">
        <f t="shared" si="90"/>
        <v>0</v>
      </c>
      <c r="AG477" s="547">
        <f>SUM(S477:AF477)</f>
        <v>11980.666666666668</v>
      </c>
    </row>
    <row r="478" spans="1:33" s="280" customFormat="1" ht="39" customHeight="1">
      <c r="A478" s="2934">
        <v>3241</v>
      </c>
      <c r="B478" s="2790" t="s">
        <v>599</v>
      </c>
      <c r="C478" s="2790" t="s">
        <v>1106</v>
      </c>
      <c r="D478" s="2935" t="s">
        <v>514</v>
      </c>
      <c r="E478" s="2789">
        <v>45</v>
      </c>
      <c r="F478" s="2881">
        <v>43194</v>
      </c>
      <c r="G478" s="2881">
        <f t="shared" ref="G478:G484" si="91">+E478+F478</f>
        <v>43239</v>
      </c>
      <c r="H478" s="2924"/>
      <c r="I478" s="2845"/>
      <c r="J478" s="1129"/>
      <c r="K478" s="1432"/>
      <c r="L478" s="2846"/>
      <c r="M478" s="2847"/>
      <c r="N478" s="1431"/>
      <c r="O478" s="1435"/>
      <c r="P478" s="1431"/>
      <c r="Q478" s="2355"/>
      <c r="R478" s="1133"/>
      <c r="S478" s="1343"/>
      <c r="T478" s="1343"/>
      <c r="U478" s="1343"/>
      <c r="V478" s="1343"/>
      <c r="W478" s="1343"/>
      <c r="X478" s="1342"/>
      <c r="Y478" s="1343"/>
      <c r="Z478" s="1343"/>
      <c r="AA478" s="1343"/>
      <c r="AB478" s="1343"/>
      <c r="AC478" s="1343"/>
      <c r="AD478" s="1343"/>
      <c r="AE478" s="1343"/>
      <c r="AF478" s="1343"/>
      <c r="AG478" s="2355"/>
    </row>
    <row r="479" spans="1:33" s="280" customFormat="1" hidden="1">
      <c r="A479" s="1393">
        <v>3241</v>
      </c>
      <c r="B479" s="291" t="s">
        <v>599</v>
      </c>
      <c r="C479" s="824" t="s">
        <v>579</v>
      </c>
      <c r="D479" s="341" t="s">
        <v>514</v>
      </c>
      <c r="E479" s="294">
        <v>45</v>
      </c>
      <c r="F479" s="829">
        <v>43194</v>
      </c>
      <c r="G479" s="829">
        <f t="shared" si="91"/>
        <v>43239</v>
      </c>
      <c r="H479" s="1391"/>
      <c r="I479" s="294"/>
      <c r="J479" s="307"/>
      <c r="K479" s="326" t="s">
        <v>302</v>
      </c>
      <c r="L479" s="1241">
        <v>23173</v>
      </c>
      <c r="M479" s="296"/>
      <c r="N479" s="294"/>
      <c r="O479" s="355">
        <v>157.33333333333334</v>
      </c>
      <c r="P479" s="569">
        <v>1</v>
      </c>
      <c r="Q479" s="831">
        <f>+O479*P479</f>
        <v>157.33333333333334</v>
      </c>
      <c r="R479" s="299"/>
      <c r="S479" s="298"/>
      <c r="T479" s="298"/>
      <c r="U479" s="298"/>
      <c r="V479" s="298"/>
      <c r="W479" s="355"/>
      <c r="X479" s="1137">
        <v>157.33333333333334</v>
      </c>
      <c r="Y479" s="1126"/>
      <c r="Z479" s="1126"/>
      <c r="AA479" s="1126"/>
      <c r="AB479" s="1126"/>
      <c r="AC479" s="1126"/>
      <c r="AD479" s="1126"/>
      <c r="AE479" s="1126"/>
      <c r="AF479" s="1126"/>
      <c r="AG479" s="547">
        <f t="shared" ref="AG479:AG484" si="92">SUM(S479:AF479)</f>
        <v>157.33333333333334</v>
      </c>
    </row>
    <row r="480" spans="1:33" s="280" customFormat="1" hidden="1">
      <c r="A480" s="1393">
        <v>3241</v>
      </c>
      <c r="B480" s="291" t="s">
        <v>599</v>
      </c>
      <c r="C480" s="824" t="s">
        <v>560</v>
      </c>
      <c r="D480" s="1391"/>
      <c r="E480" s="294">
        <v>5</v>
      </c>
      <c r="F480" s="829">
        <v>43332</v>
      </c>
      <c r="G480" s="829">
        <f t="shared" si="91"/>
        <v>43337</v>
      </c>
      <c r="H480" s="1391"/>
      <c r="I480" s="294"/>
      <c r="J480" s="307"/>
      <c r="K480" s="326" t="s">
        <v>596</v>
      </c>
      <c r="L480" s="1241">
        <v>23174</v>
      </c>
      <c r="M480" s="296"/>
      <c r="N480" s="294"/>
      <c r="O480" s="355">
        <v>3870</v>
      </c>
      <c r="P480" s="569">
        <v>1</v>
      </c>
      <c r="Q480" s="831">
        <f>+O480*P480</f>
        <v>3870</v>
      </c>
      <c r="R480" s="299"/>
      <c r="S480" s="298"/>
      <c r="T480" s="298"/>
      <c r="U480" s="298"/>
      <c r="V480" s="298"/>
      <c r="W480" s="355"/>
      <c r="X480" s="1137">
        <v>3870</v>
      </c>
      <c r="Y480" s="1126"/>
      <c r="Z480" s="1126"/>
      <c r="AA480" s="1126"/>
      <c r="AB480" s="1126"/>
      <c r="AC480" s="1126"/>
      <c r="AD480" s="1126"/>
      <c r="AE480" s="1126"/>
      <c r="AF480" s="1126"/>
      <c r="AG480" s="547">
        <f t="shared" si="92"/>
        <v>3870</v>
      </c>
    </row>
    <row r="481" spans="1:33" s="280" customFormat="1" hidden="1">
      <c r="A481" s="1393">
        <v>3241</v>
      </c>
      <c r="B481" s="291" t="s">
        <v>599</v>
      </c>
      <c r="C481" s="824" t="s">
        <v>562</v>
      </c>
      <c r="D481" s="1391"/>
      <c r="E481" s="294">
        <v>5</v>
      </c>
      <c r="F481" s="829">
        <v>43332</v>
      </c>
      <c r="G481" s="829">
        <f t="shared" si="91"/>
        <v>43337</v>
      </c>
      <c r="H481" s="1391"/>
      <c r="I481" s="294"/>
      <c r="J481" s="307"/>
      <c r="K481" s="326" t="s">
        <v>565</v>
      </c>
      <c r="L481" s="1241">
        <v>23174</v>
      </c>
      <c r="M481" s="296"/>
      <c r="N481" s="294"/>
      <c r="O481" s="355">
        <v>1580</v>
      </c>
      <c r="P481" s="569">
        <v>1</v>
      </c>
      <c r="Q481" s="831">
        <f>+O481*P481</f>
        <v>1580</v>
      </c>
      <c r="R481" s="299"/>
      <c r="S481" s="298"/>
      <c r="T481" s="298"/>
      <c r="U481" s="298"/>
      <c r="V481" s="298"/>
      <c r="W481" s="355"/>
      <c r="X481" s="1137">
        <v>1580</v>
      </c>
      <c r="Y481" s="1126"/>
      <c r="Z481" s="1126"/>
      <c r="AA481" s="1126"/>
      <c r="AB481" s="1126"/>
      <c r="AC481" s="1126"/>
      <c r="AD481" s="1126"/>
      <c r="AE481" s="1126"/>
      <c r="AF481" s="1126"/>
      <c r="AG481" s="547">
        <f t="shared" si="92"/>
        <v>1580</v>
      </c>
    </row>
    <row r="482" spans="1:33" s="280" customFormat="1" hidden="1">
      <c r="A482" s="1393">
        <v>3241</v>
      </c>
      <c r="B482" s="291" t="s">
        <v>599</v>
      </c>
      <c r="C482" s="824" t="s">
        <v>564</v>
      </c>
      <c r="D482" s="1391"/>
      <c r="E482" s="294">
        <v>5</v>
      </c>
      <c r="F482" s="829">
        <v>43332</v>
      </c>
      <c r="G482" s="829">
        <f t="shared" si="91"/>
        <v>43337</v>
      </c>
      <c r="H482" s="1391"/>
      <c r="I482" s="294"/>
      <c r="J482" s="307"/>
      <c r="K482" s="326" t="s">
        <v>597</v>
      </c>
      <c r="L482" s="1241">
        <v>23174</v>
      </c>
      <c r="M482" s="296"/>
      <c r="N482" s="294"/>
      <c r="O482" s="355">
        <v>3840</v>
      </c>
      <c r="P482" s="569">
        <v>1</v>
      </c>
      <c r="Q482" s="831">
        <f>+O482*P482</f>
        <v>3840</v>
      </c>
      <c r="R482" s="299"/>
      <c r="S482" s="298"/>
      <c r="T482" s="298"/>
      <c r="U482" s="298"/>
      <c r="V482" s="298"/>
      <c r="W482" s="355"/>
      <c r="X482" s="1137">
        <v>3840</v>
      </c>
      <c r="Y482" s="1126"/>
      <c r="Z482" s="1126"/>
      <c r="AA482" s="1126"/>
      <c r="AB482" s="1126"/>
      <c r="AC482" s="1126"/>
      <c r="AD482" s="1126"/>
      <c r="AE482" s="1126"/>
      <c r="AF482" s="1126"/>
      <c r="AG482" s="547">
        <f t="shared" si="92"/>
        <v>3840</v>
      </c>
    </row>
    <row r="483" spans="1:33" s="280" customFormat="1" hidden="1">
      <c r="A483" s="1393">
        <v>3241</v>
      </c>
      <c r="B483" s="291" t="s">
        <v>599</v>
      </c>
      <c r="C483" s="824" t="s">
        <v>566</v>
      </c>
      <c r="D483" s="1391"/>
      <c r="E483" s="294">
        <v>5</v>
      </c>
      <c r="F483" s="829">
        <v>43332</v>
      </c>
      <c r="G483" s="829">
        <f t="shared" si="91"/>
        <v>43337</v>
      </c>
      <c r="H483" s="1391"/>
      <c r="I483" s="294"/>
      <c r="J483" s="307"/>
      <c r="K483" s="326" t="s">
        <v>486</v>
      </c>
      <c r="L483" s="1241">
        <v>23173</v>
      </c>
      <c r="M483" s="296"/>
      <c r="N483" s="294"/>
      <c r="O483" s="355">
        <v>233.33333333333334</v>
      </c>
      <c r="P483" s="569">
        <v>1</v>
      </c>
      <c r="Q483" s="831">
        <f>+O483*P483</f>
        <v>233.33333333333334</v>
      </c>
      <c r="R483" s="299"/>
      <c r="S483" s="298"/>
      <c r="T483" s="298"/>
      <c r="U483" s="298"/>
      <c r="V483" s="298"/>
      <c r="W483" s="355"/>
      <c r="X483" s="1137">
        <v>233.33333333333334</v>
      </c>
      <c r="Y483" s="1126"/>
      <c r="Z483" s="1126"/>
      <c r="AA483" s="1126"/>
      <c r="AB483" s="1126"/>
      <c r="AC483" s="1126"/>
      <c r="AD483" s="1126"/>
      <c r="AE483" s="1126"/>
      <c r="AF483" s="1126"/>
      <c r="AG483" s="547">
        <f t="shared" si="92"/>
        <v>233.33333333333334</v>
      </c>
    </row>
    <row r="484" spans="1:33" s="280" customFormat="1" ht="31.5">
      <c r="A484" s="2789">
        <v>3242</v>
      </c>
      <c r="B484" s="2790" t="s">
        <v>602</v>
      </c>
      <c r="C484" s="2790" t="s">
        <v>603</v>
      </c>
      <c r="D484" s="2924"/>
      <c r="E484" s="2789">
        <v>3</v>
      </c>
      <c r="F484" s="2881">
        <v>43339</v>
      </c>
      <c r="G484" s="2881">
        <f t="shared" si="91"/>
        <v>43342</v>
      </c>
      <c r="H484" s="2924"/>
      <c r="I484" s="2789" t="s">
        <v>177</v>
      </c>
      <c r="J484" s="2793" t="s">
        <v>604</v>
      </c>
      <c r="K484" s="326"/>
      <c r="L484" s="1677">
        <v>23174</v>
      </c>
      <c r="M484" s="296"/>
      <c r="N484" s="294"/>
      <c r="O484" s="487">
        <v>2300</v>
      </c>
      <c r="P484" s="294">
        <v>1</v>
      </c>
      <c r="Q484" s="518">
        <f>O484*P484</f>
        <v>2300</v>
      </c>
      <c r="R484" s="518"/>
      <c r="S484" s="493"/>
      <c r="T484" s="493"/>
      <c r="U484" s="493"/>
      <c r="V484" s="493"/>
      <c r="W484" s="555"/>
      <c r="X484" s="1138">
        <v>2300</v>
      </c>
      <c r="Y484" s="1152"/>
      <c r="Z484" s="1152"/>
      <c r="AA484" s="1152"/>
      <c r="AB484" s="1152"/>
      <c r="AC484" s="1152"/>
      <c r="AD484" s="1152"/>
      <c r="AE484" s="1152"/>
      <c r="AF484" s="1152"/>
      <c r="AG484" s="547">
        <f t="shared" si="92"/>
        <v>2300</v>
      </c>
    </row>
    <row r="485" spans="1:33" s="550" customFormat="1" ht="16.5" customHeight="1">
      <c r="A485" s="1275">
        <v>325</v>
      </c>
      <c r="B485" s="523" t="s">
        <v>605</v>
      </c>
      <c r="C485" s="1504"/>
      <c r="D485" s="1358"/>
      <c r="E485" s="1358"/>
      <c r="F485" s="1358"/>
      <c r="G485" s="1358"/>
      <c r="H485" s="1358"/>
      <c r="I485" s="1358"/>
      <c r="J485" s="543"/>
      <c r="K485" s="1545"/>
      <c r="L485" s="1389"/>
      <c r="M485" s="1390"/>
      <c r="N485" s="1388"/>
      <c r="O485" s="1282"/>
      <c r="P485" s="1388"/>
      <c r="Q485" s="547">
        <f>SUM(Q487:Q491)</f>
        <v>13243.000000000002</v>
      </c>
      <c r="R485" s="547"/>
      <c r="S485" s="1282">
        <f t="shared" ref="S485:AF485" si="93">SUM(S487:S491)</f>
        <v>0</v>
      </c>
      <c r="T485" s="1282">
        <f t="shared" si="93"/>
        <v>0</v>
      </c>
      <c r="U485" s="1282">
        <f t="shared" si="93"/>
        <v>0</v>
      </c>
      <c r="V485" s="1282">
        <f t="shared" si="93"/>
        <v>0</v>
      </c>
      <c r="W485" s="1282">
        <f t="shared" si="93"/>
        <v>13243.000000000002</v>
      </c>
      <c r="X485" s="1282">
        <f t="shared" si="93"/>
        <v>0</v>
      </c>
      <c r="Y485" s="1282">
        <f t="shared" si="93"/>
        <v>0</v>
      </c>
      <c r="Z485" s="1282">
        <f t="shared" si="93"/>
        <v>0</v>
      </c>
      <c r="AA485" s="1282">
        <f t="shared" si="93"/>
        <v>0</v>
      </c>
      <c r="AB485" s="1282">
        <f t="shared" si="93"/>
        <v>0</v>
      </c>
      <c r="AC485" s="1282">
        <f t="shared" si="93"/>
        <v>0</v>
      </c>
      <c r="AD485" s="1282">
        <f t="shared" si="93"/>
        <v>0</v>
      </c>
      <c r="AE485" s="1282">
        <f t="shared" si="93"/>
        <v>0</v>
      </c>
      <c r="AF485" s="1282">
        <f t="shared" si="93"/>
        <v>0</v>
      </c>
      <c r="AG485" s="547">
        <f>SUM(S485:AF485)</f>
        <v>13243.000000000002</v>
      </c>
    </row>
    <row r="486" spans="1:33" s="550" customFormat="1" ht="34.5" customHeight="1">
      <c r="A486" s="2789">
        <v>3251</v>
      </c>
      <c r="B486" s="2790" t="s">
        <v>606</v>
      </c>
      <c r="C486" s="2790" t="s">
        <v>579</v>
      </c>
      <c r="D486" s="2789" t="s">
        <v>514</v>
      </c>
      <c r="E486" s="2789">
        <v>45</v>
      </c>
      <c r="F486" s="2936">
        <v>43194</v>
      </c>
      <c r="G486" s="2936">
        <f>+F486+E486</f>
        <v>43239</v>
      </c>
      <c r="H486" s="2924"/>
      <c r="I486" s="2789"/>
      <c r="J486" s="2919"/>
      <c r="K486" s="2920"/>
      <c r="L486" s="2921"/>
      <c r="M486" s="2734"/>
      <c r="N486" s="2922"/>
      <c r="O486" s="2739"/>
      <c r="P486" s="2922"/>
      <c r="Q486" s="2809"/>
      <c r="R486" s="2809"/>
      <c r="S486" s="2739"/>
      <c r="T486" s="2739"/>
      <c r="U486" s="2739"/>
      <c r="V486" s="2739"/>
      <c r="W486" s="2739"/>
      <c r="X486" s="2923"/>
      <c r="Y486" s="2739"/>
      <c r="Z486" s="2739"/>
      <c r="AA486" s="2739"/>
      <c r="AB486" s="2739"/>
      <c r="AC486" s="2739"/>
      <c r="AD486" s="2739"/>
      <c r="AE486" s="2739"/>
      <c r="AF486" s="2739"/>
      <c r="AG486" s="2809"/>
    </row>
    <row r="487" spans="1:33" s="280" customFormat="1" hidden="1">
      <c r="A487" s="294">
        <v>3251</v>
      </c>
      <c r="B487" s="291" t="s">
        <v>606</v>
      </c>
      <c r="C487" s="824" t="s">
        <v>579</v>
      </c>
      <c r="D487" s="294" t="s">
        <v>514</v>
      </c>
      <c r="E487" s="294">
        <v>45</v>
      </c>
      <c r="F487" s="1399">
        <v>43194</v>
      </c>
      <c r="G487" s="1399">
        <f>+F487+E487</f>
        <v>43239</v>
      </c>
      <c r="H487" s="1391"/>
      <c r="I487" s="294"/>
      <c r="J487" s="307"/>
      <c r="K487" s="326" t="s">
        <v>302</v>
      </c>
      <c r="L487" s="1241">
        <v>23173</v>
      </c>
      <c r="M487" s="296"/>
      <c r="N487" s="294"/>
      <c r="O487" s="1811">
        <v>155.66666666666666</v>
      </c>
      <c r="P487" s="294">
        <v>1</v>
      </c>
      <c r="Q487" s="299">
        <f>+O487*P487</f>
        <v>155.66666666666666</v>
      </c>
      <c r="R487" s="299"/>
      <c r="S487" s="298"/>
      <c r="T487" s="298"/>
      <c r="U487" s="298"/>
      <c r="V487" s="298"/>
      <c r="W487" s="355">
        <v>155.66666666666666</v>
      </c>
      <c r="X487" s="1137"/>
      <c r="Y487" s="1126"/>
      <c r="Z487" s="1126"/>
      <c r="AA487" s="1126"/>
      <c r="AB487" s="1126"/>
      <c r="AC487" s="1126"/>
      <c r="AD487" s="1126"/>
      <c r="AE487" s="1126"/>
      <c r="AF487" s="1126"/>
      <c r="AG487" s="547">
        <f t="shared" ref="AG487:AG494" si="94">SUM(S487:AF487)</f>
        <v>155.66666666666666</v>
      </c>
    </row>
    <row r="488" spans="1:33" s="280" customFormat="1" hidden="1">
      <c r="A488" s="294">
        <v>3251</v>
      </c>
      <c r="B488" s="291" t="s">
        <v>606</v>
      </c>
      <c r="C488" s="824" t="s">
        <v>560</v>
      </c>
      <c r="D488" s="1391"/>
      <c r="E488" s="294">
        <v>10</v>
      </c>
      <c r="F488" s="1399">
        <v>43299</v>
      </c>
      <c r="G488" s="1399">
        <f>+E488+F488</f>
        <v>43309</v>
      </c>
      <c r="H488" s="1391"/>
      <c r="I488" s="294"/>
      <c r="J488" s="307"/>
      <c r="K488" s="326" t="s">
        <v>596</v>
      </c>
      <c r="L488" s="1241">
        <v>23174</v>
      </c>
      <c r="M488" s="296"/>
      <c r="N488" s="294"/>
      <c r="O488" s="355">
        <v>6048</v>
      </c>
      <c r="P488" s="294">
        <v>1</v>
      </c>
      <c r="Q488" s="299">
        <f>+O488*P488</f>
        <v>6048</v>
      </c>
      <c r="R488" s="299"/>
      <c r="S488" s="298"/>
      <c r="T488" s="298"/>
      <c r="U488" s="298"/>
      <c r="V488" s="298"/>
      <c r="W488" s="355">
        <v>6048</v>
      </c>
      <c r="X488" s="1137"/>
      <c r="Y488" s="1126"/>
      <c r="Z488" s="1126"/>
      <c r="AA488" s="1126"/>
      <c r="AB488" s="1126"/>
      <c r="AC488" s="1126"/>
      <c r="AD488" s="1126"/>
      <c r="AE488" s="1126"/>
      <c r="AF488" s="1126"/>
      <c r="AG488" s="547">
        <f t="shared" si="94"/>
        <v>6048</v>
      </c>
    </row>
    <row r="489" spans="1:33" s="280" customFormat="1" hidden="1">
      <c r="A489" s="294">
        <v>3251</v>
      </c>
      <c r="B489" s="291" t="s">
        <v>606</v>
      </c>
      <c r="C489" s="824" t="s">
        <v>562</v>
      </c>
      <c r="D489" s="1391"/>
      <c r="E489" s="294">
        <v>10</v>
      </c>
      <c r="F489" s="1399">
        <v>43299</v>
      </c>
      <c r="G489" s="1399">
        <f>+E489+F489</f>
        <v>43309</v>
      </c>
      <c r="H489" s="1391"/>
      <c r="I489" s="294"/>
      <c r="J489" s="307"/>
      <c r="K489" s="326" t="s">
        <v>565</v>
      </c>
      <c r="L489" s="1241">
        <v>23174</v>
      </c>
      <c r="M489" s="296"/>
      <c r="N489" s="294"/>
      <c r="O489" s="355">
        <v>546</v>
      </c>
      <c r="P489" s="294">
        <v>1</v>
      </c>
      <c r="Q489" s="299">
        <f>+O489*P489</f>
        <v>546</v>
      </c>
      <c r="R489" s="299"/>
      <c r="S489" s="298"/>
      <c r="T489" s="298"/>
      <c r="U489" s="298"/>
      <c r="V489" s="298"/>
      <c r="W489" s="355">
        <v>546</v>
      </c>
      <c r="X489" s="1137"/>
      <c r="Y489" s="1126"/>
      <c r="Z489" s="1126"/>
      <c r="AA489" s="1126"/>
      <c r="AB489" s="1126"/>
      <c r="AC489" s="1126"/>
      <c r="AD489" s="1126"/>
      <c r="AE489" s="1126"/>
      <c r="AF489" s="1126"/>
      <c r="AG489" s="547">
        <f t="shared" si="94"/>
        <v>546</v>
      </c>
    </row>
    <row r="490" spans="1:33" s="280" customFormat="1" hidden="1">
      <c r="A490" s="294">
        <v>3251</v>
      </c>
      <c r="B490" s="291" t="s">
        <v>606</v>
      </c>
      <c r="C490" s="824" t="s">
        <v>564</v>
      </c>
      <c r="D490" s="1391"/>
      <c r="E490" s="294">
        <v>10</v>
      </c>
      <c r="F490" s="1399">
        <v>43299</v>
      </c>
      <c r="G490" s="1399">
        <f>+E490+F490</f>
        <v>43309</v>
      </c>
      <c r="H490" s="1391"/>
      <c r="I490" s="294"/>
      <c r="J490" s="307"/>
      <c r="K490" s="326" t="s">
        <v>597</v>
      </c>
      <c r="L490" s="1241">
        <v>23174</v>
      </c>
      <c r="M490" s="296"/>
      <c r="N490" s="294"/>
      <c r="O490" s="355">
        <v>6160</v>
      </c>
      <c r="P490" s="294">
        <v>1</v>
      </c>
      <c r="Q490" s="299">
        <f>+O490*P490</f>
        <v>6160</v>
      </c>
      <c r="R490" s="299"/>
      <c r="S490" s="298"/>
      <c r="T490" s="298"/>
      <c r="U490" s="298"/>
      <c r="V490" s="298"/>
      <c r="W490" s="355">
        <v>6160</v>
      </c>
      <c r="X490" s="1137"/>
      <c r="Y490" s="1126"/>
      <c r="Z490" s="1126"/>
      <c r="AA490" s="1126"/>
      <c r="AB490" s="1126"/>
      <c r="AC490" s="1126"/>
      <c r="AD490" s="1126"/>
      <c r="AE490" s="1126"/>
      <c r="AF490" s="1126"/>
      <c r="AG490" s="547">
        <f t="shared" si="94"/>
        <v>6160</v>
      </c>
    </row>
    <row r="491" spans="1:33" s="280" customFormat="1" hidden="1">
      <c r="A491" s="294">
        <v>3251</v>
      </c>
      <c r="B491" s="291" t="s">
        <v>606</v>
      </c>
      <c r="C491" s="824" t="s">
        <v>566</v>
      </c>
      <c r="D491" s="1391"/>
      <c r="E491" s="294">
        <v>10</v>
      </c>
      <c r="F491" s="1399">
        <v>43299</v>
      </c>
      <c r="G491" s="1399">
        <f>+E491+F491</f>
        <v>43309</v>
      </c>
      <c r="H491" s="1391"/>
      <c r="I491" s="294"/>
      <c r="J491" s="307"/>
      <c r="K491" s="326" t="s">
        <v>486</v>
      </c>
      <c r="L491" s="1241">
        <v>23173</v>
      </c>
      <c r="M491" s="296"/>
      <c r="N491" s="294"/>
      <c r="O491" s="355">
        <v>333.33333333333331</v>
      </c>
      <c r="P491" s="294">
        <v>1</v>
      </c>
      <c r="Q491" s="299">
        <f>+O491*P491</f>
        <v>333.33333333333331</v>
      </c>
      <c r="R491" s="299"/>
      <c r="S491" s="298"/>
      <c r="T491" s="298"/>
      <c r="U491" s="298"/>
      <c r="V491" s="298"/>
      <c r="W491" s="355">
        <v>333.33333333333331</v>
      </c>
      <c r="X491" s="1137"/>
      <c r="Y491" s="1126"/>
      <c r="Z491" s="1126"/>
      <c r="AA491" s="1126"/>
      <c r="AB491" s="1126"/>
      <c r="AC491" s="1126"/>
      <c r="AD491" s="1126"/>
      <c r="AE491" s="1126"/>
      <c r="AF491" s="1126"/>
      <c r="AG491" s="547">
        <f t="shared" si="94"/>
        <v>333.33333333333331</v>
      </c>
    </row>
    <row r="492" spans="1:33" s="280" customFormat="1" ht="16.5" customHeight="1">
      <c r="A492" s="1275">
        <v>326</v>
      </c>
      <c r="B492" s="523" t="s">
        <v>608</v>
      </c>
      <c r="C492" s="1504"/>
      <c r="D492" s="1358"/>
      <c r="E492" s="1358"/>
      <c r="F492" s="1358"/>
      <c r="G492" s="1358"/>
      <c r="H492" s="1358"/>
      <c r="I492" s="1358"/>
      <c r="J492" s="283"/>
      <c r="K492" s="1278"/>
      <c r="L492" s="1394"/>
      <c r="M492" s="495"/>
      <c r="N492" s="1277"/>
      <c r="O492" s="1395"/>
      <c r="P492" s="1277"/>
      <c r="Q492" s="547">
        <f>SUM(Q493:Q494)</f>
        <v>30000</v>
      </c>
      <c r="R492" s="287"/>
      <c r="S492" s="1282">
        <f t="shared" ref="S492:AF492" si="95">+S493+S494</f>
        <v>0</v>
      </c>
      <c r="T492" s="1282">
        <f t="shared" si="95"/>
        <v>0</v>
      </c>
      <c r="U492" s="1282">
        <f t="shared" si="95"/>
        <v>0</v>
      </c>
      <c r="V492" s="1282">
        <f t="shared" si="95"/>
        <v>0</v>
      </c>
      <c r="W492" s="1282">
        <f t="shared" si="95"/>
        <v>15000</v>
      </c>
      <c r="X492" s="1282">
        <f t="shared" si="95"/>
        <v>0</v>
      </c>
      <c r="Y492" s="1282">
        <f t="shared" si="95"/>
        <v>0</v>
      </c>
      <c r="Z492" s="546">
        <f t="shared" si="95"/>
        <v>15000</v>
      </c>
      <c r="AA492" s="546">
        <f t="shared" si="95"/>
        <v>0</v>
      </c>
      <c r="AB492" s="546">
        <f t="shared" si="95"/>
        <v>0</v>
      </c>
      <c r="AC492" s="546">
        <f t="shared" si="95"/>
        <v>0</v>
      </c>
      <c r="AD492" s="546">
        <f t="shared" si="95"/>
        <v>0</v>
      </c>
      <c r="AE492" s="546">
        <f t="shared" si="95"/>
        <v>0</v>
      </c>
      <c r="AF492" s="546">
        <f t="shared" si="95"/>
        <v>0</v>
      </c>
      <c r="AG492" s="547">
        <f t="shared" si="94"/>
        <v>30000</v>
      </c>
    </row>
    <row r="493" spans="1:33" s="280" customFormat="1" ht="31.5">
      <c r="A493" s="2789">
        <v>3261</v>
      </c>
      <c r="B493" s="2790" t="s">
        <v>609</v>
      </c>
      <c r="C493" s="2790" t="s">
        <v>610</v>
      </c>
      <c r="D493" s="2789" t="s">
        <v>246</v>
      </c>
      <c r="E493" s="2934">
        <f>70+30</f>
        <v>100</v>
      </c>
      <c r="F493" s="2936">
        <v>43192</v>
      </c>
      <c r="G493" s="2936">
        <f>+E493+F493</f>
        <v>43292</v>
      </c>
      <c r="H493" s="2924"/>
      <c r="I493" s="2789" t="s">
        <v>611</v>
      </c>
      <c r="J493" s="307"/>
      <c r="K493" s="326"/>
      <c r="L493" s="1711">
        <v>23173</v>
      </c>
      <c r="M493" s="296"/>
      <c r="N493" s="294"/>
      <c r="O493" s="487">
        <v>10000</v>
      </c>
      <c r="P493" s="294">
        <v>1</v>
      </c>
      <c r="Q493" s="518">
        <v>10000</v>
      </c>
      <c r="R493" s="518"/>
      <c r="S493" s="493"/>
      <c r="T493" s="555"/>
      <c r="U493" s="493"/>
      <c r="V493" s="493"/>
      <c r="W493" s="487">
        <v>5000</v>
      </c>
      <c r="X493" s="574"/>
      <c r="Y493" s="1156"/>
      <c r="Z493" s="487">
        <v>5000</v>
      </c>
      <c r="AA493" s="1156"/>
      <c r="AB493" s="1156"/>
      <c r="AC493" s="1156"/>
      <c r="AD493" s="1156"/>
      <c r="AE493" s="1156"/>
      <c r="AF493" s="1156"/>
      <c r="AG493" s="547">
        <f t="shared" si="94"/>
        <v>10000</v>
      </c>
    </row>
    <row r="494" spans="1:33" s="280" customFormat="1" ht="31.5">
      <c r="A494" s="2789">
        <v>3262</v>
      </c>
      <c r="B494" s="2790" t="s">
        <v>612</v>
      </c>
      <c r="C494" s="2790" t="s">
        <v>610</v>
      </c>
      <c r="D494" s="2789" t="s">
        <v>246</v>
      </c>
      <c r="E494" s="2789">
        <f>70+30</f>
        <v>100</v>
      </c>
      <c r="F494" s="2936">
        <v>43192</v>
      </c>
      <c r="G494" s="2936">
        <f>+E494+F494</f>
        <v>43292</v>
      </c>
      <c r="H494" s="2924"/>
      <c r="I494" s="2789" t="s">
        <v>611</v>
      </c>
      <c r="J494" s="307"/>
      <c r="K494" s="326"/>
      <c r="L494" s="1711">
        <v>23173</v>
      </c>
      <c r="M494" s="296"/>
      <c r="N494" s="294"/>
      <c r="O494" s="487">
        <v>20000</v>
      </c>
      <c r="P494" s="294">
        <v>1</v>
      </c>
      <c r="Q494" s="518">
        <f>+O494*P494</f>
        <v>20000</v>
      </c>
      <c r="R494" s="518"/>
      <c r="S494" s="493"/>
      <c r="T494" s="555"/>
      <c r="U494" s="493"/>
      <c r="V494" s="493"/>
      <c r="W494" s="487">
        <v>10000</v>
      </c>
      <c r="X494" s="1138"/>
      <c r="Y494" s="1156"/>
      <c r="Z494" s="487">
        <v>10000</v>
      </c>
      <c r="AA494" s="1156"/>
      <c r="AB494" s="1156"/>
      <c r="AC494" s="1156"/>
      <c r="AD494" s="1156"/>
      <c r="AE494" s="1156"/>
      <c r="AF494" s="1156"/>
      <c r="AG494" s="547">
        <f t="shared" si="94"/>
        <v>20000</v>
      </c>
    </row>
    <row r="495" spans="1:33" ht="33.75" customHeight="1">
      <c r="A495" s="1815" t="s">
        <v>275</v>
      </c>
      <c r="B495" s="836"/>
      <c r="C495" s="1816"/>
      <c r="D495" s="1818"/>
      <c r="E495" s="1818"/>
      <c r="F495" s="1818"/>
      <c r="G495" s="1818"/>
      <c r="H495" s="1818"/>
      <c r="I495" s="1818"/>
      <c r="J495" s="835"/>
      <c r="K495" s="1815"/>
      <c r="L495" s="1817"/>
      <c r="M495" s="1818"/>
      <c r="N495" s="1819"/>
      <c r="O495" s="1820"/>
      <c r="P495" s="1819"/>
      <c r="Q495" s="1822">
        <f>+Q496+Q546+Q588+Q606+Q630</f>
        <v>1602692.0064583335</v>
      </c>
      <c r="R495" s="1822">
        <f>+R496+R547+R588+R606+R630</f>
        <v>1602730.2762500001</v>
      </c>
      <c r="S495" s="1821">
        <f t="shared" ref="S495:AG495" si="96">+S496+S546+S588+S606+S630</f>
        <v>0</v>
      </c>
      <c r="T495" s="1821">
        <f t="shared" si="96"/>
        <v>425584.66666666669</v>
      </c>
      <c r="U495" s="1821">
        <f t="shared" si="96"/>
        <v>436083.8510416667</v>
      </c>
      <c r="V495" s="1821">
        <f t="shared" si="96"/>
        <v>383932.9375</v>
      </c>
      <c r="W495" s="1821">
        <f t="shared" si="96"/>
        <v>153865.88912499999</v>
      </c>
      <c r="X495" s="1821">
        <f t="shared" si="96"/>
        <v>137807.23487499999</v>
      </c>
      <c r="Y495" s="1821">
        <f t="shared" si="96"/>
        <v>65417.427250000001</v>
      </c>
      <c r="Z495" s="1821">
        <f t="shared" si="96"/>
        <v>0</v>
      </c>
      <c r="AA495" s="1821">
        <f t="shared" si="96"/>
        <v>0</v>
      </c>
      <c r="AB495" s="1821">
        <f t="shared" si="96"/>
        <v>0</v>
      </c>
      <c r="AC495" s="1821">
        <f t="shared" si="96"/>
        <v>0</v>
      </c>
      <c r="AD495" s="1821">
        <f t="shared" si="96"/>
        <v>0</v>
      </c>
      <c r="AE495" s="1821">
        <f t="shared" si="96"/>
        <v>0</v>
      </c>
      <c r="AF495" s="1821">
        <f t="shared" si="96"/>
        <v>0</v>
      </c>
      <c r="AG495" s="1822">
        <f t="shared" si="96"/>
        <v>1602692.0064583332</v>
      </c>
    </row>
    <row r="496" spans="1:33" ht="15.75" customHeight="1">
      <c r="A496" s="1248" t="s">
        <v>276</v>
      </c>
      <c r="B496" s="274"/>
      <c r="C496" s="278"/>
      <c r="D496" s="1270"/>
      <c r="E496" s="1270"/>
      <c r="F496" s="1270"/>
      <c r="G496" s="1270"/>
      <c r="H496" s="1270"/>
      <c r="I496" s="1270"/>
      <c r="J496" s="273"/>
      <c r="K496" s="1248"/>
      <c r="L496" s="1269"/>
      <c r="M496" s="1270"/>
      <c r="N496" s="1268"/>
      <c r="O496" s="1271"/>
      <c r="P496" s="1268"/>
      <c r="Q496" s="1273">
        <f>+Q497+Q514+Q522</f>
        <v>356290.50312500005</v>
      </c>
      <c r="R496" s="1273">
        <f>+'[2]Compil Costing PPA 3 millions'!F15</f>
        <v>356290.70624999999</v>
      </c>
      <c r="S496" s="1272">
        <f t="shared" ref="S496:AG496" si="97">+S497+S514+S522</f>
        <v>0</v>
      </c>
      <c r="T496" s="1272">
        <f t="shared" si="97"/>
        <v>0</v>
      </c>
      <c r="U496" s="1272">
        <f t="shared" si="97"/>
        <v>223990.18437500001</v>
      </c>
      <c r="V496" s="1272">
        <f t="shared" si="97"/>
        <v>13573.4375</v>
      </c>
      <c r="W496" s="1272">
        <f t="shared" si="97"/>
        <v>80924.719125000003</v>
      </c>
      <c r="X496" s="1272">
        <f t="shared" si="97"/>
        <v>7772.2348750000001</v>
      </c>
      <c r="Y496" s="1272">
        <f t="shared" si="97"/>
        <v>30029.927250000001</v>
      </c>
      <c r="Z496" s="276">
        <f t="shared" si="97"/>
        <v>0</v>
      </c>
      <c r="AA496" s="276">
        <f t="shared" si="97"/>
        <v>0</v>
      </c>
      <c r="AB496" s="276">
        <f t="shared" si="97"/>
        <v>0</v>
      </c>
      <c r="AC496" s="276">
        <f t="shared" si="97"/>
        <v>0</v>
      </c>
      <c r="AD496" s="276">
        <f t="shared" si="97"/>
        <v>0</v>
      </c>
      <c r="AE496" s="276">
        <f t="shared" si="97"/>
        <v>0</v>
      </c>
      <c r="AF496" s="276">
        <f t="shared" si="97"/>
        <v>0</v>
      </c>
      <c r="AG496" s="1273">
        <f t="shared" si="97"/>
        <v>356290.50312499999</v>
      </c>
    </row>
    <row r="497" spans="1:33" ht="16.5" customHeight="1">
      <c r="A497" s="1275">
        <v>411</v>
      </c>
      <c r="B497" s="545" t="s">
        <v>911</v>
      </c>
      <c r="C497" s="1510"/>
      <c r="D497" s="1390"/>
      <c r="E497" s="1390"/>
      <c r="F497" s="1390"/>
      <c r="G497" s="1390"/>
      <c r="H497" s="1390"/>
      <c r="I497" s="1390"/>
      <c r="J497" s="283"/>
      <c r="K497" s="1278"/>
      <c r="L497" s="1279"/>
      <c r="M497" s="1280"/>
      <c r="N497" s="1277"/>
      <c r="O497" s="1281"/>
      <c r="P497" s="1277"/>
      <c r="Q497" s="287">
        <f>SUM(Q499:Q513)</f>
        <v>63605.746874999997</v>
      </c>
      <c r="R497" s="287"/>
      <c r="S497" s="1395">
        <f t="shared" ref="S497:AF497" si="98">SUM(S499:S513)</f>
        <v>0</v>
      </c>
      <c r="T497" s="1395">
        <f t="shared" si="98"/>
        <v>0</v>
      </c>
      <c r="U497" s="1395">
        <f t="shared" si="98"/>
        <v>43754.809374999997</v>
      </c>
      <c r="V497" s="1395">
        <f t="shared" si="98"/>
        <v>13573.4375</v>
      </c>
      <c r="W497" s="1395">
        <f t="shared" si="98"/>
        <v>6277.5</v>
      </c>
      <c r="X497" s="1395">
        <f t="shared" si="98"/>
        <v>0</v>
      </c>
      <c r="Y497" s="1395">
        <f t="shared" si="98"/>
        <v>0</v>
      </c>
      <c r="Z497" s="361">
        <f t="shared" si="98"/>
        <v>0</v>
      </c>
      <c r="AA497" s="361">
        <f t="shared" si="98"/>
        <v>0</v>
      </c>
      <c r="AB497" s="361">
        <f t="shared" si="98"/>
        <v>0</v>
      </c>
      <c r="AC497" s="361">
        <f t="shared" si="98"/>
        <v>0</v>
      </c>
      <c r="AD497" s="361">
        <f t="shared" si="98"/>
        <v>0</v>
      </c>
      <c r="AE497" s="361">
        <f t="shared" si="98"/>
        <v>0</v>
      </c>
      <c r="AF497" s="361">
        <f t="shared" si="98"/>
        <v>0</v>
      </c>
      <c r="AG497" s="287">
        <f>SUM(S497:AF497)</f>
        <v>63605.746874999997</v>
      </c>
    </row>
    <row r="498" spans="1:33" ht="42.75" customHeight="1">
      <c r="A498" s="2789">
        <v>4111</v>
      </c>
      <c r="B498" s="2790" t="s">
        <v>912</v>
      </c>
      <c r="C498" s="2790" t="s">
        <v>913</v>
      </c>
      <c r="D498" s="2929"/>
      <c r="E498" s="2924">
        <f>45+21+5</f>
        <v>71</v>
      </c>
      <c r="F498" s="2941">
        <v>43192</v>
      </c>
      <c r="G498" s="2941">
        <f>F498+E498</f>
        <v>43263</v>
      </c>
      <c r="H498" s="2792" t="s">
        <v>914</v>
      </c>
      <c r="I498" s="2942" t="s">
        <v>178</v>
      </c>
      <c r="J498" s="2943" t="s">
        <v>169</v>
      </c>
      <c r="K498" s="1432"/>
      <c r="L498" s="1433"/>
      <c r="M498" s="2937"/>
      <c r="N498" s="2938"/>
      <c r="O498" s="2939"/>
      <c r="P498" s="2938"/>
      <c r="Q498" s="1133"/>
      <c r="R498" s="1133"/>
      <c r="S498" s="1435"/>
      <c r="T498" s="1435"/>
      <c r="U498" s="1435"/>
      <c r="V498" s="1435"/>
      <c r="W498" s="1435"/>
      <c r="X498" s="2940"/>
      <c r="Y498" s="1435"/>
      <c r="Z498" s="1132"/>
      <c r="AA498" s="1132"/>
      <c r="AB498" s="1132"/>
      <c r="AC498" s="1132"/>
      <c r="AD498" s="1132"/>
      <c r="AE498" s="1132"/>
      <c r="AF498" s="1132"/>
      <c r="AG498" s="1133"/>
    </row>
    <row r="499" spans="1:33" ht="47.25" hidden="1" customHeight="1">
      <c r="A499" s="294">
        <v>4111</v>
      </c>
      <c r="B499" s="824" t="s">
        <v>912</v>
      </c>
      <c r="C499" s="824" t="s">
        <v>913</v>
      </c>
      <c r="D499" s="1396"/>
      <c r="E499" s="1391">
        <f>45+21+5</f>
        <v>71</v>
      </c>
      <c r="F499" s="1400">
        <v>43192</v>
      </c>
      <c r="G499" s="1400">
        <f>F499+E499</f>
        <v>43263</v>
      </c>
      <c r="H499" s="293" t="s">
        <v>914</v>
      </c>
      <c r="I499" s="845" t="s">
        <v>178</v>
      </c>
      <c r="J499" s="866" t="s">
        <v>169</v>
      </c>
      <c r="K499" s="1094" t="s">
        <v>915</v>
      </c>
      <c r="L499" s="1788">
        <v>23174</v>
      </c>
      <c r="M499" s="1543"/>
      <c r="N499" s="845"/>
      <c r="O499" s="1583">
        <v>1582.090625</v>
      </c>
      <c r="P499" s="845">
        <v>1</v>
      </c>
      <c r="Q499" s="853">
        <f t="shared" ref="Q499:Q513" si="99">O499*P499</f>
        <v>1582.090625</v>
      </c>
      <c r="R499" s="299"/>
      <c r="S499" s="299"/>
      <c r="T499" s="299"/>
      <c r="U499" s="299">
        <v>1582.090625</v>
      </c>
      <c r="V499" s="299"/>
      <c r="W499" s="299"/>
      <c r="X499" s="1142"/>
      <c r="Y499" s="1124"/>
      <c r="Z499" s="1124"/>
      <c r="AA499" s="1124"/>
      <c r="AB499" s="1124"/>
      <c r="AC499" s="1124"/>
      <c r="AD499" s="1124"/>
      <c r="AE499" s="1124"/>
      <c r="AF499" s="1124"/>
      <c r="AG499" s="547">
        <f t="shared" ref="AG499:AG513" si="100">SUM(S499:AF499)</f>
        <v>1582.090625</v>
      </c>
    </row>
    <row r="500" spans="1:33" ht="31.5" hidden="1">
      <c r="A500" s="294">
        <v>4111</v>
      </c>
      <c r="B500" s="824" t="s">
        <v>912</v>
      </c>
      <c r="C500" s="824" t="s">
        <v>913</v>
      </c>
      <c r="D500" s="1401"/>
      <c r="E500" s="1391">
        <f>45+21+5</f>
        <v>71</v>
      </c>
      <c r="F500" s="1400">
        <v>43192</v>
      </c>
      <c r="G500" s="1400">
        <f>F500+E500</f>
        <v>43263</v>
      </c>
      <c r="H500" s="293" t="s">
        <v>914</v>
      </c>
      <c r="I500" s="845" t="s">
        <v>169</v>
      </c>
      <c r="J500" s="866" t="s">
        <v>178</v>
      </c>
      <c r="K500" s="1094" t="s">
        <v>320</v>
      </c>
      <c r="L500" s="1788">
        <v>23173</v>
      </c>
      <c r="M500" s="1543"/>
      <c r="N500" s="845"/>
      <c r="O500" s="1583">
        <v>164.0625</v>
      </c>
      <c r="P500" s="845">
        <v>1</v>
      </c>
      <c r="Q500" s="853">
        <f t="shared" si="99"/>
        <v>164.0625</v>
      </c>
      <c r="R500" s="299"/>
      <c r="S500" s="299"/>
      <c r="T500" s="299"/>
      <c r="U500" s="299">
        <v>164.0625</v>
      </c>
      <c r="V500" s="299"/>
      <c r="W500" s="299"/>
      <c r="X500" s="1142"/>
      <c r="Y500" s="1124"/>
      <c r="Z500" s="1124"/>
      <c r="AA500" s="1124"/>
      <c r="AB500" s="1124"/>
      <c r="AC500" s="1124"/>
      <c r="AD500" s="1124"/>
      <c r="AE500" s="1124"/>
      <c r="AF500" s="1124"/>
      <c r="AG500" s="547">
        <f t="shared" si="100"/>
        <v>164.0625</v>
      </c>
    </row>
    <row r="501" spans="1:33" ht="31.5" hidden="1">
      <c r="A501" s="294">
        <v>4111</v>
      </c>
      <c r="B501" s="824" t="s">
        <v>912</v>
      </c>
      <c r="C501" s="824" t="s">
        <v>913</v>
      </c>
      <c r="D501" s="1401"/>
      <c r="E501" s="1391">
        <f>45+21+5</f>
        <v>71</v>
      </c>
      <c r="F501" s="1400">
        <v>43192</v>
      </c>
      <c r="G501" s="1400">
        <f>F501+E501</f>
        <v>43263</v>
      </c>
      <c r="H501" s="293" t="s">
        <v>914</v>
      </c>
      <c r="I501" s="845" t="s">
        <v>169</v>
      </c>
      <c r="J501" s="866" t="s">
        <v>178</v>
      </c>
      <c r="K501" s="1094" t="s">
        <v>916</v>
      </c>
      <c r="L501" s="1788">
        <v>23173</v>
      </c>
      <c r="M501" s="1543"/>
      <c r="N501" s="845"/>
      <c r="O501" s="1583">
        <v>31.25</v>
      </c>
      <c r="P501" s="845">
        <v>5</v>
      </c>
      <c r="Q501" s="853">
        <f t="shared" si="99"/>
        <v>156.25</v>
      </c>
      <c r="R501" s="299"/>
      <c r="S501" s="299"/>
      <c r="T501" s="299"/>
      <c r="U501" s="299">
        <v>156.25</v>
      </c>
      <c r="V501" s="299"/>
      <c r="W501" s="299"/>
      <c r="X501" s="1142"/>
      <c r="Y501" s="1124"/>
      <c r="Z501" s="1124"/>
      <c r="AA501" s="1124"/>
      <c r="AB501" s="1124"/>
      <c r="AC501" s="1124"/>
      <c r="AD501" s="1124"/>
      <c r="AE501" s="1124"/>
      <c r="AF501" s="1124"/>
      <c r="AG501" s="547">
        <f t="shared" si="100"/>
        <v>156.25</v>
      </c>
    </row>
    <row r="502" spans="1:33" ht="42" customHeight="1">
      <c r="A502" s="2944">
        <v>4112</v>
      </c>
      <c r="B502" s="2945" t="s">
        <v>917</v>
      </c>
      <c r="C502" s="2945" t="s">
        <v>918</v>
      </c>
      <c r="D502" s="2946"/>
      <c r="E502" s="2947">
        <f>3</f>
        <v>3</v>
      </c>
      <c r="F502" s="2948">
        <v>43265</v>
      </c>
      <c r="G502" s="2948">
        <f t="shared" ref="G502:G513" si="101">F502+E502-1</f>
        <v>43267</v>
      </c>
      <c r="H502" s="2949" t="s">
        <v>914</v>
      </c>
      <c r="I502" s="2944" t="s">
        <v>169</v>
      </c>
      <c r="J502" s="2950" t="s">
        <v>178</v>
      </c>
      <c r="K502" s="1678" t="s">
        <v>320</v>
      </c>
      <c r="L502" s="1812">
        <v>23173</v>
      </c>
      <c r="M502" s="1680"/>
      <c r="N502" s="1621"/>
      <c r="O502" s="1681">
        <v>523.125</v>
      </c>
      <c r="P502" s="1621">
        <v>1</v>
      </c>
      <c r="Q502" s="2824">
        <f t="shared" si="99"/>
        <v>523.125</v>
      </c>
      <c r="R502" s="1682"/>
      <c r="S502" s="1682"/>
      <c r="T502" s="1682"/>
      <c r="U502" s="1682">
        <v>523.125</v>
      </c>
      <c r="V502" s="1682"/>
      <c r="W502" s="1682"/>
      <c r="X502" s="1683"/>
      <c r="Y502" s="1680"/>
      <c r="Z502" s="1680"/>
      <c r="AA502" s="1680"/>
      <c r="AB502" s="1680"/>
      <c r="AC502" s="1680"/>
      <c r="AD502" s="1680"/>
      <c r="AE502" s="1680"/>
      <c r="AF502" s="1680"/>
      <c r="AG502" s="547">
        <f t="shared" si="100"/>
        <v>523.125</v>
      </c>
    </row>
    <row r="503" spans="1:33" ht="42" customHeight="1">
      <c r="A503" s="2955">
        <v>4113</v>
      </c>
      <c r="B503" s="2956" t="s">
        <v>919</v>
      </c>
      <c r="C503" s="2956" t="s">
        <v>920</v>
      </c>
      <c r="D503" s="2957"/>
      <c r="E503" s="2958">
        <f>2</f>
        <v>2</v>
      </c>
      <c r="F503" s="2959">
        <v>43271</v>
      </c>
      <c r="G503" s="2959">
        <f>F503+E503-1</f>
        <v>43272</v>
      </c>
      <c r="H503" s="2960" t="s">
        <v>914</v>
      </c>
      <c r="I503" s="2955" t="s">
        <v>178</v>
      </c>
      <c r="J503" s="2961" t="s">
        <v>169</v>
      </c>
      <c r="K503" s="2953"/>
      <c r="L503" s="2954"/>
      <c r="M503" s="1543"/>
      <c r="N503" s="845"/>
      <c r="O503" s="1583"/>
      <c r="P503" s="845"/>
      <c r="Q503" s="930"/>
      <c r="R503" s="913"/>
      <c r="S503" s="913"/>
      <c r="T503" s="913"/>
      <c r="U503" s="913"/>
      <c r="V503" s="913"/>
      <c r="W503" s="913"/>
      <c r="X503" s="1600"/>
      <c r="Y503" s="1543"/>
      <c r="Z503" s="1543"/>
      <c r="AA503" s="1543"/>
      <c r="AB503" s="1543"/>
      <c r="AC503" s="1543"/>
      <c r="AD503" s="1543"/>
      <c r="AE503" s="1543"/>
      <c r="AF503" s="1543"/>
      <c r="AG503" s="2355"/>
    </row>
    <row r="504" spans="1:33" ht="47.25" hidden="1" customHeight="1">
      <c r="A504" s="1631">
        <v>4113</v>
      </c>
      <c r="B504" s="1626" t="s">
        <v>919</v>
      </c>
      <c r="C504" s="1626" t="s">
        <v>920</v>
      </c>
      <c r="D504" s="1627"/>
      <c r="E504" s="1628">
        <f>2</f>
        <v>2</v>
      </c>
      <c r="F504" s="1629">
        <v>43271</v>
      </c>
      <c r="G504" s="1629">
        <f t="shared" si="101"/>
        <v>43272</v>
      </c>
      <c r="H504" s="1630" t="s">
        <v>914</v>
      </c>
      <c r="I504" s="1631" t="s">
        <v>178</v>
      </c>
      <c r="J504" s="1632" t="s">
        <v>169</v>
      </c>
      <c r="K504" s="1679" t="s">
        <v>888</v>
      </c>
      <c r="L504" s="1813">
        <v>23174</v>
      </c>
      <c r="M504" s="1636"/>
      <c r="N504" s="1631"/>
      <c r="O504" s="1676">
        <v>34491.78125</v>
      </c>
      <c r="P504" s="1631">
        <v>1</v>
      </c>
      <c r="Q504" s="2715">
        <f t="shared" si="99"/>
        <v>34491.78125</v>
      </c>
      <c r="R504" s="1671"/>
      <c r="S504" s="1671"/>
      <c r="T504" s="1671"/>
      <c r="U504" s="1671">
        <v>34491.78125</v>
      </c>
      <c r="V504" s="1671"/>
      <c r="W504" s="1671"/>
      <c r="X504" s="1671"/>
      <c r="Y504" s="1636"/>
      <c r="Z504" s="1636"/>
      <c r="AA504" s="1636"/>
      <c r="AB504" s="1636"/>
      <c r="AC504" s="1636"/>
      <c r="AD504" s="1636"/>
      <c r="AE504" s="1636"/>
      <c r="AF504" s="1636"/>
      <c r="AG504" s="547">
        <f t="shared" si="100"/>
        <v>34491.78125</v>
      </c>
    </row>
    <row r="505" spans="1:33" ht="31.5" hidden="1">
      <c r="A505" s="1631">
        <v>4113</v>
      </c>
      <c r="B505" s="1626" t="s">
        <v>919</v>
      </c>
      <c r="C505" s="1626" t="s">
        <v>920</v>
      </c>
      <c r="D505" s="1627"/>
      <c r="E505" s="1628">
        <f>2</f>
        <v>2</v>
      </c>
      <c r="F505" s="1629">
        <v>43271</v>
      </c>
      <c r="G505" s="1629">
        <f t="shared" si="101"/>
        <v>43272</v>
      </c>
      <c r="H505" s="1630" t="s">
        <v>914</v>
      </c>
      <c r="I505" s="1631" t="s">
        <v>169</v>
      </c>
      <c r="J505" s="1632" t="s">
        <v>178</v>
      </c>
      <c r="K505" s="1679" t="s">
        <v>320</v>
      </c>
      <c r="L505" s="1813">
        <v>23173</v>
      </c>
      <c r="M505" s="1636"/>
      <c r="N505" s="1631"/>
      <c r="O505" s="1676">
        <v>5156.25</v>
      </c>
      <c r="P505" s="1631">
        <v>1</v>
      </c>
      <c r="Q505" s="2715">
        <f t="shared" si="99"/>
        <v>5156.25</v>
      </c>
      <c r="R505" s="1671"/>
      <c r="S505" s="1671"/>
      <c r="T505" s="1671"/>
      <c r="U505" s="1671">
        <v>5156.25</v>
      </c>
      <c r="V505" s="1671"/>
      <c r="W505" s="1671"/>
      <c r="X505" s="1671"/>
      <c r="Y505" s="1636"/>
      <c r="Z505" s="1636"/>
      <c r="AA505" s="1636"/>
      <c r="AB505" s="1636"/>
      <c r="AC505" s="1636"/>
      <c r="AD505" s="1636"/>
      <c r="AE505" s="1636"/>
      <c r="AF505" s="1636"/>
      <c r="AG505" s="547">
        <f t="shared" si="100"/>
        <v>5156.25</v>
      </c>
    </row>
    <row r="506" spans="1:33" ht="31.5" hidden="1">
      <c r="A506" s="1631">
        <v>4113</v>
      </c>
      <c r="B506" s="1626" t="s">
        <v>919</v>
      </c>
      <c r="C506" s="1626" t="s">
        <v>920</v>
      </c>
      <c r="D506" s="1627"/>
      <c r="E506" s="1628">
        <f>2</f>
        <v>2</v>
      </c>
      <c r="F506" s="1629">
        <v>43271</v>
      </c>
      <c r="G506" s="1629">
        <f t="shared" si="101"/>
        <v>43272</v>
      </c>
      <c r="H506" s="1630" t="s">
        <v>914</v>
      </c>
      <c r="I506" s="1631" t="s">
        <v>169</v>
      </c>
      <c r="J506" s="1632" t="s">
        <v>178</v>
      </c>
      <c r="K506" s="1679" t="s">
        <v>916</v>
      </c>
      <c r="L506" s="1813">
        <v>23173</v>
      </c>
      <c r="M506" s="1636"/>
      <c r="N506" s="1631"/>
      <c r="O506" s="1676">
        <v>31.25</v>
      </c>
      <c r="P506" s="1631">
        <f>2*22</f>
        <v>44</v>
      </c>
      <c r="Q506" s="2715">
        <f t="shared" si="99"/>
        <v>1375</v>
      </c>
      <c r="R506" s="1671"/>
      <c r="S506" s="1671"/>
      <c r="T506" s="1671"/>
      <c r="U506" s="1671">
        <v>1375</v>
      </c>
      <c r="V506" s="1671"/>
      <c r="W506" s="1671"/>
      <c r="X506" s="1671"/>
      <c r="Y506" s="1636"/>
      <c r="Z506" s="1636"/>
      <c r="AA506" s="1636"/>
      <c r="AB506" s="1636"/>
      <c r="AC506" s="1636"/>
      <c r="AD506" s="1636"/>
      <c r="AE506" s="1636"/>
      <c r="AF506" s="1636"/>
      <c r="AG506" s="547">
        <f t="shared" si="100"/>
        <v>1375</v>
      </c>
    </row>
    <row r="507" spans="1:33" ht="31.5">
      <c r="A507" s="2955">
        <v>4114</v>
      </c>
      <c r="B507" s="2956" t="s">
        <v>921</v>
      </c>
      <c r="C507" s="2956" t="s">
        <v>922</v>
      </c>
      <c r="D507" s="2957"/>
      <c r="E507" s="2958">
        <f>3</f>
        <v>3</v>
      </c>
      <c r="F507" s="2974">
        <v>43279</v>
      </c>
      <c r="G507" s="2959">
        <f t="shared" si="101"/>
        <v>43281</v>
      </c>
      <c r="H507" s="2960" t="s">
        <v>914</v>
      </c>
      <c r="I507" s="2955" t="s">
        <v>169</v>
      </c>
      <c r="J507" s="2961" t="s">
        <v>178</v>
      </c>
      <c r="K507" s="1679" t="s">
        <v>670</v>
      </c>
      <c r="L507" s="1813">
        <v>23173</v>
      </c>
      <c r="M507" s="1636"/>
      <c r="N507" s="1631"/>
      <c r="O507" s="1676">
        <v>153.125</v>
      </c>
      <c r="P507" s="1631">
        <v>2</v>
      </c>
      <c r="Q507" s="2715">
        <f t="shared" si="99"/>
        <v>306.25</v>
      </c>
      <c r="R507" s="1671"/>
      <c r="S507" s="1671"/>
      <c r="T507" s="1671"/>
      <c r="U507" s="1671">
        <v>306.25</v>
      </c>
      <c r="V507" s="1671"/>
      <c r="W507" s="1671"/>
      <c r="X507" s="1671"/>
      <c r="Y507" s="1636"/>
      <c r="Z507" s="1636"/>
      <c r="AA507" s="1636"/>
      <c r="AB507" s="1636"/>
      <c r="AC507" s="1636"/>
      <c r="AD507" s="1636"/>
      <c r="AE507" s="1636"/>
      <c r="AF507" s="1636"/>
      <c r="AG507" s="547">
        <f t="shared" si="100"/>
        <v>306.25</v>
      </c>
    </row>
    <row r="508" spans="1:33" ht="36.75" customHeight="1">
      <c r="A508" s="2962">
        <v>4115</v>
      </c>
      <c r="B508" s="2956" t="s">
        <v>926</v>
      </c>
      <c r="C508" s="2956" t="s">
        <v>927</v>
      </c>
      <c r="D508" s="2965"/>
      <c r="E508" s="2958">
        <f>30</f>
        <v>30</v>
      </c>
      <c r="F508" s="2959">
        <v>43290</v>
      </c>
      <c r="G508" s="2959">
        <f t="shared" si="101"/>
        <v>43319</v>
      </c>
      <c r="H508" s="2960" t="s">
        <v>914</v>
      </c>
      <c r="I508" s="2955" t="s">
        <v>169</v>
      </c>
      <c r="J508" s="2961" t="s">
        <v>178</v>
      </c>
      <c r="K508" s="1679" t="s">
        <v>320</v>
      </c>
      <c r="L508" s="1813">
        <v>23173</v>
      </c>
      <c r="M508" s="1636"/>
      <c r="N508" s="1631"/>
      <c r="O508" s="1676">
        <v>12270.9375</v>
      </c>
      <c r="P508" s="1631">
        <v>1</v>
      </c>
      <c r="Q508" s="2715">
        <f t="shared" si="99"/>
        <v>12270.9375</v>
      </c>
      <c r="R508" s="1671"/>
      <c r="S508" s="1671"/>
      <c r="T508" s="1671"/>
      <c r="U508" s="1671"/>
      <c r="V508" s="1671">
        <v>12270.9375</v>
      </c>
      <c r="W508" s="1671"/>
      <c r="X508" s="1671"/>
      <c r="Y508" s="1636"/>
      <c r="Z508" s="1636"/>
      <c r="AA508" s="1636"/>
      <c r="AB508" s="1636"/>
      <c r="AC508" s="1636"/>
      <c r="AD508" s="1636"/>
      <c r="AE508" s="1636"/>
      <c r="AF508" s="1636"/>
      <c r="AG508" s="547">
        <f t="shared" si="100"/>
        <v>12270.9375</v>
      </c>
    </row>
    <row r="509" spans="1:33" ht="30.75" customHeight="1">
      <c r="A509" s="2962">
        <v>4116</v>
      </c>
      <c r="B509" s="2956" t="s">
        <v>928</v>
      </c>
      <c r="C509" s="2956" t="s">
        <v>929</v>
      </c>
      <c r="D509" s="2965"/>
      <c r="E509" s="2958">
        <f>6</f>
        <v>6</v>
      </c>
      <c r="F509" s="2959">
        <v>43290</v>
      </c>
      <c r="G509" s="2959">
        <f t="shared" si="101"/>
        <v>43295</v>
      </c>
      <c r="H509" s="2960" t="s">
        <v>914</v>
      </c>
      <c r="I509" s="2955" t="s">
        <v>169</v>
      </c>
      <c r="J509" s="2961" t="s">
        <v>178</v>
      </c>
      <c r="K509" s="1679" t="s">
        <v>320</v>
      </c>
      <c r="L509" s="1813">
        <v>23173</v>
      </c>
      <c r="M509" s="1636"/>
      <c r="N509" s="1631"/>
      <c r="O509" s="1676">
        <v>599.375</v>
      </c>
      <c r="P509" s="1631">
        <v>1</v>
      </c>
      <c r="Q509" s="2715">
        <f t="shared" si="99"/>
        <v>599.375</v>
      </c>
      <c r="R509" s="1671"/>
      <c r="S509" s="1671"/>
      <c r="T509" s="1671"/>
      <c r="U509" s="1671"/>
      <c r="V509" s="1671">
        <v>599.375</v>
      </c>
      <c r="W509" s="1671"/>
      <c r="X509" s="1671"/>
      <c r="Y509" s="1636"/>
      <c r="Z509" s="1636"/>
      <c r="AA509" s="1636"/>
      <c r="AB509" s="1636"/>
      <c r="AC509" s="1636"/>
      <c r="AD509" s="1636"/>
      <c r="AE509" s="1636"/>
      <c r="AF509" s="1636"/>
      <c r="AG509" s="547">
        <f t="shared" si="100"/>
        <v>599.375</v>
      </c>
    </row>
    <row r="510" spans="1:33" ht="47.25">
      <c r="A510" s="2962">
        <v>4117</v>
      </c>
      <c r="B510" s="2956" t="s">
        <v>930</v>
      </c>
      <c r="C510" s="2956" t="s">
        <v>931</v>
      </c>
      <c r="D510" s="2965"/>
      <c r="E510" s="2958">
        <f>3</f>
        <v>3</v>
      </c>
      <c r="F510" s="2959">
        <v>43304</v>
      </c>
      <c r="G510" s="2959">
        <f t="shared" si="101"/>
        <v>43306</v>
      </c>
      <c r="H510" s="2960" t="s">
        <v>914</v>
      </c>
      <c r="I510" s="2955" t="s">
        <v>178</v>
      </c>
      <c r="J510" s="2961" t="s">
        <v>932</v>
      </c>
      <c r="K510" s="1814" t="s">
        <v>933</v>
      </c>
      <c r="L510" s="1813">
        <v>23172</v>
      </c>
      <c r="M510" s="1636"/>
      <c r="N510" s="1631"/>
      <c r="O510" s="1676">
        <v>15.625</v>
      </c>
      <c r="P510" s="1631">
        <f>45</f>
        <v>45</v>
      </c>
      <c r="Q510" s="2715">
        <f t="shared" si="99"/>
        <v>703.125</v>
      </c>
      <c r="R510" s="1671"/>
      <c r="S510" s="1671"/>
      <c r="T510" s="1671"/>
      <c r="U510" s="1671"/>
      <c r="V510" s="1671">
        <v>703.125</v>
      </c>
      <c r="W510" s="1671"/>
      <c r="X510" s="1671"/>
      <c r="Y510" s="1636"/>
      <c r="Z510" s="1636"/>
      <c r="AA510" s="1636"/>
      <c r="AB510" s="1636"/>
      <c r="AC510" s="1636"/>
      <c r="AD510" s="1636"/>
      <c r="AE510" s="1636"/>
      <c r="AF510" s="1636"/>
      <c r="AG510" s="547">
        <f t="shared" si="100"/>
        <v>703.125</v>
      </c>
    </row>
    <row r="511" spans="1:33" ht="47.25" customHeight="1">
      <c r="A511" s="2955">
        <v>4118</v>
      </c>
      <c r="B511" s="2956" t="s">
        <v>934</v>
      </c>
      <c r="C511" s="2956" t="s">
        <v>935</v>
      </c>
      <c r="D511" s="2965"/>
      <c r="E511" s="2958">
        <f>5</f>
        <v>5</v>
      </c>
      <c r="F511" s="2959">
        <v>43325</v>
      </c>
      <c r="G511" s="2959">
        <f>F511+E511-1</f>
        <v>43329</v>
      </c>
      <c r="H511" s="2960" t="s">
        <v>914</v>
      </c>
      <c r="I511" s="2955" t="s">
        <v>178</v>
      </c>
      <c r="J511" s="2961" t="s">
        <v>169</v>
      </c>
      <c r="K511" s="2963"/>
      <c r="L511" s="2783"/>
      <c r="M511" s="1124"/>
      <c r="N511" s="1703"/>
      <c r="O511" s="1125"/>
      <c r="P511" s="1703"/>
      <c r="Q511" s="2964"/>
      <c r="R511" s="1127"/>
      <c r="S511" s="1127"/>
      <c r="T511" s="1127"/>
      <c r="U511" s="1127"/>
      <c r="V511" s="1127"/>
      <c r="W511" s="1127"/>
      <c r="X511" s="1127"/>
      <c r="Y511" s="1124"/>
      <c r="Z511" s="1124"/>
      <c r="AA511" s="1124"/>
      <c r="AB511" s="1124"/>
      <c r="AC511" s="1124"/>
      <c r="AD511" s="1124"/>
      <c r="AE511" s="1124"/>
      <c r="AF511" s="1124"/>
      <c r="AG511" s="2355"/>
    </row>
    <row r="512" spans="1:33" ht="31.5" hidden="1">
      <c r="A512" s="2962">
        <v>4118</v>
      </c>
      <c r="B512" s="1675" t="s">
        <v>934</v>
      </c>
      <c r="C512" s="1626" t="s">
        <v>935</v>
      </c>
      <c r="D512" s="1636"/>
      <c r="E512" s="1628">
        <f>5</f>
        <v>5</v>
      </c>
      <c r="F512" s="1629">
        <v>43325</v>
      </c>
      <c r="G512" s="1629">
        <f t="shared" si="101"/>
        <v>43329</v>
      </c>
      <c r="H512" s="1630" t="s">
        <v>914</v>
      </c>
      <c r="I512" s="1631" t="s">
        <v>178</v>
      </c>
      <c r="J512" s="1632" t="s">
        <v>169</v>
      </c>
      <c r="K512" s="1679" t="s">
        <v>888</v>
      </c>
      <c r="L512" s="1813">
        <v>23174</v>
      </c>
      <c r="M512" s="1636"/>
      <c r="N512" s="1631"/>
      <c r="O512" s="1676">
        <v>5277.5</v>
      </c>
      <c r="P512" s="1631">
        <v>1</v>
      </c>
      <c r="Q512" s="2715">
        <f t="shared" si="99"/>
        <v>5277.5</v>
      </c>
      <c r="R512" s="1671"/>
      <c r="S512" s="1671"/>
      <c r="T512" s="1671"/>
      <c r="U512" s="1671"/>
      <c r="V512" s="1671"/>
      <c r="W512" s="1671">
        <v>5277.5</v>
      </c>
      <c r="X512" s="1671"/>
      <c r="Y512" s="1636"/>
      <c r="Z512" s="1636"/>
      <c r="AA512" s="1636"/>
      <c r="AB512" s="1636"/>
      <c r="AC512" s="1636"/>
      <c r="AD512" s="1636"/>
      <c r="AE512" s="1636"/>
      <c r="AF512" s="1636"/>
      <c r="AG512" s="547">
        <f t="shared" si="100"/>
        <v>5277.5</v>
      </c>
    </row>
    <row r="513" spans="1:33" ht="31.5" hidden="1">
      <c r="A513" s="1631">
        <v>4118</v>
      </c>
      <c r="B513" s="1675" t="s">
        <v>934</v>
      </c>
      <c r="C513" s="1626" t="s">
        <v>935</v>
      </c>
      <c r="D513" s="1636"/>
      <c r="E513" s="1628">
        <f>5</f>
        <v>5</v>
      </c>
      <c r="F513" s="1629">
        <v>43325</v>
      </c>
      <c r="G513" s="1629">
        <f t="shared" si="101"/>
        <v>43329</v>
      </c>
      <c r="H513" s="1630" t="s">
        <v>914</v>
      </c>
      <c r="I513" s="1631" t="s">
        <v>169</v>
      </c>
      <c r="J513" s="1632" t="s">
        <v>178</v>
      </c>
      <c r="K513" s="1679" t="s">
        <v>320</v>
      </c>
      <c r="L513" s="1813">
        <v>23173</v>
      </c>
      <c r="M513" s="1636"/>
      <c r="N513" s="1631"/>
      <c r="O513" s="1676">
        <v>1000</v>
      </c>
      <c r="P513" s="1631">
        <v>1</v>
      </c>
      <c r="Q513" s="2715">
        <f t="shared" si="99"/>
        <v>1000</v>
      </c>
      <c r="R513" s="1671"/>
      <c r="S513" s="1671"/>
      <c r="T513" s="1671"/>
      <c r="U513" s="1671"/>
      <c r="V513" s="1671"/>
      <c r="W513" s="1671">
        <v>1000</v>
      </c>
      <c r="X513" s="1671"/>
      <c r="Y513" s="1636"/>
      <c r="Z513" s="1636"/>
      <c r="AA513" s="1636"/>
      <c r="AB513" s="1636"/>
      <c r="AC513" s="1636"/>
      <c r="AD513" s="1636"/>
      <c r="AE513" s="1636"/>
      <c r="AF513" s="1636"/>
      <c r="AG513" s="547">
        <f t="shared" si="100"/>
        <v>1000</v>
      </c>
    </row>
    <row r="514" spans="1:33" ht="31.5">
      <c r="A514" s="1640">
        <v>412</v>
      </c>
      <c r="B514" s="1685" t="s">
        <v>936</v>
      </c>
      <c r="C514" s="1686"/>
      <c r="D514" s="1687"/>
      <c r="E514" s="1687"/>
      <c r="F514" s="1687"/>
      <c r="G514" s="1687"/>
      <c r="H514" s="1687"/>
      <c r="I514" s="1687"/>
      <c r="J514" s="1221"/>
      <c r="K514" s="1641"/>
      <c r="L514" s="1642"/>
      <c r="M514" s="1643"/>
      <c r="N514" s="1644"/>
      <c r="O514" s="1645"/>
      <c r="P514" s="1644"/>
      <c r="Q514" s="1225">
        <f>SUM(Q516:Q521)</f>
        <v>9103.5</v>
      </c>
      <c r="R514" s="1225"/>
      <c r="S514" s="1646">
        <f t="shared" ref="S514:AF514" si="102">SUM(S516:S521)</f>
        <v>0</v>
      </c>
      <c r="T514" s="1646">
        <f t="shared" si="102"/>
        <v>0</v>
      </c>
      <c r="U514" s="1646">
        <f t="shared" si="102"/>
        <v>0</v>
      </c>
      <c r="V514" s="1646">
        <f t="shared" si="102"/>
        <v>0</v>
      </c>
      <c r="W514" s="1646">
        <f t="shared" si="102"/>
        <v>9103.5</v>
      </c>
      <c r="X514" s="1646">
        <f t="shared" si="102"/>
        <v>0</v>
      </c>
      <c r="Y514" s="1646">
        <f t="shared" si="102"/>
        <v>0</v>
      </c>
      <c r="Z514" s="1224">
        <f t="shared" si="102"/>
        <v>0</v>
      </c>
      <c r="AA514" s="1224">
        <f t="shared" si="102"/>
        <v>0</v>
      </c>
      <c r="AB514" s="1224">
        <f t="shared" si="102"/>
        <v>0</v>
      </c>
      <c r="AC514" s="1224">
        <f t="shared" si="102"/>
        <v>0</v>
      </c>
      <c r="AD514" s="1224">
        <f t="shared" si="102"/>
        <v>0</v>
      </c>
      <c r="AE514" s="1224">
        <f t="shared" si="102"/>
        <v>0</v>
      </c>
      <c r="AF514" s="1224">
        <f t="shared" si="102"/>
        <v>0</v>
      </c>
      <c r="AG514" s="287">
        <f>SUM(S514:AF514)</f>
        <v>9103.5</v>
      </c>
    </row>
    <row r="515" spans="1:33" ht="36" customHeight="1">
      <c r="A515" s="2966">
        <v>4121</v>
      </c>
      <c r="B515" s="2967" t="s">
        <v>937</v>
      </c>
      <c r="C515" s="2967" t="s">
        <v>938</v>
      </c>
      <c r="D515" s="2968"/>
      <c r="E515" s="2969">
        <f>2</f>
        <v>2</v>
      </c>
      <c r="F515" s="2959">
        <v>43297</v>
      </c>
      <c r="G515" s="2959">
        <f t="shared" ref="G515:G521" si="103">F515+E515-1</f>
        <v>43298</v>
      </c>
      <c r="H515" s="2955" t="s">
        <v>178</v>
      </c>
      <c r="I515" s="2955" t="s">
        <v>178</v>
      </c>
      <c r="J515" s="2970" t="s">
        <v>169</v>
      </c>
      <c r="K515" s="1432"/>
      <c r="L515" s="1433"/>
      <c r="M515" s="1430"/>
      <c r="N515" s="1431"/>
      <c r="O515" s="1434"/>
      <c r="P515" s="1431"/>
      <c r="Q515" s="1133"/>
      <c r="R515" s="1133"/>
      <c r="S515" s="1435"/>
      <c r="T515" s="1435"/>
      <c r="U515" s="1435"/>
      <c r="V515" s="1435"/>
      <c r="W515" s="1435"/>
      <c r="X515" s="1435"/>
      <c r="Y515" s="1435"/>
      <c r="Z515" s="1132"/>
      <c r="AA515" s="1132"/>
      <c r="AB515" s="1132"/>
      <c r="AC515" s="1132"/>
      <c r="AD515" s="1132"/>
      <c r="AE515" s="1132"/>
      <c r="AF515" s="1132"/>
      <c r="AG515" s="1133"/>
    </row>
    <row r="516" spans="1:33" s="1570" customFormat="1" ht="57" hidden="1" customHeight="1">
      <c r="A516" s="1647">
        <v>4121</v>
      </c>
      <c r="B516" s="1648" t="s">
        <v>937</v>
      </c>
      <c r="C516" s="1648" t="s">
        <v>938</v>
      </c>
      <c r="D516" s="1649"/>
      <c r="E516" s="1650">
        <f>2</f>
        <v>2</v>
      </c>
      <c r="F516" s="1629">
        <v>43297</v>
      </c>
      <c r="G516" s="1629">
        <f t="shared" si="103"/>
        <v>43298</v>
      </c>
      <c r="H516" s="1651" t="s">
        <v>178</v>
      </c>
      <c r="I516" s="1651" t="s">
        <v>178</v>
      </c>
      <c r="J516" s="1652" t="s">
        <v>169</v>
      </c>
      <c r="K516" s="1679" t="s">
        <v>888</v>
      </c>
      <c r="L516" s="1813">
        <v>23174</v>
      </c>
      <c r="M516" s="1688"/>
      <c r="N516" s="1653"/>
      <c r="O516" s="1689">
        <v>3106.9156250000001</v>
      </c>
      <c r="P516" s="1653">
        <v>1</v>
      </c>
      <c r="Q516" s="2825">
        <f>O516*P516</f>
        <v>3106.9156250000001</v>
      </c>
      <c r="R516" s="1655"/>
      <c r="S516" s="1690"/>
      <c r="T516" s="1690"/>
      <c r="U516" s="1690"/>
      <c r="V516" s="1690"/>
      <c r="W516" s="1690">
        <v>3106.9156250000001</v>
      </c>
      <c r="X516" s="1690"/>
      <c r="Y516" s="1690"/>
      <c r="Z516" s="1691"/>
      <c r="AA516" s="1691"/>
      <c r="AB516" s="1691"/>
      <c r="AC516" s="1691"/>
      <c r="AD516" s="1691"/>
      <c r="AE516" s="1691"/>
      <c r="AF516" s="1691"/>
      <c r="AG516" s="547">
        <f t="shared" ref="AG516:AG521" si="104">SUM(S516:AF516)</f>
        <v>3106.9156250000001</v>
      </c>
    </row>
    <row r="517" spans="1:33" s="1570" customFormat="1" ht="33" hidden="1" customHeight="1">
      <c r="A517" s="1647">
        <v>4121</v>
      </c>
      <c r="B517" s="1648" t="s">
        <v>937</v>
      </c>
      <c r="C517" s="1648" t="s">
        <v>939</v>
      </c>
      <c r="D517" s="1649"/>
      <c r="E517" s="1650">
        <f>2</f>
        <v>2</v>
      </c>
      <c r="F517" s="1629">
        <v>43297</v>
      </c>
      <c r="G517" s="1629">
        <f t="shared" si="103"/>
        <v>43298</v>
      </c>
      <c r="H517" s="1651" t="s">
        <v>178</v>
      </c>
      <c r="I517" s="1651" t="s">
        <v>169</v>
      </c>
      <c r="J517" s="1632" t="s">
        <v>178</v>
      </c>
      <c r="K517" s="1679" t="s">
        <v>486</v>
      </c>
      <c r="L517" s="1813">
        <v>23173</v>
      </c>
      <c r="M517" s="1688"/>
      <c r="N517" s="1653"/>
      <c r="O517" s="1689">
        <v>46.875</v>
      </c>
      <c r="P517" s="1653">
        <v>2</v>
      </c>
      <c r="Q517" s="2825">
        <f>O517*P517</f>
        <v>93.75</v>
      </c>
      <c r="R517" s="1655"/>
      <c r="S517" s="1690"/>
      <c r="T517" s="1690"/>
      <c r="U517" s="1690"/>
      <c r="V517" s="1690"/>
      <c r="W517" s="1690">
        <v>93.75</v>
      </c>
      <c r="X517" s="1690"/>
      <c r="Y517" s="1690"/>
      <c r="Z517" s="1691"/>
      <c r="AA517" s="1691"/>
      <c r="AB517" s="1691"/>
      <c r="AC517" s="1691"/>
      <c r="AD517" s="1691"/>
      <c r="AE517" s="1691"/>
      <c r="AF517" s="1691"/>
      <c r="AG517" s="547">
        <f t="shared" si="104"/>
        <v>93.75</v>
      </c>
    </row>
    <row r="518" spans="1:33" s="1570" customFormat="1" ht="43.5" customHeight="1">
      <c r="A518" s="2966">
        <v>4122</v>
      </c>
      <c r="B518" s="2967" t="s">
        <v>23</v>
      </c>
      <c r="C518" s="2967" t="s">
        <v>1107</v>
      </c>
      <c r="D518" s="2968"/>
      <c r="E518" s="2969">
        <f>3</f>
        <v>3</v>
      </c>
      <c r="F518" s="2959">
        <v>43300</v>
      </c>
      <c r="G518" s="2959">
        <f t="shared" si="103"/>
        <v>43302</v>
      </c>
      <c r="H518" s="2955" t="s">
        <v>178</v>
      </c>
      <c r="I518" s="2955" t="s">
        <v>178</v>
      </c>
      <c r="J518" s="2970" t="s">
        <v>169</v>
      </c>
      <c r="K518" s="2833"/>
      <c r="L518" s="2783"/>
      <c r="M518" s="2971"/>
      <c r="N518" s="2972"/>
      <c r="O518" s="1568"/>
      <c r="P518" s="2972"/>
      <c r="Q518" s="2973"/>
      <c r="R518" s="1741"/>
      <c r="S518" s="1588"/>
      <c r="T518" s="1588"/>
      <c r="U518" s="1588"/>
      <c r="V518" s="1588"/>
      <c r="W518" s="1588"/>
      <c r="X518" s="1588"/>
      <c r="Y518" s="1588"/>
      <c r="Z518" s="1569"/>
      <c r="AA518" s="1569"/>
      <c r="AB518" s="1569"/>
      <c r="AC518" s="1569"/>
      <c r="AD518" s="1569"/>
      <c r="AE518" s="1569"/>
      <c r="AF518" s="1569"/>
      <c r="AG518" s="2355"/>
    </row>
    <row r="519" spans="1:33" s="1570" customFormat="1" ht="44.25" hidden="1" customHeight="1">
      <c r="A519" s="1647">
        <v>4122</v>
      </c>
      <c r="B519" s="1648" t="s">
        <v>23</v>
      </c>
      <c r="C519" s="1648" t="s">
        <v>939</v>
      </c>
      <c r="D519" s="1649"/>
      <c r="E519" s="1650">
        <f>3</f>
        <v>3</v>
      </c>
      <c r="F519" s="1629">
        <v>43300</v>
      </c>
      <c r="G519" s="1629">
        <f t="shared" si="103"/>
        <v>43302</v>
      </c>
      <c r="H519" s="1651" t="s">
        <v>178</v>
      </c>
      <c r="I519" s="1651" t="s">
        <v>178</v>
      </c>
      <c r="J519" s="1652" t="s">
        <v>169</v>
      </c>
      <c r="K519" s="1679" t="s">
        <v>888</v>
      </c>
      <c r="L519" s="1813">
        <v>23174</v>
      </c>
      <c r="M519" s="1688"/>
      <c r="N519" s="1653"/>
      <c r="O519" s="1689">
        <v>5645.0218750000004</v>
      </c>
      <c r="P519" s="1653">
        <v>1</v>
      </c>
      <c r="Q519" s="2825">
        <f>O519*P519</f>
        <v>5645.0218750000004</v>
      </c>
      <c r="R519" s="1655"/>
      <c r="S519" s="1690"/>
      <c r="T519" s="1690"/>
      <c r="U519" s="1690"/>
      <c r="V519" s="1690"/>
      <c r="W519" s="1690">
        <v>5645.0218750000004</v>
      </c>
      <c r="X519" s="1690"/>
      <c r="Y519" s="1690"/>
      <c r="Z519" s="1691"/>
      <c r="AA519" s="1691"/>
      <c r="AB519" s="1691"/>
      <c r="AC519" s="1691"/>
      <c r="AD519" s="1691"/>
      <c r="AE519" s="1691"/>
      <c r="AF519" s="1691"/>
      <c r="AG519" s="547">
        <f t="shared" si="104"/>
        <v>5645.0218750000004</v>
      </c>
    </row>
    <row r="520" spans="1:33" s="1570" customFormat="1" ht="37.5" hidden="1" customHeight="1">
      <c r="A520" s="1647">
        <v>4122</v>
      </c>
      <c r="B520" s="1648" t="s">
        <v>23</v>
      </c>
      <c r="C520" s="1648" t="s">
        <v>940</v>
      </c>
      <c r="D520" s="1649"/>
      <c r="E520" s="1650">
        <f>3</f>
        <v>3</v>
      </c>
      <c r="F520" s="1629">
        <v>43300</v>
      </c>
      <c r="G520" s="1629">
        <f t="shared" si="103"/>
        <v>43302</v>
      </c>
      <c r="H520" s="1651" t="s">
        <v>178</v>
      </c>
      <c r="I520" s="1651" t="s">
        <v>169</v>
      </c>
      <c r="J520" s="1632" t="s">
        <v>178</v>
      </c>
      <c r="K520" s="1679" t="s">
        <v>486</v>
      </c>
      <c r="L520" s="1813">
        <v>23173</v>
      </c>
      <c r="M520" s="1688"/>
      <c r="N520" s="1653"/>
      <c r="O520" s="1689">
        <v>31.25</v>
      </c>
      <c r="P520" s="1653">
        <v>3</v>
      </c>
      <c r="Q520" s="2825">
        <f>O520*P520</f>
        <v>93.75</v>
      </c>
      <c r="R520" s="1655"/>
      <c r="S520" s="1690"/>
      <c r="T520" s="1690"/>
      <c r="U520" s="1690"/>
      <c r="V520" s="1690"/>
      <c r="W520" s="1690">
        <v>93.75</v>
      </c>
      <c r="X520" s="1690"/>
      <c r="Y520" s="1690"/>
      <c r="Z520" s="1691"/>
      <c r="AA520" s="1691"/>
      <c r="AB520" s="1691"/>
      <c r="AC520" s="1691"/>
      <c r="AD520" s="1691"/>
      <c r="AE520" s="1691"/>
      <c r="AF520" s="1691"/>
      <c r="AG520" s="547">
        <f t="shared" si="104"/>
        <v>93.75</v>
      </c>
    </row>
    <row r="521" spans="1:33" s="1570" customFormat="1" ht="37.5" hidden="1" customHeight="1">
      <c r="A521" s="1647">
        <v>4122</v>
      </c>
      <c r="B521" s="1648" t="s">
        <v>23</v>
      </c>
      <c r="C521" s="1648" t="s">
        <v>940</v>
      </c>
      <c r="D521" s="1649"/>
      <c r="E521" s="1650">
        <f>3</f>
        <v>3</v>
      </c>
      <c r="F521" s="1629">
        <v>43300</v>
      </c>
      <c r="G521" s="1629">
        <f t="shared" si="103"/>
        <v>43302</v>
      </c>
      <c r="H521" s="1651" t="s">
        <v>178</v>
      </c>
      <c r="I521" s="1651" t="s">
        <v>169</v>
      </c>
      <c r="J521" s="1632" t="s">
        <v>178</v>
      </c>
      <c r="K521" s="1679" t="s">
        <v>320</v>
      </c>
      <c r="L521" s="1813">
        <v>23173</v>
      </c>
      <c r="M521" s="1688"/>
      <c r="N521" s="1653"/>
      <c r="O521" s="1689">
        <v>164.0625</v>
      </c>
      <c r="P521" s="1653">
        <v>1</v>
      </c>
      <c r="Q521" s="2825">
        <f>O521*P521</f>
        <v>164.0625</v>
      </c>
      <c r="R521" s="1655"/>
      <c r="S521" s="1690"/>
      <c r="T521" s="1690"/>
      <c r="U521" s="1690"/>
      <c r="V521" s="1690"/>
      <c r="W521" s="1690">
        <v>164.0625</v>
      </c>
      <c r="X521" s="1690"/>
      <c r="Y521" s="1690"/>
      <c r="Z521" s="1691"/>
      <c r="AA521" s="1691"/>
      <c r="AB521" s="1691"/>
      <c r="AC521" s="1691"/>
      <c r="AD521" s="1691"/>
      <c r="AE521" s="1691"/>
      <c r="AF521" s="1691"/>
      <c r="AG521" s="547">
        <f t="shared" si="104"/>
        <v>164.0625</v>
      </c>
    </row>
    <row r="522" spans="1:33" ht="31.5">
      <c r="A522" s="1640">
        <v>413</v>
      </c>
      <c r="B522" s="1685" t="s">
        <v>941</v>
      </c>
      <c r="C522" s="1686"/>
      <c r="D522" s="1687"/>
      <c r="E522" s="1687"/>
      <c r="F522" s="1687"/>
      <c r="G522" s="1687"/>
      <c r="H522" s="1687"/>
      <c r="I522" s="1687"/>
      <c r="J522" s="1221"/>
      <c r="K522" s="1641"/>
      <c r="L522" s="1642"/>
      <c r="M522" s="1643"/>
      <c r="N522" s="1644"/>
      <c r="O522" s="1645"/>
      <c r="P522" s="1644"/>
      <c r="Q522" s="1225">
        <f>SUM(Q524:Q545)</f>
        <v>283581.25625000003</v>
      </c>
      <c r="R522" s="1225"/>
      <c r="S522" s="1646">
        <f t="shared" ref="S522:AF522" si="105">SUM(S524:S545)</f>
        <v>0</v>
      </c>
      <c r="T522" s="1646">
        <f t="shared" si="105"/>
        <v>0</v>
      </c>
      <c r="U522" s="1646">
        <f t="shared" si="105"/>
        <v>180235.375</v>
      </c>
      <c r="V522" s="1646">
        <f t="shared" si="105"/>
        <v>0</v>
      </c>
      <c r="W522" s="1646">
        <f t="shared" si="105"/>
        <v>65543.719125000003</v>
      </c>
      <c r="X522" s="1646">
        <f t="shared" si="105"/>
        <v>7772.2348750000001</v>
      </c>
      <c r="Y522" s="1646">
        <f t="shared" si="105"/>
        <v>30029.927250000001</v>
      </c>
      <c r="Z522" s="1646">
        <f t="shared" si="105"/>
        <v>0</v>
      </c>
      <c r="AA522" s="1646">
        <f t="shared" si="105"/>
        <v>0</v>
      </c>
      <c r="AB522" s="1646">
        <f t="shared" si="105"/>
        <v>0</v>
      </c>
      <c r="AC522" s="1646">
        <f t="shared" si="105"/>
        <v>0</v>
      </c>
      <c r="AD522" s="1646">
        <f t="shared" si="105"/>
        <v>0</v>
      </c>
      <c r="AE522" s="1646">
        <f t="shared" si="105"/>
        <v>0</v>
      </c>
      <c r="AF522" s="1646">
        <f t="shared" si="105"/>
        <v>0</v>
      </c>
      <c r="AG522" s="287">
        <f>SUM(S522:AF522)</f>
        <v>283581.25624999998</v>
      </c>
    </row>
    <row r="523" spans="1:33" ht="47.25" customHeight="1">
      <c r="A523" s="2942">
        <v>4131</v>
      </c>
      <c r="B523" s="2779" t="s">
        <v>1039</v>
      </c>
      <c r="C523" s="2979" t="s">
        <v>944</v>
      </c>
      <c r="D523" s="2980"/>
      <c r="E523" s="2924">
        <f t="shared" ref="E523:E528" si="106">45+21</f>
        <v>66</v>
      </c>
      <c r="F523" s="2941">
        <v>43192</v>
      </c>
      <c r="G523" s="2941">
        <f>E523+F523-1</f>
        <v>43257</v>
      </c>
      <c r="H523" s="2942" t="s">
        <v>178</v>
      </c>
      <c r="I523" s="2942" t="s">
        <v>169</v>
      </c>
      <c r="J523" s="2943" t="s">
        <v>178</v>
      </c>
      <c r="K523" s="1432"/>
      <c r="L523" s="1433"/>
      <c r="M523" s="1430"/>
      <c r="N523" s="1431"/>
      <c r="O523" s="1434"/>
      <c r="P523" s="1431"/>
      <c r="Q523" s="2975"/>
      <c r="R523" s="2976"/>
      <c r="S523" s="2977"/>
      <c r="T523" s="2977"/>
      <c r="U523" s="2977"/>
      <c r="V523" s="2977"/>
      <c r="W523" s="2977"/>
      <c r="X523" s="2978"/>
      <c r="Y523" s="1435"/>
      <c r="Z523" s="1435"/>
      <c r="AA523" s="1435"/>
      <c r="AB523" s="1435"/>
      <c r="AC523" s="1435"/>
      <c r="AD523" s="1435"/>
      <c r="AE523" s="1435"/>
      <c r="AF523" s="1435"/>
      <c r="AG523" s="1133"/>
    </row>
    <row r="524" spans="1:33" ht="51.75" hidden="1" customHeight="1">
      <c r="A524" s="845">
        <v>4131</v>
      </c>
      <c r="B524" s="857" t="s">
        <v>1039</v>
      </c>
      <c r="C524" s="1598" t="s">
        <v>944</v>
      </c>
      <c r="D524" s="1599"/>
      <c r="E524" s="1391">
        <f t="shared" si="106"/>
        <v>66</v>
      </c>
      <c r="F524" s="1400">
        <v>43192</v>
      </c>
      <c r="G524" s="1400">
        <f>E524+F524-1</f>
        <v>43257</v>
      </c>
      <c r="H524" s="845" t="s">
        <v>178</v>
      </c>
      <c r="I524" s="845" t="s">
        <v>169</v>
      </c>
      <c r="J524" s="866" t="s">
        <v>178</v>
      </c>
      <c r="K524" s="1787" t="s">
        <v>945</v>
      </c>
      <c r="L524" s="1788">
        <v>2461</v>
      </c>
      <c r="M524" s="326"/>
      <c r="N524" s="294"/>
      <c r="O524" s="354">
        <v>3356.25</v>
      </c>
      <c r="P524" s="294">
        <v>1</v>
      </c>
      <c r="Q524" s="913">
        <f t="shared" ref="Q524:Q545" si="107">O524*P524</f>
        <v>3356.25</v>
      </c>
      <c r="R524" s="1412"/>
      <c r="S524" s="913"/>
      <c r="T524" s="913"/>
      <c r="U524" s="913">
        <v>3356.25</v>
      </c>
      <c r="V524" s="913"/>
      <c r="W524" s="913"/>
      <c r="X524" s="1600"/>
      <c r="Y524" s="1127"/>
      <c r="Z524" s="1124"/>
      <c r="AA524" s="1124"/>
      <c r="AB524" s="1124"/>
      <c r="AC524" s="1124"/>
      <c r="AD524" s="1124"/>
      <c r="AE524" s="1124"/>
      <c r="AF524" s="1124"/>
      <c r="AG524" s="547">
        <f t="shared" ref="AG524:AG545" si="108">SUM(S524:AF524)</f>
        <v>3356.25</v>
      </c>
    </row>
    <row r="525" spans="1:33" ht="47.25" hidden="1">
      <c r="A525" s="845">
        <v>4131</v>
      </c>
      <c r="B525" s="857" t="s">
        <v>1039</v>
      </c>
      <c r="C525" s="1598" t="s">
        <v>944</v>
      </c>
      <c r="D525" s="1599"/>
      <c r="E525" s="1391">
        <f t="shared" si="106"/>
        <v>66</v>
      </c>
      <c r="F525" s="1400">
        <v>43192</v>
      </c>
      <c r="G525" s="1400">
        <f t="shared" ref="G525:G536" si="109">E525+F525-1</f>
        <v>43257</v>
      </c>
      <c r="H525" s="845" t="s">
        <v>178</v>
      </c>
      <c r="I525" s="845" t="s">
        <v>169</v>
      </c>
      <c r="J525" s="866" t="s">
        <v>178</v>
      </c>
      <c r="K525" s="1787" t="s">
        <v>946</v>
      </c>
      <c r="L525" s="1788">
        <v>2314</v>
      </c>
      <c r="M525" s="326"/>
      <c r="N525" s="294"/>
      <c r="O525" s="354">
        <v>125</v>
      </c>
      <c r="P525" s="294">
        <v>1</v>
      </c>
      <c r="Q525" s="913">
        <f t="shared" si="107"/>
        <v>125</v>
      </c>
      <c r="R525" s="1412"/>
      <c r="S525" s="913"/>
      <c r="T525" s="913"/>
      <c r="U525" s="913">
        <v>125</v>
      </c>
      <c r="V525" s="913"/>
      <c r="W525" s="913"/>
      <c r="X525" s="1600"/>
      <c r="Y525" s="1127"/>
      <c r="Z525" s="1124"/>
      <c r="AA525" s="1124"/>
      <c r="AB525" s="1124"/>
      <c r="AC525" s="1124"/>
      <c r="AD525" s="1124"/>
      <c r="AE525" s="1124"/>
      <c r="AF525" s="1124"/>
      <c r="AG525" s="547">
        <f t="shared" si="108"/>
        <v>125</v>
      </c>
    </row>
    <row r="526" spans="1:33" ht="47.25" hidden="1">
      <c r="A526" s="845">
        <v>4131</v>
      </c>
      <c r="B526" s="857" t="s">
        <v>1039</v>
      </c>
      <c r="C526" s="1598" t="s">
        <v>944</v>
      </c>
      <c r="D526" s="1599"/>
      <c r="E526" s="1391">
        <f t="shared" si="106"/>
        <v>66</v>
      </c>
      <c r="F526" s="1400">
        <v>43192</v>
      </c>
      <c r="G526" s="1400">
        <f t="shared" si="109"/>
        <v>43257</v>
      </c>
      <c r="H526" s="845" t="s">
        <v>178</v>
      </c>
      <c r="I526" s="845" t="s">
        <v>169</v>
      </c>
      <c r="J526" s="866" t="s">
        <v>178</v>
      </c>
      <c r="K526" s="1787" t="s">
        <v>320</v>
      </c>
      <c r="L526" s="1788">
        <v>23173</v>
      </c>
      <c r="M526" s="326"/>
      <c r="N526" s="294"/>
      <c r="O526" s="354">
        <v>4340.625</v>
      </c>
      <c r="P526" s="294">
        <v>1</v>
      </c>
      <c r="Q526" s="913">
        <f t="shared" si="107"/>
        <v>4340.625</v>
      </c>
      <c r="R526" s="1412"/>
      <c r="S526" s="913"/>
      <c r="T526" s="913"/>
      <c r="U526" s="913">
        <v>4340.625</v>
      </c>
      <c r="V526" s="913"/>
      <c r="W526" s="913"/>
      <c r="X526" s="1600"/>
      <c r="Y526" s="1127"/>
      <c r="Z526" s="1124"/>
      <c r="AA526" s="1124"/>
      <c r="AB526" s="1124"/>
      <c r="AC526" s="1124"/>
      <c r="AD526" s="1124"/>
      <c r="AE526" s="1124"/>
      <c r="AF526" s="1124"/>
      <c r="AG526" s="547">
        <f t="shared" si="108"/>
        <v>4340.625</v>
      </c>
    </row>
    <row r="527" spans="1:33" ht="49.5" hidden="1" customHeight="1">
      <c r="A527" s="845">
        <v>4131</v>
      </c>
      <c r="B527" s="857" t="s">
        <v>1039</v>
      </c>
      <c r="C527" s="1598" t="s">
        <v>944</v>
      </c>
      <c r="D527" s="1599"/>
      <c r="E527" s="1391">
        <f t="shared" si="106"/>
        <v>66</v>
      </c>
      <c r="F527" s="1400">
        <v>43192</v>
      </c>
      <c r="G527" s="1400">
        <f t="shared" si="109"/>
        <v>43257</v>
      </c>
      <c r="H527" s="845" t="s">
        <v>178</v>
      </c>
      <c r="I527" s="845" t="s">
        <v>169</v>
      </c>
      <c r="J527" s="866" t="s">
        <v>178</v>
      </c>
      <c r="K527" s="1787" t="s">
        <v>947</v>
      </c>
      <c r="L527" s="1788">
        <v>2463</v>
      </c>
      <c r="M527" s="326"/>
      <c r="N527" s="294"/>
      <c r="O527" s="354">
        <v>23062.5</v>
      </c>
      <c r="P527" s="294">
        <v>1</v>
      </c>
      <c r="Q527" s="913">
        <f t="shared" si="107"/>
        <v>23062.5</v>
      </c>
      <c r="R527" s="1412"/>
      <c r="S527" s="913"/>
      <c r="T527" s="913"/>
      <c r="U527" s="913">
        <v>23062.5</v>
      </c>
      <c r="V527" s="913"/>
      <c r="W527" s="913"/>
      <c r="X527" s="1600"/>
      <c r="Y527" s="1127"/>
      <c r="Z527" s="1124"/>
      <c r="AA527" s="1124"/>
      <c r="AB527" s="1124"/>
      <c r="AC527" s="1124"/>
      <c r="AD527" s="1124"/>
      <c r="AE527" s="1124"/>
      <c r="AF527" s="1124"/>
      <c r="AG527" s="547">
        <f t="shared" si="108"/>
        <v>23062.5</v>
      </c>
    </row>
    <row r="528" spans="1:33" ht="47.25" hidden="1">
      <c r="A528" s="845">
        <v>4131</v>
      </c>
      <c r="B528" s="857" t="s">
        <v>1039</v>
      </c>
      <c r="C528" s="1598" t="s">
        <v>944</v>
      </c>
      <c r="D528" s="1599"/>
      <c r="E528" s="1391">
        <f t="shared" si="106"/>
        <v>66</v>
      </c>
      <c r="F528" s="1400">
        <v>43192</v>
      </c>
      <c r="G528" s="1400">
        <f t="shared" si="109"/>
        <v>43257</v>
      </c>
      <c r="H528" s="845" t="s">
        <v>178</v>
      </c>
      <c r="I528" s="845" t="s">
        <v>169</v>
      </c>
      <c r="J528" s="866" t="s">
        <v>178</v>
      </c>
      <c r="K528" s="1787" t="s">
        <v>948</v>
      </c>
      <c r="L528" s="1788">
        <v>2431</v>
      </c>
      <c r="M528" s="326"/>
      <c r="N528" s="294"/>
      <c r="O528" s="354">
        <v>7375</v>
      </c>
      <c r="P528" s="294">
        <v>1</v>
      </c>
      <c r="Q528" s="913">
        <f t="shared" si="107"/>
        <v>7375</v>
      </c>
      <c r="R528" s="1412"/>
      <c r="S528" s="913"/>
      <c r="T528" s="913"/>
      <c r="U528" s="913">
        <v>7375</v>
      </c>
      <c r="V528" s="913"/>
      <c r="W528" s="913"/>
      <c r="X528" s="1600"/>
      <c r="Y528" s="1127"/>
      <c r="Z528" s="1124"/>
      <c r="AA528" s="1124"/>
      <c r="AB528" s="1124"/>
      <c r="AC528" s="1124"/>
      <c r="AD528" s="1124"/>
      <c r="AE528" s="1124"/>
      <c r="AF528" s="1124"/>
      <c r="AG528" s="547">
        <f t="shared" si="108"/>
        <v>7375</v>
      </c>
    </row>
    <row r="529" spans="1:33" ht="60.75" hidden="1" customHeight="1">
      <c r="A529" s="845">
        <v>4131</v>
      </c>
      <c r="B529" s="1730" t="s">
        <v>1040</v>
      </c>
      <c r="C529" s="888" t="s">
        <v>950</v>
      </c>
      <c r="D529" s="1543"/>
      <c r="E529" s="1403">
        <f>9</f>
        <v>9</v>
      </c>
      <c r="F529" s="1404">
        <v>43283</v>
      </c>
      <c r="G529" s="1400">
        <f t="shared" si="109"/>
        <v>43291</v>
      </c>
      <c r="H529" s="293" t="s">
        <v>914</v>
      </c>
      <c r="I529" s="845" t="s">
        <v>178</v>
      </c>
      <c r="J529" s="866" t="s">
        <v>169</v>
      </c>
      <c r="K529" s="1094" t="s">
        <v>888</v>
      </c>
      <c r="L529" s="1788">
        <v>23174</v>
      </c>
      <c r="M529" s="1543"/>
      <c r="N529" s="845"/>
      <c r="O529" s="354">
        <v>7333.0281249999998</v>
      </c>
      <c r="P529" s="845">
        <v>1</v>
      </c>
      <c r="Q529" s="913">
        <f t="shared" si="107"/>
        <v>7333.0281249999998</v>
      </c>
      <c r="R529" s="1412"/>
      <c r="S529" s="913"/>
      <c r="T529" s="913"/>
      <c r="U529" s="913"/>
      <c r="V529" s="913"/>
      <c r="W529" s="913">
        <v>7333.0281249999998</v>
      </c>
      <c r="X529" s="1600"/>
      <c r="Y529" s="1127"/>
      <c r="Z529" s="1124"/>
      <c r="AA529" s="1124"/>
      <c r="AB529" s="1124"/>
      <c r="AC529" s="1124"/>
      <c r="AD529" s="1124"/>
      <c r="AE529" s="1124"/>
      <c r="AF529" s="1124"/>
      <c r="AG529" s="547">
        <f t="shared" si="108"/>
        <v>7333.0281249999998</v>
      </c>
    </row>
    <row r="530" spans="1:33" ht="60.75" hidden="1" customHeight="1">
      <c r="A530" s="845">
        <v>4131</v>
      </c>
      <c r="B530" s="1730" t="s">
        <v>1040</v>
      </c>
      <c r="C530" s="888" t="s">
        <v>950</v>
      </c>
      <c r="D530" s="1543"/>
      <c r="E530" s="1403">
        <f>9</f>
        <v>9</v>
      </c>
      <c r="F530" s="1404">
        <v>43283</v>
      </c>
      <c r="G530" s="1400">
        <f t="shared" si="109"/>
        <v>43291</v>
      </c>
      <c r="H530" s="293" t="s">
        <v>914</v>
      </c>
      <c r="I530" s="845" t="s">
        <v>169</v>
      </c>
      <c r="J530" s="866" t="s">
        <v>178</v>
      </c>
      <c r="K530" s="1094" t="s">
        <v>320</v>
      </c>
      <c r="L530" s="1788">
        <v>23173</v>
      </c>
      <c r="M530" s="1543"/>
      <c r="N530" s="845"/>
      <c r="O530" s="354">
        <v>941.5625</v>
      </c>
      <c r="P530" s="845">
        <v>1</v>
      </c>
      <c r="Q530" s="913">
        <f t="shared" si="107"/>
        <v>941.5625</v>
      </c>
      <c r="R530" s="1412"/>
      <c r="S530" s="913"/>
      <c r="T530" s="913"/>
      <c r="U530" s="913"/>
      <c r="V530" s="913"/>
      <c r="W530" s="913">
        <v>941.5625</v>
      </c>
      <c r="X530" s="1600"/>
      <c r="Y530" s="1127"/>
      <c r="Z530" s="1124"/>
      <c r="AA530" s="1124"/>
      <c r="AB530" s="1124"/>
      <c r="AC530" s="1124"/>
      <c r="AD530" s="1124"/>
      <c r="AE530" s="1124"/>
      <c r="AF530" s="1124"/>
      <c r="AG530" s="547">
        <f t="shared" si="108"/>
        <v>941.5625</v>
      </c>
    </row>
    <row r="531" spans="1:33" ht="60.75" hidden="1" customHeight="1">
      <c r="A531" s="845">
        <v>4131</v>
      </c>
      <c r="B531" s="1730" t="s">
        <v>1040</v>
      </c>
      <c r="C531" s="888" t="s">
        <v>950</v>
      </c>
      <c r="D531" s="1543"/>
      <c r="E531" s="1403">
        <f>9</f>
        <v>9</v>
      </c>
      <c r="F531" s="1404">
        <v>43283</v>
      </c>
      <c r="G531" s="1400">
        <f t="shared" si="109"/>
        <v>43291</v>
      </c>
      <c r="H531" s="293" t="s">
        <v>914</v>
      </c>
      <c r="I531" s="845" t="s">
        <v>169</v>
      </c>
      <c r="J531" s="866" t="s">
        <v>178</v>
      </c>
      <c r="K531" s="1094" t="s">
        <v>916</v>
      </c>
      <c r="L531" s="1788">
        <v>23173</v>
      </c>
      <c r="M531" s="1543"/>
      <c r="N531" s="845"/>
      <c r="O531" s="354">
        <v>31.25</v>
      </c>
      <c r="P531" s="845">
        <v>8</v>
      </c>
      <c r="Q531" s="913">
        <f t="shared" si="107"/>
        <v>250</v>
      </c>
      <c r="R531" s="1412"/>
      <c r="S531" s="913"/>
      <c r="T531" s="913"/>
      <c r="U531" s="913"/>
      <c r="V531" s="913"/>
      <c r="W531" s="913">
        <v>250</v>
      </c>
      <c r="X531" s="1600"/>
      <c r="Y531" s="1127"/>
      <c r="Z531" s="1124"/>
      <c r="AA531" s="1124"/>
      <c r="AB531" s="1124"/>
      <c r="AC531" s="1124"/>
      <c r="AD531" s="1124"/>
      <c r="AE531" s="1124"/>
      <c r="AF531" s="1124"/>
      <c r="AG531" s="547">
        <f t="shared" si="108"/>
        <v>250</v>
      </c>
    </row>
    <row r="532" spans="1:33" ht="60.75" hidden="1" customHeight="1">
      <c r="A532" s="845">
        <v>4131</v>
      </c>
      <c r="B532" s="1730" t="s">
        <v>1040</v>
      </c>
      <c r="C532" s="888" t="s">
        <v>950</v>
      </c>
      <c r="D532" s="1543"/>
      <c r="E532" s="1403">
        <f>9</f>
        <v>9</v>
      </c>
      <c r="F532" s="1404">
        <v>43283</v>
      </c>
      <c r="G532" s="1400">
        <f t="shared" si="109"/>
        <v>43291</v>
      </c>
      <c r="H532" s="293" t="s">
        <v>914</v>
      </c>
      <c r="I532" s="845" t="s">
        <v>169</v>
      </c>
      <c r="J532" s="866" t="s">
        <v>178</v>
      </c>
      <c r="K532" s="1787" t="s">
        <v>951</v>
      </c>
      <c r="L532" s="1788">
        <v>23172</v>
      </c>
      <c r="M532" s="1543"/>
      <c r="N532" s="845"/>
      <c r="O532" s="354">
        <v>312.5</v>
      </c>
      <c r="P532" s="845">
        <v>1</v>
      </c>
      <c r="Q532" s="913">
        <f t="shared" si="107"/>
        <v>312.5</v>
      </c>
      <c r="R532" s="1412"/>
      <c r="S532" s="913"/>
      <c r="T532" s="913"/>
      <c r="U532" s="913"/>
      <c r="V532" s="913"/>
      <c r="W532" s="913">
        <v>312.5</v>
      </c>
      <c r="X532" s="1600"/>
      <c r="Y532" s="1127"/>
      <c r="Z532" s="1124"/>
      <c r="AA532" s="1124"/>
      <c r="AB532" s="1124"/>
      <c r="AC532" s="1124"/>
      <c r="AD532" s="1124"/>
      <c r="AE532" s="1124"/>
      <c r="AF532" s="1124"/>
      <c r="AG532" s="547">
        <f t="shared" si="108"/>
        <v>312.5</v>
      </c>
    </row>
    <row r="533" spans="1:33" ht="63" hidden="1">
      <c r="A533" s="845">
        <v>4131</v>
      </c>
      <c r="B533" s="858" t="s">
        <v>1041</v>
      </c>
      <c r="C533" s="857" t="s">
        <v>953</v>
      </c>
      <c r="D533" s="1543"/>
      <c r="E533" s="1403">
        <f>2</f>
        <v>2</v>
      </c>
      <c r="F533" s="1400">
        <v>43306</v>
      </c>
      <c r="G533" s="1400">
        <f t="shared" si="109"/>
        <v>43307</v>
      </c>
      <c r="H533" s="293" t="s">
        <v>914</v>
      </c>
      <c r="I533" s="845" t="s">
        <v>178</v>
      </c>
      <c r="J533" s="866" t="s">
        <v>169</v>
      </c>
      <c r="K533" s="1094" t="s">
        <v>888</v>
      </c>
      <c r="L533" s="1788">
        <v>23174</v>
      </c>
      <c r="M533" s="1543"/>
      <c r="N533" s="845"/>
      <c r="O533" s="354">
        <v>41183.768750000003</v>
      </c>
      <c r="P533" s="845">
        <v>1</v>
      </c>
      <c r="Q533" s="913">
        <f t="shared" si="107"/>
        <v>41183.768750000003</v>
      </c>
      <c r="R533" s="1412"/>
      <c r="S533" s="1601"/>
      <c r="T533" s="1601"/>
      <c r="U533" s="1601"/>
      <c r="V533" s="1601"/>
      <c r="W533" s="913">
        <v>41183.768750000003</v>
      </c>
      <c r="X533" s="1602"/>
      <c r="Y533" s="1164"/>
      <c r="Z533" s="1124"/>
      <c r="AA533" s="1124"/>
      <c r="AB533" s="1124"/>
      <c r="AC533" s="1124"/>
      <c r="AD533" s="1124"/>
      <c r="AE533" s="1124"/>
      <c r="AF533" s="1124"/>
      <c r="AG533" s="547">
        <f t="shared" si="108"/>
        <v>41183.768750000003</v>
      </c>
    </row>
    <row r="534" spans="1:33" ht="63" hidden="1">
      <c r="A534" s="845">
        <v>4131</v>
      </c>
      <c r="B534" s="858" t="s">
        <v>1041</v>
      </c>
      <c r="C534" s="857" t="s">
        <v>953</v>
      </c>
      <c r="D534" s="1543"/>
      <c r="E534" s="1403">
        <f>2</f>
        <v>2</v>
      </c>
      <c r="F534" s="1400">
        <v>43306</v>
      </c>
      <c r="G534" s="1400">
        <f t="shared" si="109"/>
        <v>43307</v>
      </c>
      <c r="H534" s="293" t="s">
        <v>914</v>
      </c>
      <c r="I534" s="845" t="s">
        <v>169</v>
      </c>
      <c r="J534" s="866" t="s">
        <v>178</v>
      </c>
      <c r="K534" s="1094" t="s">
        <v>320</v>
      </c>
      <c r="L534" s="1788">
        <v>23173</v>
      </c>
      <c r="M534" s="1543"/>
      <c r="N534" s="845"/>
      <c r="O534" s="354">
        <v>11320.09375</v>
      </c>
      <c r="P534" s="845">
        <v>1</v>
      </c>
      <c r="Q534" s="913">
        <f t="shared" si="107"/>
        <v>11320.09375</v>
      </c>
      <c r="R534" s="1415"/>
      <c r="S534" s="913"/>
      <c r="T534" s="913"/>
      <c r="U534" s="913"/>
      <c r="V534" s="913"/>
      <c r="W534" s="913">
        <v>11320.09375</v>
      </c>
      <c r="X534" s="1600"/>
      <c r="Y534" s="1127"/>
      <c r="Z534" s="1124"/>
      <c r="AA534" s="1124"/>
      <c r="AB534" s="1124"/>
      <c r="AC534" s="1124"/>
      <c r="AD534" s="1124"/>
      <c r="AE534" s="1124"/>
      <c r="AF534" s="1124"/>
      <c r="AG534" s="547">
        <f t="shared" si="108"/>
        <v>11320.09375</v>
      </c>
    </row>
    <row r="535" spans="1:33" ht="63" hidden="1">
      <c r="A535" s="845">
        <v>4131</v>
      </c>
      <c r="B535" s="858" t="s">
        <v>1041</v>
      </c>
      <c r="C535" s="857" t="s">
        <v>953</v>
      </c>
      <c r="D535" s="1543"/>
      <c r="E535" s="1403">
        <f>2</f>
        <v>2</v>
      </c>
      <c r="F535" s="1400">
        <v>43306</v>
      </c>
      <c r="G535" s="1400">
        <f t="shared" si="109"/>
        <v>43307</v>
      </c>
      <c r="H535" s="293" t="s">
        <v>914</v>
      </c>
      <c r="I535" s="845" t="s">
        <v>169</v>
      </c>
      <c r="J535" s="866" t="s">
        <v>178</v>
      </c>
      <c r="K535" s="1094" t="s">
        <v>916</v>
      </c>
      <c r="L535" s="1788">
        <v>23173</v>
      </c>
      <c r="M535" s="1543"/>
      <c r="N535" s="845"/>
      <c r="O535" s="354">
        <v>46.875</v>
      </c>
      <c r="P535" s="845">
        <f>2*22</f>
        <v>44</v>
      </c>
      <c r="Q535" s="913">
        <f t="shared" si="107"/>
        <v>2062.5</v>
      </c>
      <c r="R535" s="1415"/>
      <c r="S535" s="913"/>
      <c r="T535" s="913"/>
      <c r="U535" s="913"/>
      <c r="V535" s="913"/>
      <c r="W535" s="913">
        <v>2062.5</v>
      </c>
      <c r="X535" s="1600"/>
      <c r="Y535" s="1127"/>
      <c r="Z535" s="1124"/>
      <c r="AA535" s="1124"/>
      <c r="AB535" s="1124"/>
      <c r="AC535" s="1124"/>
      <c r="AD535" s="1124"/>
      <c r="AE535" s="1124"/>
      <c r="AF535" s="1124"/>
      <c r="AG535" s="547">
        <f t="shared" si="108"/>
        <v>2062.5</v>
      </c>
    </row>
    <row r="536" spans="1:33" ht="47.25" hidden="1">
      <c r="A536" s="845">
        <v>4131</v>
      </c>
      <c r="B536" s="858" t="s">
        <v>1042</v>
      </c>
      <c r="C536" s="857" t="s">
        <v>955</v>
      </c>
      <c r="D536" s="1543"/>
      <c r="E536" s="1403">
        <f>15</f>
        <v>15</v>
      </c>
      <c r="F536" s="1400">
        <v>43241</v>
      </c>
      <c r="G536" s="1400">
        <f t="shared" si="109"/>
        <v>43255</v>
      </c>
      <c r="H536" s="293" t="s">
        <v>914</v>
      </c>
      <c r="I536" s="845" t="s">
        <v>178</v>
      </c>
      <c r="J536" s="866" t="s">
        <v>169</v>
      </c>
      <c r="K536" s="1094" t="s">
        <v>888</v>
      </c>
      <c r="L536" s="1788">
        <v>23174</v>
      </c>
      <c r="M536" s="1543"/>
      <c r="N536" s="845"/>
      <c r="O536" s="354">
        <v>141976</v>
      </c>
      <c r="P536" s="845">
        <v>1</v>
      </c>
      <c r="Q536" s="913">
        <f t="shared" si="107"/>
        <v>141976</v>
      </c>
      <c r="R536" s="853"/>
      <c r="S536" s="913"/>
      <c r="T536" s="913"/>
      <c r="U536" s="913">
        <v>141976</v>
      </c>
      <c r="V536" s="913"/>
      <c r="W536" s="913"/>
      <c r="X536" s="1600"/>
      <c r="Y536" s="1127"/>
      <c r="Z536" s="1124"/>
      <c r="AA536" s="1124"/>
      <c r="AB536" s="1124"/>
      <c r="AC536" s="1124"/>
      <c r="AD536" s="1124"/>
      <c r="AE536" s="1124"/>
      <c r="AF536" s="1124"/>
      <c r="AG536" s="547">
        <f t="shared" si="108"/>
        <v>141976</v>
      </c>
    </row>
    <row r="537" spans="1:33" ht="50.25" customHeight="1">
      <c r="A537" s="2789">
        <v>4132</v>
      </c>
      <c r="B537" s="2864" t="s">
        <v>1043</v>
      </c>
      <c r="C537" s="2864" t="s">
        <v>958</v>
      </c>
      <c r="D537" s="2981"/>
      <c r="E537" s="2951">
        <f>4+30+4+4+4+2+5+4+6+4</f>
        <v>67</v>
      </c>
      <c r="F537" s="2952">
        <v>43311</v>
      </c>
      <c r="G537" s="2941">
        <f>E537+F537-1</f>
        <v>43377</v>
      </c>
      <c r="H537" s="2792" t="s">
        <v>914</v>
      </c>
      <c r="I537" s="2942" t="s">
        <v>178</v>
      </c>
      <c r="J537" s="2943" t="s">
        <v>169</v>
      </c>
      <c r="K537" s="2833"/>
      <c r="L537" s="2783"/>
      <c r="M537" s="1543"/>
      <c r="N537" s="845"/>
      <c r="O537" s="1583"/>
      <c r="P537" s="845"/>
      <c r="Q537" s="913"/>
      <c r="R537" s="2964"/>
      <c r="S537" s="913"/>
      <c r="T537" s="913"/>
      <c r="U537" s="913"/>
      <c r="V537" s="913"/>
      <c r="W537" s="913"/>
      <c r="X537" s="1600"/>
      <c r="Y537" s="1127"/>
      <c r="Z537" s="1124"/>
      <c r="AA537" s="1124"/>
      <c r="AB537" s="1124"/>
      <c r="AC537" s="1124"/>
      <c r="AD537" s="1124"/>
      <c r="AE537" s="1124"/>
      <c r="AF537" s="1124"/>
      <c r="AG537" s="2355"/>
    </row>
    <row r="538" spans="1:33" ht="54" hidden="1" customHeight="1">
      <c r="A538" s="294">
        <v>4132</v>
      </c>
      <c r="B538" s="820" t="s">
        <v>1043</v>
      </c>
      <c r="C538" s="876" t="s">
        <v>958</v>
      </c>
      <c r="D538" s="1543"/>
      <c r="E538" s="1403">
        <f>4+30+4+4+4+2+5+4+6+4</f>
        <v>67</v>
      </c>
      <c r="F538" s="1404">
        <v>43311</v>
      </c>
      <c r="G538" s="1400">
        <f>E538+F538-1</f>
        <v>43377</v>
      </c>
      <c r="H538" s="293" t="s">
        <v>914</v>
      </c>
      <c r="I538" s="845" t="s">
        <v>178</v>
      </c>
      <c r="J538" s="866" t="s">
        <v>169</v>
      </c>
      <c r="K538" s="1094" t="s">
        <v>888</v>
      </c>
      <c r="L538" s="1788">
        <v>23174</v>
      </c>
      <c r="M538" s="1543"/>
      <c r="N538" s="845"/>
      <c r="O538" s="1111">
        <v>20498.981250000001</v>
      </c>
      <c r="P538" s="845">
        <v>1</v>
      </c>
      <c r="Q538" s="913">
        <f t="shared" si="107"/>
        <v>20498.981250000001</v>
      </c>
      <c r="R538" s="936"/>
      <c r="S538" s="913"/>
      <c r="T538" s="913"/>
      <c r="U538" s="913"/>
      <c r="V538" s="913"/>
      <c r="W538" s="913">
        <v>1639.9185</v>
      </c>
      <c r="X538" s="1600">
        <v>3894.8064375000004</v>
      </c>
      <c r="Y538" s="1127">
        <v>14964.2563125</v>
      </c>
      <c r="Z538" s="1124"/>
      <c r="AA538" s="1124"/>
      <c r="AB538" s="1124"/>
      <c r="AC538" s="1124"/>
      <c r="AD538" s="1124"/>
      <c r="AE538" s="1124"/>
      <c r="AF538" s="1124"/>
      <c r="AG538" s="547">
        <f t="shared" si="108"/>
        <v>20498.981250000001</v>
      </c>
    </row>
    <row r="539" spans="1:33" ht="45" hidden="1" customHeight="1">
      <c r="A539" s="294">
        <v>4132</v>
      </c>
      <c r="B539" s="820" t="s">
        <v>1043</v>
      </c>
      <c r="C539" s="876" t="s">
        <v>958</v>
      </c>
      <c r="D539" s="1543"/>
      <c r="E539" s="1403">
        <f>4+30+4+4+4+2+5+4+6+4</f>
        <v>67</v>
      </c>
      <c r="F539" s="1404">
        <v>43311</v>
      </c>
      <c r="G539" s="1400">
        <f t="shared" ref="G539:G545" si="110">E539+F539-1</f>
        <v>43377</v>
      </c>
      <c r="H539" s="293" t="s">
        <v>914</v>
      </c>
      <c r="I539" s="1418" t="s">
        <v>169</v>
      </c>
      <c r="J539" s="1491" t="s">
        <v>178</v>
      </c>
      <c r="K539" s="1094" t="s">
        <v>320</v>
      </c>
      <c r="L539" s="1788">
        <v>23173</v>
      </c>
      <c r="M539" s="1543"/>
      <c r="N539" s="845"/>
      <c r="O539" s="1111">
        <v>5254.34375</v>
      </c>
      <c r="P539" s="845">
        <v>1</v>
      </c>
      <c r="Q539" s="913">
        <f t="shared" si="107"/>
        <v>5254.34375</v>
      </c>
      <c r="R539" s="936"/>
      <c r="S539" s="913"/>
      <c r="T539" s="913"/>
      <c r="U539" s="913"/>
      <c r="V539" s="913"/>
      <c r="W539" s="913">
        <v>420.34750000000003</v>
      </c>
      <c r="X539" s="1600">
        <v>998.3253125</v>
      </c>
      <c r="Y539" s="1127">
        <v>3835.6709375</v>
      </c>
      <c r="Z539" s="1124"/>
      <c r="AA539" s="1124"/>
      <c r="AB539" s="1124"/>
      <c r="AC539" s="1124"/>
      <c r="AD539" s="1124"/>
      <c r="AE539" s="1124"/>
      <c r="AF539" s="1124"/>
      <c r="AG539" s="547">
        <f t="shared" si="108"/>
        <v>5254.34375</v>
      </c>
    </row>
    <row r="540" spans="1:33" ht="45" hidden="1" customHeight="1">
      <c r="A540" s="294">
        <v>4132</v>
      </c>
      <c r="B540" s="820" t="s">
        <v>1043</v>
      </c>
      <c r="C540" s="876" t="s">
        <v>958</v>
      </c>
      <c r="D540" s="1543"/>
      <c r="E540" s="1403">
        <f>4+30+4+4+4+2+5+4+6+4</f>
        <v>67</v>
      </c>
      <c r="F540" s="1404">
        <v>43311</v>
      </c>
      <c r="G540" s="1400">
        <f t="shared" si="110"/>
        <v>43377</v>
      </c>
      <c r="H540" s="293" t="s">
        <v>914</v>
      </c>
      <c r="I540" s="1418" t="s">
        <v>169</v>
      </c>
      <c r="J540" s="1491" t="s">
        <v>178</v>
      </c>
      <c r="K540" s="1094" t="s">
        <v>486</v>
      </c>
      <c r="L540" s="1788">
        <v>23173</v>
      </c>
      <c r="M540" s="1543"/>
      <c r="N540" s="845"/>
      <c r="O540" s="1111">
        <v>31.25</v>
      </c>
      <c r="P540" s="845">
        <f>(4+4+5+4+5)</f>
        <v>22</v>
      </c>
      <c r="Q540" s="913">
        <f t="shared" si="107"/>
        <v>687.5</v>
      </c>
      <c r="R540" s="936"/>
      <c r="S540" s="913"/>
      <c r="T540" s="913"/>
      <c r="U540" s="913"/>
      <c r="V540" s="913"/>
      <c r="W540" s="913">
        <v>55</v>
      </c>
      <c r="X540" s="1600">
        <v>130.625</v>
      </c>
      <c r="Y540" s="1127">
        <v>501.875</v>
      </c>
      <c r="Z540" s="1124"/>
      <c r="AA540" s="1124"/>
      <c r="AB540" s="1124"/>
      <c r="AC540" s="1124"/>
      <c r="AD540" s="1124"/>
      <c r="AE540" s="1124"/>
      <c r="AF540" s="1124"/>
      <c r="AG540" s="547">
        <f t="shared" si="108"/>
        <v>687.5</v>
      </c>
    </row>
    <row r="541" spans="1:33" ht="45" hidden="1" customHeight="1">
      <c r="A541" s="294">
        <v>4132</v>
      </c>
      <c r="B541" s="820" t="s">
        <v>1043</v>
      </c>
      <c r="C541" s="876" t="s">
        <v>958</v>
      </c>
      <c r="D541" s="1543"/>
      <c r="E541" s="1403">
        <f>4+30+4+4+4+2+5+4+6+4</f>
        <v>67</v>
      </c>
      <c r="F541" s="1404">
        <v>43311</v>
      </c>
      <c r="G541" s="1400">
        <f t="shared" si="110"/>
        <v>43377</v>
      </c>
      <c r="H541" s="293" t="s">
        <v>914</v>
      </c>
      <c r="I541" s="1418" t="s">
        <v>169</v>
      </c>
      <c r="J541" s="1491" t="s">
        <v>178</v>
      </c>
      <c r="K541" s="1787" t="s">
        <v>951</v>
      </c>
      <c r="L541" s="1788">
        <v>23172</v>
      </c>
      <c r="M541" s="1543"/>
      <c r="N541" s="845"/>
      <c r="O541" s="1111">
        <v>312.5</v>
      </c>
      <c r="P541" s="845">
        <v>1</v>
      </c>
      <c r="Q541" s="913">
        <f t="shared" si="107"/>
        <v>312.5</v>
      </c>
      <c r="R541" s="936"/>
      <c r="S541" s="913"/>
      <c r="T541" s="913"/>
      <c r="U541" s="913"/>
      <c r="V541" s="913"/>
      <c r="W541" s="913">
        <v>25</v>
      </c>
      <c r="X541" s="1600">
        <v>59.375</v>
      </c>
      <c r="Y541" s="1127">
        <v>228.125</v>
      </c>
      <c r="Z541" s="1124"/>
      <c r="AA541" s="1124"/>
      <c r="AB541" s="1124"/>
      <c r="AC541" s="1124"/>
      <c r="AD541" s="1124"/>
      <c r="AE541" s="1124"/>
      <c r="AF541" s="1124"/>
      <c r="AG541" s="547">
        <f t="shared" si="108"/>
        <v>312.5</v>
      </c>
    </row>
    <row r="542" spans="1:33" ht="45" hidden="1" customHeight="1">
      <c r="A542" s="294">
        <v>4132</v>
      </c>
      <c r="B542" s="820" t="s">
        <v>1044</v>
      </c>
      <c r="C542" s="876" t="s">
        <v>960</v>
      </c>
      <c r="D542" s="1543"/>
      <c r="E542" s="1403">
        <f>5</f>
        <v>5</v>
      </c>
      <c r="F542" s="1404">
        <v>43318</v>
      </c>
      <c r="G542" s="1400">
        <f t="shared" si="110"/>
        <v>43322</v>
      </c>
      <c r="H542" s="293" t="s">
        <v>914</v>
      </c>
      <c r="I542" s="887" t="s">
        <v>178</v>
      </c>
      <c r="J542" s="914" t="s">
        <v>169</v>
      </c>
      <c r="K542" s="1094" t="s">
        <v>888</v>
      </c>
      <c r="L542" s="1788">
        <v>23174</v>
      </c>
      <c r="M542" s="1543"/>
      <c r="N542" s="845"/>
      <c r="O542" s="1111">
        <v>2368.7906250000001</v>
      </c>
      <c r="P542" s="845">
        <v>1</v>
      </c>
      <c r="Q542" s="913">
        <f t="shared" si="107"/>
        <v>2368.7906250000001</v>
      </c>
      <c r="R542" s="936"/>
      <c r="S542" s="913"/>
      <c r="T542" s="913"/>
      <c r="U542" s="913"/>
      <c r="V542" s="913"/>
      <c r="W542" s="913"/>
      <c r="X542" s="1600">
        <v>2368.7906250000001</v>
      </c>
      <c r="Y542" s="1127"/>
      <c r="Z542" s="1124"/>
      <c r="AA542" s="1124"/>
      <c r="AB542" s="1124"/>
      <c r="AC542" s="1124"/>
      <c r="AD542" s="1124"/>
      <c r="AE542" s="1124"/>
      <c r="AF542" s="1124"/>
      <c r="AG542" s="547">
        <f t="shared" si="108"/>
        <v>2368.7906250000001</v>
      </c>
    </row>
    <row r="543" spans="1:33" ht="45" hidden="1" customHeight="1">
      <c r="A543" s="294">
        <v>4132</v>
      </c>
      <c r="B543" s="820" t="s">
        <v>1044</v>
      </c>
      <c r="C543" s="876" t="s">
        <v>960</v>
      </c>
      <c r="D543" s="1543"/>
      <c r="E543" s="1403">
        <f>5</f>
        <v>5</v>
      </c>
      <c r="F543" s="1404">
        <v>43318</v>
      </c>
      <c r="G543" s="1400">
        <f t="shared" si="110"/>
        <v>43322</v>
      </c>
      <c r="H543" s="293" t="s">
        <v>914</v>
      </c>
      <c r="I543" s="1418" t="s">
        <v>169</v>
      </c>
      <c r="J543" s="1491" t="s">
        <v>178</v>
      </c>
      <c r="K543" s="1094" t="s">
        <v>320</v>
      </c>
      <c r="L543" s="1788">
        <v>23173</v>
      </c>
      <c r="M543" s="1543"/>
      <c r="N543" s="845"/>
      <c r="O543" s="1111">
        <v>164.0625</v>
      </c>
      <c r="P543" s="845">
        <v>1</v>
      </c>
      <c r="Q543" s="913">
        <f t="shared" si="107"/>
        <v>164.0625</v>
      </c>
      <c r="R543" s="936"/>
      <c r="S543" s="913"/>
      <c r="T543" s="913"/>
      <c r="U543" s="913"/>
      <c r="V543" s="913"/>
      <c r="W543" s="913"/>
      <c r="X543" s="1600">
        <v>164.0625</v>
      </c>
      <c r="Y543" s="1127"/>
      <c r="Z543" s="1124"/>
      <c r="AA543" s="1124"/>
      <c r="AB543" s="1124"/>
      <c r="AC543" s="1124"/>
      <c r="AD543" s="1124"/>
      <c r="AE543" s="1124"/>
      <c r="AF543" s="1124"/>
      <c r="AG543" s="547">
        <f t="shared" si="108"/>
        <v>164.0625</v>
      </c>
    </row>
    <row r="544" spans="1:33" ht="45" hidden="1" customHeight="1">
      <c r="A544" s="294">
        <v>4132</v>
      </c>
      <c r="B544" s="820" t="s">
        <v>1044</v>
      </c>
      <c r="C544" s="876" t="s">
        <v>960</v>
      </c>
      <c r="D544" s="1543"/>
      <c r="E544" s="1403">
        <f>5</f>
        <v>5</v>
      </c>
      <c r="F544" s="1404">
        <v>43318</v>
      </c>
      <c r="G544" s="1400">
        <f t="shared" si="110"/>
        <v>43322</v>
      </c>
      <c r="H544" s="293" t="s">
        <v>914</v>
      </c>
      <c r="I544" s="1418" t="s">
        <v>169</v>
      </c>
      <c r="J544" s="1491" t="s">
        <v>178</v>
      </c>
      <c r="K544" s="1094" t="s">
        <v>486</v>
      </c>
      <c r="L544" s="1788">
        <v>23173</v>
      </c>
      <c r="M544" s="1543"/>
      <c r="N544" s="845"/>
      <c r="O544" s="1111">
        <v>31.25</v>
      </c>
      <c r="P544" s="845">
        <v>5</v>
      </c>
      <c r="Q544" s="913">
        <f t="shared" si="107"/>
        <v>156.25</v>
      </c>
      <c r="R544" s="936"/>
      <c r="S544" s="913"/>
      <c r="T544" s="913"/>
      <c r="U544" s="913"/>
      <c r="V544" s="913"/>
      <c r="W544" s="913"/>
      <c r="X544" s="1600">
        <v>156.25</v>
      </c>
      <c r="Y544" s="1127"/>
      <c r="Z544" s="1124"/>
      <c r="AA544" s="1124"/>
      <c r="AB544" s="1124"/>
      <c r="AC544" s="1124"/>
      <c r="AD544" s="1124"/>
      <c r="AE544" s="1124"/>
      <c r="AF544" s="1124"/>
      <c r="AG544" s="547">
        <f t="shared" si="108"/>
        <v>156.25</v>
      </c>
    </row>
    <row r="545" spans="1:33" ht="55.5" hidden="1" customHeight="1">
      <c r="A545" s="294">
        <v>4132</v>
      </c>
      <c r="B545" s="1730" t="s">
        <v>1045</v>
      </c>
      <c r="C545" s="1843" t="s">
        <v>962</v>
      </c>
      <c r="D545" s="1543"/>
      <c r="E545" s="1403">
        <f>10</f>
        <v>10</v>
      </c>
      <c r="F545" s="1400">
        <v>43360</v>
      </c>
      <c r="G545" s="1400">
        <f t="shared" si="110"/>
        <v>43369</v>
      </c>
      <c r="H545" s="293" t="s">
        <v>914</v>
      </c>
      <c r="I545" s="1418" t="s">
        <v>169</v>
      </c>
      <c r="J545" s="1491" t="s">
        <v>178</v>
      </c>
      <c r="K545" s="1787" t="s">
        <v>963</v>
      </c>
      <c r="L545" s="1788">
        <v>2313</v>
      </c>
      <c r="M545" s="1543"/>
      <c r="N545" s="845"/>
      <c r="O545" s="1111">
        <v>750</v>
      </c>
      <c r="P545" s="845">
        <v>14</v>
      </c>
      <c r="Q545" s="913">
        <f t="shared" si="107"/>
        <v>10500</v>
      </c>
      <c r="R545" s="853"/>
      <c r="S545" s="913"/>
      <c r="T545" s="913"/>
      <c r="U545" s="913"/>
      <c r="V545" s="913"/>
      <c r="W545" s="913"/>
      <c r="X545" s="1600"/>
      <c r="Y545" s="1127">
        <v>10500</v>
      </c>
      <c r="Z545" s="1124"/>
      <c r="AA545" s="1124"/>
      <c r="AB545" s="1124"/>
      <c r="AC545" s="1124"/>
      <c r="AD545" s="1124"/>
      <c r="AE545" s="1124"/>
      <c r="AF545" s="1124"/>
      <c r="AG545" s="547">
        <f t="shared" si="108"/>
        <v>10500</v>
      </c>
    </row>
    <row r="546" spans="1:33" ht="26.25" customHeight="1">
      <c r="A546" s="1248" t="s">
        <v>277</v>
      </c>
      <c r="B546" s="274"/>
      <c r="C546" s="278"/>
      <c r="D546" s="1270"/>
      <c r="E546" s="1270"/>
      <c r="F546" s="1270"/>
      <c r="G546" s="1270"/>
      <c r="H546" s="1270"/>
      <c r="I546" s="1270"/>
      <c r="J546" s="273"/>
      <c r="K546" s="1248"/>
      <c r="L546" s="1269"/>
      <c r="M546" s="1270"/>
      <c r="N546" s="1268"/>
      <c r="O546" s="1271"/>
      <c r="P546" s="1268"/>
      <c r="Q546" s="1273">
        <f>+Q547+Q551+Q556+Q558+Q560+Q565+Q577+Q580</f>
        <v>348173.33333333337</v>
      </c>
      <c r="R546" s="1273">
        <f>+'[7]Compil Costing PPA 3 millions'!F16+'[7]Compil Costing PPA 3 millions'!F18+'[7]Compil Costing PPA 3 millions'!F19</f>
        <v>1137594.3333333335</v>
      </c>
      <c r="S546" s="1272">
        <f t="shared" ref="S546:AG546" si="111">+S547+S551+S556+S558+S560+S565+S577+S580</f>
        <v>0</v>
      </c>
      <c r="T546" s="1272">
        <f t="shared" si="111"/>
        <v>93216.666666666672</v>
      </c>
      <c r="U546" s="1272">
        <f t="shared" si="111"/>
        <v>114456.16666666666</v>
      </c>
      <c r="V546" s="1272">
        <f t="shared" si="111"/>
        <v>138325.5</v>
      </c>
      <c r="W546" s="1272">
        <f t="shared" si="111"/>
        <v>1087.5</v>
      </c>
      <c r="X546" s="1272">
        <f t="shared" si="111"/>
        <v>1087.5</v>
      </c>
      <c r="Y546" s="1272">
        <f t="shared" si="111"/>
        <v>0</v>
      </c>
      <c r="Z546" s="276">
        <f t="shared" si="111"/>
        <v>0</v>
      </c>
      <c r="AA546" s="276">
        <f t="shared" si="111"/>
        <v>0</v>
      </c>
      <c r="AB546" s="276">
        <f t="shared" si="111"/>
        <v>0</v>
      </c>
      <c r="AC546" s="276">
        <f t="shared" si="111"/>
        <v>0</v>
      </c>
      <c r="AD546" s="276">
        <f t="shared" si="111"/>
        <v>0</v>
      </c>
      <c r="AE546" s="276">
        <f t="shared" si="111"/>
        <v>0</v>
      </c>
      <c r="AF546" s="276">
        <f t="shared" si="111"/>
        <v>0</v>
      </c>
      <c r="AG546" s="1273">
        <f t="shared" si="111"/>
        <v>348173.33333333331</v>
      </c>
    </row>
    <row r="547" spans="1:33" ht="32.25" thickBot="1">
      <c r="A547" s="1275">
        <v>421</v>
      </c>
      <c r="B547" s="359" t="s">
        <v>439</v>
      </c>
      <c r="C547" s="1021"/>
      <c r="D547" s="1280"/>
      <c r="E547" s="1280"/>
      <c r="F547" s="1280"/>
      <c r="G547" s="1280"/>
      <c r="H547" s="1280"/>
      <c r="I547" s="1280"/>
      <c r="J547" s="283"/>
      <c r="K547" s="1278"/>
      <c r="L547" s="1279"/>
      <c r="M547" s="1280"/>
      <c r="N547" s="1277"/>
      <c r="O547" s="1281"/>
      <c r="P547" s="1277"/>
      <c r="Q547" s="547">
        <f>SUM(Q548:Q550)</f>
        <v>5437.5</v>
      </c>
      <c r="R547" s="287">
        <v>348173</v>
      </c>
      <c r="S547" s="1395">
        <f t="shared" ref="S547:AF547" si="112">SUM(S548:S550)</f>
        <v>0</v>
      </c>
      <c r="T547" s="1395">
        <f t="shared" si="112"/>
        <v>0</v>
      </c>
      <c r="U547" s="1395">
        <f t="shared" si="112"/>
        <v>0</v>
      </c>
      <c r="V547" s="1395">
        <f t="shared" si="112"/>
        <v>3262.5</v>
      </c>
      <c r="W547" s="1395">
        <f t="shared" si="112"/>
        <v>1087.5</v>
      </c>
      <c r="X547" s="1395">
        <f t="shared" si="112"/>
        <v>1087.5</v>
      </c>
      <c r="Y547" s="1395">
        <f t="shared" si="112"/>
        <v>0</v>
      </c>
      <c r="Z547" s="361">
        <f t="shared" si="112"/>
        <v>0</v>
      </c>
      <c r="AA547" s="361">
        <f t="shared" si="112"/>
        <v>0</v>
      </c>
      <c r="AB547" s="361">
        <f t="shared" si="112"/>
        <v>0</v>
      </c>
      <c r="AC547" s="361">
        <f t="shared" si="112"/>
        <v>0</v>
      </c>
      <c r="AD547" s="361">
        <f t="shared" si="112"/>
        <v>0</v>
      </c>
      <c r="AE547" s="361">
        <f t="shared" si="112"/>
        <v>0</v>
      </c>
      <c r="AF547" s="361">
        <f t="shared" si="112"/>
        <v>0</v>
      </c>
      <c r="AG547" s="547">
        <f t="shared" ref="AG547:AG565" si="113">SUM(S547:AF547)</f>
        <v>5437.5</v>
      </c>
    </row>
    <row r="548" spans="1:33" ht="66" customHeight="1" thickTop="1" thickBot="1">
      <c r="A548" s="2789">
        <v>4211</v>
      </c>
      <c r="B548" s="2790" t="s">
        <v>440</v>
      </c>
      <c r="C548" s="2790" t="s">
        <v>1047</v>
      </c>
      <c r="D548" s="2791"/>
      <c r="E548" s="2789">
        <f>50</f>
        <v>50</v>
      </c>
      <c r="F548" s="2982">
        <v>43186</v>
      </c>
      <c r="G548" s="2983">
        <f>+F548+E548</f>
        <v>43236</v>
      </c>
      <c r="H548" s="2792" t="s">
        <v>368</v>
      </c>
      <c r="I548" s="2789" t="s">
        <v>169</v>
      </c>
      <c r="J548" s="2793" t="s">
        <v>442</v>
      </c>
      <c r="K548" s="326" t="s">
        <v>443</v>
      </c>
      <c r="L548" s="1788">
        <v>2313</v>
      </c>
      <c r="M548" s="326"/>
      <c r="N548" s="294"/>
      <c r="O548" s="1846">
        <v>217.5</v>
      </c>
      <c r="P548" s="1847">
        <v>15</v>
      </c>
      <c r="Q548" s="1848">
        <v>3262.5</v>
      </c>
      <c r="R548" s="1848"/>
      <c r="S548" s="1847"/>
      <c r="T548" s="1847"/>
      <c r="U548" s="1847"/>
      <c r="V548" s="1847">
        <v>3262.5</v>
      </c>
      <c r="W548" s="1847"/>
      <c r="X548" s="1849"/>
      <c r="Y548" s="1850"/>
      <c r="Z548" s="1124"/>
      <c r="AA548" s="1199"/>
      <c r="AB548" s="1124"/>
      <c r="AC548" s="1124"/>
      <c r="AD548" s="1124"/>
      <c r="AE548" s="1124"/>
      <c r="AF548" s="1124"/>
      <c r="AG548" s="547">
        <f t="shared" si="113"/>
        <v>3262.5</v>
      </c>
    </row>
    <row r="549" spans="1:33" ht="48.75" thickTop="1" thickBot="1">
      <c r="A549" s="2789">
        <v>4212</v>
      </c>
      <c r="B549" s="2790" t="s">
        <v>446</v>
      </c>
      <c r="C549" s="2790" t="s">
        <v>1046</v>
      </c>
      <c r="D549" s="2791"/>
      <c r="E549" s="2789">
        <v>70</v>
      </c>
      <c r="F549" s="2982">
        <v>43186</v>
      </c>
      <c r="G549" s="2983">
        <f>+F549+E549</f>
        <v>43256</v>
      </c>
      <c r="H549" s="2792" t="s">
        <v>368</v>
      </c>
      <c r="I549" s="2789" t="s">
        <v>169</v>
      </c>
      <c r="J549" s="2793" t="s">
        <v>442</v>
      </c>
      <c r="K549" s="326" t="s">
        <v>443</v>
      </c>
      <c r="L549" s="1788">
        <v>2313</v>
      </c>
      <c r="M549" s="326"/>
      <c r="N549" s="294"/>
      <c r="O549" s="1846">
        <v>217.5</v>
      </c>
      <c r="P549" s="1847">
        <v>5</v>
      </c>
      <c r="Q549" s="2314">
        <f>O549*P549</f>
        <v>1087.5</v>
      </c>
      <c r="R549" s="1848"/>
      <c r="S549" s="1847"/>
      <c r="T549" s="1847"/>
      <c r="U549" s="1847"/>
      <c r="V549" s="1847"/>
      <c r="W549" s="1847">
        <v>1087.5</v>
      </c>
      <c r="X549" s="1849"/>
      <c r="Y549" s="1850"/>
      <c r="Z549" s="1124"/>
      <c r="AA549" s="1124"/>
      <c r="AB549" s="1124"/>
      <c r="AC549" s="1124"/>
      <c r="AD549" s="1124"/>
      <c r="AE549" s="1124"/>
      <c r="AF549" s="1124"/>
      <c r="AG549" s="547">
        <f t="shared" si="113"/>
        <v>1087.5</v>
      </c>
    </row>
    <row r="550" spans="1:33" ht="63.75" thickTop="1">
      <c r="A550" s="2789">
        <v>4213</v>
      </c>
      <c r="B550" s="2790" t="s">
        <v>448</v>
      </c>
      <c r="C550" s="2790" t="s">
        <v>1048</v>
      </c>
      <c r="D550" s="2791"/>
      <c r="E550" s="2789">
        <v>70</v>
      </c>
      <c r="F550" s="2982">
        <v>43186</v>
      </c>
      <c r="G550" s="2983">
        <f>+F550+E550</f>
        <v>43256</v>
      </c>
      <c r="H550" s="2792" t="s">
        <v>368</v>
      </c>
      <c r="I550" s="2789" t="s">
        <v>169</v>
      </c>
      <c r="J550" s="2793" t="s">
        <v>442</v>
      </c>
      <c r="K550" s="326" t="s">
        <v>443</v>
      </c>
      <c r="L550" s="1788">
        <v>2313</v>
      </c>
      <c r="M550" s="326"/>
      <c r="N550" s="294"/>
      <c r="O550" s="1846">
        <v>217.5</v>
      </c>
      <c r="P550" s="1847">
        <v>5</v>
      </c>
      <c r="Q550" s="2314">
        <f>O550*P550</f>
        <v>1087.5</v>
      </c>
      <c r="R550" s="1848"/>
      <c r="S550" s="1847"/>
      <c r="T550" s="1847"/>
      <c r="U550" s="1847"/>
      <c r="V550" s="1847"/>
      <c r="W550" s="1847"/>
      <c r="X550" s="1849">
        <v>1087.5</v>
      </c>
      <c r="Y550" s="1850"/>
      <c r="Z550" s="1124"/>
      <c r="AA550" s="1124"/>
      <c r="AB550" s="1124"/>
      <c r="AC550" s="1124"/>
      <c r="AD550" s="1124"/>
      <c r="AE550" s="1124"/>
      <c r="AF550" s="1124"/>
      <c r="AG550" s="547">
        <f t="shared" si="113"/>
        <v>1087.5</v>
      </c>
    </row>
    <row r="551" spans="1:33" ht="16.5" customHeight="1" thickBot="1">
      <c r="A551" s="1275">
        <v>422</v>
      </c>
      <c r="B551" s="359" t="s">
        <v>450</v>
      </c>
      <c r="C551" s="1021"/>
      <c r="D551" s="1280"/>
      <c r="E551" s="1280"/>
      <c r="F551" s="1280"/>
      <c r="G551" s="1280"/>
      <c r="H551" s="1280"/>
      <c r="I551" s="1280"/>
      <c r="J551" s="283"/>
      <c r="K551" s="1278"/>
      <c r="L551" s="1279"/>
      <c r="M551" s="1280"/>
      <c r="N551" s="1277"/>
      <c r="O551" s="1281"/>
      <c r="P551" s="1277"/>
      <c r="Q551" s="547">
        <f>SUM(Q552:Q555)</f>
        <v>15217.333333333334</v>
      </c>
      <c r="R551" s="2826"/>
      <c r="S551" s="1395">
        <f t="shared" ref="S551:AF551" si="114">SUM(S552:S555)</f>
        <v>0</v>
      </c>
      <c r="T551" s="1395">
        <f t="shared" si="114"/>
        <v>0</v>
      </c>
      <c r="U551" s="1395">
        <f t="shared" si="114"/>
        <v>9997.3333333333321</v>
      </c>
      <c r="V551" s="1395">
        <f t="shared" si="114"/>
        <v>5220</v>
      </c>
      <c r="W551" s="1395">
        <f t="shared" si="114"/>
        <v>0</v>
      </c>
      <c r="X551" s="1395">
        <f t="shared" si="114"/>
        <v>0</v>
      </c>
      <c r="Y551" s="1395">
        <f t="shared" si="114"/>
        <v>0</v>
      </c>
      <c r="Z551" s="361">
        <f t="shared" si="114"/>
        <v>0</v>
      </c>
      <c r="AA551" s="361">
        <f t="shared" si="114"/>
        <v>0</v>
      </c>
      <c r="AB551" s="361">
        <f t="shared" si="114"/>
        <v>0</v>
      </c>
      <c r="AC551" s="361">
        <f t="shared" si="114"/>
        <v>0</v>
      </c>
      <c r="AD551" s="361">
        <f t="shared" si="114"/>
        <v>0</v>
      </c>
      <c r="AE551" s="361">
        <f t="shared" si="114"/>
        <v>0</v>
      </c>
      <c r="AF551" s="361">
        <f t="shared" si="114"/>
        <v>0</v>
      </c>
      <c r="AG551" s="547">
        <f t="shared" si="113"/>
        <v>15217.333333333332</v>
      </c>
    </row>
    <row r="552" spans="1:33" ht="33" thickTop="1" thickBot="1">
      <c r="A552" s="2789">
        <v>4221</v>
      </c>
      <c r="B552" s="2984" t="s">
        <v>451</v>
      </c>
      <c r="C552" s="2790" t="s">
        <v>452</v>
      </c>
      <c r="D552" s="2791"/>
      <c r="E552" s="2789">
        <f>50</f>
        <v>50</v>
      </c>
      <c r="F552" s="2982">
        <v>43186</v>
      </c>
      <c r="G552" s="2983">
        <f>+F552+E552</f>
        <v>43236</v>
      </c>
      <c r="H552" s="2792" t="s">
        <v>368</v>
      </c>
      <c r="I552" s="2789" t="s">
        <v>169</v>
      </c>
      <c r="J552" s="2793" t="s">
        <v>179</v>
      </c>
      <c r="K552" s="326" t="s">
        <v>365</v>
      </c>
      <c r="L552" s="1788">
        <v>2313</v>
      </c>
      <c r="M552" s="326"/>
      <c r="N552" s="294"/>
      <c r="O552" s="1846">
        <v>174</v>
      </c>
      <c r="P552" s="1852">
        <v>30</v>
      </c>
      <c r="Q552" s="2314">
        <f>O552*P552</f>
        <v>5220</v>
      </c>
      <c r="R552" s="1848"/>
      <c r="S552" s="1847"/>
      <c r="T552" s="1847"/>
      <c r="U552" s="1847"/>
      <c r="V552" s="1847">
        <v>5220</v>
      </c>
      <c r="W552" s="355"/>
      <c r="X552" s="1137"/>
      <c r="Y552" s="1126"/>
      <c r="Z552" s="1124"/>
      <c r="AA552" s="1124"/>
      <c r="AB552" s="1124"/>
      <c r="AC552" s="1124"/>
      <c r="AD552" s="1124"/>
      <c r="AE552" s="1124"/>
      <c r="AF552" s="1124"/>
      <c r="AG552" s="547">
        <f t="shared" si="113"/>
        <v>5220</v>
      </c>
    </row>
    <row r="553" spans="1:33" ht="33" thickTop="1" thickBot="1">
      <c r="A553" s="2789">
        <v>4222</v>
      </c>
      <c r="B553" s="2984" t="s">
        <v>453</v>
      </c>
      <c r="C553" s="2790" t="s">
        <v>454</v>
      </c>
      <c r="D553" s="2791"/>
      <c r="E553" s="2985">
        <v>5</v>
      </c>
      <c r="F553" s="2982">
        <v>43241</v>
      </c>
      <c r="G553" s="2983">
        <f>+F553+E553-1</f>
        <v>43245</v>
      </c>
      <c r="H553" s="2792" t="s">
        <v>455</v>
      </c>
      <c r="I553" s="2789" t="s">
        <v>179</v>
      </c>
      <c r="J553" s="2793" t="s">
        <v>456</v>
      </c>
      <c r="K553" s="326" t="s">
        <v>457</v>
      </c>
      <c r="L553" s="1788">
        <v>23174</v>
      </c>
      <c r="M553" s="326"/>
      <c r="N553" s="294"/>
      <c r="O553" s="1846">
        <v>160</v>
      </c>
      <c r="P553" s="1847">
        <v>40</v>
      </c>
      <c r="Q553" s="2314">
        <f>O553*P553</f>
        <v>6400</v>
      </c>
      <c r="R553" s="1848"/>
      <c r="S553" s="1847"/>
      <c r="T553" s="1847"/>
      <c r="U553" s="1847">
        <v>6400</v>
      </c>
      <c r="V553" s="1847"/>
      <c r="W553" s="355"/>
      <c r="X553" s="1137"/>
      <c r="Y553" s="1126"/>
      <c r="Z553" s="1124"/>
      <c r="AA553" s="1124"/>
      <c r="AB553" s="1124"/>
      <c r="AC553" s="1124"/>
      <c r="AD553" s="1124"/>
      <c r="AE553" s="1124"/>
      <c r="AF553" s="1124"/>
      <c r="AG553" s="547">
        <f t="shared" si="113"/>
        <v>6400</v>
      </c>
    </row>
    <row r="554" spans="1:33" ht="33" thickTop="1" thickBot="1">
      <c r="A554" s="2789">
        <v>4223</v>
      </c>
      <c r="B554" s="2984" t="s">
        <v>458</v>
      </c>
      <c r="C554" s="2984" t="s">
        <v>459</v>
      </c>
      <c r="D554" s="2791"/>
      <c r="E554" s="2985">
        <v>3</v>
      </c>
      <c r="F554" s="2982">
        <v>43248</v>
      </c>
      <c r="G554" s="2983">
        <f>+F554+E554-1</f>
        <v>43250</v>
      </c>
      <c r="H554" s="2792" t="s">
        <v>460</v>
      </c>
      <c r="I554" s="2789" t="s">
        <v>179</v>
      </c>
      <c r="J554" s="2876" t="s">
        <v>461</v>
      </c>
      <c r="K554" s="326" t="s">
        <v>457</v>
      </c>
      <c r="L554" s="1788">
        <v>23174</v>
      </c>
      <c r="M554" s="326"/>
      <c r="N554" s="294"/>
      <c r="O554" s="1846">
        <v>134.66666666666666</v>
      </c>
      <c r="P554" s="1847">
        <v>8</v>
      </c>
      <c r="Q554" s="2314">
        <f>O554*P554</f>
        <v>1077.3333333333333</v>
      </c>
      <c r="R554" s="1848"/>
      <c r="S554" s="355"/>
      <c r="T554" s="355"/>
      <c r="U554" s="1847">
        <v>1077.3333333333333</v>
      </c>
      <c r="V554" s="355"/>
      <c r="W554" s="355"/>
      <c r="X554" s="1137"/>
      <c r="Y554" s="1126"/>
      <c r="Z554" s="1124"/>
      <c r="AA554" s="1124"/>
      <c r="AB554" s="1124"/>
      <c r="AC554" s="1124"/>
      <c r="AD554" s="1124"/>
      <c r="AE554" s="1124"/>
      <c r="AF554" s="1124"/>
      <c r="AG554" s="547">
        <f t="shared" si="113"/>
        <v>1077.3333333333333</v>
      </c>
    </row>
    <row r="555" spans="1:33" ht="32.25" thickTop="1">
      <c r="A555" s="2789">
        <v>4224</v>
      </c>
      <c r="B555" s="2984" t="s">
        <v>462</v>
      </c>
      <c r="C555" s="2984" t="s">
        <v>463</v>
      </c>
      <c r="D555" s="2791"/>
      <c r="E555" s="2985">
        <v>5</v>
      </c>
      <c r="F555" s="2982">
        <v>43255</v>
      </c>
      <c r="G555" s="2983">
        <f>+F555+E555-1</f>
        <v>43259</v>
      </c>
      <c r="H555" s="2792" t="s">
        <v>455</v>
      </c>
      <c r="I555" s="2789" t="s">
        <v>179</v>
      </c>
      <c r="J555" s="2876" t="s">
        <v>461</v>
      </c>
      <c r="K555" s="326" t="s">
        <v>457</v>
      </c>
      <c r="L555" s="1788">
        <v>23174</v>
      </c>
      <c r="M555" s="326"/>
      <c r="N555" s="294"/>
      <c r="O555" s="1846">
        <v>84</v>
      </c>
      <c r="P555" s="1847">
        <v>30</v>
      </c>
      <c r="Q555" s="2314">
        <f>O555*P555</f>
        <v>2520</v>
      </c>
      <c r="R555" s="1848"/>
      <c r="S555" s="1847"/>
      <c r="T555" s="1847"/>
      <c r="U555" s="1847">
        <v>2520</v>
      </c>
      <c r="V555" s="1847"/>
      <c r="W555" s="1847"/>
      <c r="X555" s="1137"/>
      <c r="Y555" s="1126"/>
      <c r="Z555" s="1124"/>
      <c r="AA555" s="1124"/>
      <c r="AB555" s="1124"/>
      <c r="AC555" s="1124"/>
      <c r="AD555" s="1124"/>
      <c r="AE555" s="1124"/>
      <c r="AF555" s="1124"/>
      <c r="AG555" s="547">
        <f t="shared" si="113"/>
        <v>2520</v>
      </c>
    </row>
    <row r="556" spans="1:33" ht="32.25" thickBot="1">
      <c r="A556" s="1275">
        <v>423</v>
      </c>
      <c r="B556" s="1466" t="s">
        <v>464</v>
      </c>
      <c r="C556" s="1511"/>
      <c r="D556" s="1422"/>
      <c r="E556" s="1422"/>
      <c r="F556" s="1422"/>
      <c r="G556" s="1422"/>
      <c r="H556" s="1422"/>
      <c r="I556" s="1423"/>
      <c r="J556" s="283"/>
      <c r="K556" s="1278"/>
      <c r="L556" s="1279"/>
      <c r="M556" s="1280"/>
      <c r="N556" s="1277"/>
      <c r="O556" s="1281"/>
      <c r="P556" s="1277"/>
      <c r="Q556" s="547">
        <f>SUM(Q557)</f>
        <v>6400</v>
      </c>
      <c r="R556" s="2826"/>
      <c r="S556" s="1395">
        <f t="shared" ref="S556:AF556" si="115">SUM(S557)</f>
        <v>0</v>
      </c>
      <c r="T556" s="1395">
        <f t="shared" si="115"/>
        <v>0</v>
      </c>
      <c r="U556" s="1395">
        <f t="shared" si="115"/>
        <v>0</v>
      </c>
      <c r="V556" s="1395">
        <f t="shared" si="115"/>
        <v>6400</v>
      </c>
      <c r="W556" s="1395">
        <f t="shared" si="115"/>
        <v>0</v>
      </c>
      <c r="X556" s="1395">
        <f t="shared" si="115"/>
        <v>0</v>
      </c>
      <c r="Y556" s="1395">
        <f t="shared" si="115"/>
        <v>0</v>
      </c>
      <c r="Z556" s="361">
        <f t="shared" si="115"/>
        <v>0</v>
      </c>
      <c r="AA556" s="361">
        <f t="shared" si="115"/>
        <v>0</v>
      </c>
      <c r="AB556" s="361">
        <f t="shared" si="115"/>
        <v>0</v>
      </c>
      <c r="AC556" s="361">
        <f t="shared" si="115"/>
        <v>0</v>
      </c>
      <c r="AD556" s="361">
        <f t="shared" si="115"/>
        <v>0</v>
      </c>
      <c r="AE556" s="361">
        <f t="shared" si="115"/>
        <v>0</v>
      </c>
      <c r="AF556" s="361">
        <f t="shared" si="115"/>
        <v>0</v>
      </c>
      <c r="AG556" s="547">
        <f t="shared" si="113"/>
        <v>6400</v>
      </c>
    </row>
    <row r="557" spans="1:33" ht="51" customHeight="1" thickTop="1">
      <c r="A557" s="2789">
        <v>4231</v>
      </c>
      <c r="B557" s="2986" t="s">
        <v>465</v>
      </c>
      <c r="C557" s="2984" t="s">
        <v>466</v>
      </c>
      <c r="D557" s="2987"/>
      <c r="E557" s="2985">
        <v>5</v>
      </c>
      <c r="F557" s="2982">
        <v>43269</v>
      </c>
      <c r="G557" s="2983">
        <f>+F557+E557-1</f>
        <v>43273</v>
      </c>
      <c r="H557" s="2987" t="s">
        <v>368</v>
      </c>
      <c r="I557" s="2985" t="s">
        <v>179</v>
      </c>
      <c r="J557" s="2876" t="s">
        <v>461</v>
      </c>
      <c r="K557" s="326" t="s">
        <v>457</v>
      </c>
      <c r="L557" s="1237">
        <v>23174</v>
      </c>
      <c r="M557" s="1852"/>
      <c r="N557" s="1852"/>
      <c r="O557" s="1846">
        <v>160</v>
      </c>
      <c r="P557" s="1848">
        <v>40</v>
      </c>
      <c r="Q557" s="1848">
        <f>O557*P557</f>
        <v>6400</v>
      </c>
      <c r="R557" s="1848"/>
      <c r="S557" s="1847"/>
      <c r="T557" s="1847"/>
      <c r="U557" s="1847"/>
      <c r="V557" s="1847">
        <v>6400</v>
      </c>
      <c r="W557" s="1847"/>
      <c r="X557" s="1854"/>
      <c r="Y557" s="1124"/>
      <c r="Z557" s="1734"/>
      <c r="AA557" s="1734"/>
      <c r="AB557" s="1734"/>
      <c r="AC557" s="1734"/>
      <c r="AD557" s="1734"/>
      <c r="AE557" s="1734"/>
      <c r="AF557" s="1734"/>
      <c r="AG557" s="547">
        <f t="shared" si="113"/>
        <v>6400</v>
      </c>
    </row>
    <row r="558" spans="1:33" ht="34.5" customHeight="1" thickBot="1">
      <c r="A558" s="1275">
        <v>424</v>
      </c>
      <c r="B558" s="1128" t="s">
        <v>467</v>
      </c>
      <c r="C558" s="1511"/>
      <c r="D558" s="1422"/>
      <c r="E558" s="1422"/>
      <c r="F558" s="1422"/>
      <c r="G558" s="1422"/>
      <c r="H558" s="1422"/>
      <c r="I558" s="1423"/>
      <c r="J558" s="283"/>
      <c r="K558" s="1278"/>
      <c r="L558" s="1279"/>
      <c r="M558" s="1280"/>
      <c r="N558" s="1277"/>
      <c r="O558" s="1281"/>
      <c r="P558" s="1277"/>
      <c r="Q558" s="547">
        <f>SUM(Q559)</f>
        <v>66990</v>
      </c>
      <c r="R558" s="2826"/>
      <c r="S558" s="1395">
        <f t="shared" ref="S558:AF558" si="116">SUM(S559)</f>
        <v>0</v>
      </c>
      <c r="T558" s="1395">
        <f t="shared" si="116"/>
        <v>0</v>
      </c>
      <c r="U558" s="1395">
        <f t="shared" si="116"/>
        <v>0</v>
      </c>
      <c r="V558" s="1395">
        <f t="shared" si="116"/>
        <v>66990</v>
      </c>
      <c r="W558" s="1395">
        <f t="shared" si="116"/>
        <v>0</v>
      </c>
      <c r="X558" s="1395">
        <f t="shared" si="116"/>
        <v>0</v>
      </c>
      <c r="Y558" s="1395">
        <f t="shared" si="116"/>
        <v>0</v>
      </c>
      <c r="Z558" s="361">
        <f t="shared" si="116"/>
        <v>0</v>
      </c>
      <c r="AA558" s="361">
        <f t="shared" si="116"/>
        <v>0</v>
      </c>
      <c r="AB558" s="361">
        <f t="shared" si="116"/>
        <v>0</v>
      </c>
      <c r="AC558" s="361">
        <f t="shared" si="116"/>
        <v>0</v>
      </c>
      <c r="AD558" s="361">
        <f t="shared" si="116"/>
        <v>0</v>
      </c>
      <c r="AE558" s="361">
        <f t="shared" si="116"/>
        <v>0</v>
      </c>
      <c r="AF558" s="361">
        <f t="shared" si="116"/>
        <v>0</v>
      </c>
      <c r="AG558" s="547">
        <f t="shared" si="113"/>
        <v>66990</v>
      </c>
    </row>
    <row r="559" spans="1:33" ht="63.75" thickTop="1">
      <c r="A559" s="2789">
        <v>4241</v>
      </c>
      <c r="B559" s="2988" t="s">
        <v>468</v>
      </c>
      <c r="C559" s="2984" t="s">
        <v>469</v>
      </c>
      <c r="D559" s="2791"/>
      <c r="E559" s="2985">
        <v>2</v>
      </c>
      <c r="F559" s="2982">
        <v>43283</v>
      </c>
      <c r="G559" s="2983">
        <f>+F559+E559-1</f>
        <v>43284</v>
      </c>
      <c r="H559" s="2792" t="s">
        <v>470</v>
      </c>
      <c r="I559" s="2789" t="s">
        <v>179</v>
      </c>
      <c r="J559" s="2876" t="s">
        <v>461</v>
      </c>
      <c r="K559" s="326" t="s">
        <v>457</v>
      </c>
      <c r="L559" s="1237">
        <v>23174</v>
      </c>
      <c r="M559" s="326"/>
      <c r="N559" s="294"/>
      <c r="O559" s="1846">
        <v>3045</v>
      </c>
      <c r="P559" s="1848">
        <v>22</v>
      </c>
      <c r="Q559" s="1848">
        <f>O559*P559</f>
        <v>66990</v>
      </c>
      <c r="R559" s="1848"/>
      <c r="S559" s="1847"/>
      <c r="T559" s="1847"/>
      <c r="U559" s="1847"/>
      <c r="V559" s="1847">
        <v>66990</v>
      </c>
      <c r="W559" s="1847"/>
      <c r="X559" s="1137"/>
      <c r="Y559" s="1126"/>
      <c r="Z559" s="1126"/>
      <c r="AA559" s="1126"/>
      <c r="AB559" s="1126"/>
      <c r="AC559" s="1126"/>
      <c r="AD559" s="1126"/>
      <c r="AE559" s="1126"/>
      <c r="AF559" s="1126"/>
      <c r="AG559" s="547">
        <f t="shared" si="113"/>
        <v>66990</v>
      </c>
    </row>
    <row r="560" spans="1:33" ht="16.5" customHeight="1" thickBot="1">
      <c r="A560" s="1275">
        <v>425</v>
      </c>
      <c r="B560" s="1466" t="s">
        <v>471</v>
      </c>
      <c r="C560" s="1511"/>
      <c r="D560" s="1422"/>
      <c r="E560" s="1422"/>
      <c r="F560" s="1422"/>
      <c r="G560" s="1422"/>
      <c r="H560" s="1422"/>
      <c r="I560" s="1423"/>
      <c r="J560" s="283"/>
      <c r="K560" s="1278"/>
      <c r="L560" s="1279"/>
      <c r="M560" s="1280"/>
      <c r="N560" s="1277"/>
      <c r="O560" s="1281"/>
      <c r="P560" s="1277"/>
      <c r="Q560" s="547">
        <f>SUM(Q561:Q564)</f>
        <v>104413.66666666667</v>
      </c>
      <c r="R560" s="2826"/>
      <c r="S560" s="1395">
        <f t="shared" ref="S560:AF560" si="117">SUM(S561:S564)</f>
        <v>0</v>
      </c>
      <c r="T560" s="1395">
        <f t="shared" si="117"/>
        <v>93216.666666666672</v>
      </c>
      <c r="U560" s="1395">
        <f t="shared" si="117"/>
        <v>6760</v>
      </c>
      <c r="V560" s="1395">
        <f t="shared" si="117"/>
        <v>4437</v>
      </c>
      <c r="W560" s="1395">
        <f t="shared" si="117"/>
        <v>0</v>
      </c>
      <c r="X560" s="1395">
        <f t="shared" si="117"/>
        <v>0</v>
      </c>
      <c r="Y560" s="1395">
        <f t="shared" si="117"/>
        <v>0</v>
      </c>
      <c r="Z560" s="361">
        <f t="shared" si="117"/>
        <v>0</v>
      </c>
      <c r="AA560" s="361">
        <f t="shared" si="117"/>
        <v>0</v>
      </c>
      <c r="AB560" s="361">
        <f t="shared" si="117"/>
        <v>0</v>
      </c>
      <c r="AC560" s="361">
        <f t="shared" si="117"/>
        <v>0</v>
      </c>
      <c r="AD560" s="361">
        <f t="shared" si="117"/>
        <v>0</v>
      </c>
      <c r="AE560" s="361">
        <f t="shared" si="117"/>
        <v>0</v>
      </c>
      <c r="AF560" s="361">
        <f t="shared" si="117"/>
        <v>0</v>
      </c>
      <c r="AG560" s="547">
        <f t="shared" si="113"/>
        <v>104413.66666666667</v>
      </c>
    </row>
    <row r="561" spans="1:33" ht="30.75" customHeight="1" thickTop="1" thickBot="1">
      <c r="A561" s="2789">
        <v>4251</v>
      </c>
      <c r="B561" s="3000" t="s">
        <v>472</v>
      </c>
      <c r="C561" s="2984" t="s">
        <v>473</v>
      </c>
      <c r="D561" s="2791"/>
      <c r="E561" s="2789">
        <v>15</v>
      </c>
      <c r="F561" s="2982">
        <v>43201</v>
      </c>
      <c r="G561" s="2983">
        <f>+F561+E561-1</f>
        <v>43215</v>
      </c>
      <c r="H561" s="2792" t="s">
        <v>474</v>
      </c>
      <c r="I561" s="2789" t="s">
        <v>179</v>
      </c>
      <c r="J561" s="2793" t="s">
        <v>169</v>
      </c>
      <c r="K561" s="326" t="s">
        <v>252</v>
      </c>
      <c r="L561" s="1237">
        <v>23174</v>
      </c>
      <c r="M561" s="326"/>
      <c r="N561" s="294"/>
      <c r="O561" s="1846">
        <v>0.23333333333333334</v>
      </c>
      <c r="P561" s="1848">
        <v>57500</v>
      </c>
      <c r="Q561" s="1848">
        <f>O561*P561</f>
        <v>13416.666666666666</v>
      </c>
      <c r="R561" s="1848"/>
      <c r="S561" s="355"/>
      <c r="T561" s="1847">
        <v>13416.666666666666</v>
      </c>
      <c r="U561" s="1847"/>
      <c r="V561" s="1847"/>
      <c r="W561" s="355"/>
      <c r="X561" s="1137"/>
      <c r="Y561" s="1126"/>
      <c r="Z561" s="1126"/>
      <c r="AA561" s="1126"/>
      <c r="AB561" s="1126"/>
      <c r="AC561" s="1126"/>
      <c r="AD561" s="1126"/>
      <c r="AE561" s="1126"/>
      <c r="AF561" s="1126"/>
      <c r="AG561" s="547">
        <f t="shared" si="113"/>
        <v>13416.666666666666</v>
      </c>
    </row>
    <row r="562" spans="1:33" ht="33" thickTop="1" thickBot="1">
      <c r="A562" s="2789">
        <v>4252</v>
      </c>
      <c r="B562" s="3000" t="s">
        <v>475</v>
      </c>
      <c r="C562" s="2984" t="s">
        <v>476</v>
      </c>
      <c r="D562" s="2791"/>
      <c r="E562" s="2789">
        <v>10</v>
      </c>
      <c r="F562" s="2982">
        <v>43213</v>
      </c>
      <c r="G562" s="2983">
        <f>+F562+E562-1</f>
        <v>43222</v>
      </c>
      <c r="H562" s="2792" t="s">
        <v>474</v>
      </c>
      <c r="I562" s="2789" t="s">
        <v>179</v>
      </c>
      <c r="J562" s="2793" t="s">
        <v>180</v>
      </c>
      <c r="K562" s="326" t="s">
        <v>457</v>
      </c>
      <c r="L562" s="1237">
        <v>23174</v>
      </c>
      <c r="M562" s="326"/>
      <c r="N562" s="294"/>
      <c r="O562" s="1846">
        <v>350</v>
      </c>
      <c r="P562" s="1848">
        <v>228</v>
      </c>
      <c r="Q562" s="1848">
        <f>O562*P562</f>
        <v>79800</v>
      </c>
      <c r="R562" s="1848"/>
      <c r="S562" s="355"/>
      <c r="T562" s="1847">
        <v>79800</v>
      </c>
      <c r="U562" s="1847"/>
      <c r="V562" s="1847"/>
      <c r="W562" s="355"/>
      <c r="X562" s="1137"/>
      <c r="Y562" s="1126"/>
      <c r="Z562" s="1126"/>
      <c r="AA562" s="1126"/>
      <c r="AB562" s="1126"/>
      <c r="AC562" s="1126"/>
      <c r="AD562" s="1126"/>
      <c r="AE562" s="1126"/>
      <c r="AF562" s="1126"/>
      <c r="AG562" s="547">
        <f t="shared" si="113"/>
        <v>79800</v>
      </c>
    </row>
    <row r="563" spans="1:33" ht="25.5" customHeight="1" thickTop="1" thickBot="1">
      <c r="A563" s="2789">
        <v>4253</v>
      </c>
      <c r="B563" s="3000" t="s">
        <v>477</v>
      </c>
      <c r="C563" s="2984" t="s">
        <v>478</v>
      </c>
      <c r="D563" s="2791"/>
      <c r="E563" s="2789">
        <v>10</v>
      </c>
      <c r="F563" s="2982">
        <v>43227</v>
      </c>
      <c r="G563" s="2983">
        <f t="shared" ref="G563:G576" si="118">+F563+E563-1</f>
        <v>43236</v>
      </c>
      <c r="H563" s="2792" t="s">
        <v>368</v>
      </c>
      <c r="I563" s="2789" t="s">
        <v>179</v>
      </c>
      <c r="J563" s="2793" t="s">
        <v>180</v>
      </c>
      <c r="K563" s="326" t="s">
        <v>457</v>
      </c>
      <c r="L563" s="1237">
        <v>23174</v>
      </c>
      <c r="M563" s="326"/>
      <c r="N563" s="294"/>
      <c r="O563" s="1846">
        <v>260</v>
      </c>
      <c r="P563" s="1848">
        <v>26</v>
      </c>
      <c r="Q563" s="1848">
        <f>O563*P563</f>
        <v>6760</v>
      </c>
      <c r="R563" s="1848"/>
      <c r="S563" s="1847"/>
      <c r="T563" s="1847"/>
      <c r="U563" s="1847">
        <v>6760</v>
      </c>
      <c r="V563" s="1847"/>
      <c r="W563" s="355"/>
      <c r="X563" s="1137"/>
      <c r="Y563" s="1126"/>
      <c r="Z563" s="1126"/>
      <c r="AA563" s="1126"/>
      <c r="AB563" s="1126"/>
      <c r="AC563" s="1126"/>
      <c r="AD563" s="1126"/>
      <c r="AE563" s="1126"/>
      <c r="AF563" s="1126"/>
      <c r="AG563" s="547">
        <f t="shared" si="113"/>
        <v>6760</v>
      </c>
    </row>
    <row r="564" spans="1:33" ht="32.25" thickTop="1">
      <c r="A564" s="2789">
        <v>4254</v>
      </c>
      <c r="B564" s="2984" t="s">
        <v>479</v>
      </c>
      <c r="C564" s="2984" t="s">
        <v>480</v>
      </c>
      <c r="D564" s="2791"/>
      <c r="E564" s="2789">
        <v>6</v>
      </c>
      <c r="F564" s="2982">
        <v>43269</v>
      </c>
      <c r="G564" s="2983">
        <f t="shared" si="118"/>
        <v>43274</v>
      </c>
      <c r="H564" s="2792" t="s">
        <v>368</v>
      </c>
      <c r="I564" s="2789" t="s">
        <v>179</v>
      </c>
      <c r="J564" s="2793" t="s">
        <v>180</v>
      </c>
      <c r="K564" s="326" t="s">
        <v>457</v>
      </c>
      <c r="L564" s="1237">
        <v>23174</v>
      </c>
      <c r="M564" s="326"/>
      <c r="N564" s="294"/>
      <c r="O564" s="1846">
        <v>177.48</v>
      </c>
      <c r="P564" s="1848">
        <v>25</v>
      </c>
      <c r="Q564" s="1848">
        <f>O564*P564</f>
        <v>4437</v>
      </c>
      <c r="R564" s="1848"/>
      <c r="S564" s="1847"/>
      <c r="T564" s="1847"/>
      <c r="U564" s="1847"/>
      <c r="V564" s="1847">
        <v>4437</v>
      </c>
      <c r="W564" s="355"/>
      <c r="X564" s="1137"/>
      <c r="Y564" s="1126"/>
      <c r="Z564" s="1126"/>
      <c r="AA564" s="1126"/>
      <c r="AB564" s="1126"/>
      <c r="AC564" s="1126"/>
      <c r="AD564" s="1126"/>
      <c r="AE564" s="1126"/>
      <c r="AF564" s="1126"/>
      <c r="AG564" s="547">
        <f t="shared" si="113"/>
        <v>4437</v>
      </c>
    </row>
    <row r="565" spans="1:33" ht="16.5" thickBot="1">
      <c r="A565" s="1275">
        <v>426</v>
      </c>
      <c r="B565" s="1466" t="s">
        <v>481</v>
      </c>
      <c r="C565" s="1511"/>
      <c r="D565" s="1422"/>
      <c r="E565" s="1422"/>
      <c r="F565" s="1422"/>
      <c r="G565" s="1422"/>
      <c r="H565" s="1422"/>
      <c r="I565" s="1423"/>
      <c r="J565" s="283"/>
      <c r="K565" s="1278"/>
      <c r="L565" s="1279"/>
      <c r="M565" s="1277"/>
      <c r="N565" s="1277"/>
      <c r="O565" s="1395"/>
      <c r="P565" s="1277"/>
      <c r="Q565" s="547">
        <f>SUM(Q566:Q576)</f>
        <v>41478.833333333336</v>
      </c>
      <c r="R565" s="2827"/>
      <c r="S565" s="1395">
        <f t="shared" ref="S565:AF565" si="119">SUM(S566:S576)</f>
        <v>0</v>
      </c>
      <c r="T565" s="1395">
        <f t="shared" si="119"/>
        <v>0</v>
      </c>
      <c r="U565" s="1395">
        <f t="shared" si="119"/>
        <v>33648.833333333328</v>
      </c>
      <c r="V565" s="1395">
        <f t="shared" si="119"/>
        <v>7830</v>
      </c>
      <c r="W565" s="1395">
        <f t="shared" si="119"/>
        <v>0</v>
      </c>
      <c r="X565" s="1395">
        <f t="shared" si="119"/>
        <v>0</v>
      </c>
      <c r="Y565" s="1395">
        <f t="shared" si="119"/>
        <v>0</v>
      </c>
      <c r="Z565" s="361">
        <f t="shared" si="119"/>
        <v>0</v>
      </c>
      <c r="AA565" s="361">
        <f t="shared" si="119"/>
        <v>0</v>
      </c>
      <c r="AB565" s="361">
        <f t="shared" si="119"/>
        <v>0</v>
      </c>
      <c r="AC565" s="361">
        <f t="shared" si="119"/>
        <v>0</v>
      </c>
      <c r="AD565" s="361">
        <f t="shared" si="119"/>
        <v>0</v>
      </c>
      <c r="AE565" s="361">
        <f t="shared" si="119"/>
        <v>0</v>
      </c>
      <c r="AF565" s="361">
        <f t="shared" si="119"/>
        <v>0</v>
      </c>
      <c r="AG565" s="547">
        <f t="shared" si="113"/>
        <v>41478.833333333328</v>
      </c>
    </row>
    <row r="566" spans="1:33" ht="33" thickTop="1" thickBot="1">
      <c r="A566" s="2789">
        <v>4261</v>
      </c>
      <c r="B566" s="3000" t="s">
        <v>482</v>
      </c>
      <c r="C566" s="2984" t="s">
        <v>483</v>
      </c>
      <c r="D566" s="2791"/>
      <c r="E566" s="2789">
        <v>50</v>
      </c>
      <c r="F566" s="2982">
        <v>43186</v>
      </c>
      <c r="G566" s="2983">
        <f>+F566+E566-3</f>
        <v>43233</v>
      </c>
      <c r="H566" s="2792" t="s">
        <v>368</v>
      </c>
      <c r="I566" s="2789" t="s">
        <v>169</v>
      </c>
      <c r="J566" s="2793" t="s">
        <v>179</v>
      </c>
      <c r="K566" s="1787" t="s">
        <v>365</v>
      </c>
      <c r="L566" s="1788">
        <v>2313</v>
      </c>
      <c r="M566" s="326"/>
      <c r="N566" s="294"/>
      <c r="O566" s="1846">
        <v>174</v>
      </c>
      <c r="P566" s="1848">
        <v>45</v>
      </c>
      <c r="Q566" s="1848">
        <f t="shared" ref="Q566:Q574" si="120">O566*P566</f>
        <v>7830</v>
      </c>
      <c r="R566" s="1848"/>
      <c r="S566" s="1848"/>
      <c r="T566" s="1848"/>
      <c r="U566" s="1848"/>
      <c r="V566" s="1848">
        <v>7830</v>
      </c>
      <c r="W566" s="1848"/>
      <c r="X566" s="1137"/>
      <c r="Y566" s="1126"/>
      <c r="Z566" s="1126"/>
      <c r="AA566" s="1126"/>
      <c r="AB566" s="1126"/>
      <c r="AC566" s="1126"/>
      <c r="AD566" s="1126"/>
      <c r="AE566" s="1126"/>
      <c r="AF566" s="1126"/>
      <c r="AG566" s="547">
        <f t="shared" ref="AG566:AG576" si="121">SUM(S566:AF566)</f>
        <v>7830</v>
      </c>
    </row>
    <row r="567" spans="1:33" ht="33" thickTop="1" thickBot="1">
      <c r="A567" s="2789">
        <v>4262</v>
      </c>
      <c r="B567" s="3000" t="s">
        <v>484</v>
      </c>
      <c r="C567" s="2984" t="s">
        <v>485</v>
      </c>
      <c r="D567" s="2791"/>
      <c r="E567" s="2789">
        <v>6</v>
      </c>
      <c r="F567" s="2982">
        <v>43234</v>
      </c>
      <c r="G567" s="2983">
        <f>+F567+E567-1</f>
        <v>43239</v>
      </c>
      <c r="H567" s="2792" t="s">
        <v>368</v>
      </c>
      <c r="I567" s="2789" t="s">
        <v>179</v>
      </c>
      <c r="J567" s="2782"/>
      <c r="K567" s="2963"/>
      <c r="L567" s="2783"/>
      <c r="M567" s="1124"/>
      <c r="N567" s="1703"/>
      <c r="O567" s="1846"/>
      <c r="P567" s="1848"/>
      <c r="Q567" s="1848"/>
      <c r="R567" s="1848"/>
      <c r="S567" s="1848"/>
      <c r="T567" s="1848"/>
      <c r="U567" s="1848"/>
      <c r="V567" s="1848"/>
      <c r="W567" s="1848"/>
      <c r="X567" s="1137"/>
      <c r="Y567" s="1126"/>
      <c r="Z567" s="1126"/>
      <c r="AA567" s="1126"/>
      <c r="AB567" s="1126"/>
      <c r="AC567" s="1126"/>
      <c r="AD567" s="1126"/>
      <c r="AE567" s="1126"/>
      <c r="AF567" s="1126"/>
      <c r="AG567" s="2355"/>
    </row>
    <row r="568" spans="1:33" ht="33" hidden="1" thickTop="1" thickBot="1">
      <c r="A568" s="294">
        <v>4262</v>
      </c>
      <c r="B568" s="1728" t="s">
        <v>484</v>
      </c>
      <c r="C568" s="1724" t="s">
        <v>485</v>
      </c>
      <c r="D568" s="326"/>
      <c r="E568" s="294">
        <v>6</v>
      </c>
      <c r="F568" s="1844">
        <v>43234</v>
      </c>
      <c r="G568" s="1845">
        <f t="shared" si="118"/>
        <v>43239</v>
      </c>
      <c r="H568" s="293" t="s">
        <v>368</v>
      </c>
      <c r="I568" s="294" t="s">
        <v>179</v>
      </c>
      <c r="J568" s="307"/>
      <c r="K568" s="326" t="s">
        <v>457</v>
      </c>
      <c r="L568" s="1788">
        <v>23174</v>
      </c>
      <c r="M568" s="326"/>
      <c r="N568" s="294"/>
      <c r="O568" s="1846">
        <v>5076.666666666667</v>
      </c>
      <c r="P568" s="1848">
        <v>1</v>
      </c>
      <c r="Q568" s="1848">
        <f t="shared" si="120"/>
        <v>5076.666666666667</v>
      </c>
      <c r="R568" s="1848"/>
      <c r="S568" s="1848"/>
      <c r="T568" s="1848"/>
      <c r="U568" s="1848">
        <v>5076.666666666667</v>
      </c>
      <c r="V568" s="1848"/>
      <c r="W568" s="1848"/>
      <c r="X568" s="1137"/>
      <c r="Y568" s="1126"/>
      <c r="Z568" s="1126"/>
      <c r="AA568" s="1126"/>
      <c r="AB568" s="1126"/>
      <c r="AC568" s="1126"/>
      <c r="AD568" s="1126"/>
      <c r="AE568" s="1126"/>
      <c r="AF568" s="1126"/>
      <c r="AG568" s="547">
        <f t="shared" si="121"/>
        <v>5076.666666666667</v>
      </c>
    </row>
    <row r="569" spans="1:33" ht="33" hidden="1" thickTop="1" thickBot="1">
      <c r="A569" s="294">
        <v>4262</v>
      </c>
      <c r="B569" s="1728" t="s">
        <v>484</v>
      </c>
      <c r="C569" s="1724" t="s">
        <v>485</v>
      </c>
      <c r="D569" s="326"/>
      <c r="E569" s="294">
        <v>6</v>
      </c>
      <c r="F569" s="1844">
        <v>43234</v>
      </c>
      <c r="G569" s="1845">
        <f t="shared" si="118"/>
        <v>43239</v>
      </c>
      <c r="H569" s="293" t="s">
        <v>368</v>
      </c>
      <c r="I569" s="294" t="s">
        <v>179</v>
      </c>
      <c r="J569" s="307"/>
      <c r="K569" s="326" t="s">
        <v>320</v>
      </c>
      <c r="L569" s="1788">
        <v>23173</v>
      </c>
      <c r="M569" s="326"/>
      <c r="N569" s="294"/>
      <c r="O569" s="1846">
        <v>165.83333333333334</v>
      </c>
      <c r="P569" s="1848">
        <v>1</v>
      </c>
      <c r="Q569" s="1848">
        <f t="shared" si="120"/>
        <v>165.83333333333334</v>
      </c>
      <c r="R569" s="1848"/>
      <c r="S569" s="1848"/>
      <c r="T569" s="1848"/>
      <c r="U569" s="1848">
        <v>165.83333333333334</v>
      </c>
      <c r="V569" s="1848"/>
      <c r="W569" s="1848"/>
      <c r="X569" s="1137"/>
      <c r="Y569" s="1126"/>
      <c r="Z569" s="1126"/>
      <c r="AA569" s="1126"/>
      <c r="AB569" s="1126"/>
      <c r="AC569" s="1126"/>
      <c r="AD569" s="1126"/>
      <c r="AE569" s="1126"/>
      <c r="AF569" s="1126"/>
      <c r="AG569" s="547">
        <f t="shared" si="121"/>
        <v>165.83333333333334</v>
      </c>
    </row>
    <row r="570" spans="1:33" ht="33" hidden="1" thickTop="1" thickBot="1">
      <c r="A570" s="294">
        <v>4262</v>
      </c>
      <c r="B570" s="1728" t="s">
        <v>484</v>
      </c>
      <c r="C570" s="1724" t="s">
        <v>485</v>
      </c>
      <c r="D570" s="326"/>
      <c r="E570" s="294">
        <v>6</v>
      </c>
      <c r="F570" s="1844">
        <v>43234</v>
      </c>
      <c r="G570" s="1845">
        <f t="shared" si="118"/>
        <v>43239</v>
      </c>
      <c r="H570" s="293" t="s">
        <v>368</v>
      </c>
      <c r="I570" s="294" t="s">
        <v>179</v>
      </c>
      <c r="J570" s="307"/>
      <c r="K570" s="326" t="s">
        <v>486</v>
      </c>
      <c r="L570" s="1788">
        <v>23173</v>
      </c>
      <c r="M570" s="326"/>
      <c r="N570" s="294"/>
      <c r="O570" s="1846">
        <v>10</v>
      </c>
      <c r="P570" s="1848">
        <v>5</v>
      </c>
      <c r="Q570" s="1848">
        <f t="shared" si="120"/>
        <v>50</v>
      </c>
      <c r="R570" s="1848"/>
      <c r="S570" s="1848"/>
      <c r="T570" s="1848"/>
      <c r="U570" s="1848">
        <v>50</v>
      </c>
      <c r="V570" s="1848"/>
      <c r="W570" s="1848"/>
      <c r="X570" s="1137"/>
      <c r="Y570" s="1126"/>
      <c r="Z570" s="1126"/>
      <c r="AA570" s="1126"/>
      <c r="AB570" s="1126"/>
      <c r="AC570" s="1126"/>
      <c r="AD570" s="1126"/>
      <c r="AE570" s="1126"/>
      <c r="AF570" s="1126"/>
      <c r="AG570" s="547">
        <f t="shared" si="121"/>
        <v>50</v>
      </c>
    </row>
    <row r="571" spans="1:33" ht="32.25" customHeight="1" thickTop="1" thickBot="1">
      <c r="A571" s="2789">
        <v>4263</v>
      </c>
      <c r="B571" s="3000" t="s">
        <v>487</v>
      </c>
      <c r="C571" s="2984" t="s">
        <v>488</v>
      </c>
      <c r="D571" s="2791"/>
      <c r="E571" s="2789">
        <v>10</v>
      </c>
      <c r="F571" s="2982">
        <v>43241</v>
      </c>
      <c r="G571" s="2983">
        <f>+F571+E571-1</f>
        <v>43250</v>
      </c>
      <c r="H571" s="2789" t="s">
        <v>372</v>
      </c>
      <c r="I571" s="2789" t="s">
        <v>179</v>
      </c>
      <c r="J571" s="2793"/>
      <c r="K571" s="1124"/>
      <c r="L571" s="2783"/>
      <c r="M571" s="1124"/>
      <c r="N571" s="1703"/>
      <c r="O571" s="1846"/>
      <c r="P571" s="1848"/>
      <c r="Q571" s="1848"/>
      <c r="R571" s="1848"/>
      <c r="S571" s="1848"/>
      <c r="T571" s="1848"/>
      <c r="U571" s="1848"/>
      <c r="V571" s="1848"/>
      <c r="W571" s="1848"/>
      <c r="X571" s="1137"/>
      <c r="Y571" s="1126"/>
      <c r="Z571" s="1126"/>
      <c r="AA571" s="1126"/>
      <c r="AB571" s="1126"/>
      <c r="AC571" s="1126"/>
      <c r="AD571" s="1126"/>
      <c r="AE571" s="1126"/>
      <c r="AF571" s="1126"/>
      <c r="AG571" s="2355"/>
    </row>
    <row r="572" spans="1:33" ht="17.25" hidden="1" thickTop="1" thickBot="1">
      <c r="A572" s="294">
        <v>4263</v>
      </c>
      <c r="B572" s="1728" t="s">
        <v>487</v>
      </c>
      <c r="C572" s="1724" t="s">
        <v>488</v>
      </c>
      <c r="D572" s="326"/>
      <c r="E572" s="294">
        <v>10</v>
      </c>
      <c r="F572" s="1844">
        <v>43241</v>
      </c>
      <c r="G572" s="1845">
        <f t="shared" si="118"/>
        <v>43250</v>
      </c>
      <c r="H572" s="294" t="s">
        <v>372</v>
      </c>
      <c r="I572" s="294" t="s">
        <v>179</v>
      </c>
      <c r="J572" s="307"/>
      <c r="K572" s="326" t="s">
        <v>457</v>
      </c>
      <c r="L572" s="1788">
        <v>23174</v>
      </c>
      <c r="M572" s="326"/>
      <c r="N572" s="294"/>
      <c r="O572" s="1846">
        <v>20400</v>
      </c>
      <c r="P572" s="1848">
        <v>1</v>
      </c>
      <c r="Q572" s="1848">
        <f t="shared" si="120"/>
        <v>20400</v>
      </c>
      <c r="R572" s="1848"/>
      <c r="S572" s="1848"/>
      <c r="T572" s="1848"/>
      <c r="U572" s="1848">
        <v>20400</v>
      </c>
      <c r="V572" s="1848"/>
      <c r="W572" s="1848"/>
      <c r="X572" s="1137"/>
      <c r="Y572" s="1126"/>
      <c r="Z572" s="1126"/>
      <c r="AA572" s="1126"/>
      <c r="AB572" s="1126"/>
      <c r="AC572" s="1126"/>
      <c r="AD572" s="1126"/>
      <c r="AE572" s="1126"/>
      <c r="AF572" s="1126"/>
      <c r="AG572" s="547">
        <f t="shared" si="121"/>
        <v>20400</v>
      </c>
    </row>
    <row r="573" spans="1:33" ht="17.25" hidden="1" thickTop="1" thickBot="1">
      <c r="A573" s="294">
        <v>4263</v>
      </c>
      <c r="B573" s="1728" t="s">
        <v>487</v>
      </c>
      <c r="C573" s="1724" t="s">
        <v>488</v>
      </c>
      <c r="D573" s="326"/>
      <c r="E573" s="294">
        <v>10</v>
      </c>
      <c r="F573" s="1844">
        <v>43241</v>
      </c>
      <c r="G573" s="1845">
        <f t="shared" si="118"/>
        <v>43250</v>
      </c>
      <c r="H573" s="294" t="s">
        <v>372</v>
      </c>
      <c r="I573" s="294" t="s">
        <v>179</v>
      </c>
      <c r="J573" s="307"/>
      <c r="K573" s="326" t="s">
        <v>320</v>
      </c>
      <c r="L573" s="1788">
        <v>23173</v>
      </c>
      <c r="M573" s="326"/>
      <c r="N573" s="294"/>
      <c r="O573" s="1846">
        <v>356.33333333333331</v>
      </c>
      <c r="P573" s="1855">
        <v>1</v>
      </c>
      <c r="Q573" s="1855">
        <f t="shared" si="120"/>
        <v>356.33333333333331</v>
      </c>
      <c r="R573" s="1848"/>
      <c r="S573" s="355"/>
      <c r="T573" s="355"/>
      <c r="U573" s="1848">
        <v>356.33333333333331</v>
      </c>
      <c r="V573" s="355"/>
      <c r="W573" s="355"/>
      <c r="X573" s="1137"/>
      <c r="Y573" s="1126"/>
      <c r="Z573" s="1126"/>
      <c r="AA573" s="1126"/>
      <c r="AB573" s="1126"/>
      <c r="AC573" s="1126"/>
      <c r="AD573" s="1126"/>
      <c r="AE573" s="1126"/>
      <c r="AF573" s="1126"/>
      <c r="AG573" s="547">
        <f t="shared" si="121"/>
        <v>356.33333333333331</v>
      </c>
    </row>
    <row r="574" spans="1:33" ht="17.25" hidden="1" thickTop="1" thickBot="1">
      <c r="A574" s="294">
        <v>4263</v>
      </c>
      <c r="B574" s="1728" t="s">
        <v>487</v>
      </c>
      <c r="C574" s="1724" t="s">
        <v>488</v>
      </c>
      <c r="D574" s="326"/>
      <c r="E574" s="294">
        <v>10</v>
      </c>
      <c r="F574" s="1844">
        <v>43241</v>
      </c>
      <c r="G574" s="1845">
        <f t="shared" si="118"/>
        <v>43250</v>
      </c>
      <c r="H574" s="294" t="s">
        <v>372</v>
      </c>
      <c r="I574" s="294" t="s">
        <v>179</v>
      </c>
      <c r="J574" s="307"/>
      <c r="K574" s="326" t="s">
        <v>486</v>
      </c>
      <c r="L574" s="1788">
        <v>23173</v>
      </c>
      <c r="M574" s="326"/>
      <c r="N574" s="294"/>
      <c r="O574" s="1846">
        <v>10</v>
      </c>
      <c r="P574" s="1855">
        <v>10</v>
      </c>
      <c r="Q574" s="1855">
        <f t="shared" si="120"/>
        <v>100</v>
      </c>
      <c r="R574" s="1848"/>
      <c r="S574" s="355"/>
      <c r="T574" s="355"/>
      <c r="U574" s="1848">
        <v>100</v>
      </c>
      <c r="V574" s="355"/>
      <c r="W574" s="355"/>
      <c r="X574" s="1137"/>
      <c r="Y574" s="1126"/>
      <c r="Z574" s="1126"/>
      <c r="AA574" s="1126"/>
      <c r="AB574" s="1126"/>
      <c r="AC574" s="1126"/>
      <c r="AD574" s="1126"/>
      <c r="AE574" s="1126"/>
      <c r="AF574" s="1126"/>
      <c r="AG574" s="547">
        <f t="shared" si="121"/>
        <v>100</v>
      </c>
    </row>
    <row r="575" spans="1:33" ht="30.75" customHeight="1" thickTop="1" thickBot="1">
      <c r="A575" s="2789">
        <v>4264</v>
      </c>
      <c r="B575" s="3000" t="s">
        <v>458</v>
      </c>
      <c r="C575" s="2984" t="s">
        <v>489</v>
      </c>
      <c r="D575" s="2791"/>
      <c r="E575" s="2789">
        <v>2</v>
      </c>
      <c r="F575" s="2982">
        <v>43255</v>
      </c>
      <c r="G575" s="2983">
        <f t="shared" si="118"/>
        <v>43256</v>
      </c>
      <c r="H575" s="2789" t="s">
        <v>490</v>
      </c>
      <c r="I575" s="2789" t="s">
        <v>179</v>
      </c>
      <c r="J575" s="307"/>
      <c r="K575" s="326" t="s">
        <v>457</v>
      </c>
      <c r="L575" s="1788">
        <v>23174</v>
      </c>
      <c r="M575" s="326"/>
      <c r="N575" s="294"/>
      <c r="O575" s="1846">
        <v>0</v>
      </c>
      <c r="P575" s="1855"/>
      <c r="Q575" s="1855"/>
      <c r="R575" s="1848"/>
      <c r="S575" s="355"/>
      <c r="T575" s="355"/>
      <c r="U575" s="1848"/>
      <c r="V575" s="355"/>
      <c r="W575" s="355"/>
      <c r="X575" s="1137"/>
      <c r="Y575" s="1126"/>
      <c r="Z575" s="1126"/>
      <c r="AA575" s="1126"/>
      <c r="AB575" s="1126"/>
      <c r="AC575" s="1126"/>
      <c r="AD575" s="1126"/>
      <c r="AE575" s="1126"/>
      <c r="AF575" s="1126"/>
      <c r="AG575" s="547">
        <f t="shared" si="121"/>
        <v>0</v>
      </c>
    </row>
    <row r="576" spans="1:33" ht="66" customHeight="1" thickTop="1">
      <c r="A576" s="2789">
        <v>4265</v>
      </c>
      <c r="B576" s="3000" t="s">
        <v>491</v>
      </c>
      <c r="C576" s="2984" t="s">
        <v>492</v>
      </c>
      <c r="D576" s="2791"/>
      <c r="E576" s="2789">
        <v>5</v>
      </c>
      <c r="F576" s="2982">
        <v>43261</v>
      </c>
      <c r="G576" s="2983">
        <f t="shared" si="118"/>
        <v>43265</v>
      </c>
      <c r="H576" s="2789" t="s">
        <v>493</v>
      </c>
      <c r="I576" s="2789" t="s">
        <v>179</v>
      </c>
      <c r="J576" s="2793"/>
      <c r="K576" s="326" t="s">
        <v>457</v>
      </c>
      <c r="L576" s="1788">
        <v>23174</v>
      </c>
      <c r="M576" s="326"/>
      <c r="N576" s="294"/>
      <c r="O576" s="1846">
        <v>750</v>
      </c>
      <c r="P576" s="1855">
        <v>10</v>
      </c>
      <c r="Q576" s="1855">
        <f>O576*P576</f>
        <v>7500</v>
      </c>
      <c r="R576" s="1848"/>
      <c r="S576" s="355"/>
      <c r="T576" s="355"/>
      <c r="U576" s="1848">
        <v>7500</v>
      </c>
      <c r="V576" s="355"/>
      <c r="W576" s="355"/>
      <c r="X576" s="1137"/>
      <c r="Y576" s="1126"/>
      <c r="Z576" s="1126"/>
      <c r="AA576" s="1126"/>
      <c r="AB576" s="1126"/>
      <c r="AC576" s="1126"/>
      <c r="AD576" s="1126"/>
      <c r="AE576" s="1126"/>
      <c r="AF576" s="1126"/>
      <c r="AG576" s="547">
        <f t="shared" si="121"/>
        <v>7500</v>
      </c>
    </row>
    <row r="577" spans="1:33" ht="18.75" customHeight="1" thickBot="1">
      <c r="A577" s="1275">
        <v>427</v>
      </c>
      <c r="B577" s="1466" t="s">
        <v>494</v>
      </c>
      <c r="C577" s="1511"/>
      <c r="D577" s="1422"/>
      <c r="E577" s="1422"/>
      <c r="F577" s="1422"/>
      <c r="G577" s="1422"/>
      <c r="H577" s="1422"/>
      <c r="I577" s="1423"/>
      <c r="J577" s="283"/>
      <c r="K577" s="1278"/>
      <c r="L577" s="1279"/>
      <c r="M577" s="1280"/>
      <c r="N577" s="1277"/>
      <c r="O577" s="1281"/>
      <c r="P577" s="1277"/>
      <c r="Q577" s="547">
        <f>SUM(Q578:Q579)</f>
        <v>10762.5</v>
      </c>
      <c r="R577" s="2826"/>
      <c r="S577" s="1395">
        <f t="shared" ref="S577:AF577" si="122">SUM(S578:S579)</f>
        <v>0</v>
      </c>
      <c r="T577" s="1395">
        <f t="shared" si="122"/>
        <v>0</v>
      </c>
      <c r="U577" s="1395">
        <f t="shared" si="122"/>
        <v>7500</v>
      </c>
      <c r="V577" s="1395">
        <f t="shared" si="122"/>
        <v>3262.5</v>
      </c>
      <c r="W577" s="1395">
        <f t="shared" si="122"/>
        <v>0</v>
      </c>
      <c r="X577" s="1395">
        <f t="shared" si="122"/>
        <v>0</v>
      </c>
      <c r="Y577" s="1395">
        <f t="shared" si="122"/>
        <v>0</v>
      </c>
      <c r="Z577" s="361">
        <f t="shared" si="122"/>
        <v>0</v>
      </c>
      <c r="AA577" s="361">
        <f t="shared" si="122"/>
        <v>0</v>
      </c>
      <c r="AB577" s="361">
        <f t="shared" si="122"/>
        <v>0</v>
      </c>
      <c r="AC577" s="361">
        <f t="shared" si="122"/>
        <v>0</v>
      </c>
      <c r="AD577" s="361">
        <f t="shared" si="122"/>
        <v>0</v>
      </c>
      <c r="AE577" s="361">
        <f t="shared" si="122"/>
        <v>0</v>
      </c>
      <c r="AF577" s="361">
        <f t="shared" si="122"/>
        <v>0</v>
      </c>
      <c r="AG577" s="547">
        <f>SUM(S577:AF577)</f>
        <v>10762.5</v>
      </c>
    </row>
    <row r="578" spans="1:33" ht="48.75" thickTop="1" thickBot="1">
      <c r="A578" s="2789">
        <v>4271</v>
      </c>
      <c r="B578" s="2790" t="s">
        <v>495</v>
      </c>
      <c r="C578" s="2790" t="s">
        <v>496</v>
      </c>
      <c r="D578" s="2791"/>
      <c r="E578" s="2789">
        <v>50</v>
      </c>
      <c r="F578" s="2982">
        <v>43186</v>
      </c>
      <c r="G578" s="2983">
        <f>+F578+E578-1</f>
        <v>43235</v>
      </c>
      <c r="H578" s="2792"/>
      <c r="I578" s="2789" t="s">
        <v>169</v>
      </c>
      <c r="J578" s="2793" t="s">
        <v>179</v>
      </c>
      <c r="K578" s="326" t="s">
        <v>365</v>
      </c>
      <c r="L578" s="1788">
        <v>2313</v>
      </c>
      <c r="M578" s="326"/>
      <c r="N578" s="294"/>
      <c r="O578" s="1846">
        <v>217.5</v>
      </c>
      <c r="P578" s="1848">
        <v>15</v>
      </c>
      <c r="Q578" s="1848">
        <f>O578*P578</f>
        <v>3262.5</v>
      </c>
      <c r="R578" s="1848"/>
      <c r="S578" s="355"/>
      <c r="T578" s="355"/>
      <c r="U578" s="355"/>
      <c r="V578" s="299">
        <v>3262.5</v>
      </c>
      <c r="W578" s="355"/>
      <c r="X578" s="1137"/>
      <c r="Y578" s="1126"/>
      <c r="Z578" s="1126"/>
      <c r="AA578" s="1126"/>
      <c r="AB578" s="1126"/>
      <c r="AC578" s="1126"/>
      <c r="AD578" s="1126"/>
      <c r="AE578" s="1126"/>
      <c r="AF578" s="1126"/>
      <c r="AG578" s="547">
        <f>SUM(S578:AF578)</f>
        <v>3262.5</v>
      </c>
    </row>
    <row r="579" spans="1:33" ht="32.25" thickTop="1">
      <c r="A579" s="2789">
        <v>4272</v>
      </c>
      <c r="B579" s="2790" t="s">
        <v>497</v>
      </c>
      <c r="C579" s="2790"/>
      <c r="D579" s="2791"/>
      <c r="E579" s="2789">
        <v>3</v>
      </c>
      <c r="F579" s="2982">
        <v>43240</v>
      </c>
      <c r="G579" s="2983">
        <f>+F579+E579-1</f>
        <v>43242</v>
      </c>
      <c r="H579" s="2789" t="s">
        <v>493</v>
      </c>
      <c r="I579" s="2789" t="s">
        <v>179</v>
      </c>
      <c r="J579" s="3001"/>
      <c r="K579" s="326" t="s">
        <v>457</v>
      </c>
      <c r="L579" s="1788">
        <v>23174</v>
      </c>
      <c r="M579" s="326"/>
      <c r="N579" s="294"/>
      <c r="O579" s="1846">
        <v>750</v>
      </c>
      <c r="P579" s="1848">
        <v>10</v>
      </c>
      <c r="Q579" s="1848">
        <f>O579*P579</f>
        <v>7500</v>
      </c>
      <c r="R579" s="1848"/>
      <c r="S579" s="355"/>
      <c r="T579" s="355"/>
      <c r="U579" s="299">
        <v>7500</v>
      </c>
      <c r="V579" s="355"/>
      <c r="W579" s="355"/>
      <c r="X579" s="1137"/>
      <c r="Y579" s="1126"/>
      <c r="Z579" s="1126"/>
      <c r="AA579" s="1126"/>
      <c r="AB579" s="1126"/>
      <c r="AC579" s="1126"/>
      <c r="AD579" s="1126"/>
      <c r="AE579" s="1126"/>
      <c r="AF579" s="1126"/>
      <c r="AG579" s="547">
        <f>SUM(S579:AF579)</f>
        <v>7500</v>
      </c>
    </row>
    <row r="580" spans="1:33" ht="31.5">
      <c r="A580" s="1275">
        <v>428</v>
      </c>
      <c r="B580" s="1128" t="s">
        <v>498</v>
      </c>
      <c r="C580" s="1130"/>
      <c r="D580" s="1430"/>
      <c r="E580" s="1430"/>
      <c r="F580" s="1430"/>
      <c r="G580" s="1430"/>
      <c r="H580" s="1430"/>
      <c r="I580" s="1430"/>
      <c r="J580" s="283"/>
      <c r="K580" s="1278"/>
      <c r="L580" s="1279"/>
      <c r="M580" s="1280"/>
      <c r="N580" s="1277"/>
      <c r="O580" s="1281"/>
      <c r="P580" s="1277"/>
      <c r="Q580" s="547">
        <f>SUM(Q581:Q587)</f>
        <v>97473.5</v>
      </c>
      <c r="R580" s="2826"/>
      <c r="S580" s="1395">
        <f t="shared" ref="S580:AF580" si="123">SUM(S581:S587)</f>
        <v>0</v>
      </c>
      <c r="T580" s="1395">
        <f t="shared" si="123"/>
        <v>0</v>
      </c>
      <c r="U580" s="1395">
        <f t="shared" si="123"/>
        <v>56550</v>
      </c>
      <c r="V580" s="1395">
        <f t="shared" si="123"/>
        <v>40923.5</v>
      </c>
      <c r="W580" s="1395">
        <f t="shared" si="123"/>
        <v>0</v>
      </c>
      <c r="X580" s="1395">
        <f t="shared" si="123"/>
        <v>0</v>
      </c>
      <c r="Y580" s="1395">
        <f t="shared" si="123"/>
        <v>0</v>
      </c>
      <c r="Z580" s="361">
        <f t="shared" si="123"/>
        <v>0</v>
      </c>
      <c r="AA580" s="361">
        <f t="shared" si="123"/>
        <v>0</v>
      </c>
      <c r="AB580" s="361">
        <f t="shared" si="123"/>
        <v>0</v>
      </c>
      <c r="AC580" s="361">
        <f t="shared" si="123"/>
        <v>0</v>
      </c>
      <c r="AD580" s="361">
        <f t="shared" si="123"/>
        <v>0</v>
      </c>
      <c r="AE580" s="361">
        <f t="shared" si="123"/>
        <v>0</v>
      </c>
      <c r="AF580" s="361">
        <f t="shared" si="123"/>
        <v>0</v>
      </c>
      <c r="AG580" s="547">
        <f>SUM(S580:AF580)</f>
        <v>97473.5</v>
      </c>
    </row>
    <row r="581" spans="1:33" ht="16.5" thickBot="1">
      <c r="A581" s="294">
        <v>4281</v>
      </c>
      <c r="B581" s="1897" t="s">
        <v>499</v>
      </c>
      <c r="C581" s="1898" t="s">
        <v>500</v>
      </c>
      <c r="D581" s="1585"/>
      <c r="E581" s="1393">
        <v>50</v>
      </c>
      <c r="F581" s="1899">
        <v>43186</v>
      </c>
      <c r="G581" s="1845">
        <f t="shared" ref="G581:G587" si="124">+F581+E581-1</f>
        <v>43235</v>
      </c>
      <c r="H581" s="1900" t="s">
        <v>501</v>
      </c>
      <c r="I581" s="1393" t="s">
        <v>169</v>
      </c>
      <c r="J581" s="307" t="s">
        <v>179</v>
      </c>
      <c r="K581" s="326" t="s">
        <v>502</v>
      </c>
      <c r="L581" s="1788">
        <v>2313</v>
      </c>
      <c r="M581" s="326"/>
      <c r="N581" s="1848"/>
      <c r="O581" s="1846">
        <v>907.67376190476193</v>
      </c>
      <c r="P581" s="1848">
        <v>14</v>
      </c>
      <c r="Q581" s="1848">
        <f>+O581*P581</f>
        <v>12707.432666666668</v>
      </c>
      <c r="R581" s="1848"/>
      <c r="S581" s="1848"/>
      <c r="T581" s="355"/>
      <c r="U581" s="1848"/>
      <c r="V581" s="1848">
        <v>12707.432666666668</v>
      </c>
      <c r="W581" s="355"/>
      <c r="X581" s="1137"/>
      <c r="Y581" s="1126"/>
      <c r="Z581" s="1124"/>
      <c r="AA581" s="1124"/>
      <c r="AB581" s="1124"/>
      <c r="AC581" s="1124"/>
      <c r="AD581" s="1124"/>
      <c r="AE581" s="1124"/>
      <c r="AF581" s="1124"/>
      <c r="AG581" s="547">
        <f t="shared" ref="AG581:AG587" si="125">SUM(S581:AF581)</f>
        <v>12707.432666666668</v>
      </c>
    </row>
    <row r="582" spans="1:33" ht="17.25" thickTop="1" thickBot="1">
      <c r="A582" s="294">
        <v>4282</v>
      </c>
      <c r="B582" s="1896" t="s">
        <v>503</v>
      </c>
      <c r="C582" s="1857" t="s">
        <v>504</v>
      </c>
      <c r="D582" s="326"/>
      <c r="E582" s="294">
        <v>50</v>
      </c>
      <c r="F582" s="1844">
        <v>43186</v>
      </c>
      <c r="G582" s="1845">
        <f t="shared" si="124"/>
        <v>43235</v>
      </c>
      <c r="H582" s="293" t="s">
        <v>501</v>
      </c>
      <c r="I582" s="294" t="s">
        <v>169</v>
      </c>
      <c r="J582" s="307" t="s">
        <v>179</v>
      </c>
      <c r="K582" s="326" t="s">
        <v>502</v>
      </c>
      <c r="L582" s="1788">
        <v>2313</v>
      </c>
      <c r="M582" s="326"/>
      <c r="N582" s="294"/>
      <c r="O582" s="1846">
        <v>208.73557142857143</v>
      </c>
      <c r="P582" s="1848">
        <f>14*3</f>
        <v>42</v>
      </c>
      <c r="Q582" s="1848">
        <f>+O582*P582</f>
        <v>8766.8940000000002</v>
      </c>
      <c r="R582" s="1848"/>
      <c r="S582" s="1848"/>
      <c r="T582" s="355"/>
      <c r="U582" s="1848"/>
      <c r="V582" s="1848">
        <v>8766.8940000000002</v>
      </c>
      <c r="W582" s="355"/>
      <c r="X582" s="1137"/>
      <c r="Y582" s="1126"/>
      <c r="Z582" s="1124"/>
      <c r="AA582" s="1124"/>
      <c r="AB582" s="1124"/>
      <c r="AC582" s="1124"/>
      <c r="AD582" s="1124"/>
      <c r="AE582" s="1124"/>
      <c r="AF582" s="1124"/>
      <c r="AG582" s="547">
        <f t="shared" si="125"/>
        <v>8766.8940000000002</v>
      </c>
    </row>
    <row r="583" spans="1:33" ht="33" thickTop="1" thickBot="1">
      <c r="A583" s="2789">
        <v>4283</v>
      </c>
      <c r="B583" s="3018" t="s">
        <v>505</v>
      </c>
      <c r="C583" s="3019" t="s">
        <v>506</v>
      </c>
      <c r="D583" s="2791"/>
      <c r="E583" s="2789">
        <v>15</v>
      </c>
      <c r="F583" s="2982">
        <v>43255</v>
      </c>
      <c r="G583" s="2983">
        <f>+F583+E583-1</f>
        <v>43269</v>
      </c>
      <c r="H583" s="2792" t="s">
        <v>501</v>
      </c>
      <c r="I583" s="2789" t="s">
        <v>179</v>
      </c>
      <c r="J583" s="2793" t="s">
        <v>507</v>
      </c>
      <c r="K583" s="1124"/>
      <c r="L583" s="2783"/>
      <c r="M583" s="1124"/>
      <c r="N583" s="1703"/>
      <c r="O583" s="1846"/>
      <c r="P583" s="1848"/>
      <c r="Q583" s="1848"/>
      <c r="R583" s="1848"/>
      <c r="S583" s="1855"/>
      <c r="T583" s="1126"/>
      <c r="U583" s="1848"/>
      <c r="V583" s="1848"/>
      <c r="W583" s="1126"/>
      <c r="X583" s="2835"/>
      <c r="Y583" s="1126"/>
      <c r="Z583" s="1124"/>
      <c r="AA583" s="1124"/>
      <c r="AB583" s="1124"/>
      <c r="AC583" s="1124"/>
      <c r="AD583" s="1124"/>
      <c r="AE583" s="1124"/>
      <c r="AF583" s="1124"/>
      <c r="AG583" s="2355"/>
    </row>
    <row r="584" spans="1:33" ht="33" hidden="1" thickTop="1" thickBot="1">
      <c r="A584" s="294">
        <v>4283</v>
      </c>
      <c r="B584" s="1896" t="s">
        <v>505</v>
      </c>
      <c r="C584" s="1857" t="s">
        <v>506</v>
      </c>
      <c r="D584" s="326"/>
      <c r="E584" s="887">
        <v>15</v>
      </c>
      <c r="F584" s="1844">
        <v>43255</v>
      </c>
      <c r="G584" s="1845">
        <f t="shared" si="124"/>
        <v>43269</v>
      </c>
      <c r="H584" s="293" t="s">
        <v>501</v>
      </c>
      <c r="I584" s="294" t="s">
        <v>179</v>
      </c>
      <c r="J584" s="307" t="s">
        <v>507</v>
      </c>
      <c r="K584" s="326" t="s">
        <v>457</v>
      </c>
      <c r="L584" s="1788">
        <v>23174</v>
      </c>
      <c r="M584" s="326"/>
      <c r="N584" s="294"/>
      <c r="O584" s="1846">
        <v>17989.099333333332</v>
      </c>
      <c r="P584" s="1848">
        <v>1</v>
      </c>
      <c r="Q584" s="1848">
        <f>O584*P584</f>
        <v>17989.099333333332</v>
      </c>
      <c r="R584" s="1848"/>
      <c r="S584" s="1855"/>
      <c r="T584" s="355"/>
      <c r="U584" s="1848"/>
      <c r="V584" s="1848">
        <v>17989.099333333332</v>
      </c>
      <c r="W584" s="355"/>
      <c r="X584" s="1137"/>
      <c r="Y584" s="1126"/>
      <c r="Z584" s="1124"/>
      <c r="AA584" s="1124"/>
      <c r="AB584" s="1124"/>
      <c r="AC584" s="1124"/>
      <c r="AD584" s="1124"/>
      <c r="AE584" s="1124"/>
      <c r="AF584" s="1124"/>
      <c r="AG584" s="547">
        <f t="shared" si="125"/>
        <v>17989.099333333332</v>
      </c>
    </row>
    <row r="585" spans="1:33" ht="33" hidden="1" thickTop="1" thickBot="1">
      <c r="A585" s="294">
        <v>4283</v>
      </c>
      <c r="B585" s="1896" t="s">
        <v>505</v>
      </c>
      <c r="C585" s="1857" t="s">
        <v>506</v>
      </c>
      <c r="D585" s="326"/>
      <c r="E585" s="887">
        <v>15</v>
      </c>
      <c r="F585" s="1844">
        <v>43255</v>
      </c>
      <c r="G585" s="1845">
        <f t="shared" si="124"/>
        <v>43269</v>
      </c>
      <c r="H585" s="293" t="s">
        <v>501</v>
      </c>
      <c r="I585" s="294" t="s">
        <v>179</v>
      </c>
      <c r="J585" s="307" t="s">
        <v>507</v>
      </c>
      <c r="K585" s="326" t="s">
        <v>320</v>
      </c>
      <c r="L585" s="1788">
        <v>23173</v>
      </c>
      <c r="M585" s="326"/>
      <c r="N585" s="294"/>
      <c r="O585" s="1846">
        <v>1060.0740000000001</v>
      </c>
      <c r="P585" s="1848">
        <v>1</v>
      </c>
      <c r="Q585" s="1848">
        <f>O585*P585</f>
        <v>1060.0740000000001</v>
      </c>
      <c r="R585" s="1848"/>
      <c r="S585" s="1858"/>
      <c r="T585" s="355"/>
      <c r="U585" s="1848"/>
      <c r="V585" s="1848">
        <v>1060.0740000000001</v>
      </c>
      <c r="W585" s="355"/>
      <c r="X585" s="1137"/>
      <c r="Y585" s="1126"/>
      <c r="Z585" s="1124"/>
      <c r="AA585" s="1124"/>
      <c r="AB585" s="1124"/>
      <c r="AC585" s="1124"/>
      <c r="AD585" s="1124"/>
      <c r="AE585" s="1124"/>
      <c r="AF585" s="1124"/>
      <c r="AG585" s="547">
        <f t="shared" si="125"/>
        <v>1060.0740000000001</v>
      </c>
    </row>
    <row r="586" spans="1:33" ht="33" hidden="1" thickTop="1" thickBot="1">
      <c r="A586" s="294">
        <v>4283</v>
      </c>
      <c r="B586" s="1896" t="s">
        <v>505</v>
      </c>
      <c r="C586" s="1857" t="s">
        <v>506</v>
      </c>
      <c r="D586" s="326"/>
      <c r="E586" s="887">
        <v>15</v>
      </c>
      <c r="F586" s="1844">
        <v>43255</v>
      </c>
      <c r="G586" s="1845">
        <f t="shared" si="124"/>
        <v>43269</v>
      </c>
      <c r="H586" s="293" t="s">
        <v>501</v>
      </c>
      <c r="I586" s="294" t="s">
        <v>179</v>
      </c>
      <c r="J586" s="307" t="s">
        <v>507</v>
      </c>
      <c r="K586" s="326" t="s">
        <v>486</v>
      </c>
      <c r="L586" s="1788">
        <v>23173</v>
      </c>
      <c r="M586" s="326"/>
      <c r="N586" s="294"/>
      <c r="O586" s="1846">
        <v>33.333333333333336</v>
      </c>
      <c r="P586" s="1848">
        <v>12</v>
      </c>
      <c r="Q586" s="1848">
        <f>O586*P586</f>
        <v>400</v>
      </c>
      <c r="R586" s="1848"/>
      <c r="S586" s="1859"/>
      <c r="T586" s="355"/>
      <c r="U586" s="1848"/>
      <c r="V586" s="1848">
        <v>400</v>
      </c>
      <c r="W586" s="355"/>
      <c r="X586" s="1137"/>
      <c r="Y586" s="1126"/>
      <c r="Z586" s="1124"/>
      <c r="AA586" s="1124"/>
      <c r="AB586" s="1124"/>
      <c r="AC586" s="1124"/>
      <c r="AD586" s="1124"/>
      <c r="AE586" s="1124"/>
      <c r="AF586" s="1124"/>
      <c r="AG586" s="547">
        <f t="shared" si="125"/>
        <v>400</v>
      </c>
    </row>
    <row r="587" spans="1:33" ht="16.5" thickTop="1">
      <c r="A587" s="294">
        <v>4284</v>
      </c>
      <c r="B587" s="1728" t="s">
        <v>508</v>
      </c>
      <c r="C587" s="1724" t="s">
        <v>509</v>
      </c>
      <c r="D587" s="326"/>
      <c r="E587" s="294">
        <v>50</v>
      </c>
      <c r="F587" s="1844">
        <v>43186</v>
      </c>
      <c r="G587" s="1845">
        <f t="shared" si="124"/>
        <v>43235</v>
      </c>
      <c r="H587" s="293" t="s">
        <v>179</v>
      </c>
      <c r="I587" s="294" t="s">
        <v>169</v>
      </c>
      <c r="J587" s="307"/>
      <c r="K587" s="326" t="s">
        <v>510</v>
      </c>
      <c r="L587" s="1788">
        <v>2472</v>
      </c>
      <c r="M587" s="326"/>
      <c r="N587" s="294"/>
      <c r="O587" s="1846">
        <v>28275</v>
      </c>
      <c r="P587" s="1848">
        <v>2</v>
      </c>
      <c r="Q587" s="1848">
        <f>O587*P587</f>
        <v>56550</v>
      </c>
      <c r="R587" s="1848"/>
      <c r="S587" s="355"/>
      <c r="T587" s="355"/>
      <c r="U587" s="1848">
        <v>56550</v>
      </c>
      <c r="V587" s="1848"/>
      <c r="W587" s="355"/>
      <c r="X587" s="1137"/>
      <c r="Y587" s="1126"/>
      <c r="Z587" s="1124"/>
      <c r="AA587" s="1124"/>
      <c r="AB587" s="1124"/>
      <c r="AC587" s="1124"/>
      <c r="AD587" s="1124"/>
      <c r="AE587" s="1124"/>
      <c r="AF587" s="1124"/>
      <c r="AG587" s="547">
        <f t="shared" si="125"/>
        <v>56550</v>
      </c>
    </row>
    <row r="588" spans="1:33" ht="18.75" customHeight="1">
      <c r="A588" s="1248" t="s">
        <v>278</v>
      </c>
      <c r="B588" s="274"/>
      <c r="C588" s="278"/>
      <c r="D588" s="1270"/>
      <c r="E588" s="1270"/>
      <c r="F588" s="1270"/>
      <c r="G588" s="1270"/>
      <c r="H588" s="1270"/>
      <c r="I588" s="1270"/>
      <c r="J588" s="273"/>
      <c r="K588" s="1248"/>
      <c r="L588" s="1269"/>
      <c r="M588" s="1270"/>
      <c r="N588" s="1268"/>
      <c r="O588" s="1271"/>
      <c r="P588" s="1268"/>
      <c r="Q588" s="1273">
        <f>Q589+Q593</f>
        <v>108838</v>
      </c>
      <c r="R588" s="1273">
        <f>+'[7]Compil Costing PPA 3 millions'!F17</f>
        <v>108845.33</v>
      </c>
      <c r="S588" s="1272">
        <f t="shared" ref="S588:AG588" si="126">S589+S593</f>
        <v>0</v>
      </c>
      <c r="T588" s="1272">
        <f t="shared" si="126"/>
        <v>9674</v>
      </c>
      <c r="U588" s="1272">
        <f t="shared" si="126"/>
        <v>2250</v>
      </c>
      <c r="V588" s="1272">
        <f t="shared" si="126"/>
        <v>71084</v>
      </c>
      <c r="W588" s="1272">
        <f t="shared" si="126"/>
        <v>25830</v>
      </c>
      <c r="X588" s="1272">
        <f t="shared" si="126"/>
        <v>0</v>
      </c>
      <c r="Y588" s="1272">
        <f t="shared" si="126"/>
        <v>0</v>
      </c>
      <c r="Z588" s="276">
        <f t="shared" si="126"/>
        <v>0</v>
      </c>
      <c r="AA588" s="276">
        <f t="shared" si="126"/>
        <v>0</v>
      </c>
      <c r="AB588" s="276">
        <f t="shared" si="126"/>
        <v>0</v>
      </c>
      <c r="AC588" s="276">
        <f t="shared" si="126"/>
        <v>0</v>
      </c>
      <c r="AD588" s="276">
        <f t="shared" si="126"/>
        <v>0</v>
      </c>
      <c r="AE588" s="276">
        <f t="shared" si="126"/>
        <v>0</v>
      </c>
      <c r="AF588" s="276">
        <f t="shared" si="126"/>
        <v>0</v>
      </c>
      <c r="AG588" s="1273">
        <f t="shared" si="126"/>
        <v>108838</v>
      </c>
    </row>
    <row r="589" spans="1:33">
      <c r="A589" s="1275">
        <v>431</v>
      </c>
      <c r="B589" s="359" t="s">
        <v>369</v>
      </c>
      <c r="C589" s="1021"/>
      <c r="D589" s="1280"/>
      <c r="E589" s="1280"/>
      <c r="F589" s="1280"/>
      <c r="G589" s="1280"/>
      <c r="H589" s="1280"/>
      <c r="I589" s="1280"/>
      <c r="J589" s="283"/>
      <c r="K589" s="1278"/>
      <c r="L589" s="1279"/>
      <c r="M589" s="1280"/>
      <c r="N589" s="1277"/>
      <c r="O589" s="1281"/>
      <c r="P589" s="1277"/>
      <c r="Q589" s="547">
        <f>SUM(Q591:Q592)</f>
        <v>9674</v>
      </c>
      <c r="R589" s="287"/>
      <c r="S589" s="1395">
        <f t="shared" ref="S589:AF589" si="127">SUM(S591:S592)</f>
        <v>0</v>
      </c>
      <c r="T589" s="1395">
        <f t="shared" si="127"/>
        <v>9674</v>
      </c>
      <c r="U589" s="1395">
        <f t="shared" si="127"/>
        <v>0</v>
      </c>
      <c r="V589" s="1395">
        <f t="shared" si="127"/>
        <v>0</v>
      </c>
      <c r="W589" s="1395">
        <f t="shared" si="127"/>
        <v>0</v>
      </c>
      <c r="X589" s="1395">
        <f t="shared" si="127"/>
        <v>0</v>
      </c>
      <c r="Y589" s="1395">
        <f t="shared" si="127"/>
        <v>0</v>
      </c>
      <c r="Z589" s="361">
        <f t="shared" si="127"/>
        <v>0</v>
      </c>
      <c r="AA589" s="361">
        <f t="shared" si="127"/>
        <v>0</v>
      </c>
      <c r="AB589" s="361">
        <f t="shared" si="127"/>
        <v>0</v>
      </c>
      <c r="AC589" s="361">
        <f t="shared" si="127"/>
        <v>0</v>
      </c>
      <c r="AD589" s="361">
        <f t="shared" si="127"/>
        <v>0</v>
      </c>
      <c r="AE589" s="361">
        <f t="shared" si="127"/>
        <v>0</v>
      </c>
      <c r="AF589" s="361">
        <f t="shared" si="127"/>
        <v>0</v>
      </c>
      <c r="AG589" s="547">
        <f>SUM(S589:AF589)</f>
        <v>9674</v>
      </c>
    </row>
    <row r="590" spans="1:33" ht="63">
      <c r="A590" s="2789">
        <v>4311</v>
      </c>
      <c r="B590" s="2864" t="s">
        <v>370</v>
      </c>
      <c r="C590" s="2790" t="s">
        <v>371</v>
      </c>
      <c r="D590" s="2791"/>
      <c r="E590" s="2789">
        <f>3+30</f>
        <v>33</v>
      </c>
      <c r="F590" s="2792">
        <f>G590-E590</f>
        <v>43184</v>
      </c>
      <c r="G590" s="2792">
        <v>43217</v>
      </c>
      <c r="H590" s="2792" t="s">
        <v>372</v>
      </c>
      <c r="I590" s="2789" t="s">
        <v>169</v>
      </c>
      <c r="J590" s="2793" t="s">
        <v>373</v>
      </c>
      <c r="K590" s="1432"/>
      <c r="L590" s="1433"/>
      <c r="M590" s="1430"/>
      <c r="N590" s="1431"/>
      <c r="O590" s="1434"/>
      <c r="P590" s="1431"/>
      <c r="Q590" s="2355"/>
      <c r="R590" s="1133"/>
      <c r="S590" s="1435"/>
      <c r="T590" s="1435"/>
      <c r="U590" s="1435"/>
      <c r="V590" s="1435"/>
      <c r="W590" s="1435"/>
      <c r="X590" s="3021"/>
      <c r="Y590" s="1435"/>
      <c r="Z590" s="1132"/>
      <c r="AA590" s="1132"/>
      <c r="AB590" s="1132"/>
      <c r="AC590" s="1132"/>
      <c r="AD590" s="1132"/>
      <c r="AE590" s="1132"/>
      <c r="AF590" s="1132"/>
      <c r="AG590" s="2355"/>
    </row>
    <row r="591" spans="1:33" ht="63" hidden="1">
      <c r="A591" s="2789">
        <v>4311</v>
      </c>
      <c r="B591" s="2864" t="s">
        <v>370</v>
      </c>
      <c r="C591" s="2790" t="s">
        <v>371</v>
      </c>
      <c r="D591" s="2791"/>
      <c r="E591" s="2789">
        <f>3+30</f>
        <v>33</v>
      </c>
      <c r="F591" s="2792">
        <f>G591-E591</f>
        <v>43184</v>
      </c>
      <c r="G591" s="2792">
        <v>43217</v>
      </c>
      <c r="H591" s="2792" t="s">
        <v>372</v>
      </c>
      <c r="I591" s="2789" t="s">
        <v>169</v>
      </c>
      <c r="J591" s="2793" t="s">
        <v>373</v>
      </c>
      <c r="K591" s="326" t="s">
        <v>374</v>
      </c>
      <c r="L591" s="1237">
        <v>23173</v>
      </c>
      <c r="M591" s="326"/>
      <c r="N591" s="294"/>
      <c r="O591" s="354">
        <v>214</v>
      </c>
      <c r="P591" s="294">
        <v>1</v>
      </c>
      <c r="Q591" s="299">
        <f>O591*P591</f>
        <v>214</v>
      </c>
      <c r="R591" s="299"/>
      <c r="S591" s="355"/>
      <c r="T591" s="299">
        <v>214</v>
      </c>
      <c r="U591" s="355"/>
      <c r="V591" s="355"/>
      <c r="W591" s="355"/>
      <c r="X591" s="1137"/>
      <c r="Y591" s="1126"/>
      <c r="Z591" s="1199"/>
      <c r="AA591" s="1124"/>
      <c r="AB591" s="1124"/>
      <c r="AC591" s="1124"/>
      <c r="AD591" s="1124"/>
      <c r="AE591" s="1124"/>
      <c r="AF591" s="1124"/>
      <c r="AG591" s="547">
        <f>SUM(S591:AF591)</f>
        <v>214</v>
      </c>
    </row>
    <row r="592" spans="1:33" ht="63" hidden="1">
      <c r="A592" s="2789">
        <v>4311</v>
      </c>
      <c r="B592" s="2864" t="s">
        <v>370</v>
      </c>
      <c r="C592" s="2790" t="s">
        <v>371</v>
      </c>
      <c r="D592" s="2791"/>
      <c r="E592" s="2789">
        <v>3</v>
      </c>
      <c r="F592" s="2792">
        <f>G592-E592</f>
        <v>43214</v>
      </c>
      <c r="G592" s="2792">
        <v>43217</v>
      </c>
      <c r="H592" s="2792" t="s">
        <v>372</v>
      </c>
      <c r="I592" s="2789" t="s">
        <v>180</v>
      </c>
      <c r="J592" s="2793" t="s">
        <v>373</v>
      </c>
      <c r="K592" s="326" t="s">
        <v>375</v>
      </c>
      <c r="L592" s="1237">
        <v>23174</v>
      </c>
      <c r="M592" s="326"/>
      <c r="N592" s="294"/>
      <c r="O592" s="354">
        <v>215</v>
      </c>
      <c r="P592" s="294">
        <v>44</v>
      </c>
      <c r="Q592" s="299">
        <f>O592*P592</f>
        <v>9460</v>
      </c>
      <c r="R592" s="299"/>
      <c r="S592" s="355"/>
      <c r="T592" s="299">
        <v>9460</v>
      </c>
      <c r="U592" s="355"/>
      <c r="V592" s="355"/>
      <c r="W592" s="355"/>
      <c r="X592" s="1137"/>
      <c r="Y592" s="1126"/>
      <c r="Z592" s="1199"/>
      <c r="AA592" s="1124"/>
      <c r="AB592" s="1124"/>
      <c r="AC592" s="1124"/>
      <c r="AD592" s="1124"/>
      <c r="AE592" s="1124"/>
      <c r="AF592" s="1124"/>
      <c r="AG592" s="547">
        <f>SUM(S592:AF592)</f>
        <v>9460</v>
      </c>
    </row>
    <row r="593" spans="1:33">
      <c r="A593" s="1275">
        <v>432</v>
      </c>
      <c r="B593" s="359" t="s">
        <v>376</v>
      </c>
      <c r="C593" s="1021"/>
      <c r="D593" s="1280"/>
      <c r="E593" s="1280"/>
      <c r="F593" s="1280"/>
      <c r="G593" s="1280"/>
      <c r="H593" s="1280"/>
      <c r="I593" s="1280"/>
      <c r="J593" s="283"/>
      <c r="K593" s="1278"/>
      <c r="L593" s="1279"/>
      <c r="M593" s="1280"/>
      <c r="N593" s="1277"/>
      <c r="O593" s="1281"/>
      <c r="P593" s="1277"/>
      <c r="Q593" s="547">
        <f>SUM(Q594:Q605)</f>
        <v>99164</v>
      </c>
      <c r="R593" s="287"/>
      <c r="S593" s="1395">
        <f t="shared" ref="S593:AF593" si="128">SUM(S594:S605)</f>
        <v>0</v>
      </c>
      <c r="T593" s="1395">
        <f t="shared" si="128"/>
        <v>0</v>
      </c>
      <c r="U593" s="1395">
        <f t="shared" si="128"/>
        <v>2250</v>
      </c>
      <c r="V593" s="1395">
        <f t="shared" si="128"/>
        <v>71084</v>
      </c>
      <c r="W593" s="1395">
        <f t="shared" si="128"/>
        <v>25830</v>
      </c>
      <c r="X593" s="1395">
        <f t="shared" si="128"/>
        <v>0</v>
      </c>
      <c r="Y593" s="1395">
        <f t="shared" si="128"/>
        <v>0</v>
      </c>
      <c r="Z593" s="361">
        <f t="shared" si="128"/>
        <v>0</v>
      </c>
      <c r="AA593" s="361">
        <f t="shared" si="128"/>
        <v>0</v>
      </c>
      <c r="AB593" s="361">
        <f t="shared" si="128"/>
        <v>0</v>
      </c>
      <c r="AC593" s="361">
        <f t="shared" si="128"/>
        <v>0</v>
      </c>
      <c r="AD593" s="361">
        <f t="shared" si="128"/>
        <v>0</v>
      </c>
      <c r="AE593" s="361">
        <f t="shared" si="128"/>
        <v>0</v>
      </c>
      <c r="AF593" s="361">
        <f t="shared" si="128"/>
        <v>0</v>
      </c>
      <c r="AG593" s="547">
        <f>SUM(S593:AF593)</f>
        <v>99164</v>
      </c>
    </row>
    <row r="594" spans="1:33" ht="51" customHeight="1">
      <c r="A594" s="2789">
        <v>4321</v>
      </c>
      <c r="B594" s="2864" t="s">
        <v>377</v>
      </c>
      <c r="C594" s="2999" t="s">
        <v>1014</v>
      </c>
      <c r="D594" s="2791"/>
      <c r="E594" s="2789">
        <f>60+15</f>
        <v>75</v>
      </c>
      <c r="F594" s="2792">
        <f t="shared" ref="F594:F605" si="129">G594-E594</f>
        <v>43188</v>
      </c>
      <c r="G594" s="2792">
        <v>43263</v>
      </c>
      <c r="H594" s="2792"/>
      <c r="I594" s="2789" t="s">
        <v>169</v>
      </c>
      <c r="J594" s="2793" t="s">
        <v>180</v>
      </c>
      <c r="K594" s="326" t="s">
        <v>365</v>
      </c>
      <c r="L594" s="1237">
        <v>2313</v>
      </c>
      <c r="M594" s="326"/>
      <c r="N594" s="294"/>
      <c r="O594" s="354">
        <v>11250</v>
      </c>
      <c r="P594" s="294">
        <v>1</v>
      </c>
      <c r="Q594" s="299">
        <f t="shared" ref="Q594:Q605" si="130">O594*P594</f>
        <v>11250</v>
      </c>
      <c r="R594" s="299"/>
      <c r="S594" s="299"/>
      <c r="T594" s="299"/>
      <c r="U594" s="299">
        <v>2250</v>
      </c>
      <c r="V594" s="299">
        <v>4500</v>
      </c>
      <c r="W594" s="299">
        <v>4500</v>
      </c>
      <c r="X594" s="1142"/>
      <c r="Y594" s="1127"/>
      <c r="Z594" s="1199"/>
      <c r="AA594" s="1124"/>
      <c r="AB594" s="1124"/>
      <c r="AC594" s="1124"/>
      <c r="AD594" s="1124"/>
      <c r="AE594" s="1124"/>
      <c r="AF594" s="1124"/>
      <c r="AG594" s="547">
        <f t="shared" ref="AG594:AG605" si="131">SUM(S594:AF594)</f>
        <v>11250</v>
      </c>
    </row>
    <row r="595" spans="1:33" ht="42" customHeight="1">
      <c r="A595" s="2789">
        <v>4322</v>
      </c>
      <c r="B595" s="2864" t="s">
        <v>379</v>
      </c>
      <c r="C595" s="2999" t="s">
        <v>1015</v>
      </c>
      <c r="D595" s="2791"/>
      <c r="E595" s="2789">
        <v>20</v>
      </c>
      <c r="F595" s="2792">
        <f t="shared" si="129"/>
        <v>43266</v>
      </c>
      <c r="G595" s="2792">
        <v>43286</v>
      </c>
      <c r="H595" s="2792" t="s">
        <v>372</v>
      </c>
      <c r="I595" s="2789" t="s">
        <v>169</v>
      </c>
      <c r="J595" s="2793" t="s">
        <v>180</v>
      </c>
      <c r="K595" s="326" t="s">
        <v>365</v>
      </c>
      <c r="L595" s="1237">
        <v>2313</v>
      </c>
      <c r="M595" s="326"/>
      <c r="N595" s="294"/>
      <c r="O595" s="354">
        <v>94</v>
      </c>
      <c r="P595" s="294">
        <v>60</v>
      </c>
      <c r="Q595" s="299">
        <f t="shared" si="130"/>
        <v>5640</v>
      </c>
      <c r="R595" s="299"/>
      <c r="S595" s="299"/>
      <c r="T595" s="299"/>
      <c r="U595" s="299"/>
      <c r="V595" s="299">
        <v>5640</v>
      </c>
      <c r="W595" s="299"/>
      <c r="X595" s="1142"/>
      <c r="Y595" s="1127"/>
      <c r="Z595" s="1199"/>
      <c r="AA595" s="1124"/>
      <c r="AB595" s="1124"/>
      <c r="AC595" s="1124"/>
      <c r="AD595" s="1124"/>
      <c r="AE595" s="1124"/>
      <c r="AF595" s="1124"/>
      <c r="AG595" s="547">
        <f t="shared" si="131"/>
        <v>5640</v>
      </c>
    </row>
    <row r="596" spans="1:33" ht="36" customHeight="1">
      <c r="A596" s="2789">
        <v>4323</v>
      </c>
      <c r="B596" s="2864" t="s">
        <v>1007</v>
      </c>
      <c r="C596" s="2999" t="s">
        <v>382</v>
      </c>
      <c r="D596" s="2791"/>
      <c r="E596" s="2789">
        <v>3</v>
      </c>
      <c r="F596" s="2792">
        <f>G596-E596</f>
        <v>43293</v>
      </c>
      <c r="G596" s="2792">
        <v>43296</v>
      </c>
      <c r="H596" s="2792" t="s">
        <v>372</v>
      </c>
      <c r="I596" s="2789" t="s">
        <v>180</v>
      </c>
      <c r="J596" s="3022"/>
      <c r="K596" s="1124"/>
      <c r="L596" s="1704"/>
      <c r="M596" s="1124"/>
      <c r="N596" s="1703"/>
      <c r="O596" s="1125"/>
      <c r="P596" s="1703"/>
      <c r="Q596" s="1127"/>
      <c r="R596" s="1127"/>
      <c r="S596" s="1127"/>
      <c r="T596" s="1127"/>
      <c r="U596" s="1127"/>
      <c r="V596" s="1127"/>
      <c r="W596" s="1127"/>
      <c r="X596" s="3023"/>
      <c r="Y596" s="1127"/>
      <c r="Z596" s="1199"/>
      <c r="AA596" s="1124"/>
      <c r="AB596" s="1124"/>
      <c r="AC596" s="1124"/>
      <c r="AD596" s="1124"/>
      <c r="AE596" s="1124"/>
      <c r="AF596" s="1124"/>
      <c r="AG596" s="2355"/>
    </row>
    <row r="597" spans="1:33" hidden="1">
      <c r="A597" s="887">
        <v>4323</v>
      </c>
      <c r="B597" s="876" t="s">
        <v>1007</v>
      </c>
      <c r="C597" s="1093" t="s">
        <v>382</v>
      </c>
      <c r="D597" s="1094"/>
      <c r="E597" s="887">
        <v>3</v>
      </c>
      <c r="F597" s="1016">
        <f t="shared" si="129"/>
        <v>43293</v>
      </c>
      <c r="G597" s="1016">
        <v>43296</v>
      </c>
      <c r="H597" s="1016" t="s">
        <v>372</v>
      </c>
      <c r="I597" s="887" t="s">
        <v>180</v>
      </c>
      <c r="J597" s="475"/>
      <c r="K597" s="326" t="s">
        <v>383</v>
      </c>
      <c r="L597" s="1237">
        <v>23174</v>
      </c>
      <c r="M597" s="326"/>
      <c r="N597" s="294"/>
      <c r="O597" s="354">
        <v>142</v>
      </c>
      <c r="P597" s="294">
        <v>144</v>
      </c>
      <c r="Q597" s="299">
        <f t="shared" si="130"/>
        <v>20448</v>
      </c>
      <c r="R597" s="299"/>
      <c r="S597" s="299"/>
      <c r="T597" s="299"/>
      <c r="U597" s="299"/>
      <c r="V597" s="299"/>
      <c r="W597" s="299">
        <v>20448</v>
      </c>
      <c r="X597" s="1142"/>
      <c r="Y597" s="1127"/>
      <c r="Z597" s="1199"/>
      <c r="AA597" s="1124"/>
      <c r="AB597" s="1124"/>
      <c r="AC597" s="1124"/>
      <c r="AD597" s="1124"/>
      <c r="AE597" s="1124"/>
      <c r="AF597" s="1124"/>
      <c r="AG597" s="547">
        <f t="shared" si="131"/>
        <v>20448</v>
      </c>
    </row>
    <row r="598" spans="1:33" hidden="1">
      <c r="A598" s="887">
        <v>4323</v>
      </c>
      <c r="B598" s="876" t="s">
        <v>1007</v>
      </c>
      <c r="C598" s="1093" t="s">
        <v>382</v>
      </c>
      <c r="D598" s="1094"/>
      <c r="E598" s="887">
        <f>3+30</f>
        <v>33</v>
      </c>
      <c r="F598" s="1016">
        <f t="shared" si="129"/>
        <v>43263</v>
      </c>
      <c r="G598" s="1016">
        <v>43296</v>
      </c>
      <c r="H598" s="1016" t="s">
        <v>372</v>
      </c>
      <c r="I598" s="887" t="s">
        <v>169</v>
      </c>
      <c r="J598" s="475"/>
      <c r="K598" s="326" t="s">
        <v>384</v>
      </c>
      <c r="L598" s="1237">
        <v>23173</v>
      </c>
      <c r="M598" s="326"/>
      <c r="N598" s="294"/>
      <c r="O598" s="354">
        <v>147</v>
      </c>
      <c r="P598" s="294">
        <v>6</v>
      </c>
      <c r="Q598" s="299">
        <f t="shared" si="130"/>
        <v>882</v>
      </c>
      <c r="R598" s="299"/>
      <c r="S598" s="299"/>
      <c r="T598" s="299"/>
      <c r="U598" s="299"/>
      <c r="V598" s="299"/>
      <c r="W598" s="299">
        <v>882</v>
      </c>
      <c r="X598" s="1142"/>
      <c r="Y598" s="1127"/>
      <c r="Z598" s="1199"/>
      <c r="AA598" s="1124"/>
      <c r="AB598" s="1124"/>
      <c r="AC598" s="1124"/>
      <c r="AD598" s="1124"/>
      <c r="AE598" s="1124"/>
      <c r="AF598" s="1124"/>
      <c r="AG598" s="547">
        <f t="shared" si="131"/>
        <v>882</v>
      </c>
    </row>
    <row r="599" spans="1:33" ht="47.25" hidden="1">
      <c r="A599" s="2789">
        <v>4324</v>
      </c>
      <c r="B599" s="2864" t="s">
        <v>385</v>
      </c>
      <c r="C599" s="2999" t="s">
        <v>386</v>
      </c>
      <c r="D599" s="2791"/>
      <c r="E599" s="2789">
        <f>10+45</f>
        <v>55</v>
      </c>
      <c r="F599" s="2792">
        <f>G599-E599</f>
        <v>43211</v>
      </c>
      <c r="G599" s="2792">
        <v>43266</v>
      </c>
      <c r="H599" s="2792" t="s">
        <v>390</v>
      </c>
      <c r="I599" s="2789" t="s">
        <v>169</v>
      </c>
      <c r="J599" s="2793" t="s">
        <v>387</v>
      </c>
      <c r="K599" s="1124"/>
      <c r="L599" s="1704"/>
      <c r="M599" s="1124"/>
      <c r="N599" s="1703"/>
      <c r="O599" s="1125"/>
      <c r="P599" s="1703"/>
      <c r="Q599" s="1127"/>
      <c r="R599" s="1127"/>
      <c r="S599" s="1127"/>
      <c r="T599" s="1127"/>
      <c r="U599" s="1127"/>
      <c r="V599" s="1127"/>
      <c r="W599" s="1127"/>
      <c r="X599" s="3023"/>
      <c r="Y599" s="1127"/>
      <c r="Z599" s="1199"/>
      <c r="AA599" s="1124"/>
      <c r="AB599" s="1124"/>
      <c r="AC599" s="1124"/>
      <c r="AD599" s="1124"/>
      <c r="AE599" s="1124"/>
      <c r="AF599" s="1124"/>
      <c r="AG599" s="2355"/>
    </row>
    <row r="600" spans="1:33" ht="47.25" hidden="1">
      <c r="A600" s="2789">
        <v>4324</v>
      </c>
      <c r="B600" s="2864" t="s">
        <v>385</v>
      </c>
      <c r="C600" s="2999" t="s">
        <v>386</v>
      </c>
      <c r="D600" s="2791"/>
      <c r="E600" s="2789">
        <f>10+45</f>
        <v>55</v>
      </c>
      <c r="F600" s="2792">
        <f t="shared" si="129"/>
        <v>43211</v>
      </c>
      <c r="G600" s="2792">
        <v>43266</v>
      </c>
      <c r="H600" s="2792" t="s">
        <v>390</v>
      </c>
      <c r="I600" s="2789" t="s">
        <v>169</v>
      </c>
      <c r="J600" s="2793" t="s">
        <v>387</v>
      </c>
      <c r="K600" s="820" t="s">
        <v>388</v>
      </c>
      <c r="L600" s="1237">
        <v>23173</v>
      </c>
      <c r="M600" s="326"/>
      <c r="N600" s="294"/>
      <c r="O600" s="354">
        <v>469</v>
      </c>
      <c r="P600" s="294">
        <v>22</v>
      </c>
      <c r="Q600" s="299">
        <f t="shared" si="130"/>
        <v>10318</v>
      </c>
      <c r="R600" s="299"/>
      <c r="S600" s="299"/>
      <c r="T600" s="299"/>
      <c r="U600" s="299"/>
      <c r="V600" s="299">
        <v>10318</v>
      </c>
      <c r="W600" s="299"/>
      <c r="X600" s="1142"/>
      <c r="Y600" s="1127"/>
      <c r="Z600" s="1199"/>
      <c r="AA600" s="1124"/>
      <c r="AB600" s="1124"/>
      <c r="AC600" s="1124"/>
      <c r="AD600" s="1124"/>
      <c r="AE600" s="1124"/>
      <c r="AF600" s="1124"/>
      <c r="AG600" s="547">
        <f t="shared" si="131"/>
        <v>10318</v>
      </c>
    </row>
    <row r="601" spans="1:33" ht="47.25" hidden="1">
      <c r="A601" s="2789">
        <v>4324</v>
      </c>
      <c r="B601" s="2864" t="s">
        <v>385</v>
      </c>
      <c r="C601" s="2999" t="s">
        <v>386</v>
      </c>
      <c r="D601" s="2791"/>
      <c r="E601" s="2789">
        <f>10+45</f>
        <v>55</v>
      </c>
      <c r="F601" s="2792">
        <f t="shared" si="129"/>
        <v>43211</v>
      </c>
      <c r="G601" s="2792">
        <v>43266</v>
      </c>
      <c r="H601" s="2792" t="s">
        <v>390</v>
      </c>
      <c r="I601" s="2789" t="s">
        <v>169</v>
      </c>
      <c r="J601" s="2793" t="s">
        <v>387</v>
      </c>
      <c r="K601" s="820" t="s">
        <v>392</v>
      </c>
      <c r="L601" s="1237">
        <v>23174</v>
      </c>
      <c r="M601" s="326"/>
      <c r="N601" s="294"/>
      <c r="O601" s="354">
        <v>313</v>
      </c>
      <c r="P601" s="294">
        <v>22</v>
      </c>
      <c r="Q601" s="299">
        <f t="shared" si="130"/>
        <v>6886</v>
      </c>
      <c r="R601" s="299"/>
      <c r="S601" s="299"/>
      <c r="T601" s="299"/>
      <c r="U601" s="299"/>
      <c r="V601" s="299">
        <v>6886</v>
      </c>
      <c r="W601" s="299"/>
      <c r="X601" s="1142"/>
      <c r="Y601" s="1127"/>
      <c r="Z601" s="1199"/>
      <c r="AA601" s="1124"/>
      <c r="AB601" s="1124"/>
      <c r="AC601" s="1124"/>
      <c r="AD601" s="1124"/>
      <c r="AE601" s="1124"/>
      <c r="AF601" s="1124"/>
      <c r="AG601" s="547">
        <f t="shared" si="131"/>
        <v>6886</v>
      </c>
    </row>
    <row r="602" spans="1:33" ht="47.25" hidden="1">
      <c r="A602" s="2789">
        <v>4324</v>
      </c>
      <c r="B602" s="2864" t="s">
        <v>385</v>
      </c>
      <c r="C602" s="2999" t="s">
        <v>386</v>
      </c>
      <c r="D602" s="2791"/>
      <c r="E602" s="2789">
        <v>10</v>
      </c>
      <c r="F602" s="2792">
        <f t="shared" si="129"/>
        <v>43256</v>
      </c>
      <c r="G602" s="2792">
        <v>43266</v>
      </c>
      <c r="H602" s="2792" t="s">
        <v>396</v>
      </c>
      <c r="I602" s="2789" t="s">
        <v>180</v>
      </c>
      <c r="J602" s="2793" t="s">
        <v>387</v>
      </c>
      <c r="K602" s="326" t="s">
        <v>1050</v>
      </c>
      <c r="L602" s="1237">
        <v>23174</v>
      </c>
      <c r="M602" s="326"/>
      <c r="N602" s="294"/>
      <c r="O602" s="354">
        <v>240</v>
      </c>
      <c r="P602" s="294">
        <v>88</v>
      </c>
      <c r="Q602" s="299">
        <f t="shared" si="130"/>
        <v>21120</v>
      </c>
      <c r="R602" s="299"/>
      <c r="S602" s="299"/>
      <c r="T602" s="299"/>
      <c r="U602" s="299"/>
      <c r="V602" s="299">
        <v>21120</v>
      </c>
      <c r="W602" s="299"/>
      <c r="X602" s="1142"/>
      <c r="Y602" s="1127"/>
      <c r="Z602" s="1199"/>
      <c r="AA602" s="1124"/>
      <c r="AB602" s="1124"/>
      <c r="AC602" s="1124"/>
      <c r="AD602" s="1124"/>
      <c r="AE602" s="1124"/>
      <c r="AF602" s="1124"/>
      <c r="AG602" s="547">
        <f t="shared" si="131"/>
        <v>21120</v>
      </c>
    </row>
    <row r="603" spans="1:33" ht="47.25" hidden="1">
      <c r="A603" s="2789">
        <v>4324</v>
      </c>
      <c r="B603" s="2864" t="s">
        <v>385</v>
      </c>
      <c r="C603" s="2999" t="s">
        <v>386</v>
      </c>
      <c r="D603" s="2791"/>
      <c r="E603" s="2789">
        <f>10+45</f>
        <v>55</v>
      </c>
      <c r="F603" s="2792">
        <f t="shared" si="129"/>
        <v>43211</v>
      </c>
      <c r="G603" s="2792">
        <v>43266</v>
      </c>
      <c r="H603" s="2792" t="s">
        <v>390</v>
      </c>
      <c r="I603" s="2789" t="s">
        <v>169</v>
      </c>
      <c r="J603" s="2793" t="s">
        <v>387</v>
      </c>
      <c r="K603" s="326" t="s">
        <v>1049</v>
      </c>
      <c r="L603" s="1237">
        <v>23173</v>
      </c>
      <c r="M603" s="326"/>
      <c r="N603" s="294"/>
      <c r="O603" s="354">
        <v>313</v>
      </c>
      <c r="P603" s="294">
        <v>22</v>
      </c>
      <c r="Q603" s="299">
        <f t="shared" si="130"/>
        <v>6886</v>
      </c>
      <c r="R603" s="299"/>
      <c r="S603" s="299"/>
      <c r="T603" s="299"/>
      <c r="U603" s="299"/>
      <c r="V603" s="299">
        <v>6886</v>
      </c>
      <c r="W603" s="299"/>
      <c r="X603" s="1142"/>
      <c r="Y603" s="1127"/>
      <c r="Z603" s="1199"/>
      <c r="AA603" s="1124"/>
      <c r="AB603" s="1124"/>
      <c r="AC603" s="1124"/>
      <c r="AD603" s="1124"/>
      <c r="AE603" s="1124"/>
      <c r="AF603" s="1124"/>
      <c r="AG603" s="547">
        <f t="shared" si="131"/>
        <v>6886</v>
      </c>
    </row>
    <row r="604" spans="1:33" ht="78.75">
      <c r="A604" s="998">
        <v>4325</v>
      </c>
      <c r="B604" s="2864" t="s">
        <v>400</v>
      </c>
      <c r="C604" s="2790" t="s">
        <v>401</v>
      </c>
      <c r="D604" s="2791"/>
      <c r="E604" s="2789">
        <f>45+10</f>
        <v>55</v>
      </c>
      <c r="F604" s="2792">
        <f t="shared" si="129"/>
        <v>43211</v>
      </c>
      <c r="G604" s="2792">
        <v>43266</v>
      </c>
      <c r="H604" s="2792" t="s">
        <v>390</v>
      </c>
      <c r="I604" s="2789" t="s">
        <v>169</v>
      </c>
      <c r="J604" s="307"/>
      <c r="K604" s="326" t="s">
        <v>384</v>
      </c>
      <c r="L604" s="1237">
        <v>23173</v>
      </c>
      <c r="M604" s="326"/>
      <c r="N604" s="294"/>
      <c r="O604" s="354">
        <v>577</v>
      </c>
      <c r="P604" s="294">
        <v>22</v>
      </c>
      <c r="Q604" s="299">
        <f t="shared" si="130"/>
        <v>12694</v>
      </c>
      <c r="R604" s="299"/>
      <c r="S604" s="299"/>
      <c r="T604" s="299"/>
      <c r="U604" s="299"/>
      <c r="V604" s="299">
        <v>12694</v>
      </c>
      <c r="W604" s="299"/>
      <c r="X604" s="1142"/>
      <c r="Y604" s="1127"/>
      <c r="Z604" s="1199"/>
      <c r="AA604" s="1124"/>
      <c r="AB604" s="1124"/>
      <c r="AC604" s="1124"/>
      <c r="AD604" s="1124"/>
      <c r="AE604" s="1124"/>
      <c r="AF604" s="1124"/>
      <c r="AG604" s="547">
        <f t="shared" si="131"/>
        <v>12694</v>
      </c>
    </row>
    <row r="605" spans="1:33" ht="24.75" customHeight="1">
      <c r="A605" s="998">
        <v>4326</v>
      </c>
      <c r="B605" s="2790" t="s">
        <v>402</v>
      </c>
      <c r="C605" s="2999" t="s">
        <v>403</v>
      </c>
      <c r="D605" s="2791"/>
      <c r="E605" s="2789">
        <f>3+30</f>
        <v>33</v>
      </c>
      <c r="F605" s="2792">
        <f t="shared" si="129"/>
        <v>43233</v>
      </c>
      <c r="G605" s="2792">
        <v>43266</v>
      </c>
      <c r="H605" s="2792" t="s">
        <v>372</v>
      </c>
      <c r="I605" s="2789" t="s">
        <v>180</v>
      </c>
      <c r="J605" s="307"/>
      <c r="K605" s="326" t="s">
        <v>384</v>
      </c>
      <c r="L605" s="1237">
        <v>23173</v>
      </c>
      <c r="M605" s="326"/>
      <c r="N605" s="294"/>
      <c r="O605" s="354">
        <v>47.5</v>
      </c>
      <c r="P605" s="294">
        <v>64</v>
      </c>
      <c r="Q605" s="299">
        <f t="shared" si="130"/>
        <v>3040</v>
      </c>
      <c r="R605" s="299"/>
      <c r="S605" s="299"/>
      <c r="T605" s="299"/>
      <c r="U605" s="299"/>
      <c r="V605" s="299">
        <v>3040</v>
      </c>
      <c r="W605" s="299"/>
      <c r="X605" s="1142"/>
      <c r="Y605" s="1127"/>
      <c r="Z605" s="1199"/>
      <c r="AA605" s="1124"/>
      <c r="AB605" s="1124"/>
      <c r="AC605" s="1124"/>
      <c r="AD605" s="1124"/>
      <c r="AE605" s="1124"/>
      <c r="AF605" s="1124"/>
      <c r="AG605" s="547">
        <f t="shared" si="131"/>
        <v>3040</v>
      </c>
    </row>
    <row r="606" spans="1:33">
      <c r="A606" s="3399" t="s">
        <v>997</v>
      </c>
      <c r="B606" s="3399"/>
      <c r="C606" s="3399"/>
      <c r="D606" s="3399"/>
      <c r="E606" s="3399"/>
      <c r="F606" s="3399"/>
      <c r="G606" s="3399"/>
      <c r="H606" s="3399"/>
      <c r="I606" s="3399"/>
      <c r="J606" s="1213"/>
      <c r="K606" s="2247"/>
      <c r="L606" s="1213"/>
      <c r="M606" s="1215"/>
      <c r="N606" s="1213"/>
      <c r="O606" s="1216"/>
      <c r="P606" s="1213"/>
      <c r="Q606" s="1218">
        <f>+Q607+Q610</f>
        <v>466696.17</v>
      </c>
      <c r="R606" s="1218">
        <f>466727+0.24</f>
        <v>466727.24</v>
      </c>
      <c r="S606" s="1217">
        <f>SUM(S607:S629)</f>
        <v>0</v>
      </c>
      <c r="T606" s="1217">
        <f>SUM(T607:T629)</f>
        <v>0</v>
      </c>
      <c r="U606" s="1217">
        <f>+U607+U610</f>
        <v>95387.5</v>
      </c>
      <c r="V606" s="1217">
        <f>+V607+V610</f>
        <v>160950</v>
      </c>
      <c r="W606" s="1217">
        <f>+W607+W610</f>
        <v>46023.67</v>
      </c>
      <c r="X606" s="1217">
        <f>+X607+X610</f>
        <v>128947.5</v>
      </c>
      <c r="Y606" s="1217">
        <f>+Y607+Y610</f>
        <v>35387.5</v>
      </c>
      <c r="Z606" s="1217">
        <f t="shared" ref="Z606:AF606" si="132">SUM(Z607:Z629)</f>
        <v>0</v>
      </c>
      <c r="AA606" s="1217">
        <f t="shared" si="132"/>
        <v>0</v>
      </c>
      <c r="AB606" s="1217">
        <f t="shared" si="132"/>
        <v>0</v>
      </c>
      <c r="AC606" s="1217">
        <f t="shared" si="132"/>
        <v>0</v>
      </c>
      <c r="AD606" s="1217">
        <f t="shared" si="132"/>
        <v>0</v>
      </c>
      <c r="AE606" s="1217">
        <f t="shared" si="132"/>
        <v>0</v>
      </c>
      <c r="AF606" s="1217">
        <f t="shared" si="132"/>
        <v>0</v>
      </c>
      <c r="AG606" s="1218">
        <f>SUM(S606:AF606)</f>
        <v>466696.17</v>
      </c>
    </row>
    <row r="607" spans="1:33">
      <c r="A607" s="1219">
        <v>441</v>
      </c>
      <c r="B607" s="1222" t="s">
        <v>1067</v>
      </c>
      <c r="C607" s="1222"/>
      <c r="D607" s="1220"/>
      <c r="E607" s="1220"/>
      <c r="F607" s="1220"/>
      <c r="G607" s="1220"/>
      <c r="H607" s="1220"/>
      <c r="I607" s="1221" t="s">
        <v>169</v>
      </c>
      <c r="J607" s="1221"/>
      <c r="K607" s="1220"/>
      <c r="L607" s="1221"/>
      <c r="M607" s="1222"/>
      <c r="N607" s="1221"/>
      <c r="O607" s="1223"/>
      <c r="P607" s="1455"/>
      <c r="Q607" s="2828">
        <f>+Q608+Q609</f>
        <v>102696.17</v>
      </c>
      <c r="R607" s="1225"/>
      <c r="S607" s="1456"/>
      <c r="T607" s="1226"/>
      <c r="U607" s="1456">
        <f>+U608+U609</f>
        <v>0</v>
      </c>
      <c r="V607" s="1456">
        <f>+V608+V609</f>
        <v>0</v>
      </c>
      <c r="W607" s="1456">
        <f>+W608+W609</f>
        <v>10636.17</v>
      </c>
      <c r="X607" s="1456">
        <f>+X608+X609</f>
        <v>92060</v>
      </c>
      <c r="Y607" s="1456">
        <f>+Y608+Y609</f>
        <v>0</v>
      </c>
      <c r="Z607" s="1226"/>
      <c r="AA607" s="1226"/>
      <c r="AB607" s="1226"/>
      <c r="AC607" s="1226"/>
      <c r="AD607" s="1226"/>
      <c r="AE607" s="1226"/>
      <c r="AF607" s="1226"/>
      <c r="AG607" s="2829">
        <f>SUM(S607:AF607)</f>
        <v>102696.17</v>
      </c>
    </row>
    <row r="608" spans="1:33" ht="27.75" customHeight="1">
      <c r="A608" s="2248">
        <v>4411</v>
      </c>
      <c r="B608" s="2249" t="s">
        <v>44</v>
      </c>
      <c r="C608" s="2249" t="s">
        <v>972</v>
      </c>
      <c r="D608" s="2250"/>
      <c r="E608" s="2250"/>
      <c r="F608" s="2250"/>
      <c r="G608" s="2250"/>
      <c r="H608" s="2250"/>
      <c r="I608" s="2251" t="s">
        <v>169</v>
      </c>
      <c r="J608" s="2251"/>
      <c r="K608" s="2250"/>
      <c r="L608" s="2251">
        <v>2313</v>
      </c>
      <c r="M608" s="2249"/>
      <c r="N608" s="2251"/>
      <c r="O608" s="2253">
        <v>92060</v>
      </c>
      <c r="P608" s="2251">
        <v>1</v>
      </c>
      <c r="Q608" s="2302">
        <f>+O608*P608</f>
        <v>92060</v>
      </c>
      <c r="R608" s="1658"/>
      <c r="S608" s="2253"/>
      <c r="T608" s="1695"/>
      <c r="U608" s="2253"/>
      <c r="V608" s="1695"/>
      <c r="W608" s="1695"/>
      <c r="X608" s="2253">
        <v>92060</v>
      </c>
      <c r="Y608" s="1695"/>
      <c r="Z608" s="1695"/>
      <c r="AA608" s="1695"/>
      <c r="AB608" s="1695"/>
      <c r="AC608" s="1695"/>
      <c r="AD608" s="1695"/>
      <c r="AE608" s="1695"/>
      <c r="AF608" s="1695"/>
      <c r="AG608" s="547">
        <f>SUM(S608:AF608)</f>
        <v>92060</v>
      </c>
    </row>
    <row r="609" spans="1:33" ht="27.75" customHeight="1">
      <c r="A609" s="2248">
        <v>4412</v>
      </c>
      <c r="B609" s="2249" t="s">
        <v>43</v>
      </c>
      <c r="C609" s="2249" t="s">
        <v>973</v>
      </c>
      <c r="D609" s="2249"/>
      <c r="E609" s="2249"/>
      <c r="F609" s="2249"/>
      <c r="G609" s="2249"/>
      <c r="H609" s="2249"/>
      <c r="I609" s="2251" t="s">
        <v>169</v>
      </c>
      <c r="J609" s="2251"/>
      <c r="K609" s="2250"/>
      <c r="L609" s="2251">
        <v>23173</v>
      </c>
      <c r="M609" s="2249"/>
      <c r="N609" s="2251"/>
      <c r="O609" s="2253">
        <v>10636.17</v>
      </c>
      <c r="P609" s="2251">
        <v>1</v>
      </c>
      <c r="Q609" s="2302">
        <f>+O609*P609</f>
        <v>10636.17</v>
      </c>
      <c r="R609" s="1658"/>
      <c r="S609" s="2253"/>
      <c r="T609" s="1695"/>
      <c r="U609" s="2253"/>
      <c r="V609" s="1695"/>
      <c r="W609" s="2253">
        <v>10636.17</v>
      </c>
      <c r="X609" s="2052"/>
      <c r="Y609" s="1695"/>
      <c r="Z609" s="1695"/>
      <c r="AA609" s="1695"/>
      <c r="AB609" s="1695"/>
      <c r="AC609" s="1695"/>
      <c r="AD609" s="1695"/>
      <c r="AE609" s="1695"/>
      <c r="AF609" s="1695"/>
      <c r="AG609" s="547">
        <f>SUM(S609:AF609)</f>
        <v>10636.17</v>
      </c>
    </row>
    <row r="610" spans="1:33" ht="31.5">
      <c r="A610" s="1219">
        <v>442</v>
      </c>
      <c r="B610" s="1222" t="s">
        <v>46</v>
      </c>
      <c r="C610" s="1222" t="s">
        <v>974</v>
      </c>
      <c r="D610" s="1222"/>
      <c r="E610" s="1222"/>
      <c r="F610" s="1222"/>
      <c r="G610" s="1222"/>
      <c r="H610" s="1222"/>
      <c r="I610" s="1221" t="s">
        <v>169</v>
      </c>
      <c r="J610" s="1221"/>
      <c r="K610" s="1220"/>
      <c r="L610" s="1221"/>
      <c r="M610" s="1222"/>
      <c r="N610" s="1221"/>
      <c r="O610" s="1223"/>
      <c r="P610" s="1221"/>
      <c r="Q610" s="2829">
        <f>SUM(Q612:Q629)</f>
        <v>364000</v>
      </c>
      <c r="R610" s="1225"/>
      <c r="S610" s="1224"/>
      <c r="T610" s="1226"/>
      <c r="U610" s="1224">
        <f>SUM(U612:U629)</f>
        <v>95387.5</v>
      </c>
      <c r="V610" s="1224">
        <f>SUM(V612:V629)</f>
        <v>160950</v>
      </c>
      <c r="W610" s="1224">
        <f>SUM(W612:W629)</f>
        <v>35387.5</v>
      </c>
      <c r="X610" s="1224">
        <f>SUM(X612:X629)</f>
        <v>36887.5</v>
      </c>
      <c r="Y610" s="1224">
        <f>SUM(Y612:Y629)</f>
        <v>35387.5</v>
      </c>
      <c r="Z610" s="1226"/>
      <c r="AA610" s="1226"/>
      <c r="AB610" s="1226"/>
      <c r="AC610" s="1226"/>
      <c r="AD610" s="1226"/>
      <c r="AE610" s="1226"/>
      <c r="AF610" s="1226"/>
      <c r="AG610" s="2829">
        <f>SUM(S610:AF610)</f>
        <v>364000</v>
      </c>
    </row>
    <row r="611" spans="1:33" ht="31.5">
      <c r="A611" s="2993">
        <v>4421</v>
      </c>
      <c r="B611" s="2990" t="s">
        <v>999</v>
      </c>
      <c r="C611" s="2990" t="s">
        <v>974</v>
      </c>
      <c r="D611" s="2990"/>
      <c r="E611" s="2991">
        <v>150</v>
      </c>
      <c r="F611" s="2992">
        <v>43221</v>
      </c>
      <c r="G611" s="2992">
        <f>F611+E611+2</f>
        <v>43373</v>
      </c>
      <c r="H611" s="2990"/>
      <c r="I611" s="2991" t="s">
        <v>169</v>
      </c>
      <c r="J611" s="2991"/>
      <c r="K611" s="1130"/>
      <c r="L611" s="1129"/>
      <c r="M611" s="1128"/>
      <c r="N611" s="1129"/>
      <c r="O611" s="1131"/>
      <c r="P611" s="1129"/>
      <c r="Q611" s="2989"/>
      <c r="R611" s="1133"/>
      <c r="S611" s="1132"/>
      <c r="T611" s="1134"/>
      <c r="U611" s="1132"/>
      <c r="V611" s="1132"/>
      <c r="W611" s="1132"/>
      <c r="X611" s="1132"/>
      <c r="Y611" s="1132"/>
      <c r="Z611" s="1134"/>
      <c r="AA611" s="1134"/>
      <c r="AB611" s="1134"/>
      <c r="AC611" s="1134"/>
      <c r="AD611" s="1134"/>
      <c r="AE611" s="1134"/>
      <c r="AF611" s="1134"/>
      <c r="AG611" s="2989"/>
    </row>
    <row r="612" spans="1:33" ht="31.5" hidden="1">
      <c r="A612" s="2248">
        <v>4421</v>
      </c>
      <c r="B612" s="2249" t="s">
        <v>999</v>
      </c>
      <c r="C612" s="2249" t="s">
        <v>974</v>
      </c>
      <c r="D612" s="2249"/>
      <c r="E612" s="2251">
        <v>150</v>
      </c>
      <c r="F612" s="2254">
        <v>43221</v>
      </c>
      <c r="G612" s="2254">
        <f>F612+E612+2</f>
        <v>43373</v>
      </c>
      <c r="H612" s="2249"/>
      <c r="I612" s="2251" t="s">
        <v>169</v>
      </c>
      <c r="J612" s="2251"/>
      <c r="K612" s="2250" t="s">
        <v>443</v>
      </c>
      <c r="L612" s="2251">
        <v>23171</v>
      </c>
      <c r="M612" s="2249"/>
      <c r="N612" s="2251"/>
      <c r="O612" s="2252">
        <v>17187.5</v>
      </c>
      <c r="P612" s="2251">
        <v>5</v>
      </c>
      <c r="Q612" s="2302">
        <f>O612*P612</f>
        <v>85937.5</v>
      </c>
      <c r="R612" s="1658"/>
      <c r="S612" s="2253"/>
      <c r="T612" s="1695"/>
      <c r="U612" s="2252">
        <v>17187.5</v>
      </c>
      <c r="V612" s="2252">
        <v>17187.5</v>
      </c>
      <c r="W612" s="2252">
        <v>17187.5</v>
      </c>
      <c r="X612" s="2252">
        <v>17187.5</v>
      </c>
      <c r="Y612" s="2252">
        <v>17187.5</v>
      </c>
      <c r="Z612" s="1695"/>
      <c r="AA612" s="1695"/>
      <c r="AB612" s="1695"/>
      <c r="AC612" s="1695"/>
      <c r="AD612" s="1695"/>
      <c r="AE612" s="1695"/>
      <c r="AF612" s="1695"/>
      <c r="AG612" s="547">
        <f t="shared" ref="AG612:AG629" si="133">SUM(S612:AF612)</f>
        <v>85937.5</v>
      </c>
    </row>
    <row r="613" spans="1:33" ht="31.5" hidden="1">
      <c r="A613" s="2248">
        <v>4421</v>
      </c>
      <c r="B613" s="2249" t="s">
        <v>999</v>
      </c>
      <c r="C613" s="2249" t="s">
        <v>974</v>
      </c>
      <c r="D613" s="2249"/>
      <c r="E613" s="2251">
        <v>150</v>
      </c>
      <c r="F613" s="2254">
        <v>43221</v>
      </c>
      <c r="G613" s="2254">
        <f t="shared" ref="G613:G624" si="134">F613+E613+2</f>
        <v>43373</v>
      </c>
      <c r="H613" s="2249"/>
      <c r="I613" s="2251" t="s">
        <v>169</v>
      </c>
      <c r="J613" s="2251"/>
      <c r="K613" s="2250" t="s">
        <v>985</v>
      </c>
      <c r="L613" s="2251">
        <v>23172</v>
      </c>
      <c r="M613" s="2249"/>
      <c r="N613" s="2251"/>
      <c r="O613" s="2255">
        <v>700</v>
      </c>
      <c r="P613" s="1632">
        <v>5</v>
      </c>
      <c r="Q613" s="2302">
        <f t="shared" ref="Q613:Q629" si="135">O613*P613</f>
        <v>3500</v>
      </c>
      <c r="R613" s="1658"/>
      <c r="S613" s="2253"/>
      <c r="T613" s="1695"/>
      <c r="U613" s="2255">
        <v>700</v>
      </c>
      <c r="V613" s="2255">
        <v>700</v>
      </c>
      <c r="W613" s="2255">
        <v>700</v>
      </c>
      <c r="X613" s="2255">
        <v>700</v>
      </c>
      <c r="Y613" s="2255">
        <v>700</v>
      </c>
      <c r="Z613" s="1695"/>
      <c r="AA613" s="1695"/>
      <c r="AB613" s="1695"/>
      <c r="AC613" s="1695"/>
      <c r="AD613" s="1695"/>
      <c r="AE613" s="1695"/>
      <c r="AF613" s="1695"/>
      <c r="AG613" s="547">
        <f t="shared" si="133"/>
        <v>3500</v>
      </c>
    </row>
    <row r="614" spans="1:33" ht="31.5" hidden="1">
      <c r="A614" s="2248">
        <v>4421</v>
      </c>
      <c r="B614" s="2249" t="s">
        <v>999</v>
      </c>
      <c r="C614" s="2249" t="s">
        <v>974</v>
      </c>
      <c r="D614" s="2249"/>
      <c r="E614" s="2251">
        <v>150</v>
      </c>
      <c r="F614" s="2254">
        <v>43221</v>
      </c>
      <c r="G614" s="2254">
        <f t="shared" si="134"/>
        <v>43373</v>
      </c>
      <c r="H614" s="2249"/>
      <c r="I614" s="2251" t="s">
        <v>169</v>
      </c>
      <c r="J614" s="2251"/>
      <c r="K614" s="2250" t="s">
        <v>987</v>
      </c>
      <c r="L614" s="2251">
        <v>23172</v>
      </c>
      <c r="M614" s="2249"/>
      <c r="N614" s="2251"/>
      <c r="O614" s="2255">
        <v>7000</v>
      </c>
      <c r="P614" s="1632">
        <v>5</v>
      </c>
      <c r="Q614" s="2302">
        <f t="shared" si="135"/>
        <v>35000</v>
      </c>
      <c r="R614" s="1658"/>
      <c r="S614" s="2253"/>
      <c r="T614" s="1695"/>
      <c r="U614" s="2255">
        <v>7000</v>
      </c>
      <c r="V614" s="2255">
        <v>7000</v>
      </c>
      <c r="W614" s="2255">
        <v>7000</v>
      </c>
      <c r="X614" s="2255">
        <v>7000</v>
      </c>
      <c r="Y614" s="2255">
        <v>7000</v>
      </c>
      <c r="Z614" s="1695"/>
      <c r="AA614" s="1695"/>
      <c r="AB614" s="1695"/>
      <c r="AC614" s="1695"/>
      <c r="AD614" s="1695"/>
      <c r="AE614" s="1695"/>
      <c r="AF614" s="1695"/>
      <c r="AG614" s="547">
        <f t="shared" si="133"/>
        <v>35000</v>
      </c>
    </row>
    <row r="615" spans="1:33" ht="31.5" hidden="1">
      <c r="A615" s="2248">
        <v>4421</v>
      </c>
      <c r="B615" s="2249" t="s">
        <v>999</v>
      </c>
      <c r="C615" s="2249" t="s">
        <v>974</v>
      </c>
      <c r="D615" s="2249"/>
      <c r="E615" s="2251">
        <v>150</v>
      </c>
      <c r="F615" s="2254">
        <v>43221</v>
      </c>
      <c r="G615" s="2254">
        <f t="shared" si="134"/>
        <v>43373</v>
      </c>
      <c r="H615" s="2249"/>
      <c r="I615" s="2251" t="s">
        <v>169</v>
      </c>
      <c r="J615" s="2251"/>
      <c r="K615" s="2250" t="s">
        <v>1004</v>
      </c>
      <c r="L615" s="2251">
        <v>23173</v>
      </c>
      <c r="M615" s="2249"/>
      <c r="N615" s="2251"/>
      <c r="O615" s="2255">
        <v>1700</v>
      </c>
      <c r="P615" s="1632">
        <v>5</v>
      </c>
      <c r="Q615" s="2302">
        <f t="shared" si="135"/>
        <v>8500</v>
      </c>
      <c r="R615" s="1658"/>
      <c r="S615" s="2253"/>
      <c r="T615" s="1695"/>
      <c r="U615" s="2255">
        <v>1700</v>
      </c>
      <c r="V615" s="2255">
        <v>1700</v>
      </c>
      <c r="W615" s="2255">
        <v>1700</v>
      </c>
      <c r="X615" s="2255">
        <v>1700</v>
      </c>
      <c r="Y615" s="2255">
        <v>1700</v>
      </c>
      <c r="Z615" s="1695"/>
      <c r="AA615" s="1695"/>
      <c r="AB615" s="1695"/>
      <c r="AC615" s="1695"/>
      <c r="AD615" s="1695"/>
      <c r="AE615" s="1695"/>
      <c r="AF615" s="1695"/>
      <c r="AG615" s="547">
        <f t="shared" si="133"/>
        <v>8500</v>
      </c>
    </row>
    <row r="616" spans="1:33" ht="31.5" hidden="1">
      <c r="A616" s="2248">
        <v>4421</v>
      </c>
      <c r="B616" s="2249" t="s">
        <v>999</v>
      </c>
      <c r="C616" s="2249" t="s">
        <v>974</v>
      </c>
      <c r="D616" s="2249"/>
      <c r="E616" s="2251">
        <v>150</v>
      </c>
      <c r="F616" s="2254">
        <v>43221</v>
      </c>
      <c r="G616" s="2254">
        <f t="shared" si="134"/>
        <v>43373</v>
      </c>
      <c r="H616" s="2249"/>
      <c r="I616" s="2251" t="s">
        <v>169</v>
      </c>
      <c r="J616" s="2251"/>
      <c r="K616" s="2250" t="s">
        <v>1005</v>
      </c>
      <c r="L616" s="2251">
        <v>23175</v>
      </c>
      <c r="M616" s="2249"/>
      <c r="N616" s="2251"/>
      <c r="O616" s="2255">
        <v>1000</v>
      </c>
      <c r="P616" s="1632">
        <v>5</v>
      </c>
      <c r="Q616" s="2302">
        <f t="shared" si="135"/>
        <v>5000</v>
      </c>
      <c r="R616" s="1658"/>
      <c r="S616" s="2253"/>
      <c r="T616" s="1695"/>
      <c r="U616" s="2255">
        <v>1000</v>
      </c>
      <c r="V616" s="2255">
        <v>1000</v>
      </c>
      <c r="W616" s="2255">
        <v>1000</v>
      </c>
      <c r="X616" s="2255">
        <v>1000</v>
      </c>
      <c r="Y616" s="2255">
        <v>1000</v>
      </c>
      <c r="Z616" s="1695"/>
      <c r="AA616" s="1695"/>
      <c r="AB616" s="1695"/>
      <c r="AC616" s="1695"/>
      <c r="AD616" s="1695"/>
      <c r="AE616" s="1695"/>
      <c r="AF616" s="1695"/>
      <c r="AG616" s="547">
        <f t="shared" si="133"/>
        <v>5000</v>
      </c>
    </row>
    <row r="617" spans="1:33" ht="31.5" hidden="1">
      <c r="A617" s="2248">
        <v>4421</v>
      </c>
      <c r="B617" s="2249" t="s">
        <v>999</v>
      </c>
      <c r="C617" s="2249" t="s">
        <v>974</v>
      </c>
      <c r="D617" s="2249"/>
      <c r="E617" s="2251">
        <v>150</v>
      </c>
      <c r="F617" s="2254">
        <v>43221</v>
      </c>
      <c r="G617" s="2254">
        <f t="shared" si="134"/>
        <v>43373</v>
      </c>
      <c r="H617" s="2249"/>
      <c r="I617" s="2251" t="s">
        <v>169</v>
      </c>
      <c r="J617" s="2251"/>
      <c r="K617" s="2250" t="s">
        <v>255</v>
      </c>
      <c r="L617" s="2251">
        <v>23173</v>
      </c>
      <c r="M617" s="2249"/>
      <c r="N617" s="2251"/>
      <c r="O617" s="2255">
        <v>2500</v>
      </c>
      <c r="P617" s="1632">
        <v>5</v>
      </c>
      <c r="Q617" s="2302">
        <f t="shared" si="135"/>
        <v>12500</v>
      </c>
      <c r="R617" s="1658"/>
      <c r="S617" s="2253"/>
      <c r="T617" s="1695"/>
      <c r="U617" s="2255">
        <v>2500</v>
      </c>
      <c r="V617" s="2255">
        <v>2500</v>
      </c>
      <c r="W617" s="2255">
        <v>2500</v>
      </c>
      <c r="X617" s="2255">
        <v>2500</v>
      </c>
      <c r="Y617" s="2255">
        <v>2500</v>
      </c>
      <c r="Z617" s="1695"/>
      <c r="AA617" s="1695"/>
      <c r="AB617" s="1695"/>
      <c r="AC617" s="1695"/>
      <c r="AD617" s="1695"/>
      <c r="AE617" s="1695"/>
      <c r="AF617" s="1695"/>
      <c r="AG617" s="547">
        <f t="shared" si="133"/>
        <v>12500</v>
      </c>
    </row>
    <row r="618" spans="1:33" ht="31.5" hidden="1">
      <c r="A618" s="2248">
        <v>4421</v>
      </c>
      <c r="B618" s="2249" t="s">
        <v>999</v>
      </c>
      <c r="C618" s="2249" t="s">
        <v>974</v>
      </c>
      <c r="D618" s="2249"/>
      <c r="E618" s="2251">
        <v>150</v>
      </c>
      <c r="F618" s="2254">
        <v>43221</v>
      </c>
      <c r="G618" s="2254">
        <f t="shared" si="134"/>
        <v>43373</v>
      </c>
      <c r="H618" s="2249"/>
      <c r="I618" s="2251" t="s">
        <v>169</v>
      </c>
      <c r="J618" s="2251"/>
      <c r="K618" s="2250" t="s">
        <v>989</v>
      </c>
      <c r="L618" s="2251">
        <v>23172</v>
      </c>
      <c r="M618" s="2249"/>
      <c r="N618" s="2251"/>
      <c r="O618" s="2255">
        <v>200</v>
      </c>
      <c r="P618" s="1632">
        <v>5</v>
      </c>
      <c r="Q618" s="2302">
        <f t="shared" si="135"/>
        <v>1000</v>
      </c>
      <c r="R618" s="1658"/>
      <c r="S618" s="2253"/>
      <c r="T618" s="1695"/>
      <c r="U618" s="2255">
        <v>200</v>
      </c>
      <c r="V618" s="2255">
        <v>200</v>
      </c>
      <c r="W618" s="2255">
        <v>200</v>
      </c>
      <c r="X618" s="2255">
        <v>200</v>
      </c>
      <c r="Y618" s="2255">
        <v>200</v>
      </c>
      <c r="Z618" s="1695"/>
      <c r="AA618" s="1695"/>
      <c r="AB618" s="1695"/>
      <c r="AC618" s="1695"/>
      <c r="AD618" s="1695"/>
      <c r="AE618" s="1695"/>
      <c r="AF618" s="1695"/>
      <c r="AG618" s="547">
        <f t="shared" si="133"/>
        <v>1000</v>
      </c>
    </row>
    <row r="619" spans="1:33" ht="31.5" hidden="1">
      <c r="A619" s="2248">
        <v>4421</v>
      </c>
      <c r="B619" s="2249" t="s">
        <v>999</v>
      </c>
      <c r="C619" s="2249" t="s">
        <v>974</v>
      </c>
      <c r="D619" s="2249"/>
      <c r="E619" s="2251">
        <v>150</v>
      </c>
      <c r="F619" s="2254">
        <v>43221</v>
      </c>
      <c r="G619" s="2254">
        <f t="shared" si="134"/>
        <v>43373</v>
      </c>
      <c r="H619" s="2249"/>
      <c r="I619" s="2251" t="s">
        <v>169</v>
      </c>
      <c r="J619" s="2251"/>
      <c r="K619" s="2250" t="s">
        <v>990</v>
      </c>
      <c r="L619" s="2251">
        <v>23172</v>
      </c>
      <c r="M619" s="2249"/>
      <c r="N619" s="2251"/>
      <c r="O619" s="2255">
        <v>2500</v>
      </c>
      <c r="P619" s="1632">
        <v>5</v>
      </c>
      <c r="Q619" s="2302">
        <f t="shared" si="135"/>
        <v>12500</v>
      </c>
      <c r="R619" s="1658"/>
      <c r="S619" s="2253"/>
      <c r="T619" s="1695"/>
      <c r="U619" s="2255">
        <v>2500</v>
      </c>
      <c r="V619" s="2255">
        <v>2500</v>
      </c>
      <c r="W619" s="2255">
        <v>2500</v>
      </c>
      <c r="X619" s="2255">
        <v>2500</v>
      </c>
      <c r="Y619" s="2255">
        <v>2500</v>
      </c>
      <c r="Z619" s="1695"/>
      <c r="AA619" s="1695"/>
      <c r="AB619" s="1695"/>
      <c r="AC619" s="1695"/>
      <c r="AD619" s="1695"/>
      <c r="AE619" s="1695"/>
      <c r="AF619" s="1695"/>
      <c r="AG619" s="547">
        <f t="shared" si="133"/>
        <v>12500</v>
      </c>
    </row>
    <row r="620" spans="1:33" ht="31.5" hidden="1">
      <c r="A620" s="2248">
        <v>4421</v>
      </c>
      <c r="B620" s="2249" t="s">
        <v>999</v>
      </c>
      <c r="C620" s="2249" t="s">
        <v>974</v>
      </c>
      <c r="D620" s="2249"/>
      <c r="E620" s="2251">
        <v>150</v>
      </c>
      <c r="F620" s="2254">
        <v>43221</v>
      </c>
      <c r="G620" s="2254">
        <f t="shared" si="134"/>
        <v>43373</v>
      </c>
      <c r="H620" s="2249"/>
      <c r="I620" s="2251" t="s">
        <v>169</v>
      </c>
      <c r="J620" s="2251"/>
      <c r="K620" s="2250" t="s">
        <v>991</v>
      </c>
      <c r="L620" s="2251">
        <v>23173</v>
      </c>
      <c r="M620" s="2249"/>
      <c r="N620" s="2251"/>
      <c r="O620" s="2255">
        <v>300</v>
      </c>
      <c r="P620" s="1632">
        <v>5</v>
      </c>
      <c r="Q620" s="2302">
        <f t="shared" si="135"/>
        <v>1500</v>
      </c>
      <c r="R620" s="1658"/>
      <c r="S620" s="2253"/>
      <c r="T620" s="1695"/>
      <c r="U620" s="2255">
        <v>300</v>
      </c>
      <c r="V620" s="2255">
        <v>300</v>
      </c>
      <c r="W620" s="2255">
        <v>300</v>
      </c>
      <c r="X620" s="2255">
        <v>300</v>
      </c>
      <c r="Y620" s="2255">
        <v>300</v>
      </c>
      <c r="Z620" s="1695"/>
      <c r="AA620" s="1695"/>
      <c r="AB620" s="1695"/>
      <c r="AC620" s="1695"/>
      <c r="AD620" s="1695"/>
      <c r="AE620" s="1695"/>
      <c r="AF620" s="1695"/>
      <c r="AG620" s="547">
        <f t="shared" si="133"/>
        <v>1500</v>
      </c>
    </row>
    <row r="621" spans="1:33" ht="31.5" hidden="1">
      <c r="A621" s="2248">
        <v>4421</v>
      </c>
      <c r="B621" s="2249" t="s">
        <v>999</v>
      </c>
      <c r="C621" s="2249" t="s">
        <v>974</v>
      </c>
      <c r="D621" s="2249"/>
      <c r="E621" s="2251">
        <v>150</v>
      </c>
      <c r="F621" s="2254">
        <v>43221</v>
      </c>
      <c r="G621" s="2254">
        <f t="shared" si="134"/>
        <v>43373</v>
      </c>
      <c r="H621" s="2249"/>
      <c r="I621" s="2251" t="s">
        <v>169</v>
      </c>
      <c r="J621" s="2251"/>
      <c r="K621" s="2250" t="s">
        <v>992</v>
      </c>
      <c r="L621" s="2251">
        <v>23173</v>
      </c>
      <c r="M621" s="2249"/>
      <c r="N621" s="2251"/>
      <c r="O621" s="2255">
        <v>100</v>
      </c>
      <c r="P621" s="1632">
        <v>5</v>
      </c>
      <c r="Q621" s="2302">
        <f t="shared" si="135"/>
        <v>500</v>
      </c>
      <c r="R621" s="1658"/>
      <c r="S621" s="2253"/>
      <c r="T621" s="1695"/>
      <c r="U621" s="2255">
        <v>100</v>
      </c>
      <c r="V621" s="2255">
        <v>100</v>
      </c>
      <c r="W621" s="2255">
        <v>100</v>
      </c>
      <c r="X621" s="2255">
        <v>100</v>
      </c>
      <c r="Y621" s="2255">
        <v>100</v>
      </c>
      <c r="Z621" s="1695"/>
      <c r="AA621" s="1695"/>
      <c r="AB621" s="1695"/>
      <c r="AC621" s="1695"/>
      <c r="AD621" s="1695"/>
      <c r="AE621" s="1695"/>
      <c r="AF621" s="1695"/>
      <c r="AG621" s="547">
        <f t="shared" si="133"/>
        <v>500</v>
      </c>
    </row>
    <row r="622" spans="1:33" ht="31.5" hidden="1">
      <c r="A622" s="2248">
        <v>4421</v>
      </c>
      <c r="B622" s="2249" t="s">
        <v>999</v>
      </c>
      <c r="C622" s="2249" t="s">
        <v>974</v>
      </c>
      <c r="D622" s="2249"/>
      <c r="E622" s="2251">
        <v>150</v>
      </c>
      <c r="F622" s="2254">
        <v>43221</v>
      </c>
      <c r="G622" s="2254">
        <f t="shared" si="134"/>
        <v>43373</v>
      </c>
      <c r="H622" s="2249"/>
      <c r="I622" s="2251" t="s">
        <v>169</v>
      </c>
      <c r="J622" s="2251"/>
      <c r="K622" s="2250" t="s">
        <v>1006</v>
      </c>
      <c r="L622" s="2251">
        <v>23174</v>
      </c>
      <c r="M622" s="2249"/>
      <c r="N622" s="2251"/>
      <c r="O622" s="2255">
        <v>2000</v>
      </c>
      <c r="P622" s="1632">
        <v>3</v>
      </c>
      <c r="Q622" s="2302">
        <f t="shared" si="135"/>
        <v>6000</v>
      </c>
      <c r="R622" s="1658"/>
      <c r="S622" s="2253"/>
      <c r="T622" s="1695"/>
      <c r="U622" s="2255">
        <v>2000</v>
      </c>
      <c r="V622" s="2255"/>
      <c r="W622" s="2255">
        <v>2000</v>
      </c>
      <c r="X622" s="2255"/>
      <c r="Y622" s="2255">
        <v>2000</v>
      </c>
      <c r="Z622" s="1695"/>
      <c r="AA622" s="1695"/>
      <c r="AB622" s="1695"/>
      <c r="AC622" s="1695"/>
      <c r="AD622" s="1695"/>
      <c r="AE622" s="1695"/>
      <c r="AF622" s="1695"/>
      <c r="AG622" s="547">
        <f t="shared" si="133"/>
        <v>6000</v>
      </c>
    </row>
    <row r="623" spans="1:33" ht="31.5" hidden="1">
      <c r="A623" s="2248">
        <v>4421</v>
      </c>
      <c r="B623" s="2249" t="s">
        <v>999</v>
      </c>
      <c r="C623" s="2249" t="s">
        <v>974</v>
      </c>
      <c r="D623" s="2249"/>
      <c r="E623" s="2251">
        <v>150</v>
      </c>
      <c r="F623" s="2254">
        <v>43221</v>
      </c>
      <c r="G623" s="2254">
        <f t="shared" si="134"/>
        <v>43373</v>
      </c>
      <c r="H623" s="2249"/>
      <c r="I623" s="2251" t="s">
        <v>169</v>
      </c>
      <c r="J623" s="2251"/>
      <c r="K623" s="2250" t="s">
        <v>993</v>
      </c>
      <c r="L623" s="2251">
        <v>23173</v>
      </c>
      <c r="M623" s="2249"/>
      <c r="N623" s="2251"/>
      <c r="O623" s="2255">
        <v>200</v>
      </c>
      <c r="P623" s="1632">
        <v>5</v>
      </c>
      <c r="Q623" s="2302">
        <f t="shared" si="135"/>
        <v>1000</v>
      </c>
      <c r="R623" s="1658"/>
      <c r="S623" s="2253"/>
      <c r="T623" s="1695"/>
      <c r="U623" s="2255">
        <v>200</v>
      </c>
      <c r="V623" s="2255">
        <v>200</v>
      </c>
      <c r="W623" s="2255">
        <v>200</v>
      </c>
      <c r="X623" s="2255">
        <v>200</v>
      </c>
      <c r="Y623" s="2255">
        <v>200</v>
      </c>
      <c r="Z623" s="1695"/>
      <c r="AA623" s="1695"/>
      <c r="AB623" s="1695"/>
      <c r="AC623" s="1695"/>
      <c r="AD623" s="1695"/>
      <c r="AE623" s="1695"/>
      <c r="AF623" s="1695"/>
      <c r="AG623" s="547">
        <f t="shared" si="133"/>
        <v>1000</v>
      </c>
    </row>
    <row r="624" spans="1:33" ht="31.5" hidden="1">
      <c r="A624" s="2248">
        <v>4421</v>
      </c>
      <c r="B624" s="2249" t="s">
        <v>999</v>
      </c>
      <c r="C624" s="2249" t="s">
        <v>974</v>
      </c>
      <c r="D624" s="2249"/>
      <c r="E624" s="2251">
        <v>150</v>
      </c>
      <c r="F624" s="2254">
        <v>43221</v>
      </c>
      <c r="G624" s="2254">
        <f t="shared" si="134"/>
        <v>43373</v>
      </c>
      <c r="H624" s="2249"/>
      <c r="I624" s="2251" t="s">
        <v>169</v>
      </c>
      <c r="J624" s="2251"/>
      <c r="K624" s="2250" t="s">
        <v>994</v>
      </c>
      <c r="L624" s="2251">
        <v>23174</v>
      </c>
      <c r="M624" s="2249"/>
      <c r="N624" s="2251"/>
      <c r="O624" s="2255">
        <v>3500</v>
      </c>
      <c r="P624" s="1632">
        <v>2</v>
      </c>
      <c r="Q624" s="2302">
        <f t="shared" si="135"/>
        <v>7000</v>
      </c>
      <c r="R624" s="1658"/>
      <c r="S624" s="2253"/>
      <c r="T624" s="1695"/>
      <c r="U624" s="1695"/>
      <c r="V624" s="2255">
        <v>3500</v>
      </c>
      <c r="W624" s="1695"/>
      <c r="X624" s="2255">
        <v>3500</v>
      </c>
      <c r="Y624" s="1695"/>
      <c r="Z624" s="1695"/>
      <c r="AA624" s="1695"/>
      <c r="AB624" s="1695"/>
      <c r="AC624" s="1695"/>
      <c r="AD624" s="1695"/>
      <c r="AE624" s="1695"/>
      <c r="AF624" s="1695"/>
      <c r="AG624" s="547">
        <f t="shared" si="133"/>
        <v>7000</v>
      </c>
    </row>
    <row r="625" spans="1:33" ht="31.5">
      <c r="A625" s="2993">
        <v>4422</v>
      </c>
      <c r="B625" s="2990" t="s">
        <v>1068</v>
      </c>
      <c r="C625" s="2990" t="s">
        <v>1069</v>
      </c>
      <c r="D625" s="2990"/>
      <c r="E625" s="2991">
        <v>30</v>
      </c>
      <c r="F625" s="2992">
        <v>43221</v>
      </c>
      <c r="G625" s="2992">
        <f>F625+E625</f>
        <v>43251</v>
      </c>
      <c r="H625" s="2990"/>
      <c r="I625" s="2991" t="s">
        <v>169</v>
      </c>
      <c r="J625" s="2251"/>
      <c r="K625" s="2250" t="s">
        <v>1075</v>
      </c>
      <c r="L625" s="2251">
        <v>23174</v>
      </c>
      <c r="M625" s="2249"/>
      <c r="N625" s="2251"/>
      <c r="O625" s="2252">
        <v>10000</v>
      </c>
      <c r="P625" s="2251">
        <v>1</v>
      </c>
      <c r="Q625" s="2302">
        <f t="shared" si="135"/>
        <v>10000</v>
      </c>
      <c r="R625" s="1658"/>
      <c r="S625" s="2253"/>
      <c r="T625" s="1695"/>
      <c r="U625" s="2253">
        <v>10000</v>
      </c>
      <c r="V625" s="1695"/>
      <c r="W625" s="1695"/>
      <c r="X625" s="2052"/>
      <c r="Y625" s="1695"/>
      <c r="Z625" s="1695"/>
      <c r="AA625" s="1695"/>
      <c r="AB625" s="1695"/>
      <c r="AC625" s="1695"/>
      <c r="AD625" s="1695"/>
      <c r="AE625" s="1695"/>
      <c r="AF625" s="1695"/>
      <c r="AG625" s="547">
        <f t="shared" si="133"/>
        <v>10000</v>
      </c>
    </row>
    <row r="626" spans="1:33">
      <c r="A626" s="2993">
        <v>4423</v>
      </c>
      <c r="B626" s="2990" t="s">
        <v>1070</v>
      </c>
      <c r="C626" s="2990" t="s">
        <v>1071</v>
      </c>
      <c r="D626" s="2990"/>
      <c r="E626" s="2991">
        <v>30</v>
      </c>
      <c r="F626" s="2992">
        <v>43252</v>
      </c>
      <c r="G626" s="2992">
        <f>F626+E626-1</f>
        <v>43281</v>
      </c>
      <c r="H626" s="2990"/>
      <c r="I626" s="2991" t="s">
        <v>169</v>
      </c>
      <c r="J626" s="2251"/>
      <c r="K626" s="2256" t="s">
        <v>1076</v>
      </c>
      <c r="L626" s="2251">
        <v>23174</v>
      </c>
      <c r="M626" s="2249"/>
      <c r="N626" s="2251"/>
      <c r="O626" s="2252">
        <v>10000</v>
      </c>
      <c r="P626" s="2251">
        <v>1</v>
      </c>
      <c r="Q626" s="2302">
        <f t="shared" si="135"/>
        <v>10000</v>
      </c>
      <c r="R626" s="1658"/>
      <c r="S626" s="2251"/>
      <c r="T626" s="1695"/>
      <c r="U626" s="1695"/>
      <c r="V626" s="2253">
        <v>10000</v>
      </c>
      <c r="W626" s="1695"/>
      <c r="X626" s="2052"/>
      <c r="Y626" s="1695"/>
      <c r="Z626" s="1695"/>
      <c r="AA626" s="1695"/>
      <c r="AB626" s="1695"/>
      <c r="AC626" s="1695"/>
      <c r="AD626" s="1695"/>
      <c r="AE626" s="1695"/>
      <c r="AF626" s="1695"/>
      <c r="AG626" s="547">
        <f t="shared" si="133"/>
        <v>10000</v>
      </c>
    </row>
    <row r="627" spans="1:33">
      <c r="A627" s="2993">
        <v>4424</v>
      </c>
      <c r="B627" s="2990" t="s">
        <v>1002</v>
      </c>
      <c r="C627" s="2990" t="s">
        <v>1072</v>
      </c>
      <c r="D627" s="2990"/>
      <c r="E627" s="2991">
        <v>30</v>
      </c>
      <c r="F627" s="2992">
        <v>43221</v>
      </c>
      <c r="G627" s="2992">
        <f>F627+E627</f>
        <v>43251</v>
      </c>
      <c r="H627" s="2990"/>
      <c r="I627" s="2991" t="s">
        <v>169</v>
      </c>
      <c r="J627" s="2251"/>
      <c r="K627" s="2256" t="s">
        <v>1077</v>
      </c>
      <c r="L627" s="2251">
        <v>23173</v>
      </c>
      <c r="M627" s="2249"/>
      <c r="N627" s="2251"/>
      <c r="O627" s="2252">
        <v>5000</v>
      </c>
      <c r="P627" s="2251">
        <v>1</v>
      </c>
      <c r="Q627" s="2302">
        <v>5000</v>
      </c>
      <c r="R627" s="1658"/>
      <c r="S627" s="2251"/>
      <c r="T627" s="1695"/>
      <c r="U627" s="2253">
        <v>5000</v>
      </c>
      <c r="V627" s="1695"/>
      <c r="W627" s="1695"/>
      <c r="X627" s="2052"/>
      <c r="Y627" s="1695"/>
      <c r="Z627" s="1695"/>
      <c r="AA627" s="1695"/>
      <c r="AB627" s="1695"/>
      <c r="AC627" s="1695"/>
      <c r="AD627" s="1695"/>
      <c r="AE627" s="1695"/>
      <c r="AF627" s="1695"/>
      <c r="AG627" s="547">
        <f t="shared" si="133"/>
        <v>5000</v>
      </c>
    </row>
    <row r="628" spans="1:33">
      <c r="A628" s="2993">
        <v>4425</v>
      </c>
      <c r="B628" s="2990" t="s">
        <v>1003</v>
      </c>
      <c r="C628" s="2990" t="s">
        <v>1073</v>
      </c>
      <c r="D628" s="2990"/>
      <c r="E628" s="2991">
        <v>30</v>
      </c>
      <c r="F628" s="2992">
        <v>43221</v>
      </c>
      <c r="G628" s="2992">
        <f>F628+E628</f>
        <v>43251</v>
      </c>
      <c r="H628" s="2990"/>
      <c r="I628" s="2991" t="s">
        <v>169</v>
      </c>
      <c r="J628" s="2251"/>
      <c r="K628" s="2256" t="s">
        <v>1078</v>
      </c>
      <c r="L628" s="2251">
        <v>23173</v>
      </c>
      <c r="M628" s="2249"/>
      <c r="N628" s="2251"/>
      <c r="O628" s="2252">
        <v>45000</v>
      </c>
      <c r="P628" s="2251">
        <v>1</v>
      </c>
      <c r="Q628" s="2302">
        <f t="shared" si="135"/>
        <v>45000</v>
      </c>
      <c r="R628" s="1658"/>
      <c r="S628" s="2251"/>
      <c r="T628" s="1695"/>
      <c r="U628" s="2253">
        <v>45000</v>
      </c>
      <c r="V628" s="1695"/>
      <c r="W628" s="1695"/>
      <c r="X628" s="2052"/>
      <c r="Y628" s="1695"/>
      <c r="Z628" s="1695"/>
      <c r="AA628" s="1695"/>
      <c r="AB628" s="1695"/>
      <c r="AC628" s="1695"/>
      <c r="AD628" s="1695"/>
      <c r="AE628" s="1695"/>
      <c r="AF628" s="1695"/>
      <c r="AG628" s="547">
        <f t="shared" si="133"/>
        <v>45000</v>
      </c>
    </row>
    <row r="629" spans="1:33" ht="19.5">
      <c r="A629" s="2993">
        <v>4426</v>
      </c>
      <c r="B629" s="2994" t="s">
        <v>1074</v>
      </c>
      <c r="C629" s="2257"/>
      <c r="D629" s="2257"/>
      <c r="E629" s="2257"/>
      <c r="F629" s="2257"/>
      <c r="G629" s="2257"/>
      <c r="H629" s="2257"/>
      <c r="I629" s="2258"/>
      <c r="J629" s="2258"/>
      <c r="K629" s="2259"/>
      <c r="L629" s="2262">
        <v>2318</v>
      </c>
      <c r="M629" s="2257"/>
      <c r="N629" s="2258"/>
      <c r="O629" s="2252">
        <v>114062.5</v>
      </c>
      <c r="P629" s="2251">
        <v>1</v>
      </c>
      <c r="Q629" s="2830">
        <f t="shared" si="135"/>
        <v>114062.5</v>
      </c>
      <c r="R629" s="1658"/>
      <c r="S629" s="2251"/>
      <c r="T629" s="2261"/>
      <c r="U629" s="2252"/>
      <c r="V629" s="2252">
        <v>114062.5</v>
      </c>
      <c r="W629" s="1695"/>
      <c r="X629" s="2052"/>
      <c r="Y629" s="2252"/>
      <c r="Z629" s="1695"/>
      <c r="AA629" s="1695"/>
      <c r="AB629" s="1695"/>
      <c r="AC629" s="1695"/>
      <c r="AD629" s="1695"/>
      <c r="AE629" s="1695"/>
      <c r="AF629" s="1695"/>
      <c r="AG629" s="547">
        <f t="shared" si="133"/>
        <v>114062.5</v>
      </c>
    </row>
    <row r="630" spans="1:33">
      <c r="A630" s="3399" t="s">
        <v>969</v>
      </c>
      <c r="B630" s="3399"/>
      <c r="C630" s="3399"/>
      <c r="D630" s="3399"/>
      <c r="E630" s="3399"/>
      <c r="F630" s="3399"/>
      <c r="G630" s="3399"/>
      <c r="H630" s="3399"/>
      <c r="I630" s="3399"/>
      <c r="J630" s="1213"/>
      <c r="K630" s="1214"/>
      <c r="L630" s="1213"/>
      <c r="M630" s="1215"/>
      <c r="N630" s="1213"/>
      <c r="O630" s="1216"/>
      <c r="P630" s="1213"/>
      <c r="Q630" s="1218">
        <f>Q631</f>
        <v>322694</v>
      </c>
      <c r="R630" s="1218">
        <v>322694</v>
      </c>
      <c r="S630" s="1217">
        <f t="shared" ref="S630:AF631" si="136">S631</f>
        <v>0</v>
      </c>
      <c r="T630" s="1217">
        <f t="shared" si="136"/>
        <v>322694</v>
      </c>
      <c r="U630" s="1217">
        <f t="shared" si="136"/>
        <v>0</v>
      </c>
      <c r="V630" s="1217">
        <f t="shared" si="136"/>
        <v>0</v>
      </c>
      <c r="W630" s="1217">
        <f t="shared" si="136"/>
        <v>0</v>
      </c>
      <c r="X630" s="1217">
        <f t="shared" si="136"/>
        <v>0</v>
      </c>
      <c r="Y630" s="1217">
        <f t="shared" si="136"/>
        <v>0</v>
      </c>
      <c r="Z630" s="1217">
        <f t="shared" si="136"/>
        <v>0</v>
      </c>
      <c r="AA630" s="1217">
        <f t="shared" si="136"/>
        <v>0</v>
      </c>
      <c r="AB630" s="1217">
        <f t="shared" si="136"/>
        <v>0</v>
      </c>
      <c r="AC630" s="1217">
        <f t="shared" si="136"/>
        <v>0</v>
      </c>
      <c r="AD630" s="1217">
        <f t="shared" si="136"/>
        <v>0</v>
      </c>
      <c r="AE630" s="1217">
        <f t="shared" si="136"/>
        <v>0</v>
      </c>
      <c r="AF630" s="1217">
        <f t="shared" si="136"/>
        <v>0</v>
      </c>
      <c r="AG630" s="1218">
        <f>SUM(S630:AF630)</f>
        <v>322694</v>
      </c>
    </row>
    <row r="631" spans="1:33">
      <c r="A631" s="1219">
        <v>451</v>
      </c>
      <c r="B631" s="1222" t="s">
        <v>970</v>
      </c>
      <c r="C631" s="1222" t="s">
        <v>998</v>
      </c>
      <c r="D631" s="1222"/>
      <c r="E631" s="1222"/>
      <c r="F631" s="1222"/>
      <c r="G631" s="1222"/>
      <c r="H631" s="1222"/>
      <c r="I631" s="1221" t="s">
        <v>169</v>
      </c>
      <c r="J631" s="1221"/>
      <c r="K631" s="1220"/>
      <c r="L631" s="1221"/>
      <c r="M631" s="1222"/>
      <c r="N631" s="1221"/>
      <c r="O631" s="1223"/>
      <c r="P631" s="1221"/>
      <c r="Q631" s="2829">
        <f>Q632</f>
        <v>322694</v>
      </c>
      <c r="R631" s="1225"/>
      <c r="S631" s="1224">
        <f>S632</f>
        <v>0</v>
      </c>
      <c r="T631" s="1224">
        <f t="shared" si="136"/>
        <v>322694</v>
      </c>
      <c r="U631" s="1224">
        <f t="shared" si="136"/>
        <v>0</v>
      </c>
      <c r="V631" s="1224">
        <f t="shared" si="136"/>
        <v>0</v>
      </c>
      <c r="W631" s="1224">
        <f t="shared" si="136"/>
        <v>0</v>
      </c>
      <c r="X631" s="1224">
        <f t="shared" si="136"/>
        <v>0</v>
      </c>
      <c r="Y631" s="1224">
        <f t="shared" si="136"/>
        <v>0</v>
      </c>
      <c r="Z631" s="1224">
        <f t="shared" si="136"/>
        <v>0</v>
      </c>
      <c r="AA631" s="1224">
        <f t="shared" si="136"/>
        <v>0</v>
      </c>
      <c r="AB631" s="1224">
        <f t="shared" si="136"/>
        <v>0</v>
      </c>
      <c r="AC631" s="1224">
        <f t="shared" si="136"/>
        <v>0</v>
      </c>
      <c r="AD631" s="1224">
        <f t="shared" si="136"/>
        <v>0</v>
      </c>
      <c r="AE631" s="1224">
        <f t="shared" si="136"/>
        <v>0</v>
      </c>
      <c r="AF631" s="1224">
        <f t="shared" si="136"/>
        <v>0</v>
      </c>
      <c r="AG631" s="2829">
        <f>SUM(S631:AF631)</f>
        <v>322694</v>
      </c>
    </row>
    <row r="632" spans="1:33">
      <c r="A632" s="2248">
        <v>4511</v>
      </c>
      <c r="B632" s="2249" t="s">
        <v>970</v>
      </c>
      <c r="C632" s="2249" t="s">
        <v>998</v>
      </c>
      <c r="D632" s="2249"/>
      <c r="E632" s="2249"/>
      <c r="F632" s="2249"/>
      <c r="G632" s="2249"/>
      <c r="H632" s="2249"/>
      <c r="I632" s="2251" t="s">
        <v>169</v>
      </c>
      <c r="J632" s="2251"/>
      <c r="K632" s="2250"/>
      <c r="L632" s="2251">
        <v>2318</v>
      </c>
      <c r="M632" s="2249"/>
      <c r="N632" s="2251"/>
      <c r="O632" s="2253">
        <v>322694</v>
      </c>
      <c r="P632" s="2251">
        <v>1</v>
      </c>
      <c r="Q632" s="2302">
        <f>+O632*P632</f>
        <v>322694</v>
      </c>
      <c r="R632" s="1658"/>
      <c r="S632" s="2253"/>
      <c r="T632" s="2253">
        <v>322694</v>
      </c>
      <c r="U632" s="1695"/>
      <c r="V632" s="1695"/>
      <c r="W632" s="1695"/>
      <c r="X632" s="2052"/>
      <c r="Y632" s="1695"/>
      <c r="Z632" s="1695"/>
      <c r="AA632" s="1695"/>
      <c r="AB632" s="1695"/>
      <c r="AC632" s="1695"/>
      <c r="AD632" s="1695"/>
      <c r="AE632" s="1695"/>
      <c r="AF632" s="1695"/>
      <c r="AG632" s="547">
        <f>SUM(S632:AF632)</f>
        <v>322694</v>
      </c>
    </row>
    <row r="633" spans="1:33" ht="33.75" customHeight="1">
      <c r="A633" s="1815" t="s">
        <v>279</v>
      </c>
      <c r="B633" s="836"/>
      <c r="C633" s="1816"/>
      <c r="D633" s="1818"/>
      <c r="E633" s="1818"/>
      <c r="F633" s="1818"/>
      <c r="G633" s="1818"/>
      <c r="H633" s="1818"/>
      <c r="I633" s="1818"/>
      <c r="J633" s="835"/>
      <c r="K633" s="1815"/>
      <c r="L633" s="1817"/>
      <c r="M633" s="1818"/>
      <c r="N633" s="1819"/>
      <c r="O633" s="1820"/>
      <c r="P633" s="1819"/>
      <c r="Q633" s="1822"/>
      <c r="R633" s="1822"/>
      <c r="S633" s="1860"/>
      <c r="T633" s="1860"/>
      <c r="U633" s="1860"/>
      <c r="V633" s="1860"/>
      <c r="W633" s="1860"/>
      <c r="X633" s="1861"/>
      <c r="Y633" s="1862"/>
      <c r="Z633" s="1863"/>
      <c r="AA633" s="1863"/>
      <c r="AB633" s="1863"/>
      <c r="AC633" s="1863"/>
      <c r="AD633" s="1863"/>
      <c r="AE633" s="1863"/>
      <c r="AF633" s="1863"/>
      <c r="AG633" s="1822"/>
    </row>
    <row r="634" spans="1:33" ht="30" customHeight="1">
      <c r="A634" s="1248" t="s">
        <v>280</v>
      </c>
      <c r="B634" s="274"/>
      <c r="C634" s="278"/>
      <c r="D634" s="1270"/>
      <c r="E634" s="1270"/>
      <c r="F634" s="1270"/>
      <c r="G634" s="1270"/>
      <c r="H634" s="1270"/>
      <c r="I634" s="1270"/>
      <c r="J634" s="273"/>
      <c r="K634" s="1248"/>
      <c r="L634" s="1269"/>
      <c r="M634" s="1270"/>
      <c r="N634" s="1268"/>
      <c r="O634" s="1271"/>
      <c r="P634" s="1268"/>
      <c r="Q634" s="1273"/>
      <c r="R634" s="1273"/>
      <c r="S634" s="1248"/>
      <c r="T634" s="1248"/>
      <c r="U634" s="1248"/>
      <c r="V634" s="1270"/>
      <c r="W634" s="1270"/>
      <c r="X634" s="1437"/>
      <c r="Y634" s="1438"/>
      <c r="Z634" s="1070"/>
      <c r="AA634" s="1070"/>
      <c r="AB634" s="1070"/>
      <c r="AC634" s="1070"/>
      <c r="AD634" s="1070"/>
      <c r="AE634" s="1070"/>
      <c r="AF634" s="1070"/>
      <c r="AG634" s="1273"/>
    </row>
    <row r="635" spans="1:33" ht="16.5" customHeight="1">
      <c r="A635" s="1275">
        <v>511</v>
      </c>
      <c r="B635" s="359"/>
      <c r="C635" s="1021"/>
      <c r="D635" s="1280"/>
      <c r="E635" s="1280"/>
      <c r="F635" s="1280"/>
      <c r="G635" s="1280"/>
      <c r="H635" s="1280"/>
      <c r="I635" s="1280"/>
      <c r="J635" s="283"/>
      <c r="K635" s="1278"/>
      <c r="L635" s="1279"/>
      <c r="M635" s="1280"/>
      <c r="N635" s="1277"/>
      <c r="O635" s="1281"/>
      <c r="P635" s="1277"/>
      <c r="Q635" s="287"/>
      <c r="R635" s="287"/>
      <c r="S635" s="362"/>
      <c r="T635" s="362"/>
      <c r="U635" s="362"/>
      <c r="V635" s="362"/>
      <c r="W635" s="362"/>
      <c r="X635" s="1139"/>
      <c r="Y635" s="1134"/>
      <c r="Z635" s="1134"/>
      <c r="AA635" s="1134"/>
      <c r="AB635" s="1134"/>
      <c r="AC635" s="1134"/>
      <c r="AD635" s="1134"/>
      <c r="AE635" s="1134"/>
      <c r="AF635" s="1134"/>
      <c r="AG635" s="287"/>
    </row>
    <row r="636" spans="1:33">
      <c r="A636" s="294">
        <v>5111</v>
      </c>
      <c r="B636" s="973"/>
      <c r="C636" s="824"/>
      <c r="D636" s="326"/>
      <c r="E636" s="294"/>
      <c r="F636" s="293"/>
      <c r="G636" s="293"/>
      <c r="H636" s="293"/>
      <c r="I636" s="294"/>
      <c r="J636" s="307"/>
      <c r="K636" s="326"/>
      <c r="L636" s="1237"/>
      <c r="M636" s="326"/>
      <c r="N636" s="294"/>
      <c r="O636" s="354"/>
      <c r="P636" s="294"/>
      <c r="Q636" s="299"/>
      <c r="R636" s="299"/>
      <c r="S636" s="355"/>
      <c r="T636" s="355"/>
      <c r="U636" s="355"/>
      <c r="V636" s="355"/>
      <c r="W636" s="355"/>
      <c r="X636" s="1137"/>
      <c r="Y636" s="1126"/>
      <c r="Z636" s="1126"/>
      <c r="AA636" s="1126"/>
      <c r="AB636" s="1126"/>
      <c r="AC636" s="1126"/>
      <c r="AD636" s="1126"/>
      <c r="AE636" s="1126"/>
      <c r="AF636" s="1126"/>
      <c r="AG636" s="547">
        <f>SUM(S636:AF636)</f>
        <v>0</v>
      </c>
    </row>
    <row r="637" spans="1:33" ht="33.75" customHeight="1">
      <c r="A637" s="1864" t="s">
        <v>964</v>
      </c>
      <c r="B637" s="1865"/>
      <c r="C637" s="1866"/>
      <c r="D637" s="1867"/>
      <c r="E637" s="1867"/>
      <c r="F637" s="1867"/>
      <c r="G637" s="1867"/>
      <c r="H637" s="1867"/>
      <c r="I637" s="1868"/>
      <c r="J637" s="841"/>
      <c r="K637" s="1869"/>
      <c r="L637" s="1870"/>
      <c r="M637" s="1871"/>
      <c r="N637" s="1871"/>
      <c r="O637" s="1872"/>
      <c r="P637" s="1871"/>
      <c r="Q637" s="1993">
        <f>Q638+Q643+Q648</f>
        <v>129744.98000000001</v>
      </c>
      <c r="R637" s="1873">
        <f>+R638+R643+R648</f>
        <v>129747.66</v>
      </c>
      <c r="S637" s="1872">
        <f t="shared" ref="S637:AG637" si="137">S638+S643+S648</f>
        <v>0</v>
      </c>
      <c r="T637" s="1872">
        <f t="shared" si="137"/>
        <v>10350</v>
      </c>
      <c r="U637" s="1872">
        <f t="shared" si="137"/>
        <v>27783</v>
      </c>
      <c r="V637" s="1872">
        <f t="shared" si="137"/>
        <v>30319.986666666668</v>
      </c>
      <c r="W637" s="1872">
        <f t="shared" si="137"/>
        <v>35925.993333333332</v>
      </c>
      <c r="X637" s="1872">
        <f t="shared" si="137"/>
        <v>25366</v>
      </c>
      <c r="Y637" s="1872">
        <f t="shared" si="137"/>
        <v>0</v>
      </c>
      <c r="Z637" s="842">
        <f t="shared" si="137"/>
        <v>0</v>
      </c>
      <c r="AA637" s="842">
        <f t="shared" si="137"/>
        <v>0</v>
      </c>
      <c r="AB637" s="842">
        <f t="shared" si="137"/>
        <v>0</v>
      </c>
      <c r="AC637" s="842">
        <f t="shared" si="137"/>
        <v>0</v>
      </c>
      <c r="AD637" s="842">
        <f t="shared" si="137"/>
        <v>0</v>
      </c>
      <c r="AE637" s="842">
        <f t="shared" si="137"/>
        <v>0</v>
      </c>
      <c r="AF637" s="842">
        <f t="shared" si="137"/>
        <v>0</v>
      </c>
      <c r="AG637" s="1993">
        <f t="shared" si="137"/>
        <v>129744.98</v>
      </c>
    </row>
    <row r="638" spans="1:33" ht="33" customHeight="1">
      <c r="A638" s="1248" t="s">
        <v>282</v>
      </c>
      <c r="B638" s="274"/>
      <c r="C638" s="278"/>
      <c r="D638" s="1270"/>
      <c r="E638" s="1270"/>
      <c r="F638" s="1270"/>
      <c r="G638" s="1270"/>
      <c r="H638" s="1270"/>
      <c r="I638" s="1270"/>
      <c r="J638" s="273"/>
      <c r="K638" s="1248"/>
      <c r="L638" s="1269"/>
      <c r="M638" s="1270"/>
      <c r="N638" s="1268"/>
      <c r="O638" s="1271"/>
      <c r="P638" s="1268"/>
      <c r="Q638" s="1273">
        <f>+Q639+Q641</f>
        <v>0</v>
      </c>
      <c r="R638" s="1273"/>
      <c r="S638" s="1272">
        <f t="shared" ref="S638:AG638" si="138">+S639+S641</f>
        <v>0</v>
      </c>
      <c r="T638" s="1272">
        <f t="shared" si="138"/>
        <v>0</v>
      </c>
      <c r="U638" s="1272">
        <f t="shared" si="138"/>
        <v>0</v>
      </c>
      <c r="V638" s="1272">
        <f t="shared" si="138"/>
        <v>0</v>
      </c>
      <c r="W638" s="1272">
        <f t="shared" si="138"/>
        <v>0</v>
      </c>
      <c r="X638" s="1272">
        <f t="shared" si="138"/>
        <v>0</v>
      </c>
      <c r="Y638" s="1272">
        <f t="shared" si="138"/>
        <v>0</v>
      </c>
      <c r="Z638" s="276">
        <f t="shared" si="138"/>
        <v>0</v>
      </c>
      <c r="AA638" s="276">
        <f t="shared" si="138"/>
        <v>0</v>
      </c>
      <c r="AB638" s="276">
        <f t="shared" si="138"/>
        <v>0</v>
      </c>
      <c r="AC638" s="276">
        <f t="shared" si="138"/>
        <v>0</v>
      </c>
      <c r="AD638" s="276">
        <f t="shared" si="138"/>
        <v>0</v>
      </c>
      <c r="AE638" s="276">
        <f t="shared" si="138"/>
        <v>0</v>
      </c>
      <c r="AF638" s="276">
        <f t="shared" si="138"/>
        <v>0</v>
      </c>
      <c r="AG638" s="1273">
        <f t="shared" si="138"/>
        <v>0</v>
      </c>
    </row>
    <row r="639" spans="1:33" ht="16.5" customHeight="1">
      <c r="A639" s="1275">
        <v>611</v>
      </c>
      <c r="B639" s="359"/>
      <c r="C639" s="1021"/>
      <c r="D639" s="1280"/>
      <c r="E639" s="1280"/>
      <c r="F639" s="1280"/>
      <c r="G639" s="1280"/>
      <c r="H639" s="1280"/>
      <c r="I639" s="1280"/>
      <c r="J639" s="283"/>
      <c r="K639" s="1278"/>
      <c r="L639" s="1279"/>
      <c r="M639" s="1280"/>
      <c r="N639" s="1277"/>
      <c r="O639" s="1281"/>
      <c r="P639" s="1277"/>
      <c r="Q639" s="287">
        <f>SUM(Q640:Q640)</f>
        <v>0</v>
      </c>
      <c r="R639" s="287"/>
      <c r="S639" s="1395">
        <f t="shared" ref="S639:AF639" si="139">SUM(S640:S640)</f>
        <v>0</v>
      </c>
      <c r="T639" s="1395">
        <f t="shared" si="139"/>
        <v>0</v>
      </c>
      <c r="U639" s="1395">
        <f t="shared" si="139"/>
        <v>0</v>
      </c>
      <c r="V639" s="1395">
        <f t="shared" si="139"/>
        <v>0</v>
      </c>
      <c r="W639" s="1395">
        <f t="shared" si="139"/>
        <v>0</v>
      </c>
      <c r="X639" s="1395">
        <f t="shared" si="139"/>
        <v>0</v>
      </c>
      <c r="Y639" s="1395">
        <f t="shared" si="139"/>
        <v>0</v>
      </c>
      <c r="Z639" s="361">
        <f t="shared" si="139"/>
        <v>0</v>
      </c>
      <c r="AA639" s="361">
        <f t="shared" si="139"/>
        <v>0</v>
      </c>
      <c r="AB639" s="361">
        <f t="shared" si="139"/>
        <v>0</v>
      </c>
      <c r="AC639" s="361">
        <f t="shared" si="139"/>
        <v>0</v>
      </c>
      <c r="AD639" s="361">
        <f t="shared" si="139"/>
        <v>0</v>
      </c>
      <c r="AE639" s="361">
        <f t="shared" si="139"/>
        <v>0</v>
      </c>
      <c r="AF639" s="361">
        <f t="shared" si="139"/>
        <v>0</v>
      </c>
      <c r="AG639" s="287">
        <f>SUM(S639:AF639)</f>
        <v>0</v>
      </c>
    </row>
    <row r="640" spans="1:33">
      <c r="A640" s="294">
        <v>6111</v>
      </c>
      <c r="B640" s="973"/>
      <c r="C640" s="824"/>
      <c r="D640" s="326"/>
      <c r="E640" s="294"/>
      <c r="F640" s="293"/>
      <c r="G640" s="293"/>
      <c r="H640" s="293"/>
      <c r="I640" s="294"/>
      <c r="J640" s="307"/>
      <c r="K640" s="326"/>
      <c r="L640" s="1237"/>
      <c r="M640" s="326"/>
      <c r="N640" s="294"/>
      <c r="O640" s="354"/>
      <c r="P640" s="294"/>
      <c r="Q640" s="299"/>
      <c r="R640" s="299"/>
      <c r="S640" s="355"/>
      <c r="T640" s="355"/>
      <c r="U640" s="355"/>
      <c r="V640" s="355"/>
      <c r="W640" s="355"/>
      <c r="X640" s="1137"/>
      <c r="Y640" s="1126"/>
      <c r="Z640" s="1126"/>
      <c r="AA640" s="1126"/>
      <c r="AB640" s="1126"/>
      <c r="AC640" s="1126"/>
      <c r="AD640" s="1126"/>
      <c r="AE640" s="1126"/>
      <c r="AF640" s="1126"/>
      <c r="AG640" s="547">
        <f>SUM(S640:AF640)</f>
        <v>0</v>
      </c>
    </row>
    <row r="641" spans="1:33" ht="16.5" customHeight="1">
      <c r="A641" s="1275">
        <v>612</v>
      </c>
      <c r="B641" s="359"/>
      <c r="C641" s="1021"/>
      <c r="D641" s="1280"/>
      <c r="E641" s="1280"/>
      <c r="F641" s="1280"/>
      <c r="G641" s="1280"/>
      <c r="H641" s="1280"/>
      <c r="I641" s="1280"/>
      <c r="J641" s="283"/>
      <c r="K641" s="1278"/>
      <c r="L641" s="1279"/>
      <c r="M641" s="1280"/>
      <c r="N641" s="1277"/>
      <c r="O641" s="1281"/>
      <c r="P641" s="1277"/>
      <c r="Q641" s="287">
        <f>SUM(Q642:Q642)</f>
        <v>0</v>
      </c>
      <c r="R641" s="287"/>
      <c r="S641" s="1395">
        <f t="shared" ref="S641:AF641" si="140">SUM(S642:S642)</f>
        <v>0</v>
      </c>
      <c r="T641" s="1395">
        <f t="shared" si="140"/>
        <v>0</v>
      </c>
      <c r="U641" s="1395">
        <f t="shared" si="140"/>
        <v>0</v>
      </c>
      <c r="V641" s="1395">
        <f t="shared" si="140"/>
        <v>0</v>
      </c>
      <c r="W641" s="1395">
        <f t="shared" si="140"/>
        <v>0</v>
      </c>
      <c r="X641" s="1395">
        <f t="shared" si="140"/>
        <v>0</v>
      </c>
      <c r="Y641" s="1395">
        <f t="shared" si="140"/>
        <v>0</v>
      </c>
      <c r="Z641" s="361">
        <f t="shared" si="140"/>
        <v>0</v>
      </c>
      <c r="AA641" s="361">
        <f t="shared" si="140"/>
        <v>0</v>
      </c>
      <c r="AB641" s="361">
        <f t="shared" si="140"/>
        <v>0</v>
      </c>
      <c r="AC641" s="361">
        <f t="shared" si="140"/>
        <v>0</v>
      </c>
      <c r="AD641" s="361">
        <f t="shared" si="140"/>
        <v>0</v>
      </c>
      <c r="AE641" s="361">
        <f t="shared" si="140"/>
        <v>0</v>
      </c>
      <c r="AF641" s="361">
        <f t="shared" si="140"/>
        <v>0</v>
      </c>
      <c r="AG641" s="287">
        <f>SUM(S641:AF641)</f>
        <v>0</v>
      </c>
    </row>
    <row r="642" spans="1:33">
      <c r="A642" s="294">
        <v>6121</v>
      </c>
      <c r="B642" s="973"/>
      <c r="C642" s="824"/>
      <c r="D642" s="326"/>
      <c r="E642" s="294"/>
      <c r="F642" s="293"/>
      <c r="G642" s="293"/>
      <c r="H642" s="293"/>
      <c r="I642" s="294"/>
      <c r="J642" s="307"/>
      <c r="K642" s="326"/>
      <c r="L642" s="1237"/>
      <c r="M642" s="326"/>
      <c r="N642" s="294"/>
      <c r="O642" s="354"/>
      <c r="P642" s="294"/>
      <c r="Q642" s="299"/>
      <c r="R642" s="299"/>
      <c r="S642" s="355"/>
      <c r="T642" s="355"/>
      <c r="U642" s="355"/>
      <c r="V642" s="355"/>
      <c r="W642" s="355"/>
      <c r="X642" s="1137"/>
      <c r="Y642" s="1126"/>
      <c r="Z642" s="1126"/>
      <c r="AA642" s="1126"/>
      <c r="AB642" s="1126"/>
      <c r="AC642" s="1126"/>
      <c r="AD642" s="1126"/>
      <c r="AE642" s="1126"/>
      <c r="AF642" s="1126"/>
      <c r="AG642" s="547">
        <f>SUM(S642:AF642)</f>
        <v>0</v>
      </c>
    </row>
    <row r="643" spans="1:33" ht="38.25" customHeight="1">
      <c r="A643" s="1553" t="s">
        <v>283</v>
      </c>
      <c r="B643" s="1542"/>
      <c r="C643" s="1500"/>
      <c r="D643" s="1450"/>
      <c r="E643" s="1450"/>
      <c r="F643" s="1450"/>
      <c r="G643" s="1450"/>
      <c r="H643" s="1450"/>
      <c r="I643" s="1451"/>
      <c r="J643" s="273"/>
      <c r="K643" s="1248"/>
      <c r="L643" s="1269"/>
      <c r="M643" s="1270"/>
      <c r="N643" s="1268"/>
      <c r="O643" s="1271"/>
      <c r="P643" s="1268"/>
      <c r="Q643" s="1273">
        <f>+Q644+Q646</f>
        <v>0</v>
      </c>
      <c r="R643" s="1273"/>
      <c r="S643" s="1272">
        <f t="shared" ref="S643:AG643" si="141">+S644+S646</f>
        <v>0</v>
      </c>
      <c r="T643" s="1272">
        <f t="shared" si="141"/>
        <v>0</v>
      </c>
      <c r="U643" s="1272">
        <f t="shared" si="141"/>
        <v>0</v>
      </c>
      <c r="V643" s="1272">
        <f t="shared" si="141"/>
        <v>0</v>
      </c>
      <c r="W643" s="1272">
        <f t="shared" si="141"/>
        <v>0</v>
      </c>
      <c r="X643" s="1272">
        <f t="shared" si="141"/>
        <v>0</v>
      </c>
      <c r="Y643" s="1272">
        <f t="shared" si="141"/>
        <v>0</v>
      </c>
      <c r="Z643" s="276">
        <f t="shared" si="141"/>
        <v>0</v>
      </c>
      <c r="AA643" s="276">
        <f t="shared" si="141"/>
        <v>0</v>
      </c>
      <c r="AB643" s="276">
        <f t="shared" si="141"/>
        <v>0</v>
      </c>
      <c r="AC643" s="276">
        <f t="shared" si="141"/>
        <v>0</v>
      </c>
      <c r="AD643" s="276">
        <f t="shared" si="141"/>
        <v>0</v>
      </c>
      <c r="AE643" s="276">
        <f t="shared" si="141"/>
        <v>0</v>
      </c>
      <c r="AF643" s="276">
        <f t="shared" si="141"/>
        <v>0</v>
      </c>
      <c r="AG643" s="1273">
        <f t="shared" si="141"/>
        <v>0</v>
      </c>
    </row>
    <row r="644" spans="1:33" ht="16.5" customHeight="1">
      <c r="A644" s="1275">
        <v>621</v>
      </c>
      <c r="B644" s="359"/>
      <c r="C644" s="1021"/>
      <c r="D644" s="1280"/>
      <c r="E644" s="1280"/>
      <c r="F644" s="1280"/>
      <c r="G644" s="1280"/>
      <c r="H644" s="1280"/>
      <c r="I644" s="1280"/>
      <c r="J644" s="283"/>
      <c r="K644" s="1278"/>
      <c r="L644" s="1279"/>
      <c r="M644" s="1280"/>
      <c r="N644" s="1277"/>
      <c r="O644" s="1281"/>
      <c r="P644" s="1277"/>
      <c r="Q644" s="287">
        <f>SUM(Q645:Q645)</f>
        <v>0</v>
      </c>
      <c r="R644" s="287"/>
      <c r="S644" s="1395">
        <f t="shared" ref="S644:AF644" si="142">SUM(S645:S645)</f>
        <v>0</v>
      </c>
      <c r="T644" s="1395">
        <f t="shared" si="142"/>
        <v>0</v>
      </c>
      <c r="U644" s="1395">
        <f t="shared" si="142"/>
        <v>0</v>
      </c>
      <c r="V644" s="1395">
        <f t="shared" si="142"/>
        <v>0</v>
      </c>
      <c r="W644" s="1395">
        <f t="shared" si="142"/>
        <v>0</v>
      </c>
      <c r="X644" s="1395">
        <f t="shared" si="142"/>
        <v>0</v>
      </c>
      <c r="Y644" s="1395">
        <f t="shared" si="142"/>
        <v>0</v>
      </c>
      <c r="Z644" s="361">
        <f t="shared" si="142"/>
        <v>0</v>
      </c>
      <c r="AA644" s="361">
        <f t="shared" si="142"/>
        <v>0</v>
      </c>
      <c r="AB644" s="361">
        <f t="shared" si="142"/>
        <v>0</v>
      </c>
      <c r="AC644" s="361">
        <f t="shared" si="142"/>
        <v>0</v>
      </c>
      <c r="AD644" s="361">
        <f t="shared" si="142"/>
        <v>0</v>
      </c>
      <c r="AE644" s="361">
        <f t="shared" si="142"/>
        <v>0</v>
      </c>
      <c r="AF644" s="361">
        <f t="shared" si="142"/>
        <v>0</v>
      </c>
      <c r="AG644" s="287">
        <f>SUM(S644:AF644)</f>
        <v>0</v>
      </c>
    </row>
    <row r="645" spans="1:33">
      <c r="A645" s="294">
        <v>6211</v>
      </c>
      <c r="B645" s="973"/>
      <c r="C645" s="824"/>
      <c r="D645" s="326"/>
      <c r="E645" s="294"/>
      <c r="F645" s="293"/>
      <c r="G645" s="293"/>
      <c r="H645" s="293"/>
      <c r="I645" s="294"/>
      <c r="J645" s="307"/>
      <c r="K645" s="326"/>
      <c r="L645" s="1237"/>
      <c r="M645" s="326"/>
      <c r="N645" s="294"/>
      <c r="O645" s="354"/>
      <c r="P645" s="294"/>
      <c r="Q645" s="299"/>
      <c r="R645" s="299"/>
      <c r="S645" s="355"/>
      <c r="T645" s="355"/>
      <c r="U645" s="355"/>
      <c r="V645" s="355"/>
      <c r="W645" s="355"/>
      <c r="X645" s="1137"/>
      <c r="Y645" s="1126"/>
      <c r="Z645" s="1126"/>
      <c r="AA645" s="1126"/>
      <c r="AB645" s="1126"/>
      <c r="AC645" s="1126"/>
      <c r="AD645" s="1126"/>
      <c r="AE645" s="1126"/>
      <c r="AF645" s="1126"/>
      <c r="AG645" s="547">
        <f>SUM(S645:AF645)</f>
        <v>0</v>
      </c>
    </row>
    <row r="646" spans="1:33" ht="16.5" customHeight="1">
      <c r="A646" s="1275">
        <v>622</v>
      </c>
      <c r="B646" s="359"/>
      <c r="C646" s="1021"/>
      <c r="D646" s="1280"/>
      <c r="E646" s="1280"/>
      <c r="F646" s="1280"/>
      <c r="G646" s="1280"/>
      <c r="H646" s="1280"/>
      <c r="I646" s="1280"/>
      <c r="J646" s="283"/>
      <c r="K646" s="1278"/>
      <c r="L646" s="1279"/>
      <c r="M646" s="1280"/>
      <c r="N646" s="1277"/>
      <c r="O646" s="1281"/>
      <c r="P646" s="1277"/>
      <c r="Q646" s="287">
        <f>SUM(Q647:Q647)</f>
        <v>0</v>
      </c>
      <c r="R646" s="287"/>
      <c r="S646" s="1395">
        <f t="shared" ref="S646:AF646" si="143">SUM(S647:S647)</f>
        <v>0</v>
      </c>
      <c r="T646" s="1395">
        <f t="shared" si="143"/>
        <v>0</v>
      </c>
      <c r="U646" s="1395">
        <f t="shared" si="143"/>
        <v>0</v>
      </c>
      <c r="V646" s="1395">
        <f t="shared" si="143"/>
        <v>0</v>
      </c>
      <c r="W646" s="1395">
        <f t="shared" si="143"/>
        <v>0</v>
      </c>
      <c r="X646" s="1395">
        <f t="shared" si="143"/>
        <v>0</v>
      </c>
      <c r="Y646" s="1395">
        <f t="shared" si="143"/>
        <v>0</v>
      </c>
      <c r="Z646" s="361">
        <f t="shared" si="143"/>
        <v>0</v>
      </c>
      <c r="AA646" s="361">
        <f t="shared" si="143"/>
        <v>0</v>
      </c>
      <c r="AB646" s="361">
        <f t="shared" si="143"/>
        <v>0</v>
      </c>
      <c r="AC646" s="361">
        <f t="shared" si="143"/>
        <v>0</v>
      </c>
      <c r="AD646" s="361">
        <f t="shared" si="143"/>
        <v>0</v>
      </c>
      <c r="AE646" s="361">
        <f t="shared" si="143"/>
        <v>0</v>
      </c>
      <c r="AF646" s="361">
        <f t="shared" si="143"/>
        <v>0</v>
      </c>
      <c r="AG646" s="287">
        <f>SUM(S646:AF646)</f>
        <v>0</v>
      </c>
    </row>
    <row r="647" spans="1:33">
      <c r="A647" s="294">
        <v>6221</v>
      </c>
      <c r="B647" s="973"/>
      <c r="C647" s="824"/>
      <c r="D647" s="326"/>
      <c r="E647" s="294"/>
      <c r="F647" s="293"/>
      <c r="G647" s="293"/>
      <c r="H647" s="293"/>
      <c r="I647" s="294"/>
      <c r="J647" s="307"/>
      <c r="K647" s="326"/>
      <c r="L647" s="1237"/>
      <c r="M647" s="326"/>
      <c r="N647" s="294"/>
      <c r="O647" s="354"/>
      <c r="P647" s="294"/>
      <c r="Q647" s="299"/>
      <c r="R647" s="299"/>
      <c r="S647" s="355"/>
      <c r="T647" s="355"/>
      <c r="U647" s="355"/>
      <c r="V647" s="355"/>
      <c r="W647" s="355"/>
      <c r="X647" s="1137"/>
      <c r="Y647" s="1126"/>
      <c r="Z647" s="1126"/>
      <c r="AA647" s="1126"/>
      <c r="AB647" s="1126"/>
      <c r="AC647" s="1126"/>
      <c r="AD647" s="1126"/>
      <c r="AE647" s="1126"/>
      <c r="AF647" s="1126"/>
      <c r="AG647" s="547">
        <f>SUM(S647:AF647)</f>
        <v>0</v>
      </c>
    </row>
    <row r="648" spans="1:33" ht="38.25" customHeight="1">
      <c r="A648" s="1248" t="s">
        <v>284</v>
      </c>
      <c r="B648" s="274"/>
      <c r="C648" s="278"/>
      <c r="D648" s="1270"/>
      <c r="E648" s="1270"/>
      <c r="F648" s="1270"/>
      <c r="G648" s="1270"/>
      <c r="H648" s="1270"/>
      <c r="I648" s="1270"/>
      <c r="J648" s="273"/>
      <c r="K648" s="1248"/>
      <c r="L648" s="1269"/>
      <c r="M648" s="1270"/>
      <c r="N648" s="1268"/>
      <c r="O648" s="1271"/>
      <c r="P648" s="1268"/>
      <c r="Q648" s="1273">
        <f>Q649+Q659</f>
        <v>129744.98000000001</v>
      </c>
      <c r="R648" s="1273">
        <f>+'[7]Compil Costing PPA 3 millions'!F20</f>
        <v>129747.66</v>
      </c>
      <c r="S648" s="1272">
        <f t="shared" ref="S648:AG648" si="144">S649+S659</f>
        <v>0</v>
      </c>
      <c r="T648" s="1272">
        <f t="shared" si="144"/>
        <v>10350</v>
      </c>
      <c r="U648" s="1272">
        <f t="shared" si="144"/>
        <v>27783</v>
      </c>
      <c r="V648" s="1272">
        <f t="shared" si="144"/>
        <v>30319.986666666668</v>
      </c>
      <c r="W648" s="1272">
        <f t="shared" si="144"/>
        <v>35925.993333333332</v>
      </c>
      <c r="X648" s="1272">
        <f t="shared" si="144"/>
        <v>25366</v>
      </c>
      <c r="Y648" s="1272">
        <f t="shared" si="144"/>
        <v>0</v>
      </c>
      <c r="Z648" s="276">
        <f t="shared" si="144"/>
        <v>0</v>
      </c>
      <c r="AA648" s="276">
        <f t="shared" si="144"/>
        <v>0</v>
      </c>
      <c r="AB648" s="276">
        <f t="shared" si="144"/>
        <v>0</v>
      </c>
      <c r="AC648" s="276">
        <f t="shared" si="144"/>
        <v>0</v>
      </c>
      <c r="AD648" s="276">
        <f t="shared" si="144"/>
        <v>0</v>
      </c>
      <c r="AE648" s="276">
        <f t="shared" si="144"/>
        <v>0</v>
      </c>
      <c r="AF648" s="276">
        <f t="shared" si="144"/>
        <v>0</v>
      </c>
      <c r="AG648" s="1273">
        <f t="shared" si="144"/>
        <v>129744.98</v>
      </c>
    </row>
    <row r="649" spans="1:33" ht="47.25">
      <c r="A649" s="1275">
        <v>631</v>
      </c>
      <c r="B649" s="359" t="s">
        <v>140</v>
      </c>
      <c r="C649" s="1021"/>
      <c r="D649" s="1280"/>
      <c r="E649" s="1280"/>
      <c r="F649" s="1280"/>
      <c r="G649" s="1280"/>
      <c r="H649" s="1280"/>
      <c r="I649" s="1280"/>
      <c r="J649" s="283"/>
      <c r="K649" s="1278"/>
      <c r="L649" s="1279"/>
      <c r="M649" s="1280"/>
      <c r="N649" s="1277"/>
      <c r="O649" s="1281"/>
      <c r="P649" s="1277"/>
      <c r="Q649" s="547">
        <f>SUM(Q650:Q658)</f>
        <v>39400.000000000007</v>
      </c>
      <c r="R649" s="287"/>
      <c r="S649" s="1282">
        <f t="shared" ref="S649:AF649" si="145">SUM(S650:S658)</f>
        <v>0</v>
      </c>
      <c r="T649" s="1282">
        <f t="shared" si="145"/>
        <v>3600</v>
      </c>
      <c r="U649" s="1282">
        <f t="shared" si="145"/>
        <v>10200</v>
      </c>
      <c r="V649" s="1282">
        <f t="shared" si="145"/>
        <v>10200</v>
      </c>
      <c r="W649" s="1282">
        <f t="shared" si="145"/>
        <v>8200.0000000000018</v>
      </c>
      <c r="X649" s="1282">
        <f t="shared" si="145"/>
        <v>7200</v>
      </c>
      <c r="Y649" s="1282">
        <f t="shared" si="145"/>
        <v>0</v>
      </c>
      <c r="Z649" s="1282">
        <f t="shared" si="145"/>
        <v>0</v>
      </c>
      <c r="AA649" s="1282">
        <f t="shared" si="145"/>
        <v>0</v>
      </c>
      <c r="AB649" s="1282">
        <f t="shared" si="145"/>
        <v>0</v>
      </c>
      <c r="AC649" s="1282">
        <f t="shared" si="145"/>
        <v>0</v>
      </c>
      <c r="AD649" s="1282">
        <f t="shared" si="145"/>
        <v>0</v>
      </c>
      <c r="AE649" s="1282">
        <f t="shared" si="145"/>
        <v>0</v>
      </c>
      <c r="AF649" s="1282">
        <f t="shared" si="145"/>
        <v>0</v>
      </c>
      <c r="AG649" s="547">
        <f>SUM(S649:AF649)</f>
        <v>39400</v>
      </c>
    </row>
    <row r="650" spans="1:33" ht="36" customHeight="1">
      <c r="A650" s="2789">
        <v>6311</v>
      </c>
      <c r="B650" s="2790" t="s">
        <v>404</v>
      </c>
      <c r="C650" s="2790" t="s">
        <v>405</v>
      </c>
      <c r="D650" s="2791"/>
      <c r="E650" s="2789"/>
      <c r="F650" s="2792">
        <v>43205</v>
      </c>
      <c r="G650" s="2792">
        <v>43342</v>
      </c>
      <c r="H650" s="2997" t="s">
        <v>406</v>
      </c>
      <c r="I650" s="2789" t="s">
        <v>181</v>
      </c>
      <c r="J650" s="2793" t="s">
        <v>407</v>
      </c>
      <c r="K650" s="326" t="s">
        <v>408</v>
      </c>
      <c r="L650" s="1237">
        <v>2313</v>
      </c>
      <c r="M650" s="326"/>
      <c r="N650" s="294"/>
      <c r="O650" s="354">
        <v>18000</v>
      </c>
      <c r="P650" s="1014">
        <v>1</v>
      </c>
      <c r="Q650" s="518">
        <f t="shared" ref="Q650:Q658" si="146">O650*P650</f>
        <v>18000</v>
      </c>
      <c r="R650" s="299"/>
      <c r="S650" s="299"/>
      <c r="T650" s="299">
        <v>3600</v>
      </c>
      <c r="U650" s="299"/>
      <c r="V650" s="299"/>
      <c r="W650" s="299">
        <v>7200</v>
      </c>
      <c r="X650" s="1142">
        <v>7200</v>
      </c>
      <c r="Y650" s="1127"/>
      <c r="Z650" s="1127"/>
      <c r="AA650" s="1127"/>
      <c r="AB650" s="1127"/>
      <c r="AC650" s="1127"/>
      <c r="AD650" s="1127"/>
      <c r="AE650" s="1127"/>
      <c r="AF650" s="1127"/>
      <c r="AG650" s="547">
        <f t="shared" ref="AG650:AG658" si="147">SUM(S650:AF650)</f>
        <v>18000</v>
      </c>
    </row>
    <row r="651" spans="1:33" ht="94.5">
      <c r="A651" s="2789">
        <v>6312</v>
      </c>
      <c r="B651" s="2790" t="s">
        <v>409</v>
      </c>
      <c r="C651" s="2790" t="s">
        <v>410</v>
      </c>
      <c r="D651" s="2791"/>
      <c r="E651" s="2789"/>
      <c r="F651" s="2792">
        <v>43241</v>
      </c>
      <c r="G651" s="2792">
        <v>43273</v>
      </c>
      <c r="H651" s="2996" t="s">
        <v>406</v>
      </c>
      <c r="I651" s="2789" t="s">
        <v>181</v>
      </c>
      <c r="J651" s="2793" t="s">
        <v>411</v>
      </c>
      <c r="K651" s="1124"/>
      <c r="L651" s="1704"/>
      <c r="M651" s="1124"/>
      <c r="N651" s="1703"/>
      <c r="O651" s="1125"/>
      <c r="P651" s="2995"/>
      <c r="Q651" s="1164"/>
      <c r="R651" s="1127"/>
      <c r="S651" s="1127"/>
      <c r="T651" s="1127"/>
      <c r="U651" s="1127"/>
      <c r="V651" s="1127"/>
      <c r="W651" s="1127"/>
      <c r="X651" s="1142"/>
      <c r="Y651" s="1127"/>
      <c r="Z651" s="1127"/>
      <c r="AA651" s="1127"/>
      <c r="AB651" s="1127"/>
      <c r="AC651" s="1127"/>
      <c r="AD651" s="1127"/>
      <c r="AE651" s="1127"/>
      <c r="AF651" s="1127"/>
      <c r="AG651" s="2355"/>
    </row>
    <row r="652" spans="1:33" ht="94.5" hidden="1">
      <c r="A652" s="294">
        <v>6312</v>
      </c>
      <c r="B652" s="291" t="s">
        <v>409</v>
      </c>
      <c r="C652" s="824" t="s">
        <v>410</v>
      </c>
      <c r="D652" s="326"/>
      <c r="E652" s="294"/>
      <c r="F652" s="293">
        <v>43241</v>
      </c>
      <c r="G652" s="293">
        <v>43273</v>
      </c>
      <c r="H652" s="1875" t="s">
        <v>406</v>
      </c>
      <c r="I652" s="294" t="s">
        <v>181</v>
      </c>
      <c r="J652" s="307" t="s">
        <v>411</v>
      </c>
      <c r="K652" s="326" t="s">
        <v>412</v>
      </c>
      <c r="L652" s="1237">
        <v>23174</v>
      </c>
      <c r="M652" s="326"/>
      <c r="N652" s="294"/>
      <c r="O652" s="354">
        <v>2100</v>
      </c>
      <c r="P652" s="1014">
        <v>4</v>
      </c>
      <c r="Q652" s="299">
        <f t="shared" si="146"/>
        <v>8400</v>
      </c>
      <c r="R652" s="299"/>
      <c r="S652" s="299"/>
      <c r="T652" s="299"/>
      <c r="U652" s="299">
        <v>4200</v>
      </c>
      <c r="V652" s="299">
        <v>4200</v>
      </c>
      <c r="W652" s="299"/>
      <c r="X652" s="1142"/>
      <c r="Y652" s="1127"/>
      <c r="Z652" s="1127"/>
      <c r="AA652" s="1127"/>
      <c r="AB652" s="1127"/>
      <c r="AC652" s="1127"/>
      <c r="AD652" s="1127"/>
      <c r="AE652" s="1127"/>
      <c r="AF652" s="1127"/>
      <c r="AG652" s="547">
        <f t="shared" si="147"/>
        <v>8400</v>
      </c>
    </row>
    <row r="653" spans="1:33" ht="94.5" hidden="1">
      <c r="A653" s="294">
        <v>6312</v>
      </c>
      <c r="B653" s="291" t="s">
        <v>409</v>
      </c>
      <c r="C653" s="824" t="s">
        <v>410</v>
      </c>
      <c r="D653" s="326"/>
      <c r="E653" s="294"/>
      <c r="F653" s="293">
        <v>43241</v>
      </c>
      <c r="G653" s="293">
        <v>43273</v>
      </c>
      <c r="H653" s="1875" t="s">
        <v>406</v>
      </c>
      <c r="I653" s="294" t="s">
        <v>181</v>
      </c>
      <c r="J653" s="307" t="s">
        <v>411</v>
      </c>
      <c r="K653" s="326" t="s">
        <v>413</v>
      </c>
      <c r="L653" s="1237">
        <v>23174</v>
      </c>
      <c r="M653" s="326"/>
      <c r="N653" s="294"/>
      <c r="O653" s="354">
        <v>2000</v>
      </c>
      <c r="P653" s="1014">
        <v>4</v>
      </c>
      <c r="Q653" s="299">
        <f t="shared" si="146"/>
        <v>8000</v>
      </c>
      <c r="R653" s="299"/>
      <c r="S653" s="299"/>
      <c r="T653" s="299"/>
      <c r="U653" s="299">
        <v>4000</v>
      </c>
      <c r="V653" s="299">
        <v>4000</v>
      </c>
      <c r="W653" s="299"/>
      <c r="X653" s="1142"/>
      <c r="Y653" s="1127"/>
      <c r="Z653" s="1127"/>
      <c r="AA653" s="1127"/>
      <c r="AB653" s="1127"/>
      <c r="AC653" s="1127"/>
      <c r="AD653" s="1127"/>
      <c r="AE653" s="1127"/>
      <c r="AF653" s="1127"/>
      <c r="AG653" s="547">
        <f t="shared" si="147"/>
        <v>8000</v>
      </c>
    </row>
    <row r="654" spans="1:33" ht="94.5" hidden="1">
      <c r="A654" s="294">
        <v>6312</v>
      </c>
      <c r="B654" s="291" t="s">
        <v>409</v>
      </c>
      <c r="C654" s="824" t="s">
        <v>410</v>
      </c>
      <c r="D654" s="326"/>
      <c r="E654" s="294"/>
      <c r="F654" s="293">
        <v>43241</v>
      </c>
      <c r="G654" s="293">
        <v>43273</v>
      </c>
      <c r="H654" s="1875" t="s">
        <v>406</v>
      </c>
      <c r="I654" s="294" t="s">
        <v>181</v>
      </c>
      <c r="J654" s="307" t="s">
        <v>411</v>
      </c>
      <c r="K654" s="326" t="s">
        <v>414</v>
      </c>
      <c r="L654" s="1237">
        <v>23174</v>
      </c>
      <c r="M654" s="326"/>
      <c r="N654" s="294"/>
      <c r="O654" s="354">
        <v>833.25</v>
      </c>
      <c r="P654" s="1014">
        <v>4</v>
      </c>
      <c r="Q654" s="299">
        <f t="shared" si="146"/>
        <v>3333</v>
      </c>
      <c r="R654" s="299"/>
      <c r="S654" s="299"/>
      <c r="T654" s="299"/>
      <c r="U654" s="299">
        <v>1666.5</v>
      </c>
      <c r="V654" s="299">
        <v>1666.5</v>
      </c>
      <c r="W654" s="299"/>
      <c r="X654" s="1142"/>
      <c r="Y654" s="1127"/>
      <c r="Z654" s="1127"/>
      <c r="AA654" s="1127"/>
      <c r="AB654" s="1127"/>
      <c r="AC654" s="1127"/>
      <c r="AD654" s="1127"/>
      <c r="AE654" s="1127"/>
      <c r="AF654" s="1127"/>
      <c r="AG654" s="547">
        <f t="shared" si="147"/>
        <v>3333</v>
      </c>
    </row>
    <row r="655" spans="1:33" ht="94.5" hidden="1">
      <c r="A655" s="294">
        <v>6312</v>
      </c>
      <c r="B655" s="291" t="s">
        <v>409</v>
      </c>
      <c r="C655" s="824" t="s">
        <v>410</v>
      </c>
      <c r="D655" s="326"/>
      <c r="E655" s="294"/>
      <c r="F655" s="293">
        <v>43241</v>
      </c>
      <c r="G655" s="293">
        <v>43273</v>
      </c>
      <c r="H655" s="1875" t="s">
        <v>406</v>
      </c>
      <c r="I655" s="294" t="s">
        <v>181</v>
      </c>
      <c r="J655" s="307" t="s">
        <v>411</v>
      </c>
      <c r="K655" s="326" t="s">
        <v>415</v>
      </c>
      <c r="L655" s="1237">
        <v>23173</v>
      </c>
      <c r="M655" s="326"/>
      <c r="N655" s="294"/>
      <c r="O655" s="354">
        <v>166.75</v>
      </c>
      <c r="P655" s="1014">
        <v>4</v>
      </c>
      <c r="Q655" s="299">
        <f t="shared" si="146"/>
        <v>667</v>
      </c>
      <c r="R655" s="299"/>
      <c r="S655" s="299"/>
      <c r="T655" s="299"/>
      <c r="U655" s="299">
        <v>333.5</v>
      </c>
      <c r="V655" s="299">
        <v>333.5</v>
      </c>
      <c r="W655" s="299"/>
      <c r="X655" s="1142"/>
      <c r="Y655" s="1127"/>
      <c r="Z655" s="1127"/>
      <c r="AA655" s="1127"/>
      <c r="AB655" s="1127"/>
      <c r="AC655" s="1127"/>
      <c r="AD655" s="1127"/>
      <c r="AE655" s="1127"/>
      <c r="AF655" s="1127"/>
      <c r="AG655" s="547">
        <f t="shared" si="147"/>
        <v>667</v>
      </c>
    </row>
    <row r="656" spans="1:33" ht="43.5" customHeight="1">
      <c r="A656" s="2789">
        <v>6313</v>
      </c>
      <c r="B656" s="2790" t="s">
        <v>416</v>
      </c>
      <c r="C656" s="2790" t="s">
        <v>417</v>
      </c>
      <c r="D656" s="2791"/>
      <c r="E656" s="2789"/>
      <c r="F656" s="2792">
        <v>43294</v>
      </c>
      <c r="G656" s="2792">
        <v>43294</v>
      </c>
      <c r="H656" s="2996" t="s">
        <v>406</v>
      </c>
      <c r="I656" s="2789" t="s">
        <v>181</v>
      </c>
      <c r="J656" s="2793" t="s">
        <v>411</v>
      </c>
      <c r="K656" s="1124"/>
      <c r="L656" s="1704"/>
      <c r="M656" s="1124"/>
      <c r="N656" s="1703"/>
      <c r="O656" s="1125"/>
      <c r="P656" s="2995"/>
      <c r="Q656" s="1127"/>
      <c r="R656" s="1127"/>
      <c r="S656" s="1127"/>
      <c r="T656" s="1127"/>
      <c r="U656" s="1127"/>
      <c r="V656" s="1127"/>
      <c r="W656" s="1127"/>
      <c r="X656" s="1142"/>
      <c r="Y656" s="1127"/>
      <c r="Z656" s="1127"/>
      <c r="AA656" s="1127"/>
      <c r="AB656" s="1127"/>
      <c r="AC656" s="1127"/>
      <c r="AD656" s="1127"/>
      <c r="AE656" s="1127"/>
      <c r="AF656" s="1127"/>
      <c r="AG656" s="2355"/>
    </row>
    <row r="657" spans="1:33" ht="94.5" hidden="1">
      <c r="A657" s="294">
        <v>6313</v>
      </c>
      <c r="B657" s="291" t="s">
        <v>416</v>
      </c>
      <c r="C657" s="824" t="s">
        <v>417</v>
      </c>
      <c r="D657" s="326"/>
      <c r="E657" s="294"/>
      <c r="F657" s="293">
        <v>43294</v>
      </c>
      <c r="G657" s="293">
        <v>43294</v>
      </c>
      <c r="H657" s="1875" t="s">
        <v>406</v>
      </c>
      <c r="I657" s="294" t="s">
        <v>181</v>
      </c>
      <c r="J657" s="307" t="s">
        <v>411</v>
      </c>
      <c r="K657" s="326" t="s">
        <v>418</v>
      </c>
      <c r="L657" s="1237">
        <v>23173</v>
      </c>
      <c r="M657" s="326"/>
      <c r="N657" s="294"/>
      <c r="O657" s="354">
        <v>666.66666666666799</v>
      </c>
      <c r="P657" s="1014">
        <v>1</v>
      </c>
      <c r="Q657" s="299">
        <f t="shared" si="146"/>
        <v>666.66666666666799</v>
      </c>
      <c r="R657" s="299"/>
      <c r="S657" s="299"/>
      <c r="T657" s="299"/>
      <c r="U657" s="299"/>
      <c r="V657" s="299"/>
      <c r="W657" s="299">
        <v>666.66666666666799</v>
      </c>
      <c r="X657" s="1142"/>
      <c r="Y657" s="1127"/>
      <c r="Z657" s="1127"/>
      <c r="AA657" s="1127"/>
      <c r="AB657" s="1127"/>
      <c r="AC657" s="1127"/>
      <c r="AD657" s="1127"/>
      <c r="AE657" s="1127"/>
      <c r="AF657" s="1127"/>
      <c r="AG657" s="547">
        <f t="shared" si="147"/>
        <v>666.66666666666799</v>
      </c>
    </row>
    <row r="658" spans="1:33" ht="94.5" hidden="1">
      <c r="A658" s="294">
        <v>6313</v>
      </c>
      <c r="B658" s="291" t="s">
        <v>416</v>
      </c>
      <c r="C658" s="824" t="s">
        <v>417</v>
      </c>
      <c r="D658" s="326"/>
      <c r="E658" s="294"/>
      <c r="F658" s="293">
        <v>43294</v>
      </c>
      <c r="G658" s="293">
        <v>43294</v>
      </c>
      <c r="H658" s="1875" t="s">
        <v>406</v>
      </c>
      <c r="I658" s="294" t="s">
        <v>181</v>
      </c>
      <c r="J658" s="307" t="s">
        <v>411</v>
      </c>
      <c r="K658" s="326" t="s">
        <v>415</v>
      </c>
      <c r="L658" s="1237">
        <v>23173</v>
      </c>
      <c r="M658" s="326"/>
      <c r="N658" s="294"/>
      <c r="O658" s="354">
        <v>333.33333333333331</v>
      </c>
      <c r="P658" s="1014">
        <v>1</v>
      </c>
      <c r="Q658" s="299">
        <f t="shared" si="146"/>
        <v>333.33333333333331</v>
      </c>
      <c r="R658" s="299"/>
      <c r="S658" s="299"/>
      <c r="T658" s="299"/>
      <c r="U658" s="299"/>
      <c r="V658" s="299"/>
      <c r="W658" s="299">
        <v>333.33333333333331</v>
      </c>
      <c r="X658" s="1142"/>
      <c r="Y658" s="1127"/>
      <c r="Z658" s="1127"/>
      <c r="AA658" s="1127"/>
      <c r="AB658" s="1127"/>
      <c r="AC658" s="1127"/>
      <c r="AD658" s="1127"/>
      <c r="AE658" s="1127"/>
      <c r="AF658" s="1127"/>
      <c r="AG658" s="547">
        <f t="shared" si="147"/>
        <v>333.33333333333331</v>
      </c>
    </row>
    <row r="659" spans="1:33" ht="47.25">
      <c r="A659" s="1275">
        <v>632</v>
      </c>
      <c r="B659" s="359" t="s">
        <v>141</v>
      </c>
      <c r="C659" s="1021"/>
      <c r="D659" s="1280"/>
      <c r="E659" s="1280"/>
      <c r="F659" s="1280"/>
      <c r="G659" s="1280"/>
      <c r="H659" s="1280"/>
      <c r="I659" s="1280"/>
      <c r="J659" s="283"/>
      <c r="K659" s="1278"/>
      <c r="L659" s="1279"/>
      <c r="M659" s="1280"/>
      <c r="N659" s="1277"/>
      <c r="O659" s="1281"/>
      <c r="P659" s="1452"/>
      <c r="Q659" s="547">
        <f>SUM(Q660:Q676)</f>
        <v>90344.98</v>
      </c>
      <c r="R659" s="287"/>
      <c r="S659" s="1282">
        <f t="shared" ref="S659:AF659" si="148">SUM(S660:S676)</f>
        <v>0</v>
      </c>
      <c r="T659" s="1282">
        <f t="shared" si="148"/>
        <v>6750</v>
      </c>
      <c r="U659" s="1282">
        <f t="shared" si="148"/>
        <v>17583</v>
      </c>
      <c r="V659" s="1282">
        <f t="shared" si="148"/>
        <v>20119.986666666668</v>
      </c>
      <c r="W659" s="1282">
        <f t="shared" si="148"/>
        <v>27725.993333333332</v>
      </c>
      <c r="X659" s="1282">
        <f t="shared" si="148"/>
        <v>18166</v>
      </c>
      <c r="Y659" s="1282">
        <f t="shared" si="148"/>
        <v>0</v>
      </c>
      <c r="Z659" s="1282">
        <f t="shared" si="148"/>
        <v>0</v>
      </c>
      <c r="AA659" s="1282">
        <f t="shared" si="148"/>
        <v>0</v>
      </c>
      <c r="AB659" s="1282">
        <f t="shared" si="148"/>
        <v>0</v>
      </c>
      <c r="AC659" s="1282">
        <f t="shared" si="148"/>
        <v>0</v>
      </c>
      <c r="AD659" s="1282">
        <f t="shared" si="148"/>
        <v>0</v>
      </c>
      <c r="AE659" s="1282">
        <f t="shared" si="148"/>
        <v>0</v>
      </c>
      <c r="AF659" s="1282">
        <f t="shared" si="148"/>
        <v>0</v>
      </c>
      <c r="AG659" s="547">
        <f>SUM(S659:AF659)</f>
        <v>90344.98</v>
      </c>
    </row>
    <row r="660" spans="1:33" ht="62.45" customHeight="1">
      <c r="A660" s="2789">
        <v>6321</v>
      </c>
      <c r="B660" s="2790" t="s">
        <v>419</v>
      </c>
      <c r="C660" s="2790" t="s">
        <v>420</v>
      </c>
      <c r="D660" s="2791"/>
      <c r="E660" s="2789"/>
      <c r="F660" s="2792">
        <v>43205</v>
      </c>
      <c r="G660" s="2792">
        <v>43311</v>
      </c>
      <c r="H660" s="2996" t="s">
        <v>421</v>
      </c>
      <c r="I660" s="2789" t="s">
        <v>181</v>
      </c>
      <c r="J660" s="2793" t="s">
        <v>407</v>
      </c>
      <c r="K660" s="326" t="s">
        <v>408</v>
      </c>
      <c r="L660" s="1237">
        <v>2313</v>
      </c>
      <c r="M660" s="326"/>
      <c r="N660" s="294"/>
      <c r="O660" s="354">
        <v>33750</v>
      </c>
      <c r="P660" s="1014">
        <v>1</v>
      </c>
      <c r="Q660" s="518">
        <f t="shared" ref="Q660:Q676" si="149">O660*P660</f>
        <v>33750</v>
      </c>
      <c r="R660" s="299"/>
      <c r="S660" s="299"/>
      <c r="T660" s="299">
        <v>6750</v>
      </c>
      <c r="U660" s="299"/>
      <c r="V660" s="299"/>
      <c r="W660" s="299">
        <v>13500</v>
      </c>
      <c r="X660" s="1142">
        <v>13500</v>
      </c>
      <c r="Y660" s="1127"/>
      <c r="Z660" s="1127"/>
      <c r="AA660" s="1127"/>
      <c r="AB660" s="1127"/>
      <c r="AC660" s="1127"/>
      <c r="AD660" s="1127"/>
      <c r="AE660" s="1127"/>
      <c r="AF660" s="1127"/>
      <c r="AG660" s="547">
        <f t="shared" ref="AG660:AG676" si="150">SUM(S660:AF660)</f>
        <v>33750</v>
      </c>
    </row>
    <row r="661" spans="1:33" ht="62.45" customHeight="1">
      <c r="A661" s="2789">
        <v>6322</v>
      </c>
      <c r="B661" s="2790" t="s">
        <v>422</v>
      </c>
      <c r="C661" s="2790"/>
      <c r="D661" s="2791"/>
      <c r="E661" s="2789"/>
      <c r="F661" s="2998">
        <v>43227</v>
      </c>
      <c r="G661" s="2998">
        <v>43238</v>
      </c>
      <c r="H661" s="2996" t="s">
        <v>421</v>
      </c>
      <c r="I661" s="2789" t="s">
        <v>181</v>
      </c>
      <c r="J661" s="2793" t="s">
        <v>423</v>
      </c>
      <c r="K661" s="1124"/>
      <c r="L661" s="1704"/>
      <c r="M661" s="1124"/>
      <c r="N661" s="1703"/>
      <c r="O661" s="1125"/>
      <c r="P661" s="2995"/>
      <c r="Q661" s="1164"/>
      <c r="R661" s="1127"/>
      <c r="S661" s="1127"/>
      <c r="T661" s="1127"/>
      <c r="U661" s="1127"/>
      <c r="V661" s="1127"/>
      <c r="W661" s="1127"/>
      <c r="X661" s="1142"/>
      <c r="Y661" s="1127"/>
      <c r="Z661" s="1127"/>
      <c r="AA661" s="1127"/>
      <c r="AB661" s="1127"/>
      <c r="AC661" s="1127"/>
      <c r="AD661" s="1127"/>
      <c r="AE661" s="1127"/>
      <c r="AF661" s="1127"/>
      <c r="AG661" s="2355"/>
    </row>
    <row r="662" spans="1:33" ht="141.75" hidden="1">
      <c r="A662" s="294">
        <v>6322</v>
      </c>
      <c r="B662" s="291" t="s">
        <v>422</v>
      </c>
      <c r="C662" s="824"/>
      <c r="D662" s="326"/>
      <c r="E662" s="294"/>
      <c r="F662" s="1017">
        <v>43227</v>
      </c>
      <c r="G662" s="1017">
        <v>43238</v>
      </c>
      <c r="H662" s="1875" t="s">
        <v>421</v>
      </c>
      <c r="I662" s="294" t="s">
        <v>181</v>
      </c>
      <c r="J662" s="307" t="s">
        <v>423</v>
      </c>
      <c r="K662" s="326" t="s">
        <v>424</v>
      </c>
      <c r="L662" s="1237">
        <v>23174</v>
      </c>
      <c r="M662" s="326"/>
      <c r="N662" s="294"/>
      <c r="O662" s="354">
        <v>3360</v>
      </c>
      <c r="P662" s="1014">
        <v>2</v>
      </c>
      <c r="Q662" s="299">
        <f t="shared" si="149"/>
        <v>6720</v>
      </c>
      <c r="R662" s="299"/>
      <c r="S662" s="355"/>
      <c r="T662" s="355"/>
      <c r="U662" s="355">
        <v>6720</v>
      </c>
      <c r="V662" s="355"/>
      <c r="W662" s="355"/>
      <c r="X662" s="1137"/>
      <c r="Y662" s="1126"/>
      <c r="Z662" s="1126"/>
      <c r="AA662" s="1126"/>
      <c r="AB662" s="1126"/>
      <c r="AC662" s="1126"/>
      <c r="AD662" s="1126"/>
      <c r="AE662" s="1126"/>
      <c r="AF662" s="1126"/>
      <c r="AG662" s="547">
        <f t="shared" si="150"/>
        <v>6720</v>
      </c>
    </row>
    <row r="663" spans="1:33" ht="141.75" hidden="1">
      <c r="A663" s="294">
        <v>6322</v>
      </c>
      <c r="B663" s="291" t="s">
        <v>422</v>
      </c>
      <c r="C663" s="824"/>
      <c r="D663" s="326"/>
      <c r="E663" s="294"/>
      <c r="F663" s="1017">
        <v>43227</v>
      </c>
      <c r="G663" s="1017">
        <v>43238</v>
      </c>
      <c r="H663" s="1875" t="s">
        <v>421</v>
      </c>
      <c r="I663" s="294" t="s">
        <v>181</v>
      </c>
      <c r="J663" s="307" t="s">
        <v>423</v>
      </c>
      <c r="K663" s="326" t="s">
        <v>425</v>
      </c>
      <c r="L663" s="1237">
        <v>23174</v>
      </c>
      <c r="M663" s="326"/>
      <c r="N663" s="294"/>
      <c r="O663" s="354">
        <v>3200</v>
      </c>
      <c r="P663" s="1014">
        <v>2</v>
      </c>
      <c r="Q663" s="299">
        <f t="shared" si="149"/>
        <v>6400</v>
      </c>
      <c r="R663" s="299"/>
      <c r="S663" s="355"/>
      <c r="T663" s="355"/>
      <c r="U663" s="355">
        <v>6400</v>
      </c>
      <c r="V663" s="355"/>
      <c r="W663" s="355"/>
      <c r="X663" s="1137"/>
      <c r="Y663" s="1126"/>
      <c r="Z663" s="1126"/>
      <c r="AA663" s="1126"/>
      <c r="AB663" s="1126"/>
      <c r="AC663" s="1126"/>
      <c r="AD663" s="1126"/>
      <c r="AE663" s="1126"/>
      <c r="AF663" s="1126"/>
      <c r="AG663" s="547">
        <f t="shared" si="150"/>
        <v>6400</v>
      </c>
    </row>
    <row r="664" spans="1:33" ht="141.75" hidden="1">
      <c r="A664" s="294">
        <v>6322</v>
      </c>
      <c r="B664" s="291" t="s">
        <v>422</v>
      </c>
      <c r="C664" s="824"/>
      <c r="D664" s="326"/>
      <c r="E664" s="294"/>
      <c r="F664" s="1017">
        <v>43227</v>
      </c>
      <c r="G664" s="1017">
        <v>43238</v>
      </c>
      <c r="H664" s="1875" t="s">
        <v>421</v>
      </c>
      <c r="I664" s="294" t="s">
        <v>181</v>
      </c>
      <c r="J664" s="307" t="s">
        <v>423</v>
      </c>
      <c r="K664" s="326" t="s">
        <v>426</v>
      </c>
      <c r="L664" s="1237">
        <v>23174</v>
      </c>
      <c r="M664" s="326"/>
      <c r="N664" s="294"/>
      <c r="O664" s="354">
        <v>1333.3333333333333</v>
      </c>
      <c r="P664" s="1014">
        <v>2</v>
      </c>
      <c r="Q664" s="299">
        <f t="shared" si="149"/>
        <v>2666.6666666666665</v>
      </c>
      <c r="R664" s="299"/>
      <c r="S664" s="355"/>
      <c r="T664" s="355"/>
      <c r="U664" s="355">
        <v>2666.6666666666665</v>
      </c>
      <c r="V664" s="355"/>
      <c r="W664" s="355"/>
      <c r="X664" s="1137"/>
      <c r="Y664" s="1126"/>
      <c r="Z664" s="1126"/>
      <c r="AA664" s="1126"/>
      <c r="AB664" s="1126"/>
      <c r="AC664" s="1126"/>
      <c r="AD664" s="1126"/>
      <c r="AE664" s="1126"/>
      <c r="AF664" s="1126"/>
      <c r="AG664" s="547">
        <f t="shared" si="150"/>
        <v>2666.6666666666665</v>
      </c>
    </row>
    <row r="665" spans="1:33" ht="141.75" hidden="1">
      <c r="A665" s="294">
        <v>6322</v>
      </c>
      <c r="B665" s="291" t="s">
        <v>422</v>
      </c>
      <c r="C665" s="824"/>
      <c r="D665" s="326"/>
      <c r="E665" s="294"/>
      <c r="F665" s="1017">
        <v>43227</v>
      </c>
      <c r="G665" s="1017">
        <v>43238</v>
      </c>
      <c r="H665" s="1875" t="s">
        <v>421</v>
      </c>
      <c r="I665" s="294" t="s">
        <v>181</v>
      </c>
      <c r="J665" s="307" t="s">
        <v>423</v>
      </c>
      <c r="K665" s="326" t="s">
        <v>415</v>
      </c>
      <c r="L665" s="1237">
        <v>23173</v>
      </c>
      <c r="M665" s="326"/>
      <c r="N665" s="294"/>
      <c r="O665" s="354">
        <v>166.66666666666666</v>
      </c>
      <c r="P665" s="1014">
        <v>2</v>
      </c>
      <c r="Q665" s="299">
        <f t="shared" si="149"/>
        <v>333.33333333333331</v>
      </c>
      <c r="R665" s="299"/>
      <c r="S665" s="355"/>
      <c r="T665" s="355"/>
      <c r="U665" s="355">
        <v>333.33333333333331</v>
      </c>
      <c r="V665" s="355"/>
      <c r="W665" s="355"/>
      <c r="X665" s="1137"/>
      <c r="Y665" s="1126"/>
      <c r="Z665" s="1126"/>
      <c r="AA665" s="1126"/>
      <c r="AB665" s="1126"/>
      <c r="AC665" s="1126"/>
      <c r="AD665" s="1126"/>
      <c r="AE665" s="1126"/>
      <c r="AF665" s="1126"/>
      <c r="AG665" s="547">
        <f t="shared" si="150"/>
        <v>333.33333333333331</v>
      </c>
    </row>
    <row r="666" spans="1:33" ht="141.75" hidden="1">
      <c r="A666" s="294">
        <v>6322</v>
      </c>
      <c r="B666" s="291" t="s">
        <v>422</v>
      </c>
      <c r="C666" s="824"/>
      <c r="D666" s="326"/>
      <c r="E666" s="294"/>
      <c r="F666" s="1017">
        <v>43227</v>
      </c>
      <c r="G666" s="1017">
        <v>43238</v>
      </c>
      <c r="H666" s="1875" t="s">
        <v>421</v>
      </c>
      <c r="I666" s="294" t="s">
        <v>181</v>
      </c>
      <c r="J666" s="307" t="s">
        <v>423</v>
      </c>
      <c r="K666" s="326" t="s">
        <v>427</v>
      </c>
      <c r="L666" s="1237">
        <v>23173</v>
      </c>
      <c r="M666" s="326"/>
      <c r="N666" s="294"/>
      <c r="O666" s="354">
        <v>1463</v>
      </c>
      <c r="P666" s="1014">
        <v>1</v>
      </c>
      <c r="Q666" s="299">
        <f t="shared" si="149"/>
        <v>1463</v>
      </c>
      <c r="R666" s="299"/>
      <c r="S666" s="355"/>
      <c r="T666" s="355"/>
      <c r="U666" s="355">
        <v>1463</v>
      </c>
      <c r="V666" s="355"/>
      <c r="W666" s="355"/>
      <c r="X666" s="1137"/>
      <c r="Y666" s="1126"/>
      <c r="Z666" s="1126"/>
      <c r="AA666" s="1126"/>
      <c r="AB666" s="1126"/>
      <c r="AC666" s="1126"/>
      <c r="AD666" s="1126"/>
      <c r="AE666" s="1126"/>
      <c r="AF666" s="1126"/>
      <c r="AG666" s="547">
        <f t="shared" si="150"/>
        <v>1463</v>
      </c>
    </row>
    <row r="667" spans="1:33" ht="51.75" customHeight="1">
      <c r="A667" s="2789">
        <v>6323</v>
      </c>
      <c r="B667" s="2790" t="s">
        <v>428</v>
      </c>
      <c r="C667" s="2790" t="s">
        <v>429</v>
      </c>
      <c r="D667" s="2791"/>
      <c r="E667" s="2789"/>
      <c r="F667" s="2998">
        <v>43264</v>
      </c>
      <c r="G667" s="2998">
        <v>43264</v>
      </c>
      <c r="H667" s="2996" t="s">
        <v>421</v>
      </c>
      <c r="I667" s="2789" t="s">
        <v>181</v>
      </c>
      <c r="J667" s="2793" t="s">
        <v>423</v>
      </c>
      <c r="K667" s="1124"/>
      <c r="L667" s="1704"/>
      <c r="M667" s="1124"/>
      <c r="N667" s="1703"/>
      <c r="O667" s="1125"/>
      <c r="P667" s="2995"/>
      <c r="Q667" s="1127"/>
      <c r="R667" s="1127"/>
      <c r="S667" s="1126"/>
      <c r="T667" s="1126"/>
      <c r="U667" s="1126"/>
      <c r="V667" s="1126"/>
      <c r="W667" s="1126"/>
      <c r="X667" s="1137"/>
      <c r="Y667" s="1126"/>
      <c r="Z667" s="1126"/>
      <c r="AA667" s="1126"/>
      <c r="AB667" s="1126"/>
      <c r="AC667" s="1126"/>
      <c r="AD667" s="1126"/>
      <c r="AE667" s="1126"/>
      <c r="AF667" s="1126"/>
      <c r="AG667" s="2355"/>
    </row>
    <row r="668" spans="1:33" ht="141.75" hidden="1">
      <c r="A668" s="294">
        <v>6323</v>
      </c>
      <c r="B668" s="291" t="s">
        <v>428</v>
      </c>
      <c r="C668" s="824" t="s">
        <v>429</v>
      </c>
      <c r="D668" s="326"/>
      <c r="E668" s="294"/>
      <c r="F668" s="1017">
        <v>43264</v>
      </c>
      <c r="G668" s="1017">
        <v>43264</v>
      </c>
      <c r="H668" s="1875" t="s">
        <v>421</v>
      </c>
      <c r="I668" s="294" t="s">
        <v>181</v>
      </c>
      <c r="J668" s="307" t="s">
        <v>423</v>
      </c>
      <c r="K668" s="326" t="s">
        <v>418</v>
      </c>
      <c r="L668" s="1237">
        <v>23173</v>
      </c>
      <c r="M668" s="326"/>
      <c r="N668" s="294"/>
      <c r="O668" s="354">
        <v>666.66666666666663</v>
      </c>
      <c r="P668" s="1014">
        <v>1</v>
      </c>
      <c r="Q668" s="299">
        <f t="shared" si="149"/>
        <v>666.66666666666663</v>
      </c>
      <c r="R668" s="299"/>
      <c r="S668" s="355"/>
      <c r="T668" s="355"/>
      <c r="U668" s="355"/>
      <c r="V668" s="355">
        <v>666.66666666666663</v>
      </c>
      <c r="W668" s="355"/>
      <c r="X668" s="1137"/>
      <c r="Y668" s="1126"/>
      <c r="Z668" s="1126"/>
      <c r="AA668" s="1126"/>
      <c r="AB668" s="1126"/>
      <c r="AC668" s="1126"/>
      <c r="AD668" s="1126"/>
      <c r="AE668" s="1126"/>
      <c r="AF668" s="1126"/>
      <c r="AG668" s="547">
        <f t="shared" si="150"/>
        <v>666.66666666666663</v>
      </c>
    </row>
    <row r="669" spans="1:33" ht="141.75" hidden="1">
      <c r="A669" s="294">
        <v>6323</v>
      </c>
      <c r="B669" s="291" t="s">
        <v>428</v>
      </c>
      <c r="C669" s="824" t="s">
        <v>429</v>
      </c>
      <c r="D669" s="326"/>
      <c r="E669" s="294"/>
      <c r="F669" s="1017">
        <v>43264</v>
      </c>
      <c r="G669" s="1017">
        <v>43264</v>
      </c>
      <c r="H669" s="1875" t="s">
        <v>421</v>
      </c>
      <c r="I669" s="294" t="s">
        <v>181</v>
      </c>
      <c r="J669" s="307" t="s">
        <v>423</v>
      </c>
      <c r="K669" s="326" t="s">
        <v>415</v>
      </c>
      <c r="L669" s="1237">
        <v>23173</v>
      </c>
      <c r="M669" s="326"/>
      <c r="N669" s="294"/>
      <c r="O669" s="354">
        <v>333.33333333333331</v>
      </c>
      <c r="P669" s="1014">
        <v>1</v>
      </c>
      <c r="Q669" s="299">
        <f t="shared" si="149"/>
        <v>333.33333333333331</v>
      </c>
      <c r="R669" s="299"/>
      <c r="S669" s="355"/>
      <c r="T669" s="355"/>
      <c r="U669" s="355"/>
      <c r="V669" s="355">
        <v>333.33333333333331</v>
      </c>
      <c r="W669" s="355"/>
      <c r="X669" s="1137"/>
      <c r="Y669" s="1126"/>
      <c r="Z669" s="1126"/>
      <c r="AA669" s="1126"/>
      <c r="AB669" s="1126"/>
      <c r="AC669" s="1126"/>
      <c r="AD669" s="1126"/>
      <c r="AE669" s="1126"/>
      <c r="AF669" s="1126"/>
      <c r="AG669" s="547">
        <f t="shared" si="150"/>
        <v>333.33333333333331</v>
      </c>
    </row>
    <row r="670" spans="1:33" ht="141.75" hidden="1">
      <c r="A670" s="294">
        <v>6323</v>
      </c>
      <c r="B670" s="291" t="s">
        <v>428</v>
      </c>
      <c r="C670" s="824" t="s">
        <v>429</v>
      </c>
      <c r="D670" s="326"/>
      <c r="E670" s="294"/>
      <c r="F670" s="1017">
        <v>43264</v>
      </c>
      <c r="G670" s="1017">
        <v>43264</v>
      </c>
      <c r="H670" s="1875" t="s">
        <v>421</v>
      </c>
      <c r="I670" s="294" t="s">
        <v>181</v>
      </c>
      <c r="J670" s="307" t="s">
        <v>423</v>
      </c>
      <c r="K670" s="326" t="s">
        <v>430</v>
      </c>
      <c r="L670" s="1237">
        <v>23173</v>
      </c>
      <c r="M670" s="326"/>
      <c r="N670" s="294"/>
      <c r="O670" s="354">
        <v>23.33</v>
      </c>
      <c r="P670" s="1014">
        <v>200</v>
      </c>
      <c r="Q670" s="299">
        <f t="shared" si="149"/>
        <v>4666</v>
      </c>
      <c r="R670" s="299"/>
      <c r="S670" s="355"/>
      <c r="T670" s="355"/>
      <c r="U670" s="355"/>
      <c r="V670" s="355"/>
      <c r="W670" s="355">
        <v>4666</v>
      </c>
      <c r="X670" s="1137"/>
      <c r="Y670" s="1126"/>
      <c r="Z670" s="1126"/>
      <c r="AA670" s="1126"/>
      <c r="AB670" s="1126"/>
      <c r="AC670" s="1126"/>
      <c r="AD670" s="1126"/>
      <c r="AE670" s="1126"/>
      <c r="AF670" s="1126"/>
      <c r="AG670" s="547">
        <f t="shared" si="150"/>
        <v>4666</v>
      </c>
    </row>
    <row r="671" spans="1:33" ht="47.25" customHeight="1">
      <c r="A671" s="2789">
        <v>6324</v>
      </c>
      <c r="B671" s="2790" t="s">
        <v>431</v>
      </c>
      <c r="C671" s="2790" t="s">
        <v>432</v>
      </c>
      <c r="D671" s="2791"/>
      <c r="E671" s="2789"/>
      <c r="F671" s="2998">
        <v>43255</v>
      </c>
      <c r="G671" s="2998">
        <v>43287</v>
      </c>
      <c r="H671" s="2996" t="s">
        <v>421</v>
      </c>
      <c r="I671" s="2789" t="s">
        <v>181</v>
      </c>
      <c r="J671" s="2793" t="s">
        <v>423</v>
      </c>
      <c r="K671" s="1124"/>
      <c r="L671" s="1704"/>
      <c r="M671" s="1124"/>
      <c r="N671" s="1703"/>
      <c r="O671" s="1125"/>
      <c r="P671" s="2995"/>
      <c r="Q671" s="1127"/>
      <c r="R671" s="1127"/>
      <c r="S671" s="1126"/>
      <c r="T671" s="1126"/>
      <c r="U671" s="1126"/>
      <c r="V671" s="1126"/>
      <c r="W671" s="1126"/>
      <c r="X671" s="1137"/>
      <c r="Y671" s="1126"/>
      <c r="Z671" s="1126"/>
      <c r="AA671" s="1126"/>
      <c r="AB671" s="1126"/>
      <c r="AC671" s="1126"/>
      <c r="AD671" s="1126"/>
      <c r="AE671" s="1126"/>
      <c r="AF671" s="1126"/>
      <c r="AG671" s="2355"/>
    </row>
    <row r="672" spans="1:33" ht="141.75" hidden="1">
      <c r="A672" s="294">
        <v>6324</v>
      </c>
      <c r="B672" s="291" t="s">
        <v>431</v>
      </c>
      <c r="C672" s="824" t="s">
        <v>432</v>
      </c>
      <c r="D672" s="326"/>
      <c r="E672" s="294"/>
      <c r="F672" s="1017">
        <v>43255</v>
      </c>
      <c r="G672" s="1017">
        <v>43287</v>
      </c>
      <c r="H672" s="1875" t="s">
        <v>421</v>
      </c>
      <c r="I672" s="294" t="s">
        <v>181</v>
      </c>
      <c r="J672" s="307" t="s">
        <v>423</v>
      </c>
      <c r="K672" s="326" t="s">
        <v>433</v>
      </c>
      <c r="L672" s="1237">
        <v>23174</v>
      </c>
      <c r="M672" s="326"/>
      <c r="N672" s="294"/>
      <c r="O672" s="354">
        <v>3360</v>
      </c>
      <c r="P672" s="1014">
        <v>3</v>
      </c>
      <c r="Q672" s="299">
        <f t="shared" si="149"/>
        <v>10080</v>
      </c>
      <c r="R672" s="299"/>
      <c r="S672" s="355"/>
      <c r="T672" s="355"/>
      <c r="U672" s="355"/>
      <c r="V672" s="299">
        <v>6720</v>
      </c>
      <c r="W672" s="299">
        <v>3360</v>
      </c>
      <c r="X672" s="1137"/>
      <c r="Y672" s="1126"/>
      <c r="Z672" s="1126"/>
      <c r="AA672" s="1126"/>
      <c r="AB672" s="1126"/>
      <c r="AC672" s="1126"/>
      <c r="AD672" s="1126"/>
      <c r="AE672" s="1126"/>
      <c r="AF672" s="1126"/>
      <c r="AG672" s="547">
        <f t="shared" si="150"/>
        <v>10080</v>
      </c>
    </row>
    <row r="673" spans="1:33" ht="141.75" hidden="1">
      <c r="A673" s="294">
        <v>6324</v>
      </c>
      <c r="B673" s="291" t="s">
        <v>431</v>
      </c>
      <c r="C673" s="824" t="s">
        <v>432</v>
      </c>
      <c r="D673" s="326"/>
      <c r="E673" s="294"/>
      <c r="F673" s="1017">
        <v>43255</v>
      </c>
      <c r="G673" s="1017">
        <v>43287</v>
      </c>
      <c r="H673" s="1875" t="s">
        <v>421</v>
      </c>
      <c r="I673" s="294" t="s">
        <v>181</v>
      </c>
      <c r="J673" s="307" t="s">
        <v>423</v>
      </c>
      <c r="K673" s="326" t="s">
        <v>434</v>
      </c>
      <c r="L673" s="1237">
        <v>23174</v>
      </c>
      <c r="M673" s="326"/>
      <c r="N673" s="294"/>
      <c r="O673" s="354">
        <v>3200</v>
      </c>
      <c r="P673" s="1014">
        <v>3</v>
      </c>
      <c r="Q673" s="299">
        <f t="shared" si="149"/>
        <v>9600</v>
      </c>
      <c r="R673" s="299"/>
      <c r="S673" s="355"/>
      <c r="T673" s="355"/>
      <c r="U673" s="355"/>
      <c r="V673" s="299">
        <v>6400</v>
      </c>
      <c r="W673" s="299">
        <v>3200</v>
      </c>
      <c r="X673" s="1137"/>
      <c r="Y673" s="1126"/>
      <c r="Z673" s="1126"/>
      <c r="AA673" s="1126"/>
      <c r="AB673" s="1126"/>
      <c r="AC673" s="1126"/>
      <c r="AD673" s="1126"/>
      <c r="AE673" s="1126"/>
      <c r="AF673" s="1126"/>
      <c r="AG673" s="547">
        <f t="shared" si="150"/>
        <v>9600</v>
      </c>
    </row>
    <row r="674" spans="1:33" ht="141.75" hidden="1">
      <c r="A674" s="294">
        <v>6324</v>
      </c>
      <c r="B674" s="291" t="s">
        <v>431</v>
      </c>
      <c r="C674" s="824" t="s">
        <v>432</v>
      </c>
      <c r="D674" s="326"/>
      <c r="E674" s="294"/>
      <c r="F674" s="1017">
        <v>43255</v>
      </c>
      <c r="G674" s="1017">
        <v>43287</v>
      </c>
      <c r="H674" s="1875" t="s">
        <v>421</v>
      </c>
      <c r="I674" s="294" t="s">
        <v>181</v>
      </c>
      <c r="J674" s="307" t="s">
        <v>423</v>
      </c>
      <c r="K674" s="326" t="s">
        <v>435</v>
      </c>
      <c r="L674" s="1237">
        <v>23174</v>
      </c>
      <c r="M674" s="326"/>
      <c r="N674" s="294"/>
      <c r="O674" s="354">
        <v>1333.3333333333333</v>
      </c>
      <c r="P674" s="1014">
        <v>3</v>
      </c>
      <c r="Q674" s="299">
        <f t="shared" si="149"/>
        <v>4000</v>
      </c>
      <c r="R674" s="299"/>
      <c r="S674" s="355"/>
      <c r="T674" s="355"/>
      <c r="U674" s="355"/>
      <c r="V674" s="299">
        <v>2666.6666666666665</v>
      </c>
      <c r="W674" s="299">
        <v>1333.3333333333333</v>
      </c>
      <c r="X674" s="1137"/>
      <c r="Y674" s="1126"/>
      <c r="Z674" s="1126"/>
      <c r="AA674" s="1126"/>
      <c r="AB674" s="1126"/>
      <c r="AC674" s="1126"/>
      <c r="AD674" s="1126"/>
      <c r="AE674" s="1126"/>
      <c r="AF674" s="1126"/>
      <c r="AG674" s="547">
        <f t="shared" si="150"/>
        <v>4000</v>
      </c>
    </row>
    <row r="675" spans="1:33" ht="141.75" hidden="1">
      <c r="A675" s="294">
        <v>6324</v>
      </c>
      <c r="B675" s="291" t="s">
        <v>431</v>
      </c>
      <c r="C675" s="824" t="s">
        <v>432</v>
      </c>
      <c r="D675" s="326"/>
      <c r="E675" s="294"/>
      <c r="F675" s="1017">
        <v>43255</v>
      </c>
      <c r="G675" s="1017">
        <v>43287</v>
      </c>
      <c r="H675" s="1875" t="s">
        <v>421</v>
      </c>
      <c r="I675" s="294" t="s">
        <v>181</v>
      </c>
      <c r="J675" s="307" t="s">
        <v>423</v>
      </c>
      <c r="K675" s="326" t="s">
        <v>415</v>
      </c>
      <c r="L675" s="1237">
        <v>23173</v>
      </c>
      <c r="M675" s="326"/>
      <c r="N675" s="294"/>
      <c r="O675" s="354">
        <v>1666.66</v>
      </c>
      <c r="P675" s="1014">
        <v>3</v>
      </c>
      <c r="Q675" s="299">
        <f t="shared" si="149"/>
        <v>4999.9800000000005</v>
      </c>
      <c r="R675" s="299"/>
      <c r="S675" s="355"/>
      <c r="T675" s="355"/>
      <c r="U675" s="355"/>
      <c r="V675" s="299">
        <v>3333.3199999999997</v>
      </c>
      <c r="W675" s="299">
        <v>1666.6599999999999</v>
      </c>
      <c r="X675" s="1137"/>
      <c r="Y675" s="1126"/>
      <c r="Z675" s="1126"/>
      <c r="AA675" s="1126"/>
      <c r="AB675" s="1126"/>
      <c r="AC675" s="1126"/>
      <c r="AD675" s="1126"/>
      <c r="AE675" s="1126"/>
      <c r="AF675" s="1126"/>
      <c r="AG675" s="547">
        <f t="shared" si="150"/>
        <v>4999.9799999999996</v>
      </c>
    </row>
    <row r="676" spans="1:33" ht="141.75" hidden="1">
      <c r="A676" s="294">
        <v>6324</v>
      </c>
      <c r="B676" s="291" t="s">
        <v>431</v>
      </c>
      <c r="C676" s="824" t="s">
        <v>432</v>
      </c>
      <c r="D676" s="326"/>
      <c r="E676" s="294"/>
      <c r="F676" s="1017">
        <v>43255</v>
      </c>
      <c r="G676" s="1017">
        <v>43287</v>
      </c>
      <c r="H676" s="1875" t="s">
        <v>421</v>
      </c>
      <c r="I676" s="294" t="s">
        <v>181</v>
      </c>
      <c r="J676" s="307" t="s">
        <v>423</v>
      </c>
      <c r="K676" s="326" t="s">
        <v>436</v>
      </c>
      <c r="L676" s="1237">
        <v>23173</v>
      </c>
      <c r="M676" s="326"/>
      <c r="N676" s="294"/>
      <c r="O676" s="354">
        <v>23.33</v>
      </c>
      <c r="P676" s="1014">
        <v>200</v>
      </c>
      <c r="Q676" s="299">
        <f t="shared" si="149"/>
        <v>4666</v>
      </c>
      <c r="R676" s="913"/>
      <c r="S676" s="1111"/>
      <c r="T676" s="1111"/>
      <c r="U676" s="1111"/>
      <c r="V676" s="1111"/>
      <c r="W676" s="1111"/>
      <c r="X676" s="1600">
        <v>4666</v>
      </c>
      <c r="Y676" s="1126"/>
      <c r="Z676" s="1126"/>
      <c r="AA676" s="1126"/>
      <c r="AB676" s="1126"/>
      <c r="AC676" s="1126"/>
      <c r="AD676" s="1126"/>
      <c r="AE676" s="1126"/>
      <c r="AF676" s="1126"/>
      <c r="AG676" s="547">
        <f t="shared" si="150"/>
        <v>4666</v>
      </c>
    </row>
    <row r="677" spans="1:33" ht="29.25" customHeight="1">
      <c r="A677" s="1876" t="s">
        <v>967</v>
      </c>
      <c r="B677" s="1877"/>
      <c r="C677" s="1878"/>
      <c r="D677" s="1879"/>
      <c r="E677" s="1879"/>
      <c r="F677" s="1879"/>
      <c r="G677" s="1879"/>
      <c r="H677" s="1879"/>
      <c r="I677" s="1879"/>
      <c r="J677" s="1877"/>
      <c r="K677" s="1880"/>
      <c r="L677" s="1879"/>
      <c r="M677" s="1879"/>
      <c r="N677" s="1879"/>
      <c r="O677" s="1879"/>
      <c r="P677" s="1881"/>
      <c r="Q677" s="2831">
        <f>Q9+Q244+Q405+Q495+Q633+Q637</f>
        <v>3000000.2165516666</v>
      </c>
      <c r="R677" s="2831">
        <f>+R9+R244+R405+R495+R633+R637</f>
        <v>3000000.2195833335</v>
      </c>
      <c r="S677" s="1882">
        <f t="shared" ref="S677:AG677" si="151">S9+S244+S405+S495+S633+S637</f>
        <v>0</v>
      </c>
      <c r="T677" s="1882">
        <f t="shared" si="151"/>
        <v>528087.73300000001</v>
      </c>
      <c r="U677" s="1882">
        <f t="shared" si="151"/>
        <v>700099.02746833337</v>
      </c>
      <c r="V677" s="1882">
        <f t="shared" si="151"/>
        <v>722283.3158333333</v>
      </c>
      <c r="W677" s="1882">
        <f t="shared" si="151"/>
        <v>393363.10145833332</v>
      </c>
      <c r="X677" s="1882">
        <f t="shared" si="151"/>
        <v>321211.94487500004</v>
      </c>
      <c r="Y677" s="1882">
        <f t="shared" si="151"/>
        <v>276848.42725000001</v>
      </c>
      <c r="Z677" s="1882">
        <f t="shared" si="151"/>
        <v>34266.666666666672</v>
      </c>
      <c r="AA677" s="1882">
        <f t="shared" si="151"/>
        <v>11640</v>
      </c>
      <c r="AB677" s="1882">
        <f t="shared" si="151"/>
        <v>500</v>
      </c>
      <c r="AC677" s="1882">
        <f t="shared" si="151"/>
        <v>500</v>
      </c>
      <c r="AD677" s="1882">
        <f t="shared" si="151"/>
        <v>10200</v>
      </c>
      <c r="AE677" s="1882">
        <f t="shared" si="151"/>
        <v>500</v>
      </c>
      <c r="AF677" s="1882">
        <f t="shared" si="151"/>
        <v>500</v>
      </c>
      <c r="AG677" s="2831">
        <f t="shared" si="151"/>
        <v>3000000.2165516666</v>
      </c>
    </row>
    <row r="678" spans="1:33">
      <c r="AE678" s="357"/>
      <c r="AG678" s="356"/>
    </row>
    <row r="679" spans="1:33">
      <c r="AE679" s="357"/>
      <c r="AG679" s="356"/>
    </row>
    <row r="680" spans="1:33">
      <c r="AE680" s="357"/>
      <c r="AG680" s="356"/>
    </row>
  </sheetData>
  <mergeCells count="6">
    <mergeCell ref="A2:B2"/>
    <mergeCell ref="A630:I630"/>
    <mergeCell ref="F7:G7"/>
    <mergeCell ref="I7:J7"/>
    <mergeCell ref="S7:Y7"/>
    <mergeCell ref="A606:I606"/>
  </mergeCells>
  <conditionalFormatting sqref="F548 G561:G564">
    <cfRule type="cellIs" dxfId="258" priority="63" operator="lessThanOrEqual">
      <formula>0</formula>
    </cfRule>
  </conditionalFormatting>
  <conditionalFormatting sqref="G548">
    <cfRule type="cellIs" dxfId="257" priority="62" operator="lessThanOrEqual">
      <formula>0</formula>
    </cfRule>
  </conditionalFormatting>
  <conditionalFormatting sqref="G548">
    <cfRule type="cellIs" dxfId="256" priority="61" operator="lessThanOrEqual">
      <formula>0</formula>
    </cfRule>
  </conditionalFormatting>
  <conditionalFormatting sqref="F561">
    <cfRule type="cellIs" dxfId="255" priority="54" operator="lessThanOrEqual">
      <formula>0</formula>
    </cfRule>
  </conditionalFormatting>
  <conditionalFormatting sqref="F563">
    <cfRule type="cellIs" dxfId="254" priority="53" operator="lessThanOrEqual">
      <formula>0</formula>
    </cfRule>
  </conditionalFormatting>
  <conditionalFormatting sqref="F553">
    <cfRule type="cellIs" dxfId="253" priority="60" operator="lessThanOrEqual">
      <formula>0</formula>
    </cfRule>
  </conditionalFormatting>
  <conditionalFormatting sqref="F555">
    <cfRule type="cellIs" dxfId="252" priority="59" operator="lessThanOrEqual">
      <formula>0</formula>
    </cfRule>
  </conditionalFormatting>
  <conditionalFormatting sqref="F557">
    <cfRule type="cellIs" dxfId="251" priority="58" operator="lessThanOrEqual">
      <formula>0</formula>
    </cfRule>
  </conditionalFormatting>
  <conditionalFormatting sqref="F559">
    <cfRule type="cellIs" dxfId="250" priority="57" operator="lessThanOrEqual">
      <formula>0</formula>
    </cfRule>
  </conditionalFormatting>
  <conditionalFormatting sqref="F564">
    <cfRule type="cellIs" dxfId="249" priority="56" operator="lessThanOrEqual">
      <formula>0</formula>
    </cfRule>
  </conditionalFormatting>
  <conditionalFormatting sqref="F562">
    <cfRule type="cellIs" dxfId="248" priority="55" operator="lessThanOrEqual">
      <formula>0</formula>
    </cfRule>
  </conditionalFormatting>
  <conditionalFormatting sqref="F568">
    <cfRule type="cellIs" dxfId="247" priority="52" operator="lessThanOrEqual">
      <formula>0</formula>
    </cfRule>
  </conditionalFormatting>
  <conditionalFormatting sqref="F578">
    <cfRule type="cellIs" dxfId="246" priority="50" operator="lessThanOrEqual">
      <formula>0</formula>
    </cfRule>
  </conditionalFormatting>
  <conditionalFormatting sqref="F572">
    <cfRule type="cellIs" dxfId="245" priority="51" operator="lessThanOrEqual">
      <formula>0</formula>
    </cfRule>
  </conditionalFormatting>
  <conditionalFormatting sqref="F579">
    <cfRule type="cellIs" dxfId="244" priority="49" operator="lessThanOrEqual">
      <formula>0</formula>
    </cfRule>
  </conditionalFormatting>
  <conditionalFormatting sqref="F581">
    <cfRule type="cellIs" dxfId="243" priority="48" operator="lessThanOrEqual">
      <formula>0</formula>
    </cfRule>
  </conditionalFormatting>
  <conditionalFormatting sqref="F552">
    <cfRule type="cellIs" dxfId="242" priority="46" operator="lessThanOrEqual">
      <formula>0</formula>
    </cfRule>
  </conditionalFormatting>
  <conditionalFormatting sqref="F576">
    <cfRule type="cellIs" dxfId="241" priority="47" operator="lessThanOrEqual">
      <formula>0</formula>
    </cfRule>
  </conditionalFormatting>
  <conditionalFormatting sqref="G553">
    <cfRule type="cellIs" dxfId="240" priority="43" operator="lessThanOrEqual">
      <formula>0</formula>
    </cfRule>
  </conditionalFormatting>
  <conditionalFormatting sqref="G552">
    <cfRule type="cellIs" dxfId="239" priority="45" operator="lessThanOrEqual">
      <formula>0</formula>
    </cfRule>
  </conditionalFormatting>
  <conditionalFormatting sqref="G552">
    <cfRule type="cellIs" dxfId="238" priority="44" operator="lessThanOrEqual">
      <formula>0</formula>
    </cfRule>
  </conditionalFormatting>
  <conditionalFormatting sqref="G553">
    <cfRule type="cellIs" dxfId="237" priority="42" operator="lessThanOrEqual">
      <formula>0</formula>
    </cfRule>
  </conditionalFormatting>
  <conditionalFormatting sqref="F554">
    <cfRule type="cellIs" dxfId="236" priority="41" operator="lessThanOrEqual">
      <formula>0</formula>
    </cfRule>
  </conditionalFormatting>
  <conditionalFormatting sqref="G554">
    <cfRule type="cellIs" dxfId="235" priority="40" operator="lessThanOrEqual">
      <formula>0</formula>
    </cfRule>
  </conditionalFormatting>
  <conditionalFormatting sqref="G554">
    <cfRule type="cellIs" dxfId="234" priority="39" operator="lessThanOrEqual">
      <formula>0</formula>
    </cfRule>
  </conditionalFormatting>
  <conditionalFormatting sqref="G555">
    <cfRule type="cellIs" dxfId="233" priority="38" operator="lessThanOrEqual">
      <formula>0</formula>
    </cfRule>
  </conditionalFormatting>
  <conditionalFormatting sqref="G555">
    <cfRule type="cellIs" dxfId="232" priority="37" operator="lessThanOrEqual">
      <formula>0</formula>
    </cfRule>
  </conditionalFormatting>
  <conditionalFormatting sqref="G557">
    <cfRule type="cellIs" dxfId="231" priority="36" operator="lessThanOrEqual">
      <formula>0</formula>
    </cfRule>
  </conditionalFormatting>
  <conditionalFormatting sqref="G557">
    <cfRule type="cellIs" dxfId="230" priority="35" operator="lessThanOrEqual">
      <formula>0</formula>
    </cfRule>
  </conditionalFormatting>
  <conditionalFormatting sqref="G559">
    <cfRule type="cellIs" dxfId="229" priority="34" operator="lessThanOrEqual">
      <formula>0</formula>
    </cfRule>
  </conditionalFormatting>
  <conditionalFormatting sqref="G559">
    <cfRule type="cellIs" dxfId="228" priority="33" operator="lessThanOrEqual">
      <formula>0</formula>
    </cfRule>
  </conditionalFormatting>
  <conditionalFormatting sqref="F566">
    <cfRule type="cellIs" dxfId="227" priority="32" operator="lessThanOrEqual">
      <formula>0</formula>
    </cfRule>
  </conditionalFormatting>
  <conditionalFormatting sqref="G576">
    <cfRule type="cellIs" dxfId="226" priority="24" operator="lessThanOrEqual">
      <formula>0</formula>
    </cfRule>
  </conditionalFormatting>
  <conditionalFormatting sqref="G566">
    <cfRule type="cellIs" dxfId="225" priority="31" operator="lessThanOrEqual">
      <formula>0</formula>
    </cfRule>
  </conditionalFormatting>
  <conditionalFormatting sqref="G568">
    <cfRule type="cellIs" dxfId="224" priority="30" operator="lessThanOrEqual">
      <formula>0</formula>
    </cfRule>
  </conditionalFormatting>
  <conditionalFormatting sqref="F569:F570">
    <cfRule type="cellIs" dxfId="223" priority="29" operator="lessThanOrEqual">
      <formula>0</formula>
    </cfRule>
  </conditionalFormatting>
  <conditionalFormatting sqref="G569:G570">
    <cfRule type="cellIs" dxfId="222" priority="28" operator="lessThanOrEqual">
      <formula>0</formula>
    </cfRule>
  </conditionalFormatting>
  <conditionalFormatting sqref="G572">
    <cfRule type="cellIs" dxfId="221" priority="27" operator="lessThanOrEqual">
      <formula>0</formula>
    </cfRule>
  </conditionalFormatting>
  <conditionalFormatting sqref="F573:F574">
    <cfRule type="cellIs" dxfId="220" priority="26" operator="lessThanOrEqual">
      <formula>0</formula>
    </cfRule>
  </conditionalFormatting>
  <conditionalFormatting sqref="G573:G574">
    <cfRule type="cellIs" dxfId="219" priority="25" operator="lessThanOrEqual">
      <formula>0</formula>
    </cfRule>
  </conditionalFormatting>
  <conditionalFormatting sqref="G578:G579">
    <cfRule type="cellIs" dxfId="218" priority="23" operator="lessThanOrEqual">
      <formula>0</formula>
    </cfRule>
  </conditionalFormatting>
  <conditionalFormatting sqref="F582">
    <cfRule type="cellIs" dxfId="217" priority="21" operator="lessThanOrEqual">
      <formula>0</formula>
    </cfRule>
  </conditionalFormatting>
  <conditionalFormatting sqref="G581:G582">
    <cfRule type="cellIs" dxfId="216" priority="22" operator="lessThanOrEqual">
      <formula>0</formula>
    </cfRule>
  </conditionalFormatting>
  <conditionalFormatting sqref="F587">
    <cfRule type="cellIs" dxfId="215" priority="17" operator="lessThanOrEqual">
      <formula>0</formula>
    </cfRule>
  </conditionalFormatting>
  <conditionalFormatting sqref="F584:F586">
    <cfRule type="cellIs" dxfId="214" priority="20" operator="lessThanOrEqual">
      <formula>0</formula>
    </cfRule>
  </conditionalFormatting>
  <conditionalFormatting sqref="G587">
    <cfRule type="cellIs" dxfId="213" priority="18" operator="lessThanOrEqual">
      <formula>0</formula>
    </cfRule>
  </conditionalFormatting>
  <conditionalFormatting sqref="F549">
    <cfRule type="cellIs" dxfId="212" priority="14" operator="lessThanOrEqual">
      <formula>0</formula>
    </cfRule>
  </conditionalFormatting>
  <conditionalFormatting sqref="G584:G586">
    <cfRule type="cellIs" dxfId="211" priority="19" operator="lessThanOrEqual">
      <formula>0</formula>
    </cfRule>
  </conditionalFormatting>
  <conditionalFormatting sqref="F575">
    <cfRule type="cellIs" dxfId="210" priority="16" operator="lessThanOrEqual">
      <formula>0</formula>
    </cfRule>
  </conditionalFormatting>
  <conditionalFormatting sqref="G575">
    <cfRule type="cellIs" dxfId="209" priority="15" operator="lessThanOrEqual">
      <formula>0</formula>
    </cfRule>
  </conditionalFormatting>
  <conditionalFormatting sqref="G549">
    <cfRule type="cellIs" dxfId="208" priority="13" operator="lessThanOrEqual">
      <formula>0</formula>
    </cfRule>
  </conditionalFormatting>
  <conditionalFormatting sqref="G549">
    <cfRule type="cellIs" dxfId="207" priority="12" operator="lessThanOrEqual">
      <formula>0</formula>
    </cfRule>
  </conditionalFormatting>
  <conditionalFormatting sqref="F550">
    <cfRule type="cellIs" dxfId="206" priority="11" operator="lessThanOrEqual">
      <formula>0</formula>
    </cfRule>
  </conditionalFormatting>
  <conditionalFormatting sqref="G550">
    <cfRule type="cellIs" dxfId="205" priority="10" operator="lessThanOrEqual">
      <formula>0</formula>
    </cfRule>
  </conditionalFormatting>
  <conditionalFormatting sqref="G550">
    <cfRule type="cellIs" dxfId="204" priority="9" operator="lessThanOrEqual">
      <formula>0</formula>
    </cfRule>
  </conditionalFormatting>
  <conditionalFormatting sqref="F166:G166">
    <cfRule type="timePeriod" dxfId="203" priority="7" timePeriod="lastWeek">
      <formula>AND(TODAY()-ROUNDDOWN(F166,0)&gt;=(WEEKDAY(TODAY())),TODAY()-ROUNDDOWN(F166,0)&lt;(WEEKDAY(TODAY())+7))</formula>
    </cfRule>
    <cfRule type="timePeriod" dxfId="202" priority="8" timePeriod="lastWeek">
      <formula>AND(TODAY()-ROUNDDOWN(F166,0)&gt;=(WEEKDAY(TODAY())),TODAY()-ROUNDDOWN(F166,0)&lt;(WEEKDAY(TODAY())+7))</formula>
    </cfRule>
  </conditionalFormatting>
  <conditionalFormatting sqref="F567">
    <cfRule type="cellIs" dxfId="201" priority="6" operator="lessThanOrEqual">
      <formula>0</formula>
    </cfRule>
  </conditionalFormatting>
  <conditionalFormatting sqref="G567">
    <cfRule type="cellIs" dxfId="200" priority="5" operator="lessThanOrEqual">
      <formula>0</formula>
    </cfRule>
  </conditionalFormatting>
  <conditionalFormatting sqref="F571">
    <cfRule type="cellIs" dxfId="199" priority="4" operator="lessThanOrEqual">
      <formula>0</formula>
    </cfRule>
  </conditionalFormatting>
  <conditionalFormatting sqref="G571">
    <cfRule type="cellIs" dxfId="198" priority="3" operator="lessThanOrEqual">
      <formula>0</formula>
    </cfRule>
  </conditionalFormatting>
  <conditionalFormatting sqref="G583">
    <cfRule type="cellIs" dxfId="197" priority="1" operator="lessThanOrEqual">
      <formula>0</formula>
    </cfRule>
  </conditionalFormatting>
  <conditionalFormatting sqref="F583">
    <cfRule type="cellIs" dxfId="196" priority="2" operator="lessThanOrEqual">
      <formula>0</formula>
    </cfRule>
  </conditionalFormatting>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45"/>
  <sheetViews>
    <sheetView topLeftCell="A169" workbookViewId="0">
      <selection activeCell="I184" sqref="I184"/>
    </sheetView>
  </sheetViews>
  <sheetFormatPr baseColWidth="10" defaultRowHeight="15"/>
  <cols>
    <col min="2" max="2" width="12.85546875" bestFit="1" customWidth="1"/>
    <col min="3" max="3" width="12.85546875" style="71" bestFit="1" customWidth="1"/>
    <col min="5" max="5" width="14.28515625" style="71" bestFit="1" customWidth="1"/>
    <col min="6" max="6" width="12.85546875" bestFit="1" customWidth="1"/>
    <col min="7" max="7" width="11.85546875" style="71" bestFit="1" customWidth="1"/>
  </cols>
  <sheetData>
    <row r="1" spans="1:7">
      <c r="A1" s="3013">
        <v>111</v>
      </c>
      <c r="C1" s="3014">
        <f>SUM(C2:C7)</f>
        <v>134501.67000000001</v>
      </c>
      <c r="E1" s="3014">
        <f>+'PTBA  comp sc code 4'!Q11</f>
        <v>134501.66666666669</v>
      </c>
      <c r="G1" s="71">
        <f>+E1-C1</f>
        <v>-3.3333333267364651E-3</v>
      </c>
    </row>
    <row r="2" spans="1:7">
      <c r="A2">
        <v>1111</v>
      </c>
      <c r="C2" s="71">
        <v>3979.33</v>
      </c>
    </row>
    <row r="3" spans="1:7">
      <c r="A3">
        <v>1112</v>
      </c>
      <c r="C3" s="71">
        <v>22315.67</v>
      </c>
    </row>
    <row r="4" spans="1:7">
      <c r="A4">
        <v>1113</v>
      </c>
      <c r="C4" s="71">
        <v>6494</v>
      </c>
    </row>
    <row r="5" spans="1:7">
      <c r="A5">
        <v>1114</v>
      </c>
      <c r="C5" s="71">
        <v>29221</v>
      </c>
    </row>
    <row r="6" spans="1:7">
      <c r="A6">
        <v>1115</v>
      </c>
      <c r="C6" s="71">
        <v>68472</v>
      </c>
    </row>
    <row r="7" spans="1:7">
      <c r="A7">
        <v>1116</v>
      </c>
      <c r="C7" s="71">
        <v>4019.67</v>
      </c>
    </row>
    <row r="9" spans="1:7">
      <c r="A9" s="3013">
        <v>121</v>
      </c>
      <c r="C9" s="3014">
        <f>SUM(C10:C17)</f>
        <v>163711</v>
      </c>
      <c r="E9" s="3014">
        <v>163711</v>
      </c>
      <c r="G9" s="71">
        <f>+E9-C9</f>
        <v>0</v>
      </c>
    </row>
    <row r="10" spans="1:7">
      <c r="A10">
        <f>'PTBA  comp sc code 4'!A99</f>
        <v>1211</v>
      </c>
      <c r="C10" s="71">
        <v>14002</v>
      </c>
    </row>
    <row r="11" spans="1:7">
      <c r="A11">
        <v>1212</v>
      </c>
      <c r="C11" s="71">
        <v>31374</v>
      </c>
    </row>
    <row r="12" spans="1:7">
      <c r="A12">
        <v>1213</v>
      </c>
      <c r="C12" s="71">
        <v>18706</v>
      </c>
    </row>
    <row r="13" spans="1:7">
      <c r="A13">
        <v>1214</v>
      </c>
      <c r="C13" s="71">
        <v>3056</v>
      </c>
    </row>
    <row r="14" spans="1:7">
      <c r="A14">
        <v>1215</v>
      </c>
      <c r="C14" s="71">
        <v>7142</v>
      </c>
    </row>
    <row r="15" spans="1:7">
      <c r="A15">
        <v>1216</v>
      </c>
      <c r="C15" s="71">
        <v>24431</v>
      </c>
    </row>
    <row r="16" spans="1:7">
      <c r="A16">
        <v>1217</v>
      </c>
      <c r="C16" s="71">
        <v>50000</v>
      </c>
    </row>
    <row r="17" spans="1:6">
      <c r="A17">
        <v>1218</v>
      </c>
      <c r="C17" s="71">
        <v>15000</v>
      </c>
    </row>
    <row r="20" spans="1:6">
      <c r="A20" s="3013">
        <v>122</v>
      </c>
      <c r="C20" s="71">
        <f>SUM(C21:C30)</f>
        <v>150847.68000000002</v>
      </c>
      <c r="E20" s="3014">
        <f>'PTBA  comp sc code 4'!Q168</f>
        <v>150847.67633333337</v>
      </c>
      <c r="F20" s="72">
        <f>C20-E20</f>
        <v>3.6666666564997286E-3</v>
      </c>
    </row>
    <row r="21" spans="1:6">
      <c r="A21">
        <v>1221</v>
      </c>
      <c r="C21" s="71">
        <v>13416.4</v>
      </c>
    </row>
    <row r="22" spans="1:6">
      <c r="A22">
        <v>1222</v>
      </c>
      <c r="C22" s="71">
        <v>15758</v>
      </c>
    </row>
    <row r="23" spans="1:6">
      <c r="A23">
        <v>1223</v>
      </c>
      <c r="C23" s="71">
        <v>15758</v>
      </c>
    </row>
    <row r="24" spans="1:6">
      <c r="A24">
        <v>1224</v>
      </c>
      <c r="C24" s="71">
        <v>1216</v>
      </c>
    </row>
    <row r="25" spans="1:6">
      <c r="A25">
        <v>1225</v>
      </c>
      <c r="C25" s="71">
        <v>12705</v>
      </c>
    </row>
    <row r="26" spans="1:6">
      <c r="A26">
        <v>1226</v>
      </c>
      <c r="C26" s="71">
        <v>5745.17</v>
      </c>
    </row>
    <row r="27" spans="1:6">
      <c r="A27">
        <v>1227</v>
      </c>
      <c r="C27" s="71">
        <v>1089</v>
      </c>
    </row>
    <row r="28" spans="1:6">
      <c r="A28">
        <v>1228</v>
      </c>
      <c r="C28" s="71">
        <v>61020.56</v>
      </c>
    </row>
    <row r="29" spans="1:6">
      <c r="A29">
        <v>1229</v>
      </c>
      <c r="C29" s="71">
        <v>16171.89</v>
      </c>
    </row>
    <row r="30" spans="1:6">
      <c r="A30">
        <v>1230</v>
      </c>
      <c r="C30" s="71">
        <v>7967.66</v>
      </c>
    </row>
    <row r="32" spans="1:6">
      <c r="A32" s="3013">
        <v>211</v>
      </c>
      <c r="C32" s="2730">
        <f>SUM(C33:C34)</f>
        <v>32625.75</v>
      </c>
      <c r="D32" s="2730"/>
      <c r="E32" s="3014">
        <f>'PTBA  comp sc code 4'!Q246</f>
        <v>32625.75</v>
      </c>
      <c r="F32" s="72">
        <f>+C32-E32</f>
        <v>0</v>
      </c>
    </row>
    <row r="33" spans="1:6">
      <c r="A33">
        <v>2111</v>
      </c>
      <c r="C33" s="71">
        <v>9915</v>
      </c>
    </row>
    <row r="34" spans="1:6">
      <c r="A34">
        <v>2112</v>
      </c>
      <c r="C34" s="71">
        <v>22710.75</v>
      </c>
    </row>
    <row r="36" spans="1:6">
      <c r="A36" s="3013">
        <v>212</v>
      </c>
      <c r="C36" s="3014">
        <f>SUM(C37:D41)</f>
        <v>39681.333333333336</v>
      </c>
      <c r="D36" s="3013"/>
      <c r="E36" s="3014">
        <f>'PTBA  comp sc code 4'!Q256</f>
        <v>39681</v>
      </c>
      <c r="F36" s="2730">
        <f>+C36-E36</f>
        <v>0.33333333333575865</v>
      </c>
    </row>
    <row r="37" spans="1:6">
      <c r="A37">
        <v>2121</v>
      </c>
      <c r="C37" s="71">
        <v>5348</v>
      </c>
    </row>
    <row r="38" spans="1:6">
      <c r="A38">
        <v>2122</v>
      </c>
      <c r="C38" s="71">
        <v>3333.3333333333335</v>
      </c>
    </row>
    <row r="39" spans="1:6">
      <c r="A39">
        <v>2123</v>
      </c>
      <c r="C39" s="71">
        <v>2666.6666666666665</v>
      </c>
    </row>
    <row r="40" spans="1:6">
      <c r="A40">
        <v>2124</v>
      </c>
      <c r="C40" s="71">
        <v>8333.3333333333339</v>
      </c>
    </row>
    <row r="41" spans="1:6">
      <c r="A41">
        <v>2125</v>
      </c>
      <c r="C41" s="71">
        <v>20000</v>
      </c>
    </row>
    <row r="43" spans="1:6">
      <c r="A43" s="3013">
        <v>213</v>
      </c>
      <c r="C43" s="3014">
        <f>SUM(C44:C49)</f>
        <v>127504</v>
      </c>
      <c r="E43" s="3014" t="e">
        <f>#REF!</f>
        <v>#REF!</v>
      </c>
      <c r="F43" s="72" t="e">
        <f>+C43-E43</f>
        <v>#REF!</v>
      </c>
    </row>
    <row r="44" spans="1:6">
      <c r="A44">
        <v>2131</v>
      </c>
      <c r="C44" s="71">
        <v>9360</v>
      </c>
    </row>
    <row r="45" spans="1:6">
      <c r="A45">
        <v>2132</v>
      </c>
      <c r="C45" s="71">
        <v>4730</v>
      </c>
    </row>
    <row r="46" spans="1:6">
      <c r="A46">
        <v>2133</v>
      </c>
      <c r="C46" s="71">
        <v>5933</v>
      </c>
    </row>
    <row r="47" spans="1:6">
      <c r="A47">
        <v>2134</v>
      </c>
      <c r="C47" s="71">
        <v>30281</v>
      </c>
    </row>
    <row r="48" spans="1:6">
      <c r="A48">
        <v>2135</v>
      </c>
      <c r="C48" s="71">
        <v>70000</v>
      </c>
    </row>
    <row r="49" spans="1:6">
      <c r="A49">
        <v>2136</v>
      </c>
      <c r="C49" s="71">
        <v>7200</v>
      </c>
    </row>
    <row r="51" spans="1:6">
      <c r="A51" s="3013">
        <v>214</v>
      </c>
      <c r="C51" s="3014">
        <f>SUM(C52:C54)</f>
        <v>47057.34</v>
      </c>
      <c r="E51" s="71" t="e">
        <f>#REF!</f>
        <v>#REF!</v>
      </c>
      <c r="F51" s="72" t="e">
        <f>C51-E51</f>
        <v>#REF!</v>
      </c>
    </row>
    <row r="52" spans="1:6">
      <c r="A52">
        <v>2141</v>
      </c>
      <c r="C52" s="71">
        <v>22594.67</v>
      </c>
    </row>
    <row r="53" spans="1:6">
      <c r="A53">
        <v>2142</v>
      </c>
      <c r="C53" s="71">
        <v>21422.67</v>
      </c>
    </row>
    <row r="54" spans="1:6">
      <c r="A54">
        <v>2143</v>
      </c>
      <c r="C54" s="71">
        <v>3040</v>
      </c>
    </row>
    <row r="56" spans="1:6">
      <c r="A56" s="3013">
        <v>215</v>
      </c>
      <c r="C56" s="3014">
        <f>SUM(C57:C61)</f>
        <v>53486.34</v>
      </c>
      <c r="E56" s="71" t="e">
        <f>#REF!</f>
        <v>#REF!</v>
      </c>
      <c r="F56" s="72" t="e">
        <f>+C56-E56</f>
        <v>#REF!</v>
      </c>
    </row>
    <row r="57" spans="1:6">
      <c r="A57" t="e">
        <f>#REF!</f>
        <v>#REF!</v>
      </c>
      <c r="C57" s="71">
        <v>5417</v>
      </c>
    </row>
    <row r="58" spans="1:6">
      <c r="A58" t="e">
        <f>#REF!</f>
        <v>#REF!</v>
      </c>
      <c r="C58" s="71">
        <v>12902.67</v>
      </c>
    </row>
    <row r="59" spans="1:6">
      <c r="A59" t="e">
        <f>#REF!</f>
        <v>#REF!</v>
      </c>
      <c r="C59" s="71">
        <v>26666.67</v>
      </c>
    </row>
    <row r="60" spans="1:6">
      <c r="A60" t="e">
        <f>#REF!</f>
        <v>#REF!</v>
      </c>
      <c r="C60" s="71">
        <v>6000</v>
      </c>
    </row>
    <row r="61" spans="1:6">
      <c r="A61" t="e">
        <f>#REF!</f>
        <v>#REF!</v>
      </c>
      <c r="C61" s="71">
        <v>2500</v>
      </c>
    </row>
    <row r="63" spans="1:6">
      <c r="A63" s="3013">
        <v>221</v>
      </c>
      <c r="C63" s="3014">
        <f>SUM(C64:C68)</f>
        <v>42960</v>
      </c>
      <c r="E63" s="3014">
        <v>42960</v>
      </c>
      <c r="F63" s="72">
        <f>+C63-E63</f>
        <v>0</v>
      </c>
    </row>
    <row r="64" spans="1:6">
      <c r="A64">
        <v>2211</v>
      </c>
      <c r="C64" s="71">
        <v>27240</v>
      </c>
    </row>
    <row r="65" spans="1:6">
      <c r="A65">
        <v>2212</v>
      </c>
      <c r="C65" s="71">
        <v>5240</v>
      </c>
    </row>
    <row r="66" spans="1:6">
      <c r="A66">
        <v>2213</v>
      </c>
      <c r="C66" s="71">
        <v>6240</v>
      </c>
    </row>
    <row r="67" spans="1:6">
      <c r="A67">
        <v>2214</v>
      </c>
      <c r="C67" s="71">
        <v>4000</v>
      </c>
    </row>
    <row r="68" spans="1:6">
      <c r="A68">
        <v>2215</v>
      </c>
      <c r="C68" s="71">
        <v>240</v>
      </c>
    </row>
    <row r="70" spans="1:6">
      <c r="A70" s="3013">
        <v>222</v>
      </c>
      <c r="C70" s="3014">
        <f>SUM(C71:C74)</f>
        <v>24920</v>
      </c>
      <c r="D70" s="3013"/>
      <c r="E70" s="3014" t="e">
        <f>#REF!</f>
        <v>#REF!</v>
      </c>
      <c r="F70" s="72" t="e">
        <f>+C70-E70</f>
        <v>#REF!</v>
      </c>
    </row>
    <row r="71" spans="1:6">
      <c r="A71">
        <v>2221</v>
      </c>
      <c r="C71" s="71">
        <v>3240</v>
      </c>
    </row>
    <row r="72" spans="1:6">
      <c r="A72">
        <v>2222</v>
      </c>
      <c r="C72" s="71">
        <v>3240</v>
      </c>
    </row>
    <row r="73" spans="1:6">
      <c r="A73">
        <v>2223</v>
      </c>
      <c r="C73" s="71">
        <v>8740</v>
      </c>
    </row>
    <row r="74" spans="1:6">
      <c r="A74">
        <v>2224</v>
      </c>
      <c r="C74" s="71">
        <v>9700</v>
      </c>
    </row>
    <row r="76" spans="1:6">
      <c r="A76" s="3013">
        <v>223</v>
      </c>
      <c r="C76" s="3014">
        <f>SUM(C77:C80)</f>
        <v>209880</v>
      </c>
      <c r="E76" s="3014" t="e">
        <f>#REF!</f>
        <v>#REF!</v>
      </c>
      <c r="F76" s="72" t="e">
        <f>+C76-E76</f>
        <v>#REF!</v>
      </c>
    </row>
    <row r="77" spans="1:6">
      <c r="A77">
        <v>2231</v>
      </c>
      <c r="C77" s="71">
        <v>5240</v>
      </c>
    </row>
    <row r="78" spans="1:6">
      <c r="A78">
        <v>2232</v>
      </c>
      <c r="C78" s="71">
        <v>27200</v>
      </c>
    </row>
    <row r="79" spans="1:6">
      <c r="A79">
        <v>2233</v>
      </c>
      <c r="C79" s="71">
        <v>177200</v>
      </c>
    </row>
    <row r="80" spans="1:6">
      <c r="A80">
        <v>2234</v>
      </c>
      <c r="C80" s="71">
        <v>240</v>
      </c>
    </row>
    <row r="82" spans="1:6">
      <c r="A82" s="3013">
        <v>224</v>
      </c>
      <c r="C82" s="71">
        <f>C83</f>
        <v>22240</v>
      </c>
      <c r="E82" s="3014" t="e">
        <f>#REF!</f>
        <v>#REF!</v>
      </c>
      <c r="F82" s="72" t="e">
        <f>E82-C82</f>
        <v>#REF!</v>
      </c>
    </row>
    <row r="83" spans="1:6">
      <c r="A83">
        <v>2241</v>
      </c>
      <c r="C83" s="71">
        <v>22240</v>
      </c>
    </row>
    <row r="84" spans="1:6">
      <c r="A84" s="3013">
        <v>231</v>
      </c>
      <c r="C84" s="3014">
        <f>SUM(C85:C86)</f>
        <v>45378.29</v>
      </c>
      <c r="E84" s="3014" t="e">
        <f>#REF!</f>
        <v>#REF!</v>
      </c>
      <c r="F84" s="72" t="e">
        <f>+C84-E84</f>
        <v>#REF!</v>
      </c>
    </row>
    <row r="85" spans="1:6">
      <c r="A85">
        <v>2311</v>
      </c>
      <c r="C85" s="71">
        <v>6276.22</v>
      </c>
    </row>
    <row r="86" spans="1:6">
      <c r="A86">
        <v>2312</v>
      </c>
      <c r="C86" s="71">
        <v>39102.07</v>
      </c>
    </row>
    <row r="88" spans="1:6">
      <c r="A88" s="3013">
        <v>232</v>
      </c>
      <c r="C88" s="3014">
        <f>SUM(C89:C90)</f>
        <v>32475</v>
      </c>
      <c r="D88" s="3013"/>
      <c r="E88" s="3014" t="e">
        <f>#REF!</f>
        <v>#REF!</v>
      </c>
    </row>
    <row r="89" spans="1:6">
      <c r="A89">
        <v>2321</v>
      </c>
      <c r="C89" s="71">
        <v>25248</v>
      </c>
    </row>
    <row r="90" spans="1:6">
      <c r="A90">
        <v>2322</v>
      </c>
      <c r="C90" s="71">
        <v>7227</v>
      </c>
    </row>
    <row r="92" spans="1:6">
      <c r="A92" s="3013">
        <v>233</v>
      </c>
      <c r="C92" s="71">
        <f>SUM(C93:C94)</f>
        <v>3958</v>
      </c>
      <c r="E92" s="3014" t="e">
        <f>#REF!</f>
        <v>#REF!</v>
      </c>
      <c r="F92" s="72" t="e">
        <f>+C92-E92</f>
        <v>#REF!</v>
      </c>
    </row>
    <row r="93" spans="1:6">
      <c r="A93">
        <v>2331</v>
      </c>
      <c r="C93" s="71">
        <v>3478</v>
      </c>
    </row>
    <row r="94" spans="1:6">
      <c r="A94">
        <v>2332</v>
      </c>
      <c r="C94" s="71">
        <v>480</v>
      </c>
    </row>
    <row r="97" spans="1:6">
      <c r="A97" s="3013">
        <v>234</v>
      </c>
      <c r="C97" s="71">
        <v>6277</v>
      </c>
      <c r="E97" s="71" t="e">
        <f>#REF!</f>
        <v>#REF!</v>
      </c>
    </row>
    <row r="98" spans="1:6">
      <c r="A98">
        <v>2341</v>
      </c>
    </row>
    <row r="101" spans="1:6">
      <c r="A101" s="3013">
        <v>311</v>
      </c>
      <c r="B101" t="e">
        <f>SUM(B102:B107)</f>
        <v>#REF!</v>
      </c>
      <c r="E101" s="71" t="e">
        <f>#REF!</f>
        <v>#REF!</v>
      </c>
      <c r="F101" s="72" t="e">
        <f>+B101-E101</f>
        <v>#REF!</v>
      </c>
    </row>
    <row r="102" spans="1:6">
      <c r="A102">
        <v>3111</v>
      </c>
      <c r="B102" t="e">
        <f>#REF!</f>
        <v>#REF!</v>
      </c>
    </row>
    <row r="103" spans="1:6">
      <c r="A103">
        <v>3112</v>
      </c>
      <c r="B103" t="e">
        <f>#REF!</f>
        <v>#REF!</v>
      </c>
    </row>
    <row r="104" spans="1:6">
      <c r="A104">
        <v>3113</v>
      </c>
      <c r="B104" t="e">
        <f>#REF!</f>
        <v>#REF!</v>
      </c>
    </row>
    <row r="105" spans="1:6">
      <c r="A105">
        <v>3114</v>
      </c>
      <c r="B105" t="e">
        <f>#REF!</f>
        <v>#REF!</v>
      </c>
    </row>
    <row r="106" spans="1:6">
      <c r="A106">
        <v>3115</v>
      </c>
      <c r="B106" t="e">
        <f>#REF!</f>
        <v>#REF!</v>
      </c>
    </row>
    <row r="107" spans="1:6">
      <c r="A107">
        <v>3116</v>
      </c>
      <c r="B107">
        <v>183.33</v>
      </c>
    </row>
    <row r="110" spans="1:6">
      <c r="A110" s="3013">
        <v>321</v>
      </c>
      <c r="B110" s="3013" t="e">
        <f>SUM(B111:B112)</f>
        <v>#REF!</v>
      </c>
      <c r="C110" s="3014"/>
      <c r="D110" s="3013"/>
      <c r="E110" s="3014" t="e">
        <f>#REF!</f>
        <v>#REF!</v>
      </c>
      <c r="F110" s="72" t="e">
        <f>+B110-E110</f>
        <v>#REF!</v>
      </c>
    </row>
    <row r="111" spans="1:6">
      <c r="A111">
        <v>3211</v>
      </c>
      <c r="B111" t="e">
        <f>#REF!</f>
        <v>#REF!</v>
      </c>
    </row>
    <row r="112" spans="1:6">
      <c r="A112">
        <v>3212</v>
      </c>
      <c r="B112" t="e">
        <f>#REF!</f>
        <v>#REF!</v>
      </c>
    </row>
    <row r="114" spans="1:6">
      <c r="A114" s="3013">
        <v>322</v>
      </c>
      <c r="B114" s="3013">
        <f>SUM(B115:B116)</f>
        <v>7667</v>
      </c>
      <c r="C114" s="3014"/>
      <c r="D114" s="3013"/>
      <c r="E114" s="3014" t="e">
        <f>#REF!</f>
        <v>#REF!</v>
      </c>
      <c r="F114" s="72" t="e">
        <f>+B114-E114</f>
        <v>#REF!</v>
      </c>
    </row>
    <row r="115" spans="1:6">
      <c r="A115">
        <v>3221</v>
      </c>
      <c r="B115">
        <v>6667</v>
      </c>
    </row>
    <row r="116" spans="1:6">
      <c r="A116">
        <v>3222</v>
      </c>
      <c r="B116">
        <v>1000</v>
      </c>
    </row>
    <row r="118" spans="1:6">
      <c r="A118" s="3013">
        <v>323</v>
      </c>
      <c r="B118" s="3013" t="e">
        <f>SUM(B119:B121)</f>
        <v>#REF!</v>
      </c>
      <c r="C118" s="3014"/>
      <c r="D118" s="3013"/>
      <c r="E118" s="3014" t="e">
        <f>#REF!</f>
        <v>#REF!</v>
      </c>
      <c r="F118" s="72" t="e">
        <f>+B118-E118</f>
        <v>#REF!</v>
      </c>
    </row>
    <row r="119" spans="1:6">
      <c r="A119">
        <v>3231</v>
      </c>
      <c r="B119" t="e">
        <f>#REF!</f>
        <v>#REF!</v>
      </c>
    </row>
    <row r="120" spans="1:6">
      <c r="A120">
        <v>3232</v>
      </c>
      <c r="B120" t="e">
        <f>#REF!</f>
        <v>#REF!</v>
      </c>
    </row>
    <row r="121" spans="1:6">
      <c r="A121">
        <v>3233</v>
      </c>
      <c r="B121" t="e">
        <f>#REF!</f>
        <v>#REF!</v>
      </c>
    </row>
    <row r="123" spans="1:6">
      <c r="A123" s="3013">
        <v>324</v>
      </c>
      <c r="B123" s="3013">
        <f>SUM(B124:B125)</f>
        <v>11980.67</v>
      </c>
      <c r="C123" s="3014"/>
      <c r="D123" s="3013"/>
      <c r="E123" s="3014" t="e">
        <f>#REF!</f>
        <v>#REF!</v>
      </c>
      <c r="F123" s="72" t="e">
        <f>+B123-E123</f>
        <v>#REF!</v>
      </c>
    </row>
    <row r="124" spans="1:6">
      <c r="A124">
        <v>3241</v>
      </c>
      <c r="B124">
        <v>9680.67</v>
      </c>
    </row>
    <row r="125" spans="1:6">
      <c r="A125">
        <v>3242</v>
      </c>
      <c r="B125">
        <v>2300</v>
      </c>
    </row>
    <row r="127" spans="1:6">
      <c r="A127" s="3013">
        <v>411</v>
      </c>
      <c r="B127" s="3013" t="e">
        <f>SUM(B128:B135)</f>
        <v>#REF!</v>
      </c>
      <c r="C127" s="3014"/>
      <c r="D127" s="3013"/>
      <c r="E127" s="3014" t="e">
        <f>#REF!</f>
        <v>#REF!</v>
      </c>
      <c r="F127" s="72" t="e">
        <f>+B127-E127</f>
        <v>#REF!</v>
      </c>
    </row>
    <row r="128" spans="1:6">
      <c r="A128">
        <v>4111</v>
      </c>
      <c r="B128" t="e">
        <f>#REF!</f>
        <v>#REF!</v>
      </c>
    </row>
    <row r="129" spans="1:6">
      <c r="A129">
        <v>4112</v>
      </c>
      <c r="B129" t="e">
        <f>#REF!</f>
        <v>#REF!</v>
      </c>
    </row>
    <row r="130" spans="1:6">
      <c r="A130">
        <v>4113</v>
      </c>
      <c r="B130" t="e">
        <f>#REF!</f>
        <v>#REF!</v>
      </c>
    </row>
    <row r="131" spans="1:6">
      <c r="A131">
        <v>4114</v>
      </c>
      <c r="B131" t="e">
        <f>#REF!</f>
        <v>#REF!</v>
      </c>
    </row>
    <row r="132" spans="1:6">
      <c r="A132">
        <v>4115</v>
      </c>
      <c r="B132" t="e">
        <f>#REF!</f>
        <v>#REF!</v>
      </c>
    </row>
    <row r="133" spans="1:6">
      <c r="A133">
        <v>4116</v>
      </c>
      <c r="B133" t="e">
        <f>#REF!</f>
        <v>#REF!</v>
      </c>
    </row>
    <row r="134" spans="1:6">
      <c r="A134">
        <v>4117</v>
      </c>
      <c r="B134" t="e">
        <f>#REF!</f>
        <v>#REF!</v>
      </c>
    </row>
    <row r="135" spans="1:6">
      <c r="A135">
        <v>4118</v>
      </c>
      <c r="B135" t="e">
        <f>#REF!</f>
        <v>#REF!</v>
      </c>
    </row>
    <row r="137" spans="1:6">
      <c r="A137" s="3013">
        <v>412</v>
      </c>
      <c r="B137">
        <f>SUM(B138:B139)</f>
        <v>9103.5</v>
      </c>
      <c r="E137" s="3014" t="e">
        <f>#REF!</f>
        <v>#REF!</v>
      </c>
      <c r="F137" s="72" t="e">
        <f>+B137-E137</f>
        <v>#REF!</v>
      </c>
    </row>
    <row r="138" spans="1:6">
      <c r="A138">
        <v>4121</v>
      </c>
      <c r="B138">
        <v>3200.67</v>
      </c>
    </row>
    <row r="139" spans="1:6">
      <c r="A139">
        <v>4122</v>
      </c>
      <c r="B139">
        <v>5902.83</v>
      </c>
    </row>
    <row r="142" spans="1:6">
      <c r="A142" s="3013">
        <v>413</v>
      </c>
      <c r="B142" s="3014" t="e">
        <f>SUM(B143:B144)</f>
        <v>#REF!</v>
      </c>
      <c r="E142" s="71" t="e">
        <f>#REF!</f>
        <v>#REF!</v>
      </c>
      <c r="F142" s="72" t="e">
        <f>+B142-E142</f>
        <v>#REF!</v>
      </c>
    </row>
    <row r="143" spans="1:6">
      <c r="A143">
        <v>4131</v>
      </c>
      <c r="B143" s="71" t="e">
        <f>#REF!</f>
        <v>#REF!</v>
      </c>
    </row>
    <row r="144" spans="1:6">
      <c r="A144">
        <v>4132</v>
      </c>
      <c r="B144" s="71" t="e">
        <f>#REF!</f>
        <v>#REF!</v>
      </c>
    </row>
    <row r="146" spans="1:6">
      <c r="A146" s="3013">
        <v>421</v>
      </c>
      <c r="B146" s="3013" t="e">
        <f>SUM(B147:B149)</f>
        <v>#REF!</v>
      </c>
      <c r="E146" s="3014" t="e">
        <f>#REF!</f>
        <v>#REF!</v>
      </c>
      <c r="F146" s="72" t="e">
        <f>+B146-E146</f>
        <v>#REF!</v>
      </c>
    </row>
    <row r="147" spans="1:6">
      <c r="A147">
        <v>4211</v>
      </c>
      <c r="B147" t="e">
        <f>#REF!</f>
        <v>#REF!</v>
      </c>
    </row>
    <row r="148" spans="1:6">
      <c r="A148">
        <v>4212</v>
      </c>
      <c r="B148" t="e">
        <f>#REF!</f>
        <v>#REF!</v>
      </c>
    </row>
    <row r="149" spans="1:6">
      <c r="A149">
        <v>4213</v>
      </c>
      <c r="B149" t="e">
        <f>#REF!</f>
        <v>#REF!</v>
      </c>
    </row>
    <row r="151" spans="1:6">
      <c r="A151" s="3013">
        <v>422</v>
      </c>
      <c r="B151" s="3014" t="e">
        <f>SUM(B152:B155)</f>
        <v>#REF!</v>
      </c>
      <c r="C151" s="3014"/>
      <c r="D151" s="3013"/>
      <c r="E151" s="3014" t="e">
        <f>#REF!</f>
        <v>#REF!</v>
      </c>
      <c r="F151" s="72" t="e">
        <f>+B151-E151</f>
        <v>#REF!</v>
      </c>
    </row>
    <row r="152" spans="1:6">
      <c r="A152">
        <v>4221</v>
      </c>
      <c r="B152" s="71" t="e">
        <f>#REF!</f>
        <v>#REF!</v>
      </c>
    </row>
    <row r="153" spans="1:6">
      <c r="A153">
        <v>4222</v>
      </c>
      <c r="B153" s="71" t="e">
        <f>#REF!</f>
        <v>#REF!</v>
      </c>
    </row>
    <row r="154" spans="1:6">
      <c r="A154">
        <v>4223</v>
      </c>
      <c r="B154" s="71" t="e">
        <f>#REF!</f>
        <v>#REF!</v>
      </c>
    </row>
    <row r="155" spans="1:6">
      <c r="A155">
        <v>4224</v>
      </c>
      <c r="B155" s="71" t="e">
        <f>#REF!</f>
        <v>#REF!</v>
      </c>
    </row>
    <row r="158" spans="1:6">
      <c r="A158" s="3013">
        <v>423</v>
      </c>
      <c r="B158" t="e">
        <f>+B159</f>
        <v>#REF!</v>
      </c>
      <c r="E158" s="71" t="e">
        <f>#REF!</f>
        <v>#REF!</v>
      </c>
      <c r="F158" s="72" t="e">
        <f>+B158-E158</f>
        <v>#REF!</v>
      </c>
    </row>
    <row r="159" spans="1:6">
      <c r="A159">
        <v>4231</v>
      </c>
      <c r="B159" t="e">
        <f>#REF!</f>
        <v>#REF!</v>
      </c>
    </row>
    <row r="161" spans="1:6">
      <c r="A161" s="3013">
        <v>424</v>
      </c>
      <c r="B161" t="e">
        <f>+B162</f>
        <v>#REF!</v>
      </c>
      <c r="E161" s="71" t="e">
        <f>#REF!</f>
        <v>#REF!</v>
      </c>
      <c r="F161" s="72" t="e">
        <f>E161-B161</f>
        <v>#REF!</v>
      </c>
    </row>
    <row r="162" spans="1:6">
      <c r="A162">
        <v>4241</v>
      </c>
      <c r="B162" t="e">
        <f>#REF!</f>
        <v>#REF!</v>
      </c>
    </row>
    <row r="164" spans="1:6">
      <c r="A164" s="3013">
        <v>425</v>
      </c>
      <c r="B164" s="71" t="e">
        <f>SUM(B165:B168)</f>
        <v>#REF!</v>
      </c>
      <c r="E164" s="71" t="e">
        <f>#REF!</f>
        <v>#REF!</v>
      </c>
      <c r="F164" s="72" t="e">
        <f>+B164-E164</f>
        <v>#REF!</v>
      </c>
    </row>
    <row r="165" spans="1:6">
      <c r="A165">
        <v>4251</v>
      </c>
      <c r="B165" s="71" t="e">
        <f>#REF!</f>
        <v>#REF!</v>
      </c>
    </row>
    <row r="166" spans="1:6">
      <c r="A166">
        <v>4252</v>
      </c>
      <c r="B166" s="71" t="e">
        <f>#REF!</f>
        <v>#REF!</v>
      </c>
    </row>
    <row r="167" spans="1:6">
      <c r="A167">
        <v>4253</v>
      </c>
      <c r="B167" s="71" t="e">
        <f>#REF!</f>
        <v>#REF!</v>
      </c>
    </row>
    <row r="168" spans="1:6">
      <c r="A168">
        <v>4254</v>
      </c>
      <c r="B168" s="71" t="e">
        <f>#REF!</f>
        <v>#REF!</v>
      </c>
    </row>
    <row r="171" spans="1:6">
      <c r="A171" s="3013">
        <v>426</v>
      </c>
      <c r="B171" s="3013" t="e">
        <f>SUM(B172:B176)</f>
        <v>#REF!</v>
      </c>
      <c r="C171" s="3014"/>
      <c r="D171" s="3013"/>
      <c r="E171" s="3014" t="e">
        <f>#REF!</f>
        <v>#REF!</v>
      </c>
      <c r="F171" s="72" t="e">
        <f>B171-E171</f>
        <v>#REF!</v>
      </c>
    </row>
    <row r="172" spans="1:6">
      <c r="A172">
        <v>4261</v>
      </c>
      <c r="B172" t="e">
        <f>#REF!</f>
        <v>#REF!</v>
      </c>
    </row>
    <row r="173" spans="1:6">
      <c r="A173">
        <v>4262</v>
      </c>
      <c r="B173" t="e">
        <f>#REF!</f>
        <v>#REF!</v>
      </c>
    </row>
    <row r="174" spans="1:6">
      <c r="A174">
        <v>4263</v>
      </c>
      <c r="B174" t="e">
        <f>#REF!</f>
        <v>#REF!</v>
      </c>
    </row>
    <row r="175" spans="1:6">
      <c r="A175">
        <v>4264</v>
      </c>
      <c r="B175" t="e">
        <f>#REF!</f>
        <v>#REF!</v>
      </c>
    </row>
    <row r="176" spans="1:6">
      <c r="A176">
        <v>4265</v>
      </c>
      <c r="B176" t="e">
        <f>#REF!</f>
        <v>#REF!</v>
      </c>
    </row>
    <row r="178" spans="1:6">
      <c r="A178" s="3013">
        <v>427</v>
      </c>
      <c r="B178" s="3013" t="e">
        <f>SUM(B179:B180)</f>
        <v>#REF!</v>
      </c>
      <c r="C178" s="3014"/>
      <c r="D178" s="3013"/>
      <c r="E178" s="3014" t="e">
        <f>#REF!</f>
        <v>#REF!</v>
      </c>
      <c r="F178" s="72" t="e">
        <f>B178-E178</f>
        <v>#REF!</v>
      </c>
    </row>
    <row r="179" spans="1:6">
      <c r="A179">
        <v>4271</v>
      </c>
      <c r="B179" t="e">
        <f>#REF!</f>
        <v>#REF!</v>
      </c>
    </row>
    <row r="180" spans="1:6">
      <c r="A180">
        <v>4272</v>
      </c>
      <c r="B180" t="e">
        <f>#REF!</f>
        <v>#REF!</v>
      </c>
    </row>
    <row r="183" spans="1:6">
      <c r="A183" s="3013">
        <v>428</v>
      </c>
      <c r="B183" s="71" t="e">
        <f>SUM(B184:B187)</f>
        <v>#REF!</v>
      </c>
      <c r="E183" s="71" t="e">
        <f>#REF!</f>
        <v>#REF!</v>
      </c>
      <c r="F183" s="72" t="e">
        <f>B183-E183</f>
        <v>#REF!</v>
      </c>
    </row>
    <row r="184" spans="1:6">
      <c r="A184">
        <v>4281</v>
      </c>
      <c r="B184" s="71" t="e">
        <f>#REF!</f>
        <v>#REF!</v>
      </c>
    </row>
    <row r="185" spans="1:6">
      <c r="A185">
        <v>4282</v>
      </c>
      <c r="B185" s="71">
        <v>8766.89</v>
      </c>
    </row>
    <row r="186" spans="1:6">
      <c r="A186">
        <v>4283</v>
      </c>
      <c r="B186" s="71">
        <v>19449.169999999998</v>
      </c>
    </row>
    <row r="187" spans="1:6">
      <c r="A187">
        <v>4284</v>
      </c>
      <c r="B187" s="71" t="e">
        <f>#REF!</f>
        <v>#REF!</v>
      </c>
    </row>
    <row r="189" spans="1:6">
      <c r="A189" s="3013">
        <v>431</v>
      </c>
      <c r="B189" s="3013" t="e">
        <f>B190</f>
        <v>#REF!</v>
      </c>
      <c r="C189" s="3014"/>
      <c r="D189" s="3013"/>
      <c r="E189" s="3014" t="e">
        <f>#REF!</f>
        <v>#REF!</v>
      </c>
      <c r="F189" s="72" t="e">
        <f>+B189-E189</f>
        <v>#REF!</v>
      </c>
    </row>
    <row r="190" spans="1:6">
      <c r="A190">
        <v>4311</v>
      </c>
      <c r="B190" t="e">
        <f>#REF!</f>
        <v>#REF!</v>
      </c>
    </row>
    <row r="192" spans="1:6">
      <c r="A192" s="3013">
        <v>432</v>
      </c>
      <c r="B192" s="3013" t="e">
        <f>SUM(B193:B198)</f>
        <v>#REF!</v>
      </c>
      <c r="E192" s="3014" t="e">
        <f>#REF!</f>
        <v>#REF!</v>
      </c>
      <c r="F192" s="72" t="e">
        <f>B192-E192</f>
        <v>#REF!</v>
      </c>
    </row>
    <row r="193" spans="1:6">
      <c r="A193">
        <v>4321</v>
      </c>
      <c r="B193" t="e">
        <f>#REF!</f>
        <v>#REF!</v>
      </c>
    </row>
    <row r="194" spans="1:6">
      <c r="A194">
        <v>4322</v>
      </c>
      <c r="B194" t="e">
        <f>#REF!</f>
        <v>#REF!</v>
      </c>
    </row>
    <row r="195" spans="1:6">
      <c r="A195">
        <v>4323</v>
      </c>
      <c r="B195">
        <v>21330</v>
      </c>
    </row>
    <row r="196" spans="1:6">
      <c r="A196">
        <v>4324</v>
      </c>
      <c r="B196">
        <v>45210</v>
      </c>
    </row>
    <row r="197" spans="1:6">
      <c r="A197">
        <v>4325</v>
      </c>
      <c r="B197" t="e">
        <f>#REF!</f>
        <v>#REF!</v>
      </c>
    </row>
    <row r="198" spans="1:6">
      <c r="A198">
        <v>4326</v>
      </c>
      <c r="B198" t="e">
        <f>#REF!</f>
        <v>#REF!</v>
      </c>
    </row>
    <row r="201" spans="1:6">
      <c r="A201" s="3013">
        <v>441</v>
      </c>
      <c r="B201" s="3013" t="e">
        <f>SUM(B202:B203)</f>
        <v>#REF!</v>
      </c>
      <c r="C201" s="3014"/>
      <c r="D201" s="3013"/>
      <c r="E201" s="3014" t="e">
        <f>#REF!</f>
        <v>#REF!</v>
      </c>
      <c r="F201" s="72" t="e">
        <f>+B201-E201</f>
        <v>#REF!</v>
      </c>
    </row>
    <row r="202" spans="1:6">
      <c r="A202">
        <v>4411</v>
      </c>
      <c r="B202" t="e">
        <f>#REF!</f>
        <v>#REF!</v>
      </c>
    </row>
    <row r="203" spans="1:6">
      <c r="A203">
        <v>4412</v>
      </c>
      <c r="B203" t="e">
        <f>#REF!</f>
        <v>#REF!</v>
      </c>
    </row>
    <row r="205" spans="1:6">
      <c r="A205" s="3013">
        <v>442</v>
      </c>
      <c r="B205" t="e">
        <f>SUM(B206:B211)</f>
        <v>#REF!</v>
      </c>
      <c r="E205" s="3014" t="e">
        <f>#REF!</f>
        <v>#REF!</v>
      </c>
      <c r="F205" s="72" t="e">
        <f>E205-B205</f>
        <v>#REF!</v>
      </c>
    </row>
    <row r="206" spans="1:6">
      <c r="A206">
        <v>4421</v>
      </c>
      <c r="B206" t="e">
        <f>#REF!</f>
        <v>#REF!</v>
      </c>
      <c r="E206" s="3014"/>
    </row>
    <row r="207" spans="1:6">
      <c r="A207">
        <v>4422</v>
      </c>
      <c r="B207" t="e">
        <f>#REF!</f>
        <v>#REF!</v>
      </c>
      <c r="E207" s="3014"/>
    </row>
    <row r="208" spans="1:6">
      <c r="A208">
        <v>4423</v>
      </c>
      <c r="B208" t="e">
        <f>#REF!</f>
        <v>#REF!</v>
      </c>
      <c r="E208" s="3014"/>
    </row>
    <row r="209" spans="1:6">
      <c r="A209">
        <v>4424</v>
      </c>
      <c r="B209" t="e">
        <f>#REF!</f>
        <v>#REF!</v>
      </c>
      <c r="E209" s="3014"/>
    </row>
    <row r="210" spans="1:6">
      <c r="A210">
        <v>4425</v>
      </c>
      <c r="B210" t="e">
        <f>#REF!</f>
        <v>#REF!</v>
      </c>
      <c r="E210" s="3014"/>
    </row>
    <row r="211" spans="1:6">
      <c r="A211">
        <v>4426</v>
      </c>
      <c r="B211" t="e">
        <f>#REF!</f>
        <v>#REF!</v>
      </c>
      <c r="E211" s="3014"/>
    </row>
    <row r="212" spans="1:6">
      <c r="E212" s="3014"/>
    </row>
    <row r="213" spans="1:6">
      <c r="A213" s="3013">
        <v>451</v>
      </c>
      <c r="B213" t="e">
        <f>B214</f>
        <v>#REF!</v>
      </c>
      <c r="E213" s="3014" t="e">
        <f>#REF!</f>
        <v>#REF!</v>
      </c>
      <c r="F213" s="72" t="e">
        <f>E213-B213</f>
        <v>#REF!</v>
      </c>
    </row>
    <row r="214" spans="1:6">
      <c r="A214">
        <v>4511</v>
      </c>
      <c r="B214" t="e">
        <f>#REF!</f>
        <v>#REF!</v>
      </c>
    </row>
    <row r="218" spans="1:6">
      <c r="A218" s="3013">
        <v>511</v>
      </c>
    </row>
    <row r="219" spans="1:6">
      <c r="A219">
        <v>5111</v>
      </c>
      <c r="B219">
        <v>0</v>
      </c>
    </row>
    <row r="221" spans="1:6">
      <c r="A221" s="3013">
        <v>611</v>
      </c>
    </row>
    <row r="223" spans="1:6">
      <c r="A223">
        <v>6111</v>
      </c>
    </row>
    <row r="225" spans="1:6">
      <c r="A225" s="3013">
        <v>612</v>
      </c>
    </row>
    <row r="226" spans="1:6">
      <c r="A226">
        <v>6121</v>
      </c>
      <c r="B226">
        <v>0</v>
      </c>
    </row>
    <row r="228" spans="1:6">
      <c r="A228" s="3013">
        <v>622</v>
      </c>
    </row>
    <row r="229" spans="1:6">
      <c r="A229">
        <v>6221</v>
      </c>
    </row>
    <row r="232" spans="1:6">
      <c r="A232" s="3013">
        <v>631</v>
      </c>
      <c r="B232" s="3013" t="e">
        <f>SUM(B233:B235)</f>
        <v>#REF!</v>
      </c>
      <c r="E232" s="3014" t="e">
        <f>#REF!</f>
        <v>#REF!</v>
      </c>
      <c r="F232" s="72" t="e">
        <f>B232-E232</f>
        <v>#REF!</v>
      </c>
    </row>
    <row r="233" spans="1:6">
      <c r="A233">
        <v>6311</v>
      </c>
      <c r="B233" t="e">
        <f>#REF!</f>
        <v>#REF!</v>
      </c>
    </row>
    <row r="234" spans="1:6">
      <c r="A234">
        <v>6312</v>
      </c>
      <c r="B234" t="e">
        <f>#REF!</f>
        <v>#REF!</v>
      </c>
    </row>
    <row r="235" spans="1:6">
      <c r="A235">
        <v>6313</v>
      </c>
      <c r="B235" t="e">
        <f>#REF!</f>
        <v>#REF!</v>
      </c>
    </row>
    <row r="237" spans="1:6">
      <c r="A237" s="3013">
        <v>632</v>
      </c>
      <c r="B237" s="3014" t="e">
        <f>SUM(B238:B241)</f>
        <v>#REF!</v>
      </c>
      <c r="E237" s="71" t="e">
        <f>#REF!</f>
        <v>#REF!</v>
      </c>
      <c r="F237" s="72" t="e">
        <f>+B237-E237</f>
        <v>#REF!</v>
      </c>
    </row>
    <row r="238" spans="1:6">
      <c r="A238">
        <v>6321</v>
      </c>
      <c r="B238" s="71" t="e">
        <f>#REF!</f>
        <v>#REF!</v>
      </c>
    </row>
    <row r="239" spans="1:6">
      <c r="A239">
        <v>6322</v>
      </c>
      <c r="B239" s="71">
        <f>17583</f>
        <v>17583</v>
      </c>
    </row>
    <row r="240" spans="1:6">
      <c r="A240">
        <v>6323</v>
      </c>
      <c r="B240" s="71">
        <v>5666</v>
      </c>
    </row>
    <row r="241" spans="1:5">
      <c r="A241">
        <v>6324</v>
      </c>
      <c r="B241" s="71">
        <v>33345.980000000003</v>
      </c>
    </row>
    <row r="242" spans="1:5">
      <c r="E242" s="3024" t="e">
        <f>SUM(E1:E241)</f>
        <v>#REF!</v>
      </c>
    </row>
    <row r="244" spans="1:5">
      <c r="E244" s="71">
        <v>3000000</v>
      </c>
    </row>
    <row r="245" spans="1:5">
      <c r="E245" s="3025" t="e">
        <f>+E244-E242</f>
        <v>#REF!</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pageSetUpPr fitToPage="1"/>
  </sheetPr>
  <dimension ref="A1:I28"/>
  <sheetViews>
    <sheetView tabSelected="1" view="pageBreakPreview" zoomScale="60" zoomScaleNormal="60" workbookViewId="0">
      <pane xSplit="2" ySplit="11" topLeftCell="C12" activePane="bottomRight" state="frozen"/>
      <selection pane="topRight" activeCell="C1" sqref="C1"/>
      <selection pane="bottomLeft" activeCell="A12" sqref="A12"/>
      <selection pane="bottomRight" activeCell="D15" sqref="D15"/>
    </sheetView>
  </sheetViews>
  <sheetFormatPr baseColWidth="10" defaultColWidth="11.42578125" defaultRowHeight="15"/>
  <cols>
    <col min="1" max="1" width="27.85546875" customWidth="1"/>
    <col min="2" max="2" width="61.140625" customWidth="1"/>
    <col min="3" max="3" width="38.42578125" customWidth="1"/>
    <col min="4" max="6" width="24.85546875" style="67" customWidth="1"/>
    <col min="7" max="9" width="24.85546875" style="71" customWidth="1"/>
    <col min="11" max="11" width="17.140625" customWidth="1"/>
  </cols>
  <sheetData>
    <row r="1" spans="1:9" s="2372" customFormat="1" ht="30" customHeight="1">
      <c r="A1" s="3408" t="s">
        <v>1081</v>
      </c>
      <c r="B1" s="3408"/>
      <c r="C1" s="3408"/>
      <c r="D1" s="3408"/>
      <c r="E1" s="3408"/>
      <c r="F1" s="3408"/>
      <c r="G1" s="3408"/>
      <c r="H1" s="3408"/>
      <c r="I1" s="3408"/>
    </row>
    <row r="3" spans="1:9" s="2371" customFormat="1" ht="21">
      <c r="A3" s="2372" t="s">
        <v>1082</v>
      </c>
      <c r="C3" s="2378" t="s">
        <v>1118</v>
      </c>
      <c r="D3" s="2724"/>
      <c r="E3" s="2724"/>
      <c r="F3" s="2724"/>
      <c r="G3" s="3030"/>
      <c r="H3" s="3030"/>
      <c r="I3" s="3030"/>
    </row>
    <row r="4" spans="1:9" s="2371" customFormat="1" ht="21">
      <c r="A4" s="2372" t="s">
        <v>1124</v>
      </c>
      <c r="B4" s="2371" t="s">
        <v>1125</v>
      </c>
      <c r="C4" s="2378"/>
      <c r="D4" s="2724"/>
      <c r="E4" s="2724"/>
      <c r="F4" s="2724"/>
      <c r="G4" s="3030"/>
      <c r="H4" s="3030"/>
      <c r="I4" s="3030"/>
    </row>
    <row r="5" spans="1:9" s="2371" customFormat="1" ht="21">
      <c r="A5" s="2372" t="s">
        <v>1115</v>
      </c>
      <c r="B5" s="3036"/>
      <c r="C5" s="2378"/>
      <c r="D5" s="2724"/>
      <c r="E5" s="2724"/>
      <c r="F5" s="2724"/>
      <c r="G5" s="3030"/>
      <c r="H5" s="3030"/>
      <c r="I5" s="3030"/>
    </row>
    <row r="6" spans="1:9" s="2371" customFormat="1" ht="21">
      <c r="A6" s="2372" t="s">
        <v>1121</v>
      </c>
      <c r="B6" s="3036"/>
      <c r="C6" s="2378"/>
      <c r="D6" s="2724"/>
      <c r="E6" s="2724"/>
      <c r="F6" s="2724"/>
      <c r="G6" s="3030"/>
      <c r="H6" s="3030"/>
      <c r="I6" s="3030"/>
    </row>
    <row r="7" spans="1:9" s="2371" customFormat="1" ht="21">
      <c r="A7" s="2372" t="s">
        <v>1122</v>
      </c>
      <c r="B7" s="3036"/>
      <c r="C7" s="2378"/>
      <c r="D7" s="2724"/>
      <c r="E7" s="2724"/>
      <c r="F7" s="2724"/>
      <c r="G7" s="3030"/>
      <c r="H7" s="3030"/>
      <c r="I7" s="3030"/>
    </row>
    <row r="8" spans="1:9" s="2371" customFormat="1" ht="22.5" customHeight="1">
      <c r="A8" s="3032" t="s">
        <v>1116</v>
      </c>
      <c r="B8" s="3056">
        <f>+C14</f>
        <v>94992750</v>
      </c>
      <c r="C8" s="2378"/>
      <c r="D8" s="2724"/>
      <c r="E8" s="2724"/>
      <c r="F8" s="2724"/>
      <c r="G8" s="3030"/>
      <c r="H8" s="3030"/>
      <c r="I8" s="3043" t="s">
        <v>1110</v>
      </c>
    </row>
    <row r="9" spans="1:9" s="2371" customFormat="1" ht="9.75" customHeight="1">
      <c r="A9" s="2377"/>
      <c r="C9" s="2728"/>
      <c r="F9" s="3033"/>
      <c r="G9" s="3030"/>
      <c r="H9" s="3030"/>
      <c r="I9" s="3030"/>
    </row>
    <row r="10" spans="1:9" s="2373" customFormat="1" ht="31.5" customHeight="1">
      <c r="A10" s="3413" t="s">
        <v>1083</v>
      </c>
      <c r="B10" s="3413" t="s">
        <v>1084</v>
      </c>
      <c r="C10" s="3413" t="s">
        <v>1085</v>
      </c>
      <c r="D10" s="3413" t="s">
        <v>1135</v>
      </c>
      <c r="E10" s="3413"/>
      <c r="F10" s="3413"/>
      <c r="G10" s="3413"/>
      <c r="H10" s="3413"/>
      <c r="I10" s="3413"/>
    </row>
    <row r="11" spans="1:9" s="2373" customFormat="1" ht="62.25" customHeight="1">
      <c r="A11" s="3413"/>
      <c r="B11" s="3413"/>
      <c r="C11" s="3413"/>
      <c r="D11" s="2725" t="s">
        <v>1119</v>
      </c>
      <c r="E11" s="2725" t="s">
        <v>1130</v>
      </c>
      <c r="F11" s="2725" t="s">
        <v>1131</v>
      </c>
      <c r="G11" s="3044" t="s">
        <v>1132</v>
      </c>
      <c r="H11" s="3044" t="s">
        <v>1133</v>
      </c>
      <c r="I11" s="3044" t="s">
        <v>1134</v>
      </c>
    </row>
    <row r="12" spans="1:9" s="2373" customFormat="1" ht="39.950000000000003" customHeight="1">
      <c r="A12" s="2374">
        <v>23173</v>
      </c>
      <c r="B12" s="2375" t="s">
        <v>320</v>
      </c>
      <c r="C12" s="3049">
        <f>+SUM(D12:I12)</f>
        <v>6911800</v>
      </c>
      <c r="D12" s="3028">
        <v>6483800</v>
      </c>
      <c r="E12" s="3028"/>
      <c r="F12" s="3027"/>
      <c r="G12" s="3027"/>
      <c r="H12" s="3027"/>
      <c r="I12" s="3027">
        <v>428000</v>
      </c>
    </row>
    <row r="13" spans="1:9" s="2373" customFormat="1" ht="39.950000000000003" customHeight="1">
      <c r="A13" s="2374">
        <v>23174</v>
      </c>
      <c r="B13" s="2375" t="s">
        <v>888</v>
      </c>
      <c r="C13" s="3049">
        <f>+SUM(D13:I13)</f>
        <v>88080950</v>
      </c>
      <c r="D13" s="3049">
        <v>66529800</v>
      </c>
      <c r="E13" s="3028">
        <v>10141050</v>
      </c>
      <c r="F13" s="3027"/>
      <c r="G13" s="3027"/>
      <c r="H13" s="3027"/>
      <c r="I13" s="3027">
        <v>11410100</v>
      </c>
    </row>
    <row r="14" spans="1:9" s="2373" customFormat="1" ht="24.95" customHeight="1">
      <c r="A14" s="3409" t="s">
        <v>285</v>
      </c>
      <c r="B14" s="3410"/>
      <c r="C14" s="3028">
        <f t="shared" ref="C12:C14" si="0">+SUM(D14:I14)</f>
        <v>94992750</v>
      </c>
      <c r="D14" s="3029">
        <f>SUM(D12:D13)</f>
        <v>73013600</v>
      </c>
      <c r="E14" s="3029">
        <f>SUM(E12:E13)</f>
        <v>10141050</v>
      </c>
      <c r="F14" s="3029">
        <f>SUM(F12:F13)</f>
        <v>0</v>
      </c>
      <c r="G14" s="3045">
        <f>SUM(G12:G13)</f>
        <v>0</v>
      </c>
      <c r="H14" s="3045">
        <f>SUM(H12:H13)</f>
        <v>0</v>
      </c>
      <c r="I14" s="3045">
        <f>SUM(I12:I13)</f>
        <v>11838100</v>
      </c>
    </row>
    <row r="15" spans="1:9" s="2373" customFormat="1" ht="24.95" customHeight="1">
      <c r="A15" s="3411"/>
      <c r="B15" s="3412"/>
      <c r="C15" s="2379" t="s">
        <v>1086</v>
      </c>
      <c r="D15" s="2726" t="s">
        <v>1087</v>
      </c>
      <c r="E15" s="2726" t="s">
        <v>1088</v>
      </c>
      <c r="F15" s="2726" t="s">
        <v>1089</v>
      </c>
      <c r="G15" s="3046" t="s">
        <v>1090</v>
      </c>
      <c r="H15" s="3046" t="s">
        <v>1101</v>
      </c>
      <c r="I15" s="3046" t="s">
        <v>1102</v>
      </c>
    </row>
    <row r="16" spans="1:9" s="2371" customFormat="1" ht="18.75">
      <c r="D16" s="3030"/>
      <c r="E16" s="2724"/>
      <c r="F16" s="2724"/>
      <c r="G16" s="3030"/>
      <c r="H16" s="3030"/>
      <c r="I16" s="3030"/>
    </row>
    <row r="17" spans="1:9" s="2373" customFormat="1" ht="18.75">
      <c r="A17" s="2373" t="s">
        <v>1091</v>
      </c>
      <c r="D17" s="2727"/>
      <c r="E17" s="2727"/>
      <c r="F17" s="2727"/>
      <c r="G17" s="3031"/>
      <c r="H17" s="3031"/>
      <c r="I17" s="3031"/>
    </row>
    <row r="18" spans="1:9" s="2373" customFormat="1" ht="18.75">
      <c r="A18" s="2373" t="s">
        <v>1092</v>
      </c>
      <c r="D18" s="3031"/>
      <c r="E18" s="3031"/>
      <c r="F18" s="2727"/>
      <c r="G18" s="3031"/>
      <c r="H18" s="3031"/>
      <c r="I18" s="3031"/>
    </row>
    <row r="19" spans="1:9" s="2373" customFormat="1" ht="18.75">
      <c r="D19" s="2727"/>
      <c r="E19" s="2727"/>
      <c r="F19" s="2727"/>
      <c r="G19" s="3031"/>
      <c r="H19" s="3031"/>
      <c r="I19" s="3031"/>
    </row>
    <row r="20" spans="1:9" s="2371" customFormat="1" ht="18.75">
      <c r="D20" s="3042" t="s">
        <v>1137</v>
      </c>
      <c r="E20" s="2724" t="s">
        <v>1139</v>
      </c>
      <c r="F20" s="2724"/>
      <c r="G20" s="3030"/>
      <c r="H20" s="3030"/>
      <c r="I20" s="3030"/>
    </row>
    <row r="21" spans="1:9" s="2371" customFormat="1" ht="18.75">
      <c r="D21" s="2724"/>
      <c r="E21" s="2724"/>
      <c r="F21" s="2724"/>
      <c r="G21" s="3030"/>
      <c r="H21" s="3030"/>
      <c r="I21" s="3030"/>
    </row>
    <row r="22" spans="1:9" s="2371" customFormat="1" ht="18.75">
      <c r="C22" s="3048"/>
      <c r="F22" s="2724"/>
      <c r="G22" s="3030"/>
      <c r="H22" s="3030"/>
      <c r="I22" s="3030"/>
    </row>
    <row r="23" spans="1:9" s="3036" customFormat="1" ht="18.75">
      <c r="B23" s="3035" t="s">
        <v>1136</v>
      </c>
      <c r="E23" s="3035"/>
      <c r="F23" s="3035" t="s">
        <v>1127</v>
      </c>
      <c r="G23" s="3047"/>
      <c r="H23" s="3047"/>
      <c r="I23" s="3047"/>
    </row>
    <row r="24" spans="1:9" s="2371" customFormat="1" ht="18.75">
      <c r="D24" s="2724"/>
      <c r="E24" s="2724"/>
      <c r="F24" s="2724"/>
      <c r="G24" s="3030"/>
      <c r="H24" s="3030"/>
      <c r="I24" s="3030"/>
    </row>
    <row r="25" spans="1:9" s="2371" customFormat="1" ht="18.75">
      <c r="D25" s="2724"/>
      <c r="E25" s="2724"/>
      <c r="F25" s="2724"/>
      <c r="G25" s="3050"/>
      <c r="H25" s="3030"/>
      <c r="I25" s="3030"/>
    </row>
    <row r="26" spans="1:9" s="2371" customFormat="1" ht="18.75">
      <c r="B26" s="3051"/>
      <c r="E26" s="2724"/>
      <c r="F26" s="2724"/>
      <c r="G26" s="3050"/>
      <c r="H26" s="3030"/>
      <c r="I26" s="3030"/>
    </row>
    <row r="27" spans="1:9" ht="18.75">
      <c r="B27" s="3052"/>
      <c r="G27" s="3053"/>
    </row>
    <row r="28" spans="1:9">
      <c r="G28" s="3053"/>
    </row>
  </sheetData>
  <mergeCells count="6">
    <mergeCell ref="A1:I1"/>
    <mergeCell ref="A14:B15"/>
    <mergeCell ref="A10:A11"/>
    <mergeCell ref="B10:B11"/>
    <mergeCell ref="C10:C11"/>
    <mergeCell ref="D10:I10"/>
  </mergeCells>
  <printOptions horizontalCentered="1"/>
  <pageMargins left="0.11811023622047245" right="0.11811023622047245" top="0.19685039370078741" bottom="0.19685039370078741" header="0.31496062992125984" footer="0.31496062992125984"/>
  <pageSetup paperSize="9" scale="52"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pageSetUpPr fitToPage="1"/>
  </sheetPr>
  <dimension ref="A1:F23"/>
  <sheetViews>
    <sheetView view="pageBreakPreview" zoomScale="60" zoomScaleNormal="60" workbookViewId="0">
      <pane xSplit="2" ySplit="10" topLeftCell="C11" activePane="bottomRight" state="frozen"/>
      <selection activeCell="D34" sqref="D34"/>
      <selection pane="topRight" activeCell="D34" sqref="D34"/>
      <selection pane="bottomLeft" activeCell="D34" sqref="D34"/>
      <selection pane="bottomRight" activeCell="F12" sqref="F12"/>
    </sheetView>
  </sheetViews>
  <sheetFormatPr baseColWidth="10" defaultColWidth="11.42578125" defaultRowHeight="15"/>
  <cols>
    <col min="1" max="1" width="28" customWidth="1"/>
    <col min="2" max="2" width="56.5703125" customWidth="1"/>
    <col min="3" max="3" width="38.85546875" style="2730" customWidth="1"/>
    <col min="4" max="6" width="38.85546875" customWidth="1"/>
    <col min="8" max="9" width="17.85546875" customWidth="1"/>
  </cols>
  <sheetData>
    <row r="1" spans="1:6" s="2372" customFormat="1" ht="30" customHeight="1">
      <c r="A1" s="3408" t="s">
        <v>1117</v>
      </c>
      <c r="B1" s="3408"/>
      <c r="C1" s="3408"/>
      <c r="D1" s="3408"/>
      <c r="E1" s="3408"/>
      <c r="F1" s="3408"/>
    </row>
    <row r="3" spans="1:6" s="2371" customFormat="1" ht="21">
      <c r="A3" s="2372" t="str">
        <f>+'Modèle PE REVU'!A3</f>
        <v>Institution ou Ministère en charge de la tutèlle technique :</v>
      </c>
      <c r="C3" s="2378" t="str">
        <f>+'Modèle PE REVU'!C3</f>
        <v>Ministère de l'Education Nationale - Direction Générale en Chargé de la Pédagogie (DGP)</v>
      </c>
    </row>
    <row r="4" spans="1:6" s="2371" customFormat="1" ht="21">
      <c r="A4" s="2377" t="str">
        <f>+'Modèle PE REVU'!A4</f>
        <v xml:space="preserve">Projet : </v>
      </c>
      <c r="B4" s="3038" t="str">
        <f>+'Modèle PE REVU'!B4</f>
        <v>Projet d'Appui à l'Education de Base - " PAEB - DLI"</v>
      </c>
      <c r="C4" s="3011"/>
    </row>
    <row r="5" spans="1:6" s="2371" customFormat="1" ht="21">
      <c r="A5" s="2372" t="str">
        <f>+'Modèle PE REVU'!A5</f>
        <v xml:space="preserve">Agence d'exécution : </v>
      </c>
      <c r="B5" s="3038">
        <f>+'Modèle PE REVU'!B5</f>
        <v>0</v>
      </c>
      <c r="C5" s="3011"/>
    </row>
    <row r="6" spans="1:6" s="2371" customFormat="1" ht="21">
      <c r="A6" s="2372" t="str">
        <f>+'Modèle PE REVU'!A6</f>
        <v>Compte principal n°</v>
      </c>
      <c r="B6" s="3036">
        <f>+'Modèle PE REVU'!B6</f>
        <v>0</v>
      </c>
      <c r="C6" s="3011"/>
    </row>
    <row r="7" spans="1:6" s="2371" customFormat="1" ht="21">
      <c r="A7" s="2372" t="str">
        <f>+'Modèle PE REVU'!A7</f>
        <v xml:space="preserve">Régisseur(s) : </v>
      </c>
      <c r="B7" s="3038">
        <f>+'Modèle PE REVU'!B7</f>
        <v>0</v>
      </c>
      <c r="C7" s="3011"/>
    </row>
    <row r="8" spans="1:6" s="2371" customFormat="1" ht="21">
      <c r="A8" s="2372" t="str">
        <f>+'Modèle PE REVU'!A8</f>
        <v xml:space="preserve">Monnaie / Devise : </v>
      </c>
      <c r="B8" s="3036">
        <f>+'Modèle PE REVU'!B8</f>
        <v>94992750</v>
      </c>
      <c r="C8" s="3011"/>
      <c r="F8" s="3040" t="s">
        <v>1110</v>
      </c>
    </row>
    <row r="9" spans="1:6" s="2371" customFormat="1" ht="9.75" customHeight="1">
      <c r="A9" s="2377"/>
      <c r="C9" s="2728"/>
      <c r="F9" s="3033"/>
    </row>
    <row r="10" spans="1:6" s="2719" customFormat="1" ht="41.25" customHeight="1">
      <c r="A10" s="2376" t="s">
        <v>1083</v>
      </c>
      <c r="B10" s="2376" t="s">
        <v>1084</v>
      </c>
      <c r="C10" s="3012" t="s">
        <v>1085</v>
      </c>
      <c r="D10" s="2720" t="s">
        <v>1112</v>
      </c>
      <c r="E10" s="2376" t="s">
        <v>1113</v>
      </c>
      <c r="F10" s="2376" t="s">
        <v>1114</v>
      </c>
    </row>
    <row r="11" spans="1:6" s="2373" customFormat="1" ht="35.1" customHeight="1">
      <c r="A11" s="2374">
        <f>'Modèle PE REVU'!A12</f>
        <v>23173</v>
      </c>
      <c r="B11" s="2375" t="str">
        <f>'Modèle PE REVU'!B12</f>
        <v>Fournitures et services</v>
      </c>
      <c r="C11" s="3027">
        <f>'Modèle PE REVU'!C12</f>
        <v>6911800</v>
      </c>
      <c r="D11" s="2716"/>
      <c r="E11" s="2716">
        <f>'ACHAT FOURNITURE'!I13</f>
        <v>6911800</v>
      </c>
      <c r="F11" s="2716">
        <f>C11-D11-E11</f>
        <v>0</v>
      </c>
    </row>
    <row r="12" spans="1:6" s="2373" customFormat="1" ht="35.1" customHeight="1">
      <c r="A12" s="2374">
        <f>'Modèle PE REVU'!A13</f>
        <v>23174</v>
      </c>
      <c r="B12" s="2375" t="str">
        <f>'Modèle PE REVU'!B13</f>
        <v>Transport et mission</v>
      </c>
      <c r="C12" s="3027">
        <f>'Modèle PE REVU'!C13</f>
        <v>88080950</v>
      </c>
      <c r="D12" s="2716"/>
      <c r="E12" s="3578" t="e">
        <f>'192 ENSEIGNANTS'!AF284+'22_ZAP'!AF35+MULTIGRADES!AF205+#REF!</f>
        <v>#REF!</v>
      </c>
      <c r="F12" s="2716" t="e">
        <f>C12-D12-E12</f>
        <v>#REF!</v>
      </c>
    </row>
    <row r="13" spans="1:6" s="2371" customFormat="1" ht="20.100000000000001" customHeight="1">
      <c r="A13" s="3414" t="s">
        <v>285</v>
      </c>
      <c r="B13" s="3414"/>
      <c r="C13" s="3027">
        <f>'Modèle PE REVU'!C14</f>
        <v>94992750</v>
      </c>
      <c r="D13" s="3026">
        <f>SUM(D11:D12)</f>
        <v>0</v>
      </c>
      <c r="E13" s="2716" t="e">
        <f>+E11+E12</f>
        <v>#REF!</v>
      </c>
      <c r="F13" s="3026" t="e">
        <f>SUM(F11:F12)</f>
        <v>#REF!</v>
      </c>
    </row>
    <row r="14" spans="1:6" s="2371" customFormat="1" ht="20.100000000000001" customHeight="1">
      <c r="A14" s="3414"/>
      <c r="B14" s="3414"/>
      <c r="C14" s="3027" t="str">
        <f>'Modèle PE REVU'!C15</f>
        <v>T=AF1 + AF2 + AF3 + AF4</v>
      </c>
      <c r="D14" s="2379" t="s">
        <v>1093</v>
      </c>
      <c r="E14" s="2716" t="str">
        <f>'Modèle PE REVU'!E15</f>
        <v>AF2</v>
      </c>
      <c r="F14" s="2379" t="s">
        <v>1094</v>
      </c>
    </row>
    <row r="15" spans="1:6" s="2373" customFormat="1" ht="18.75">
      <c r="A15" s="2373" t="s">
        <v>1091</v>
      </c>
      <c r="C15" s="2729"/>
    </row>
    <row r="16" spans="1:6" s="2373" customFormat="1" ht="18.75">
      <c r="A16" s="2373" t="s">
        <v>1092</v>
      </c>
      <c r="C16" s="2729"/>
      <c r="F16" s="3054"/>
    </row>
    <row r="17" spans="2:5" s="2371" customFormat="1" ht="18.75">
      <c r="C17" s="3042" t="s">
        <v>1137</v>
      </c>
      <c r="D17" s="2724" t="s">
        <v>1139</v>
      </c>
      <c r="E17" s="2724"/>
    </row>
    <row r="18" spans="2:5" s="2371" customFormat="1" ht="18.75">
      <c r="C18" s="2728"/>
    </row>
    <row r="19" spans="2:5" s="3036" customFormat="1" ht="18.75">
      <c r="B19" s="3035" t="s">
        <v>1120</v>
      </c>
      <c r="C19" s="3037"/>
      <c r="E19" s="3036" t="s">
        <v>1127</v>
      </c>
    </row>
    <row r="20" spans="2:5" s="2371" customFormat="1" ht="18.75">
      <c r="C20" s="2728"/>
    </row>
    <row r="21" spans="2:5" s="2371" customFormat="1" ht="18.75">
      <c r="C21" s="2728"/>
    </row>
    <row r="22" spans="2:5" s="2371" customFormat="1" ht="18.75">
      <c r="C22" s="2728"/>
    </row>
    <row r="23" spans="2:5" s="2371" customFormat="1" ht="18.75">
      <c r="C23" s="2728"/>
    </row>
  </sheetData>
  <mergeCells count="2">
    <mergeCell ref="A1:F1"/>
    <mergeCell ref="A13:B14"/>
  </mergeCells>
  <printOptions horizontalCentered="1"/>
  <pageMargins left="0.11811023622047245" right="0.11811023622047245" top="0.19685039370078741" bottom="0.19685039370078741" header="0.31496062992125984" footer="0.31496062992125984"/>
  <pageSetup paperSize="9" scale="60"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pageSetUpPr fitToPage="1"/>
  </sheetPr>
  <dimension ref="A1:F25"/>
  <sheetViews>
    <sheetView view="pageBreakPreview" zoomScale="60" zoomScaleNormal="60" workbookViewId="0">
      <pane xSplit="2" ySplit="10" topLeftCell="C11" activePane="bottomRight" state="frozen"/>
      <selection activeCell="D34" sqref="D34"/>
      <selection pane="topRight" activeCell="D34" sqref="D34"/>
      <selection pane="bottomLeft" activeCell="D34" sqref="D34"/>
      <selection pane="bottomRight" activeCell="D11" sqref="D11"/>
    </sheetView>
  </sheetViews>
  <sheetFormatPr baseColWidth="10" defaultColWidth="11.42578125" defaultRowHeight="15"/>
  <cols>
    <col min="1" max="1" width="28.28515625" customWidth="1"/>
    <col min="2" max="2" width="48.5703125" customWidth="1"/>
    <col min="3" max="3" width="38.42578125" customWidth="1"/>
    <col min="4" max="4" width="79.5703125" customWidth="1"/>
    <col min="5" max="5" width="53.28515625" customWidth="1"/>
    <col min="6" max="6" width="57" customWidth="1"/>
  </cols>
  <sheetData>
    <row r="1" spans="1:6" s="2372" customFormat="1" ht="30" customHeight="1">
      <c r="A1" s="3408" t="s">
        <v>1095</v>
      </c>
      <c r="B1" s="3408"/>
      <c r="C1" s="3408"/>
      <c r="D1" s="3408"/>
      <c r="E1" s="3408"/>
      <c r="F1" s="3408"/>
    </row>
    <row r="3" spans="1:6" s="2371" customFormat="1" ht="21">
      <c r="A3" s="2372" t="str">
        <f>+'Modèle PE REVU'!A3</f>
        <v>Institution ou Ministère en charge de la tutèlle technique :</v>
      </c>
      <c r="C3" s="2378" t="str">
        <f>+'Modèle PE REVU'!C3</f>
        <v>Ministère de l'Education Nationale - Direction Générale en Chargé de la Pédagogie (DGP)</v>
      </c>
    </row>
    <row r="4" spans="1:6" s="2371" customFormat="1" ht="21">
      <c r="A4" s="2377" t="str">
        <f>+'Modèle PE REVU'!A4</f>
        <v xml:space="preserve">Projet : </v>
      </c>
      <c r="B4" s="3038" t="str">
        <f>+'Modèle PE REVU'!B4</f>
        <v>Projet d'Appui à l'Education de Base - " PAEB - DLI"</v>
      </c>
      <c r="C4" s="2378"/>
    </row>
    <row r="5" spans="1:6" s="2371" customFormat="1" ht="21">
      <c r="A5" s="2372" t="str">
        <f>+'Modèle PE REVU'!A5</f>
        <v xml:space="preserve">Agence d'exécution : </v>
      </c>
      <c r="B5" s="3038">
        <f>+'Modèle PE REVU'!B5</f>
        <v>0</v>
      </c>
      <c r="C5" s="2378"/>
    </row>
    <row r="6" spans="1:6" s="2371" customFormat="1" ht="24.75" customHeight="1">
      <c r="A6" s="3032" t="str">
        <f>+'Modèle PE REVU'!A8</f>
        <v xml:space="preserve">Monnaie / Devise : </v>
      </c>
      <c r="B6" s="3039">
        <f>+'Modèle PE REVU'!B8</f>
        <v>94992750</v>
      </c>
      <c r="C6" s="2378"/>
      <c r="F6" s="3041" t="s">
        <v>1110</v>
      </c>
    </row>
    <row r="7" spans="1:6" s="2373" customFormat="1" ht="38.25" customHeight="1">
      <c r="A7" s="3413" t="s">
        <v>1083</v>
      </c>
      <c r="B7" s="3413" t="s">
        <v>1084</v>
      </c>
      <c r="C7" s="3413" t="s">
        <v>1111</v>
      </c>
      <c r="D7" s="3413" t="s">
        <v>1096</v>
      </c>
      <c r="E7" s="3413"/>
      <c r="F7" s="3413"/>
    </row>
    <row r="8" spans="1:6" s="2719" customFormat="1" ht="20.100000000000001" customHeight="1">
      <c r="A8" s="3413"/>
      <c r="B8" s="3413"/>
      <c r="C8" s="3413"/>
      <c r="D8" s="2721" t="s">
        <v>1123</v>
      </c>
      <c r="E8" s="2721" t="s">
        <v>1097</v>
      </c>
      <c r="F8" s="2721" t="s">
        <v>1097</v>
      </c>
    </row>
    <row r="9" spans="1:6" s="2719" customFormat="1" ht="20.100000000000001" customHeight="1">
      <c r="A9" s="3413"/>
      <c r="B9" s="3413"/>
      <c r="C9" s="3413"/>
      <c r="D9" s="2723" t="s">
        <v>1128</v>
      </c>
      <c r="E9" s="2723" t="s">
        <v>1098</v>
      </c>
      <c r="F9" s="2723" t="s">
        <v>1098</v>
      </c>
    </row>
    <row r="10" spans="1:6" s="2719" customFormat="1" ht="20.100000000000001" customHeight="1">
      <c r="A10" s="3413"/>
      <c r="B10" s="3413"/>
      <c r="C10" s="3413"/>
      <c r="D10" s="2722" t="s">
        <v>1129</v>
      </c>
      <c r="E10" s="2722" t="s">
        <v>1099</v>
      </c>
      <c r="F10" s="2722" t="s">
        <v>1099</v>
      </c>
    </row>
    <row r="11" spans="1:6" s="2373" customFormat="1" ht="39.950000000000003" customHeight="1">
      <c r="A11" s="2374">
        <f>'Modèle PE REVU'!A12</f>
        <v>23173</v>
      </c>
      <c r="B11" s="3034" t="str">
        <f>'Modèle PE REVU'!B12</f>
        <v>Fournitures et services</v>
      </c>
      <c r="C11" s="2716">
        <f t="shared" ref="C11:C12" si="0">SUM(D11:F11)</f>
        <v>6911800</v>
      </c>
      <c r="D11" s="2717">
        <f>+'Modèle AF'!E11</f>
        <v>6911800</v>
      </c>
      <c r="E11" s="2718">
        <f>+'Modèle PE REVU'!H12</f>
        <v>0</v>
      </c>
      <c r="F11" s="2718"/>
    </row>
    <row r="12" spans="1:6" s="2373" customFormat="1" ht="39.950000000000003" customHeight="1">
      <c r="A12" s="2374">
        <f>'Modèle PE REVU'!A13</f>
        <v>23174</v>
      </c>
      <c r="B12" s="3034" t="str">
        <f>'Modèle PE REVU'!B13</f>
        <v>Transport et mission</v>
      </c>
      <c r="C12" s="2716" t="e">
        <f t="shared" si="0"/>
        <v>#REF!</v>
      </c>
      <c r="D12" s="2717" t="e">
        <f>+'Modèle AF'!E12</f>
        <v>#REF!</v>
      </c>
      <c r="E12" s="2718">
        <f>+'Modèle PE REVU'!H13</f>
        <v>0</v>
      </c>
      <c r="F12" s="2718"/>
    </row>
    <row r="13" spans="1:6" s="2371" customFormat="1" ht="18.75"/>
    <row r="14" spans="1:6" s="2373" customFormat="1" ht="39.950000000000003" customHeight="1">
      <c r="A14" s="3414" t="s">
        <v>285</v>
      </c>
      <c r="B14" s="3414"/>
      <c r="C14" s="2717" t="e">
        <f>SUM(C11:C12)</f>
        <v>#REF!</v>
      </c>
      <c r="D14" s="2717" t="e">
        <f>SUM(D11:D12)</f>
        <v>#REF!</v>
      </c>
      <c r="E14" s="2717">
        <f>SUM(E11:E12)</f>
        <v>0</v>
      </c>
      <c r="F14" s="2717">
        <f>SUM(F11:F12)</f>
        <v>0</v>
      </c>
    </row>
    <row r="15" spans="1:6" s="2371" customFormat="1" ht="18.75"/>
    <row r="16" spans="1:6" s="2373" customFormat="1" ht="18.75">
      <c r="A16" s="2373" t="s">
        <v>1091</v>
      </c>
    </row>
    <row r="17" spans="1:6" s="2373" customFormat="1" ht="18.75">
      <c r="A17" s="2373" t="s">
        <v>1092</v>
      </c>
    </row>
    <row r="18" spans="1:6" s="2373" customFormat="1" ht="18.75">
      <c r="A18" s="2373" t="s">
        <v>1100</v>
      </c>
    </row>
    <row r="19" spans="1:6" s="2371" customFormat="1" ht="18.75"/>
    <row r="20" spans="1:6" s="2371" customFormat="1" ht="18.75"/>
    <row r="21" spans="1:6" s="2371" customFormat="1" ht="18.75">
      <c r="D21" s="3042" t="s">
        <v>1137</v>
      </c>
      <c r="E21" s="2724" t="s">
        <v>1138</v>
      </c>
      <c r="F21" s="2724"/>
    </row>
    <row r="22" spans="1:6" s="2371" customFormat="1" ht="18.75"/>
    <row r="23" spans="1:6" s="2371" customFormat="1" ht="18.75"/>
    <row r="24" spans="1:6" s="2371" customFormat="1" ht="18.75"/>
    <row r="25" spans="1:6" s="2377" customFormat="1" ht="21">
      <c r="B25" s="3055" t="s">
        <v>1136</v>
      </c>
      <c r="E25" s="2377" t="s">
        <v>1126</v>
      </c>
    </row>
  </sheetData>
  <mergeCells count="6">
    <mergeCell ref="A14:B14"/>
    <mergeCell ref="A1:F1"/>
    <mergeCell ref="D7:F7"/>
    <mergeCell ref="A7:A10"/>
    <mergeCell ref="B7:B10"/>
    <mergeCell ref="C7:C10"/>
  </mergeCells>
  <printOptions horizontalCentered="1"/>
  <pageMargins left="0.11811023622047245" right="0.11811023622047245" top="0.19685039370078741" bottom="0.19685039370078741" header="0.31496062992125984" footer="0.31496062992125984"/>
  <pageSetup paperSize="9" scale="47"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E9D3B-625F-4AD0-AA17-09288AD152FE}">
  <sheetPr filterMode="1">
    <tabColor rgb="FF00B0F0"/>
    <pageSetUpPr fitToPage="1"/>
  </sheetPr>
  <dimension ref="A1:KV97"/>
  <sheetViews>
    <sheetView view="pageBreakPreview" zoomScale="80" zoomScaleNormal="96" zoomScaleSheetLayoutView="80" zoomScalePageLayoutView="80" workbookViewId="0">
      <pane xSplit="4" ySplit="6" topLeftCell="Q7" activePane="bottomRight" state="frozen"/>
      <selection activeCell="H18" sqref="H18"/>
      <selection pane="topRight" activeCell="H18" sqref="H18"/>
      <selection pane="bottomLeft" activeCell="H18" sqref="H18"/>
      <selection pane="bottomRight" activeCell="B4" sqref="B4"/>
    </sheetView>
  </sheetViews>
  <sheetFormatPr baseColWidth="10" defaultColWidth="10.7109375" defaultRowHeight="15.75"/>
  <cols>
    <col min="1" max="1" width="17.42578125" style="3208" bestFit="1" customWidth="1"/>
    <col min="2" max="2" width="27.140625" style="3204" customWidth="1"/>
    <col min="3" max="3" width="11.7109375" style="3205" bestFit="1" customWidth="1"/>
    <col min="4" max="4" width="17.85546875" style="3204" customWidth="1"/>
    <col min="5" max="5" width="45.42578125" style="3206" customWidth="1"/>
    <col min="6" max="6" width="40.140625" style="3211" customWidth="1"/>
    <col min="7" max="7" width="20.5703125" style="3208" customWidth="1"/>
    <col min="8" max="8" width="11.28515625" style="3209" customWidth="1"/>
    <col min="9" max="9" width="15.28515625" style="3210" customWidth="1"/>
    <col min="10" max="10" width="19.140625" style="3210" customWidth="1"/>
    <col min="11" max="11" width="26.7109375" style="3351" customWidth="1"/>
    <col min="12" max="12" width="14.42578125" style="3205" customWidth="1"/>
    <col min="13" max="13" width="15.7109375" style="3211" customWidth="1"/>
    <col min="14" max="14" width="32.28515625" style="3211" customWidth="1"/>
    <col min="15" max="15" width="12.5703125" style="3208" customWidth="1"/>
    <col min="16" max="16" width="5.140625" style="3208" customWidth="1"/>
    <col min="17" max="17" width="8" style="3208" customWidth="1"/>
    <col min="18" max="18" width="7.5703125" style="3208" customWidth="1"/>
    <col min="19" max="19" width="17.7109375" style="3352" customWidth="1"/>
    <col min="20" max="20" width="18" style="3353" bestFit="1" customWidth="1"/>
    <col min="21" max="21" width="17.42578125" style="3214" customWidth="1"/>
    <col min="22" max="22" width="25.28515625" style="3354" customWidth="1"/>
    <col min="23" max="23" width="17.85546875" style="3354" bestFit="1" customWidth="1"/>
    <col min="24" max="24" width="23.85546875" style="3354" customWidth="1"/>
    <col min="25" max="25" width="24.42578125" style="3354" customWidth="1"/>
    <col min="26" max="26" width="20.85546875" style="3355" customWidth="1"/>
    <col min="27" max="27" width="21.7109375" style="3354" customWidth="1"/>
    <col min="28" max="28" width="19" style="3354" customWidth="1"/>
    <col min="29" max="29" width="16.85546875" style="3354" customWidth="1"/>
    <col min="30" max="30" width="19.140625" style="3204" customWidth="1"/>
    <col min="31" max="31" width="17.42578125" style="3204" bestFit="1" customWidth="1"/>
    <col min="32" max="32" width="20.28515625" style="3204" customWidth="1"/>
    <col min="33" max="37" width="16.85546875" style="3204" customWidth="1"/>
    <col min="38" max="38" width="21.42578125" style="3204" customWidth="1"/>
    <col min="39" max="39" width="17.7109375" style="3204" bestFit="1" customWidth="1"/>
    <col min="40" max="16384" width="10.7109375" style="3204"/>
  </cols>
  <sheetData>
    <row r="1" spans="1:308" ht="21" customHeight="1">
      <c r="A1" s="3203">
        <f>+V2-(AL2)</f>
        <v>0</v>
      </c>
      <c r="F1" s="3207" t="s">
        <v>1923</v>
      </c>
      <c r="K1" s="3211"/>
      <c r="S1" s="3212"/>
      <c r="T1" s="3213"/>
      <c r="V1" s="3215"/>
      <c r="W1" s="3215"/>
      <c r="X1" s="3215"/>
      <c r="Y1" s="3215"/>
      <c r="Z1" s="3216"/>
      <c r="AA1" s="3215"/>
      <c r="AB1" s="3215"/>
      <c r="AC1" s="3215"/>
    </row>
    <row r="2" spans="1:308" ht="22.5" customHeight="1">
      <c r="B2" s="3217">
        <f>V4</f>
        <v>24998.092105263157</v>
      </c>
      <c r="C2" s="3218" t="s">
        <v>31</v>
      </c>
      <c r="D2" s="3219" t="s">
        <v>1924</v>
      </c>
      <c r="F2" s="3207" t="s">
        <v>1925</v>
      </c>
      <c r="I2" s="3210" t="s">
        <v>1926</v>
      </c>
      <c r="K2" s="3211"/>
      <c r="S2" s="3212"/>
      <c r="T2" s="3213">
        <f>95000000-V2</f>
        <v>7250</v>
      </c>
      <c r="U2" s="3214" t="s">
        <v>1927</v>
      </c>
      <c r="V2" s="3220">
        <f>SUM(V8:V427)</f>
        <v>94992750</v>
      </c>
      <c r="W2" s="3220">
        <f>SUM(W52:W427)</f>
        <v>0</v>
      </c>
      <c r="X2" s="3220">
        <f>SUM(X8:X427)</f>
        <v>94992750</v>
      </c>
      <c r="Y2" s="3220">
        <f>SUM(Y8:Y97)</f>
        <v>94992750</v>
      </c>
      <c r="Z2" s="3220">
        <f>SUM(Z31:Z51)</f>
        <v>34565800</v>
      </c>
      <c r="AA2" s="3220">
        <f>SUM(AA53:AA97)</f>
        <v>38447800</v>
      </c>
      <c r="AB2" s="3220">
        <f t="shared" ref="AB2:AJ2" si="0">SUM(AB52:AB427)</f>
        <v>0</v>
      </c>
      <c r="AC2" s="3220">
        <f t="shared" si="0"/>
        <v>0</v>
      </c>
      <c r="AD2" s="3220">
        <f t="shared" si="0"/>
        <v>10141050</v>
      </c>
      <c r="AE2" s="3220">
        <f t="shared" si="0"/>
        <v>0</v>
      </c>
      <c r="AF2" s="3220">
        <f t="shared" si="0"/>
        <v>0</v>
      </c>
      <c r="AG2" s="3220">
        <f t="shared" si="0"/>
        <v>0</v>
      </c>
      <c r="AH2" s="3220">
        <f t="shared" si="0"/>
        <v>0</v>
      </c>
      <c r="AI2" s="3220">
        <f t="shared" si="0"/>
        <v>0</v>
      </c>
      <c r="AJ2" s="3220">
        <f t="shared" si="0"/>
        <v>0</v>
      </c>
      <c r="AK2" s="3220">
        <f>SUM(AK8:AK30)</f>
        <v>11838100</v>
      </c>
      <c r="AL2" s="3220">
        <f>SUM(AL8:AL97)</f>
        <v>94992750</v>
      </c>
    </row>
    <row r="3" spans="1:308" ht="11.25" customHeight="1">
      <c r="F3" s="3221"/>
      <c r="K3" s="3211"/>
      <c r="S3" s="3212"/>
      <c r="T3" s="3213"/>
      <c r="V3" s="3215"/>
      <c r="W3" s="3215"/>
      <c r="X3" s="3215"/>
      <c r="Y3" s="3215"/>
      <c r="Z3" s="3216"/>
      <c r="AA3" s="3215"/>
      <c r="AB3" s="3215"/>
      <c r="AC3" s="3215"/>
    </row>
    <row r="4" spans="1:308" s="3224" customFormat="1" ht="22.5" customHeight="1">
      <c r="A4" s="3207"/>
      <c r="B4" s="3222">
        <f>V2</f>
        <v>94992750</v>
      </c>
      <c r="C4" s="3223" t="s">
        <v>1928</v>
      </c>
      <c r="D4" s="3224">
        <v>0</v>
      </c>
      <c r="E4" s="3221" t="s">
        <v>1929</v>
      </c>
      <c r="F4" s="3221"/>
      <c r="G4" s="3207"/>
      <c r="H4" s="3225"/>
      <c r="I4" s="3226"/>
      <c r="J4" s="3226"/>
      <c r="K4" s="3221"/>
      <c r="L4" s="3221"/>
      <c r="M4" s="3221"/>
      <c r="N4" s="3221"/>
      <c r="O4" s="3207"/>
      <c r="P4" s="3207"/>
      <c r="Q4" s="3207"/>
      <c r="R4" s="3207"/>
      <c r="S4" s="3227"/>
      <c r="T4" s="3206"/>
      <c r="U4" s="3228" t="s">
        <v>31</v>
      </c>
      <c r="V4" s="3217">
        <f>V2/3800</f>
        <v>24998.092105263157</v>
      </c>
      <c r="W4" s="3229">
        <f>W2/3400</f>
        <v>0</v>
      </c>
      <c r="X4" s="3229">
        <f>X2/3400</f>
        <v>27939.044117647059</v>
      </c>
      <c r="Y4" s="3220"/>
      <c r="Z4" s="764"/>
      <c r="AA4" s="3220"/>
      <c r="AB4" s="3220"/>
      <c r="AC4" s="3220"/>
    </row>
    <row r="5" spans="1:308" s="3233" customFormat="1" ht="21.75" customHeight="1">
      <c r="A5" s="3230"/>
      <c r="B5" s="3230"/>
      <c r="C5" s="3230"/>
      <c r="D5" s="3230"/>
      <c r="E5" s="3230"/>
      <c r="F5" s="3230"/>
      <c r="G5" s="3415" t="s">
        <v>1930</v>
      </c>
      <c r="H5" s="3415"/>
      <c r="I5" s="3416" t="s">
        <v>1931</v>
      </c>
      <c r="J5" s="3416"/>
      <c r="K5" s="3231"/>
      <c r="L5" s="3415" t="s">
        <v>210</v>
      </c>
      <c r="M5" s="3415"/>
      <c r="N5" s="3232"/>
      <c r="P5" s="3234"/>
      <c r="Q5" s="3235"/>
      <c r="R5" s="3235"/>
      <c r="S5" s="3236"/>
      <c r="T5" s="3237"/>
      <c r="U5" s="3238"/>
      <c r="V5" s="3239" t="s">
        <v>1932</v>
      </c>
      <c r="W5" s="3417" t="s">
        <v>1933</v>
      </c>
      <c r="X5" s="3417"/>
      <c r="Y5" s="3417"/>
      <c r="Z5" s="3418" t="s">
        <v>1934</v>
      </c>
      <c r="AA5" s="3418"/>
      <c r="AB5" s="3418"/>
      <c r="AC5" s="3418"/>
      <c r="AD5" s="3418"/>
      <c r="AE5" s="3418"/>
      <c r="AF5" s="3418"/>
      <c r="AG5" s="3418"/>
      <c r="AH5" s="3418"/>
      <c r="AI5" s="3418"/>
      <c r="AJ5" s="3418"/>
      <c r="AK5" s="3418"/>
      <c r="AL5" s="3240">
        <v>2023</v>
      </c>
      <c r="AM5" s="3241"/>
      <c r="AN5" s="3242"/>
      <c r="AO5" s="3242"/>
      <c r="AP5" s="3242"/>
      <c r="AQ5" s="3242"/>
      <c r="AR5" s="3242"/>
      <c r="AS5" s="3242"/>
      <c r="AT5" s="3242"/>
      <c r="AU5" s="3242"/>
      <c r="AV5" s="3242"/>
      <c r="AW5" s="3242"/>
      <c r="AX5" s="3242"/>
      <c r="AY5" s="3242"/>
      <c r="AZ5" s="3242"/>
      <c r="BA5" s="3242"/>
      <c r="BB5" s="3242"/>
      <c r="BC5" s="3242"/>
      <c r="BD5" s="3242"/>
      <c r="BE5" s="3242"/>
      <c r="BF5" s="3242"/>
      <c r="BG5" s="3242"/>
      <c r="BH5" s="3242"/>
      <c r="BI5" s="3242"/>
      <c r="BJ5" s="3242"/>
      <c r="BK5" s="3242"/>
      <c r="BL5" s="3242"/>
      <c r="BM5" s="3242"/>
      <c r="BN5" s="3242"/>
      <c r="BO5" s="3242"/>
      <c r="BP5" s="3242"/>
      <c r="BQ5" s="3242"/>
      <c r="BR5" s="3242"/>
      <c r="BS5" s="3242"/>
      <c r="BT5" s="3242"/>
      <c r="BU5" s="3242"/>
      <c r="BV5" s="3242"/>
      <c r="BW5" s="3242"/>
      <c r="BX5" s="3242"/>
      <c r="BY5" s="3242"/>
      <c r="BZ5" s="3242"/>
      <c r="CA5" s="3242"/>
      <c r="CB5" s="3242"/>
      <c r="CC5" s="3242"/>
      <c r="CD5" s="3242"/>
      <c r="CE5" s="3242"/>
      <c r="CF5" s="3242"/>
      <c r="CG5" s="3242"/>
      <c r="CH5" s="3242"/>
      <c r="CI5" s="3242"/>
      <c r="CJ5" s="3242"/>
      <c r="CK5" s="3242"/>
      <c r="CL5" s="3242"/>
      <c r="CM5" s="3242"/>
      <c r="CN5" s="3242"/>
      <c r="CO5" s="3242"/>
      <c r="CP5" s="3242"/>
      <c r="CQ5" s="3242"/>
      <c r="CR5" s="3242"/>
      <c r="CS5" s="3242"/>
      <c r="CT5" s="3242"/>
      <c r="CU5" s="3242"/>
      <c r="CV5" s="3242"/>
      <c r="CW5" s="3242"/>
      <c r="CX5" s="3242"/>
      <c r="CY5" s="3242"/>
      <c r="CZ5" s="3242"/>
      <c r="DA5" s="3242"/>
      <c r="DB5" s="3242"/>
      <c r="DC5" s="3242"/>
      <c r="DD5" s="3242"/>
      <c r="DE5" s="3242"/>
      <c r="DF5" s="3242"/>
      <c r="DG5" s="3242"/>
      <c r="DH5" s="3242"/>
      <c r="DI5" s="3242"/>
      <c r="DJ5" s="3242"/>
      <c r="DK5" s="3242"/>
      <c r="DL5" s="3242"/>
      <c r="DM5" s="3242"/>
      <c r="DN5" s="3242"/>
      <c r="DO5" s="3242"/>
      <c r="DP5" s="3242"/>
      <c r="DQ5" s="3242"/>
      <c r="DR5" s="3242"/>
      <c r="DS5" s="3242"/>
      <c r="DT5" s="3242"/>
      <c r="DU5" s="3242"/>
      <c r="DV5" s="3242"/>
      <c r="DW5" s="3242"/>
      <c r="DX5" s="3242"/>
      <c r="DY5" s="3242"/>
      <c r="DZ5" s="3242"/>
      <c r="EA5" s="3242"/>
      <c r="EB5" s="3242"/>
      <c r="EC5" s="3242"/>
      <c r="ED5" s="3242"/>
      <c r="EE5" s="3242"/>
      <c r="EF5" s="3242"/>
      <c r="EG5" s="3242"/>
      <c r="EH5" s="3242"/>
      <c r="EI5" s="3242"/>
      <c r="EJ5" s="3242"/>
      <c r="EK5" s="3242"/>
      <c r="EL5" s="3242"/>
      <c r="EM5" s="3242"/>
      <c r="EN5" s="3242"/>
      <c r="EO5" s="3242"/>
      <c r="EP5" s="3242"/>
      <c r="EQ5" s="3242"/>
      <c r="ER5" s="3242"/>
      <c r="ES5" s="3242"/>
      <c r="ET5" s="3242"/>
      <c r="EU5" s="3242"/>
      <c r="EV5" s="3242"/>
      <c r="EW5" s="3242"/>
      <c r="EX5" s="3242"/>
      <c r="EY5" s="3242"/>
      <c r="EZ5" s="3242"/>
      <c r="FA5" s="3242"/>
      <c r="FB5" s="3242"/>
      <c r="FC5" s="3242"/>
      <c r="FD5" s="3242"/>
      <c r="FE5" s="3242"/>
      <c r="FF5" s="3242"/>
      <c r="FG5" s="3242"/>
      <c r="FH5" s="3242"/>
      <c r="FI5" s="3242"/>
      <c r="FJ5" s="3242"/>
      <c r="FK5" s="3242"/>
      <c r="FL5" s="3242"/>
      <c r="FM5" s="3242"/>
      <c r="FN5" s="3242"/>
      <c r="FO5" s="3242"/>
      <c r="FP5" s="3242"/>
      <c r="FQ5" s="3242"/>
      <c r="FR5" s="3242"/>
      <c r="FS5" s="3242"/>
      <c r="FT5" s="3242"/>
      <c r="FU5" s="3242"/>
      <c r="FV5" s="3242"/>
      <c r="FW5" s="3242"/>
      <c r="FX5" s="3242"/>
      <c r="FY5" s="3242"/>
      <c r="FZ5" s="3242"/>
      <c r="GA5" s="3242"/>
      <c r="GB5" s="3242"/>
      <c r="GC5" s="3242"/>
      <c r="GD5" s="3242"/>
      <c r="GE5" s="3242"/>
      <c r="GF5" s="3242"/>
      <c r="GG5" s="3242"/>
      <c r="GH5" s="3242"/>
      <c r="GI5" s="3242"/>
      <c r="GJ5" s="3242"/>
      <c r="GK5" s="3242"/>
      <c r="GL5" s="3242"/>
      <c r="GM5" s="3242"/>
      <c r="GN5" s="3242"/>
      <c r="GO5" s="3242"/>
      <c r="GP5" s="3242"/>
      <c r="GQ5" s="3242"/>
      <c r="GR5" s="3242"/>
      <c r="GS5" s="3242"/>
      <c r="GT5" s="3242"/>
      <c r="GU5" s="3242"/>
      <c r="GV5" s="3242"/>
      <c r="GW5" s="3242"/>
      <c r="GX5" s="3242"/>
      <c r="GY5" s="3242"/>
      <c r="GZ5" s="3242"/>
      <c r="HA5" s="3242"/>
      <c r="HB5" s="3242"/>
      <c r="HC5" s="3242"/>
      <c r="HD5" s="3242"/>
      <c r="HE5" s="3242"/>
      <c r="HF5" s="3242"/>
      <c r="HG5" s="3242"/>
      <c r="HH5" s="3242"/>
      <c r="HI5" s="3242"/>
      <c r="HJ5" s="3242"/>
      <c r="HK5" s="3242"/>
      <c r="HL5" s="3242"/>
      <c r="HM5" s="3242"/>
      <c r="HN5" s="3242"/>
      <c r="HO5" s="3242"/>
      <c r="HP5" s="3242"/>
      <c r="HQ5" s="3242"/>
      <c r="HR5" s="3242"/>
      <c r="HS5" s="3242"/>
      <c r="HT5" s="3242"/>
      <c r="HU5" s="3242"/>
      <c r="HV5" s="3242"/>
      <c r="HW5" s="3242"/>
      <c r="HX5" s="3242"/>
      <c r="HY5" s="3242"/>
      <c r="HZ5" s="3242"/>
      <c r="IA5" s="3242"/>
      <c r="IB5" s="3242"/>
      <c r="IC5" s="3242"/>
      <c r="ID5" s="3242"/>
      <c r="IE5" s="3242"/>
      <c r="IF5" s="3242"/>
      <c r="IG5" s="3242"/>
      <c r="IH5" s="3242"/>
      <c r="II5" s="3242"/>
      <c r="IJ5" s="3242"/>
      <c r="IK5" s="3242"/>
      <c r="IL5" s="3242"/>
      <c r="IM5" s="3242"/>
      <c r="IN5" s="3242"/>
      <c r="IO5" s="3242"/>
      <c r="IP5" s="3242"/>
      <c r="IQ5" s="3242"/>
      <c r="IR5" s="3242"/>
      <c r="IS5" s="3242"/>
      <c r="IT5" s="3242"/>
      <c r="IU5" s="3242"/>
      <c r="IV5" s="3242"/>
      <c r="IW5" s="3242"/>
      <c r="IX5" s="3242"/>
      <c r="IY5" s="3242"/>
      <c r="IZ5" s="3242"/>
      <c r="JA5" s="3242"/>
      <c r="JB5" s="3242"/>
      <c r="JC5" s="3242"/>
      <c r="JD5" s="3242"/>
      <c r="JE5" s="3242"/>
      <c r="JF5" s="3242"/>
      <c r="JG5" s="3242"/>
      <c r="JH5" s="3242"/>
      <c r="JI5" s="3242"/>
      <c r="JJ5" s="3242"/>
      <c r="JK5" s="3242"/>
      <c r="JL5" s="3242"/>
      <c r="JM5" s="3242"/>
      <c r="JN5" s="3242"/>
      <c r="JO5" s="3242"/>
      <c r="JP5" s="3242"/>
      <c r="JQ5" s="3242"/>
      <c r="JR5" s="3242"/>
      <c r="JS5" s="3242"/>
      <c r="JT5" s="3242"/>
      <c r="JU5" s="3242"/>
      <c r="JV5" s="3242"/>
      <c r="JW5" s="3242"/>
      <c r="JX5" s="3242"/>
      <c r="JY5" s="3242"/>
      <c r="JZ5" s="3242"/>
      <c r="KA5" s="3242"/>
      <c r="KB5" s="3242"/>
      <c r="KC5" s="3242"/>
      <c r="KD5" s="3242"/>
      <c r="KE5" s="3242"/>
      <c r="KF5" s="3242"/>
      <c r="KG5" s="3242"/>
      <c r="KH5" s="3242"/>
      <c r="KI5" s="3242"/>
      <c r="KJ5" s="3242"/>
      <c r="KK5" s="3242"/>
      <c r="KL5" s="3242"/>
      <c r="KM5" s="3242"/>
      <c r="KN5" s="3242"/>
      <c r="KO5" s="3242"/>
      <c r="KP5" s="3242"/>
      <c r="KQ5" s="3242"/>
      <c r="KR5" s="3242"/>
      <c r="KS5" s="3242"/>
      <c r="KT5" s="3242"/>
      <c r="KU5" s="3242"/>
      <c r="KV5" s="3242"/>
    </row>
    <row r="6" spans="1:308" s="3242" customFormat="1" ht="84.75" customHeight="1">
      <c r="A6" s="3243" t="s">
        <v>1153</v>
      </c>
      <c r="B6" s="3243" t="s">
        <v>1935</v>
      </c>
      <c r="C6" s="3244" t="s">
        <v>203</v>
      </c>
      <c r="D6" s="3244" t="s">
        <v>1936</v>
      </c>
      <c r="E6" s="3245" t="s">
        <v>204</v>
      </c>
      <c r="F6" s="3245" t="s">
        <v>1937</v>
      </c>
      <c r="G6" s="3245" t="s">
        <v>206</v>
      </c>
      <c r="H6" s="3246" t="s">
        <v>1938</v>
      </c>
      <c r="I6" s="3247" t="s">
        <v>220</v>
      </c>
      <c r="J6" s="3248" t="s">
        <v>221</v>
      </c>
      <c r="K6" s="3249" t="s">
        <v>1939</v>
      </c>
      <c r="L6" s="3245" t="s">
        <v>1940</v>
      </c>
      <c r="M6" s="3245" t="s">
        <v>1941</v>
      </c>
      <c r="N6" s="3245" t="s">
        <v>1942</v>
      </c>
      <c r="O6" s="3245" t="s">
        <v>1943</v>
      </c>
      <c r="P6" s="3245" t="s">
        <v>213</v>
      </c>
      <c r="Q6" s="3245" t="s">
        <v>1944</v>
      </c>
      <c r="R6" s="3245" t="s">
        <v>1945</v>
      </c>
      <c r="S6" s="3250" t="s">
        <v>1946</v>
      </c>
      <c r="T6" s="3251" t="s">
        <v>1947</v>
      </c>
      <c r="U6" s="3252" t="s">
        <v>1948</v>
      </c>
      <c r="V6" s="3253" t="s">
        <v>1949</v>
      </c>
      <c r="W6" s="3253" t="s">
        <v>366</v>
      </c>
      <c r="X6" s="3253" t="s">
        <v>1950</v>
      </c>
      <c r="Y6" s="3253" t="s">
        <v>41</v>
      </c>
      <c r="Z6" s="3254" t="s">
        <v>1951</v>
      </c>
      <c r="AA6" s="3254" t="s">
        <v>1952</v>
      </c>
      <c r="AB6" s="3254" t="s">
        <v>224</v>
      </c>
      <c r="AC6" s="3254" t="s">
        <v>1953</v>
      </c>
      <c r="AD6" s="3254" t="s">
        <v>226</v>
      </c>
      <c r="AE6" s="3254" t="s">
        <v>227</v>
      </c>
      <c r="AF6" s="3254" t="s">
        <v>1954</v>
      </c>
      <c r="AG6" s="3254" t="s">
        <v>229</v>
      </c>
      <c r="AH6" s="3254" t="s">
        <v>1955</v>
      </c>
      <c r="AI6" s="3254" t="s">
        <v>1956</v>
      </c>
      <c r="AJ6" s="3254" t="s">
        <v>1957</v>
      </c>
      <c r="AK6" s="3254" t="s">
        <v>1958</v>
      </c>
      <c r="AL6" s="3255" t="s">
        <v>1959</v>
      </c>
    </row>
    <row r="7" spans="1:308" ht="68.25" hidden="1" customHeight="1">
      <c r="A7" s="3256">
        <v>1</v>
      </c>
      <c r="B7" s="3257"/>
      <c r="C7" s="3258"/>
      <c r="D7" s="3259"/>
      <c r="E7" s="3260" t="s">
        <v>1960</v>
      </c>
      <c r="F7" s="3261" t="s">
        <v>1961</v>
      </c>
      <c r="G7" s="3262"/>
      <c r="H7" s="3263"/>
      <c r="I7" s="3264"/>
      <c r="J7" s="3264"/>
      <c r="K7" s="3265"/>
      <c r="L7" s="3266"/>
      <c r="M7" s="3267"/>
      <c r="N7" s="3262"/>
      <c r="O7" s="3268"/>
      <c r="P7" s="3266"/>
      <c r="Q7" s="3266"/>
      <c r="R7" s="3266"/>
      <c r="S7" s="3269"/>
      <c r="T7" s="3268"/>
      <c r="U7" s="3268"/>
      <c r="V7" s="3270">
        <v>0</v>
      </c>
      <c r="W7" s="3270"/>
      <c r="X7" s="3270">
        <v>0</v>
      </c>
      <c r="Y7" s="3270">
        <v>0</v>
      </c>
      <c r="Z7" s="3271"/>
      <c r="AA7" s="3272"/>
      <c r="AB7" s="3272"/>
      <c r="AC7" s="3272"/>
      <c r="AD7" s="3270"/>
      <c r="AE7" s="3270"/>
      <c r="AF7" s="3270"/>
      <c r="AG7" s="3270"/>
      <c r="AH7" s="3270"/>
      <c r="AI7" s="3270"/>
      <c r="AJ7" s="3270"/>
      <c r="AK7" s="3270"/>
      <c r="AL7" s="3270">
        <v>0</v>
      </c>
      <c r="AM7" s="3273">
        <f t="shared" ref="AM7:AM29" si="1">+AL7-V7</f>
        <v>0</v>
      </c>
    </row>
    <row r="8" spans="1:308" ht="51.75" hidden="1" customHeight="1">
      <c r="A8" s="3274">
        <v>2</v>
      </c>
      <c r="B8" s="3275" t="s">
        <v>179</v>
      </c>
      <c r="C8" s="3276"/>
      <c r="D8" s="3277" t="s">
        <v>1962</v>
      </c>
      <c r="E8" s="3278" t="s">
        <v>1963</v>
      </c>
      <c r="F8" s="3279" t="s">
        <v>1964</v>
      </c>
      <c r="G8" s="3280" t="s">
        <v>1965</v>
      </c>
      <c r="H8" s="3281">
        <v>7</v>
      </c>
      <c r="I8" s="3282"/>
      <c r="J8" s="3282"/>
      <c r="K8" s="3283" t="s">
        <v>1966</v>
      </c>
      <c r="L8" s="3284" t="s">
        <v>179</v>
      </c>
      <c r="M8" s="3285"/>
      <c r="N8" s="3286" t="s">
        <v>1967</v>
      </c>
      <c r="O8" s="3287">
        <v>23174</v>
      </c>
      <c r="P8" s="3284">
        <v>5</v>
      </c>
      <c r="Q8" s="3284" t="s">
        <v>1950</v>
      </c>
      <c r="R8" s="3284" t="s">
        <v>1968</v>
      </c>
      <c r="S8" s="1568">
        <v>36000</v>
      </c>
      <c r="T8" s="3278" t="s">
        <v>1969</v>
      </c>
      <c r="U8" s="3287">
        <f>7*6</f>
        <v>42</v>
      </c>
      <c r="V8" s="3288">
        <f t="shared" ref="V8:V51" si="2">S8*U8</f>
        <v>1512000</v>
      </c>
      <c r="W8" s="3288">
        <v>0</v>
      </c>
      <c r="X8" s="3288">
        <f t="shared" ref="X8:X51" si="3">V8-W8</f>
        <v>1512000</v>
      </c>
      <c r="Y8" s="3288">
        <f t="shared" ref="Y8:Y13" si="4">X8+W8</f>
        <v>1512000</v>
      </c>
      <c r="Z8" s="3289"/>
      <c r="AA8" s="3290"/>
      <c r="AB8" s="3290"/>
      <c r="AC8" s="3291"/>
      <c r="AD8" s="3277"/>
      <c r="AE8" s="3292"/>
      <c r="AF8" s="3277"/>
      <c r="AG8" s="3277"/>
      <c r="AH8" s="3277"/>
      <c r="AI8" s="3277"/>
      <c r="AJ8" s="3277"/>
      <c r="AK8" s="3293">
        <f>Y8</f>
        <v>1512000</v>
      </c>
      <c r="AL8" s="3294">
        <f t="shared" ref="AL8:AL24" si="5">SUM(Z8:AK8)</f>
        <v>1512000</v>
      </c>
      <c r="AM8" s="3273">
        <f t="shared" si="1"/>
        <v>0</v>
      </c>
    </row>
    <row r="9" spans="1:308" ht="36.75" hidden="1" customHeight="1">
      <c r="A9" s="3274">
        <v>3</v>
      </c>
      <c r="B9" s="3275" t="s">
        <v>179</v>
      </c>
      <c r="C9" s="3276"/>
      <c r="D9" s="3277" t="s">
        <v>1962</v>
      </c>
      <c r="E9" s="3278" t="s">
        <v>1963</v>
      </c>
      <c r="F9" s="3279" t="s">
        <v>1964</v>
      </c>
      <c r="G9" s="3280" t="s">
        <v>1965</v>
      </c>
      <c r="H9" s="3281">
        <v>7</v>
      </c>
      <c r="I9" s="3282"/>
      <c r="J9" s="3282"/>
      <c r="K9" s="3283" t="s">
        <v>1966</v>
      </c>
      <c r="L9" s="3284" t="s">
        <v>179</v>
      </c>
      <c r="M9" s="3285"/>
      <c r="N9" s="3286" t="s">
        <v>1970</v>
      </c>
      <c r="O9" s="3287">
        <v>23174</v>
      </c>
      <c r="P9" s="3284">
        <v>5</v>
      </c>
      <c r="Q9" s="3284" t="s">
        <v>1950</v>
      </c>
      <c r="R9" s="3284" t="s">
        <v>1968</v>
      </c>
      <c r="S9" s="1568">
        <v>20000</v>
      </c>
      <c r="T9" s="3278" t="s">
        <v>1971</v>
      </c>
      <c r="U9" s="3287">
        <f>6*6</f>
        <v>36</v>
      </c>
      <c r="V9" s="3288">
        <f t="shared" si="2"/>
        <v>720000</v>
      </c>
      <c r="W9" s="3288">
        <v>0</v>
      </c>
      <c r="X9" s="3288">
        <f t="shared" si="3"/>
        <v>720000</v>
      </c>
      <c r="Y9" s="3288">
        <f t="shared" si="4"/>
        <v>720000</v>
      </c>
      <c r="Z9" s="3289"/>
      <c r="AA9" s="3290"/>
      <c r="AB9" s="3290"/>
      <c r="AC9" s="3291"/>
      <c r="AD9" s="3295"/>
      <c r="AE9" s="3292"/>
      <c r="AF9" s="3277"/>
      <c r="AG9" s="3277"/>
      <c r="AH9" s="3277"/>
      <c r="AI9" s="3277"/>
      <c r="AJ9" s="3277"/>
      <c r="AK9" s="3293">
        <f t="shared" ref="AK9:AK30" si="6">Y9</f>
        <v>720000</v>
      </c>
      <c r="AL9" s="3294">
        <f t="shared" si="5"/>
        <v>720000</v>
      </c>
      <c r="AM9" s="3273">
        <f t="shared" si="1"/>
        <v>0</v>
      </c>
    </row>
    <row r="10" spans="1:308" ht="48.75" hidden="1" customHeight="1">
      <c r="A10" s="3274">
        <v>4</v>
      </c>
      <c r="B10" s="3275" t="s">
        <v>179</v>
      </c>
      <c r="C10" s="3276"/>
      <c r="D10" s="3277" t="s">
        <v>1962</v>
      </c>
      <c r="E10" s="3278" t="s">
        <v>1963</v>
      </c>
      <c r="F10" s="3279" t="s">
        <v>1964</v>
      </c>
      <c r="G10" s="3280" t="s">
        <v>1965</v>
      </c>
      <c r="H10" s="3281">
        <v>7</v>
      </c>
      <c r="I10" s="3282"/>
      <c r="J10" s="3282"/>
      <c r="K10" s="3283" t="s">
        <v>1966</v>
      </c>
      <c r="L10" s="3284" t="s">
        <v>179</v>
      </c>
      <c r="M10" s="3285"/>
      <c r="N10" s="3286" t="s">
        <v>1972</v>
      </c>
      <c r="O10" s="3287">
        <v>23174</v>
      </c>
      <c r="P10" s="3284">
        <v>5</v>
      </c>
      <c r="Q10" s="3284" t="s">
        <v>1950</v>
      </c>
      <c r="R10" s="3284" t="s">
        <v>1968</v>
      </c>
      <c r="S10" s="1568">
        <f>10000*2</f>
        <v>20000</v>
      </c>
      <c r="T10" s="3278" t="s">
        <v>1973</v>
      </c>
      <c r="U10" s="3287">
        <v>7</v>
      </c>
      <c r="V10" s="3288">
        <f t="shared" si="2"/>
        <v>140000</v>
      </c>
      <c r="W10" s="3288">
        <v>0</v>
      </c>
      <c r="X10" s="3288">
        <f t="shared" si="3"/>
        <v>140000</v>
      </c>
      <c r="Y10" s="3288">
        <f t="shared" si="4"/>
        <v>140000</v>
      </c>
      <c r="Z10" s="3289"/>
      <c r="AA10" s="3290"/>
      <c r="AB10" s="3290"/>
      <c r="AC10" s="3291"/>
      <c r="AD10" s="3295"/>
      <c r="AE10" s="3292"/>
      <c r="AF10" s="3277"/>
      <c r="AG10" s="3277"/>
      <c r="AH10" s="3277"/>
      <c r="AI10" s="3277"/>
      <c r="AJ10" s="3277"/>
      <c r="AK10" s="3293">
        <f t="shared" si="6"/>
        <v>140000</v>
      </c>
      <c r="AL10" s="3294">
        <f t="shared" si="5"/>
        <v>140000</v>
      </c>
      <c r="AM10" s="3273">
        <f t="shared" si="1"/>
        <v>0</v>
      </c>
    </row>
    <row r="11" spans="1:308" ht="29.25" hidden="1" customHeight="1">
      <c r="A11" s="3274">
        <v>5</v>
      </c>
      <c r="B11" s="3275" t="s">
        <v>179</v>
      </c>
      <c r="C11" s="3276"/>
      <c r="D11" s="3277" t="s">
        <v>1962</v>
      </c>
      <c r="E11" s="3278" t="s">
        <v>1963</v>
      </c>
      <c r="F11" s="3279" t="s">
        <v>1964</v>
      </c>
      <c r="G11" s="3280" t="s">
        <v>1965</v>
      </c>
      <c r="H11" s="3281">
        <v>7</v>
      </c>
      <c r="I11" s="3282"/>
      <c r="J11" s="3282"/>
      <c r="K11" s="3283" t="s">
        <v>1966</v>
      </c>
      <c r="L11" s="3284" t="s">
        <v>179</v>
      </c>
      <c r="M11" s="3285"/>
      <c r="N11" s="3286" t="s">
        <v>1974</v>
      </c>
      <c r="O11" s="3287">
        <v>23174</v>
      </c>
      <c r="P11" s="3284">
        <v>5</v>
      </c>
      <c r="Q11" s="3284" t="s">
        <v>1950</v>
      </c>
      <c r="R11" s="3284" t="s">
        <v>1968</v>
      </c>
      <c r="S11" s="1568">
        <v>36000</v>
      </c>
      <c r="T11" s="3278" t="s">
        <v>1969</v>
      </c>
      <c r="U11" s="3287">
        <f>20*7</f>
        <v>140</v>
      </c>
      <c r="V11" s="3288">
        <f t="shared" si="2"/>
        <v>5040000</v>
      </c>
      <c r="W11" s="3288">
        <v>0</v>
      </c>
      <c r="X11" s="3288">
        <f t="shared" si="3"/>
        <v>5040000</v>
      </c>
      <c r="Y11" s="3288">
        <f t="shared" si="4"/>
        <v>5040000</v>
      </c>
      <c r="Z11" s="3289"/>
      <c r="AA11" s="3290"/>
      <c r="AB11" s="3290"/>
      <c r="AC11" s="3291"/>
      <c r="AD11" s="3295"/>
      <c r="AE11" s="3292"/>
      <c r="AF11" s="3277"/>
      <c r="AG11" s="3277"/>
      <c r="AH11" s="3277"/>
      <c r="AI11" s="3277"/>
      <c r="AJ11" s="3277"/>
      <c r="AK11" s="3293">
        <f t="shared" si="6"/>
        <v>5040000</v>
      </c>
      <c r="AL11" s="3294">
        <f t="shared" si="5"/>
        <v>5040000</v>
      </c>
      <c r="AM11" s="3273">
        <f t="shared" si="1"/>
        <v>0</v>
      </c>
    </row>
    <row r="12" spans="1:308" ht="31.5" hidden="1">
      <c r="A12" s="3274">
        <v>6</v>
      </c>
      <c r="B12" s="3275" t="s">
        <v>179</v>
      </c>
      <c r="C12" s="3276"/>
      <c r="D12" s="3277" t="s">
        <v>1962</v>
      </c>
      <c r="E12" s="3278" t="s">
        <v>1963</v>
      </c>
      <c r="F12" s="3279" t="s">
        <v>1964</v>
      </c>
      <c r="G12" s="3280" t="s">
        <v>1965</v>
      </c>
      <c r="H12" s="3281">
        <v>7</v>
      </c>
      <c r="I12" s="3282"/>
      <c r="J12" s="3282"/>
      <c r="K12" s="3283" t="s">
        <v>1966</v>
      </c>
      <c r="L12" s="3284" t="s">
        <v>179</v>
      </c>
      <c r="M12" s="3285"/>
      <c r="N12" s="3286" t="s">
        <v>1975</v>
      </c>
      <c r="O12" s="3287">
        <v>23174</v>
      </c>
      <c r="P12" s="3284">
        <v>5</v>
      </c>
      <c r="Q12" s="3284" t="s">
        <v>1950</v>
      </c>
      <c r="R12" s="3284" t="s">
        <v>1968</v>
      </c>
      <c r="S12" s="1568">
        <v>15000</v>
      </c>
      <c r="T12" s="3278" t="s">
        <v>1969</v>
      </c>
      <c r="U12" s="3287">
        <f>2*5</f>
        <v>10</v>
      </c>
      <c r="V12" s="3288">
        <f t="shared" si="2"/>
        <v>150000</v>
      </c>
      <c r="W12" s="3288">
        <v>0</v>
      </c>
      <c r="X12" s="3288">
        <f t="shared" si="3"/>
        <v>150000</v>
      </c>
      <c r="Y12" s="3288">
        <f t="shared" si="4"/>
        <v>150000</v>
      </c>
      <c r="Z12" s="3289"/>
      <c r="AA12" s="3290"/>
      <c r="AB12" s="3290"/>
      <c r="AC12" s="3291"/>
      <c r="AD12" s="3295"/>
      <c r="AE12" s="3292"/>
      <c r="AF12" s="3277"/>
      <c r="AG12" s="3277"/>
      <c r="AH12" s="3277"/>
      <c r="AI12" s="3277"/>
      <c r="AJ12" s="3277"/>
      <c r="AK12" s="3293">
        <f t="shared" si="6"/>
        <v>150000</v>
      </c>
      <c r="AL12" s="3294">
        <f t="shared" si="5"/>
        <v>150000</v>
      </c>
      <c r="AM12" s="3273">
        <f t="shared" si="1"/>
        <v>0</v>
      </c>
    </row>
    <row r="13" spans="1:308" ht="47.25" hidden="1" customHeight="1">
      <c r="A13" s="3274">
        <v>7</v>
      </c>
      <c r="B13" s="3275" t="s">
        <v>179</v>
      </c>
      <c r="C13" s="3276"/>
      <c r="D13" s="3277" t="s">
        <v>1962</v>
      </c>
      <c r="E13" s="3278" t="s">
        <v>1963</v>
      </c>
      <c r="F13" s="3279" t="s">
        <v>1964</v>
      </c>
      <c r="G13" s="3280" t="s">
        <v>1965</v>
      </c>
      <c r="H13" s="3281">
        <v>7</v>
      </c>
      <c r="I13" s="3282"/>
      <c r="J13" s="3282"/>
      <c r="K13" s="3283" t="s">
        <v>1966</v>
      </c>
      <c r="L13" s="3284" t="s">
        <v>179</v>
      </c>
      <c r="M13" s="3285"/>
      <c r="N13" s="3286" t="s">
        <v>1976</v>
      </c>
      <c r="O13" s="3287">
        <v>23174</v>
      </c>
      <c r="P13" s="3284">
        <v>5</v>
      </c>
      <c r="Q13" s="3284" t="s">
        <v>1950</v>
      </c>
      <c r="R13" s="3284" t="s">
        <v>1968</v>
      </c>
      <c r="S13" s="1568">
        <v>20000</v>
      </c>
      <c r="T13" s="3278" t="s">
        <v>1971</v>
      </c>
      <c r="U13" s="3287">
        <f>6*20</f>
        <v>120</v>
      </c>
      <c r="V13" s="3288">
        <f t="shared" si="2"/>
        <v>2400000</v>
      </c>
      <c r="W13" s="3288">
        <v>0</v>
      </c>
      <c r="X13" s="3288">
        <f t="shared" si="3"/>
        <v>2400000</v>
      </c>
      <c r="Y13" s="3288">
        <f t="shared" si="4"/>
        <v>2400000</v>
      </c>
      <c r="Z13" s="3289"/>
      <c r="AA13" s="3290"/>
      <c r="AB13" s="3290"/>
      <c r="AC13" s="3291"/>
      <c r="AD13" s="3295"/>
      <c r="AE13" s="3292"/>
      <c r="AF13" s="3277"/>
      <c r="AG13" s="3277"/>
      <c r="AH13" s="3277"/>
      <c r="AI13" s="3277"/>
      <c r="AJ13" s="3277"/>
      <c r="AK13" s="3293">
        <f t="shared" si="6"/>
        <v>2400000</v>
      </c>
      <c r="AL13" s="3294">
        <f t="shared" si="5"/>
        <v>2400000</v>
      </c>
      <c r="AM13" s="3273">
        <f t="shared" si="1"/>
        <v>0</v>
      </c>
    </row>
    <row r="14" spans="1:308" ht="31.5" hidden="1">
      <c r="A14" s="3274">
        <v>8</v>
      </c>
      <c r="B14" s="3275" t="s">
        <v>179</v>
      </c>
      <c r="C14" s="3276"/>
      <c r="D14" s="3277" t="s">
        <v>1962</v>
      </c>
      <c r="E14" s="3278" t="s">
        <v>1963</v>
      </c>
      <c r="F14" s="3279" t="s">
        <v>1964</v>
      </c>
      <c r="G14" s="3280" t="s">
        <v>1965</v>
      </c>
      <c r="H14" s="3281">
        <v>7</v>
      </c>
      <c r="I14" s="3282"/>
      <c r="J14" s="3282"/>
      <c r="K14" s="3283" t="s">
        <v>1966</v>
      </c>
      <c r="L14" s="3284" t="s">
        <v>179</v>
      </c>
      <c r="M14" s="3285"/>
      <c r="N14" s="3286" t="s">
        <v>1977</v>
      </c>
      <c r="O14" s="3287">
        <v>23174</v>
      </c>
      <c r="P14" s="3284">
        <v>5</v>
      </c>
      <c r="Q14" s="3284" t="s">
        <v>1950</v>
      </c>
      <c r="R14" s="3284" t="s">
        <v>1968</v>
      </c>
      <c r="S14" s="1568">
        <v>5900</v>
      </c>
      <c r="T14" s="3278" t="s">
        <v>1978</v>
      </c>
      <c r="U14" s="3287">
        <f>5/100*90*22</f>
        <v>99</v>
      </c>
      <c r="V14" s="3288">
        <f t="shared" si="2"/>
        <v>584100</v>
      </c>
      <c r="W14" s="3288"/>
      <c r="X14" s="3288">
        <f t="shared" si="3"/>
        <v>584100</v>
      </c>
      <c r="Y14" s="3288">
        <f>X14</f>
        <v>584100</v>
      </c>
      <c r="Z14" s="3289"/>
      <c r="AA14" s="3290"/>
      <c r="AB14" s="3290"/>
      <c r="AC14" s="3290"/>
      <c r="AD14" s="3296"/>
      <c r="AE14" s="3292"/>
      <c r="AF14" s="3277"/>
      <c r="AG14" s="3277"/>
      <c r="AH14" s="3277"/>
      <c r="AI14" s="3277"/>
      <c r="AJ14" s="3277"/>
      <c r="AK14" s="3293">
        <f t="shared" si="6"/>
        <v>584100</v>
      </c>
      <c r="AL14" s="3294">
        <f t="shared" si="5"/>
        <v>584100</v>
      </c>
      <c r="AM14" s="3273">
        <f t="shared" si="1"/>
        <v>0</v>
      </c>
    </row>
    <row r="15" spans="1:308" ht="51.75" hidden="1" customHeight="1">
      <c r="A15" s="3274">
        <v>9</v>
      </c>
      <c r="B15" s="3275" t="s">
        <v>179</v>
      </c>
      <c r="C15" s="3276"/>
      <c r="D15" s="3277" t="s">
        <v>1962</v>
      </c>
      <c r="E15" s="3278" t="s">
        <v>1963</v>
      </c>
      <c r="F15" s="3279" t="s">
        <v>1964</v>
      </c>
      <c r="G15" s="3280" t="s">
        <v>1965</v>
      </c>
      <c r="H15" s="3281">
        <v>7</v>
      </c>
      <c r="I15" s="3282"/>
      <c r="J15" s="3282"/>
      <c r="K15" s="3283" t="s">
        <v>1966</v>
      </c>
      <c r="L15" s="3284" t="s">
        <v>179</v>
      </c>
      <c r="M15" s="3285"/>
      <c r="N15" s="3286" t="s">
        <v>1979</v>
      </c>
      <c r="O15" s="3287">
        <v>23174</v>
      </c>
      <c r="P15" s="3284">
        <v>5</v>
      </c>
      <c r="Q15" s="3284" t="s">
        <v>1950</v>
      </c>
      <c r="R15" s="3284" t="s">
        <v>1968</v>
      </c>
      <c r="S15" s="1568">
        <v>36000</v>
      </c>
      <c r="T15" s="3278" t="s">
        <v>1969</v>
      </c>
      <c r="U15" s="3287">
        <f>8*1</f>
        <v>8</v>
      </c>
      <c r="V15" s="3288">
        <f t="shared" si="2"/>
        <v>288000</v>
      </c>
      <c r="W15" s="3288">
        <v>0</v>
      </c>
      <c r="X15" s="3288">
        <f t="shared" si="3"/>
        <v>288000</v>
      </c>
      <c r="Y15" s="3288">
        <f t="shared" ref="Y15:Y18" si="7">X15+W15</f>
        <v>288000</v>
      </c>
      <c r="Z15" s="3289"/>
      <c r="AA15" s="3290"/>
      <c r="AB15" s="3290"/>
      <c r="AC15" s="3291"/>
      <c r="AD15" s="3277"/>
      <c r="AE15" s="3292"/>
      <c r="AF15" s="3277"/>
      <c r="AG15" s="3277"/>
      <c r="AH15" s="3277"/>
      <c r="AI15" s="3277"/>
      <c r="AJ15" s="3277"/>
      <c r="AK15" s="3293">
        <f>Y15</f>
        <v>288000</v>
      </c>
      <c r="AL15" s="3294">
        <f t="shared" si="5"/>
        <v>288000</v>
      </c>
      <c r="AM15" s="3273">
        <f t="shared" si="1"/>
        <v>0</v>
      </c>
    </row>
    <row r="16" spans="1:308" ht="36.75" hidden="1" customHeight="1">
      <c r="A16" s="3274">
        <v>10</v>
      </c>
      <c r="B16" s="3275" t="s">
        <v>179</v>
      </c>
      <c r="C16" s="3276"/>
      <c r="D16" s="3277" t="s">
        <v>1962</v>
      </c>
      <c r="E16" s="3278" t="s">
        <v>1963</v>
      </c>
      <c r="F16" s="3279" t="s">
        <v>1964</v>
      </c>
      <c r="G16" s="3280" t="s">
        <v>1965</v>
      </c>
      <c r="H16" s="3281">
        <v>7</v>
      </c>
      <c r="I16" s="3282"/>
      <c r="J16" s="3282"/>
      <c r="K16" s="3283" t="s">
        <v>1966</v>
      </c>
      <c r="L16" s="3284" t="s">
        <v>179</v>
      </c>
      <c r="M16" s="3285"/>
      <c r="N16" s="3286" t="s">
        <v>1980</v>
      </c>
      <c r="O16" s="3287">
        <v>23174</v>
      </c>
      <c r="P16" s="3284">
        <v>5</v>
      </c>
      <c r="Q16" s="3284" t="s">
        <v>1950</v>
      </c>
      <c r="R16" s="3284" t="s">
        <v>1968</v>
      </c>
      <c r="S16" s="1568">
        <v>20000</v>
      </c>
      <c r="T16" s="3278" t="s">
        <v>1971</v>
      </c>
      <c r="U16" s="3287">
        <f>7*1</f>
        <v>7</v>
      </c>
      <c r="V16" s="3288">
        <f t="shared" si="2"/>
        <v>140000</v>
      </c>
      <c r="W16" s="3288">
        <v>0</v>
      </c>
      <c r="X16" s="3288">
        <f t="shared" si="3"/>
        <v>140000</v>
      </c>
      <c r="Y16" s="3288">
        <f t="shared" si="7"/>
        <v>140000</v>
      </c>
      <c r="Z16" s="3289"/>
      <c r="AA16" s="3290"/>
      <c r="AB16" s="3290"/>
      <c r="AC16" s="3291"/>
      <c r="AD16" s="3295"/>
      <c r="AE16" s="3292"/>
      <c r="AF16" s="3277"/>
      <c r="AG16" s="3277"/>
      <c r="AH16" s="3277"/>
      <c r="AI16" s="3277"/>
      <c r="AJ16" s="3277"/>
      <c r="AK16" s="3293">
        <f t="shared" ref="AK16:AK18" si="8">Y16</f>
        <v>140000</v>
      </c>
      <c r="AL16" s="3294">
        <f t="shared" si="5"/>
        <v>140000</v>
      </c>
      <c r="AM16" s="3273">
        <f t="shared" si="1"/>
        <v>0</v>
      </c>
    </row>
    <row r="17" spans="1:39" ht="48.75" hidden="1" customHeight="1">
      <c r="A17" s="3274">
        <v>11</v>
      </c>
      <c r="B17" s="3275" t="s">
        <v>179</v>
      </c>
      <c r="C17" s="3276"/>
      <c r="D17" s="3277" t="s">
        <v>1962</v>
      </c>
      <c r="E17" s="3278" t="s">
        <v>1963</v>
      </c>
      <c r="F17" s="3279" t="s">
        <v>1964</v>
      </c>
      <c r="G17" s="3280" t="s">
        <v>1965</v>
      </c>
      <c r="H17" s="3281">
        <v>7</v>
      </c>
      <c r="I17" s="3282"/>
      <c r="J17" s="3282"/>
      <c r="K17" s="3283" t="s">
        <v>1966</v>
      </c>
      <c r="L17" s="3284" t="s">
        <v>179</v>
      </c>
      <c r="M17" s="3285"/>
      <c r="N17" s="3286" t="s">
        <v>1981</v>
      </c>
      <c r="O17" s="3287">
        <v>23174</v>
      </c>
      <c r="P17" s="3284">
        <v>5</v>
      </c>
      <c r="Q17" s="3284" t="s">
        <v>1950</v>
      </c>
      <c r="R17" s="3284" t="s">
        <v>1968</v>
      </c>
      <c r="S17" s="1568">
        <f>15000*2</f>
        <v>30000</v>
      </c>
      <c r="T17" s="3278" t="s">
        <v>1973</v>
      </c>
      <c r="U17" s="3287">
        <v>1</v>
      </c>
      <c r="V17" s="3288">
        <f t="shared" si="2"/>
        <v>30000</v>
      </c>
      <c r="W17" s="3288">
        <v>0</v>
      </c>
      <c r="X17" s="3288">
        <f t="shared" si="3"/>
        <v>30000</v>
      </c>
      <c r="Y17" s="3288">
        <f t="shared" si="7"/>
        <v>30000</v>
      </c>
      <c r="Z17" s="3289"/>
      <c r="AA17" s="3290"/>
      <c r="AB17" s="3290"/>
      <c r="AC17" s="3291"/>
      <c r="AD17" s="3295"/>
      <c r="AE17" s="3292"/>
      <c r="AF17" s="3277"/>
      <c r="AG17" s="3277"/>
      <c r="AH17" s="3277"/>
      <c r="AI17" s="3277"/>
      <c r="AJ17" s="3277"/>
      <c r="AK17" s="3293">
        <f t="shared" si="8"/>
        <v>30000</v>
      </c>
      <c r="AL17" s="3294">
        <f t="shared" si="5"/>
        <v>30000</v>
      </c>
      <c r="AM17" s="3273">
        <f t="shared" si="1"/>
        <v>0</v>
      </c>
    </row>
    <row r="18" spans="1:39" ht="48.75" hidden="1" customHeight="1">
      <c r="A18" s="3274">
        <v>12</v>
      </c>
      <c r="B18" s="3275" t="s">
        <v>179</v>
      </c>
      <c r="C18" s="3276"/>
      <c r="D18" s="3277" t="s">
        <v>1962</v>
      </c>
      <c r="E18" s="3278" t="s">
        <v>1963</v>
      </c>
      <c r="F18" s="3279" t="s">
        <v>1964</v>
      </c>
      <c r="G18" s="3280" t="s">
        <v>1965</v>
      </c>
      <c r="H18" s="3281">
        <v>7</v>
      </c>
      <c r="I18" s="3282"/>
      <c r="J18" s="3282"/>
      <c r="K18" s="3283" t="s">
        <v>1966</v>
      </c>
      <c r="L18" s="3284" t="s">
        <v>179</v>
      </c>
      <c r="M18" s="3285"/>
      <c r="N18" s="3286" t="s">
        <v>1981</v>
      </c>
      <c r="O18" s="3287">
        <v>23174</v>
      </c>
      <c r="P18" s="3284">
        <v>5</v>
      </c>
      <c r="Q18" s="3284" t="s">
        <v>1950</v>
      </c>
      <c r="R18" s="3284" t="s">
        <v>1968</v>
      </c>
      <c r="S18" s="1568">
        <f>10000*2</f>
        <v>20000</v>
      </c>
      <c r="T18" s="3278" t="s">
        <v>1973</v>
      </c>
      <c r="U18" s="3287">
        <v>1</v>
      </c>
      <c r="V18" s="3288">
        <f t="shared" si="2"/>
        <v>20000</v>
      </c>
      <c r="W18" s="3288">
        <v>0</v>
      </c>
      <c r="X18" s="3288">
        <f t="shared" si="3"/>
        <v>20000</v>
      </c>
      <c r="Y18" s="3288">
        <f t="shared" si="7"/>
        <v>20000</v>
      </c>
      <c r="Z18" s="3289"/>
      <c r="AA18" s="3290"/>
      <c r="AB18" s="3290"/>
      <c r="AC18" s="3291"/>
      <c r="AD18" s="3295"/>
      <c r="AE18" s="3292"/>
      <c r="AF18" s="3277"/>
      <c r="AG18" s="3277"/>
      <c r="AH18" s="3277"/>
      <c r="AI18" s="3277"/>
      <c r="AJ18" s="3277"/>
      <c r="AK18" s="3293">
        <f t="shared" si="8"/>
        <v>20000</v>
      </c>
      <c r="AL18" s="3294">
        <f t="shared" si="5"/>
        <v>20000</v>
      </c>
      <c r="AM18" s="3273">
        <f t="shared" si="1"/>
        <v>0</v>
      </c>
    </row>
    <row r="19" spans="1:39">
      <c r="A19" s="3274">
        <v>13</v>
      </c>
      <c r="B19" s="3275" t="s">
        <v>179</v>
      </c>
      <c r="C19" s="3276"/>
      <c r="D19" s="3277" t="s">
        <v>1962</v>
      </c>
      <c r="E19" s="3278" t="s">
        <v>1963</v>
      </c>
      <c r="F19" s="3279" t="s">
        <v>1964</v>
      </c>
      <c r="G19" s="3274" t="s">
        <v>1965</v>
      </c>
      <c r="H19" s="3281">
        <v>7</v>
      </c>
      <c r="I19" s="3282"/>
      <c r="J19" s="3282"/>
      <c r="K19" s="3283" t="s">
        <v>1966</v>
      </c>
      <c r="L19" s="3284" t="s">
        <v>179</v>
      </c>
      <c r="M19" s="3285"/>
      <c r="N19" s="3286" t="s">
        <v>1982</v>
      </c>
      <c r="O19" s="3287">
        <v>23173</v>
      </c>
      <c r="P19" s="3284">
        <v>5</v>
      </c>
      <c r="Q19" s="3284" t="s">
        <v>1983</v>
      </c>
      <c r="R19" s="3284" t="s">
        <v>1968</v>
      </c>
      <c r="S19" s="1568">
        <v>3000</v>
      </c>
      <c r="T19" s="3287" t="s">
        <v>1984</v>
      </c>
      <c r="U19" s="3287">
        <v>30</v>
      </c>
      <c r="V19" s="3288">
        <f t="shared" si="2"/>
        <v>90000</v>
      </c>
      <c r="W19" s="3288"/>
      <c r="X19" s="3288">
        <f t="shared" si="3"/>
        <v>90000</v>
      </c>
      <c r="Y19" s="3288">
        <f t="shared" ref="Y19:Y22" si="9">X19</f>
        <v>90000</v>
      </c>
      <c r="Z19" s="3289"/>
      <c r="AA19" s="3290"/>
      <c r="AB19" s="3290"/>
      <c r="AC19" s="3290"/>
      <c r="AD19" s="3296"/>
      <c r="AE19" s="3292"/>
      <c r="AF19" s="3277"/>
      <c r="AG19" s="3277"/>
      <c r="AH19" s="3277"/>
      <c r="AI19" s="3277"/>
      <c r="AJ19" s="3277"/>
      <c r="AK19" s="3293">
        <f t="shared" si="6"/>
        <v>90000</v>
      </c>
      <c r="AL19" s="3294">
        <f t="shared" si="5"/>
        <v>90000</v>
      </c>
      <c r="AM19" s="3273">
        <f t="shared" si="1"/>
        <v>0</v>
      </c>
    </row>
    <row r="20" spans="1:39">
      <c r="A20" s="3274">
        <v>14</v>
      </c>
      <c r="B20" s="3275" t="s">
        <v>179</v>
      </c>
      <c r="C20" s="3276"/>
      <c r="D20" s="3277" t="s">
        <v>1962</v>
      </c>
      <c r="E20" s="3278" t="s">
        <v>1963</v>
      </c>
      <c r="F20" s="3279" t="s">
        <v>1964</v>
      </c>
      <c r="G20" s="3274" t="s">
        <v>1965</v>
      </c>
      <c r="H20" s="3281">
        <v>7</v>
      </c>
      <c r="I20" s="3282"/>
      <c r="J20" s="3282"/>
      <c r="K20" s="3283" t="s">
        <v>1966</v>
      </c>
      <c r="L20" s="3284" t="s">
        <v>179</v>
      </c>
      <c r="M20" s="3285"/>
      <c r="N20" s="3286" t="s">
        <v>1985</v>
      </c>
      <c r="O20" s="3287">
        <v>23173</v>
      </c>
      <c r="P20" s="3284">
        <v>5</v>
      </c>
      <c r="Q20" s="3284" t="s">
        <v>1950</v>
      </c>
      <c r="R20" s="3284" t="s">
        <v>1968</v>
      </c>
      <c r="S20" s="1568">
        <v>1000</v>
      </c>
      <c r="T20" s="3287" t="s">
        <v>1984</v>
      </c>
      <c r="U20" s="3287">
        <v>50</v>
      </c>
      <c r="V20" s="3288">
        <f t="shared" si="2"/>
        <v>50000</v>
      </c>
      <c r="W20" s="3288"/>
      <c r="X20" s="3288">
        <f t="shared" si="3"/>
        <v>50000</v>
      </c>
      <c r="Y20" s="3288">
        <f t="shared" si="9"/>
        <v>50000</v>
      </c>
      <c r="Z20" s="3289"/>
      <c r="AA20" s="3290"/>
      <c r="AB20" s="3290"/>
      <c r="AC20" s="3290"/>
      <c r="AD20" s="3296"/>
      <c r="AE20" s="3292"/>
      <c r="AF20" s="3277"/>
      <c r="AG20" s="3277"/>
      <c r="AH20" s="3277"/>
      <c r="AI20" s="3277"/>
      <c r="AJ20" s="3277"/>
      <c r="AK20" s="3293">
        <f t="shared" si="6"/>
        <v>50000</v>
      </c>
      <c r="AL20" s="3294">
        <f t="shared" si="5"/>
        <v>50000</v>
      </c>
      <c r="AM20" s="3273">
        <f t="shared" si="1"/>
        <v>0</v>
      </c>
    </row>
    <row r="21" spans="1:39">
      <c r="A21" s="3274">
        <v>15</v>
      </c>
      <c r="B21" s="3275" t="s">
        <v>179</v>
      </c>
      <c r="C21" s="3276"/>
      <c r="D21" s="3277" t="s">
        <v>1962</v>
      </c>
      <c r="E21" s="3278" t="s">
        <v>1963</v>
      </c>
      <c r="F21" s="3279" t="s">
        <v>1964</v>
      </c>
      <c r="G21" s="3274" t="s">
        <v>1965</v>
      </c>
      <c r="H21" s="3281">
        <v>7</v>
      </c>
      <c r="I21" s="3282"/>
      <c r="J21" s="3282"/>
      <c r="K21" s="3283" t="s">
        <v>1966</v>
      </c>
      <c r="L21" s="3284" t="s">
        <v>179</v>
      </c>
      <c r="M21" s="3285"/>
      <c r="N21" s="3286" t="s">
        <v>1986</v>
      </c>
      <c r="O21" s="3287">
        <v>23173</v>
      </c>
      <c r="P21" s="3284">
        <v>5</v>
      </c>
      <c r="Q21" s="3284" t="s">
        <v>1983</v>
      </c>
      <c r="R21" s="3284" t="s">
        <v>1968</v>
      </c>
      <c r="S21" s="1568">
        <v>20000</v>
      </c>
      <c r="T21" s="3287" t="s">
        <v>1987</v>
      </c>
      <c r="U21" s="3287">
        <v>2</v>
      </c>
      <c r="V21" s="3288">
        <f t="shared" si="2"/>
        <v>40000</v>
      </c>
      <c r="W21" s="3288"/>
      <c r="X21" s="3288">
        <f t="shared" si="3"/>
        <v>40000</v>
      </c>
      <c r="Y21" s="3288">
        <f t="shared" si="9"/>
        <v>40000</v>
      </c>
      <c r="Z21" s="3289"/>
      <c r="AA21" s="3290"/>
      <c r="AB21" s="3290"/>
      <c r="AC21" s="3290"/>
      <c r="AD21" s="3296"/>
      <c r="AE21" s="3292"/>
      <c r="AF21" s="3277"/>
      <c r="AG21" s="3277"/>
      <c r="AH21" s="3277"/>
      <c r="AI21" s="3277"/>
      <c r="AJ21" s="3277"/>
      <c r="AK21" s="3293">
        <f t="shared" si="6"/>
        <v>40000</v>
      </c>
      <c r="AL21" s="3294">
        <f t="shared" si="5"/>
        <v>40000</v>
      </c>
      <c r="AM21" s="3273">
        <f t="shared" si="1"/>
        <v>0</v>
      </c>
    </row>
    <row r="22" spans="1:39">
      <c r="A22" s="3274">
        <v>16</v>
      </c>
      <c r="B22" s="3275" t="s">
        <v>179</v>
      </c>
      <c r="C22" s="3276"/>
      <c r="D22" s="3277" t="s">
        <v>1962</v>
      </c>
      <c r="E22" s="3278" t="s">
        <v>1963</v>
      </c>
      <c r="F22" s="3279" t="s">
        <v>1964</v>
      </c>
      <c r="G22" s="3274" t="s">
        <v>1965</v>
      </c>
      <c r="H22" s="3281">
        <v>7</v>
      </c>
      <c r="I22" s="3282"/>
      <c r="J22" s="3282"/>
      <c r="K22" s="3283" t="s">
        <v>1966</v>
      </c>
      <c r="L22" s="3284" t="s">
        <v>179</v>
      </c>
      <c r="M22" s="3285"/>
      <c r="N22" s="3286" t="s">
        <v>1988</v>
      </c>
      <c r="O22" s="3287">
        <v>23173</v>
      </c>
      <c r="P22" s="3284">
        <v>5</v>
      </c>
      <c r="Q22" s="3284" t="s">
        <v>1950</v>
      </c>
      <c r="R22" s="3284" t="s">
        <v>1968</v>
      </c>
      <c r="S22" s="1568">
        <v>10000</v>
      </c>
      <c r="T22" s="3287" t="s">
        <v>1989</v>
      </c>
      <c r="U22" s="3287">
        <v>2</v>
      </c>
      <c r="V22" s="3288">
        <f t="shared" si="2"/>
        <v>20000</v>
      </c>
      <c r="W22" s="3288"/>
      <c r="X22" s="3288">
        <f t="shared" si="3"/>
        <v>20000</v>
      </c>
      <c r="Y22" s="3288">
        <f t="shared" si="9"/>
        <v>20000</v>
      </c>
      <c r="Z22" s="3289"/>
      <c r="AA22" s="3290"/>
      <c r="AB22" s="3290"/>
      <c r="AC22" s="3290"/>
      <c r="AD22" s="3296"/>
      <c r="AE22" s="3292"/>
      <c r="AF22" s="3277"/>
      <c r="AG22" s="3277"/>
      <c r="AH22" s="3277"/>
      <c r="AI22" s="3277"/>
      <c r="AJ22" s="3277"/>
      <c r="AK22" s="3293">
        <f t="shared" si="6"/>
        <v>20000</v>
      </c>
      <c r="AL22" s="3294">
        <f t="shared" si="5"/>
        <v>20000</v>
      </c>
      <c r="AM22" s="3273">
        <f t="shared" si="1"/>
        <v>0</v>
      </c>
    </row>
    <row r="23" spans="1:39" ht="38.25" customHeight="1">
      <c r="A23" s="3274">
        <v>17</v>
      </c>
      <c r="B23" s="3275" t="s">
        <v>179</v>
      </c>
      <c r="C23" s="3276"/>
      <c r="D23" s="3277" t="s">
        <v>1962</v>
      </c>
      <c r="E23" s="3278" t="s">
        <v>1963</v>
      </c>
      <c r="F23" s="3279" t="s">
        <v>1964</v>
      </c>
      <c r="G23" s="3274" t="s">
        <v>1965</v>
      </c>
      <c r="H23" s="3281">
        <v>7</v>
      </c>
      <c r="I23" s="3282"/>
      <c r="J23" s="3282"/>
      <c r="K23" s="3283" t="s">
        <v>1966</v>
      </c>
      <c r="L23" s="3284" t="s">
        <v>179</v>
      </c>
      <c r="M23" s="3285"/>
      <c r="N23" s="3297" t="s">
        <v>1990</v>
      </c>
      <c r="O23" s="3287">
        <v>23173</v>
      </c>
      <c r="P23" s="3284">
        <v>5</v>
      </c>
      <c r="Q23" s="3284" t="s">
        <v>1983</v>
      </c>
      <c r="R23" s="3284" t="s">
        <v>1968</v>
      </c>
      <c r="S23" s="1568">
        <v>4000</v>
      </c>
      <c r="T23" s="3287" t="s">
        <v>1984</v>
      </c>
      <c r="U23" s="3287">
        <v>2</v>
      </c>
      <c r="V23" s="3288">
        <f>S23*U23</f>
        <v>8000</v>
      </c>
      <c r="W23" s="3288">
        <v>0</v>
      </c>
      <c r="X23" s="3288">
        <f t="shared" si="3"/>
        <v>8000</v>
      </c>
      <c r="Y23" s="3288">
        <f t="shared" ref="Y23:Y29" si="10">X23+W23</f>
        <v>8000</v>
      </c>
      <c r="Z23" s="3289"/>
      <c r="AA23" s="3290"/>
      <c r="AB23" s="3290"/>
      <c r="AC23" s="3290"/>
      <c r="AD23" s="3296"/>
      <c r="AE23" s="3292"/>
      <c r="AF23" s="3277"/>
      <c r="AG23" s="3277"/>
      <c r="AH23" s="3277"/>
      <c r="AI23" s="3277"/>
      <c r="AJ23" s="3277"/>
      <c r="AK23" s="3293">
        <f t="shared" si="6"/>
        <v>8000</v>
      </c>
      <c r="AL23" s="3294">
        <f t="shared" si="5"/>
        <v>8000</v>
      </c>
      <c r="AM23" s="3273">
        <f t="shared" si="1"/>
        <v>0</v>
      </c>
    </row>
    <row r="24" spans="1:39" ht="41.25" customHeight="1">
      <c r="A24" s="3274">
        <v>18</v>
      </c>
      <c r="B24" s="3275" t="s">
        <v>179</v>
      </c>
      <c r="C24" s="3276"/>
      <c r="D24" s="3277" t="s">
        <v>1962</v>
      </c>
      <c r="E24" s="3278" t="s">
        <v>1963</v>
      </c>
      <c r="F24" s="3279" t="s">
        <v>1964</v>
      </c>
      <c r="G24" s="3274"/>
      <c r="H24" s="3281">
        <v>7</v>
      </c>
      <c r="I24" s="3282"/>
      <c r="J24" s="3282"/>
      <c r="K24" s="3283" t="s">
        <v>1966</v>
      </c>
      <c r="L24" s="3284" t="s">
        <v>179</v>
      </c>
      <c r="M24" s="3285"/>
      <c r="N24" s="3297" t="s">
        <v>1991</v>
      </c>
      <c r="O24" s="3287">
        <v>23173</v>
      </c>
      <c r="P24" s="3284">
        <v>5</v>
      </c>
      <c r="Q24" s="3284" t="s">
        <v>1950</v>
      </c>
      <c r="R24" s="3284" t="s">
        <v>1968</v>
      </c>
      <c r="S24" s="1568">
        <v>22000</v>
      </c>
      <c r="T24" s="3287" t="s">
        <v>1992</v>
      </c>
      <c r="U24" s="3287">
        <v>10</v>
      </c>
      <c r="V24" s="3288">
        <f t="shared" ref="V24" si="11">S24*U24</f>
        <v>220000</v>
      </c>
      <c r="W24" s="3288">
        <v>0</v>
      </c>
      <c r="X24" s="3288">
        <f t="shared" si="3"/>
        <v>220000</v>
      </c>
      <c r="Y24" s="3288">
        <f t="shared" si="10"/>
        <v>220000</v>
      </c>
      <c r="Z24" s="3289"/>
      <c r="AA24" s="3298"/>
      <c r="AB24" s="3291"/>
      <c r="AC24" s="3291"/>
      <c r="AD24" s="3296"/>
      <c r="AE24" s="3296"/>
      <c r="AF24" s="3295"/>
      <c r="AG24" s="3277"/>
      <c r="AH24" s="3277"/>
      <c r="AI24" s="3277"/>
      <c r="AJ24" s="3277"/>
      <c r="AK24" s="3293">
        <f t="shared" si="6"/>
        <v>220000</v>
      </c>
      <c r="AL24" s="3294">
        <f t="shared" si="5"/>
        <v>220000</v>
      </c>
      <c r="AM24" s="3273">
        <f t="shared" si="1"/>
        <v>0</v>
      </c>
    </row>
    <row r="25" spans="1:39" ht="38.25" hidden="1" customHeight="1">
      <c r="A25" s="3274">
        <v>19</v>
      </c>
      <c r="B25" s="3275" t="s">
        <v>179</v>
      </c>
      <c r="C25" s="3276"/>
      <c r="D25" s="3277" t="s">
        <v>1962</v>
      </c>
      <c r="E25" s="3278" t="s">
        <v>1963</v>
      </c>
      <c r="F25" s="3279" t="s">
        <v>1964</v>
      </c>
      <c r="G25" s="3274" t="s">
        <v>1965</v>
      </c>
      <c r="H25" s="3281">
        <v>7</v>
      </c>
      <c r="I25" s="3282"/>
      <c r="J25" s="3282"/>
      <c r="K25" s="3283" t="s">
        <v>1966</v>
      </c>
      <c r="L25" s="3284" t="s">
        <v>179</v>
      </c>
      <c r="M25" s="3285"/>
      <c r="N25" s="3286" t="s">
        <v>1993</v>
      </c>
      <c r="O25" s="3287">
        <v>23174</v>
      </c>
      <c r="P25" s="3284">
        <v>5</v>
      </c>
      <c r="Q25" s="3284" t="s">
        <v>1950</v>
      </c>
      <c r="R25" s="3284" t="s">
        <v>1968</v>
      </c>
      <c r="S25" s="1568">
        <v>36000</v>
      </c>
      <c r="T25" s="3287" t="s">
        <v>1969</v>
      </c>
      <c r="U25" s="3287">
        <v>3</v>
      </c>
      <c r="V25" s="3288">
        <f>S25*U25</f>
        <v>108000</v>
      </c>
      <c r="W25" s="3288">
        <v>0</v>
      </c>
      <c r="X25" s="3288">
        <f t="shared" si="3"/>
        <v>108000</v>
      </c>
      <c r="Y25" s="3288">
        <f t="shared" si="10"/>
        <v>108000</v>
      </c>
      <c r="Z25" s="3289"/>
      <c r="AA25" s="3290"/>
      <c r="AB25" s="3290"/>
      <c r="AC25" s="3290"/>
      <c r="AD25" s="3296"/>
      <c r="AE25" s="3292"/>
      <c r="AF25" s="3277"/>
      <c r="AG25" s="3277"/>
      <c r="AH25" s="3277"/>
      <c r="AI25" s="3277"/>
      <c r="AJ25" s="3277"/>
      <c r="AK25" s="3293">
        <f t="shared" si="6"/>
        <v>108000</v>
      </c>
      <c r="AL25" s="3294">
        <f>SUM(Z25:AK25)</f>
        <v>108000</v>
      </c>
      <c r="AM25" s="3273">
        <f t="shared" si="1"/>
        <v>0</v>
      </c>
    </row>
    <row r="26" spans="1:39" ht="38.25" hidden="1" customHeight="1">
      <c r="A26" s="3274">
        <v>20</v>
      </c>
      <c r="B26" s="3275" t="s">
        <v>179</v>
      </c>
      <c r="C26" s="3276"/>
      <c r="D26" s="3277" t="s">
        <v>1962</v>
      </c>
      <c r="E26" s="3278" t="s">
        <v>1963</v>
      </c>
      <c r="F26" s="3279" t="s">
        <v>1964</v>
      </c>
      <c r="G26" s="3274" t="s">
        <v>1965</v>
      </c>
      <c r="H26" s="3281">
        <v>7</v>
      </c>
      <c r="I26" s="3282"/>
      <c r="J26" s="3282"/>
      <c r="K26" s="3283" t="s">
        <v>1966</v>
      </c>
      <c r="L26" s="3284" t="s">
        <v>179</v>
      </c>
      <c r="M26" s="3285"/>
      <c r="N26" s="3286" t="s">
        <v>1994</v>
      </c>
      <c r="O26" s="3287">
        <v>23174</v>
      </c>
      <c r="P26" s="3284">
        <v>5</v>
      </c>
      <c r="Q26" s="3284" t="s">
        <v>1950</v>
      </c>
      <c r="R26" s="3284" t="s">
        <v>1968</v>
      </c>
      <c r="S26" s="1568">
        <v>40000</v>
      </c>
      <c r="T26" s="3287" t="s">
        <v>1995</v>
      </c>
      <c r="U26" s="3287">
        <v>2</v>
      </c>
      <c r="V26" s="3288">
        <f>S26*U26</f>
        <v>80000</v>
      </c>
      <c r="W26" s="3288">
        <v>0</v>
      </c>
      <c r="X26" s="3288">
        <f t="shared" si="3"/>
        <v>80000</v>
      </c>
      <c r="Y26" s="3288">
        <f t="shared" si="10"/>
        <v>80000</v>
      </c>
      <c r="Z26" s="3289"/>
      <c r="AA26" s="3290"/>
      <c r="AB26" s="3290"/>
      <c r="AC26" s="3290"/>
      <c r="AD26" s="3296"/>
      <c r="AE26" s="3292"/>
      <c r="AF26" s="3277"/>
      <c r="AG26" s="3277"/>
      <c r="AH26" s="3277"/>
      <c r="AI26" s="3277"/>
      <c r="AJ26" s="3277"/>
      <c r="AK26" s="3293">
        <f t="shared" si="6"/>
        <v>80000</v>
      </c>
      <c r="AL26" s="3294">
        <f t="shared" ref="AL26:AL27" si="12">SUM(Z26:AK26)</f>
        <v>80000</v>
      </c>
      <c r="AM26" s="3273">
        <f t="shared" si="1"/>
        <v>0</v>
      </c>
    </row>
    <row r="27" spans="1:39" ht="38.25" hidden="1" customHeight="1">
      <c r="A27" s="3274">
        <v>21</v>
      </c>
      <c r="B27" s="3275" t="s">
        <v>179</v>
      </c>
      <c r="C27" s="3276"/>
      <c r="D27" s="3277" t="s">
        <v>1962</v>
      </c>
      <c r="E27" s="3278" t="s">
        <v>1963</v>
      </c>
      <c r="F27" s="3279" t="s">
        <v>1964</v>
      </c>
      <c r="G27" s="3274" t="s">
        <v>1965</v>
      </c>
      <c r="H27" s="3281">
        <v>7</v>
      </c>
      <c r="I27" s="3282"/>
      <c r="J27" s="3282"/>
      <c r="K27" s="3283" t="s">
        <v>1966</v>
      </c>
      <c r="L27" s="3284" t="s">
        <v>179</v>
      </c>
      <c r="M27" s="3285"/>
      <c r="N27" s="3286" t="s">
        <v>1996</v>
      </c>
      <c r="O27" s="3287">
        <v>23174</v>
      </c>
      <c r="P27" s="3284">
        <v>5</v>
      </c>
      <c r="Q27" s="3284" t="s">
        <v>1950</v>
      </c>
      <c r="R27" s="3284" t="s">
        <v>1968</v>
      </c>
      <c r="S27" s="1568">
        <f>15000*2</f>
        <v>30000</v>
      </c>
      <c r="T27" s="3287" t="s">
        <v>1973</v>
      </c>
      <c r="U27" s="3287">
        <v>1</v>
      </c>
      <c r="V27" s="3288">
        <f>S27*U27</f>
        <v>30000</v>
      </c>
      <c r="W27" s="3288">
        <v>0</v>
      </c>
      <c r="X27" s="3288">
        <f t="shared" si="3"/>
        <v>30000</v>
      </c>
      <c r="Y27" s="3288">
        <f t="shared" si="10"/>
        <v>30000</v>
      </c>
      <c r="Z27" s="3289"/>
      <c r="AA27" s="3290"/>
      <c r="AB27" s="3290"/>
      <c r="AC27" s="3290"/>
      <c r="AD27" s="3296"/>
      <c r="AE27" s="3292"/>
      <c r="AF27" s="3277"/>
      <c r="AG27" s="3277"/>
      <c r="AH27" s="3277"/>
      <c r="AI27" s="3277"/>
      <c r="AJ27" s="3277"/>
      <c r="AK27" s="3293">
        <f t="shared" si="6"/>
        <v>30000</v>
      </c>
      <c r="AL27" s="3294">
        <f t="shared" si="12"/>
        <v>30000</v>
      </c>
      <c r="AM27" s="3273">
        <f t="shared" si="1"/>
        <v>0</v>
      </c>
    </row>
    <row r="28" spans="1:39" ht="38.25" hidden="1" customHeight="1">
      <c r="A28" s="3274">
        <v>22</v>
      </c>
      <c r="B28" s="3275" t="s">
        <v>179</v>
      </c>
      <c r="C28" s="3276"/>
      <c r="D28" s="3277" t="s">
        <v>1962</v>
      </c>
      <c r="E28" s="3278" t="s">
        <v>1963</v>
      </c>
      <c r="F28" s="3279" t="s">
        <v>1964</v>
      </c>
      <c r="G28" s="3274" t="s">
        <v>1965</v>
      </c>
      <c r="H28" s="3281">
        <v>7</v>
      </c>
      <c r="I28" s="3282"/>
      <c r="J28" s="3282"/>
      <c r="K28" s="3283" t="s">
        <v>1966</v>
      </c>
      <c r="L28" s="3284" t="s">
        <v>179</v>
      </c>
      <c r="M28" s="3285"/>
      <c r="N28" s="3286" t="s">
        <v>1997</v>
      </c>
      <c r="O28" s="3287">
        <v>23174</v>
      </c>
      <c r="P28" s="3284">
        <v>5</v>
      </c>
      <c r="Q28" s="3284" t="s">
        <v>1950</v>
      </c>
      <c r="R28" s="3284" t="s">
        <v>1968</v>
      </c>
      <c r="S28" s="1568">
        <v>36000</v>
      </c>
      <c r="T28" s="3287" t="s">
        <v>1998</v>
      </c>
      <c r="U28" s="3287">
        <v>3</v>
      </c>
      <c r="V28" s="3288">
        <f t="shared" ref="V28" si="13">S28*U28</f>
        <v>108000</v>
      </c>
      <c r="W28" s="3288">
        <v>0</v>
      </c>
      <c r="X28" s="3288">
        <f t="shared" si="3"/>
        <v>108000</v>
      </c>
      <c r="Y28" s="3288">
        <f t="shared" si="10"/>
        <v>108000</v>
      </c>
      <c r="Z28" s="3289"/>
      <c r="AA28" s="3290"/>
      <c r="AB28" s="3290"/>
      <c r="AC28" s="3290"/>
      <c r="AD28" s="3296"/>
      <c r="AE28" s="3292"/>
      <c r="AF28" s="3277"/>
      <c r="AG28" s="3277"/>
      <c r="AH28" s="3277"/>
      <c r="AI28" s="3277"/>
      <c r="AJ28" s="3277"/>
      <c r="AK28" s="3293">
        <f t="shared" si="6"/>
        <v>108000</v>
      </c>
      <c r="AL28" s="3294">
        <f>SUM(Z28:AK28)</f>
        <v>108000</v>
      </c>
      <c r="AM28" s="3273">
        <f t="shared" si="1"/>
        <v>0</v>
      </c>
    </row>
    <row r="29" spans="1:39" ht="38.25" hidden="1" customHeight="1">
      <c r="A29" s="3274">
        <v>23</v>
      </c>
      <c r="B29" s="3275" t="s">
        <v>179</v>
      </c>
      <c r="C29" s="3276"/>
      <c r="D29" s="3277" t="s">
        <v>1962</v>
      </c>
      <c r="E29" s="3278" t="s">
        <v>1963</v>
      </c>
      <c r="F29" s="3279" t="s">
        <v>1964</v>
      </c>
      <c r="G29" s="3274" t="s">
        <v>1965</v>
      </c>
      <c r="H29" s="3281">
        <v>7</v>
      </c>
      <c r="I29" s="3282"/>
      <c r="J29" s="3282"/>
      <c r="K29" s="3283" t="s">
        <v>1966</v>
      </c>
      <c r="L29" s="3284" t="s">
        <v>179</v>
      </c>
      <c r="M29" s="3285"/>
      <c r="N29" s="3286" t="s">
        <v>1999</v>
      </c>
      <c r="O29" s="3287">
        <v>23174</v>
      </c>
      <c r="P29" s="3284">
        <v>5</v>
      </c>
      <c r="Q29" s="3284" t="s">
        <v>1950</v>
      </c>
      <c r="R29" s="3284" t="s">
        <v>1968</v>
      </c>
      <c r="S29" s="1568">
        <v>20000</v>
      </c>
      <c r="T29" s="3287" t="s">
        <v>2000</v>
      </c>
      <c r="U29" s="3287">
        <v>2</v>
      </c>
      <c r="V29" s="3288">
        <f>S29*U29</f>
        <v>40000</v>
      </c>
      <c r="W29" s="3288">
        <v>0</v>
      </c>
      <c r="X29" s="3288">
        <f t="shared" si="3"/>
        <v>40000</v>
      </c>
      <c r="Y29" s="3288">
        <f t="shared" si="10"/>
        <v>40000</v>
      </c>
      <c r="Z29" s="3289"/>
      <c r="AA29" s="3290"/>
      <c r="AB29" s="3290"/>
      <c r="AC29" s="3290"/>
      <c r="AD29" s="3296"/>
      <c r="AE29" s="3292"/>
      <c r="AF29" s="3277"/>
      <c r="AG29" s="3277"/>
      <c r="AH29" s="3277"/>
      <c r="AI29" s="3277"/>
      <c r="AJ29" s="3277"/>
      <c r="AK29" s="3293">
        <f t="shared" si="6"/>
        <v>40000</v>
      </c>
      <c r="AL29" s="3294">
        <f t="shared" ref="AL29" si="14">SUM(Z29:AK29)</f>
        <v>40000</v>
      </c>
      <c r="AM29" s="3273">
        <f t="shared" si="1"/>
        <v>0</v>
      </c>
    </row>
    <row r="30" spans="1:39" ht="44.25" hidden="1" customHeight="1">
      <c r="A30" s="3274">
        <v>24</v>
      </c>
      <c r="B30" s="3275" t="s">
        <v>179</v>
      </c>
      <c r="C30" s="3276"/>
      <c r="D30" s="3277" t="s">
        <v>1962</v>
      </c>
      <c r="E30" s="3278" t="s">
        <v>1963</v>
      </c>
      <c r="F30" s="3279" t="s">
        <v>1964</v>
      </c>
      <c r="G30" s="3274" t="s">
        <v>1965</v>
      </c>
      <c r="H30" s="3281">
        <v>7</v>
      </c>
      <c r="I30" s="3282"/>
      <c r="J30" s="3282"/>
      <c r="K30" s="3299" t="s">
        <v>1966</v>
      </c>
      <c r="L30" s="3284" t="s">
        <v>179</v>
      </c>
      <c r="M30" s="3279"/>
      <c r="N30" s="3286" t="s">
        <v>2001</v>
      </c>
      <c r="O30" s="3287">
        <v>23174</v>
      </c>
      <c r="P30" s="3284">
        <v>5</v>
      </c>
      <c r="Q30" s="3284" t="s">
        <v>1950</v>
      </c>
      <c r="R30" s="3284" t="s">
        <v>1968</v>
      </c>
      <c r="S30" s="1568">
        <f>10000*2</f>
        <v>20000</v>
      </c>
      <c r="T30" s="3287" t="s">
        <v>1973</v>
      </c>
      <c r="U30" s="3287">
        <v>1</v>
      </c>
      <c r="V30" s="3288">
        <f t="shared" si="2"/>
        <v>20000</v>
      </c>
      <c r="W30" s="3288">
        <v>0</v>
      </c>
      <c r="X30" s="3288">
        <f t="shared" si="3"/>
        <v>20000</v>
      </c>
      <c r="Y30" s="3288">
        <f>X30+W30</f>
        <v>20000</v>
      </c>
      <c r="Z30" s="3289"/>
      <c r="AA30" s="3290"/>
      <c r="AB30" s="3290"/>
      <c r="AC30" s="3290"/>
      <c r="AD30" s="3296"/>
      <c r="AE30" s="3292"/>
      <c r="AF30" s="3277"/>
      <c r="AG30" s="3277"/>
      <c r="AH30" s="3277"/>
      <c r="AI30" s="3277"/>
      <c r="AJ30" s="3277"/>
      <c r="AK30" s="3293">
        <f t="shared" si="6"/>
        <v>20000</v>
      </c>
      <c r="AL30" s="3294">
        <f>SUM(Z30:AK30)</f>
        <v>20000</v>
      </c>
      <c r="AM30" s="3273">
        <f>+AL30-V30</f>
        <v>0</v>
      </c>
    </row>
    <row r="31" spans="1:39" ht="44.25" hidden="1" customHeight="1">
      <c r="A31" s="3274">
        <v>25</v>
      </c>
      <c r="B31" s="3275" t="s">
        <v>179</v>
      </c>
      <c r="C31" s="3276"/>
      <c r="D31" s="3277" t="s">
        <v>1962</v>
      </c>
      <c r="E31" s="3278" t="s">
        <v>2002</v>
      </c>
      <c r="F31" s="3279" t="s">
        <v>2003</v>
      </c>
      <c r="G31" s="3274" t="s">
        <v>1965</v>
      </c>
      <c r="H31" s="3281">
        <v>4</v>
      </c>
      <c r="I31" s="3282"/>
      <c r="J31" s="3282"/>
      <c r="K31" s="3283" t="s">
        <v>1966</v>
      </c>
      <c r="L31" s="3284" t="s">
        <v>179</v>
      </c>
      <c r="M31" s="3285"/>
      <c r="N31" s="3286" t="s">
        <v>2004</v>
      </c>
      <c r="O31" s="3287">
        <v>23174</v>
      </c>
      <c r="P31" s="3284">
        <v>5</v>
      </c>
      <c r="Q31" s="3284" t="s">
        <v>1950</v>
      </c>
      <c r="R31" s="3284" t="s">
        <v>1968</v>
      </c>
      <c r="S31" s="1568">
        <v>36000</v>
      </c>
      <c r="T31" s="3300" t="s">
        <v>1998</v>
      </c>
      <c r="U31" s="3287">
        <f>3*218</f>
        <v>654</v>
      </c>
      <c r="V31" s="3288">
        <f t="shared" si="2"/>
        <v>23544000</v>
      </c>
      <c r="W31" s="3288">
        <v>0</v>
      </c>
      <c r="X31" s="3288">
        <f t="shared" si="3"/>
        <v>23544000</v>
      </c>
      <c r="Y31" s="3288">
        <f t="shared" ref="Y31:Y32" si="15">X31+W31</f>
        <v>23544000</v>
      </c>
      <c r="Z31" s="3301">
        <f>Y31</f>
        <v>23544000</v>
      </c>
      <c r="AA31" s="3290"/>
      <c r="AB31" s="3290"/>
      <c r="AC31" s="3290"/>
      <c r="AD31" s="3296"/>
      <c r="AE31" s="3292"/>
      <c r="AF31" s="3277"/>
      <c r="AG31" s="3277"/>
      <c r="AH31" s="3277"/>
      <c r="AI31" s="3277"/>
      <c r="AJ31" s="3277"/>
      <c r="AK31" s="3277"/>
      <c r="AL31" s="3294">
        <f t="shared" ref="AL31:AL32" si="16">SUM(Z31:AK31)</f>
        <v>23544000</v>
      </c>
      <c r="AM31" s="3273">
        <f t="shared" ref="AM31:AM32" si="17">+AL31-V31</f>
        <v>0</v>
      </c>
    </row>
    <row r="32" spans="1:39" ht="38.25" hidden="1" customHeight="1">
      <c r="A32" s="3274">
        <v>26</v>
      </c>
      <c r="B32" s="3275" t="s">
        <v>179</v>
      </c>
      <c r="C32" s="3276"/>
      <c r="D32" s="3277" t="s">
        <v>1962</v>
      </c>
      <c r="E32" s="3278" t="s">
        <v>2002</v>
      </c>
      <c r="F32" s="3279" t="s">
        <v>2003</v>
      </c>
      <c r="G32" s="3274" t="s">
        <v>1965</v>
      </c>
      <c r="H32" s="3281">
        <v>4</v>
      </c>
      <c r="I32" s="3282"/>
      <c r="J32" s="3282"/>
      <c r="K32" s="3283" t="s">
        <v>1966</v>
      </c>
      <c r="L32" s="3284" t="s">
        <v>179</v>
      </c>
      <c r="M32" s="3285"/>
      <c r="N32" s="3286" t="s">
        <v>2005</v>
      </c>
      <c r="O32" s="3287">
        <v>23174</v>
      </c>
      <c r="P32" s="3284">
        <v>5</v>
      </c>
      <c r="Q32" s="3284" t="s">
        <v>1950</v>
      </c>
      <c r="R32" s="3284" t="s">
        <v>1968</v>
      </c>
      <c r="S32" s="1568">
        <v>150</v>
      </c>
      <c r="T32" s="3287" t="s">
        <v>2006</v>
      </c>
      <c r="U32" s="3287">
        <f>46*218</f>
        <v>10028</v>
      </c>
      <c r="V32" s="3288">
        <f>S32*U32</f>
        <v>1504200</v>
      </c>
      <c r="W32" s="3288">
        <v>0</v>
      </c>
      <c r="X32" s="3288">
        <f t="shared" si="3"/>
        <v>1504200</v>
      </c>
      <c r="Y32" s="3288">
        <f t="shared" si="15"/>
        <v>1504200</v>
      </c>
      <c r="Z32" s="3301">
        <f t="shared" ref="Z32:Z51" si="18">Y32</f>
        <v>1504200</v>
      </c>
      <c r="AA32" s="3290"/>
      <c r="AB32" s="3290"/>
      <c r="AC32" s="3290"/>
      <c r="AD32" s="3296"/>
      <c r="AE32" s="3292"/>
      <c r="AF32" s="3277"/>
      <c r="AG32" s="3277"/>
      <c r="AH32" s="3277"/>
      <c r="AI32" s="3277"/>
      <c r="AJ32" s="3277"/>
      <c r="AK32" s="3277"/>
      <c r="AL32" s="3294">
        <f t="shared" si="16"/>
        <v>1504200</v>
      </c>
      <c r="AM32" s="3273">
        <f t="shared" si="17"/>
        <v>0</v>
      </c>
    </row>
    <row r="33" spans="1:39" ht="51.6" hidden="1" customHeight="1">
      <c r="A33" s="3274">
        <v>27</v>
      </c>
      <c r="B33" s="3275" t="s">
        <v>179</v>
      </c>
      <c r="C33" s="3276"/>
      <c r="D33" s="3277" t="s">
        <v>1962</v>
      </c>
      <c r="E33" s="3278" t="s">
        <v>2002</v>
      </c>
      <c r="F33" s="3279" t="s">
        <v>2003</v>
      </c>
      <c r="G33" s="3274" t="s">
        <v>1965</v>
      </c>
      <c r="H33" s="3281">
        <v>4</v>
      </c>
      <c r="I33" s="3282"/>
      <c r="J33" s="3282"/>
      <c r="K33" s="3283" t="s">
        <v>1966</v>
      </c>
      <c r="L33" s="3284" t="s">
        <v>179</v>
      </c>
      <c r="M33" s="3285"/>
      <c r="N33" s="3286" t="s">
        <v>2007</v>
      </c>
      <c r="O33" s="3287">
        <v>23174</v>
      </c>
      <c r="P33" s="3284">
        <v>5</v>
      </c>
      <c r="Q33" s="3284" t="s">
        <v>1950</v>
      </c>
      <c r="R33" s="3284" t="s">
        <v>1968</v>
      </c>
      <c r="S33" s="1568">
        <v>36000</v>
      </c>
      <c r="T33" s="3300" t="s">
        <v>1998</v>
      </c>
      <c r="U33" s="3287">
        <f>5*20</f>
        <v>100</v>
      </c>
      <c r="V33" s="3288">
        <f t="shared" si="2"/>
        <v>3600000</v>
      </c>
      <c r="W33" s="3288">
        <v>0</v>
      </c>
      <c r="X33" s="3288">
        <f t="shared" si="3"/>
        <v>3600000</v>
      </c>
      <c r="Y33" s="3288">
        <f>X33+W33</f>
        <v>3600000</v>
      </c>
      <c r="Z33" s="3301">
        <f t="shared" si="18"/>
        <v>3600000</v>
      </c>
      <c r="AA33" s="3290"/>
      <c r="AB33" s="3290"/>
      <c r="AC33" s="3290"/>
      <c r="AD33" s="3296"/>
      <c r="AE33" s="3292"/>
      <c r="AF33" s="3277"/>
      <c r="AG33" s="3277"/>
      <c r="AH33" s="3277"/>
      <c r="AI33" s="3277"/>
      <c r="AJ33" s="3277"/>
      <c r="AK33" s="3277"/>
      <c r="AL33" s="3294">
        <f>SUM(Z33:AK33)</f>
        <v>3600000</v>
      </c>
      <c r="AM33" s="3273">
        <f>+AL33-V33</f>
        <v>0</v>
      </c>
    </row>
    <row r="34" spans="1:39" ht="44.25" hidden="1" customHeight="1">
      <c r="A34" s="3274">
        <v>28</v>
      </c>
      <c r="B34" s="3275" t="s">
        <v>179</v>
      </c>
      <c r="C34" s="3276"/>
      <c r="D34" s="3277" t="s">
        <v>1962</v>
      </c>
      <c r="E34" s="3278" t="s">
        <v>2002</v>
      </c>
      <c r="F34" s="3279" t="s">
        <v>2003</v>
      </c>
      <c r="G34" s="3274" t="s">
        <v>1965</v>
      </c>
      <c r="H34" s="3281">
        <v>4</v>
      </c>
      <c r="I34" s="3282"/>
      <c r="J34" s="3282"/>
      <c r="K34" s="3283" t="s">
        <v>1966</v>
      </c>
      <c r="L34" s="3284" t="s">
        <v>179</v>
      </c>
      <c r="M34" s="3285"/>
      <c r="N34" s="3286" t="s">
        <v>2008</v>
      </c>
      <c r="O34" s="3287">
        <v>23174</v>
      </c>
      <c r="P34" s="3284">
        <v>5</v>
      </c>
      <c r="Q34" s="3284" t="s">
        <v>1950</v>
      </c>
      <c r="R34" s="3284" t="s">
        <v>1968</v>
      </c>
      <c r="S34" s="1568">
        <v>20000</v>
      </c>
      <c r="T34" s="3287" t="s">
        <v>1971</v>
      </c>
      <c r="U34" s="3287">
        <f>4*20</f>
        <v>80</v>
      </c>
      <c r="V34" s="3288">
        <f t="shared" si="2"/>
        <v>1600000</v>
      </c>
      <c r="W34" s="3288">
        <v>0</v>
      </c>
      <c r="X34" s="3288">
        <f t="shared" si="3"/>
        <v>1600000</v>
      </c>
      <c r="Y34" s="3288">
        <f t="shared" ref="Y34:Y51" si="19">X34+W34</f>
        <v>1600000</v>
      </c>
      <c r="Z34" s="3301">
        <f t="shared" si="18"/>
        <v>1600000</v>
      </c>
      <c r="AA34" s="3290"/>
      <c r="AB34" s="3290"/>
      <c r="AC34" s="3290"/>
      <c r="AD34" s="3296"/>
      <c r="AE34" s="3292"/>
      <c r="AF34" s="3277"/>
      <c r="AG34" s="3277"/>
      <c r="AH34" s="3277"/>
      <c r="AI34" s="3277"/>
      <c r="AJ34" s="3277"/>
      <c r="AK34" s="3277"/>
      <c r="AL34" s="3294">
        <f t="shared" ref="AL34:AL51" si="20">SUM(Z34:AK34)</f>
        <v>1600000</v>
      </c>
      <c r="AM34" s="3273">
        <f t="shared" ref="AM34:AM51" si="21">+AL34-V34</f>
        <v>0</v>
      </c>
    </row>
    <row r="35" spans="1:39" ht="51.6" hidden="1" customHeight="1">
      <c r="A35" s="3274">
        <v>29</v>
      </c>
      <c r="B35" s="3275" t="s">
        <v>179</v>
      </c>
      <c r="C35" s="3276"/>
      <c r="D35" s="3277" t="s">
        <v>1962</v>
      </c>
      <c r="E35" s="3278" t="s">
        <v>2002</v>
      </c>
      <c r="F35" s="3279" t="s">
        <v>2003</v>
      </c>
      <c r="G35" s="3274" t="s">
        <v>1965</v>
      </c>
      <c r="H35" s="3281">
        <v>4</v>
      </c>
      <c r="I35" s="3282"/>
      <c r="J35" s="3282"/>
      <c r="K35" s="3283" t="s">
        <v>1966</v>
      </c>
      <c r="L35" s="3284" t="s">
        <v>179</v>
      </c>
      <c r="M35" s="3285"/>
      <c r="N35" s="3286" t="s">
        <v>2009</v>
      </c>
      <c r="O35" s="3287">
        <v>23174</v>
      </c>
      <c r="P35" s="3284">
        <v>5</v>
      </c>
      <c r="Q35" s="3284" t="s">
        <v>1950</v>
      </c>
      <c r="R35" s="3284" t="s">
        <v>1968</v>
      </c>
      <c r="S35" s="1568">
        <v>5900</v>
      </c>
      <c r="T35" s="3300" t="s">
        <v>2010</v>
      </c>
      <c r="U35" s="3287">
        <f>4/100*40*15</f>
        <v>24</v>
      </c>
      <c r="V35" s="3288">
        <f>S35*U35</f>
        <v>141600</v>
      </c>
      <c r="W35" s="3288">
        <v>0</v>
      </c>
      <c r="X35" s="3288">
        <f t="shared" si="3"/>
        <v>141600</v>
      </c>
      <c r="Y35" s="3288">
        <f t="shared" si="19"/>
        <v>141600</v>
      </c>
      <c r="Z35" s="3301">
        <f t="shared" si="18"/>
        <v>141600</v>
      </c>
      <c r="AA35" s="3290"/>
      <c r="AB35" s="3290"/>
      <c r="AC35" s="3290"/>
      <c r="AD35" s="3296"/>
      <c r="AE35" s="3292"/>
      <c r="AF35" s="3277"/>
      <c r="AG35" s="3277"/>
      <c r="AH35" s="3277"/>
      <c r="AI35" s="3277"/>
      <c r="AJ35" s="3277"/>
      <c r="AK35" s="3277"/>
      <c r="AL35" s="3294">
        <f t="shared" si="20"/>
        <v>141600</v>
      </c>
      <c r="AM35" s="3273">
        <f t="shared" si="21"/>
        <v>0</v>
      </c>
    </row>
    <row r="36" spans="1:39" ht="44.25" hidden="1" customHeight="1">
      <c r="A36" s="3274">
        <v>30</v>
      </c>
      <c r="B36" s="3275" t="s">
        <v>179</v>
      </c>
      <c r="C36" s="3276"/>
      <c r="D36" s="3277" t="s">
        <v>1962</v>
      </c>
      <c r="E36" s="3278" t="s">
        <v>2002</v>
      </c>
      <c r="F36" s="3279" t="s">
        <v>2003</v>
      </c>
      <c r="G36" s="3274" t="s">
        <v>1965</v>
      </c>
      <c r="H36" s="3281">
        <v>4</v>
      </c>
      <c r="I36" s="3282"/>
      <c r="J36" s="3282"/>
      <c r="K36" s="3283" t="s">
        <v>1966</v>
      </c>
      <c r="L36" s="3284" t="s">
        <v>179</v>
      </c>
      <c r="M36" s="3285"/>
      <c r="N36" s="3286" t="s">
        <v>2011</v>
      </c>
      <c r="O36" s="3287">
        <v>23174</v>
      </c>
      <c r="P36" s="3284">
        <v>5</v>
      </c>
      <c r="Q36" s="3284" t="s">
        <v>1950</v>
      </c>
      <c r="R36" s="3284" t="s">
        <v>1968</v>
      </c>
      <c r="S36" s="1568">
        <f>10000*2</f>
        <v>20000</v>
      </c>
      <c r="T36" s="3300" t="s">
        <v>1973</v>
      </c>
      <c r="U36" s="3287">
        <v>6</v>
      </c>
      <c r="V36" s="3288">
        <f t="shared" si="2"/>
        <v>120000</v>
      </c>
      <c r="W36" s="3288">
        <v>0</v>
      </c>
      <c r="X36" s="3288">
        <f t="shared" si="3"/>
        <v>120000</v>
      </c>
      <c r="Y36" s="3288">
        <f t="shared" si="19"/>
        <v>120000</v>
      </c>
      <c r="Z36" s="3301">
        <f t="shared" si="18"/>
        <v>120000</v>
      </c>
      <c r="AA36" s="3290"/>
      <c r="AB36" s="3290"/>
      <c r="AC36" s="3290"/>
      <c r="AD36" s="3296"/>
      <c r="AE36" s="3292"/>
      <c r="AF36" s="3277"/>
      <c r="AG36" s="3277"/>
      <c r="AH36" s="3277"/>
      <c r="AI36" s="3277"/>
      <c r="AJ36" s="3277"/>
      <c r="AK36" s="3277"/>
      <c r="AL36" s="3294">
        <f t="shared" si="20"/>
        <v>120000</v>
      </c>
      <c r="AM36" s="3273">
        <f t="shared" si="21"/>
        <v>0</v>
      </c>
    </row>
    <row r="37" spans="1:39" ht="38.25" hidden="1" customHeight="1">
      <c r="A37" s="3274">
        <v>31</v>
      </c>
      <c r="B37" s="3275" t="s">
        <v>179</v>
      </c>
      <c r="C37" s="3276"/>
      <c r="D37" s="3277" t="s">
        <v>1962</v>
      </c>
      <c r="E37" s="3278" t="s">
        <v>2002</v>
      </c>
      <c r="F37" s="3279" t="s">
        <v>2003</v>
      </c>
      <c r="G37" s="3274" t="s">
        <v>1965</v>
      </c>
      <c r="H37" s="3281">
        <v>4</v>
      </c>
      <c r="I37" s="3282"/>
      <c r="J37" s="3282"/>
      <c r="K37" s="3283" t="s">
        <v>1966</v>
      </c>
      <c r="L37" s="3284" t="s">
        <v>179</v>
      </c>
      <c r="M37" s="3285"/>
      <c r="N37" s="3286" t="s">
        <v>2011</v>
      </c>
      <c r="O37" s="3287">
        <v>23174</v>
      </c>
      <c r="P37" s="3284">
        <v>5</v>
      </c>
      <c r="Q37" s="3284" t="s">
        <v>1950</v>
      </c>
      <c r="R37" s="3284" t="s">
        <v>1968</v>
      </c>
      <c r="S37" s="1568">
        <f>15000*2</f>
        <v>30000</v>
      </c>
      <c r="T37" s="3287" t="s">
        <v>1973</v>
      </c>
      <c r="U37" s="1703">
        <v>6</v>
      </c>
      <c r="V37" s="3288">
        <f>S37*U37</f>
        <v>180000</v>
      </c>
      <c r="W37" s="3288">
        <v>0</v>
      </c>
      <c r="X37" s="3288">
        <f t="shared" si="3"/>
        <v>180000</v>
      </c>
      <c r="Y37" s="3288">
        <f t="shared" si="19"/>
        <v>180000</v>
      </c>
      <c r="Z37" s="3301">
        <f t="shared" si="18"/>
        <v>180000</v>
      </c>
      <c r="AA37" s="3290"/>
      <c r="AB37" s="3290"/>
      <c r="AC37" s="3290"/>
      <c r="AD37" s="3296"/>
      <c r="AE37" s="3292"/>
      <c r="AF37" s="3277"/>
      <c r="AG37" s="3277"/>
      <c r="AH37" s="3277"/>
      <c r="AI37" s="3277"/>
      <c r="AJ37" s="3277"/>
      <c r="AK37" s="3277"/>
      <c r="AL37" s="3294">
        <f t="shared" si="20"/>
        <v>180000</v>
      </c>
      <c r="AM37" s="3273">
        <f t="shared" si="21"/>
        <v>0</v>
      </c>
    </row>
    <row r="38" spans="1:39" ht="38.25" hidden="1" customHeight="1">
      <c r="A38" s="3274">
        <v>32</v>
      </c>
      <c r="B38" s="3275" t="s">
        <v>179</v>
      </c>
      <c r="C38" s="3276"/>
      <c r="D38" s="3277" t="s">
        <v>1962</v>
      </c>
      <c r="E38" s="3278" t="s">
        <v>2002</v>
      </c>
      <c r="F38" s="3279" t="s">
        <v>2003</v>
      </c>
      <c r="G38" s="3274" t="s">
        <v>1965</v>
      </c>
      <c r="H38" s="3281">
        <v>4</v>
      </c>
      <c r="I38" s="3282"/>
      <c r="J38" s="3282"/>
      <c r="K38" s="3283" t="s">
        <v>1966</v>
      </c>
      <c r="L38" s="3284" t="s">
        <v>179</v>
      </c>
      <c r="M38" s="3285"/>
      <c r="N38" s="3286" t="s">
        <v>2012</v>
      </c>
      <c r="O38" s="3287">
        <v>23174</v>
      </c>
      <c r="P38" s="3284">
        <v>5</v>
      </c>
      <c r="Q38" s="3284" t="s">
        <v>1950</v>
      </c>
      <c r="R38" s="3284" t="s">
        <v>1968</v>
      </c>
      <c r="S38" s="1568">
        <f>20000*2</f>
        <v>40000</v>
      </c>
      <c r="T38" s="3287" t="s">
        <v>1973</v>
      </c>
      <c r="U38" s="1703">
        <v>3</v>
      </c>
      <c r="V38" s="3288">
        <f>S38*U38</f>
        <v>120000</v>
      </c>
      <c r="W38" s="3288">
        <v>0</v>
      </c>
      <c r="X38" s="3288">
        <f t="shared" si="3"/>
        <v>120000</v>
      </c>
      <c r="Y38" s="3288">
        <f t="shared" si="19"/>
        <v>120000</v>
      </c>
      <c r="Z38" s="3301">
        <f t="shared" si="18"/>
        <v>120000</v>
      </c>
      <c r="AA38" s="3290"/>
      <c r="AB38" s="3290"/>
      <c r="AC38" s="3290"/>
      <c r="AD38" s="3296"/>
      <c r="AE38" s="3292"/>
      <c r="AF38" s="3277"/>
      <c r="AG38" s="3277"/>
      <c r="AH38" s="3277"/>
      <c r="AI38" s="3277"/>
      <c r="AJ38" s="3277"/>
      <c r="AK38" s="3277"/>
      <c r="AL38" s="3294">
        <f t="shared" si="20"/>
        <v>120000</v>
      </c>
      <c r="AM38" s="3273">
        <f t="shared" si="21"/>
        <v>0</v>
      </c>
    </row>
    <row r="39" spans="1:39" ht="38.25" hidden="1" customHeight="1">
      <c r="A39" s="3274">
        <v>33</v>
      </c>
      <c r="B39" s="3275" t="s">
        <v>179</v>
      </c>
      <c r="C39" s="3276"/>
      <c r="D39" s="3277" t="s">
        <v>1962</v>
      </c>
      <c r="E39" s="3278" t="s">
        <v>1963</v>
      </c>
      <c r="F39" s="3279" t="s">
        <v>2003</v>
      </c>
      <c r="G39" s="3274" t="s">
        <v>1965</v>
      </c>
      <c r="H39" s="3281">
        <v>3</v>
      </c>
      <c r="I39" s="3282"/>
      <c r="J39" s="3282"/>
      <c r="K39" s="3283" t="s">
        <v>1966</v>
      </c>
      <c r="L39" s="3284" t="s">
        <v>179</v>
      </c>
      <c r="M39" s="3285"/>
      <c r="N39" s="3286" t="s">
        <v>1993</v>
      </c>
      <c r="O39" s="3287">
        <v>23174</v>
      </c>
      <c r="P39" s="3284">
        <v>5</v>
      </c>
      <c r="Q39" s="3284" t="s">
        <v>1950</v>
      </c>
      <c r="R39" s="3284" t="s">
        <v>1968</v>
      </c>
      <c r="S39" s="1568">
        <v>36000</v>
      </c>
      <c r="T39" s="3287" t="s">
        <v>1969</v>
      </c>
      <c r="U39" s="3287">
        <v>3</v>
      </c>
      <c r="V39" s="3288">
        <f>S39*U39</f>
        <v>108000</v>
      </c>
      <c r="W39" s="3288">
        <v>0</v>
      </c>
      <c r="X39" s="3288">
        <f t="shared" si="3"/>
        <v>108000</v>
      </c>
      <c r="Y39" s="3288">
        <f t="shared" si="19"/>
        <v>108000</v>
      </c>
      <c r="Z39" s="3301">
        <f t="shared" si="18"/>
        <v>108000</v>
      </c>
      <c r="AA39" s="3290"/>
      <c r="AB39" s="3290"/>
      <c r="AC39" s="3290"/>
      <c r="AD39" s="3296"/>
      <c r="AE39" s="3292"/>
      <c r="AF39" s="3277"/>
      <c r="AG39" s="3277"/>
      <c r="AH39" s="3277"/>
      <c r="AI39" s="3277"/>
      <c r="AJ39" s="3277"/>
      <c r="AK39" s="3277"/>
      <c r="AL39" s="3294">
        <f>SUM(Z39:AK39)</f>
        <v>108000</v>
      </c>
      <c r="AM39" s="3273">
        <f t="shared" si="21"/>
        <v>0</v>
      </c>
    </row>
    <row r="40" spans="1:39" ht="38.25" hidden="1" customHeight="1">
      <c r="A40" s="3274">
        <v>34</v>
      </c>
      <c r="B40" s="3275" t="s">
        <v>179</v>
      </c>
      <c r="C40" s="3276"/>
      <c r="D40" s="3277" t="s">
        <v>1962</v>
      </c>
      <c r="E40" s="3278" t="s">
        <v>1963</v>
      </c>
      <c r="F40" s="3279" t="s">
        <v>2003</v>
      </c>
      <c r="G40" s="3274" t="s">
        <v>1965</v>
      </c>
      <c r="H40" s="3281">
        <v>3</v>
      </c>
      <c r="I40" s="3282"/>
      <c r="J40" s="3282"/>
      <c r="K40" s="3283" t="s">
        <v>1966</v>
      </c>
      <c r="L40" s="3284" t="s">
        <v>179</v>
      </c>
      <c r="M40" s="3285"/>
      <c r="N40" s="3286" t="s">
        <v>1994</v>
      </c>
      <c r="O40" s="3287">
        <v>23174</v>
      </c>
      <c r="P40" s="3284">
        <v>5</v>
      </c>
      <c r="Q40" s="3284" t="s">
        <v>1950</v>
      </c>
      <c r="R40" s="3284" t="s">
        <v>1968</v>
      </c>
      <c r="S40" s="1568">
        <v>40000</v>
      </c>
      <c r="T40" s="3287" t="s">
        <v>1995</v>
      </c>
      <c r="U40" s="3287">
        <v>2</v>
      </c>
      <c r="V40" s="3288">
        <f>S40*U40</f>
        <v>80000</v>
      </c>
      <c r="W40" s="3288">
        <v>0</v>
      </c>
      <c r="X40" s="3288">
        <f t="shared" si="3"/>
        <v>80000</v>
      </c>
      <c r="Y40" s="3288">
        <f t="shared" si="19"/>
        <v>80000</v>
      </c>
      <c r="Z40" s="3301">
        <f t="shared" si="18"/>
        <v>80000</v>
      </c>
      <c r="AA40" s="3290"/>
      <c r="AB40" s="3290"/>
      <c r="AC40" s="3290"/>
      <c r="AD40" s="3296"/>
      <c r="AE40" s="3292"/>
      <c r="AF40" s="3277"/>
      <c r="AG40" s="3277"/>
      <c r="AH40" s="3277"/>
      <c r="AI40" s="3277"/>
      <c r="AJ40" s="3277"/>
      <c r="AK40" s="3277"/>
      <c r="AL40" s="3294">
        <f t="shared" ref="AL40:AL41" si="22">SUM(Z40:AK40)</f>
        <v>80000</v>
      </c>
      <c r="AM40" s="3273">
        <f t="shared" si="21"/>
        <v>0</v>
      </c>
    </row>
    <row r="41" spans="1:39" ht="38.25" hidden="1" customHeight="1">
      <c r="A41" s="3274">
        <v>35</v>
      </c>
      <c r="B41" s="3275" t="s">
        <v>179</v>
      </c>
      <c r="C41" s="3276"/>
      <c r="D41" s="3277" t="s">
        <v>1962</v>
      </c>
      <c r="E41" s="3278" t="s">
        <v>1963</v>
      </c>
      <c r="F41" s="3279" t="s">
        <v>2003</v>
      </c>
      <c r="G41" s="3274" t="s">
        <v>1965</v>
      </c>
      <c r="H41" s="3281">
        <v>3</v>
      </c>
      <c r="I41" s="3282"/>
      <c r="J41" s="3282"/>
      <c r="K41" s="3283" t="s">
        <v>1966</v>
      </c>
      <c r="L41" s="3284" t="s">
        <v>179</v>
      </c>
      <c r="M41" s="3285"/>
      <c r="N41" s="3286" t="s">
        <v>1996</v>
      </c>
      <c r="O41" s="3287">
        <v>23174</v>
      </c>
      <c r="P41" s="3284">
        <v>5</v>
      </c>
      <c r="Q41" s="3284" t="s">
        <v>1950</v>
      </c>
      <c r="R41" s="3284" t="s">
        <v>1968</v>
      </c>
      <c r="S41" s="1568">
        <f>15000*2</f>
        <v>30000</v>
      </c>
      <c r="T41" s="3287" t="s">
        <v>1973</v>
      </c>
      <c r="U41" s="3287">
        <v>1</v>
      </c>
      <c r="V41" s="3288">
        <f>S41*U41</f>
        <v>30000</v>
      </c>
      <c r="W41" s="3288">
        <v>0</v>
      </c>
      <c r="X41" s="3288">
        <f t="shared" si="3"/>
        <v>30000</v>
      </c>
      <c r="Y41" s="3288">
        <f t="shared" si="19"/>
        <v>30000</v>
      </c>
      <c r="Z41" s="3301">
        <f t="shared" si="18"/>
        <v>30000</v>
      </c>
      <c r="AA41" s="3290"/>
      <c r="AB41" s="3290"/>
      <c r="AC41" s="3290"/>
      <c r="AD41" s="3296"/>
      <c r="AE41" s="3292"/>
      <c r="AF41" s="3277"/>
      <c r="AG41" s="3277"/>
      <c r="AH41" s="3277"/>
      <c r="AI41" s="3277"/>
      <c r="AJ41" s="3277"/>
      <c r="AK41" s="3277"/>
      <c r="AL41" s="3294">
        <f t="shared" si="22"/>
        <v>30000</v>
      </c>
      <c r="AM41" s="3273">
        <f t="shared" si="21"/>
        <v>0</v>
      </c>
    </row>
    <row r="42" spans="1:39" ht="38.25" hidden="1" customHeight="1">
      <c r="A42" s="3274">
        <v>36</v>
      </c>
      <c r="B42" s="3275" t="s">
        <v>179</v>
      </c>
      <c r="C42" s="3276"/>
      <c r="D42" s="3277" t="s">
        <v>1962</v>
      </c>
      <c r="E42" s="3278" t="s">
        <v>2002</v>
      </c>
      <c r="F42" s="3279" t="s">
        <v>2003</v>
      </c>
      <c r="G42" s="3274" t="s">
        <v>1965</v>
      </c>
      <c r="H42" s="3281">
        <v>3</v>
      </c>
      <c r="I42" s="3282"/>
      <c r="J42" s="3282"/>
      <c r="K42" s="3283" t="s">
        <v>1966</v>
      </c>
      <c r="L42" s="3284" t="s">
        <v>179</v>
      </c>
      <c r="M42" s="3285"/>
      <c r="N42" s="3286" t="s">
        <v>1999</v>
      </c>
      <c r="O42" s="3287">
        <v>23174</v>
      </c>
      <c r="P42" s="3284">
        <v>5</v>
      </c>
      <c r="Q42" s="3284" t="s">
        <v>1950</v>
      </c>
      <c r="R42" s="3284" t="s">
        <v>1968</v>
      </c>
      <c r="S42" s="1568">
        <v>20000</v>
      </c>
      <c r="T42" s="3287" t="s">
        <v>2000</v>
      </c>
      <c r="U42" s="3287">
        <f>2*5</f>
        <v>10</v>
      </c>
      <c r="V42" s="3288">
        <f t="shared" si="2"/>
        <v>200000</v>
      </c>
      <c r="W42" s="3288">
        <v>0</v>
      </c>
      <c r="X42" s="3288">
        <f t="shared" si="3"/>
        <v>200000</v>
      </c>
      <c r="Y42" s="3288">
        <f t="shared" si="19"/>
        <v>200000</v>
      </c>
      <c r="Z42" s="3301">
        <f t="shared" si="18"/>
        <v>200000</v>
      </c>
      <c r="AA42" s="3290"/>
      <c r="AB42" s="3290"/>
      <c r="AC42" s="3290"/>
      <c r="AD42" s="3296"/>
      <c r="AE42" s="3292"/>
      <c r="AF42" s="3277"/>
      <c r="AG42" s="3277"/>
      <c r="AH42" s="3277"/>
      <c r="AI42" s="3277"/>
      <c r="AJ42" s="3277"/>
      <c r="AK42" s="3277"/>
      <c r="AL42" s="3294">
        <f>SUM(Z42:AK42)</f>
        <v>200000</v>
      </c>
      <c r="AM42" s="3273">
        <f t="shared" si="21"/>
        <v>0</v>
      </c>
    </row>
    <row r="43" spans="1:39" ht="38.25" hidden="1" customHeight="1">
      <c r="A43" s="3274">
        <v>37</v>
      </c>
      <c r="B43" s="3275" t="s">
        <v>179</v>
      </c>
      <c r="C43" s="3276"/>
      <c r="D43" s="3277" t="s">
        <v>1962</v>
      </c>
      <c r="E43" s="3278" t="s">
        <v>2002</v>
      </c>
      <c r="F43" s="3279" t="s">
        <v>2003</v>
      </c>
      <c r="G43" s="3274" t="s">
        <v>1965</v>
      </c>
      <c r="H43" s="3281">
        <v>3</v>
      </c>
      <c r="I43" s="3282"/>
      <c r="J43" s="3282"/>
      <c r="K43" s="3283" t="s">
        <v>1966</v>
      </c>
      <c r="L43" s="3284" t="s">
        <v>179</v>
      </c>
      <c r="M43" s="3285"/>
      <c r="N43" s="3286" t="s">
        <v>2013</v>
      </c>
      <c r="O43" s="3287">
        <v>23174</v>
      </c>
      <c r="P43" s="3284">
        <v>5</v>
      </c>
      <c r="Q43" s="3284" t="s">
        <v>1950</v>
      </c>
      <c r="R43" s="3284" t="s">
        <v>1968</v>
      </c>
      <c r="S43" s="1568">
        <f>10000*2</f>
        <v>20000</v>
      </c>
      <c r="T43" s="3287" t="s">
        <v>1973</v>
      </c>
      <c r="U43" s="3287">
        <v>2</v>
      </c>
      <c r="V43" s="3288">
        <f>S43*U43</f>
        <v>40000</v>
      </c>
      <c r="W43" s="3288">
        <v>0</v>
      </c>
      <c r="X43" s="3288">
        <f t="shared" si="3"/>
        <v>40000</v>
      </c>
      <c r="Y43" s="3288">
        <f t="shared" si="19"/>
        <v>40000</v>
      </c>
      <c r="Z43" s="3301">
        <f t="shared" si="18"/>
        <v>40000</v>
      </c>
      <c r="AA43" s="3290"/>
      <c r="AB43" s="3290"/>
      <c r="AC43" s="3290"/>
      <c r="AD43" s="3296"/>
      <c r="AE43" s="3292"/>
      <c r="AF43" s="3277"/>
      <c r="AG43" s="3277"/>
      <c r="AH43" s="3277"/>
      <c r="AI43" s="3277"/>
      <c r="AJ43" s="3277"/>
      <c r="AK43" s="3277"/>
      <c r="AL43" s="3294">
        <f t="shared" si="20"/>
        <v>40000</v>
      </c>
      <c r="AM43" s="3273">
        <f t="shared" si="21"/>
        <v>0</v>
      </c>
    </row>
    <row r="44" spans="1:39" ht="38.25" hidden="1" customHeight="1">
      <c r="A44" s="3274">
        <v>38</v>
      </c>
      <c r="B44" s="3275" t="s">
        <v>179</v>
      </c>
      <c r="C44" s="3276"/>
      <c r="D44" s="3277" t="s">
        <v>1962</v>
      </c>
      <c r="E44" s="3278" t="s">
        <v>2002</v>
      </c>
      <c r="F44" s="3279" t="s">
        <v>2003</v>
      </c>
      <c r="G44" s="3274" t="s">
        <v>1965</v>
      </c>
      <c r="H44" s="3281">
        <v>3</v>
      </c>
      <c r="I44" s="3282"/>
      <c r="J44" s="3282"/>
      <c r="K44" s="3283" t="s">
        <v>1966</v>
      </c>
      <c r="L44" s="3284" t="s">
        <v>179</v>
      </c>
      <c r="M44" s="3285"/>
      <c r="N44" s="3286" t="s">
        <v>2013</v>
      </c>
      <c r="O44" s="3287">
        <v>23174</v>
      </c>
      <c r="P44" s="3284">
        <v>5</v>
      </c>
      <c r="Q44" s="3284" t="s">
        <v>1950</v>
      </c>
      <c r="R44" s="3284" t="s">
        <v>1968</v>
      </c>
      <c r="S44" s="1568">
        <f>15000*2</f>
        <v>30000</v>
      </c>
      <c r="T44" s="3287" t="s">
        <v>1973</v>
      </c>
      <c r="U44" s="3287">
        <v>2</v>
      </c>
      <c r="V44" s="3288">
        <f>S44*U44</f>
        <v>60000</v>
      </c>
      <c r="W44" s="3288"/>
      <c r="X44" s="3288">
        <f t="shared" si="3"/>
        <v>60000</v>
      </c>
      <c r="Y44" s="3288">
        <f t="shared" si="19"/>
        <v>60000</v>
      </c>
      <c r="Z44" s="3301">
        <f t="shared" si="18"/>
        <v>60000</v>
      </c>
      <c r="AA44" s="3290"/>
      <c r="AB44" s="3290"/>
      <c r="AC44" s="3290"/>
      <c r="AD44" s="3296"/>
      <c r="AE44" s="3292"/>
      <c r="AF44" s="3277"/>
      <c r="AG44" s="3277"/>
      <c r="AH44" s="3277"/>
      <c r="AI44" s="3277"/>
      <c r="AJ44" s="3277"/>
      <c r="AK44" s="3277"/>
      <c r="AL44" s="3294">
        <f t="shared" si="20"/>
        <v>60000</v>
      </c>
      <c r="AM44" s="3273"/>
    </row>
    <row r="45" spans="1:39" ht="38.25" hidden="1" customHeight="1">
      <c r="A45" s="3274">
        <v>39</v>
      </c>
      <c r="B45" s="3275" t="s">
        <v>179</v>
      </c>
      <c r="C45" s="3276"/>
      <c r="D45" s="3277" t="s">
        <v>1962</v>
      </c>
      <c r="E45" s="3278" t="s">
        <v>2002</v>
      </c>
      <c r="F45" s="3279" t="s">
        <v>2003</v>
      </c>
      <c r="G45" s="3274" t="s">
        <v>1965</v>
      </c>
      <c r="H45" s="3281">
        <v>3</v>
      </c>
      <c r="I45" s="3282"/>
      <c r="J45" s="3282"/>
      <c r="K45" s="3283" t="s">
        <v>1966</v>
      </c>
      <c r="L45" s="3284" t="s">
        <v>179</v>
      </c>
      <c r="M45" s="3285"/>
      <c r="N45" s="3286" t="s">
        <v>2014</v>
      </c>
      <c r="O45" s="3287">
        <v>23174</v>
      </c>
      <c r="P45" s="3284">
        <v>5</v>
      </c>
      <c r="Q45" s="3284" t="s">
        <v>1950</v>
      </c>
      <c r="R45" s="3284" t="s">
        <v>1968</v>
      </c>
      <c r="S45" s="1568">
        <f>20000*2</f>
        <v>40000</v>
      </c>
      <c r="T45" s="3287" t="s">
        <v>1973</v>
      </c>
      <c r="U45" s="3287">
        <v>1</v>
      </c>
      <c r="V45" s="3288">
        <f>S45*U45</f>
        <v>40000</v>
      </c>
      <c r="W45" s="3288"/>
      <c r="X45" s="3288">
        <f t="shared" si="3"/>
        <v>40000</v>
      </c>
      <c r="Y45" s="3288">
        <f t="shared" si="19"/>
        <v>40000</v>
      </c>
      <c r="Z45" s="3301">
        <f t="shared" si="18"/>
        <v>40000</v>
      </c>
      <c r="AA45" s="3290"/>
      <c r="AB45" s="3290"/>
      <c r="AC45" s="3290"/>
      <c r="AD45" s="3296"/>
      <c r="AE45" s="3292"/>
      <c r="AF45" s="3277"/>
      <c r="AG45" s="3277"/>
      <c r="AH45" s="3277"/>
      <c r="AI45" s="3277"/>
      <c r="AJ45" s="3277"/>
      <c r="AK45" s="3277"/>
      <c r="AL45" s="3294">
        <f t="shared" si="20"/>
        <v>40000</v>
      </c>
      <c r="AM45" s="3273"/>
    </row>
    <row r="46" spans="1:39">
      <c r="A46" s="3274">
        <v>40</v>
      </c>
      <c r="B46" s="3275" t="s">
        <v>179</v>
      </c>
      <c r="C46" s="3276"/>
      <c r="D46" s="3277" t="s">
        <v>1962</v>
      </c>
      <c r="E46" s="3278" t="s">
        <v>2002</v>
      </c>
      <c r="F46" s="3279" t="s">
        <v>2003</v>
      </c>
      <c r="G46" s="3274" t="s">
        <v>1965</v>
      </c>
      <c r="H46" s="3281">
        <v>4</v>
      </c>
      <c r="I46" s="3282"/>
      <c r="J46" s="3282"/>
      <c r="K46" s="3283" t="s">
        <v>1966</v>
      </c>
      <c r="L46" s="3284" t="s">
        <v>179</v>
      </c>
      <c r="M46" s="3285"/>
      <c r="N46" s="3286" t="s">
        <v>1982</v>
      </c>
      <c r="O46" s="3287">
        <v>23173</v>
      </c>
      <c r="P46" s="3284">
        <v>5</v>
      </c>
      <c r="Q46" s="3284" t="s">
        <v>1950</v>
      </c>
      <c r="R46" s="3284" t="s">
        <v>1968</v>
      </c>
      <c r="S46" s="1568">
        <v>3000</v>
      </c>
      <c r="T46" s="3287" t="s">
        <v>1984</v>
      </c>
      <c r="U46" s="3287">
        <v>220</v>
      </c>
      <c r="V46" s="3288">
        <f t="shared" si="2"/>
        <v>660000</v>
      </c>
      <c r="W46" s="3288">
        <v>0</v>
      </c>
      <c r="X46" s="3288">
        <f t="shared" si="3"/>
        <v>660000</v>
      </c>
      <c r="Y46" s="3288">
        <f t="shared" si="19"/>
        <v>660000</v>
      </c>
      <c r="Z46" s="3301">
        <f t="shared" si="18"/>
        <v>660000</v>
      </c>
      <c r="AA46" s="3290"/>
      <c r="AB46" s="3290"/>
      <c r="AC46" s="3290"/>
      <c r="AD46" s="3296"/>
      <c r="AE46" s="3292"/>
      <c r="AF46" s="3277"/>
      <c r="AG46" s="3277"/>
      <c r="AH46" s="3277"/>
      <c r="AI46" s="3277"/>
      <c r="AJ46" s="3277"/>
      <c r="AK46" s="3277"/>
      <c r="AL46" s="3294">
        <f t="shared" si="20"/>
        <v>660000</v>
      </c>
      <c r="AM46" s="3273">
        <f t="shared" si="21"/>
        <v>0</v>
      </c>
    </row>
    <row r="47" spans="1:39">
      <c r="A47" s="3274">
        <v>41</v>
      </c>
      <c r="B47" s="3275" t="s">
        <v>179</v>
      </c>
      <c r="C47" s="3276"/>
      <c r="D47" s="3277" t="s">
        <v>1962</v>
      </c>
      <c r="E47" s="3278" t="s">
        <v>2002</v>
      </c>
      <c r="F47" s="3279" t="s">
        <v>2003</v>
      </c>
      <c r="G47" s="3274" t="s">
        <v>1965</v>
      </c>
      <c r="H47" s="3281">
        <v>4</v>
      </c>
      <c r="I47" s="3282"/>
      <c r="J47" s="3282"/>
      <c r="K47" s="3283" t="s">
        <v>1966</v>
      </c>
      <c r="L47" s="3284" t="s">
        <v>179</v>
      </c>
      <c r="M47" s="3285"/>
      <c r="N47" s="3286" t="s">
        <v>1985</v>
      </c>
      <c r="O47" s="3287">
        <v>23173</v>
      </c>
      <c r="P47" s="3284">
        <v>5</v>
      </c>
      <c r="Q47" s="3284" t="s">
        <v>1950</v>
      </c>
      <c r="R47" s="3284" t="s">
        <v>1968</v>
      </c>
      <c r="S47" s="1568">
        <v>1000</v>
      </c>
      <c r="T47" s="3287" t="s">
        <v>1984</v>
      </c>
      <c r="U47" s="3287">
        <v>440</v>
      </c>
      <c r="V47" s="3288">
        <f t="shared" si="2"/>
        <v>440000</v>
      </c>
      <c r="W47" s="3288">
        <v>0</v>
      </c>
      <c r="X47" s="3288">
        <f t="shared" si="3"/>
        <v>440000</v>
      </c>
      <c r="Y47" s="3288">
        <f t="shared" si="19"/>
        <v>440000</v>
      </c>
      <c r="Z47" s="3301">
        <f t="shared" si="18"/>
        <v>440000</v>
      </c>
      <c r="AA47" s="3290"/>
      <c r="AB47" s="3290"/>
      <c r="AC47" s="3290"/>
      <c r="AD47" s="3296"/>
      <c r="AE47" s="3292"/>
      <c r="AF47" s="3277"/>
      <c r="AG47" s="3277"/>
      <c r="AH47" s="3277"/>
      <c r="AI47" s="3277"/>
      <c r="AJ47" s="3277"/>
      <c r="AK47" s="3277"/>
      <c r="AL47" s="3294">
        <f t="shared" si="20"/>
        <v>440000</v>
      </c>
      <c r="AM47" s="3273">
        <f t="shared" si="21"/>
        <v>0</v>
      </c>
    </row>
    <row r="48" spans="1:39">
      <c r="A48" s="3274">
        <v>42</v>
      </c>
      <c r="B48" s="3275" t="s">
        <v>179</v>
      </c>
      <c r="C48" s="3276"/>
      <c r="D48" s="3277" t="s">
        <v>1962</v>
      </c>
      <c r="E48" s="3278" t="s">
        <v>2002</v>
      </c>
      <c r="F48" s="3279" t="s">
        <v>2003</v>
      </c>
      <c r="G48" s="3274" t="s">
        <v>1965</v>
      </c>
      <c r="H48" s="3281">
        <v>4</v>
      </c>
      <c r="I48" s="3282"/>
      <c r="J48" s="3282"/>
      <c r="K48" s="3283" t="s">
        <v>1966</v>
      </c>
      <c r="L48" s="3284" t="s">
        <v>179</v>
      </c>
      <c r="M48" s="3285"/>
      <c r="N48" s="3286" t="s">
        <v>1986</v>
      </c>
      <c r="O48" s="3287">
        <v>23173</v>
      </c>
      <c r="P48" s="3284">
        <v>5</v>
      </c>
      <c r="Q48" s="3284" t="s">
        <v>1950</v>
      </c>
      <c r="R48" s="3284" t="s">
        <v>1968</v>
      </c>
      <c r="S48" s="1568">
        <v>20000</v>
      </c>
      <c r="T48" s="3287" t="s">
        <v>1987</v>
      </c>
      <c r="U48" s="3287">
        <v>4</v>
      </c>
      <c r="V48" s="3288">
        <f t="shared" si="2"/>
        <v>80000</v>
      </c>
      <c r="W48" s="3288">
        <v>0</v>
      </c>
      <c r="X48" s="3288">
        <f t="shared" si="3"/>
        <v>80000</v>
      </c>
      <c r="Y48" s="3288">
        <f t="shared" si="19"/>
        <v>80000</v>
      </c>
      <c r="Z48" s="3301">
        <f t="shared" si="18"/>
        <v>80000</v>
      </c>
      <c r="AA48" s="3290"/>
      <c r="AB48" s="3290"/>
      <c r="AC48" s="3290"/>
      <c r="AD48" s="3296"/>
      <c r="AE48" s="3292"/>
      <c r="AF48" s="3277"/>
      <c r="AG48" s="3277"/>
      <c r="AH48" s="3277"/>
      <c r="AI48" s="3277"/>
      <c r="AJ48" s="3277"/>
      <c r="AK48" s="3277"/>
      <c r="AL48" s="3294">
        <f t="shared" si="20"/>
        <v>80000</v>
      </c>
      <c r="AM48" s="3273">
        <f t="shared" si="21"/>
        <v>0</v>
      </c>
    </row>
    <row r="49" spans="1:39">
      <c r="A49" s="3274">
        <v>43</v>
      </c>
      <c r="B49" s="3275" t="s">
        <v>179</v>
      </c>
      <c r="C49" s="3276"/>
      <c r="D49" s="3277" t="s">
        <v>1962</v>
      </c>
      <c r="E49" s="3278" t="s">
        <v>2002</v>
      </c>
      <c r="F49" s="3279" t="s">
        <v>2003</v>
      </c>
      <c r="G49" s="3274" t="s">
        <v>1965</v>
      </c>
      <c r="H49" s="3281">
        <v>4</v>
      </c>
      <c r="I49" s="3282"/>
      <c r="J49" s="3282"/>
      <c r="K49" s="3283" t="s">
        <v>1966</v>
      </c>
      <c r="L49" s="3284" t="s">
        <v>179</v>
      </c>
      <c r="M49" s="3285"/>
      <c r="N49" s="3286" t="s">
        <v>1988</v>
      </c>
      <c r="O49" s="3287">
        <v>23173</v>
      </c>
      <c r="P49" s="3284">
        <v>5</v>
      </c>
      <c r="Q49" s="3284" t="s">
        <v>1950</v>
      </c>
      <c r="R49" s="3284" t="s">
        <v>1968</v>
      </c>
      <c r="S49" s="1568">
        <v>10000</v>
      </c>
      <c r="T49" s="3287" t="s">
        <v>1989</v>
      </c>
      <c r="U49" s="3287">
        <v>4</v>
      </c>
      <c r="V49" s="3288">
        <f t="shared" si="2"/>
        <v>40000</v>
      </c>
      <c r="W49" s="3288">
        <v>0</v>
      </c>
      <c r="X49" s="3288">
        <f t="shared" si="3"/>
        <v>40000</v>
      </c>
      <c r="Y49" s="3288">
        <f t="shared" si="19"/>
        <v>40000</v>
      </c>
      <c r="Z49" s="3301">
        <f t="shared" si="18"/>
        <v>40000</v>
      </c>
      <c r="AA49" s="3290"/>
      <c r="AB49" s="3290"/>
      <c r="AC49" s="3290"/>
      <c r="AD49" s="3296"/>
      <c r="AE49" s="3292"/>
      <c r="AF49" s="3277"/>
      <c r="AG49" s="3277"/>
      <c r="AH49" s="3277"/>
      <c r="AI49" s="3277"/>
      <c r="AJ49" s="3277"/>
      <c r="AK49" s="3277"/>
      <c r="AL49" s="3294">
        <f t="shared" si="20"/>
        <v>40000</v>
      </c>
      <c r="AM49" s="3273">
        <f t="shared" si="21"/>
        <v>0</v>
      </c>
    </row>
    <row r="50" spans="1:39">
      <c r="A50" s="3274">
        <v>44</v>
      </c>
      <c r="B50" s="3275" t="s">
        <v>179</v>
      </c>
      <c r="C50" s="3276"/>
      <c r="D50" s="3277" t="s">
        <v>1962</v>
      </c>
      <c r="E50" s="3278" t="s">
        <v>2002</v>
      </c>
      <c r="F50" s="3279" t="s">
        <v>2003</v>
      </c>
      <c r="G50" s="3274" t="s">
        <v>1965</v>
      </c>
      <c r="H50" s="3281">
        <v>4</v>
      </c>
      <c r="I50" s="3282"/>
      <c r="J50" s="3282"/>
      <c r="K50" s="3283" t="s">
        <v>1966</v>
      </c>
      <c r="L50" s="3284" t="s">
        <v>179</v>
      </c>
      <c r="M50" s="3285"/>
      <c r="N50" s="3297" t="s">
        <v>1990</v>
      </c>
      <c r="O50" s="3287">
        <v>23173</v>
      </c>
      <c r="P50" s="3284">
        <v>5</v>
      </c>
      <c r="Q50" s="3284" t="s">
        <v>1950</v>
      </c>
      <c r="R50" s="3284" t="s">
        <v>1968</v>
      </c>
      <c r="S50" s="1568">
        <v>4000</v>
      </c>
      <c r="T50" s="3287" t="s">
        <v>1984</v>
      </c>
      <c r="U50" s="3287">
        <v>4</v>
      </c>
      <c r="V50" s="3288">
        <f t="shared" si="2"/>
        <v>16000</v>
      </c>
      <c r="W50" s="3288">
        <v>0</v>
      </c>
      <c r="X50" s="3288">
        <f t="shared" si="3"/>
        <v>16000</v>
      </c>
      <c r="Y50" s="3288">
        <f t="shared" si="19"/>
        <v>16000</v>
      </c>
      <c r="Z50" s="3301">
        <f t="shared" si="18"/>
        <v>16000</v>
      </c>
      <c r="AA50" s="3290"/>
      <c r="AB50" s="3290"/>
      <c r="AC50" s="3290"/>
      <c r="AD50" s="3296"/>
      <c r="AE50" s="3292"/>
      <c r="AF50" s="3277"/>
      <c r="AG50" s="3277"/>
      <c r="AH50" s="3277"/>
      <c r="AI50" s="3277"/>
      <c r="AJ50" s="3277"/>
      <c r="AK50" s="3277"/>
      <c r="AL50" s="3294">
        <f t="shared" si="20"/>
        <v>16000</v>
      </c>
      <c r="AM50" s="3273">
        <f t="shared" si="21"/>
        <v>0</v>
      </c>
    </row>
    <row r="51" spans="1:39" ht="44.25" customHeight="1">
      <c r="A51" s="3274">
        <v>46</v>
      </c>
      <c r="B51" s="3275" t="s">
        <v>179</v>
      </c>
      <c r="C51" s="3276"/>
      <c r="D51" s="3277" t="s">
        <v>1962</v>
      </c>
      <c r="E51" s="3278" t="s">
        <v>2002</v>
      </c>
      <c r="F51" s="3279" t="s">
        <v>2003</v>
      </c>
      <c r="G51" s="3274" t="s">
        <v>1965</v>
      </c>
      <c r="H51" s="3281">
        <v>4</v>
      </c>
      <c r="I51" s="3282"/>
      <c r="J51" s="3282"/>
      <c r="K51" s="3283" t="s">
        <v>1966</v>
      </c>
      <c r="L51" s="3284" t="s">
        <v>179</v>
      </c>
      <c r="M51" s="3285"/>
      <c r="N51" s="3302" t="s">
        <v>2015</v>
      </c>
      <c r="O51" s="3287">
        <v>23173</v>
      </c>
      <c r="P51" s="3284">
        <v>5</v>
      </c>
      <c r="Q51" s="3284" t="s">
        <v>1950</v>
      </c>
      <c r="R51" s="3284" t="s">
        <v>1968</v>
      </c>
      <c r="S51" s="1568">
        <v>100</v>
      </c>
      <c r="T51" s="3300" t="s">
        <v>2016</v>
      </c>
      <c r="U51" s="3287">
        <f>218*90</f>
        <v>19620</v>
      </c>
      <c r="V51" s="3288">
        <f t="shared" si="2"/>
        <v>1962000</v>
      </c>
      <c r="W51" s="3288">
        <v>0</v>
      </c>
      <c r="X51" s="3288">
        <f t="shared" si="3"/>
        <v>1962000</v>
      </c>
      <c r="Y51" s="3288">
        <f t="shared" si="19"/>
        <v>1962000</v>
      </c>
      <c r="Z51" s="3301">
        <f t="shared" si="18"/>
        <v>1962000</v>
      </c>
      <c r="AA51" s="3290"/>
      <c r="AB51" s="3290"/>
      <c r="AC51" s="3290"/>
      <c r="AD51" s="3296"/>
      <c r="AE51" s="3292"/>
      <c r="AF51" s="3277"/>
      <c r="AG51" s="3277"/>
      <c r="AH51" s="3277"/>
      <c r="AI51" s="3277"/>
      <c r="AJ51" s="3277"/>
      <c r="AK51" s="3277"/>
      <c r="AL51" s="3294">
        <f t="shared" si="20"/>
        <v>1962000</v>
      </c>
      <c r="AM51" s="3273">
        <f t="shared" si="21"/>
        <v>0</v>
      </c>
    </row>
    <row r="52" spans="1:39" s="3314" customFormat="1" ht="32.25" hidden="1" customHeight="1">
      <c r="A52" s="3256">
        <v>47</v>
      </c>
      <c r="B52" s="3257" t="s">
        <v>179</v>
      </c>
      <c r="C52" s="3303"/>
      <c r="D52" s="3303"/>
      <c r="E52" s="3304" t="s">
        <v>2017</v>
      </c>
      <c r="F52" s="3304" t="s">
        <v>2018</v>
      </c>
      <c r="G52" s="3304"/>
      <c r="H52" s="3305"/>
      <c r="I52" s="3306"/>
      <c r="J52" s="3307"/>
      <c r="K52" s="3308"/>
      <c r="L52" s="3304"/>
      <c r="M52" s="3304"/>
      <c r="N52" s="3304"/>
      <c r="O52" s="3304"/>
      <c r="P52" s="3304"/>
      <c r="Q52" s="3304"/>
      <c r="R52" s="3304"/>
      <c r="S52" s="3309"/>
      <c r="T52" s="3310"/>
      <c r="U52" s="3311"/>
      <c r="V52" s="3312">
        <v>0</v>
      </c>
      <c r="W52" s="3312"/>
      <c r="X52" s="3312">
        <v>0</v>
      </c>
      <c r="Y52" s="3312">
        <v>0</v>
      </c>
      <c r="Z52" s="3312"/>
      <c r="AA52" s="3312"/>
      <c r="AB52" s="3312"/>
      <c r="AC52" s="3312"/>
      <c r="AD52" s="3312"/>
      <c r="AE52" s="3312"/>
      <c r="AF52" s="3312"/>
      <c r="AG52" s="3312"/>
      <c r="AH52" s="3312"/>
      <c r="AI52" s="3312"/>
      <c r="AJ52" s="3312"/>
      <c r="AK52" s="3312"/>
      <c r="AL52" s="3313">
        <f>SUM(Z52:AK52)</f>
        <v>0</v>
      </c>
    </row>
    <row r="53" spans="1:39" ht="62.25" hidden="1" customHeight="1">
      <c r="A53" s="3274">
        <v>48</v>
      </c>
      <c r="B53" s="3275" t="s">
        <v>179</v>
      </c>
      <c r="C53" s="3276"/>
      <c r="D53" s="3277" t="s">
        <v>1962</v>
      </c>
      <c r="E53" s="3300" t="s">
        <v>2019</v>
      </c>
      <c r="F53" s="3300" t="s">
        <v>2020</v>
      </c>
      <c r="G53" s="3274" t="s">
        <v>1965</v>
      </c>
      <c r="H53" s="3315">
        <v>5</v>
      </c>
      <c r="I53" s="3282"/>
      <c r="J53" s="3282"/>
      <c r="K53" s="3283" t="s">
        <v>1966</v>
      </c>
      <c r="L53" s="3284" t="s">
        <v>179</v>
      </c>
      <c r="M53" s="3316"/>
      <c r="N53" s="3286" t="s">
        <v>2021</v>
      </c>
      <c r="O53" s="3287">
        <v>23174</v>
      </c>
      <c r="P53" s="3284">
        <v>5</v>
      </c>
      <c r="Q53" s="3284" t="s">
        <v>1950</v>
      </c>
      <c r="R53" s="3284" t="s">
        <v>1968</v>
      </c>
      <c r="S53" s="1568">
        <v>36000</v>
      </c>
      <c r="T53" s="3300" t="s">
        <v>1998</v>
      </c>
      <c r="U53" s="3287">
        <f>5*42</f>
        <v>210</v>
      </c>
      <c r="V53" s="3288">
        <f t="shared" ref="V53:V61" si="23">S53*U53</f>
        <v>7560000</v>
      </c>
      <c r="W53" s="3288">
        <v>0</v>
      </c>
      <c r="X53" s="3288">
        <f t="shared" ref="X53:X73" si="24">V53-W53</f>
        <v>7560000</v>
      </c>
      <c r="Y53" s="3288">
        <f t="shared" ref="Y53:Y73" si="25">X53+W53</f>
        <v>7560000</v>
      </c>
      <c r="Z53" s="3298"/>
      <c r="AA53" s="3317">
        <f>Y53</f>
        <v>7560000</v>
      </c>
      <c r="AB53" s="3318"/>
      <c r="AC53" s="3318"/>
      <c r="AD53" s="3288"/>
      <c r="AE53" s="3294"/>
      <c r="AF53" s="3294"/>
      <c r="AG53" s="3294"/>
      <c r="AH53" s="3294"/>
      <c r="AI53" s="3318"/>
      <c r="AJ53" s="3294"/>
      <c r="AK53" s="3294"/>
      <c r="AL53" s="3294">
        <f t="shared" ref="AL53:AL62" si="26">SUM(Z53:AK53)</f>
        <v>7560000</v>
      </c>
      <c r="AM53" s="3273">
        <f t="shared" ref="AM53:AM97" si="27">+AL53-V53</f>
        <v>0</v>
      </c>
    </row>
    <row r="54" spans="1:39" ht="55.5" hidden="1" customHeight="1">
      <c r="A54" s="3274">
        <v>49</v>
      </c>
      <c r="B54" s="3275" t="s">
        <v>179</v>
      </c>
      <c r="C54" s="3276"/>
      <c r="D54" s="3277" t="s">
        <v>1962</v>
      </c>
      <c r="E54" s="3300" t="s">
        <v>2019</v>
      </c>
      <c r="F54" s="3300" t="s">
        <v>2020</v>
      </c>
      <c r="G54" s="3274" t="s">
        <v>1965</v>
      </c>
      <c r="H54" s="3315">
        <v>5</v>
      </c>
      <c r="I54" s="3282"/>
      <c r="J54" s="3282"/>
      <c r="K54" s="3283" t="s">
        <v>1966</v>
      </c>
      <c r="L54" s="3284" t="s">
        <v>179</v>
      </c>
      <c r="M54" s="3316"/>
      <c r="N54" s="3286" t="s">
        <v>2022</v>
      </c>
      <c r="O54" s="3287">
        <v>23174</v>
      </c>
      <c r="P54" s="3284">
        <v>5</v>
      </c>
      <c r="Q54" s="3284" t="s">
        <v>1950</v>
      </c>
      <c r="R54" s="3284" t="s">
        <v>1968</v>
      </c>
      <c r="S54" s="1568">
        <v>20000</v>
      </c>
      <c r="T54" s="3300" t="s">
        <v>2000</v>
      </c>
      <c r="U54" s="3287">
        <f>5*40</f>
        <v>200</v>
      </c>
      <c r="V54" s="3288">
        <f t="shared" si="23"/>
        <v>4000000</v>
      </c>
      <c r="W54" s="3288">
        <v>0</v>
      </c>
      <c r="X54" s="3288">
        <f t="shared" si="24"/>
        <v>4000000</v>
      </c>
      <c r="Y54" s="3288">
        <f t="shared" si="25"/>
        <v>4000000</v>
      </c>
      <c r="Z54" s="3298"/>
      <c r="AA54" s="3317">
        <f t="shared" ref="AA54:AA83" si="28">Y54</f>
        <v>4000000</v>
      </c>
      <c r="AB54" s="3318"/>
      <c r="AC54" s="3318"/>
      <c r="AD54" s="3288"/>
      <c r="AE54" s="3294"/>
      <c r="AF54" s="3294"/>
      <c r="AG54" s="3294"/>
      <c r="AH54" s="3294"/>
      <c r="AI54" s="3318"/>
      <c r="AJ54" s="3294"/>
      <c r="AK54" s="3294"/>
      <c r="AL54" s="3294">
        <f t="shared" si="26"/>
        <v>4000000</v>
      </c>
      <c r="AM54" s="3273">
        <f t="shared" si="27"/>
        <v>0</v>
      </c>
    </row>
    <row r="55" spans="1:39" ht="42.6" hidden="1" customHeight="1">
      <c r="A55" s="3274">
        <v>50</v>
      </c>
      <c r="B55" s="3275" t="s">
        <v>179</v>
      </c>
      <c r="C55" s="3276"/>
      <c r="D55" s="3277" t="s">
        <v>1962</v>
      </c>
      <c r="E55" s="3300" t="s">
        <v>2019</v>
      </c>
      <c r="F55" s="3300" t="s">
        <v>2020</v>
      </c>
      <c r="G55" s="3274" t="s">
        <v>1965</v>
      </c>
      <c r="H55" s="3315">
        <v>5</v>
      </c>
      <c r="I55" s="3282"/>
      <c r="J55" s="3282"/>
      <c r="K55" s="3283" t="s">
        <v>1966</v>
      </c>
      <c r="L55" s="3284" t="s">
        <v>179</v>
      </c>
      <c r="M55" s="3316"/>
      <c r="N55" s="3286" t="s">
        <v>2023</v>
      </c>
      <c r="O55" s="3287">
        <v>23174</v>
      </c>
      <c r="P55" s="3284">
        <v>5</v>
      </c>
      <c r="Q55" s="3284" t="s">
        <v>1950</v>
      </c>
      <c r="R55" s="3284" t="s">
        <v>1968</v>
      </c>
      <c r="S55" s="1568">
        <v>20000</v>
      </c>
      <c r="T55" s="3300" t="s">
        <v>2000</v>
      </c>
      <c r="U55" s="3287">
        <f>2*5</f>
        <v>10</v>
      </c>
      <c r="V55" s="3288">
        <f t="shared" si="23"/>
        <v>200000</v>
      </c>
      <c r="W55" s="3288">
        <v>0</v>
      </c>
      <c r="X55" s="3288">
        <f t="shared" si="24"/>
        <v>200000</v>
      </c>
      <c r="Y55" s="3288">
        <f t="shared" si="25"/>
        <v>200000</v>
      </c>
      <c r="Z55" s="3298"/>
      <c r="AA55" s="3317">
        <f t="shared" si="28"/>
        <v>200000</v>
      </c>
      <c r="AB55" s="3318"/>
      <c r="AC55" s="3318"/>
      <c r="AD55" s="3288"/>
      <c r="AE55" s="3294"/>
      <c r="AF55" s="3294"/>
      <c r="AG55" s="3294"/>
      <c r="AH55" s="3294"/>
      <c r="AI55" s="3318"/>
      <c r="AJ55" s="3294"/>
      <c r="AK55" s="3294"/>
      <c r="AL55" s="3294">
        <f t="shared" si="26"/>
        <v>200000</v>
      </c>
      <c r="AM55" s="3273">
        <f t="shared" si="27"/>
        <v>0</v>
      </c>
    </row>
    <row r="56" spans="1:39" ht="51.75" hidden="1" customHeight="1">
      <c r="A56" s="3274">
        <v>51</v>
      </c>
      <c r="B56" s="3275" t="s">
        <v>179</v>
      </c>
      <c r="C56" s="3276"/>
      <c r="D56" s="3277" t="s">
        <v>1962</v>
      </c>
      <c r="E56" s="3300" t="s">
        <v>2019</v>
      </c>
      <c r="F56" s="3300" t="s">
        <v>2020</v>
      </c>
      <c r="G56" s="3274" t="s">
        <v>1965</v>
      </c>
      <c r="H56" s="3315">
        <v>5</v>
      </c>
      <c r="I56" s="3282"/>
      <c r="J56" s="3282"/>
      <c r="K56" s="3283" t="s">
        <v>1966</v>
      </c>
      <c r="L56" s="3284" t="s">
        <v>179</v>
      </c>
      <c r="M56" s="3285"/>
      <c r="N56" s="3286" t="s">
        <v>2024</v>
      </c>
      <c r="O56" s="3287">
        <v>23174</v>
      </c>
      <c r="P56" s="3284">
        <v>5</v>
      </c>
      <c r="Q56" s="3284" t="s">
        <v>1950</v>
      </c>
      <c r="R56" s="3284" t="s">
        <v>1968</v>
      </c>
      <c r="S56" s="1568">
        <f>10000*2</f>
        <v>20000</v>
      </c>
      <c r="T56" s="3300" t="s">
        <v>1973</v>
      </c>
      <c r="U56" s="3287">
        <v>8</v>
      </c>
      <c r="V56" s="3288">
        <f t="shared" si="23"/>
        <v>160000</v>
      </c>
      <c r="W56" s="3288">
        <v>0</v>
      </c>
      <c r="X56" s="3288">
        <f t="shared" si="24"/>
        <v>160000</v>
      </c>
      <c r="Y56" s="3288">
        <f t="shared" si="25"/>
        <v>160000</v>
      </c>
      <c r="Z56" s="3289"/>
      <c r="AA56" s="3317">
        <f t="shared" si="28"/>
        <v>160000</v>
      </c>
      <c r="AB56" s="3290"/>
      <c r="AC56" s="3290"/>
      <c r="AD56" s="3296"/>
      <c r="AE56" s="3292"/>
      <c r="AF56" s="3277"/>
      <c r="AG56" s="3277"/>
      <c r="AH56" s="3277"/>
      <c r="AI56" s="3277"/>
      <c r="AJ56" s="3277"/>
      <c r="AK56" s="3277"/>
      <c r="AL56" s="3294">
        <f t="shared" si="26"/>
        <v>160000</v>
      </c>
      <c r="AM56" s="3273">
        <f t="shared" si="27"/>
        <v>0</v>
      </c>
    </row>
    <row r="57" spans="1:39" ht="54" hidden="1" customHeight="1">
      <c r="A57" s="3274">
        <v>52</v>
      </c>
      <c r="B57" s="3275" t="s">
        <v>179</v>
      </c>
      <c r="C57" s="3276"/>
      <c r="D57" s="3277" t="s">
        <v>1962</v>
      </c>
      <c r="E57" s="3300" t="s">
        <v>2019</v>
      </c>
      <c r="F57" s="3300" t="s">
        <v>2020</v>
      </c>
      <c r="G57" s="3274" t="s">
        <v>1965</v>
      </c>
      <c r="H57" s="3315">
        <v>5</v>
      </c>
      <c r="I57" s="3282"/>
      <c r="J57" s="3282"/>
      <c r="K57" s="3283" t="s">
        <v>1966</v>
      </c>
      <c r="L57" s="3284" t="s">
        <v>179</v>
      </c>
      <c r="M57" s="3285"/>
      <c r="N57" s="3286" t="s">
        <v>2024</v>
      </c>
      <c r="O57" s="3287">
        <v>23174</v>
      </c>
      <c r="P57" s="3284">
        <v>5</v>
      </c>
      <c r="Q57" s="3284" t="s">
        <v>1950</v>
      </c>
      <c r="R57" s="3284" t="s">
        <v>1968</v>
      </c>
      <c r="S57" s="1568">
        <f>15000*2</f>
        <v>30000</v>
      </c>
      <c r="T57" s="3287" t="s">
        <v>1973</v>
      </c>
      <c r="U57" s="1703">
        <v>8</v>
      </c>
      <c r="V57" s="3288">
        <f>S57*U57</f>
        <v>240000</v>
      </c>
      <c r="W57" s="3288">
        <v>0</v>
      </c>
      <c r="X57" s="3288">
        <f t="shared" si="24"/>
        <v>240000</v>
      </c>
      <c r="Y57" s="3288">
        <f t="shared" si="25"/>
        <v>240000</v>
      </c>
      <c r="Z57" s="3289"/>
      <c r="AA57" s="3317">
        <f t="shared" si="28"/>
        <v>240000</v>
      </c>
      <c r="AB57" s="3290"/>
      <c r="AC57" s="3290"/>
      <c r="AD57" s="3296"/>
      <c r="AE57" s="3292"/>
      <c r="AF57" s="3277"/>
      <c r="AG57" s="3277"/>
      <c r="AH57" s="3277"/>
      <c r="AI57" s="3277"/>
      <c r="AJ57" s="3277"/>
      <c r="AK57" s="3277"/>
      <c r="AL57" s="3294">
        <f t="shared" si="26"/>
        <v>240000</v>
      </c>
      <c r="AM57" s="3273">
        <f t="shared" si="27"/>
        <v>0</v>
      </c>
    </row>
    <row r="58" spans="1:39" ht="38.25" hidden="1" customHeight="1">
      <c r="A58" s="3274">
        <v>53</v>
      </c>
      <c r="B58" s="3275" t="s">
        <v>179</v>
      </c>
      <c r="C58" s="3276"/>
      <c r="D58" s="3277" t="s">
        <v>1962</v>
      </c>
      <c r="E58" s="3300" t="s">
        <v>2019</v>
      </c>
      <c r="F58" s="3300" t="s">
        <v>2020</v>
      </c>
      <c r="G58" s="3274" t="s">
        <v>1965</v>
      </c>
      <c r="H58" s="3315">
        <v>5</v>
      </c>
      <c r="I58" s="3282"/>
      <c r="J58" s="3282"/>
      <c r="K58" s="3283" t="s">
        <v>1966</v>
      </c>
      <c r="L58" s="3284" t="s">
        <v>179</v>
      </c>
      <c r="M58" s="3285"/>
      <c r="N58" s="3286" t="s">
        <v>2025</v>
      </c>
      <c r="O58" s="3287">
        <v>23174</v>
      </c>
      <c r="P58" s="3284">
        <v>5</v>
      </c>
      <c r="Q58" s="3284" t="s">
        <v>1950</v>
      </c>
      <c r="R58" s="3284" t="s">
        <v>1968</v>
      </c>
      <c r="S58" s="1568">
        <f>20000*2</f>
        <v>40000</v>
      </c>
      <c r="T58" s="3287" t="s">
        <v>1973</v>
      </c>
      <c r="U58" s="1703">
        <v>4</v>
      </c>
      <c r="V58" s="3288">
        <f>S58*U58</f>
        <v>160000</v>
      </c>
      <c r="W58" s="3288">
        <v>0</v>
      </c>
      <c r="X58" s="3288">
        <f t="shared" si="24"/>
        <v>160000</v>
      </c>
      <c r="Y58" s="3288">
        <f t="shared" si="25"/>
        <v>160000</v>
      </c>
      <c r="Z58" s="3289"/>
      <c r="AA58" s="3317">
        <f t="shared" si="28"/>
        <v>160000</v>
      </c>
      <c r="AB58" s="3290"/>
      <c r="AC58" s="3290"/>
      <c r="AD58" s="3296"/>
      <c r="AE58" s="3292"/>
      <c r="AF58" s="3277"/>
      <c r="AG58" s="3277"/>
      <c r="AH58" s="3277"/>
      <c r="AI58" s="3277"/>
      <c r="AJ58" s="3277"/>
      <c r="AK58" s="3277"/>
      <c r="AL58" s="3294">
        <f t="shared" si="26"/>
        <v>160000</v>
      </c>
      <c r="AM58" s="3273">
        <f t="shared" si="27"/>
        <v>0</v>
      </c>
    </row>
    <row r="59" spans="1:39" ht="55.5" hidden="1" customHeight="1">
      <c r="A59" s="3274">
        <v>54</v>
      </c>
      <c r="B59" s="3275" t="s">
        <v>179</v>
      </c>
      <c r="C59" s="3276"/>
      <c r="D59" s="3277" t="s">
        <v>1962</v>
      </c>
      <c r="E59" s="3300" t="s">
        <v>2019</v>
      </c>
      <c r="F59" s="3300" t="s">
        <v>2020</v>
      </c>
      <c r="G59" s="3274" t="s">
        <v>1965</v>
      </c>
      <c r="H59" s="3315">
        <v>5</v>
      </c>
      <c r="I59" s="3282"/>
      <c r="J59" s="3282"/>
      <c r="K59" s="3283" t="s">
        <v>1966</v>
      </c>
      <c r="L59" s="3284" t="s">
        <v>179</v>
      </c>
      <c r="M59" s="3316"/>
      <c r="N59" s="3286" t="s">
        <v>2026</v>
      </c>
      <c r="O59" s="3287">
        <v>23174</v>
      </c>
      <c r="P59" s="3284">
        <v>5</v>
      </c>
      <c r="Q59" s="3284" t="s">
        <v>1950</v>
      </c>
      <c r="R59" s="3284" t="s">
        <v>1968</v>
      </c>
      <c r="S59" s="1568">
        <v>5900</v>
      </c>
      <c r="T59" s="3300" t="s">
        <v>2010</v>
      </c>
      <c r="U59" s="3287">
        <f>5/100*50*22</f>
        <v>55</v>
      </c>
      <c r="V59" s="3288">
        <f t="shared" si="23"/>
        <v>324500</v>
      </c>
      <c r="W59" s="3288">
        <v>0</v>
      </c>
      <c r="X59" s="3288">
        <f t="shared" si="24"/>
        <v>324500</v>
      </c>
      <c r="Y59" s="3288">
        <f t="shared" si="25"/>
        <v>324500</v>
      </c>
      <c r="Z59" s="3298"/>
      <c r="AA59" s="3317">
        <f t="shared" si="28"/>
        <v>324500</v>
      </c>
      <c r="AB59" s="3318"/>
      <c r="AC59" s="3318"/>
      <c r="AD59" s="3288"/>
      <c r="AE59" s="3294"/>
      <c r="AF59" s="3294"/>
      <c r="AG59" s="3294"/>
      <c r="AH59" s="3294"/>
      <c r="AI59" s="3318"/>
      <c r="AJ59" s="3294"/>
      <c r="AK59" s="3294"/>
      <c r="AL59" s="3294">
        <f t="shared" si="26"/>
        <v>324500</v>
      </c>
      <c r="AM59" s="3273">
        <f t="shared" si="27"/>
        <v>0</v>
      </c>
    </row>
    <row r="60" spans="1:39" ht="55.5" hidden="1" customHeight="1">
      <c r="A60" s="3274">
        <v>55</v>
      </c>
      <c r="B60" s="3275" t="s">
        <v>179</v>
      </c>
      <c r="C60" s="3276"/>
      <c r="D60" s="3277" t="s">
        <v>1962</v>
      </c>
      <c r="E60" s="3300" t="s">
        <v>2019</v>
      </c>
      <c r="F60" s="3300" t="s">
        <v>2020</v>
      </c>
      <c r="G60" s="3274" t="s">
        <v>1965</v>
      </c>
      <c r="H60" s="3315">
        <v>5</v>
      </c>
      <c r="I60" s="3282"/>
      <c r="J60" s="3282"/>
      <c r="K60" s="3299" t="s">
        <v>1966</v>
      </c>
      <c r="L60" s="3284" t="s">
        <v>179</v>
      </c>
      <c r="M60" s="3319"/>
      <c r="N60" s="3286" t="s">
        <v>2027</v>
      </c>
      <c r="O60" s="3287">
        <v>23174</v>
      </c>
      <c r="P60" s="3284">
        <v>5</v>
      </c>
      <c r="Q60" s="3284" t="s">
        <v>1950</v>
      </c>
      <c r="R60" s="3284" t="s">
        <v>1968</v>
      </c>
      <c r="S60" s="1568">
        <v>36000</v>
      </c>
      <c r="T60" s="3300" t="s">
        <v>1998</v>
      </c>
      <c r="U60" s="3287">
        <f>3*145</f>
        <v>435</v>
      </c>
      <c r="V60" s="3288">
        <f t="shared" si="23"/>
        <v>15660000</v>
      </c>
      <c r="W60" s="3288">
        <v>0</v>
      </c>
      <c r="X60" s="3288">
        <f t="shared" si="24"/>
        <v>15660000</v>
      </c>
      <c r="Y60" s="3288">
        <f t="shared" si="25"/>
        <v>15660000</v>
      </c>
      <c r="Z60" s="3298"/>
      <c r="AA60" s="3317">
        <f t="shared" si="28"/>
        <v>15660000</v>
      </c>
      <c r="AB60" s="3318"/>
      <c r="AC60" s="3318"/>
      <c r="AD60" s="3288"/>
      <c r="AE60" s="3294"/>
      <c r="AF60" s="3294"/>
      <c r="AG60" s="3294"/>
      <c r="AH60" s="3294"/>
      <c r="AI60" s="3318"/>
      <c r="AJ60" s="3294"/>
      <c r="AK60" s="3294"/>
      <c r="AL60" s="3294">
        <f t="shared" si="26"/>
        <v>15660000</v>
      </c>
      <c r="AM60" s="3273">
        <f t="shared" si="27"/>
        <v>0</v>
      </c>
    </row>
    <row r="61" spans="1:39" ht="55.5" hidden="1" customHeight="1">
      <c r="A61" s="3274">
        <v>56</v>
      </c>
      <c r="B61" s="3275" t="s">
        <v>179</v>
      </c>
      <c r="C61" s="3276"/>
      <c r="D61" s="3277" t="s">
        <v>1962</v>
      </c>
      <c r="E61" s="3300" t="s">
        <v>2019</v>
      </c>
      <c r="F61" s="3300" t="s">
        <v>2020</v>
      </c>
      <c r="G61" s="3274" t="s">
        <v>1965</v>
      </c>
      <c r="H61" s="3315">
        <v>5</v>
      </c>
      <c r="I61" s="3282"/>
      <c r="J61" s="3282"/>
      <c r="K61" s="3283" t="s">
        <v>1966</v>
      </c>
      <c r="L61" s="3284" t="s">
        <v>179</v>
      </c>
      <c r="M61" s="3316"/>
      <c r="N61" s="3286" t="s">
        <v>2028</v>
      </c>
      <c r="O61" s="3287">
        <v>23174</v>
      </c>
      <c r="P61" s="3284">
        <v>5</v>
      </c>
      <c r="Q61" s="3284" t="s">
        <v>1950</v>
      </c>
      <c r="R61" s="3284" t="s">
        <v>1968</v>
      </c>
      <c r="S61" s="1156">
        <v>150</v>
      </c>
      <c r="T61" s="3320" t="s">
        <v>2029</v>
      </c>
      <c r="U61" s="1703">
        <f>42*145</f>
        <v>6090</v>
      </c>
      <c r="V61" s="3288">
        <f t="shared" si="23"/>
        <v>913500</v>
      </c>
      <c r="W61" s="3288">
        <v>0</v>
      </c>
      <c r="X61" s="3288">
        <f t="shared" si="24"/>
        <v>913500</v>
      </c>
      <c r="Y61" s="3288">
        <f t="shared" si="25"/>
        <v>913500</v>
      </c>
      <c r="Z61" s="3298"/>
      <c r="AA61" s="3317">
        <f t="shared" si="28"/>
        <v>913500</v>
      </c>
      <c r="AB61" s="3318"/>
      <c r="AC61" s="3318"/>
      <c r="AD61" s="3288"/>
      <c r="AE61" s="3294"/>
      <c r="AF61" s="3294"/>
      <c r="AG61" s="3294"/>
      <c r="AH61" s="3294"/>
      <c r="AI61" s="3318"/>
      <c r="AJ61" s="3294"/>
      <c r="AK61" s="3294"/>
      <c r="AL61" s="3294">
        <f t="shared" si="26"/>
        <v>913500</v>
      </c>
      <c r="AM61" s="3273">
        <f t="shared" si="27"/>
        <v>0</v>
      </c>
    </row>
    <row r="62" spans="1:39" ht="38.25" hidden="1" customHeight="1">
      <c r="A62" s="3274">
        <v>57</v>
      </c>
      <c r="B62" s="3275" t="s">
        <v>179</v>
      </c>
      <c r="C62" s="3276"/>
      <c r="D62" s="3277" t="s">
        <v>1962</v>
      </c>
      <c r="E62" s="3300" t="s">
        <v>2019</v>
      </c>
      <c r="F62" s="3300" t="s">
        <v>2020</v>
      </c>
      <c r="G62" s="3274" t="s">
        <v>1965</v>
      </c>
      <c r="H62" s="3315">
        <v>5</v>
      </c>
      <c r="I62" s="3282"/>
      <c r="J62" s="3282"/>
      <c r="K62" s="3283" t="s">
        <v>1966</v>
      </c>
      <c r="L62" s="3284" t="s">
        <v>179</v>
      </c>
      <c r="M62" s="3285"/>
      <c r="N62" s="3286" t="s">
        <v>1993</v>
      </c>
      <c r="O62" s="3287">
        <v>23174</v>
      </c>
      <c r="P62" s="3284">
        <v>5</v>
      </c>
      <c r="Q62" s="3284" t="s">
        <v>1950</v>
      </c>
      <c r="R62" s="3284" t="s">
        <v>1968</v>
      </c>
      <c r="S62" s="1568">
        <v>36000</v>
      </c>
      <c r="T62" s="3287" t="s">
        <v>1969</v>
      </c>
      <c r="U62" s="3287">
        <v>3</v>
      </c>
      <c r="V62" s="3288">
        <f>S62*U62</f>
        <v>108000</v>
      </c>
      <c r="W62" s="3288">
        <v>0</v>
      </c>
      <c r="X62" s="3288">
        <f t="shared" si="24"/>
        <v>108000</v>
      </c>
      <c r="Y62" s="3288">
        <f t="shared" si="25"/>
        <v>108000</v>
      </c>
      <c r="Z62" s="3289"/>
      <c r="AA62" s="3317">
        <f t="shared" si="28"/>
        <v>108000</v>
      </c>
      <c r="AB62" s="3290"/>
      <c r="AC62" s="3290"/>
      <c r="AD62" s="3296"/>
      <c r="AE62" s="3292"/>
      <c r="AF62" s="3277"/>
      <c r="AG62" s="3277"/>
      <c r="AH62" s="3277"/>
      <c r="AI62" s="3277"/>
      <c r="AJ62" s="3277"/>
      <c r="AK62" s="3277"/>
      <c r="AL62" s="3294">
        <f t="shared" si="26"/>
        <v>108000</v>
      </c>
      <c r="AM62" s="3273">
        <f t="shared" si="27"/>
        <v>0</v>
      </c>
    </row>
    <row r="63" spans="1:39" ht="38.25" hidden="1" customHeight="1">
      <c r="A63" s="3274">
        <v>58</v>
      </c>
      <c r="B63" s="3275" t="s">
        <v>179</v>
      </c>
      <c r="C63" s="3276"/>
      <c r="D63" s="3277" t="s">
        <v>1962</v>
      </c>
      <c r="E63" s="3300" t="s">
        <v>2019</v>
      </c>
      <c r="F63" s="3300" t="s">
        <v>2020</v>
      </c>
      <c r="G63" s="3274" t="s">
        <v>1965</v>
      </c>
      <c r="H63" s="3315">
        <v>5</v>
      </c>
      <c r="I63" s="3282"/>
      <c r="J63" s="3282"/>
      <c r="K63" s="3283" t="s">
        <v>1966</v>
      </c>
      <c r="L63" s="3284" t="s">
        <v>179</v>
      </c>
      <c r="M63" s="3285"/>
      <c r="N63" s="3286" t="s">
        <v>1994</v>
      </c>
      <c r="O63" s="3287">
        <v>23174</v>
      </c>
      <c r="P63" s="3284">
        <v>5</v>
      </c>
      <c r="Q63" s="3284" t="s">
        <v>1950</v>
      </c>
      <c r="R63" s="3284" t="s">
        <v>1968</v>
      </c>
      <c r="S63" s="1568">
        <v>40000</v>
      </c>
      <c r="T63" s="3287" t="s">
        <v>1995</v>
      </c>
      <c r="U63" s="3287">
        <v>2</v>
      </c>
      <c r="V63" s="3288">
        <f>S63*U63</f>
        <v>80000</v>
      </c>
      <c r="W63" s="3288">
        <v>0</v>
      </c>
      <c r="X63" s="3288">
        <f t="shared" si="24"/>
        <v>80000</v>
      </c>
      <c r="Y63" s="3288">
        <f t="shared" si="25"/>
        <v>80000</v>
      </c>
      <c r="Z63" s="3289"/>
      <c r="AA63" s="3317">
        <f t="shared" si="28"/>
        <v>80000</v>
      </c>
      <c r="AB63" s="3290"/>
      <c r="AC63" s="3290"/>
      <c r="AD63" s="3296"/>
      <c r="AE63" s="3292"/>
      <c r="AF63" s="3277"/>
      <c r="AG63" s="3277"/>
      <c r="AH63" s="3277"/>
      <c r="AI63" s="3277"/>
      <c r="AJ63" s="3277"/>
      <c r="AK63" s="3277"/>
      <c r="AL63" s="3294">
        <f>SUM(Z63:AK63)</f>
        <v>80000</v>
      </c>
      <c r="AM63" s="3273">
        <f t="shared" si="27"/>
        <v>0</v>
      </c>
    </row>
    <row r="64" spans="1:39" ht="38.25" hidden="1" customHeight="1">
      <c r="A64" s="3274">
        <v>59</v>
      </c>
      <c r="B64" s="3275" t="s">
        <v>179</v>
      </c>
      <c r="C64" s="3276"/>
      <c r="D64" s="3277" t="s">
        <v>1962</v>
      </c>
      <c r="E64" s="3300" t="s">
        <v>2019</v>
      </c>
      <c r="F64" s="3300" t="s">
        <v>2020</v>
      </c>
      <c r="G64" s="3274" t="s">
        <v>1965</v>
      </c>
      <c r="H64" s="3315">
        <v>5</v>
      </c>
      <c r="I64" s="3282"/>
      <c r="J64" s="3282"/>
      <c r="K64" s="3283" t="s">
        <v>1966</v>
      </c>
      <c r="L64" s="3284" t="s">
        <v>179</v>
      </c>
      <c r="M64" s="3285"/>
      <c r="N64" s="3286" t="s">
        <v>1996</v>
      </c>
      <c r="O64" s="3287">
        <v>23174</v>
      </c>
      <c r="P64" s="3284">
        <v>5</v>
      </c>
      <c r="Q64" s="3284" t="s">
        <v>1950</v>
      </c>
      <c r="R64" s="3284" t="s">
        <v>1968</v>
      </c>
      <c r="S64" s="1568">
        <f>15000*2</f>
        <v>30000</v>
      </c>
      <c r="T64" s="3287" t="s">
        <v>1973</v>
      </c>
      <c r="U64" s="3287">
        <v>1</v>
      </c>
      <c r="V64" s="3288">
        <f>S64*U64</f>
        <v>30000</v>
      </c>
      <c r="W64" s="3288">
        <v>0</v>
      </c>
      <c r="X64" s="3288">
        <f t="shared" si="24"/>
        <v>30000</v>
      </c>
      <c r="Y64" s="3288">
        <f t="shared" si="25"/>
        <v>30000</v>
      </c>
      <c r="Z64" s="3289"/>
      <c r="AA64" s="3317">
        <f t="shared" si="28"/>
        <v>30000</v>
      </c>
      <c r="AB64" s="3290"/>
      <c r="AC64" s="3290"/>
      <c r="AD64" s="3296"/>
      <c r="AE64" s="3292"/>
      <c r="AF64" s="3277"/>
      <c r="AG64" s="3277"/>
      <c r="AH64" s="3277"/>
      <c r="AI64" s="3277"/>
      <c r="AJ64" s="3277"/>
      <c r="AK64" s="3277"/>
      <c r="AL64" s="3294">
        <f t="shared" ref="AL64:AL65" si="29">SUM(Z64:AK64)</f>
        <v>30000</v>
      </c>
      <c r="AM64" s="3273">
        <f t="shared" si="27"/>
        <v>0</v>
      </c>
    </row>
    <row r="65" spans="1:39" ht="38.25" hidden="1" customHeight="1">
      <c r="A65" s="3274">
        <v>60</v>
      </c>
      <c r="B65" s="3275" t="s">
        <v>179</v>
      </c>
      <c r="C65" s="3276"/>
      <c r="D65" s="3277" t="s">
        <v>1962</v>
      </c>
      <c r="E65" s="3300" t="s">
        <v>2019</v>
      </c>
      <c r="F65" s="3300" t="s">
        <v>2020</v>
      </c>
      <c r="G65" s="3274" t="s">
        <v>1965</v>
      </c>
      <c r="H65" s="3315">
        <v>5</v>
      </c>
      <c r="I65" s="3282"/>
      <c r="J65" s="3282"/>
      <c r="K65" s="3283" t="s">
        <v>1966</v>
      </c>
      <c r="L65" s="3284" t="s">
        <v>179</v>
      </c>
      <c r="M65" s="3285"/>
      <c r="N65" s="3286" t="s">
        <v>2030</v>
      </c>
      <c r="O65" s="3287">
        <v>23174</v>
      </c>
      <c r="P65" s="3284">
        <v>5</v>
      </c>
      <c r="Q65" s="3284" t="s">
        <v>1950</v>
      </c>
      <c r="R65" s="3284" t="s">
        <v>1968</v>
      </c>
      <c r="S65" s="1568">
        <v>36000</v>
      </c>
      <c r="T65" s="3287" t="s">
        <v>1998</v>
      </c>
      <c r="U65" s="3287">
        <f>5*3</f>
        <v>15</v>
      </c>
      <c r="V65" s="3288">
        <f>S65*U65</f>
        <v>540000</v>
      </c>
      <c r="W65" s="3288">
        <v>0</v>
      </c>
      <c r="X65" s="3288">
        <f t="shared" si="24"/>
        <v>540000</v>
      </c>
      <c r="Y65" s="3288">
        <f t="shared" si="25"/>
        <v>540000</v>
      </c>
      <c r="Z65" s="3289"/>
      <c r="AA65" s="3317">
        <f t="shared" si="28"/>
        <v>540000</v>
      </c>
      <c r="AB65" s="3290"/>
      <c r="AC65" s="3290"/>
      <c r="AD65" s="3296"/>
      <c r="AE65" s="3292"/>
      <c r="AF65" s="3277"/>
      <c r="AG65" s="3277"/>
      <c r="AH65" s="3277"/>
      <c r="AI65" s="3277"/>
      <c r="AJ65" s="3277"/>
      <c r="AK65" s="3277"/>
      <c r="AL65" s="3294">
        <f t="shared" si="29"/>
        <v>540000</v>
      </c>
      <c r="AM65" s="3273">
        <f t="shared" si="27"/>
        <v>0</v>
      </c>
    </row>
    <row r="66" spans="1:39" ht="38.25" hidden="1" customHeight="1">
      <c r="A66" s="3274">
        <v>61</v>
      </c>
      <c r="B66" s="3275" t="s">
        <v>179</v>
      </c>
      <c r="C66" s="3276"/>
      <c r="D66" s="3277" t="s">
        <v>1962</v>
      </c>
      <c r="E66" s="3300" t="s">
        <v>2019</v>
      </c>
      <c r="F66" s="3300" t="s">
        <v>2020</v>
      </c>
      <c r="G66" s="3274" t="s">
        <v>1965</v>
      </c>
      <c r="H66" s="3315">
        <v>5</v>
      </c>
      <c r="I66" s="3282"/>
      <c r="J66" s="3282"/>
      <c r="K66" s="3283" t="s">
        <v>1966</v>
      </c>
      <c r="L66" s="3284" t="s">
        <v>179</v>
      </c>
      <c r="M66" s="3285"/>
      <c r="N66" s="3286" t="s">
        <v>2031</v>
      </c>
      <c r="O66" s="3287">
        <v>23174</v>
      </c>
      <c r="P66" s="3284">
        <v>5</v>
      </c>
      <c r="Q66" s="3284" t="s">
        <v>1950</v>
      </c>
      <c r="R66" s="3284" t="s">
        <v>1968</v>
      </c>
      <c r="S66" s="1568">
        <v>20000</v>
      </c>
      <c r="T66" s="3287" t="s">
        <v>2000</v>
      </c>
      <c r="U66" s="3287">
        <f>5*2</f>
        <v>10</v>
      </c>
      <c r="V66" s="3288">
        <f t="shared" ref="V66:V73" si="30">S66*U66</f>
        <v>200000</v>
      </c>
      <c r="W66" s="3288">
        <v>0</v>
      </c>
      <c r="X66" s="3288">
        <f t="shared" si="24"/>
        <v>200000</v>
      </c>
      <c r="Y66" s="3288">
        <f t="shared" si="25"/>
        <v>200000</v>
      </c>
      <c r="Z66" s="3289"/>
      <c r="AA66" s="3317">
        <f t="shared" si="28"/>
        <v>200000</v>
      </c>
      <c r="AB66" s="3290"/>
      <c r="AC66" s="3290"/>
      <c r="AD66" s="3296"/>
      <c r="AE66" s="3292"/>
      <c r="AF66" s="3277"/>
      <c r="AG66" s="3277"/>
      <c r="AH66" s="3277"/>
      <c r="AI66" s="3277"/>
      <c r="AJ66" s="3277"/>
      <c r="AK66" s="3277"/>
      <c r="AL66" s="3294">
        <f>SUM(Z66:AK66)</f>
        <v>200000</v>
      </c>
      <c r="AM66" s="3273">
        <f t="shared" si="27"/>
        <v>0</v>
      </c>
    </row>
    <row r="67" spans="1:39" ht="31.5">
      <c r="A67" s="3274">
        <v>62</v>
      </c>
      <c r="B67" s="3275" t="s">
        <v>179</v>
      </c>
      <c r="C67" s="3276"/>
      <c r="D67" s="3277" t="s">
        <v>1962</v>
      </c>
      <c r="E67" s="3300" t="s">
        <v>2019</v>
      </c>
      <c r="F67" s="3300" t="s">
        <v>2020</v>
      </c>
      <c r="G67" s="3274" t="s">
        <v>1965</v>
      </c>
      <c r="H67" s="3315">
        <v>5</v>
      </c>
      <c r="I67" s="3282"/>
      <c r="J67" s="3282"/>
      <c r="K67" s="3283" t="s">
        <v>1966</v>
      </c>
      <c r="L67" s="3284" t="s">
        <v>179</v>
      </c>
      <c r="M67" s="3285"/>
      <c r="N67" s="3286" t="s">
        <v>1982</v>
      </c>
      <c r="O67" s="3287">
        <v>23173</v>
      </c>
      <c r="P67" s="3284">
        <v>5</v>
      </c>
      <c r="Q67" s="3284" t="s">
        <v>1950</v>
      </c>
      <c r="R67" s="3284" t="s">
        <v>1968</v>
      </c>
      <c r="S67" s="1568">
        <v>3000</v>
      </c>
      <c r="T67" s="3287" t="s">
        <v>1984</v>
      </c>
      <c r="U67" s="3287">
        <v>230</v>
      </c>
      <c r="V67" s="3288">
        <f t="shared" si="30"/>
        <v>690000</v>
      </c>
      <c r="W67" s="3288">
        <v>0</v>
      </c>
      <c r="X67" s="3288">
        <f t="shared" si="24"/>
        <v>690000</v>
      </c>
      <c r="Y67" s="3288">
        <f t="shared" si="25"/>
        <v>690000</v>
      </c>
      <c r="Z67" s="3289"/>
      <c r="AA67" s="3317">
        <f t="shared" si="28"/>
        <v>690000</v>
      </c>
      <c r="AB67" s="3290"/>
      <c r="AC67" s="3290"/>
      <c r="AD67" s="3296"/>
      <c r="AE67" s="3292"/>
      <c r="AF67" s="3277"/>
      <c r="AG67" s="3277"/>
      <c r="AH67" s="3277"/>
      <c r="AI67" s="3277"/>
      <c r="AJ67" s="3277"/>
      <c r="AK67" s="3277"/>
      <c r="AL67" s="3294">
        <f t="shared" ref="AL67:AL73" si="31">SUM(Z67:AK67)</f>
        <v>690000</v>
      </c>
      <c r="AM67" s="3273">
        <f t="shared" si="27"/>
        <v>0</v>
      </c>
    </row>
    <row r="68" spans="1:39" ht="31.5">
      <c r="A68" s="3274">
        <v>63</v>
      </c>
      <c r="B68" s="3275" t="s">
        <v>179</v>
      </c>
      <c r="C68" s="3276"/>
      <c r="D68" s="3277" t="s">
        <v>1962</v>
      </c>
      <c r="E68" s="3300" t="s">
        <v>2019</v>
      </c>
      <c r="F68" s="3300" t="s">
        <v>2020</v>
      </c>
      <c r="G68" s="3274" t="s">
        <v>1965</v>
      </c>
      <c r="H68" s="3315">
        <v>5</v>
      </c>
      <c r="I68" s="3282"/>
      <c r="J68" s="3282"/>
      <c r="K68" s="3283" t="s">
        <v>1966</v>
      </c>
      <c r="L68" s="3284" t="s">
        <v>179</v>
      </c>
      <c r="M68" s="3285"/>
      <c r="N68" s="3286" t="s">
        <v>1985</v>
      </c>
      <c r="O68" s="3287">
        <v>23173</v>
      </c>
      <c r="P68" s="3284">
        <v>5</v>
      </c>
      <c r="Q68" s="3284" t="s">
        <v>1950</v>
      </c>
      <c r="R68" s="3284" t="s">
        <v>1968</v>
      </c>
      <c r="S68" s="1568">
        <v>1000</v>
      </c>
      <c r="T68" s="3287" t="s">
        <v>1984</v>
      </c>
      <c r="U68" s="3287">
        <v>590</v>
      </c>
      <c r="V68" s="3288">
        <f t="shared" si="30"/>
        <v>590000</v>
      </c>
      <c r="W68" s="3288">
        <v>0</v>
      </c>
      <c r="X68" s="3288">
        <f t="shared" si="24"/>
        <v>590000</v>
      </c>
      <c r="Y68" s="3288">
        <f t="shared" si="25"/>
        <v>590000</v>
      </c>
      <c r="Z68" s="3289"/>
      <c r="AA68" s="3317">
        <f t="shared" si="28"/>
        <v>590000</v>
      </c>
      <c r="AB68" s="3290"/>
      <c r="AC68" s="3290"/>
      <c r="AD68" s="3296"/>
      <c r="AE68" s="3292"/>
      <c r="AF68" s="3277"/>
      <c r="AG68" s="3277"/>
      <c r="AH68" s="3277"/>
      <c r="AI68" s="3277"/>
      <c r="AJ68" s="3277"/>
      <c r="AK68" s="3277"/>
      <c r="AL68" s="3294">
        <f t="shared" si="31"/>
        <v>590000</v>
      </c>
      <c r="AM68" s="3273">
        <f t="shared" si="27"/>
        <v>0</v>
      </c>
    </row>
    <row r="69" spans="1:39" ht="31.5">
      <c r="A69" s="3274">
        <v>64</v>
      </c>
      <c r="B69" s="3275" t="s">
        <v>179</v>
      </c>
      <c r="C69" s="3276"/>
      <c r="D69" s="3277" t="s">
        <v>1962</v>
      </c>
      <c r="E69" s="3300" t="s">
        <v>2019</v>
      </c>
      <c r="F69" s="3300" t="s">
        <v>2020</v>
      </c>
      <c r="G69" s="3274" t="s">
        <v>1965</v>
      </c>
      <c r="H69" s="3315">
        <v>5</v>
      </c>
      <c r="I69" s="3282"/>
      <c r="J69" s="3282"/>
      <c r="K69" s="3283" t="s">
        <v>1966</v>
      </c>
      <c r="L69" s="3284" t="s">
        <v>179</v>
      </c>
      <c r="M69" s="3285"/>
      <c r="N69" s="3286" t="s">
        <v>1986</v>
      </c>
      <c r="O69" s="3287">
        <v>23173</v>
      </c>
      <c r="P69" s="3284">
        <v>5</v>
      </c>
      <c r="Q69" s="3284" t="s">
        <v>1950</v>
      </c>
      <c r="R69" s="3284" t="s">
        <v>1968</v>
      </c>
      <c r="S69" s="1568">
        <v>20000</v>
      </c>
      <c r="T69" s="3287" t="s">
        <v>1987</v>
      </c>
      <c r="U69" s="3287">
        <v>10</v>
      </c>
      <c r="V69" s="3288">
        <f t="shared" si="30"/>
        <v>200000</v>
      </c>
      <c r="W69" s="3288">
        <v>0</v>
      </c>
      <c r="X69" s="3288">
        <f t="shared" si="24"/>
        <v>200000</v>
      </c>
      <c r="Y69" s="3288">
        <f t="shared" si="25"/>
        <v>200000</v>
      </c>
      <c r="Z69" s="3289"/>
      <c r="AA69" s="3317">
        <f t="shared" si="28"/>
        <v>200000</v>
      </c>
      <c r="AB69" s="3290"/>
      <c r="AC69" s="3290"/>
      <c r="AD69" s="3296"/>
      <c r="AE69" s="3292"/>
      <c r="AF69" s="3277"/>
      <c r="AG69" s="3277"/>
      <c r="AH69" s="3277"/>
      <c r="AI69" s="3277"/>
      <c r="AJ69" s="3277"/>
      <c r="AK69" s="3277"/>
      <c r="AL69" s="3294">
        <f t="shared" si="31"/>
        <v>200000</v>
      </c>
      <c r="AM69" s="3273">
        <f t="shared" si="27"/>
        <v>0</v>
      </c>
    </row>
    <row r="70" spans="1:39" ht="31.5">
      <c r="A70" s="3274">
        <v>65</v>
      </c>
      <c r="B70" s="3275" t="s">
        <v>179</v>
      </c>
      <c r="C70" s="3276"/>
      <c r="D70" s="3277" t="s">
        <v>1962</v>
      </c>
      <c r="E70" s="3300" t="s">
        <v>2019</v>
      </c>
      <c r="F70" s="3300" t="s">
        <v>2020</v>
      </c>
      <c r="G70" s="3274" t="s">
        <v>1965</v>
      </c>
      <c r="H70" s="3315">
        <v>5</v>
      </c>
      <c r="I70" s="3282"/>
      <c r="J70" s="3282"/>
      <c r="K70" s="3283" t="s">
        <v>1966</v>
      </c>
      <c r="L70" s="3284" t="s">
        <v>179</v>
      </c>
      <c r="M70" s="3285"/>
      <c r="N70" s="3286" t="s">
        <v>1988</v>
      </c>
      <c r="O70" s="3287">
        <v>23173</v>
      </c>
      <c r="P70" s="3284">
        <v>5</v>
      </c>
      <c r="Q70" s="3284" t="s">
        <v>1950</v>
      </c>
      <c r="R70" s="3284" t="s">
        <v>1968</v>
      </c>
      <c r="S70" s="1568">
        <v>10000</v>
      </c>
      <c r="T70" s="3287" t="s">
        <v>1989</v>
      </c>
      <c r="U70" s="3287">
        <v>20</v>
      </c>
      <c r="V70" s="3288">
        <f t="shared" si="30"/>
        <v>200000</v>
      </c>
      <c r="W70" s="3288">
        <v>0</v>
      </c>
      <c r="X70" s="3288">
        <f t="shared" si="24"/>
        <v>200000</v>
      </c>
      <c r="Y70" s="3288">
        <f t="shared" si="25"/>
        <v>200000</v>
      </c>
      <c r="Z70" s="3289"/>
      <c r="AA70" s="3317">
        <f t="shared" si="28"/>
        <v>200000</v>
      </c>
      <c r="AB70" s="3290"/>
      <c r="AC70" s="3290"/>
      <c r="AD70" s="3296"/>
      <c r="AE70" s="3292"/>
      <c r="AF70" s="3277"/>
      <c r="AG70" s="3277"/>
      <c r="AH70" s="3277"/>
      <c r="AI70" s="3277"/>
      <c r="AJ70" s="3277"/>
      <c r="AK70" s="3277"/>
      <c r="AL70" s="3294">
        <f t="shared" si="31"/>
        <v>200000</v>
      </c>
      <c r="AM70" s="3273">
        <f t="shared" si="27"/>
        <v>0</v>
      </c>
    </row>
    <row r="71" spans="1:39" ht="31.5">
      <c r="A71" s="3274">
        <v>66</v>
      </c>
      <c r="B71" s="3275" t="s">
        <v>179</v>
      </c>
      <c r="C71" s="3276"/>
      <c r="D71" s="3277" t="s">
        <v>1962</v>
      </c>
      <c r="E71" s="3300" t="s">
        <v>2019</v>
      </c>
      <c r="F71" s="3300" t="s">
        <v>2020</v>
      </c>
      <c r="G71" s="3274" t="s">
        <v>1965</v>
      </c>
      <c r="H71" s="3315">
        <v>5</v>
      </c>
      <c r="I71" s="3282"/>
      <c r="J71" s="3282"/>
      <c r="K71" s="3283" t="s">
        <v>1966</v>
      </c>
      <c r="L71" s="3284" t="s">
        <v>179</v>
      </c>
      <c r="M71" s="3285"/>
      <c r="N71" s="3297" t="s">
        <v>1990</v>
      </c>
      <c r="O71" s="3287">
        <v>23173</v>
      </c>
      <c r="P71" s="3284">
        <v>5</v>
      </c>
      <c r="Q71" s="3284" t="s">
        <v>1950</v>
      </c>
      <c r="R71" s="3284" t="s">
        <v>1968</v>
      </c>
      <c r="S71" s="1568">
        <v>4000</v>
      </c>
      <c r="T71" s="3287" t="s">
        <v>1984</v>
      </c>
      <c r="U71" s="3287">
        <v>20</v>
      </c>
      <c r="V71" s="3288">
        <f t="shared" si="30"/>
        <v>80000</v>
      </c>
      <c r="W71" s="3288">
        <v>0</v>
      </c>
      <c r="X71" s="3288">
        <f t="shared" si="24"/>
        <v>80000</v>
      </c>
      <c r="Y71" s="3288">
        <f t="shared" si="25"/>
        <v>80000</v>
      </c>
      <c r="Z71" s="3289"/>
      <c r="AA71" s="3317">
        <f t="shared" si="28"/>
        <v>80000</v>
      </c>
      <c r="AB71" s="3290"/>
      <c r="AC71" s="3290"/>
      <c r="AD71" s="3296"/>
      <c r="AE71" s="3292"/>
      <c r="AF71" s="3277"/>
      <c r="AG71" s="3277"/>
      <c r="AH71" s="3277"/>
      <c r="AI71" s="3277"/>
      <c r="AJ71" s="3277"/>
      <c r="AK71" s="3277"/>
      <c r="AL71" s="3294">
        <f t="shared" si="31"/>
        <v>80000</v>
      </c>
      <c r="AM71" s="3273">
        <f t="shared" si="27"/>
        <v>0</v>
      </c>
    </row>
    <row r="72" spans="1:39" ht="31.5">
      <c r="A72" s="3274">
        <v>67</v>
      </c>
      <c r="B72" s="3275" t="s">
        <v>179</v>
      </c>
      <c r="C72" s="3276"/>
      <c r="D72" s="3277" t="s">
        <v>1962</v>
      </c>
      <c r="E72" s="3300" t="s">
        <v>2019</v>
      </c>
      <c r="F72" s="3300" t="s">
        <v>2020</v>
      </c>
      <c r="G72" s="3274" t="s">
        <v>1965</v>
      </c>
      <c r="H72" s="3315">
        <v>5</v>
      </c>
      <c r="I72" s="3282"/>
      <c r="J72" s="3282"/>
      <c r="K72" s="3283" t="s">
        <v>1966</v>
      </c>
      <c r="L72" s="3284" t="s">
        <v>179</v>
      </c>
      <c r="M72" s="3285"/>
      <c r="N72" s="3302" t="s">
        <v>2032</v>
      </c>
      <c r="O72" s="3287">
        <v>23173</v>
      </c>
      <c r="P72" s="3284">
        <v>5</v>
      </c>
      <c r="Q72" s="3284" t="s">
        <v>1950</v>
      </c>
      <c r="R72" s="3284" t="s">
        <v>1968</v>
      </c>
      <c r="S72" s="1568">
        <v>100</v>
      </c>
      <c r="T72" s="3287" t="s">
        <v>2016</v>
      </c>
      <c r="U72" s="3287">
        <v>200</v>
      </c>
      <c r="V72" s="3288">
        <f t="shared" si="30"/>
        <v>20000</v>
      </c>
      <c r="W72" s="3288">
        <v>0</v>
      </c>
      <c r="X72" s="3288">
        <f t="shared" si="24"/>
        <v>20000</v>
      </c>
      <c r="Y72" s="3288">
        <f t="shared" si="25"/>
        <v>20000</v>
      </c>
      <c r="Z72" s="3289"/>
      <c r="AA72" s="3317">
        <f t="shared" si="28"/>
        <v>20000</v>
      </c>
      <c r="AB72" s="3290"/>
      <c r="AC72" s="3290"/>
      <c r="AD72" s="3296"/>
      <c r="AE72" s="3292"/>
      <c r="AF72" s="3277"/>
      <c r="AG72" s="3277"/>
      <c r="AH72" s="3277"/>
      <c r="AI72" s="3277"/>
      <c r="AJ72" s="3277"/>
      <c r="AK72" s="3277"/>
      <c r="AL72" s="3294">
        <f t="shared" si="31"/>
        <v>20000</v>
      </c>
      <c r="AM72" s="3273">
        <f t="shared" si="27"/>
        <v>0</v>
      </c>
    </row>
    <row r="73" spans="1:39" ht="44.25" customHeight="1">
      <c r="A73" s="3274">
        <v>68</v>
      </c>
      <c r="B73" s="3275" t="s">
        <v>179</v>
      </c>
      <c r="C73" s="3276"/>
      <c r="D73" s="3277" t="s">
        <v>1962</v>
      </c>
      <c r="E73" s="3300" t="s">
        <v>2019</v>
      </c>
      <c r="F73" s="3300" t="s">
        <v>2020</v>
      </c>
      <c r="G73" s="3274" t="s">
        <v>1965</v>
      </c>
      <c r="H73" s="3315">
        <v>5</v>
      </c>
      <c r="I73" s="3282"/>
      <c r="J73" s="3282"/>
      <c r="K73" s="3283" t="s">
        <v>1966</v>
      </c>
      <c r="L73" s="3284" t="s">
        <v>179</v>
      </c>
      <c r="M73" s="3285"/>
      <c r="N73" s="3302" t="s">
        <v>2033</v>
      </c>
      <c r="O73" s="3287">
        <v>23173</v>
      </c>
      <c r="P73" s="3284">
        <v>5</v>
      </c>
      <c r="Q73" s="3284" t="s">
        <v>1950</v>
      </c>
      <c r="R73" s="3284" t="s">
        <v>1968</v>
      </c>
      <c r="S73" s="1568">
        <v>100</v>
      </c>
      <c r="T73" s="3300" t="s">
        <v>2016</v>
      </c>
      <c r="U73" s="3287">
        <v>14600</v>
      </c>
      <c r="V73" s="3288">
        <f t="shared" si="30"/>
        <v>1460000</v>
      </c>
      <c r="W73" s="3288">
        <v>0</v>
      </c>
      <c r="X73" s="3288">
        <f t="shared" si="24"/>
        <v>1460000</v>
      </c>
      <c r="Y73" s="3288">
        <f t="shared" si="25"/>
        <v>1460000</v>
      </c>
      <c r="Z73" s="3289"/>
      <c r="AA73" s="3317">
        <f t="shared" si="28"/>
        <v>1460000</v>
      </c>
      <c r="AB73" s="3290"/>
      <c r="AC73" s="3290"/>
      <c r="AD73" s="3296"/>
      <c r="AE73" s="3292"/>
      <c r="AF73" s="3277"/>
      <c r="AG73" s="3277"/>
      <c r="AH73" s="3277"/>
      <c r="AI73" s="3277"/>
      <c r="AJ73" s="3277"/>
      <c r="AK73" s="3277"/>
      <c r="AL73" s="3294">
        <f t="shared" si="31"/>
        <v>1460000</v>
      </c>
      <c r="AM73" s="3273">
        <f t="shared" si="27"/>
        <v>0</v>
      </c>
    </row>
    <row r="74" spans="1:39" s="3224" customFormat="1" ht="48" hidden="1" customHeight="1">
      <c r="A74" s="3274">
        <v>69</v>
      </c>
      <c r="B74" s="3257"/>
      <c r="C74" s="3321"/>
      <c r="D74" s="3322"/>
      <c r="E74" s="3260" t="s">
        <v>2034</v>
      </c>
      <c r="F74" s="3267" t="s">
        <v>2035</v>
      </c>
      <c r="G74" s="3266"/>
      <c r="H74" s="3323"/>
      <c r="I74" s="3324"/>
      <c r="J74" s="3324"/>
      <c r="K74" s="3325"/>
      <c r="L74" s="3266"/>
      <c r="M74" s="3326"/>
      <c r="N74" s="3260"/>
      <c r="O74" s="3327"/>
      <c r="P74" s="3266"/>
      <c r="Q74" s="3266"/>
      <c r="R74" s="3266"/>
      <c r="S74" s="3328"/>
      <c r="T74" s="3260"/>
      <c r="U74" s="3327"/>
      <c r="V74" s="3329">
        <v>0</v>
      </c>
      <c r="W74" s="3329"/>
      <c r="X74" s="3329">
        <v>0</v>
      </c>
      <c r="Y74" s="3329">
        <v>0</v>
      </c>
      <c r="Z74" s="3330"/>
      <c r="AA74" s="3329"/>
      <c r="AB74" s="3331"/>
      <c r="AC74" s="3331"/>
      <c r="AD74" s="3329"/>
      <c r="AE74" s="3329"/>
      <c r="AF74" s="3329"/>
      <c r="AG74" s="3329"/>
      <c r="AH74" s="3329"/>
      <c r="AI74" s="3329"/>
      <c r="AJ74" s="3329"/>
      <c r="AK74" s="3331"/>
      <c r="AL74" s="3331"/>
      <c r="AM74" s="3273">
        <f t="shared" si="27"/>
        <v>0</v>
      </c>
    </row>
    <row r="75" spans="1:39" ht="45" hidden="1" customHeight="1">
      <c r="A75" s="3274">
        <v>70</v>
      </c>
      <c r="B75" s="3275" t="s">
        <v>179</v>
      </c>
      <c r="C75" s="3276"/>
      <c r="D75" s="3277" t="s">
        <v>2036</v>
      </c>
      <c r="E75" s="3332" t="s">
        <v>2037</v>
      </c>
      <c r="F75" s="3333" t="s">
        <v>2038</v>
      </c>
      <c r="G75" s="3280"/>
      <c r="H75" s="3315"/>
      <c r="I75" s="3334"/>
      <c r="J75" s="3334"/>
      <c r="K75" s="3283" t="s">
        <v>2039</v>
      </c>
      <c r="L75" s="3335" t="s">
        <v>179</v>
      </c>
      <c r="M75" s="3336"/>
      <c r="N75" s="3337" t="s">
        <v>2040</v>
      </c>
      <c r="O75" s="3278">
        <v>23174</v>
      </c>
      <c r="P75" s="3284">
        <v>5</v>
      </c>
      <c r="Q75" s="3284" t="s">
        <v>1950</v>
      </c>
      <c r="R75" s="3284" t="s">
        <v>1968</v>
      </c>
      <c r="S75" s="3338">
        <v>36000</v>
      </c>
      <c r="T75" s="3278" t="s">
        <v>1969</v>
      </c>
      <c r="U75" s="3287">
        <f>7*3</f>
        <v>21</v>
      </c>
      <c r="V75" s="3288">
        <f t="shared" ref="V75:V78" si="32">ROUNDDOWN(S75*U75,-3)</f>
        <v>756000</v>
      </c>
      <c r="W75" s="3288">
        <v>0</v>
      </c>
      <c r="X75" s="3288">
        <f t="shared" ref="X75:X82" si="33">V75-W75</f>
        <v>756000</v>
      </c>
      <c r="Y75" s="3288">
        <f t="shared" ref="Y75:Y82" si="34">X75+W75</f>
        <v>756000</v>
      </c>
      <c r="Z75" s="3318"/>
      <c r="AA75" s="3339"/>
      <c r="AB75" s="3340"/>
      <c r="AC75" s="3318"/>
      <c r="AD75" s="3294">
        <f>Y75</f>
        <v>756000</v>
      </c>
      <c r="AE75" s="3341"/>
      <c r="AF75" s="3294"/>
      <c r="AG75" s="3294"/>
      <c r="AH75" s="3294"/>
      <c r="AI75" s="3318"/>
      <c r="AJ75" s="3294"/>
      <c r="AK75" s="3294"/>
      <c r="AL75" s="3294">
        <f t="shared" ref="AL75:AL82" si="35">SUM(Z75:AK75)</f>
        <v>756000</v>
      </c>
      <c r="AM75" s="3273">
        <f t="shared" si="27"/>
        <v>0</v>
      </c>
    </row>
    <row r="76" spans="1:39" ht="45" hidden="1" customHeight="1">
      <c r="A76" s="3274">
        <v>71</v>
      </c>
      <c r="B76" s="3275" t="s">
        <v>179</v>
      </c>
      <c r="C76" s="3276"/>
      <c r="D76" s="3277" t="s">
        <v>2036</v>
      </c>
      <c r="E76" s="3332" t="s">
        <v>2037</v>
      </c>
      <c r="F76" s="3333" t="s">
        <v>2038</v>
      </c>
      <c r="G76" s="3280"/>
      <c r="H76" s="3315"/>
      <c r="I76" s="3334"/>
      <c r="J76" s="3334"/>
      <c r="K76" s="3283" t="s">
        <v>2039</v>
      </c>
      <c r="L76" s="3335" t="s">
        <v>179</v>
      </c>
      <c r="M76" s="3336"/>
      <c r="N76" s="3337" t="s">
        <v>2040</v>
      </c>
      <c r="O76" s="3278">
        <v>23174</v>
      </c>
      <c r="P76" s="3284">
        <v>5</v>
      </c>
      <c r="Q76" s="3284" t="s">
        <v>1950</v>
      </c>
      <c r="R76" s="3284" t="s">
        <v>1968</v>
      </c>
      <c r="S76" s="3338">
        <v>20000</v>
      </c>
      <c r="T76" s="3278" t="s">
        <v>1971</v>
      </c>
      <c r="U76" s="3287">
        <f>7*2</f>
        <v>14</v>
      </c>
      <c r="V76" s="3288">
        <f t="shared" si="32"/>
        <v>280000</v>
      </c>
      <c r="W76" s="3288">
        <v>0</v>
      </c>
      <c r="X76" s="3288">
        <f t="shared" si="33"/>
        <v>280000</v>
      </c>
      <c r="Y76" s="3288">
        <f t="shared" si="34"/>
        <v>280000</v>
      </c>
      <c r="Z76" s="3318"/>
      <c r="AA76" s="3339"/>
      <c r="AB76" s="3340"/>
      <c r="AC76" s="3318"/>
      <c r="AD76" s="3294">
        <f t="shared" ref="AD76:AD78" si="36">Y76</f>
        <v>280000</v>
      </c>
      <c r="AE76" s="3341"/>
      <c r="AF76" s="3294"/>
      <c r="AG76" s="3294"/>
      <c r="AH76" s="3294"/>
      <c r="AI76" s="3318"/>
      <c r="AJ76" s="3294"/>
      <c r="AK76" s="3294"/>
      <c r="AL76" s="3294">
        <f t="shared" si="35"/>
        <v>280000</v>
      </c>
      <c r="AM76" s="3273">
        <f t="shared" si="27"/>
        <v>0</v>
      </c>
    </row>
    <row r="77" spans="1:39" ht="45" hidden="1" customHeight="1">
      <c r="A77" s="3274">
        <v>72</v>
      </c>
      <c r="B77" s="3275" t="s">
        <v>179</v>
      </c>
      <c r="C77" s="3276"/>
      <c r="D77" s="3277" t="s">
        <v>2036</v>
      </c>
      <c r="E77" s="3332" t="s">
        <v>2037</v>
      </c>
      <c r="F77" s="3333" t="s">
        <v>2038</v>
      </c>
      <c r="G77" s="3280"/>
      <c r="H77" s="3315"/>
      <c r="I77" s="3334"/>
      <c r="J77" s="3334"/>
      <c r="K77" s="3283" t="s">
        <v>2039</v>
      </c>
      <c r="L77" s="3335" t="s">
        <v>179</v>
      </c>
      <c r="M77" s="3336"/>
      <c r="N77" s="3342" t="s">
        <v>2041</v>
      </c>
      <c r="O77" s="3278">
        <v>23174</v>
      </c>
      <c r="P77" s="3284">
        <v>5</v>
      </c>
      <c r="Q77" s="3284" t="s">
        <v>1950</v>
      </c>
      <c r="R77" s="3284" t="s">
        <v>1968</v>
      </c>
      <c r="S77" s="3338">
        <v>10000</v>
      </c>
      <c r="T77" s="3278" t="s">
        <v>1978</v>
      </c>
      <c r="U77" s="3287">
        <v>8</v>
      </c>
      <c r="V77" s="3288">
        <f t="shared" si="32"/>
        <v>80000</v>
      </c>
      <c r="W77" s="3288">
        <v>0</v>
      </c>
      <c r="X77" s="3288">
        <f t="shared" si="33"/>
        <v>80000</v>
      </c>
      <c r="Y77" s="3288">
        <f t="shared" si="34"/>
        <v>80000</v>
      </c>
      <c r="Z77" s="3318"/>
      <c r="AA77" s="3339"/>
      <c r="AB77" s="3340"/>
      <c r="AC77" s="3318"/>
      <c r="AD77" s="3294">
        <f t="shared" si="36"/>
        <v>80000</v>
      </c>
      <c r="AE77" s="3341"/>
      <c r="AF77" s="3294"/>
      <c r="AG77" s="3294"/>
      <c r="AH77" s="3294"/>
      <c r="AI77" s="3318"/>
      <c r="AJ77" s="3294"/>
      <c r="AK77" s="3294"/>
      <c r="AL77" s="3294">
        <f t="shared" si="35"/>
        <v>80000</v>
      </c>
      <c r="AM77" s="3273">
        <f t="shared" si="27"/>
        <v>0</v>
      </c>
    </row>
    <row r="78" spans="1:39" ht="45" hidden="1" customHeight="1">
      <c r="A78" s="3274">
        <v>73</v>
      </c>
      <c r="B78" s="3275" t="s">
        <v>179</v>
      </c>
      <c r="C78" s="3276"/>
      <c r="D78" s="3277" t="s">
        <v>2036</v>
      </c>
      <c r="E78" s="3332" t="s">
        <v>2037</v>
      </c>
      <c r="F78" s="3333" t="s">
        <v>2038</v>
      </c>
      <c r="G78" s="3280"/>
      <c r="H78" s="3315"/>
      <c r="I78" s="3334"/>
      <c r="J78" s="3334"/>
      <c r="K78" s="3283" t="s">
        <v>2039</v>
      </c>
      <c r="L78" s="3335" t="s">
        <v>179</v>
      </c>
      <c r="M78" s="3336"/>
      <c r="N78" s="3342" t="s">
        <v>2042</v>
      </c>
      <c r="O78" s="3278">
        <v>23174</v>
      </c>
      <c r="P78" s="3284">
        <v>5</v>
      </c>
      <c r="Q78" s="3284" t="s">
        <v>1950</v>
      </c>
      <c r="R78" s="3284" t="s">
        <v>1968</v>
      </c>
      <c r="S78" s="3338">
        <v>150</v>
      </c>
      <c r="T78" s="3278" t="s">
        <v>1969</v>
      </c>
      <c r="U78" s="3287">
        <f>(10*3)*12</f>
        <v>360</v>
      </c>
      <c r="V78" s="3288">
        <f t="shared" si="32"/>
        <v>54000</v>
      </c>
      <c r="W78" s="3288">
        <v>0</v>
      </c>
      <c r="X78" s="3288">
        <f t="shared" si="33"/>
        <v>54000</v>
      </c>
      <c r="Y78" s="3288">
        <f t="shared" si="34"/>
        <v>54000</v>
      </c>
      <c r="Z78" s="3318"/>
      <c r="AA78" s="3339"/>
      <c r="AB78" s="3340"/>
      <c r="AC78" s="3318"/>
      <c r="AD78" s="3294">
        <f t="shared" si="36"/>
        <v>54000</v>
      </c>
      <c r="AE78" s="3341"/>
      <c r="AF78" s="3294"/>
      <c r="AG78" s="3294"/>
      <c r="AH78" s="3294"/>
      <c r="AI78" s="3318"/>
      <c r="AJ78" s="3294"/>
      <c r="AK78" s="3294"/>
      <c r="AL78" s="3294">
        <f t="shared" si="35"/>
        <v>54000</v>
      </c>
      <c r="AM78" s="3273">
        <f t="shared" si="27"/>
        <v>0</v>
      </c>
    </row>
    <row r="79" spans="1:39" ht="49.5" hidden="1" customHeight="1">
      <c r="A79" s="3274">
        <v>74</v>
      </c>
      <c r="B79" s="3275" t="s">
        <v>179</v>
      </c>
      <c r="C79" s="3276"/>
      <c r="D79" s="3277" t="s">
        <v>2043</v>
      </c>
      <c r="E79" s="3278" t="s">
        <v>2044</v>
      </c>
      <c r="F79" s="3279" t="s">
        <v>2035</v>
      </c>
      <c r="G79" s="3274"/>
      <c r="H79" s="3281"/>
      <c r="I79" s="3282"/>
      <c r="J79" s="3282"/>
      <c r="K79" s="3283" t="s">
        <v>2039</v>
      </c>
      <c r="L79" s="3284" t="s">
        <v>179</v>
      </c>
      <c r="M79" s="3285"/>
      <c r="N79" s="3297" t="s">
        <v>2045</v>
      </c>
      <c r="O79" s="3287">
        <v>23174</v>
      </c>
      <c r="P79" s="3284">
        <v>5</v>
      </c>
      <c r="Q79" s="3284" t="s">
        <v>1950</v>
      </c>
      <c r="R79" s="3284" t="s">
        <v>1968</v>
      </c>
      <c r="S79" s="1568">
        <v>36000</v>
      </c>
      <c r="T79" s="3287" t="s">
        <v>1998</v>
      </c>
      <c r="U79" s="3287">
        <f>7*23</f>
        <v>161</v>
      </c>
      <c r="V79" s="3288">
        <f t="shared" ref="V79:V82" si="37">S79*U79</f>
        <v>5796000</v>
      </c>
      <c r="W79" s="3288">
        <v>0</v>
      </c>
      <c r="X79" s="3288">
        <f t="shared" si="33"/>
        <v>5796000</v>
      </c>
      <c r="Y79" s="3288">
        <f t="shared" si="34"/>
        <v>5796000</v>
      </c>
      <c r="Z79" s="3289"/>
      <c r="AA79" s="3290"/>
      <c r="AB79" s="3290"/>
      <c r="AC79" s="3290"/>
      <c r="AD79" s="3293">
        <f t="shared" ref="AD79:AD83" si="38">+Y79</f>
        <v>5796000</v>
      </c>
      <c r="AE79" s="3277"/>
      <c r="AF79" s="3277"/>
      <c r="AG79" s="3277"/>
      <c r="AH79" s="3277"/>
      <c r="AI79" s="3277"/>
      <c r="AJ79" s="3277"/>
      <c r="AK79" s="3277"/>
      <c r="AL79" s="3294">
        <f t="shared" si="35"/>
        <v>5796000</v>
      </c>
      <c r="AM79" s="3273">
        <f t="shared" si="27"/>
        <v>0</v>
      </c>
    </row>
    <row r="80" spans="1:39" ht="42.75" hidden="1" customHeight="1">
      <c r="A80" s="3274">
        <v>75</v>
      </c>
      <c r="B80" s="3275" t="s">
        <v>179</v>
      </c>
      <c r="C80" s="3276"/>
      <c r="D80" s="3277" t="s">
        <v>2043</v>
      </c>
      <c r="E80" s="3278" t="s">
        <v>2044</v>
      </c>
      <c r="F80" s="3279" t="s">
        <v>2035</v>
      </c>
      <c r="G80" s="3274"/>
      <c r="H80" s="3281"/>
      <c r="I80" s="3282"/>
      <c r="J80" s="3282"/>
      <c r="K80" s="3283" t="s">
        <v>2039</v>
      </c>
      <c r="L80" s="3284" t="s">
        <v>179</v>
      </c>
      <c r="M80" s="3285"/>
      <c r="N80" s="3297" t="s">
        <v>2046</v>
      </c>
      <c r="O80" s="3287">
        <v>23174</v>
      </c>
      <c r="P80" s="3284">
        <v>5</v>
      </c>
      <c r="Q80" s="3284" t="s">
        <v>1950</v>
      </c>
      <c r="R80" s="3284" t="s">
        <v>1968</v>
      </c>
      <c r="S80" s="1568">
        <v>20000</v>
      </c>
      <c r="T80" s="3287" t="s">
        <v>1998</v>
      </c>
      <c r="U80" s="3287">
        <f>6*23</f>
        <v>138</v>
      </c>
      <c r="V80" s="3288">
        <f t="shared" si="37"/>
        <v>2760000</v>
      </c>
      <c r="W80" s="3288">
        <v>0</v>
      </c>
      <c r="X80" s="3288">
        <f t="shared" si="33"/>
        <v>2760000</v>
      </c>
      <c r="Y80" s="3288">
        <f t="shared" si="34"/>
        <v>2760000</v>
      </c>
      <c r="Z80" s="3289"/>
      <c r="AA80" s="3290"/>
      <c r="AB80" s="3290"/>
      <c r="AC80" s="3290"/>
      <c r="AD80" s="3293">
        <f t="shared" si="38"/>
        <v>2760000</v>
      </c>
      <c r="AE80" s="3277"/>
      <c r="AF80" s="3277"/>
      <c r="AG80" s="3277"/>
      <c r="AH80" s="3277"/>
      <c r="AI80" s="3277"/>
      <c r="AJ80" s="3277"/>
      <c r="AK80" s="3277"/>
      <c r="AL80" s="3294">
        <f t="shared" si="35"/>
        <v>2760000</v>
      </c>
      <c r="AM80" s="3273">
        <f t="shared" si="27"/>
        <v>0</v>
      </c>
    </row>
    <row r="81" spans="1:39" ht="47.25" hidden="1" customHeight="1">
      <c r="A81" s="3274">
        <v>76</v>
      </c>
      <c r="B81" s="3275" t="s">
        <v>179</v>
      </c>
      <c r="C81" s="3276"/>
      <c r="D81" s="3277" t="s">
        <v>2043</v>
      </c>
      <c r="E81" s="3278" t="s">
        <v>2044</v>
      </c>
      <c r="F81" s="3279" t="s">
        <v>2035</v>
      </c>
      <c r="G81" s="3274"/>
      <c r="H81" s="3281"/>
      <c r="I81" s="3282"/>
      <c r="J81" s="3282"/>
      <c r="K81" s="3283" t="s">
        <v>2039</v>
      </c>
      <c r="L81" s="3284" t="s">
        <v>179</v>
      </c>
      <c r="M81" s="3285"/>
      <c r="N81" s="3297" t="s">
        <v>2047</v>
      </c>
      <c r="O81" s="3287">
        <v>23174</v>
      </c>
      <c r="P81" s="3284">
        <v>5</v>
      </c>
      <c r="Q81" s="3284" t="s">
        <v>1950</v>
      </c>
      <c r="R81" s="3284" t="s">
        <v>1968</v>
      </c>
      <c r="S81" s="1568">
        <v>15000</v>
      </c>
      <c r="T81" s="3287" t="s">
        <v>2048</v>
      </c>
      <c r="U81" s="3287">
        <v>20</v>
      </c>
      <c r="V81" s="3288">
        <f t="shared" si="37"/>
        <v>300000</v>
      </c>
      <c r="W81" s="3288">
        <v>0</v>
      </c>
      <c r="X81" s="3288">
        <f t="shared" si="33"/>
        <v>300000</v>
      </c>
      <c r="Y81" s="3288">
        <f t="shared" si="34"/>
        <v>300000</v>
      </c>
      <c r="Z81" s="3289"/>
      <c r="AA81" s="3290"/>
      <c r="AB81" s="3290"/>
      <c r="AC81" s="3290"/>
      <c r="AD81" s="3293">
        <f t="shared" si="38"/>
        <v>300000</v>
      </c>
      <c r="AE81" s="3277"/>
      <c r="AF81" s="3277"/>
      <c r="AG81" s="3277"/>
      <c r="AH81" s="3277"/>
      <c r="AI81" s="3277"/>
      <c r="AJ81" s="3277"/>
      <c r="AK81" s="3277"/>
      <c r="AL81" s="3294">
        <f t="shared" si="35"/>
        <v>300000</v>
      </c>
      <c r="AM81" s="3273">
        <f t="shared" si="27"/>
        <v>0</v>
      </c>
    </row>
    <row r="82" spans="1:39" ht="42" hidden="1" customHeight="1">
      <c r="A82" s="3274">
        <v>77</v>
      </c>
      <c r="B82" s="3275" t="s">
        <v>179</v>
      </c>
      <c r="C82" s="3276"/>
      <c r="D82" s="3277" t="s">
        <v>2043</v>
      </c>
      <c r="E82" s="3278" t="s">
        <v>2044</v>
      </c>
      <c r="F82" s="3279" t="s">
        <v>2035</v>
      </c>
      <c r="G82" s="3274"/>
      <c r="H82" s="3281"/>
      <c r="I82" s="3282"/>
      <c r="J82" s="3282"/>
      <c r="K82" s="3283" t="s">
        <v>2039</v>
      </c>
      <c r="L82" s="3284" t="s">
        <v>179</v>
      </c>
      <c r="M82" s="3285"/>
      <c r="N82" s="3297" t="s">
        <v>2049</v>
      </c>
      <c r="O82" s="3287">
        <v>23174</v>
      </c>
      <c r="P82" s="3284">
        <v>5</v>
      </c>
      <c r="Q82" s="3284" t="s">
        <v>1950</v>
      </c>
      <c r="R82" s="3284" t="s">
        <v>1968</v>
      </c>
      <c r="S82" s="1568">
        <v>5900</v>
      </c>
      <c r="T82" s="3287" t="s">
        <v>2010</v>
      </c>
      <c r="U82" s="3287">
        <f>5/100*130*3</f>
        <v>19.5</v>
      </c>
      <c r="V82" s="3288">
        <f t="shared" si="37"/>
        <v>115050</v>
      </c>
      <c r="W82" s="3288">
        <v>0</v>
      </c>
      <c r="X82" s="3288">
        <f t="shared" si="33"/>
        <v>115050</v>
      </c>
      <c r="Y82" s="3288">
        <f t="shared" si="34"/>
        <v>115050</v>
      </c>
      <c r="Z82" s="3289"/>
      <c r="AA82" s="3290"/>
      <c r="AB82" s="3290"/>
      <c r="AC82" s="3290"/>
      <c r="AD82" s="3293">
        <f t="shared" si="38"/>
        <v>115050</v>
      </c>
      <c r="AE82" s="3277"/>
      <c r="AF82" s="3277"/>
      <c r="AG82" s="3277"/>
      <c r="AH82" s="3277"/>
      <c r="AI82" s="3277"/>
      <c r="AJ82" s="3277"/>
      <c r="AK82" s="3277"/>
      <c r="AL82" s="3294">
        <f t="shared" si="35"/>
        <v>115050</v>
      </c>
      <c r="AM82" s="3273">
        <f t="shared" si="27"/>
        <v>0</v>
      </c>
    </row>
    <row r="83" spans="1:39" ht="33" hidden="1" customHeight="1">
      <c r="A83" s="3274">
        <v>78</v>
      </c>
      <c r="B83" s="3257"/>
      <c r="C83" s="3258"/>
      <c r="D83" s="3259"/>
      <c r="E83" s="3260" t="s">
        <v>2050</v>
      </c>
      <c r="F83" s="3343" t="s">
        <v>2051</v>
      </c>
      <c r="G83" s="3256"/>
      <c r="H83" s="3344"/>
      <c r="I83" s="3345"/>
      <c r="J83" s="3345"/>
      <c r="K83" s="3265"/>
      <c r="L83" s="3266"/>
      <c r="M83" s="3343"/>
      <c r="N83" s="3346"/>
      <c r="O83" s="3347"/>
      <c r="P83" s="3266"/>
      <c r="Q83" s="3266"/>
      <c r="R83" s="3266"/>
      <c r="S83" s="3348"/>
      <c r="T83" s="3347"/>
      <c r="U83" s="3347"/>
      <c r="V83" s="3270">
        <v>0</v>
      </c>
      <c r="W83" s="3270"/>
      <c r="X83" s="3270">
        <v>0</v>
      </c>
      <c r="Y83" s="3270">
        <v>0</v>
      </c>
      <c r="Z83" s="3271"/>
      <c r="AA83" s="3272">
        <f t="shared" si="28"/>
        <v>0</v>
      </c>
      <c r="AB83" s="3349"/>
      <c r="AC83" s="3349"/>
      <c r="AD83" s="3350">
        <f t="shared" si="38"/>
        <v>0</v>
      </c>
      <c r="AE83" s="3350"/>
      <c r="AF83" s="3259"/>
      <c r="AG83" s="3259"/>
      <c r="AH83" s="3259"/>
      <c r="AI83" s="3259"/>
      <c r="AJ83" s="3259"/>
      <c r="AK83" s="3259"/>
      <c r="AL83" s="3270">
        <v>0</v>
      </c>
      <c r="AM83" s="3273">
        <f t="shared" si="27"/>
        <v>0</v>
      </c>
    </row>
    <row r="84" spans="1:39" ht="60.75" hidden="1" customHeight="1">
      <c r="A84" s="3274">
        <v>79</v>
      </c>
      <c r="B84" s="3275" t="s">
        <v>179</v>
      </c>
      <c r="C84" s="3276"/>
      <c r="D84" s="3277" t="s">
        <v>2036</v>
      </c>
      <c r="E84" s="3278" t="s">
        <v>2052</v>
      </c>
      <c r="F84" s="3279" t="s">
        <v>2053</v>
      </c>
      <c r="G84" s="3274" t="s">
        <v>1965</v>
      </c>
      <c r="H84" s="3281">
        <v>5</v>
      </c>
      <c r="I84" s="3282"/>
      <c r="J84" s="3282"/>
      <c r="K84" s="3283" t="s">
        <v>1966</v>
      </c>
      <c r="L84" s="3284" t="s">
        <v>179</v>
      </c>
      <c r="M84" s="3285"/>
      <c r="N84" s="3297" t="s">
        <v>2054</v>
      </c>
      <c r="O84" s="3287">
        <v>23174</v>
      </c>
      <c r="P84" s="3284">
        <v>5</v>
      </c>
      <c r="Q84" s="3284" t="s">
        <v>1950</v>
      </c>
      <c r="R84" s="3284" t="s">
        <v>1968</v>
      </c>
      <c r="S84" s="1568">
        <v>36000</v>
      </c>
      <c r="T84" s="3287" t="s">
        <v>1969</v>
      </c>
      <c r="U84" s="3287">
        <f>5*13</f>
        <v>65</v>
      </c>
      <c r="V84" s="3288">
        <f t="shared" ref="V84:V90" si="39">S84*U84</f>
        <v>2340000</v>
      </c>
      <c r="W84" s="3288">
        <v>0</v>
      </c>
      <c r="X84" s="3288">
        <f t="shared" ref="X84:X97" si="40">V84-W84</f>
        <v>2340000</v>
      </c>
      <c r="Y84" s="3288">
        <f t="shared" ref="Y84:Y97" si="41">X84+W84</f>
        <v>2340000</v>
      </c>
      <c r="Z84" s="3289"/>
      <c r="AA84" s="3301">
        <f>Y84</f>
        <v>2340000</v>
      </c>
      <c r="AB84" s="3291"/>
      <c r="AC84" s="3291"/>
      <c r="AD84" s="3296"/>
      <c r="AE84" s="3296"/>
      <c r="AF84" s="3295"/>
      <c r="AG84" s="3277"/>
      <c r="AH84" s="3277"/>
      <c r="AI84" s="3277"/>
      <c r="AJ84" s="3277"/>
      <c r="AK84" s="3277"/>
      <c r="AL84" s="3294">
        <f t="shared" ref="AL84:AL90" si="42">SUM(Z84:AK84)</f>
        <v>2340000</v>
      </c>
      <c r="AM84" s="3273">
        <f t="shared" si="27"/>
        <v>0</v>
      </c>
    </row>
    <row r="85" spans="1:39" ht="60.75" hidden="1" customHeight="1">
      <c r="A85" s="3274">
        <v>80</v>
      </c>
      <c r="B85" s="3275" t="s">
        <v>179</v>
      </c>
      <c r="C85" s="3276"/>
      <c r="D85" s="3277" t="s">
        <v>2036</v>
      </c>
      <c r="E85" s="3278" t="s">
        <v>2052</v>
      </c>
      <c r="F85" s="3279" t="s">
        <v>2053</v>
      </c>
      <c r="G85" s="3274" t="s">
        <v>1965</v>
      </c>
      <c r="H85" s="3281">
        <v>5</v>
      </c>
      <c r="I85" s="3282"/>
      <c r="J85" s="3282"/>
      <c r="K85" s="3283" t="s">
        <v>1966</v>
      </c>
      <c r="L85" s="3284" t="s">
        <v>179</v>
      </c>
      <c r="M85" s="3285"/>
      <c r="N85" s="3297" t="s">
        <v>2055</v>
      </c>
      <c r="O85" s="3287">
        <v>23174</v>
      </c>
      <c r="P85" s="3284">
        <v>5</v>
      </c>
      <c r="Q85" s="3284" t="s">
        <v>1950</v>
      </c>
      <c r="R85" s="3284" t="s">
        <v>1968</v>
      </c>
      <c r="S85" s="1568">
        <v>36000</v>
      </c>
      <c r="T85" s="3287" t="s">
        <v>1969</v>
      </c>
      <c r="U85" s="3287">
        <f>3*1</f>
        <v>3</v>
      </c>
      <c r="V85" s="3288">
        <f t="shared" si="39"/>
        <v>108000</v>
      </c>
      <c r="W85" s="3288">
        <v>0</v>
      </c>
      <c r="X85" s="3288">
        <f t="shared" si="40"/>
        <v>108000</v>
      </c>
      <c r="Y85" s="3288">
        <f t="shared" si="41"/>
        <v>108000</v>
      </c>
      <c r="Z85" s="3289"/>
      <c r="AA85" s="3301">
        <f t="shared" ref="AA85:AA97" si="43">Y85</f>
        <v>108000</v>
      </c>
      <c r="AB85" s="3291"/>
      <c r="AC85" s="3291"/>
      <c r="AD85" s="3296"/>
      <c r="AE85" s="3296"/>
      <c r="AF85" s="3295"/>
      <c r="AG85" s="3277"/>
      <c r="AH85" s="3277"/>
      <c r="AI85" s="3277"/>
      <c r="AJ85" s="3277"/>
      <c r="AK85" s="3277"/>
      <c r="AL85" s="3294">
        <f t="shared" si="42"/>
        <v>108000</v>
      </c>
      <c r="AM85" s="3273">
        <f t="shared" si="27"/>
        <v>0</v>
      </c>
    </row>
    <row r="86" spans="1:39" ht="43.9" hidden="1" customHeight="1">
      <c r="A86" s="3274">
        <v>81</v>
      </c>
      <c r="B86" s="3275" t="s">
        <v>179</v>
      </c>
      <c r="C86" s="3276"/>
      <c r="D86" s="3277" t="s">
        <v>2036</v>
      </c>
      <c r="E86" s="3278" t="s">
        <v>2052</v>
      </c>
      <c r="F86" s="3279" t="s">
        <v>2053</v>
      </c>
      <c r="G86" s="3274" t="s">
        <v>1965</v>
      </c>
      <c r="H86" s="3281">
        <v>5</v>
      </c>
      <c r="I86" s="3282"/>
      <c r="J86" s="3282"/>
      <c r="K86" s="3283" t="s">
        <v>1966</v>
      </c>
      <c r="L86" s="3284" t="s">
        <v>179</v>
      </c>
      <c r="M86" s="3285"/>
      <c r="N86" s="3297" t="s">
        <v>2056</v>
      </c>
      <c r="O86" s="3287">
        <v>23174</v>
      </c>
      <c r="P86" s="3284">
        <v>5</v>
      </c>
      <c r="Q86" s="3284" t="s">
        <v>1950</v>
      </c>
      <c r="R86" s="3284" t="s">
        <v>1968</v>
      </c>
      <c r="S86" s="1568">
        <v>20000</v>
      </c>
      <c r="T86" s="3287" t="s">
        <v>1971</v>
      </c>
      <c r="U86" s="3287">
        <f>4*12</f>
        <v>48</v>
      </c>
      <c r="V86" s="3288">
        <f t="shared" si="39"/>
        <v>960000</v>
      </c>
      <c r="W86" s="3288">
        <v>0</v>
      </c>
      <c r="X86" s="3288">
        <f t="shared" si="40"/>
        <v>960000</v>
      </c>
      <c r="Y86" s="3288">
        <f t="shared" si="41"/>
        <v>960000</v>
      </c>
      <c r="Z86" s="3289"/>
      <c r="AA86" s="3301">
        <f t="shared" si="43"/>
        <v>960000</v>
      </c>
      <c r="AB86" s="3291"/>
      <c r="AC86" s="3291"/>
      <c r="AD86" s="3296"/>
      <c r="AE86" s="3296"/>
      <c r="AF86" s="3295"/>
      <c r="AG86" s="3277"/>
      <c r="AH86" s="3277"/>
      <c r="AI86" s="3277"/>
      <c r="AJ86" s="3277"/>
      <c r="AK86" s="3277"/>
      <c r="AL86" s="3294">
        <f t="shared" si="42"/>
        <v>960000</v>
      </c>
      <c r="AM86" s="3273">
        <f t="shared" si="27"/>
        <v>0</v>
      </c>
    </row>
    <row r="87" spans="1:39" ht="43.9" hidden="1" customHeight="1">
      <c r="A87" s="3274">
        <v>82</v>
      </c>
      <c r="B87" s="3275" t="s">
        <v>179</v>
      </c>
      <c r="C87" s="3276"/>
      <c r="D87" s="3277" t="s">
        <v>2036</v>
      </c>
      <c r="E87" s="3278" t="s">
        <v>2052</v>
      </c>
      <c r="F87" s="3279" t="s">
        <v>2053</v>
      </c>
      <c r="G87" s="3274" t="s">
        <v>1965</v>
      </c>
      <c r="H87" s="3281">
        <v>5</v>
      </c>
      <c r="I87" s="3282"/>
      <c r="J87" s="3282"/>
      <c r="K87" s="3283" t="s">
        <v>1966</v>
      </c>
      <c r="L87" s="3284" t="s">
        <v>179</v>
      </c>
      <c r="M87" s="3285"/>
      <c r="N87" s="3297" t="s">
        <v>2057</v>
      </c>
      <c r="O87" s="3287">
        <v>23174</v>
      </c>
      <c r="P87" s="3284">
        <v>5</v>
      </c>
      <c r="Q87" s="3284" t="s">
        <v>1950</v>
      </c>
      <c r="R87" s="3284" t="s">
        <v>1968</v>
      </c>
      <c r="S87" s="1568">
        <v>20000</v>
      </c>
      <c r="T87" s="3287" t="s">
        <v>1971</v>
      </c>
      <c r="U87" s="3287">
        <f>2*1</f>
        <v>2</v>
      </c>
      <c r="V87" s="3288">
        <f t="shared" si="39"/>
        <v>40000</v>
      </c>
      <c r="W87" s="3288">
        <v>0</v>
      </c>
      <c r="X87" s="3288">
        <f t="shared" si="40"/>
        <v>40000</v>
      </c>
      <c r="Y87" s="3288">
        <f t="shared" si="41"/>
        <v>40000</v>
      </c>
      <c r="Z87" s="3289"/>
      <c r="AA87" s="3301">
        <f t="shared" si="43"/>
        <v>40000</v>
      </c>
      <c r="AB87" s="3291"/>
      <c r="AC87" s="3291"/>
      <c r="AD87" s="3296"/>
      <c r="AE87" s="3296"/>
      <c r="AF87" s="3295"/>
      <c r="AG87" s="3277"/>
      <c r="AH87" s="3277"/>
      <c r="AI87" s="3277"/>
      <c r="AJ87" s="3277"/>
      <c r="AK87" s="3277"/>
      <c r="AL87" s="3294">
        <f t="shared" si="42"/>
        <v>40000</v>
      </c>
      <c r="AM87" s="3273">
        <f t="shared" si="27"/>
        <v>0</v>
      </c>
    </row>
    <row r="88" spans="1:39" ht="43.5" customHeight="1">
      <c r="A88" s="3274">
        <v>83</v>
      </c>
      <c r="B88" s="3275" t="s">
        <v>179</v>
      </c>
      <c r="C88" s="3276"/>
      <c r="D88" s="3277" t="s">
        <v>2036</v>
      </c>
      <c r="E88" s="3278" t="s">
        <v>2052</v>
      </c>
      <c r="F88" s="3279" t="s">
        <v>2053</v>
      </c>
      <c r="G88" s="3274" t="s">
        <v>1965</v>
      </c>
      <c r="H88" s="3281">
        <v>5</v>
      </c>
      <c r="I88" s="3282"/>
      <c r="J88" s="3282"/>
      <c r="K88" s="3283" t="s">
        <v>1966</v>
      </c>
      <c r="L88" s="3284" t="s">
        <v>179</v>
      </c>
      <c r="M88" s="3285"/>
      <c r="N88" s="3297" t="s">
        <v>2058</v>
      </c>
      <c r="O88" s="3287">
        <v>23173</v>
      </c>
      <c r="P88" s="3284">
        <v>5</v>
      </c>
      <c r="Q88" s="3284" t="s">
        <v>1950</v>
      </c>
      <c r="R88" s="3284" t="s">
        <v>1968</v>
      </c>
      <c r="S88" s="1568">
        <v>1000</v>
      </c>
      <c r="T88" s="3287" t="s">
        <v>1984</v>
      </c>
      <c r="U88" s="3287">
        <v>20</v>
      </c>
      <c r="V88" s="3288">
        <f t="shared" si="39"/>
        <v>20000</v>
      </c>
      <c r="W88" s="3288">
        <v>0</v>
      </c>
      <c r="X88" s="3288">
        <f t="shared" si="40"/>
        <v>20000</v>
      </c>
      <c r="Y88" s="3288">
        <f t="shared" si="41"/>
        <v>20000</v>
      </c>
      <c r="Z88" s="3289"/>
      <c r="AA88" s="3301">
        <f t="shared" si="43"/>
        <v>20000</v>
      </c>
      <c r="AB88" s="3291"/>
      <c r="AC88" s="3291"/>
      <c r="AD88" s="3296"/>
      <c r="AE88" s="3296"/>
      <c r="AF88" s="3295"/>
      <c r="AG88" s="3277"/>
      <c r="AH88" s="3277"/>
      <c r="AI88" s="3277"/>
      <c r="AJ88" s="3277"/>
      <c r="AK88" s="3277"/>
      <c r="AL88" s="3294">
        <f t="shared" si="42"/>
        <v>20000</v>
      </c>
      <c r="AM88" s="3273">
        <f t="shared" si="27"/>
        <v>0</v>
      </c>
    </row>
    <row r="89" spans="1:39" ht="45.75" customHeight="1">
      <c r="A89" s="3274">
        <v>84</v>
      </c>
      <c r="B89" s="3275" t="s">
        <v>179</v>
      </c>
      <c r="C89" s="3276"/>
      <c r="D89" s="3277" t="s">
        <v>2036</v>
      </c>
      <c r="E89" s="3278" t="s">
        <v>2052</v>
      </c>
      <c r="F89" s="3279" t="s">
        <v>2053</v>
      </c>
      <c r="G89" s="3274" t="s">
        <v>1965</v>
      </c>
      <c r="H89" s="3281">
        <v>5</v>
      </c>
      <c r="I89" s="3282"/>
      <c r="J89" s="3282"/>
      <c r="K89" s="3283" t="s">
        <v>1966</v>
      </c>
      <c r="L89" s="3284" t="s">
        <v>179</v>
      </c>
      <c r="M89" s="3285"/>
      <c r="N89" s="3297" t="s">
        <v>1990</v>
      </c>
      <c r="O89" s="3287">
        <v>23173</v>
      </c>
      <c r="P89" s="3284">
        <v>5</v>
      </c>
      <c r="Q89" s="3284" t="s">
        <v>1950</v>
      </c>
      <c r="R89" s="3284" t="s">
        <v>1968</v>
      </c>
      <c r="S89" s="1568">
        <v>4000</v>
      </c>
      <c r="T89" s="3287" t="s">
        <v>1984</v>
      </c>
      <c r="U89" s="3287">
        <v>1</v>
      </c>
      <c r="V89" s="3288">
        <f t="shared" si="39"/>
        <v>4000</v>
      </c>
      <c r="W89" s="3288">
        <v>0</v>
      </c>
      <c r="X89" s="3288">
        <f t="shared" si="40"/>
        <v>4000</v>
      </c>
      <c r="Y89" s="3288">
        <f t="shared" si="41"/>
        <v>4000</v>
      </c>
      <c r="Z89" s="3289"/>
      <c r="AA89" s="3301">
        <f t="shared" si="43"/>
        <v>4000</v>
      </c>
      <c r="AB89" s="3291"/>
      <c r="AC89" s="3291"/>
      <c r="AD89" s="3296"/>
      <c r="AE89" s="3296"/>
      <c r="AF89" s="3295"/>
      <c r="AG89" s="3277"/>
      <c r="AH89" s="3277"/>
      <c r="AI89" s="3277"/>
      <c r="AJ89" s="3277"/>
      <c r="AK89" s="3277"/>
      <c r="AL89" s="3294">
        <f t="shared" si="42"/>
        <v>4000</v>
      </c>
      <c r="AM89" s="3273">
        <f t="shared" si="27"/>
        <v>0</v>
      </c>
    </row>
    <row r="90" spans="1:39" ht="45.75" customHeight="1">
      <c r="A90" s="3274">
        <v>85</v>
      </c>
      <c r="B90" s="3275" t="s">
        <v>179</v>
      </c>
      <c r="C90" s="3276"/>
      <c r="D90" s="3277" t="s">
        <v>2036</v>
      </c>
      <c r="E90" s="3278" t="s">
        <v>2052</v>
      </c>
      <c r="F90" s="3279" t="s">
        <v>2053</v>
      </c>
      <c r="G90" s="3274" t="s">
        <v>1965</v>
      </c>
      <c r="H90" s="3281">
        <v>5</v>
      </c>
      <c r="I90" s="3282"/>
      <c r="J90" s="3282"/>
      <c r="K90" s="3283" t="s">
        <v>1966</v>
      </c>
      <c r="L90" s="3284" t="s">
        <v>179</v>
      </c>
      <c r="M90" s="3285"/>
      <c r="N90" s="3297" t="s">
        <v>1988</v>
      </c>
      <c r="O90" s="3287">
        <v>23173</v>
      </c>
      <c r="P90" s="3284">
        <v>5</v>
      </c>
      <c r="Q90" s="3284" t="s">
        <v>1950</v>
      </c>
      <c r="R90" s="3284" t="s">
        <v>1968</v>
      </c>
      <c r="S90" s="1568">
        <v>10000</v>
      </c>
      <c r="T90" s="3287" t="s">
        <v>1989</v>
      </c>
      <c r="U90" s="3287">
        <v>1</v>
      </c>
      <c r="V90" s="3288">
        <f t="shared" si="39"/>
        <v>10000</v>
      </c>
      <c r="W90" s="3288">
        <v>0</v>
      </c>
      <c r="X90" s="3288">
        <f t="shared" si="40"/>
        <v>10000</v>
      </c>
      <c r="Y90" s="3288">
        <f t="shared" si="41"/>
        <v>10000</v>
      </c>
      <c r="Z90" s="3289"/>
      <c r="AA90" s="3301">
        <f t="shared" si="43"/>
        <v>10000</v>
      </c>
      <c r="AB90" s="3291"/>
      <c r="AC90" s="3291"/>
      <c r="AD90" s="3296"/>
      <c r="AE90" s="3296"/>
      <c r="AF90" s="3295"/>
      <c r="AG90" s="3277"/>
      <c r="AH90" s="3277"/>
      <c r="AI90" s="3277"/>
      <c r="AJ90" s="3277"/>
      <c r="AK90" s="3277"/>
      <c r="AL90" s="3294">
        <f t="shared" si="42"/>
        <v>10000</v>
      </c>
      <c r="AM90" s="3273">
        <f t="shared" si="27"/>
        <v>0</v>
      </c>
    </row>
    <row r="91" spans="1:39" ht="38.25" hidden="1" customHeight="1">
      <c r="A91" s="3274">
        <v>86</v>
      </c>
      <c r="B91" s="3275" t="s">
        <v>179</v>
      </c>
      <c r="C91" s="3276"/>
      <c r="D91" s="3277" t="s">
        <v>2036</v>
      </c>
      <c r="E91" s="3278" t="s">
        <v>2052</v>
      </c>
      <c r="F91" s="3279" t="s">
        <v>2053</v>
      </c>
      <c r="G91" s="3274" t="s">
        <v>1965</v>
      </c>
      <c r="H91" s="3281">
        <v>5</v>
      </c>
      <c r="I91" s="3282"/>
      <c r="J91" s="3282"/>
      <c r="K91" s="3283" t="s">
        <v>1966</v>
      </c>
      <c r="L91" s="3284" t="s">
        <v>179</v>
      </c>
      <c r="M91" s="3285"/>
      <c r="N91" s="3286" t="s">
        <v>1993</v>
      </c>
      <c r="O91" s="3287">
        <v>23174</v>
      </c>
      <c r="P91" s="3284">
        <v>5</v>
      </c>
      <c r="Q91" s="3284" t="s">
        <v>1950</v>
      </c>
      <c r="R91" s="3284" t="s">
        <v>1968</v>
      </c>
      <c r="S91" s="1568">
        <v>36000</v>
      </c>
      <c r="T91" s="3287" t="s">
        <v>1969</v>
      </c>
      <c r="U91" s="3287">
        <v>3</v>
      </c>
      <c r="V91" s="3288">
        <f>S91*U91</f>
        <v>108000</v>
      </c>
      <c r="W91" s="3288">
        <v>0</v>
      </c>
      <c r="X91" s="3288">
        <f t="shared" si="40"/>
        <v>108000</v>
      </c>
      <c r="Y91" s="3288">
        <f t="shared" si="41"/>
        <v>108000</v>
      </c>
      <c r="Z91" s="3289"/>
      <c r="AA91" s="3301">
        <f t="shared" si="43"/>
        <v>108000</v>
      </c>
      <c r="AB91" s="3291"/>
      <c r="AC91" s="3291"/>
      <c r="AD91" s="3296"/>
      <c r="AE91" s="3296"/>
      <c r="AF91" s="3295"/>
      <c r="AG91" s="3277"/>
      <c r="AH91" s="3277"/>
      <c r="AI91" s="3277"/>
      <c r="AJ91" s="3277"/>
      <c r="AK91" s="3277"/>
      <c r="AL91" s="3294">
        <f>SUM(Z91:AK91)</f>
        <v>108000</v>
      </c>
      <c r="AM91" s="3273">
        <f t="shared" si="27"/>
        <v>0</v>
      </c>
    </row>
    <row r="92" spans="1:39" ht="38.25" hidden="1" customHeight="1">
      <c r="A92" s="3274">
        <v>87</v>
      </c>
      <c r="B92" s="3275" t="s">
        <v>179</v>
      </c>
      <c r="C92" s="3276"/>
      <c r="D92" s="3277" t="s">
        <v>2036</v>
      </c>
      <c r="E92" s="3278" t="s">
        <v>2052</v>
      </c>
      <c r="F92" s="3279" t="s">
        <v>2053</v>
      </c>
      <c r="G92" s="3274" t="s">
        <v>1965</v>
      </c>
      <c r="H92" s="3281">
        <v>5</v>
      </c>
      <c r="I92" s="3282"/>
      <c r="J92" s="3282"/>
      <c r="K92" s="3283" t="s">
        <v>1966</v>
      </c>
      <c r="L92" s="3284" t="s">
        <v>179</v>
      </c>
      <c r="M92" s="3285"/>
      <c r="N92" s="3286" t="s">
        <v>1994</v>
      </c>
      <c r="O92" s="3287">
        <v>23174</v>
      </c>
      <c r="P92" s="3284">
        <v>5</v>
      </c>
      <c r="Q92" s="3284" t="s">
        <v>1950</v>
      </c>
      <c r="R92" s="3284" t="s">
        <v>1968</v>
      </c>
      <c r="S92" s="1568">
        <v>40000</v>
      </c>
      <c r="T92" s="3287" t="s">
        <v>1995</v>
      </c>
      <c r="U92" s="3287">
        <v>2</v>
      </c>
      <c r="V92" s="3288">
        <f>S92*U92</f>
        <v>80000</v>
      </c>
      <c r="W92" s="3288">
        <v>0</v>
      </c>
      <c r="X92" s="3288">
        <f t="shared" si="40"/>
        <v>80000</v>
      </c>
      <c r="Y92" s="3288">
        <f t="shared" si="41"/>
        <v>80000</v>
      </c>
      <c r="Z92" s="3289"/>
      <c r="AA92" s="3301">
        <f t="shared" si="43"/>
        <v>80000</v>
      </c>
      <c r="AB92" s="3291"/>
      <c r="AC92" s="3291"/>
      <c r="AD92" s="3296"/>
      <c r="AE92" s="3296"/>
      <c r="AF92" s="3295"/>
      <c r="AG92" s="3277"/>
      <c r="AH92" s="3277"/>
      <c r="AI92" s="3277"/>
      <c r="AJ92" s="3277"/>
      <c r="AK92" s="3277"/>
      <c r="AL92" s="3294">
        <f t="shared" ref="AL92:AL97" si="44">SUM(Z92:AK92)</f>
        <v>80000</v>
      </c>
      <c r="AM92" s="3273">
        <f t="shared" si="27"/>
        <v>0</v>
      </c>
    </row>
    <row r="93" spans="1:39" ht="38.25" hidden="1" customHeight="1">
      <c r="A93" s="3274">
        <v>88</v>
      </c>
      <c r="B93" s="3275" t="s">
        <v>179</v>
      </c>
      <c r="C93" s="3276"/>
      <c r="D93" s="3277" t="s">
        <v>2036</v>
      </c>
      <c r="E93" s="3278" t="s">
        <v>2052</v>
      </c>
      <c r="F93" s="3279" t="s">
        <v>2053</v>
      </c>
      <c r="G93" s="3274" t="s">
        <v>1965</v>
      </c>
      <c r="H93" s="3281">
        <v>5</v>
      </c>
      <c r="I93" s="3282"/>
      <c r="J93" s="3282"/>
      <c r="K93" s="3283" t="s">
        <v>1966</v>
      </c>
      <c r="L93" s="3284" t="s">
        <v>179</v>
      </c>
      <c r="M93" s="3285"/>
      <c r="N93" s="3286" t="s">
        <v>1996</v>
      </c>
      <c r="O93" s="3287">
        <v>23174</v>
      </c>
      <c r="P93" s="3284">
        <v>5</v>
      </c>
      <c r="Q93" s="3284" t="s">
        <v>1950</v>
      </c>
      <c r="R93" s="3284" t="s">
        <v>1968</v>
      </c>
      <c r="S93" s="1568">
        <f>15000*2</f>
        <v>30000</v>
      </c>
      <c r="T93" s="3287" t="s">
        <v>1973</v>
      </c>
      <c r="U93" s="3287">
        <v>1</v>
      </c>
      <c r="V93" s="3288">
        <f>S93*U93</f>
        <v>30000</v>
      </c>
      <c r="W93" s="3288">
        <v>0</v>
      </c>
      <c r="X93" s="3288">
        <f t="shared" si="40"/>
        <v>30000</v>
      </c>
      <c r="Y93" s="3288">
        <f t="shared" si="41"/>
        <v>30000</v>
      </c>
      <c r="Z93" s="3289"/>
      <c r="AA93" s="3301">
        <f t="shared" si="43"/>
        <v>30000</v>
      </c>
      <c r="AB93" s="3291"/>
      <c r="AC93" s="3291"/>
      <c r="AD93" s="3296"/>
      <c r="AE93" s="3296"/>
      <c r="AF93" s="3295"/>
      <c r="AG93" s="3277"/>
      <c r="AH93" s="3277"/>
      <c r="AI93" s="3277"/>
      <c r="AJ93" s="3277"/>
      <c r="AK93" s="3277"/>
      <c r="AL93" s="3294">
        <f t="shared" si="44"/>
        <v>30000</v>
      </c>
      <c r="AM93" s="3273">
        <f t="shared" si="27"/>
        <v>0</v>
      </c>
    </row>
    <row r="94" spans="1:39" ht="43.9" hidden="1" customHeight="1">
      <c r="A94" s="3274">
        <v>89</v>
      </c>
      <c r="B94" s="3275" t="s">
        <v>179</v>
      </c>
      <c r="C94" s="3276"/>
      <c r="D94" s="3277" t="s">
        <v>2036</v>
      </c>
      <c r="E94" s="3278" t="s">
        <v>2052</v>
      </c>
      <c r="F94" s="3279" t="s">
        <v>2053</v>
      </c>
      <c r="G94" s="3274" t="s">
        <v>1965</v>
      </c>
      <c r="H94" s="3281">
        <v>5</v>
      </c>
      <c r="I94" s="3282"/>
      <c r="J94" s="3282"/>
      <c r="K94" s="3283" t="s">
        <v>1966</v>
      </c>
      <c r="L94" s="3284" t="s">
        <v>179</v>
      </c>
      <c r="M94" s="3285"/>
      <c r="N94" s="3297" t="s">
        <v>2059</v>
      </c>
      <c r="O94" s="3287">
        <v>23174</v>
      </c>
      <c r="P94" s="3284">
        <v>5</v>
      </c>
      <c r="Q94" s="3284" t="s">
        <v>1950</v>
      </c>
      <c r="R94" s="3284" t="s">
        <v>1968</v>
      </c>
      <c r="S94" s="1568">
        <v>20000</v>
      </c>
      <c r="T94" s="3287" t="s">
        <v>1971</v>
      </c>
      <c r="U94" s="3287">
        <f>4*13</f>
        <v>52</v>
      </c>
      <c r="V94" s="3288">
        <f t="shared" ref="V94:V97" si="45">S94*U94</f>
        <v>1040000</v>
      </c>
      <c r="W94" s="3288">
        <v>0</v>
      </c>
      <c r="X94" s="3288">
        <f t="shared" si="40"/>
        <v>1040000</v>
      </c>
      <c r="Y94" s="3288">
        <f t="shared" si="41"/>
        <v>1040000</v>
      </c>
      <c r="Z94" s="3289"/>
      <c r="AA94" s="3301">
        <f t="shared" si="43"/>
        <v>1040000</v>
      </c>
      <c r="AB94" s="3291"/>
      <c r="AC94" s="3291"/>
      <c r="AD94" s="3296"/>
      <c r="AE94" s="3296"/>
      <c r="AF94" s="3295"/>
      <c r="AG94" s="3277"/>
      <c r="AH94" s="3277"/>
      <c r="AI94" s="3277"/>
      <c r="AJ94" s="3277"/>
      <c r="AK94" s="3277"/>
      <c r="AL94" s="3294">
        <f t="shared" si="44"/>
        <v>1040000</v>
      </c>
      <c r="AM94" s="3273">
        <f t="shared" si="27"/>
        <v>0</v>
      </c>
    </row>
    <row r="95" spans="1:39" ht="61.9" hidden="1" customHeight="1">
      <c r="A95" s="3274">
        <v>90</v>
      </c>
      <c r="B95" s="3275" t="s">
        <v>179</v>
      </c>
      <c r="C95" s="3276"/>
      <c r="D95" s="3277" t="s">
        <v>2036</v>
      </c>
      <c r="E95" s="3278" t="s">
        <v>2052</v>
      </c>
      <c r="F95" s="3279" t="s">
        <v>2053</v>
      </c>
      <c r="G95" s="3274" t="s">
        <v>1965</v>
      </c>
      <c r="H95" s="3281">
        <v>5</v>
      </c>
      <c r="I95" s="3282"/>
      <c r="J95" s="3282"/>
      <c r="K95" s="3283" t="s">
        <v>1966</v>
      </c>
      <c r="L95" s="3284" t="s">
        <v>179</v>
      </c>
      <c r="M95" s="3285"/>
      <c r="N95" s="3297" t="s">
        <v>2060</v>
      </c>
      <c r="O95" s="3287">
        <v>23174</v>
      </c>
      <c r="P95" s="3284">
        <v>5</v>
      </c>
      <c r="Q95" s="3284" t="s">
        <v>1950</v>
      </c>
      <c r="R95" s="3284" t="s">
        <v>1968</v>
      </c>
      <c r="S95" s="1568">
        <f>10000*2</f>
        <v>20000</v>
      </c>
      <c r="T95" s="3287" t="s">
        <v>2048</v>
      </c>
      <c r="U95" s="3287">
        <v>14</v>
      </c>
      <c r="V95" s="3288">
        <f t="shared" si="45"/>
        <v>280000</v>
      </c>
      <c r="W95" s="3288">
        <v>0</v>
      </c>
      <c r="X95" s="3288">
        <f t="shared" si="40"/>
        <v>280000</v>
      </c>
      <c r="Y95" s="3288">
        <f t="shared" si="41"/>
        <v>280000</v>
      </c>
      <c r="Z95" s="3289"/>
      <c r="AA95" s="3301">
        <f t="shared" si="43"/>
        <v>280000</v>
      </c>
      <c r="AB95" s="3291"/>
      <c r="AC95" s="3291"/>
      <c r="AD95" s="3296"/>
      <c r="AE95" s="3296"/>
      <c r="AF95" s="3295"/>
      <c r="AG95" s="3277"/>
      <c r="AH95" s="3277"/>
      <c r="AI95" s="3277"/>
      <c r="AJ95" s="3277"/>
      <c r="AK95" s="3277"/>
      <c r="AL95" s="3294">
        <f t="shared" si="44"/>
        <v>280000</v>
      </c>
      <c r="AM95" s="3273">
        <f t="shared" si="27"/>
        <v>0</v>
      </c>
    </row>
    <row r="96" spans="1:39" ht="31.5">
      <c r="A96" s="3274">
        <v>91</v>
      </c>
      <c r="B96" s="3275" t="s">
        <v>179</v>
      </c>
      <c r="C96" s="3276"/>
      <c r="D96" s="3277" t="s">
        <v>2036</v>
      </c>
      <c r="E96" s="3278" t="s">
        <v>2052</v>
      </c>
      <c r="F96" s="3279" t="s">
        <v>2053</v>
      </c>
      <c r="G96" s="3274" t="s">
        <v>1965</v>
      </c>
      <c r="H96" s="3281">
        <v>5</v>
      </c>
      <c r="I96" s="3282"/>
      <c r="J96" s="3282"/>
      <c r="K96" s="3283" t="s">
        <v>1966</v>
      </c>
      <c r="L96" s="3284" t="s">
        <v>179</v>
      </c>
      <c r="M96" s="3285"/>
      <c r="N96" s="3302" t="s">
        <v>2032</v>
      </c>
      <c r="O96" s="3287">
        <v>23173</v>
      </c>
      <c r="P96" s="3284">
        <v>5</v>
      </c>
      <c r="Q96" s="3284" t="s">
        <v>1950</v>
      </c>
      <c r="R96" s="3284" t="s">
        <v>1968</v>
      </c>
      <c r="S96" s="1568">
        <v>100</v>
      </c>
      <c r="T96" s="3287" t="s">
        <v>2016</v>
      </c>
      <c r="U96" s="3287">
        <v>30</v>
      </c>
      <c r="V96" s="3288">
        <f t="shared" si="45"/>
        <v>3000</v>
      </c>
      <c r="W96" s="3288">
        <v>0</v>
      </c>
      <c r="X96" s="3288">
        <f t="shared" si="40"/>
        <v>3000</v>
      </c>
      <c r="Y96" s="3288">
        <f t="shared" si="41"/>
        <v>3000</v>
      </c>
      <c r="Z96" s="3289"/>
      <c r="AA96" s="3301">
        <f t="shared" si="43"/>
        <v>3000</v>
      </c>
      <c r="AB96" s="3291"/>
      <c r="AC96" s="3291"/>
      <c r="AD96" s="3296"/>
      <c r="AE96" s="3296"/>
      <c r="AF96" s="3295"/>
      <c r="AG96" s="3277"/>
      <c r="AH96" s="3277"/>
      <c r="AI96" s="3277"/>
      <c r="AJ96" s="3277"/>
      <c r="AK96" s="3277"/>
      <c r="AL96" s="3294">
        <f t="shared" si="44"/>
        <v>3000</v>
      </c>
      <c r="AM96" s="3273">
        <f t="shared" si="27"/>
        <v>0</v>
      </c>
    </row>
    <row r="97" spans="1:39" ht="44.25" customHeight="1">
      <c r="A97" s="3274">
        <v>92</v>
      </c>
      <c r="B97" s="3275" t="s">
        <v>179</v>
      </c>
      <c r="C97" s="3276"/>
      <c r="D97" s="3277" t="s">
        <v>2036</v>
      </c>
      <c r="E97" s="3278" t="s">
        <v>2052</v>
      </c>
      <c r="F97" s="3279" t="s">
        <v>2053</v>
      </c>
      <c r="G97" s="3274" t="s">
        <v>1965</v>
      </c>
      <c r="H97" s="3281">
        <v>5</v>
      </c>
      <c r="I97" s="3282"/>
      <c r="J97" s="3282"/>
      <c r="K97" s="3283" t="s">
        <v>1966</v>
      </c>
      <c r="L97" s="3284" t="s">
        <v>179</v>
      </c>
      <c r="M97" s="3285"/>
      <c r="N97" s="3302" t="s">
        <v>2061</v>
      </c>
      <c r="O97" s="3287">
        <v>23173</v>
      </c>
      <c r="P97" s="3284">
        <v>5</v>
      </c>
      <c r="Q97" s="3284" t="s">
        <v>1950</v>
      </c>
      <c r="R97" s="3284" t="s">
        <v>1968</v>
      </c>
      <c r="S97" s="1568">
        <v>100</v>
      </c>
      <c r="T97" s="3300" t="s">
        <v>2016</v>
      </c>
      <c r="U97" s="3287">
        <v>88</v>
      </c>
      <c r="V97" s="3288">
        <f t="shared" si="45"/>
        <v>8800</v>
      </c>
      <c r="W97" s="3288">
        <v>0</v>
      </c>
      <c r="X97" s="3288">
        <f t="shared" si="40"/>
        <v>8800</v>
      </c>
      <c r="Y97" s="3288">
        <f t="shared" si="41"/>
        <v>8800</v>
      </c>
      <c r="Z97" s="3289"/>
      <c r="AA97" s="3301">
        <f t="shared" si="43"/>
        <v>8800</v>
      </c>
      <c r="AB97" s="3291"/>
      <c r="AC97" s="3291"/>
      <c r="AD97" s="3296"/>
      <c r="AE97" s="3296"/>
      <c r="AF97" s="3295"/>
      <c r="AG97" s="3277"/>
      <c r="AH97" s="3277"/>
      <c r="AI97" s="3277"/>
      <c r="AJ97" s="3277"/>
      <c r="AK97" s="3277"/>
      <c r="AL97" s="3294">
        <f t="shared" si="44"/>
        <v>8800</v>
      </c>
      <c r="AM97" s="3273">
        <f t="shared" si="27"/>
        <v>0</v>
      </c>
    </row>
  </sheetData>
  <sheetProtection selectLockedCells="1" sort="0" autoFilter="0" pivotTables="0"/>
  <autoFilter ref="A6:AM97" xr:uid="{00000000-0009-0000-0000-000001000000}">
    <filterColumn colId="14">
      <filters>
        <filter val="23173"/>
      </filters>
    </filterColumn>
  </autoFilter>
  <mergeCells count="5">
    <mergeCell ref="G5:H5"/>
    <mergeCell ref="I5:J5"/>
    <mergeCell ref="L5:M5"/>
    <mergeCell ref="W5:Y5"/>
    <mergeCell ref="Z5:AK5"/>
  </mergeCells>
  <printOptions horizontalCentered="1"/>
  <pageMargins left="0.11811023622047245" right="0.11811023622047245" top="0.15748031496062992" bottom="0.19685039370078741" header="0.31496062992125984" footer="0.31496062992125984"/>
  <pageSetup paperSize="8" scale="27" fitToHeight="0" orientation="landscape" r:id="rId1"/>
  <headerFooter>
    <oddFooter>&amp;R&amp;P</oddFooter>
  </headerFooter>
  <rowBreaks count="1" manualBreakCount="1">
    <brk id="99" max="38"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C5035-D9C9-4F3D-BB5B-073A0F6DF556}">
  <sheetPr>
    <tabColor rgb="FF00B0F0"/>
  </sheetPr>
  <dimension ref="A1:M8"/>
  <sheetViews>
    <sheetView workbookViewId="0">
      <selection activeCell="H18" sqref="H18"/>
    </sheetView>
  </sheetViews>
  <sheetFormatPr baseColWidth="10" defaultColWidth="11.42578125" defaultRowHeight="15.75"/>
  <cols>
    <col min="1" max="1" width="3.42578125" style="357" customWidth="1"/>
    <col min="2" max="2" width="10.7109375" style="357" customWidth="1"/>
    <col min="3" max="3" width="43.28515625" style="337" customWidth="1"/>
    <col min="4" max="4" width="18.7109375" style="3356" customWidth="1"/>
    <col min="5" max="5" width="1.85546875" style="357" customWidth="1"/>
    <col min="6" max="6" width="19.85546875" style="357" bestFit="1" customWidth="1"/>
    <col min="7" max="7" width="1.85546875" style="357" customWidth="1"/>
    <col min="8" max="8" width="17.5703125" style="357" customWidth="1"/>
    <col min="9" max="12" width="11.42578125" style="357"/>
    <col min="13" max="13" width="16.42578125" style="357" customWidth="1"/>
    <col min="14" max="16384" width="11.42578125" style="357"/>
  </cols>
  <sheetData>
    <row r="1" spans="1:13" ht="26.25" customHeight="1">
      <c r="B1" s="3419" t="s">
        <v>2062</v>
      </c>
      <c r="C1" s="3419"/>
      <c r="D1" s="3419"/>
    </row>
    <row r="2" spans="1:13">
      <c r="F2" s="3357" t="s">
        <v>2063</v>
      </c>
    </row>
    <row r="3" spans="1:13" s="2146" customFormat="1">
      <c r="B3" s="3358" t="s">
        <v>212</v>
      </c>
      <c r="C3" s="3359" t="s">
        <v>2064</v>
      </c>
      <c r="D3" s="3360" t="s">
        <v>2065</v>
      </c>
      <c r="F3" s="3358" t="s">
        <v>2066</v>
      </c>
    </row>
    <row r="4" spans="1:13" ht="31.5" customHeight="1">
      <c r="A4" s="1781">
        <v>1</v>
      </c>
      <c r="B4" s="1124">
        <v>23173</v>
      </c>
      <c r="C4" s="2782" t="s">
        <v>320</v>
      </c>
      <c r="D4" s="3361">
        <f>SUMIF('PTBA-AMBOASARY SUD'!O8:O432,B4,'PTBA-AMBOASARY SUD'!$V8:$V432)</f>
        <v>6911800</v>
      </c>
      <c r="F4" s="3362">
        <f t="shared" ref="F4:F5" si="0">D4/3800</f>
        <v>1818.8947368421052</v>
      </c>
      <c r="M4" s="3363"/>
    </row>
    <row r="5" spans="1:13" ht="31.5" customHeight="1">
      <c r="A5" s="1781">
        <v>2</v>
      </c>
      <c r="B5" s="1124">
        <v>23174</v>
      </c>
      <c r="C5" s="2782" t="s">
        <v>888</v>
      </c>
      <c r="D5" s="3361">
        <f>SUMIF('PTBA-AMBOASARY SUD'!O8:$O$95,B5,'PTBA-AMBOASARY SUD'!$V$8:$V$95)</f>
        <v>88080950</v>
      </c>
      <c r="F5" s="3362">
        <f t="shared" si="0"/>
        <v>23179.197368421053</v>
      </c>
      <c r="M5" s="3363"/>
    </row>
    <row r="6" spans="1:13" ht="16.5" thickBot="1"/>
    <row r="7" spans="1:13" ht="16.5" thickBot="1">
      <c r="C7" s="3364" t="s">
        <v>1924</v>
      </c>
      <c r="D7" s="3365">
        <f>SUM(D4:D6)</f>
        <v>94992750</v>
      </c>
      <c r="F7" s="3365">
        <f>SUM(F4:F6)</f>
        <v>24998.09210526316</v>
      </c>
    </row>
    <row r="8" spans="1:13">
      <c r="D8" s="3366"/>
      <c r="F8" s="3366"/>
    </row>
  </sheetData>
  <mergeCells count="1">
    <mergeCell ref="B1:D1"/>
  </mergeCells>
  <pageMargins left="0.7" right="0.7"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7116E-8CD8-4CC0-B113-996B20A49840}">
  <sheetPr>
    <tabColor rgb="FF00B0F0"/>
  </sheetPr>
  <dimension ref="A1:J9"/>
  <sheetViews>
    <sheetView workbookViewId="0">
      <selection activeCell="D5" sqref="D5"/>
    </sheetView>
  </sheetViews>
  <sheetFormatPr baseColWidth="10" defaultColWidth="11.42578125" defaultRowHeight="15.75"/>
  <cols>
    <col min="1" max="1" width="3.42578125" style="357" customWidth="1"/>
    <col min="2" max="2" width="10.7109375" style="357" customWidth="1"/>
    <col min="3" max="3" width="43.28515625" style="337" customWidth="1"/>
    <col min="4" max="4" width="18.7109375" style="3368" customWidth="1"/>
    <col min="5" max="5" width="1.85546875" style="357" customWidth="1"/>
    <col min="6" max="6" width="19.85546875" style="357" bestFit="1" customWidth="1"/>
    <col min="7" max="7" width="1.85546875" style="357" customWidth="1"/>
    <col min="8" max="8" width="29.7109375" style="3367" customWidth="1"/>
    <col min="9" max="9" width="5.42578125" style="341" customWidth="1"/>
    <col min="10" max="10" width="50.85546875" style="357" customWidth="1"/>
    <col min="11" max="16384" width="11.42578125" style="357"/>
  </cols>
  <sheetData>
    <row r="1" spans="1:10" ht="26.25" customHeight="1">
      <c r="B1" s="3419" t="s">
        <v>2067</v>
      </c>
      <c r="C1" s="3419"/>
      <c r="D1" s="3419"/>
    </row>
    <row r="2" spans="1:10">
      <c r="F2" s="3357" t="s">
        <v>2063</v>
      </c>
    </row>
    <row r="3" spans="1:10" s="2146" customFormat="1" ht="31.5">
      <c r="B3" s="3359" t="s">
        <v>2068</v>
      </c>
      <c r="C3" s="3359" t="s">
        <v>2069</v>
      </c>
      <c r="D3" s="3360" t="s">
        <v>2065</v>
      </c>
      <c r="F3" s="3358" t="s">
        <v>2066</v>
      </c>
      <c r="H3" s="3358" t="s">
        <v>2070</v>
      </c>
      <c r="J3" s="3358" t="s">
        <v>1937</v>
      </c>
    </row>
    <row r="4" spans="1:10" ht="58.5" customHeight="1">
      <c r="A4" s="1781">
        <v>1</v>
      </c>
      <c r="B4" s="1703">
        <v>5</v>
      </c>
      <c r="C4" s="3268" t="s">
        <v>2071</v>
      </c>
      <c r="D4" s="3289">
        <f>SUM('PTBA-AMBOASARY SUD'!V8:V51)</f>
        <v>46403900</v>
      </c>
      <c r="F4" s="3369">
        <f t="shared" ref="F4:F7" si="0">D4/3800</f>
        <v>12211.552631578947</v>
      </c>
      <c r="H4" s="3370" t="s">
        <v>2072</v>
      </c>
      <c r="J4" s="3261" t="s">
        <v>2073</v>
      </c>
    </row>
    <row r="5" spans="1:10" ht="31.5" customHeight="1">
      <c r="A5" s="1781">
        <v>2</v>
      </c>
      <c r="B5" s="1703">
        <v>5</v>
      </c>
      <c r="C5" s="3371" t="s">
        <v>2074</v>
      </c>
      <c r="D5" s="3372">
        <f>SUM('PTBA-AMBOASARY SUD'!V53:V73)</f>
        <v>33416000</v>
      </c>
      <c r="F5" s="3369">
        <f t="shared" si="0"/>
        <v>8793.6842105263149</v>
      </c>
      <c r="H5" s="3373" t="s">
        <v>2075</v>
      </c>
      <c r="J5" s="3371" t="s">
        <v>2076</v>
      </c>
    </row>
    <row r="6" spans="1:10" ht="50.25" customHeight="1">
      <c r="A6" s="1781">
        <v>3</v>
      </c>
      <c r="B6" s="1703">
        <v>5</v>
      </c>
      <c r="C6" s="3268" t="s">
        <v>2077</v>
      </c>
      <c r="D6" s="3372">
        <f>SUM('PTBA-AMBOASARY SUD'!AL75:AL82)</f>
        <v>10141050</v>
      </c>
      <c r="F6" s="3362">
        <f t="shared" si="0"/>
        <v>2668.6973684210525</v>
      </c>
      <c r="H6" s="3370" t="s">
        <v>2078</v>
      </c>
      <c r="J6" s="3343" t="s">
        <v>2051</v>
      </c>
    </row>
    <row r="7" spans="1:10" ht="50.25" customHeight="1" thickBot="1">
      <c r="A7" s="1781">
        <v>3</v>
      </c>
      <c r="B7" s="1703">
        <v>5</v>
      </c>
      <c r="C7" s="3268" t="s">
        <v>2079</v>
      </c>
      <c r="D7" s="3372">
        <f>SUM('PTBA-AMBOASARY SUD'!V84:V97)</f>
        <v>5031800</v>
      </c>
      <c r="F7" s="3362">
        <f t="shared" si="0"/>
        <v>1324.1578947368421</v>
      </c>
      <c r="H7" s="3370" t="s">
        <v>2078</v>
      </c>
      <c r="J7" s="3343" t="s">
        <v>2051</v>
      </c>
    </row>
    <row r="8" spans="1:10" ht="16.5" thickBot="1">
      <c r="C8" s="3364" t="s">
        <v>1924</v>
      </c>
      <c r="D8" s="3374">
        <f>SUM(D4:D7)</f>
        <v>94992750</v>
      </c>
      <c r="F8" s="3365">
        <f>SUM(F4:F7)</f>
        <v>24998.092105263157</v>
      </c>
    </row>
    <row r="9" spans="1:10" ht="41.25" customHeight="1">
      <c r="D9" s="3375"/>
      <c r="F9" s="3366"/>
      <c r="H9" s="357"/>
      <c r="I9" s="357"/>
    </row>
  </sheetData>
  <mergeCells count="1">
    <mergeCell ref="B1:D1"/>
  </mergeCells>
  <pageMargins left="0.7" right="0.7"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146A8-D984-4274-A4D6-57D9BF3A59ED}">
  <sheetPr>
    <tabColor rgb="FF00B050"/>
    <pageSetUpPr fitToPage="1"/>
  </sheetPr>
  <dimension ref="A1:KV54"/>
  <sheetViews>
    <sheetView view="pageBreakPreview" zoomScale="80" zoomScaleNormal="96" zoomScaleSheetLayoutView="80" zoomScalePageLayoutView="80" workbookViewId="0">
      <pane xSplit="4" ySplit="6" topLeftCell="E7" activePane="bottomRight" state="frozen"/>
      <selection activeCell="H18" sqref="H18"/>
      <selection pane="topRight" activeCell="H18" sqref="H18"/>
      <selection pane="bottomLeft" activeCell="H18" sqref="H18"/>
      <selection pane="bottomRight" activeCell="I8" sqref="I8"/>
    </sheetView>
  </sheetViews>
  <sheetFormatPr baseColWidth="10" defaultColWidth="10.7109375" defaultRowHeight="15.75"/>
  <cols>
    <col min="1" max="1" width="17.42578125" style="3208" bestFit="1" customWidth="1"/>
    <col min="2" max="2" width="27.140625" style="3204" customWidth="1"/>
    <col min="3" max="3" width="11.7109375" style="3205" bestFit="1" customWidth="1"/>
    <col min="4" max="4" width="17.85546875" style="3204" customWidth="1"/>
    <col min="5" max="5" width="45.42578125" style="3206" customWidth="1"/>
    <col min="6" max="6" width="40.140625" style="3211" customWidth="1"/>
    <col min="7" max="7" width="20.5703125" style="3208" customWidth="1"/>
    <col min="8" max="8" width="11.28515625" style="3209" customWidth="1"/>
    <col min="9" max="9" width="15.28515625" style="3210" customWidth="1"/>
    <col min="10" max="10" width="19.140625" style="3210" customWidth="1"/>
    <col min="11" max="11" width="26.7109375" style="3351" customWidth="1"/>
    <col min="12" max="12" width="14.42578125" style="3205" customWidth="1"/>
    <col min="13" max="13" width="15.7109375" style="3211" customWidth="1"/>
    <col min="14" max="14" width="32.28515625" style="3211" customWidth="1"/>
    <col min="15" max="15" width="12.5703125" style="3208" customWidth="1"/>
    <col min="16" max="16" width="5.140625" style="3208" customWidth="1"/>
    <col min="17" max="17" width="8" style="3208" customWidth="1"/>
    <col min="18" max="18" width="7.5703125" style="3208" customWidth="1"/>
    <col min="19" max="19" width="17.7109375" style="3352" customWidth="1"/>
    <col min="20" max="20" width="18" style="3353" bestFit="1" customWidth="1"/>
    <col min="21" max="21" width="17.42578125" style="3214" customWidth="1"/>
    <col min="22" max="22" width="25.28515625" style="3354" customWidth="1"/>
    <col min="23" max="23" width="17.85546875" style="3354" bestFit="1" customWidth="1"/>
    <col min="24" max="24" width="23.85546875" style="3354" customWidth="1"/>
    <col min="25" max="25" width="24.42578125" style="3354" customWidth="1"/>
    <col min="26" max="26" width="20.85546875" style="3355" customWidth="1"/>
    <col min="27" max="27" width="21.7109375" style="3354" customWidth="1"/>
    <col min="28" max="28" width="19" style="3354" customWidth="1"/>
    <col min="29" max="29" width="16.85546875" style="3354" customWidth="1"/>
    <col min="30" max="30" width="19.140625" style="3204" customWidth="1"/>
    <col min="31" max="31" width="17.42578125" style="3204" bestFit="1" customWidth="1"/>
    <col min="32" max="32" width="20.28515625" style="3204" customWidth="1"/>
    <col min="33" max="37" width="16.85546875" style="3204" customWidth="1"/>
    <col min="38" max="38" width="21.42578125" style="3204" customWidth="1"/>
    <col min="39" max="39" width="17.7109375" style="3204" bestFit="1" customWidth="1"/>
    <col min="40" max="16384" width="10.7109375" style="3204"/>
  </cols>
  <sheetData>
    <row r="1" spans="1:308" ht="21" customHeight="1">
      <c r="A1" s="3203">
        <f>+V2-(AL2)</f>
        <v>0</v>
      </c>
      <c r="F1" s="3207" t="s">
        <v>1923</v>
      </c>
      <c r="K1" s="3211"/>
      <c r="S1" s="3212"/>
      <c r="T1" s="3213"/>
      <c r="V1" s="3215"/>
      <c r="W1" s="3215"/>
      <c r="X1" s="3215"/>
      <c r="Y1" s="3215"/>
      <c r="Z1" s="3216"/>
      <c r="AA1" s="3215"/>
      <c r="AB1" s="3215"/>
      <c r="AC1" s="3215"/>
    </row>
    <row r="2" spans="1:308" ht="22.5" customHeight="1">
      <c r="B2" s="3217">
        <f>V4</f>
        <v>19198.394736842107</v>
      </c>
      <c r="C2" s="3218" t="s">
        <v>31</v>
      </c>
      <c r="D2" s="3219" t="s">
        <v>1924</v>
      </c>
      <c r="F2" s="3207" t="s">
        <v>1925</v>
      </c>
      <c r="I2" s="3210" t="s">
        <v>1926</v>
      </c>
      <c r="K2" s="3211"/>
      <c r="S2" s="3212"/>
      <c r="T2" s="3213">
        <f>95000000-V2</f>
        <v>22046100</v>
      </c>
      <c r="U2" s="3214" t="s">
        <v>1927</v>
      </c>
      <c r="V2" s="3220">
        <f>SUM(V8:V384)</f>
        <v>72953900</v>
      </c>
      <c r="W2" s="3220">
        <f>SUM(W40:W384)</f>
        <v>0</v>
      </c>
      <c r="X2" s="3220">
        <f>SUM(X8:X384)</f>
        <v>72953900</v>
      </c>
      <c r="Y2" s="3220">
        <f>SUM(Y8:Y54)</f>
        <v>72953900</v>
      </c>
      <c r="Z2" s="3220">
        <f>SUM(Z25:Z39)</f>
        <v>31367800</v>
      </c>
      <c r="AA2" s="3220">
        <f>SUM(AA41:AA54)</f>
        <v>30176000</v>
      </c>
      <c r="AB2" s="3220">
        <f>SUM(AB40:AB384)</f>
        <v>0</v>
      </c>
      <c r="AC2" s="3220">
        <f>SUM(AC40:AC384)</f>
        <v>0</v>
      </c>
      <c r="AD2" s="3220">
        <f>SUM(AD40:AD384)</f>
        <v>0</v>
      </c>
      <c r="AE2" s="3220">
        <f>SUM(AE40:AE384)</f>
        <v>0</v>
      </c>
      <c r="AF2" s="3220">
        <f>SUM(AF40:AF384)</f>
        <v>0</v>
      </c>
      <c r="AG2" s="3220">
        <f>SUM(AG40:AG384)</f>
        <v>0</v>
      </c>
      <c r="AH2" s="3220">
        <f>SUM(AH40:AH384)</f>
        <v>0</v>
      </c>
      <c r="AI2" s="3220">
        <f>SUM(AI40:AI384)</f>
        <v>0</v>
      </c>
      <c r="AJ2" s="3220">
        <f>SUM(AJ40:AJ384)</f>
        <v>0</v>
      </c>
      <c r="AK2" s="3220">
        <f>SUM(AK8:AK24)</f>
        <v>11410100</v>
      </c>
      <c r="AL2" s="3220">
        <f>SUM(AL8:AL54)</f>
        <v>72953900</v>
      </c>
    </row>
    <row r="3" spans="1:308" ht="11.25" customHeight="1">
      <c r="F3" s="3221"/>
      <c r="K3" s="3211"/>
      <c r="S3" s="3212"/>
      <c r="T3" s="3213"/>
      <c r="V3" s="3215"/>
      <c r="W3" s="3215"/>
      <c r="X3" s="3215"/>
      <c r="Y3" s="3215"/>
      <c r="Z3" s="3216"/>
      <c r="AA3" s="3215"/>
      <c r="AB3" s="3215"/>
      <c r="AC3" s="3215"/>
    </row>
    <row r="4" spans="1:308" s="3224" customFormat="1" ht="22.5" customHeight="1">
      <c r="A4" s="3207"/>
      <c r="B4" s="3222">
        <f>V2</f>
        <v>72953900</v>
      </c>
      <c r="C4" s="3223" t="s">
        <v>1928</v>
      </c>
      <c r="D4" s="3224">
        <v>0</v>
      </c>
      <c r="E4" s="3221" t="s">
        <v>1929</v>
      </c>
      <c r="F4" s="3221"/>
      <c r="G4" s="3207"/>
      <c r="H4" s="3225"/>
      <c r="I4" s="3226"/>
      <c r="J4" s="3226"/>
      <c r="K4" s="3221"/>
      <c r="L4" s="3221"/>
      <c r="M4" s="3221"/>
      <c r="N4" s="3221"/>
      <c r="O4" s="3207"/>
      <c r="P4" s="3207"/>
      <c r="Q4" s="3207"/>
      <c r="R4" s="3207"/>
      <c r="S4" s="3227"/>
      <c r="T4" s="3206"/>
      <c r="U4" s="3228" t="s">
        <v>31</v>
      </c>
      <c r="V4" s="3217">
        <f>V2/3800</f>
        <v>19198.394736842107</v>
      </c>
      <c r="W4" s="3229">
        <f>W2/3400</f>
        <v>0</v>
      </c>
      <c r="X4" s="3229">
        <f>X2/3400</f>
        <v>21457.029411764706</v>
      </c>
      <c r="Y4" s="3220"/>
      <c r="Z4" s="764"/>
      <c r="AA4" s="3220"/>
      <c r="AB4" s="3220"/>
      <c r="AC4" s="3220"/>
    </row>
    <row r="5" spans="1:308" s="3233" customFormat="1" ht="21.75" customHeight="1">
      <c r="A5" s="3230"/>
      <c r="B5" s="3230"/>
      <c r="C5" s="3230"/>
      <c r="D5" s="3230"/>
      <c r="E5" s="3230"/>
      <c r="F5" s="3230"/>
      <c r="G5" s="3415" t="s">
        <v>1930</v>
      </c>
      <c r="H5" s="3415"/>
      <c r="I5" s="3416" t="s">
        <v>1931</v>
      </c>
      <c r="J5" s="3416"/>
      <c r="K5" s="3231"/>
      <c r="L5" s="3415" t="s">
        <v>210</v>
      </c>
      <c r="M5" s="3415"/>
      <c r="N5" s="3232"/>
      <c r="P5" s="3234"/>
      <c r="Q5" s="3235"/>
      <c r="R5" s="3235"/>
      <c r="S5" s="3236"/>
      <c r="T5" s="3237"/>
      <c r="U5" s="3238"/>
      <c r="V5" s="3239" t="s">
        <v>1932</v>
      </c>
      <c r="W5" s="3417" t="s">
        <v>1933</v>
      </c>
      <c r="X5" s="3417"/>
      <c r="Y5" s="3417"/>
      <c r="Z5" s="3418" t="s">
        <v>1934</v>
      </c>
      <c r="AA5" s="3418"/>
      <c r="AB5" s="3418"/>
      <c r="AC5" s="3418"/>
      <c r="AD5" s="3418"/>
      <c r="AE5" s="3418"/>
      <c r="AF5" s="3418"/>
      <c r="AG5" s="3418"/>
      <c r="AH5" s="3418"/>
      <c r="AI5" s="3418"/>
      <c r="AJ5" s="3418"/>
      <c r="AK5" s="3418"/>
      <c r="AL5" s="3240">
        <v>2023</v>
      </c>
      <c r="AM5" s="3241"/>
      <c r="AN5" s="3242"/>
      <c r="AO5" s="3242"/>
      <c r="AP5" s="3242"/>
      <c r="AQ5" s="3242"/>
      <c r="AR5" s="3242"/>
      <c r="AS5" s="3242"/>
      <c r="AT5" s="3242"/>
      <c r="AU5" s="3242"/>
      <c r="AV5" s="3242"/>
      <c r="AW5" s="3242"/>
      <c r="AX5" s="3242"/>
      <c r="AY5" s="3242"/>
      <c r="AZ5" s="3242"/>
      <c r="BA5" s="3242"/>
      <c r="BB5" s="3242"/>
      <c r="BC5" s="3242"/>
      <c r="BD5" s="3242"/>
      <c r="BE5" s="3242"/>
      <c r="BF5" s="3242"/>
      <c r="BG5" s="3242"/>
      <c r="BH5" s="3242"/>
      <c r="BI5" s="3242"/>
      <c r="BJ5" s="3242"/>
      <c r="BK5" s="3242"/>
      <c r="BL5" s="3242"/>
      <c r="BM5" s="3242"/>
      <c r="BN5" s="3242"/>
      <c r="BO5" s="3242"/>
      <c r="BP5" s="3242"/>
      <c r="BQ5" s="3242"/>
      <c r="BR5" s="3242"/>
      <c r="BS5" s="3242"/>
      <c r="BT5" s="3242"/>
      <c r="BU5" s="3242"/>
      <c r="BV5" s="3242"/>
      <c r="BW5" s="3242"/>
      <c r="BX5" s="3242"/>
      <c r="BY5" s="3242"/>
      <c r="BZ5" s="3242"/>
      <c r="CA5" s="3242"/>
      <c r="CB5" s="3242"/>
      <c r="CC5" s="3242"/>
      <c r="CD5" s="3242"/>
      <c r="CE5" s="3242"/>
      <c r="CF5" s="3242"/>
      <c r="CG5" s="3242"/>
      <c r="CH5" s="3242"/>
      <c r="CI5" s="3242"/>
      <c r="CJ5" s="3242"/>
      <c r="CK5" s="3242"/>
      <c r="CL5" s="3242"/>
      <c r="CM5" s="3242"/>
      <c r="CN5" s="3242"/>
      <c r="CO5" s="3242"/>
      <c r="CP5" s="3242"/>
      <c r="CQ5" s="3242"/>
      <c r="CR5" s="3242"/>
      <c r="CS5" s="3242"/>
      <c r="CT5" s="3242"/>
      <c r="CU5" s="3242"/>
      <c r="CV5" s="3242"/>
      <c r="CW5" s="3242"/>
      <c r="CX5" s="3242"/>
      <c r="CY5" s="3242"/>
      <c r="CZ5" s="3242"/>
      <c r="DA5" s="3242"/>
      <c r="DB5" s="3242"/>
      <c r="DC5" s="3242"/>
      <c r="DD5" s="3242"/>
      <c r="DE5" s="3242"/>
      <c r="DF5" s="3242"/>
      <c r="DG5" s="3242"/>
      <c r="DH5" s="3242"/>
      <c r="DI5" s="3242"/>
      <c r="DJ5" s="3242"/>
      <c r="DK5" s="3242"/>
      <c r="DL5" s="3242"/>
      <c r="DM5" s="3242"/>
      <c r="DN5" s="3242"/>
      <c r="DO5" s="3242"/>
      <c r="DP5" s="3242"/>
      <c r="DQ5" s="3242"/>
      <c r="DR5" s="3242"/>
      <c r="DS5" s="3242"/>
      <c r="DT5" s="3242"/>
      <c r="DU5" s="3242"/>
      <c r="DV5" s="3242"/>
      <c r="DW5" s="3242"/>
      <c r="DX5" s="3242"/>
      <c r="DY5" s="3242"/>
      <c r="DZ5" s="3242"/>
      <c r="EA5" s="3242"/>
      <c r="EB5" s="3242"/>
      <c r="EC5" s="3242"/>
      <c r="ED5" s="3242"/>
      <c r="EE5" s="3242"/>
      <c r="EF5" s="3242"/>
      <c r="EG5" s="3242"/>
      <c r="EH5" s="3242"/>
      <c r="EI5" s="3242"/>
      <c r="EJ5" s="3242"/>
      <c r="EK5" s="3242"/>
      <c r="EL5" s="3242"/>
      <c r="EM5" s="3242"/>
      <c r="EN5" s="3242"/>
      <c r="EO5" s="3242"/>
      <c r="EP5" s="3242"/>
      <c r="EQ5" s="3242"/>
      <c r="ER5" s="3242"/>
      <c r="ES5" s="3242"/>
      <c r="ET5" s="3242"/>
      <c r="EU5" s="3242"/>
      <c r="EV5" s="3242"/>
      <c r="EW5" s="3242"/>
      <c r="EX5" s="3242"/>
      <c r="EY5" s="3242"/>
      <c r="EZ5" s="3242"/>
      <c r="FA5" s="3242"/>
      <c r="FB5" s="3242"/>
      <c r="FC5" s="3242"/>
      <c r="FD5" s="3242"/>
      <c r="FE5" s="3242"/>
      <c r="FF5" s="3242"/>
      <c r="FG5" s="3242"/>
      <c r="FH5" s="3242"/>
      <c r="FI5" s="3242"/>
      <c r="FJ5" s="3242"/>
      <c r="FK5" s="3242"/>
      <c r="FL5" s="3242"/>
      <c r="FM5" s="3242"/>
      <c r="FN5" s="3242"/>
      <c r="FO5" s="3242"/>
      <c r="FP5" s="3242"/>
      <c r="FQ5" s="3242"/>
      <c r="FR5" s="3242"/>
      <c r="FS5" s="3242"/>
      <c r="FT5" s="3242"/>
      <c r="FU5" s="3242"/>
      <c r="FV5" s="3242"/>
      <c r="FW5" s="3242"/>
      <c r="FX5" s="3242"/>
      <c r="FY5" s="3242"/>
      <c r="FZ5" s="3242"/>
      <c r="GA5" s="3242"/>
      <c r="GB5" s="3242"/>
      <c r="GC5" s="3242"/>
      <c r="GD5" s="3242"/>
      <c r="GE5" s="3242"/>
      <c r="GF5" s="3242"/>
      <c r="GG5" s="3242"/>
      <c r="GH5" s="3242"/>
      <c r="GI5" s="3242"/>
      <c r="GJ5" s="3242"/>
      <c r="GK5" s="3242"/>
      <c r="GL5" s="3242"/>
      <c r="GM5" s="3242"/>
      <c r="GN5" s="3242"/>
      <c r="GO5" s="3242"/>
      <c r="GP5" s="3242"/>
      <c r="GQ5" s="3242"/>
      <c r="GR5" s="3242"/>
      <c r="GS5" s="3242"/>
      <c r="GT5" s="3242"/>
      <c r="GU5" s="3242"/>
      <c r="GV5" s="3242"/>
      <c r="GW5" s="3242"/>
      <c r="GX5" s="3242"/>
      <c r="GY5" s="3242"/>
      <c r="GZ5" s="3242"/>
      <c r="HA5" s="3242"/>
      <c r="HB5" s="3242"/>
      <c r="HC5" s="3242"/>
      <c r="HD5" s="3242"/>
      <c r="HE5" s="3242"/>
      <c r="HF5" s="3242"/>
      <c r="HG5" s="3242"/>
      <c r="HH5" s="3242"/>
      <c r="HI5" s="3242"/>
      <c r="HJ5" s="3242"/>
      <c r="HK5" s="3242"/>
      <c r="HL5" s="3242"/>
      <c r="HM5" s="3242"/>
      <c r="HN5" s="3242"/>
      <c r="HO5" s="3242"/>
      <c r="HP5" s="3242"/>
      <c r="HQ5" s="3242"/>
      <c r="HR5" s="3242"/>
      <c r="HS5" s="3242"/>
      <c r="HT5" s="3242"/>
      <c r="HU5" s="3242"/>
      <c r="HV5" s="3242"/>
      <c r="HW5" s="3242"/>
      <c r="HX5" s="3242"/>
      <c r="HY5" s="3242"/>
      <c r="HZ5" s="3242"/>
      <c r="IA5" s="3242"/>
      <c r="IB5" s="3242"/>
      <c r="IC5" s="3242"/>
      <c r="ID5" s="3242"/>
      <c r="IE5" s="3242"/>
      <c r="IF5" s="3242"/>
      <c r="IG5" s="3242"/>
      <c r="IH5" s="3242"/>
      <c r="II5" s="3242"/>
      <c r="IJ5" s="3242"/>
      <c r="IK5" s="3242"/>
      <c r="IL5" s="3242"/>
      <c r="IM5" s="3242"/>
      <c r="IN5" s="3242"/>
      <c r="IO5" s="3242"/>
      <c r="IP5" s="3242"/>
      <c r="IQ5" s="3242"/>
      <c r="IR5" s="3242"/>
      <c r="IS5" s="3242"/>
      <c r="IT5" s="3242"/>
      <c r="IU5" s="3242"/>
      <c r="IV5" s="3242"/>
      <c r="IW5" s="3242"/>
      <c r="IX5" s="3242"/>
      <c r="IY5" s="3242"/>
      <c r="IZ5" s="3242"/>
      <c r="JA5" s="3242"/>
      <c r="JB5" s="3242"/>
      <c r="JC5" s="3242"/>
      <c r="JD5" s="3242"/>
      <c r="JE5" s="3242"/>
      <c r="JF5" s="3242"/>
      <c r="JG5" s="3242"/>
      <c r="JH5" s="3242"/>
      <c r="JI5" s="3242"/>
      <c r="JJ5" s="3242"/>
      <c r="JK5" s="3242"/>
      <c r="JL5" s="3242"/>
      <c r="JM5" s="3242"/>
      <c r="JN5" s="3242"/>
      <c r="JO5" s="3242"/>
      <c r="JP5" s="3242"/>
      <c r="JQ5" s="3242"/>
      <c r="JR5" s="3242"/>
      <c r="JS5" s="3242"/>
      <c r="JT5" s="3242"/>
      <c r="JU5" s="3242"/>
      <c r="JV5" s="3242"/>
      <c r="JW5" s="3242"/>
      <c r="JX5" s="3242"/>
      <c r="JY5" s="3242"/>
      <c r="JZ5" s="3242"/>
      <c r="KA5" s="3242"/>
      <c r="KB5" s="3242"/>
      <c r="KC5" s="3242"/>
      <c r="KD5" s="3242"/>
      <c r="KE5" s="3242"/>
      <c r="KF5" s="3242"/>
      <c r="KG5" s="3242"/>
      <c r="KH5" s="3242"/>
      <c r="KI5" s="3242"/>
      <c r="KJ5" s="3242"/>
      <c r="KK5" s="3242"/>
      <c r="KL5" s="3242"/>
      <c r="KM5" s="3242"/>
      <c r="KN5" s="3242"/>
      <c r="KO5" s="3242"/>
      <c r="KP5" s="3242"/>
      <c r="KQ5" s="3242"/>
      <c r="KR5" s="3242"/>
      <c r="KS5" s="3242"/>
      <c r="KT5" s="3242"/>
      <c r="KU5" s="3242"/>
      <c r="KV5" s="3242"/>
    </row>
    <row r="6" spans="1:308" s="3242" customFormat="1" ht="84.75" customHeight="1">
      <c r="A6" s="3243" t="s">
        <v>1153</v>
      </c>
      <c r="B6" s="3243" t="s">
        <v>1935</v>
      </c>
      <c r="C6" s="3244" t="s">
        <v>203</v>
      </c>
      <c r="D6" s="3244" t="s">
        <v>1936</v>
      </c>
      <c r="E6" s="3245" t="s">
        <v>204</v>
      </c>
      <c r="F6" s="3245" t="s">
        <v>1937</v>
      </c>
      <c r="G6" s="3245" t="s">
        <v>206</v>
      </c>
      <c r="H6" s="3246" t="s">
        <v>1938</v>
      </c>
      <c r="I6" s="3247" t="s">
        <v>220</v>
      </c>
      <c r="J6" s="3248" t="s">
        <v>221</v>
      </c>
      <c r="K6" s="3249" t="s">
        <v>1939</v>
      </c>
      <c r="L6" s="3245" t="s">
        <v>1940</v>
      </c>
      <c r="M6" s="3245" t="s">
        <v>1941</v>
      </c>
      <c r="N6" s="3245" t="s">
        <v>1942</v>
      </c>
      <c r="O6" s="3245" t="s">
        <v>1943</v>
      </c>
      <c r="P6" s="3245" t="s">
        <v>213</v>
      </c>
      <c r="Q6" s="3245" t="s">
        <v>1944</v>
      </c>
      <c r="R6" s="3245" t="s">
        <v>1945</v>
      </c>
      <c r="S6" s="3250" t="s">
        <v>1946</v>
      </c>
      <c r="T6" s="3251" t="s">
        <v>1947</v>
      </c>
      <c r="U6" s="3252" t="s">
        <v>1948</v>
      </c>
      <c r="V6" s="3253" t="s">
        <v>1949</v>
      </c>
      <c r="W6" s="3253" t="s">
        <v>366</v>
      </c>
      <c r="X6" s="3253" t="s">
        <v>1950</v>
      </c>
      <c r="Y6" s="3253" t="s">
        <v>41</v>
      </c>
      <c r="Z6" s="3254" t="s">
        <v>1951</v>
      </c>
      <c r="AA6" s="3254" t="s">
        <v>1952</v>
      </c>
      <c r="AB6" s="3254" t="s">
        <v>224</v>
      </c>
      <c r="AC6" s="3254" t="s">
        <v>1953</v>
      </c>
      <c r="AD6" s="3254" t="s">
        <v>226</v>
      </c>
      <c r="AE6" s="3254" t="s">
        <v>227</v>
      </c>
      <c r="AF6" s="3254" t="s">
        <v>1954</v>
      </c>
      <c r="AG6" s="3254" t="s">
        <v>229</v>
      </c>
      <c r="AH6" s="3254" t="s">
        <v>1955</v>
      </c>
      <c r="AI6" s="3254" t="s">
        <v>1956</v>
      </c>
      <c r="AJ6" s="3254" t="s">
        <v>1957</v>
      </c>
      <c r="AK6" s="3254" t="s">
        <v>1958</v>
      </c>
      <c r="AL6" s="3255" t="s">
        <v>1959</v>
      </c>
    </row>
    <row r="7" spans="1:308" ht="68.25" customHeight="1">
      <c r="A7" s="3256">
        <v>1</v>
      </c>
      <c r="B7" s="3257"/>
      <c r="C7" s="3258"/>
      <c r="D7" s="3259"/>
      <c r="E7" s="3260" t="s">
        <v>1960</v>
      </c>
      <c r="F7" s="3261" t="s">
        <v>1961</v>
      </c>
      <c r="G7" s="3262"/>
      <c r="H7" s="3263"/>
      <c r="I7" s="3264"/>
      <c r="J7" s="3264"/>
      <c r="K7" s="3265"/>
      <c r="L7" s="3266"/>
      <c r="M7" s="3267"/>
      <c r="N7" s="3262"/>
      <c r="O7" s="3268"/>
      <c r="P7" s="3266"/>
      <c r="Q7" s="3266"/>
      <c r="R7" s="3266"/>
      <c r="S7" s="3269"/>
      <c r="T7" s="3268"/>
      <c r="U7" s="3268"/>
      <c r="V7" s="3270">
        <v>0</v>
      </c>
      <c r="W7" s="3270"/>
      <c r="X7" s="3270">
        <v>0</v>
      </c>
      <c r="Y7" s="3270">
        <v>0</v>
      </c>
      <c r="Z7" s="3271"/>
      <c r="AA7" s="3272"/>
      <c r="AB7" s="3272"/>
      <c r="AC7" s="3272"/>
      <c r="AD7" s="3270"/>
      <c r="AE7" s="3270"/>
      <c r="AF7" s="3270"/>
      <c r="AG7" s="3270"/>
      <c r="AH7" s="3270"/>
      <c r="AI7" s="3270"/>
      <c r="AJ7" s="3270"/>
      <c r="AK7" s="3270"/>
      <c r="AL7" s="3270">
        <v>0</v>
      </c>
      <c r="AM7" s="3273">
        <f t="shared" ref="AM7:AM23" si="0">+AL7-V7</f>
        <v>0</v>
      </c>
    </row>
    <row r="8" spans="1:308" ht="51.75" customHeight="1">
      <c r="A8" s="3274">
        <v>2</v>
      </c>
      <c r="B8" s="3275" t="s">
        <v>179</v>
      </c>
      <c r="C8" s="3276"/>
      <c r="D8" s="3277" t="s">
        <v>1962</v>
      </c>
      <c r="E8" s="3278" t="s">
        <v>1963</v>
      </c>
      <c r="F8" s="3279" t="s">
        <v>1964</v>
      </c>
      <c r="G8" s="3280" t="s">
        <v>1965</v>
      </c>
      <c r="H8" s="3281">
        <v>7</v>
      </c>
      <c r="I8" s="3282"/>
      <c r="J8" s="3282"/>
      <c r="K8" s="3283" t="s">
        <v>1966</v>
      </c>
      <c r="L8" s="3284" t="s">
        <v>179</v>
      </c>
      <c r="M8" s="3285"/>
      <c r="N8" s="3286" t="s">
        <v>1967</v>
      </c>
      <c r="O8" s="3287">
        <v>23174</v>
      </c>
      <c r="P8" s="3284">
        <v>5</v>
      </c>
      <c r="Q8" s="3284" t="s">
        <v>1950</v>
      </c>
      <c r="R8" s="3284" t="s">
        <v>1968</v>
      </c>
      <c r="S8" s="1568">
        <v>36000</v>
      </c>
      <c r="T8" s="3278" t="s">
        <v>1969</v>
      </c>
      <c r="U8" s="3287">
        <f>7*6</f>
        <v>42</v>
      </c>
      <c r="V8" s="3288">
        <f t="shared" ref="V8:V36" si="1">S8*U8</f>
        <v>1512000</v>
      </c>
      <c r="W8" s="3288">
        <v>0</v>
      </c>
      <c r="X8" s="3288">
        <f t="shared" ref="X8:X39" si="2">V8-W8</f>
        <v>1512000</v>
      </c>
      <c r="Y8" s="3288">
        <f t="shared" ref="Y8:Y13" si="3">X8+W8</f>
        <v>1512000</v>
      </c>
      <c r="Z8" s="3289"/>
      <c r="AA8" s="3290"/>
      <c r="AB8" s="3290"/>
      <c r="AC8" s="3291"/>
      <c r="AD8" s="3277"/>
      <c r="AE8" s="3292"/>
      <c r="AF8" s="3277"/>
      <c r="AG8" s="3277"/>
      <c r="AH8" s="3277"/>
      <c r="AI8" s="3277"/>
      <c r="AJ8" s="3277"/>
      <c r="AK8" s="3293">
        <f>Y8</f>
        <v>1512000</v>
      </c>
      <c r="AL8" s="3294">
        <f t="shared" ref="AL8:AL18" si="4">SUM(Z8:AK8)</f>
        <v>1512000</v>
      </c>
      <c r="AM8" s="3273">
        <f t="shared" si="0"/>
        <v>0</v>
      </c>
    </row>
    <row r="9" spans="1:308" ht="36.75" customHeight="1">
      <c r="A9" s="3274">
        <v>3</v>
      </c>
      <c r="B9" s="3275" t="s">
        <v>179</v>
      </c>
      <c r="C9" s="3276"/>
      <c r="D9" s="3277" t="s">
        <v>1962</v>
      </c>
      <c r="E9" s="3278" t="s">
        <v>1963</v>
      </c>
      <c r="F9" s="3279" t="s">
        <v>1964</v>
      </c>
      <c r="G9" s="3280" t="s">
        <v>1965</v>
      </c>
      <c r="H9" s="3281">
        <v>7</v>
      </c>
      <c r="I9" s="3282"/>
      <c r="J9" s="3282"/>
      <c r="K9" s="3283" t="s">
        <v>1966</v>
      </c>
      <c r="L9" s="3284" t="s">
        <v>179</v>
      </c>
      <c r="M9" s="3285"/>
      <c r="N9" s="3286" t="s">
        <v>1970</v>
      </c>
      <c r="O9" s="3287">
        <v>23174</v>
      </c>
      <c r="P9" s="3284">
        <v>5</v>
      </c>
      <c r="Q9" s="3284" t="s">
        <v>1950</v>
      </c>
      <c r="R9" s="3284" t="s">
        <v>1968</v>
      </c>
      <c r="S9" s="1568">
        <v>20000</v>
      </c>
      <c r="T9" s="3278" t="s">
        <v>1971</v>
      </c>
      <c r="U9" s="3287">
        <f>6*6</f>
        <v>36</v>
      </c>
      <c r="V9" s="3288">
        <f t="shared" si="1"/>
        <v>720000</v>
      </c>
      <c r="W9" s="3288">
        <v>0</v>
      </c>
      <c r="X9" s="3288">
        <f t="shared" si="2"/>
        <v>720000</v>
      </c>
      <c r="Y9" s="3288">
        <f t="shared" si="3"/>
        <v>720000</v>
      </c>
      <c r="Z9" s="3289"/>
      <c r="AA9" s="3290"/>
      <c r="AB9" s="3290"/>
      <c r="AC9" s="3291"/>
      <c r="AD9" s="3295"/>
      <c r="AE9" s="3292"/>
      <c r="AF9" s="3277"/>
      <c r="AG9" s="3277"/>
      <c r="AH9" s="3277"/>
      <c r="AI9" s="3277"/>
      <c r="AJ9" s="3277"/>
      <c r="AK9" s="3293">
        <f t="shared" ref="AK9:AK24" si="5">Y9</f>
        <v>720000</v>
      </c>
      <c r="AL9" s="3294">
        <f t="shared" si="4"/>
        <v>720000</v>
      </c>
      <c r="AM9" s="3273">
        <f t="shared" si="0"/>
        <v>0</v>
      </c>
    </row>
    <row r="10" spans="1:308" ht="48.75" customHeight="1">
      <c r="A10" s="3274">
        <v>4</v>
      </c>
      <c r="B10" s="3275" t="s">
        <v>179</v>
      </c>
      <c r="C10" s="3276"/>
      <c r="D10" s="3277" t="s">
        <v>1962</v>
      </c>
      <c r="E10" s="3278" t="s">
        <v>1963</v>
      </c>
      <c r="F10" s="3279" t="s">
        <v>1964</v>
      </c>
      <c r="G10" s="3280" t="s">
        <v>1965</v>
      </c>
      <c r="H10" s="3281">
        <v>7</v>
      </c>
      <c r="I10" s="3282"/>
      <c r="J10" s="3282"/>
      <c r="K10" s="3283" t="s">
        <v>1966</v>
      </c>
      <c r="L10" s="3284" t="s">
        <v>179</v>
      </c>
      <c r="M10" s="3285"/>
      <c r="N10" s="3286" t="s">
        <v>1972</v>
      </c>
      <c r="O10" s="3287">
        <v>23174</v>
      </c>
      <c r="P10" s="3284">
        <v>5</v>
      </c>
      <c r="Q10" s="3284" t="s">
        <v>1950</v>
      </c>
      <c r="R10" s="3284" t="s">
        <v>1968</v>
      </c>
      <c r="S10" s="1568">
        <f>10000*2</f>
        <v>20000</v>
      </c>
      <c r="T10" s="3278" t="s">
        <v>1973</v>
      </c>
      <c r="U10" s="3287">
        <v>7</v>
      </c>
      <c r="V10" s="3288">
        <f t="shared" si="1"/>
        <v>140000</v>
      </c>
      <c r="W10" s="3288">
        <v>0</v>
      </c>
      <c r="X10" s="3288">
        <f t="shared" si="2"/>
        <v>140000</v>
      </c>
      <c r="Y10" s="3288">
        <f t="shared" si="3"/>
        <v>140000</v>
      </c>
      <c r="Z10" s="3289"/>
      <c r="AA10" s="3290"/>
      <c r="AB10" s="3290"/>
      <c r="AC10" s="3291"/>
      <c r="AD10" s="3295"/>
      <c r="AE10" s="3292"/>
      <c r="AF10" s="3277"/>
      <c r="AG10" s="3277"/>
      <c r="AH10" s="3277"/>
      <c r="AI10" s="3277"/>
      <c r="AJ10" s="3277"/>
      <c r="AK10" s="3293">
        <f t="shared" si="5"/>
        <v>140000</v>
      </c>
      <c r="AL10" s="3294">
        <f t="shared" si="4"/>
        <v>140000</v>
      </c>
      <c r="AM10" s="3273">
        <f t="shared" si="0"/>
        <v>0</v>
      </c>
    </row>
    <row r="11" spans="1:308" ht="29.25" customHeight="1">
      <c r="A11" s="3274">
        <v>5</v>
      </c>
      <c r="B11" s="3275" t="s">
        <v>179</v>
      </c>
      <c r="C11" s="3276"/>
      <c r="D11" s="3277" t="s">
        <v>1962</v>
      </c>
      <c r="E11" s="3278" t="s">
        <v>1963</v>
      </c>
      <c r="F11" s="3279" t="s">
        <v>1964</v>
      </c>
      <c r="G11" s="3280" t="s">
        <v>1965</v>
      </c>
      <c r="H11" s="3281">
        <v>7</v>
      </c>
      <c r="I11" s="3282"/>
      <c r="J11" s="3282"/>
      <c r="K11" s="3283" t="s">
        <v>1966</v>
      </c>
      <c r="L11" s="3284" t="s">
        <v>179</v>
      </c>
      <c r="M11" s="3285"/>
      <c r="N11" s="3286" t="s">
        <v>1974</v>
      </c>
      <c r="O11" s="3287">
        <v>23174</v>
      </c>
      <c r="P11" s="3284">
        <v>5</v>
      </c>
      <c r="Q11" s="3284" t="s">
        <v>1950</v>
      </c>
      <c r="R11" s="3284" t="s">
        <v>1968</v>
      </c>
      <c r="S11" s="1568">
        <v>36000</v>
      </c>
      <c r="T11" s="3278" t="s">
        <v>1969</v>
      </c>
      <c r="U11" s="3287">
        <f>20*7</f>
        <v>140</v>
      </c>
      <c r="V11" s="3288">
        <f t="shared" si="1"/>
        <v>5040000</v>
      </c>
      <c r="W11" s="3288">
        <v>0</v>
      </c>
      <c r="X11" s="3288">
        <f t="shared" si="2"/>
        <v>5040000</v>
      </c>
      <c r="Y11" s="3288">
        <f t="shared" si="3"/>
        <v>5040000</v>
      </c>
      <c r="Z11" s="3289"/>
      <c r="AA11" s="3290"/>
      <c r="AB11" s="3290"/>
      <c r="AC11" s="3291"/>
      <c r="AD11" s="3295"/>
      <c r="AE11" s="3292"/>
      <c r="AF11" s="3277"/>
      <c r="AG11" s="3277"/>
      <c r="AH11" s="3277"/>
      <c r="AI11" s="3277"/>
      <c r="AJ11" s="3277"/>
      <c r="AK11" s="3293">
        <f t="shared" si="5"/>
        <v>5040000</v>
      </c>
      <c r="AL11" s="3294">
        <f t="shared" si="4"/>
        <v>5040000</v>
      </c>
      <c r="AM11" s="3273">
        <f t="shared" si="0"/>
        <v>0</v>
      </c>
    </row>
    <row r="12" spans="1:308" ht="31.5">
      <c r="A12" s="3274">
        <v>6</v>
      </c>
      <c r="B12" s="3275" t="s">
        <v>179</v>
      </c>
      <c r="C12" s="3276"/>
      <c r="D12" s="3277" t="s">
        <v>1962</v>
      </c>
      <c r="E12" s="3278" t="s">
        <v>1963</v>
      </c>
      <c r="F12" s="3279" t="s">
        <v>1964</v>
      </c>
      <c r="G12" s="3280" t="s">
        <v>1965</v>
      </c>
      <c r="H12" s="3281">
        <v>7</v>
      </c>
      <c r="I12" s="3282"/>
      <c r="J12" s="3282"/>
      <c r="K12" s="3283" t="s">
        <v>1966</v>
      </c>
      <c r="L12" s="3284" t="s">
        <v>179</v>
      </c>
      <c r="M12" s="3285"/>
      <c r="N12" s="3286" t="s">
        <v>1975</v>
      </c>
      <c r="O12" s="3287">
        <v>23174</v>
      </c>
      <c r="P12" s="3284">
        <v>5</v>
      </c>
      <c r="Q12" s="3284" t="s">
        <v>1950</v>
      </c>
      <c r="R12" s="3284" t="s">
        <v>1968</v>
      </c>
      <c r="S12" s="1568">
        <v>15000</v>
      </c>
      <c r="T12" s="3278" t="s">
        <v>1969</v>
      </c>
      <c r="U12" s="3287">
        <f>2*5</f>
        <v>10</v>
      </c>
      <c r="V12" s="3288">
        <f t="shared" si="1"/>
        <v>150000</v>
      </c>
      <c r="W12" s="3288">
        <v>0</v>
      </c>
      <c r="X12" s="3288">
        <f t="shared" si="2"/>
        <v>150000</v>
      </c>
      <c r="Y12" s="3288">
        <f t="shared" si="3"/>
        <v>150000</v>
      </c>
      <c r="Z12" s="3289"/>
      <c r="AA12" s="3290"/>
      <c r="AB12" s="3290"/>
      <c r="AC12" s="3291"/>
      <c r="AD12" s="3295"/>
      <c r="AE12" s="3292"/>
      <c r="AF12" s="3277"/>
      <c r="AG12" s="3277"/>
      <c r="AH12" s="3277"/>
      <c r="AI12" s="3277"/>
      <c r="AJ12" s="3277"/>
      <c r="AK12" s="3293">
        <f t="shared" si="5"/>
        <v>150000</v>
      </c>
      <c r="AL12" s="3294">
        <f t="shared" si="4"/>
        <v>150000</v>
      </c>
      <c r="AM12" s="3273">
        <f t="shared" si="0"/>
        <v>0</v>
      </c>
    </row>
    <row r="13" spans="1:308" ht="47.25" customHeight="1">
      <c r="A13" s="3274">
        <v>7</v>
      </c>
      <c r="B13" s="3275" t="s">
        <v>179</v>
      </c>
      <c r="C13" s="3276"/>
      <c r="D13" s="3277" t="s">
        <v>1962</v>
      </c>
      <c r="E13" s="3278" t="s">
        <v>1963</v>
      </c>
      <c r="F13" s="3279" t="s">
        <v>1964</v>
      </c>
      <c r="G13" s="3280" t="s">
        <v>1965</v>
      </c>
      <c r="H13" s="3281">
        <v>7</v>
      </c>
      <c r="I13" s="3282"/>
      <c r="J13" s="3282"/>
      <c r="K13" s="3283" t="s">
        <v>1966</v>
      </c>
      <c r="L13" s="3284" t="s">
        <v>179</v>
      </c>
      <c r="M13" s="3285"/>
      <c r="N13" s="3286" t="s">
        <v>1976</v>
      </c>
      <c r="O13" s="3287">
        <v>23174</v>
      </c>
      <c r="P13" s="3284">
        <v>5</v>
      </c>
      <c r="Q13" s="3284" t="s">
        <v>1950</v>
      </c>
      <c r="R13" s="3284" t="s">
        <v>1968</v>
      </c>
      <c r="S13" s="1568">
        <v>20000</v>
      </c>
      <c r="T13" s="3278" t="s">
        <v>1971</v>
      </c>
      <c r="U13" s="3287">
        <f>6*20</f>
        <v>120</v>
      </c>
      <c r="V13" s="3288">
        <f t="shared" si="1"/>
        <v>2400000</v>
      </c>
      <c r="W13" s="3288">
        <v>0</v>
      </c>
      <c r="X13" s="3288">
        <f t="shared" si="2"/>
        <v>2400000</v>
      </c>
      <c r="Y13" s="3288">
        <f t="shared" si="3"/>
        <v>2400000</v>
      </c>
      <c r="Z13" s="3289"/>
      <c r="AA13" s="3290"/>
      <c r="AB13" s="3290"/>
      <c r="AC13" s="3291"/>
      <c r="AD13" s="3295"/>
      <c r="AE13" s="3292"/>
      <c r="AF13" s="3277"/>
      <c r="AG13" s="3277"/>
      <c r="AH13" s="3277"/>
      <c r="AI13" s="3277"/>
      <c r="AJ13" s="3277"/>
      <c r="AK13" s="3293">
        <f t="shared" si="5"/>
        <v>2400000</v>
      </c>
      <c r="AL13" s="3294">
        <f t="shared" si="4"/>
        <v>2400000</v>
      </c>
      <c r="AM13" s="3273">
        <f t="shared" si="0"/>
        <v>0</v>
      </c>
    </row>
    <row r="14" spans="1:308" ht="31.5">
      <c r="A14" s="3274">
        <v>8</v>
      </c>
      <c r="B14" s="3275" t="s">
        <v>179</v>
      </c>
      <c r="C14" s="3276"/>
      <c r="D14" s="3277" t="s">
        <v>1962</v>
      </c>
      <c r="E14" s="3278" t="s">
        <v>1963</v>
      </c>
      <c r="F14" s="3279" t="s">
        <v>1964</v>
      </c>
      <c r="G14" s="3280" t="s">
        <v>1965</v>
      </c>
      <c r="H14" s="3281">
        <v>7</v>
      </c>
      <c r="I14" s="3282"/>
      <c r="J14" s="3282"/>
      <c r="K14" s="3283" t="s">
        <v>1966</v>
      </c>
      <c r="L14" s="3284" t="s">
        <v>179</v>
      </c>
      <c r="M14" s="3285"/>
      <c r="N14" s="3286" t="s">
        <v>1977</v>
      </c>
      <c r="O14" s="3287">
        <v>23174</v>
      </c>
      <c r="P14" s="3284">
        <v>5</v>
      </c>
      <c r="Q14" s="3284" t="s">
        <v>1950</v>
      </c>
      <c r="R14" s="3284" t="s">
        <v>1968</v>
      </c>
      <c r="S14" s="1568">
        <v>5900</v>
      </c>
      <c r="T14" s="3278" t="s">
        <v>1978</v>
      </c>
      <c r="U14" s="3287">
        <f>5/100*90*22</f>
        <v>99</v>
      </c>
      <c r="V14" s="3288">
        <f t="shared" si="1"/>
        <v>584100</v>
      </c>
      <c r="W14" s="3288"/>
      <c r="X14" s="3288">
        <f t="shared" si="2"/>
        <v>584100</v>
      </c>
      <c r="Y14" s="3288">
        <f>X14</f>
        <v>584100</v>
      </c>
      <c r="Z14" s="3289"/>
      <c r="AA14" s="3290"/>
      <c r="AB14" s="3290"/>
      <c r="AC14" s="3290"/>
      <c r="AD14" s="3296"/>
      <c r="AE14" s="3292"/>
      <c r="AF14" s="3277"/>
      <c r="AG14" s="3277"/>
      <c r="AH14" s="3277"/>
      <c r="AI14" s="3277"/>
      <c r="AJ14" s="3277"/>
      <c r="AK14" s="3293">
        <f t="shared" si="5"/>
        <v>584100</v>
      </c>
      <c r="AL14" s="3294">
        <f t="shared" si="4"/>
        <v>584100</v>
      </c>
      <c r="AM14" s="3273">
        <f t="shared" si="0"/>
        <v>0</v>
      </c>
    </row>
    <row r="15" spans="1:308" ht="51.75" customHeight="1">
      <c r="A15" s="3274">
        <v>9</v>
      </c>
      <c r="B15" s="3275" t="s">
        <v>179</v>
      </c>
      <c r="C15" s="3276"/>
      <c r="D15" s="3277" t="s">
        <v>1962</v>
      </c>
      <c r="E15" s="3278" t="s">
        <v>1963</v>
      </c>
      <c r="F15" s="3279" t="s">
        <v>1964</v>
      </c>
      <c r="G15" s="3280" t="s">
        <v>1965</v>
      </c>
      <c r="H15" s="3281">
        <v>7</v>
      </c>
      <c r="I15" s="3282"/>
      <c r="J15" s="3282"/>
      <c r="K15" s="3283" t="s">
        <v>1966</v>
      </c>
      <c r="L15" s="3284" t="s">
        <v>179</v>
      </c>
      <c r="M15" s="3285"/>
      <c r="N15" s="3286" t="s">
        <v>1979</v>
      </c>
      <c r="O15" s="3287">
        <v>23174</v>
      </c>
      <c r="P15" s="3284">
        <v>5</v>
      </c>
      <c r="Q15" s="3284" t="s">
        <v>1950</v>
      </c>
      <c r="R15" s="3284" t="s">
        <v>1968</v>
      </c>
      <c r="S15" s="1568">
        <v>36000</v>
      </c>
      <c r="T15" s="3278" t="s">
        <v>1969</v>
      </c>
      <c r="U15" s="3287">
        <f>8*1</f>
        <v>8</v>
      </c>
      <c r="V15" s="3288">
        <f t="shared" si="1"/>
        <v>288000</v>
      </c>
      <c r="W15" s="3288">
        <v>0</v>
      </c>
      <c r="X15" s="3288">
        <f t="shared" si="2"/>
        <v>288000</v>
      </c>
      <c r="Y15" s="3288">
        <f t="shared" ref="Y15:Y18" si="6">X15+W15</f>
        <v>288000</v>
      </c>
      <c r="Z15" s="3289"/>
      <c r="AA15" s="3290"/>
      <c r="AB15" s="3290"/>
      <c r="AC15" s="3291"/>
      <c r="AD15" s="3277"/>
      <c r="AE15" s="3292"/>
      <c r="AF15" s="3277"/>
      <c r="AG15" s="3277"/>
      <c r="AH15" s="3277"/>
      <c r="AI15" s="3277"/>
      <c r="AJ15" s="3277"/>
      <c r="AK15" s="3293">
        <f>Y15</f>
        <v>288000</v>
      </c>
      <c r="AL15" s="3294">
        <f t="shared" si="4"/>
        <v>288000</v>
      </c>
      <c r="AM15" s="3273">
        <f t="shared" si="0"/>
        <v>0</v>
      </c>
    </row>
    <row r="16" spans="1:308" ht="36.75" customHeight="1">
      <c r="A16" s="3274">
        <v>10</v>
      </c>
      <c r="B16" s="3275" t="s">
        <v>179</v>
      </c>
      <c r="C16" s="3276"/>
      <c r="D16" s="3277" t="s">
        <v>1962</v>
      </c>
      <c r="E16" s="3278" t="s">
        <v>1963</v>
      </c>
      <c r="F16" s="3279" t="s">
        <v>1964</v>
      </c>
      <c r="G16" s="3280" t="s">
        <v>1965</v>
      </c>
      <c r="H16" s="3281">
        <v>7</v>
      </c>
      <c r="I16" s="3282"/>
      <c r="J16" s="3282"/>
      <c r="K16" s="3283" t="s">
        <v>1966</v>
      </c>
      <c r="L16" s="3284" t="s">
        <v>179</v>
      </c>
      <c r="M16" s="3285"/>
      <c r="N16" s="3286" t="s">
        <v>1980</v>
      </c>
      <c r="O16" s="3287">
        <v>23174</v>
      </c>
      <c r="P16" s="3284">
        <v>5</v>
      </c>
      <c r="Q16" s="3284" t="s">
        <v>1950</v>
      </c>
      <c r="R16" s="3284" t="s">
        <v>1968</v>
      </c>
      <c r="S16" s="1568">
        <v>20000</v>
      </c>
      <c r="T16" s="3278" t="s">
        <v>1971</v>
      </c>
      <c r="U16" s="3287">
        <f>7*1</f>
        <v>7</v>
      </c>
      <c r="V16" s="3288">
        <f t="shared" si="1"/>
        <v>140000</v>
      </c>
      <c r="W16" s="3288">
        <v>0</v>
      </c>
      <c r="X16" s="3288">
        <f t="shared" si="2"/>
        <v>140000</v>
      </c>
      <c r="Y16" s="3288">
        <f t="shared" si="6"/>
        <v>140000</v>
      </c>
      <c r="Z16" s="3289"/>
      <c r="AA16" s="3290"/>
      <c r="AB16" s="3290"/>
      <c r="AC16" s="3291"/>
      <c r="AD16" s="3295"/>
      <c r="AE16" s="3292"/>
      <c r="AF16" s="3277"/>
      <c r="AG16" s="3277"/>
      <c r="AH16" s="3277"/>
      <c r="AI16" s="3277"/>
      <c r="AJ16" s="3277"/>
      <c r="AK16" s="3293">
        <f t="shared" ref="AK16:AK18" si="7">Y16</f>
        <v>140000</v>
      </c>
      <c r="AL16" s="3294">
        <f t="shared" si="4"/>
        <v>140000</v>
      </c>
      <c r="AM16" s="3273">
        <f t="shared" si="0"/>
        <v>0</v>
      </c>
    </row>
    <row r="17" spans="1:39" ht="48.75" customHeight="1">
      <c r="A17" s="3274">
        <v>11</v>
      </c>
      <c r="B17" s="3275" t="s">
        <v>179</v>
      </c>
      <c r="C17" s="3276"/>
      <c r="D17" s="3277" t="s">
        <v>1962</v>
      </c>
      <c r="E17" s="3278" t="s">
        <v>1963</v>
      </c>
      <c r="F17" s="3279" t="s">
        <v>1964</v>
      </c>
      <c r="G17" s="3280" t="s">
        <v>1965</v>
      </c>
      <c r="H17" s="3281">
        <v>7</v>
      </c>
      <c r="I17" s="3282"/>
      <c r="J17" s="3282"/>
      <c r="K17" s="3283" t="s">
        <v>1966</v>
      </c>
      <c r="L17" s="3284" t="s">
        <v>179</v>
      </c>
      <c r="M17" s="3285"/>
      <c r="N17" s="3286" t="s">
        <v>1981</v>
      </c>
      <c r="O17" s="3287">
        <v>23174</v>
      </c>
      <c r="P17" s="3284">
        <v>5</v>
      </c>
      <c r="Q17" s="3284" t="s">
        <v>1950</v>
      </c>
      <c r="R17" s="3284" t="s">
        <v>1968</v>
      </c>
      <c r="S17" s="1568">
        <f>15000*2</f>
        <v>30000</v>
      </c>
      <c r="T17" s="3278" t="s">
        <v>1973</v>
      </c>
      <c r="U17" s="3287">
        <v>1</v>
      </c>
      <c r="V17" s="3288">
        <f t="shared" si="1"/>
        <v>30000</v>
      </c>
      <c r="W17" s="3288">
        <v>0</v>
      </c>
      <c r="X17" s="3288">
        <f t="shared" si="2"/>
        <v>30000</v>
      </c>
      <c r="Y17" s="3288">
        <f t="shared" si="6"/>
        <v>30000</v>
      </c>
      <c r="Z17" s="3289"/>
      <c r="AA17" s="3290"/>
      <c r="AB17" s="3290"/>
      <c r="AC17" s="3291"/>
      <c r="AD17" s="3295"/>
      <c r="AE17" s="3292"/>
      <c r="AF17" s="3277"/>
      <c r="AG17" s="3277"/>
      <c r="AH17" s="3277"/>
      <c r="AI17" s="3277"/>
      <c r="AJ17" s="3277"/>
      <c r="AK17" s="3293">
        <f t="shared" si="7"/>
        <v>30000</v>
      </c>
      <c r="AL17" s="3294">
        <f t="shared" si="4"/>
        <v>30000</v>
      </c>
      <c r="AM17" s="3273">
        <f t="shared" si="0"/>
        <v>0</v>
      </c>
    </row>
    <row r="18" spans="1:39" ht="48.75" customHeight="1">
      <c r="A18" s="3274">
        <v>12</v>
      </c>
      <c r="B18" s="3275" t="s">
        <v>179</v>
      </c>
      <c r="C18" s="3276"/>
      <c r="D18" s="3277" t="s">
        <v>1962</v>
      </c>
      <c r="E18" s="3278" t="s">
        <v>1963</v>
      </c>
      <c r="F18" s="3279" t="s">
        <v>1964</v>
      </c>
      <c r="G18" s="3280" t="s">
        <v>1965</v>
      </c>
      <c r="H18" s="3281">
        <v>7</v>
      </c>
      <c r="I18" s="3282"/>
      <c r="J18" s="3282"/>
      <c r="K18" s="3283" t="s">
        <v>1966</v>
      </c>
      <c r="L18" s="3284" t="s">
        <v>179</v>
      </c>
      <c r="M18" s="3285"/>
      <c r="N18" s="3286" t="s">
        <v>1981</v>
      </c>
      <c r="O18" s="3287">
        <v>23174</v>
      </c>
      <c r="P18" s="3284">
        <v>5</v>
      </c>
      <c r="Q18" s="3284" t="s">
        <v>1950</v>
      </c>
      <c r="R18" s="3284" t="s">
        <v>1968</v>
      </c>
      <c r="S18" s="1568">
        <f>10000*2</f>
        <v>20000</v>
      </c>
      <c r="T18" s="3278" t="s">
        <v>1973</v>
      </c>
      <c r="U18" s="3287">
        <v>1</v>
      </c>
      <c r="V18" s="3288">
        <f t="shared" si="1"/>
        <v>20000</v>
      </c>
      <c r="W18" s="3288">
        <v>0</v>
      </c>
      <c r="X18" s="3288">
        <f t="shared" si="2"/>
        <v>20000</v>
      </c>
      <c r="Y18" s="3288">
        <f t="shared" si="6"/>
        <v>20000</v>
      </c>
      <c r="Z18" s="3289"/>
      <c r="AA18" s="3290"/>
      <c r="AB18" s="3290"/>
      <c r="AC18" s="3291"/>
      <c r="AD18" s="3295"/>
      <c r="AE18" s="3292"/>
      <c r="AF18" s="3277"/>
      <c r="AG18" s="3277"/>
      <c r="AH18" s="3277"/>
      <c r="AI18" s="3277"/>
      <c r="AJ18" s="3277"/>
      <c r="AK18" s="3293">
        <f t="shared" si="7"/>
        <v>20000</v>
      </c>
      <c r="AL18" s="3294">
        <f t="shared" si="4"/>
        <v>20000</v>
      </c>
      <c r="AM18" s="3273">
        <f t="shared" si="0"/>
        <v>0</v>
      </c>
    </row>
    <row r="19" spans="1:39" ht="38.25" customHeight="1">
      <c r="A19" s="3274">
        <v>19</v>
      </c>
      <c r="B19" s="3275" t="s">
        <v>179</v>
      </c>
      <c r="C19" s="3276"/>
      <c r="D19" s="3277" t="s">
        <v>1962</v>
      </c>
      <c r="E19" s="3278" t="s">
        <v>1963</v>
      </c>
      <c r="F19" s="3279" t="s">
        <v>1964</v>
      </c>
      <c r="G19" s="3274" t="s">
        <v>1965</v>
      </c>
      <c r="H19" s="3281">
        <v>7</v>
      </c>
      <c r="I19" s="3282"/>
      <c r="J19" s="3282"/>
      <c r="K19" s="3283" t="s">
        <v>1966</v>
      </c>
      <c r="L19" s="3284" t="s">
        <v>179</v>
      </c>
      <c r="M19" s="3285"/>
      <c r="N19" s="3286" t="s">
        <v>1993</v>
      </c>
      <c r="O19" s="3287">
        <v>23174</v>
      </c>
      <c r="P19" s="3284">
        <v>5</v>
      </c>
      <c r="Q19" s="3284" t="s">
        <v>1950</v>
      </c>
      <c r="R19" s="3284" t="s">
        <v>1968</v>
      </c>
      <c r="S19" s="1568">
        <v>36000</v>
      </c>
      <c r="T19" s="3287" t="s">
        <v>1969</v>
      </c>
      <c r="U19" s="3287">
        <v>3</v>
      </c>
      <c r="V19" s="3288">
        <f>S19*U19</f>
        <v>108000</v>
      </c>
      <c r="W19" s="3288">
        <v>0</v>
      </c>
      <c r="X19" s="3288">
        <f t="shared" si="2"/>
        <v>108000</v>
      </c>
      <c r="Y19" s="3288">
        <f t="shared" ref="Y19:Y23" si="8">X19+W19</f>
        <v>108000</v>
      </c>
      <c r="Z19" s="3289"/>
      <c r="AA19" s="3290"/>
      <c r="AB19" s="3290"/>
      <c r="AC19" s="3290"/>
      <c r="AD19" s="3296"/>
      <c r="AE19" s="3292"/>
      <c r="AF19" s="3277"/>
      <c r="AG19" s="3277"/>
      <c r="AH19" s="3277"/>
      <c r="AI19" s="3277"/>
      <c r="AJ19" s="3277"/>
      <c r="AK19" s="3293">
        <f t="shared" si="5"/>
        <v>108000</v>
      </c>
      <c r="AL19" s="3294">
        <f>SUM(Z19:AK19)</f>
        <v>108000</v>
      </c>
      <c r="AM19" s="3273">
        <f t="shared" si="0"/>
        <v>0</v>
      </c>
    </row>
    <row r="20" spans="1:39" ht="38.25" customHeight="1">
      <c r="A20" s="3274">
        <v>20</v>
      </c>
      <c r="B20" s="3275" t="s">
        <v>179</v>
      </c>
      <c r="C20" s="3276"/>
      <c r="D20" s="3277" t="s">
        <v>1962</v>
      </c>
      <c r="E20" s="3278" t="s">
        <v>1963</v>
      </c>
      <c r="F20" s="3279" t="s">
        <v>1964</v>
      </c>
      <c r="G20" s="3274" t="s">
        <v>1965</v>
      </c>
      <c r="H20" s="3281">
        <v>7</v>
      </c>
      <c r="I20" s="3282"/>
      <c r="J20" s="3282"/>
      <c r="K20" s="3283" t="s">
        <v>1966</v>
      </c>
      <c r="L20" s="3284" t="s">
        <v>179</v>
      </c>
      <c r="M20" s="3285"/>
      <c r="N20" s="3286" t="s">
        <v>1994</v>
      </c>
      <c r="O20" s="3287">
        <v>23174</v>
      </c>
      <c r="P20" s="3284">
        <v>5</v>
      </c>
      <c r="Q20" s="3284" t="s">
        <v>1950</v>
      </c>
      <c r="R20" s="3284" t="s">
        <v>1968</v>
      </c>
      <c r="S20" s="1568">
        <v>40000</v>
      </c>
      <c r="T20" s="3287" t="s">
        <v>1995</v>
      </c>
      <c r="U20" s="3287">
        <v>2</v>
      </c>
      <c r="V20" s="3288">
        <f>S20*U20</f>
        <v>80000</v>
      </c>
      <c r="W20" s="3288">
        <v>0</v>
      </c>
      <c r="X20" s="3288">
        <f t="shared" si="2"/>
        <v>80000</v>
      </c>
      <c r="Y20" s="3288">
        <f t="shared" si="8"/>
        <v>80000</v>
      </c>
      <c r="Z20" s="3289"/>
      <c r="AA20" s="3290"/>
      <c r="AB20" s="3290"/>
      <c r="AC20" s="3290"/>
      <c r="AD20" s="3296"/>
      <c r="AE20" s="3292"/>
      <c r="AF20" s="3277"/>
      <c r="AG20" s="3277"/>
      <c r="AH20" s="3277"/>
      <c r="AI20" s="3277"/>
      <c r="AJ20" s="3277"/>
      <c r="AK20" s="3293">
        <f t="shared" si="5"/>
        <v>80000</v>
      </c>
      <c r="AL20" s="3294">
        <f t="shared" ref="AL20:AL21" si="9">SUM(Z20:AK20)</f>
        <v>80000</v>
      </c>
      <c r="AM20" s="3273">
        <f t="shared" si="0"/>
        <v>0</v>
      </c>
    </row>
    <row r="21" spans="1:39" ht="38.25" customHeight="1">
      <c r="A21" s="3274">
        <v>21</v>
      </c>
      <c r="B21" s="3275" t="s">
        <v>179</v>
      </c>
      <c r="C21" s="3276"/>
      <c r="D21" s="3277" t="s">
        <v>1962</v>
      </c>
      <c r="E21" s="3278" t="s">
        <v>1963</v>
      </c>
      <c r="F21" s="3279" t="s">
        <v>1964</v>
      </c>
      <c r="G21" s="3274" t="s">
        <v>1965</v>
      </c>
      <c r="H21" s="3281">
        <v>7</v>
      </c>
      <c r="I21" s="3282"/>
      <c r="J21" s="3282"/>
      <c r="K21" s="3283" t="s">
        <v>1966</v>
      </c>
      <c r="L21" s="3284" t="s">
        <v>179</v>
      </c>
      <c r="M21" s="3285"/>
      <c r="N21" s="3286" t="s">
        <v>1996</v>
      </c>
      <c r="O21" s="3287">
        <v>23174</v>
      </c>
      <c r="P21" s="3284">
        <v>5</v>
      </c>
      <c r="Q21" s="3284" t="s">
        <v>1950</v>
      </c>
      <c r="R21" s="3284" t="s">
        <v>1968</v>
      </c>
      <c r="S21" s="1568">
        <f>15000*2</f>
        <v>30000</v>
      </c>
      <c r="T21" s="3287" t="s">
        <v>1973</v>
      </c>
      <c r="U21" s="3287">
        <v>1</v>
      </c>
      <c r="V21" s="3288">
        <f>S21*U21</f>
        <v>30000</v>
      </c>
      <c r="W21" s="3288">
        <v>0</v>
      </c>
      <c r="X21" s="3288">
        <f t="shared" si="2"/>
        <v>30000</v>
      </c>
      <c r="Y21" s="3288">
        <f t="shared" si="8"/>
        <v>30000</v>
      </c>
      <c r="Z21" s="3289"/>
      <c r="AA21" s="3290"/>
      <c r="AB21" s="3290"/>
      <c r="AC21" s="3290"/>
      <c r="AD21" s="3296"/>
      <c r="AE21" s="3292"/>
      <c r="AF21" s="3277"/>
      <c r="AG21" s="3277"/>
      <c r="AH21" s="3277"/>
      <c r="AI21" s="3277"/>
      <c r="AJ21" s="3277"/>
      <c r="AK21" s="3293">
        <f t="shared" si="5"/>
        <v>30000</v>
      </c>
      <c r="AL21" s="3294">
        <f t="shared" si="9"/>
        <v>30000</v>
      </c>
      <c r="AM21" s="3273">
        <f t="shared" si="0"/>
        <v>0</v>
      </c>
    </row>
    <row r="22" spans="1:39" ht="38.25" customHeight="1">
      <c r="A22" s="3274">
        <v>22</v>
      </c>
      <c r="B22" s="3275" t="s">
        <v>179</v>
      </c>
      <c r="C22" s="3276"/>
      <c r="D22" s="3277" t="s">
        <v>1962</v>
      </c>
      <c r="E22" s="3278" t="s">
        <v>1963</v>
      </c>
      <c r="F22" s="3279" t="s">
        <v>1964</v>
      </c>
      <c r="G22" s="3274" t="s">
        <v>1965</v>
      </c>
      <c r="H22" s="3281">
        <v>7</v>
      </c>
      <c r="I22" s="3282"/>
      <c r="J22" s="3282"/>
      <c r="K22" s="3283" t="s">
        <v>1966</v>
      </c>
      <c r="L22" s="3284" t="s">
        <v>179</v>
      </c>
      <c r="M22" s="3285"/>
      <c r="N22" s="3286" t="s">
        <v>1997</v>
      </c>
      <c r="O22" s="3287">
        <v>23174</v>
      </c>
      <c r="P22" s="3284">
        <v>5</v>
      </c>
      <c r="Q22" s="3284" t="s">
        <v>1950</v>
      </c>
      <c r="R22" s="3284" t="s">
        <v>1968</v>
      </c>
      <c r="S22" s="1568">
        <v>36000</v>
      </c>
      <c r="T22" s="3287" t="s">
        <v>1998</v>
      </c>
      <c r="U22" s="3287">
        <v>3</v>
      </c>
      <c r="V22" s="3288">
        <f t="shared" ref="V22" si="10">S22*U22</f>
        <v>108000</v>
      </c>
      <c r="W22" s="3288">
        <v>0</v>
      </c>
      <c r="X22" s="3288">
        <f t="shared" si="2"/>
        <v>108000</v>
      </c>
      <c r="Y22" s="3288">
        <f t="shared" si="8"/>
        <v>108000</v>
      </c>
      <c r="Z22" s="3289"/>
      <c r="AA22" s="3290"/>
      <c r="AB22" s="3290"/>
      <c r="AC22" s="3290"/>
      <c r="AD22" s="3296"/>
      <c r="AE22" s="3292"/>
      <c r="AF22" s="3277"/>
      <c r="AG22" s="3277"/>
      <c r="AH22" s="3277"/>
      <c r="AI22" s="3277"/>
      <c r="AJ22" s="3277"/>
      <c r="AK22" s="3293">
        <f t="shared" si="5"/>
        <v>108000</v>
      </c>
      <c r="AL22" s="3294">
        <f>SUM(Z22:AK22)</f>
        <v>108000</v>
      </c>
      <c r="AM22" s="3273">
        <f t="shared" si="0"/>
        <v>0</v>
      </c>
    </row>
    <row r="23" spans="1:39" ht="38.25" customHeight="1">
      <c r="A23" s="3274">
        <v>23</v>
      </c>
      <c r="B23" s="3275" t="s">
        <v>179</v>
      </c>
      <c r="C23" s="3276"/>
      <c r="D23" s="3277" t="s">
        <v>1962</v>
      </c>
      <c r="E23" s="3278" t="s">
        <v>1963</v>
      </c>
      <c r="F23" s="3279" t="s">
        <v>1964</v>
      </c>
      <c r="G23" s="3274" t="s">
        <v>1965</v>
      </c>
      <c r="H23" s="3281">
        <v>7</v>
      </c>
      <c r="I23" s="3282"/>
      <c r="J23" s="3282"/>
      <c r="K23" s="3283" t="s">
        <v>1966</v>
      </c>
      <c r="L23" s="3284" t="s">
        <v>179</v>
      </c>
      <c r="M23" s="3285"/>
      <c r="N23" s="3286" t="s">
        <v>1999</v>
      </c>
      <c r="O23" s="3287">
        <v>23174</v>
      </c>
      <c r="P23" s="3284">
        <v>5</v>
      </c>
      <c r="Q23" s="3284" t="s">
        <v>1950</v>
      </c>
      <c r="R23" s="3284" t="s">
        <v>1968</v>
      </c>
      <c r="S23" s="1568">
        <v>20000</v>
      </c>
      <c r="T23" s="3287" t="s">
        <v>2000</v>
      </c>
      <c r="U23" s="3287">
        <v>2</v>
      </c>
      <c r="V23" s="3288">
        <f>S23*U23</f>
        <v>40000</v>
      </c>
      <c r="W23" s="3288">
        <v>0</v>
      </c>
      <c r="X23" s="3288">
        <f t="shared" si="2"/>
        <v>40000</v>
      </c>
      <c r="Y23" s="3288">
        <f t="shared" si="8"/>
        <v>40000</v>
      </c>
      <c r="Z23" s="3289"/>
      <c r="AA23" s="3290"/>
      <c r="AB23" s="3290"/>
      <c r="AC23" s="3290"/>
      <c r="AD23" s="3296"/>
      <c r="AE23" s="3292"/>
      <c r="AF23" s="3277"/>
      <c r="AG23" s="3277"/>
      <c r="AH23" s="3277"/>
      <c r="AI23" s="3277"/>
      <c r="AJ23" s="3277"/>
      <c r="AK23" s="3293">
        <f t="shared" si="5"/>
        <v>40000</v>
      </c>
      <c r="AL23" s="3294">
        <f t="shared" ref="AL23" si="11">SUM(Z23:AK23)</f>
        <v>40000</v>
      </c>
      <c r="AM23" s="3273">
        <f t="shared" si="0"/>
        <v>0</v>
      </c>
    </row>
    <row r="24" spans="1:39" ht="44.25" customHeight="1">
      <c r="A24" s="3274">
        <v>24</v>
      </c>
      <c r="B24" s="3275" t="s">
        <v>179</v>
      </c>
      <c r="C24" s="3276"/>
      <c r="D24" s="3277" t="s">
        <v>1962</v>
      </c>
      <c r="E24" s="3278" t="s">
        <v>1963</v>
      </c>
      <c r="F24" s="3279" t="s">
        <v>1964</v>
      </c>
      <c r="G24" s="3274" t="s">
        <v>1965</v>
      </c>
      <c r="H24" s="3281">
        <v>7</v>
      </c>
      <c r="I24" s="3282"/>
      <c r="J24" s="3282"/>
      <c r="K24" s="3299" t="s">
        <v>1966</v>
      </c>
      <c r="L24" s="3284" t="s">
        <v>179</v>
      </c>
      <c r="M24" s="3279"/>
      <c r="N24" s="3286" t="s">
        <v>2001</v>
      </c>
      <c r="O24" s="3287">
        <v>23174</v>
      </c>
      <c r="P24" s="3284">
        <v>5</v>
      </c>
      <c r="Q24" s="3284" t="s">
        <v>1950</v>
      </c>
      <c r="R24" s="3284" t="s">
        <v>1968</v>
      </c>
      <c r="S24" s="1568">
        <f>10000*2</f>
        <v>20000</v>
      </c>
      <c r="T24" s="3287" t="s">
        <v>1973</v>
      </c>
      <c r="U24" s="3287">
        <v>1</v>
      </c>
      <c r="V24" s="3288">
        <f t="shared" si="1"/>
        <v>20000</v>
      </c>
      <c r="W24" s="3288">
        <v>0</v>
      </c>
      <c r="X24" s="3288">
        <f t="shared" si="2"/>
        <v>20000</v>
      </c>
      <c r="Y24" s="3288">
        <f>X24+W24</f>
        <v>20000</v>
      </c>
      <c r="Z24" s="3289"/>
      <c r="AA24" s="3290"/>
      <c r="AB24" s="3290"/>
      <c r="AC24" s="3290"/>
      <c r="AD24" s="3296"/>
      <c r="AE24" s="3292"/>
      <c r="AF24" s="3277"/>
      <c r="AG24" s="3277"/>
      <c r="AH24" s="3277"/>
      <c r="AI24" s="3277"/>
      <c r="AJ24" s="3277"/>
      <c r="AK24" s="3293">
        <f t="shared" si="5"/>
        <v>20000</v>
      </c>
      <c r="AL24" s="3294">
        <f>SUM(Z24:AK24)</f>
        <v>20000</v>
      </c>
      <c r="AM24" s="3273">
        <f>+AL24-V24</f>
        <v>0</v>
      </c>
    </row>
    <row r="25" spans="1:39" ht="44.25" customHeight="1">
      <c r="A25" s="3274">
        <v>25</v>
      </c>
      <c r="B25" s="3275" t="s">
        <v>179</v>
      </c>
      <c r="C25" s="3276"/>
      <c r="D25" s="3277" t="s">
        <v>1962</v>
      </c>
      <c r="E25" s="3278" t="s">
        <v>2002</v>
      </c>
      <c r="F25" s="3279" t="s">
        <v>2003</v>
      </c>
      <c r="G25" s="3274" t="s">
        <v>1965</v>
      </c>
      <c r="H25" s="3281">
        <v>4</v>
      </c>
      <c r="I25" s="3282"/>
      <c r="J25" s="3282"/>
      <c r="K25" s="3283" t="s">
        <v>1966</v>
      </c>
      <c r="L25" s="3284" t="s">
        <v>179</v>
      </c>
      <c r="M25" s="3285"/>
      <c r="N25" s="3286" t="s">
        <v>2004</v>
      </c>
      <c r="O25" s="3287">
        <v>23174</v>
      </c>
      <c r="P25" s="3284">
        <v>5</v>
      </c>
      <c r="Q25" s="3284" t="s">
        <v>1950</v>
      </c>
      <c r="R25" s="3284" t="s">
        <v>1968</v>
      </c>
      <c r="S25" s="1568">
        <v>36000</v>
      </c>
      <c r="T25" s="3300" t="s">
        <v>1998</v>
      </c>
      <c r="U25" s="3287">
        <f>3*218</f>
        <v>654</v>
      </c>
      <c r="V25" s="3288">
        <f t="shared" si="1"/>
        <v>23544000</v>
      </c>
      <c r="W25" s="3288">
        <v>0</v>
      </c>
      <c r="X25" s="3288">
        <f t="shared" si="2"/>
        <v>23544000</v>
      </c>
      <c r="Y25" s="3288">
        <f t="shared" ref="Y25:Y26" si="12">X25+W25</f>
        <v>23544000</v>
      </c>
      <c r="Z25" s="3301">
        <f>Y25</f>
        <v>23544000</v>
      </c>
      <c r="AA25" s="3290"/>
      <c r="AB25" s="3290"/>
      <c r="AC25" s="3290"/>
      <c r="AD25" s="3296"/>
      <c r="AE25" s="3292"/>
      <c r="AF25" s="3277"/>
      <c r="AG25" s="3277"/>
      <c r="AH25" s="3277"/>
      <c r="AI25" s="3277"/>
      <c r="AJ25" s="3277"/>
      <c r="AK25" s="3277"/>
      <c r="AL25" s="3294">
        <f t="shared" ref="AL25:AL26" si="13">SUM(Z25:AK25)</f>
        <v>23544000</v>
      </c>
      <c r="AM25" s="3273">
        <f t="shared" ref="AM25:AM26" si="14">+AL25-V25</f>
        <v>0</v>
      </c>
    </row>
    <row r="26" spans="1:39" ht="38.25" customHeight="1">
      <c r="A26" s="3274">
        <v>26</v>
      </c>
      <c r="B26" s="3275" t="s">
        <v>179</v>
      </c>
      <c r="C26" s="3276"/>
      <c r="D26" s="3277" t="s">
        <v>1962</v>
      </c>
      <c r="E26" s="3278" t="s">
        <v>2002</v>
      </c>
      <c r="F26" s="3279" t="s">
        <v>2003</v>
      </c>
      <c r="G26" s="3274" t="s">
        <v>1965</v>
      </c>
      <c r="H26" s="3281">
        <v>4</v>
      </c>
      <c r="I26" s="3282"/>
      <c r="J26" s="3282"/>
      <c r="K26" s="3283" t="s">
        <v>1966</v>
      </c>
      <c r="L26" s="3284" t="s">
        <v>179</v>
      </c>
      <c r="M26" s="3285"/>
      <c r="N26" s="3286" t="s">
        <v>2005</v>
      </c>
      <c r="O26" s="3287">
        <v>23174</v>
      </c>
      <c r="P26" s="3284">
        <v>5</v>
      </c>
      <c r="Q26" s="3284" t="s">
        <v>1950</v>
      </c>
      <c r="R26" s="3284" t="s">
        <v>1968</v>
      </c>
      <c r="S26" s="1568">
        <v>150</v>
      </c>
      <c r="T26" s="3287" t="s">
        <v>2006</v>
      </c>
      <c r="U26" s="3287">
        <f>46*218</f>
        <v>10028</v>
      </c>
      <c r="V26" s="3288">
        <f>S26*U26</f>
        <v>1504200</v>
      </c>
      <c r="W26" s="3288">
        <v>0</v>
      </c>
      <c r="X26" s="3288">
        <f t="shared" si="2"/>
        <v>1504200</v>
      </c>
      <c r="Y26" s="3288">
        <f t="shared" si="12"/>
        <v>1504200</v>
      </c>
      <c r="Z26" s="3301">
        <f t="shared" ref="Z26:Z39" si="15">Y26</f>
        <v>1504200</v>
      </c>
      <c r="AA26" s="3290"/>
      <c r="AB26" s="3290"/>
      <c r="AC26" s="3290"/>
      <c r="AD26" s="3296"/>
      <c r="AE26" s="3292"/>
      <c r="AF26" s="3277"/>
      <c r="AG26" s="3277"/>
      <c r="AH26" s="3277"/>
      <c r="AI26" s="3277"/>
      <c r="AJ26" s="3277"/>
      <c r="AK26" s="3277"/>
      <c r="AL26" s="3294">
        <f t="shared" si="13"/>
        <v>1504200</v>
      </c>
      <c r="AM26" s="3273">
        <f t="shared" si="14"/>
        <v>0</v>
      </c>
    </row>
    <row r="27" spans="1:39" ht="51.6" customHeight="1">
      <c r="A27" s="3274">
        <v>27</v>
      </c>
      <c r="B27" s="3275" t="s">
        <v>179</v>
      </c>
      <c r="C27" s="3276"/>
      <c r="D27" s="3277" t="s">
        <v>1962</v>
      </c>
      <c r="E27" s="3278" t="s">
        <v>2002</v>
      </c>
      <c r="F27" s="3279" t="s">
        <v>2003</v>
      </c>
      <c r="G27" s="3274" t="s">
        <v>1965</v>
      </c>
      <c r="H27" s="3281">
        <v>4</v>
      </c>
      <c r="I27" s="3282"/>
      <c r="J27" s="3282"/>
      <c r="K27" s="3283" t="s">
        <v>1966</v>
      </c>
      <c r="L27" s="3284" t="s">
        <v>179</v>
      </c>
      <c r="M27" s="3285"/>
      <c r="N27" s="3286" t="s">
        <v>2007</v>
      </c>
      <c r="O27" s="3287">
        <v>23174</v>
      </c>
      <c r="P27" s="3284">
        <v>5</v>
      </c>
      <c r="Q27" s="3284" t="s">
        <v>1950</v>
      </c>
      <c r="R27" s="3284" t="s">
        <v>1968</v>
      </c>
      <c r="S27" s="1568">
        <v>36000</v>
      </c>
      <c r="T27" s="3300" t="s">
        <v>1998</v>
      </c>
      <c r="U27" s="3287">
        <f>5*20</f>
        <v>100</v>
      </c>
      <c r="V27" s="3288">
        <f t="shared" si="1"/>
        <v>3600000</v>
      </c>
      <c r="W27" s="3288">
        <v>0</v>
      </c>
      <c r="X27" s="3288">
        <f t="shared" si="2"/>
        <v>3600000</v>
      </c>
      <c r="Y27" s="3288">
        <f>X27+W27</f>
        <v>3600000</v>
      </c>
      <c r="Z27" s="3301">
        <f t="shared" si="15"/>
        <v>3600000</v>
      </c>
      <c r="AA27" s="3290"/>
      <c r="AB27" s="3290"/>
      <c r="AC27" s="3290"/>
      <c r="AD27" s="3296"/>
      <c r="AE27" s="3292"/>
      <c r="AF27" s="3277"/>
      <c r="AG27" s="3277"/>
      <c r="AH27" s="3277"/>
      <c r="AI27" s="3277"/>
      <c r="AJ27" s="3277"/>
      <c r="AK27" s="3277"/>
      <c r="AL27" s="3294">
        <f>SUM(Z27:AK27)</f>
        <v>3600000</v>
      </c>
      <c r="AM27" s="3273">
        <f>+AL27-V27</f>
        <v>0</v>
      </c>
    </row>
    <row r="28" spans="1:39" ht="44.25" customHeight="1">
      <c r="A28" s="3274">
        <v>28</v>
      </c>
      <c r="B28" s="3275" t="s">
        <v>179</v>
      </c>
      <c r="C28" s="3276"/>
      <c r="D28" s="3277" t="s">
        <v>1962</v>
      </c>
      <c r="E28" s="3278" t="s">
        <v>2002</v>
      </c>
      <c r="F28" s="3279" t="s">
        <v>2003</v>
      </c>
      <c r="G28" s="3274" t="s">
        <v>1965</v>
      </c>
      <c r="H28" s="3281">
        <v>4</v>
      </c>
      <c r="I28" s="3282"/>
      <c r="J28" s="3282"/>
      <c r="K28" s="3283" t="s">
        <v>1966</v>
      </c>
      <c r="L28" s="3284" t="s">
        <v>179</v>
      </c>
      <c r="M28" s="3285"/>
      <c r="N28" s="3286" t="s">
        <v>2008</v>
      </c>
      <c r="O28" s="3287">
        <v>23174</v>
      </c>
      <c r="P28" s="3284">
        <v>5</v>
      </c>
      <c r="Q28" s="3284" t="s">
        <v>1950</v>
      </c>
      <c r="R28" s="3284" t="s">
        <v>1968</v>
      </c>
      <c r="S28" s="1568">
        <v>20000</v>
      </c>
      <c r="T28" s="3287" t="s">
        <v>1971</v>
      </c>
      <c r="U28" s="3287">
        <f>4*20</f>
        <v>80</v>
      </c>
      <c r="V28" s="3288">
        <f t="shared" si="1"/>
        <v>1600000</v>
      </c>
      <c r="W28" s="3288">
        <v>0</v>
      </c>
      <c r="X28" s="3288">
        <f t="shared" si="2"/>
        <v>1600000</v>
      </c>
      <c r="Y28" s="3288">
        <f t="shared" ref="Y28:Y39" si="16">X28+W28</f>
        <v>1600000</v>
      </c>
      <c r="Z28" s="3301">
        <f t="shared" si="15"/>
        <v>1600000</v>
      </c>
      <c r="AA28" s="3290"/>
      <c r="AB28" s="3290"/>
      <c r="AC28" s="3290"/>
      <c r="AD28" s="3296"/>
      <c r="AE28" s="3292"/>
      <c r="AF28" s="3277"/>
      <c r="AG28" s="3277"/>
      <c r="AH28" s="3277"/>
      <c r="AI28" s="3277"/>
      <c r="AJ28" s="3277"/>
      <c r="AK28" s="3277"/>
      <c r="AL28" s="3294">
        <f t="shared" ref="AL28:AL39" si="17">SUM(Z28:AK28)</f>
        <v>1600000</v>
      </c>
      <c r="AM28" s="3273">
        <f t="shared" ref="AM28:AM37" si="18">+AL28-V28</f>
        <v>0</v>
      </c>
    </row>
    <row r="29" spans="1:39" ht="51.6" customHeight="1">
      <c r="A29" s="3274">
        <v>29</v>
      </c>
      <c r="B29" s="3275" t="s">
        <v>179</v>
      </c>
      <c r="C29" s="3276"/>
      <c r="D29" s="3277" t="s">
        <v>1962</v>
      </c>
      <c r="E29" s="3278" t="s">
        <v>2002</v>
      </c>
      <c r="F29" s="3279" t="s">
        <v>2003</v>
      </c>
      <c r="G29" s="3274" t="s">
        <v>1965</v>
      </c>
      <c r="H29" s="3281">
        <v>4</v>
      </c>
      <c r="I29" s="3282"/>
      <c r="J29" s="3282"/>
      <c r="K29" s="3283" t="s">
        <v>1966</v>
      </c>
      <c r="L29" s="3284" t="s">
        <v>179</v>
      </c>
      <c r="M29" s="3285"/>
      <c r="N29" s="3286" t="s">
        <v>2009</v>
      </c>
      <c r="O29" s="3287">
        <v>23174</v>
      </c>
      <c r="P29" s="3284">
        <v>5</v>
      </c>
      <c r="Q29" s="3284" t="s">
        <v>1950</v>
      </c>
      <c r="R29" s="3284" t="s">
        <v>1968</v>
      </c>
      <c r="S29" s="1568">
        <v>5900</v>
      </c>
      <c r="T29" s="3300" t="s">
        <v>2010</v>
      </c>
      <c r="U29" s="3287">
        <f>4/100*40*15</f>
        <v>24</v>
      </c>
      <c r="V29" s="3288">
        <f>S29*U29</f>
        <v>141600</v>
      </c>
      <c r="W29" s="3288">
        <v>0</v>
      </c>
      <c r="X29" s="3288">
        <f t="shared" si="2"/>
        <v>141600</v>
      </c>
      <c r="Y29" s="3288">
        <f t="shared" si="16"/>
        <v>141600</v>
      </c>
      <c r="Z29" s="3301">
        <f t="shared" si="15"/>
        <v>141600</v>
      </c>
      <c r="AA29" s="3290"/>
      <c r="AB29" s="3290"/>
      <c r="AC29" s="3290"/>
      <c r="AD29" s="3296"/>
      <c r="AE29" s="3292"/>
      <c r="AF29" s="3277"/>
      <c r="AG29" s="3277"/>
      <c r="AH29" s="3277"/>
      <c r="AI29" s="3277"/>
      <c r="AJ29" s="3277"/>
      <c r="AK29" s="3277"/>
      <c r="AL29" s="3294">
        <f t="shared" si="17"/>
        <v>141600</v>
      </c>
      <c r="AM29" s="3273">
        <f t="shared" si="18"/>
        <v>0</v>
      </c>
    </row>
    <row r="30" spans="1:39" ht="44.25" customHeight="1">
      <c r="A30" s="3274">
        <v>30</v>
      </c>
      <c r="B30" s="3275" t="s">
        <v>179</v>
      </c>
      <c r="C30" s="3276"/>
      <c r="D30" s="3277" t="s">
        <v>1962</v>
      </c>
      <c r="E30" s="3278" t="s">
        <v>2002</v>
      </c>
      <c r="F30" s="3279" t="s">
        <v>2003</v>
      </c>
      <c r="G30" s="3274" t="s">
        <v>1965</v>
      </c>
      <c r="H30" s="3281">
        <v>4</v>
      </c>
      <c r="I30" s="3282"/>
      <c r="J30" s="3282"/>
      <c r="K30" s="3283" t="s">
        <v>1966</v>
      </c>
      <c r="L30" s="3284" t="s">
        <v>179</v>
      </c>
      <c r="M30" s="3285"/>
      <c r="N30" s="3286" t="s">
        <v>2011</v>
      </c>
      <c r="O30" s="3287">
        <v>23174</v>
      </c>
      <c r="P30" s="3284">
        <v>5</v>
      </c>
      <c r="Q30" s="3284" t="s">
        <v>1950</v>
      </c>
      <c r="R30" s="3284" t="s">
        <v>1968</v>
      </c>
      <c r="S30" s="1568">
        <f>10000*2</f>
        <v>20000</v>
      </c>
      <c r="T30" s="3300" t="s">
        <v>1973</v>
      </c>
      <c r="U30" s="3287">
        <v>6</v>
      </c>
      <c r="V30" s="3288">
        <f t="shared" si="1"/>
        <v>120000</v>
      </c>
      <c r="W30" s="3288">
        <v>0</v>
      </c>
      <c r="X30" s="3288">
        <f t="shared" si="2"/>
        <v>120000</v>
      </c>
      <c r="Y30" s="3288">
        <f t="shared" si="16"/>
        <v>120000</v>
      </c>
      <c r="Z30" s="3301">
        <f t="shared" si="15"/>
        <v>120000</v>
      </c>
      <c r="AA30" s="3290"/>
      <c r="AB30" s="3290"/>
      <c r="AC30" s="3290"/>
      <c r="AD30" s="3296"/>
      <c r="AE30" s="3292"/>
      <c r="AF30" s="3277"/>
      <c r="AG30" s="3277"/>
      <c r="AH30" s="3277"/>
      <c r="AI30" s="3277"/>
      <c r="AJ30" s="3277"/>
      <c r="AK30" s="3277"/>
      <c r="AL30" s="3294">
        <f t="shared" si="17"/>
        <v>120000</v>
      </c>
      <c r="AM30" s="3273">
        <f t="shared" si="18"/>
        <v>0</v>
      </c>
    </row>
    <row r="31" spans="1:39" ht="38.25" customHeight="1">
      <c r="A31" s="3274">
        <v>31</v>
      </c>
      <c r="B31" s="3275" t="s">
        <v>179</v>
      </c>
      <c r="C31" s="3276"/>
      <c r="D31" s="3277" t="s">
        <v>1962</v>
      </c>
      <c r="E31" s="3278" t="s">
        <v>2002</v>
      </c>
      <c r="F31" s="3279" t="s">
        <v>2003</v>
      </c>
      <c r="G31" s="3274" t="s">
        <v>1965</v>
      </c>
      <c r="H31" s="3281">
        <v>4</v>
      </c>
      <c r="I31" s="3282"/>
      <c r="J31" s="3282"/>
      <c r="K31" s="3283" t="s">
        <v>1966</v>
      </c>
      <c r="L31" s="3284" t="s">
        <v>179</v>
      </c>
      <c r="M31" s="3285"/>
      <c r="N31" s="3286" t="s">
        <v>2011</v>
      </c>
      <c r="O31" s="3287">
        <v>23174</v>
      </c>
      <c r="P31" s="3284">
        <v>5</v>
      </c>
      <c r="Q31" s="3284" t="s">
        <v>1950</v>
      </c>
      <c r="R31" s="3284" t="s">
        <v>1968</v>
      </c>
      <c r="S31" s="1568">
        <f>15000*2</f>
        <v>30000</v>
      </c>
      <c r="T31" s="3287" t="s">
        <v>1973</v>
      </c>
      <c r="U31" s="1703">
        <v>6</v>
      </c>
      <c r="V31" s="3288">
        <f>S31*U31</f>
        <v>180000</v>
      </c>
      <c r="W31" s="3288">
        <v>0</v>
      </c>
      <c r="X31" s="3288">
        <f t="shared" si="2"/>
        <v>180000</v>
      </c>
      <c r="Y31" s="3288">
        <f t="shared" si="16"/>
        <v>180000</v>
      </c>
      <c r="Z31" s="3301">
        <f t="shared" si="15"/>
        <v>180000</v>
      </c>
      <c r="AA31" s="3290"/>
      <c r="AB31" s="3290"/>
      <c r="AC31" s="3290"/>
      <c r="AD31" s="3296"/>
      <c r="AE31" s="3292"/>
      <c r="AF31" s="3277"/>
      <c r="AG31" s="3277"/>
      <c r="AH31" s="3277"/>
      <c r="AI31" s="3277"/>
      <c r="AJ31" s="3277"/>
      <c r="AK31" s="3277"/>
      <c r="AL31" s="3294">
        <f t="shared" si="17"/>
        <v>180000</v>
      </c>
      <c r="AM31" s="3273">
        <f t="shared" si="18"/>
        <v>0</v>
      </c>
    </row>
    <row r="32" spans="1:39" ht="38.25" customHeight="1">
      <c r="A32" s="3274">
        <v>32</v>
      </c>
      <c r="B32" s="3275" t="s">
        <v>179</v>
      </c>
      <c r="C32" s="3276"/>
      <c r="D32" s="3277" t="s">
        <v>1962</v>
      </c>
      <c r="E32" s="3278" t="s">
        <v>2002</v>
      </c>
      <c r="F32" s="3279" t="s">
        <v>2003</v>
      </c>
      <c r="G32" s="3274" t="s">
        <v>1965</v>
      </c>
      <c r="H32" s="3281">
        <v>4</v>
      </c>
      <c r="I32" s="3282"/>
      <c r="J32" s="3282"/>
      <c r="K32" s="3283" t="s">
        <v>1966</v>
      </c>
      <c r="L32" s="3284" t="s">
        <v>179</v>
      </c>
      <c r="M32" s="3285"/>
      <c r="N32" s="3286" t="s">
        <v>2012</v>
      </c>
      <c r="O32" s="3287">
        <v>23174</v>
      </c>
      <c r="P32" s="3284">
        <v>5</v>
      </c>
      <c r="Q32" s="3284" t="s">
        <v>1950</v>
      </c>
      <c r="R32" s="3284" t="s">
        <v>1968</v>
      </c>
      <c r="S32" s="1568">
        <f>20000*2</f>
        <v>40000</v>
      </c>
      <c r="T32" s="3287" t="s">
        <v>1973</v>
      </c>
      <c r="U32" s="1703">
        <v>3</v>
      </c>
      <c r="V32" s="3288">
        <f>S32*U32</f>
        <v>120000</v>
      </c>
      <c r="W32" s="3288">
        <v>0</v>
      </c>
      <c r="X32" s="3288">
        <f t="shared" si="2"/>
        <v>120000</v>
      </c>
      <c r="Y32" s="3288">
        <f t="shared" si="16"/>
        <v>120000</v>
      </c>
      <c r="Z32" s="3301">
        <f t="shared" si="15"/>
        <v>120000</v>
      </c>
      <c r="AA32" s="3290"/>
      <c r="AB32" s="3290"/>
      <c r="AC32" s="3290"/>
      <c r="AD32" s="3296"/>
      <c r="AE32" s="3292"/>
      <c r="AF32" s="3277"/>
      <c r="AG32" s="3277"/>
      <c r="AH32" s="3277"/>
      <c r="AI32" s="3277"/>
      <c r="AJ32" s="3277"/>
      <c r="AK32" s="3277"/>
      <c r="AL32" s="3294">
        <f t="shared" si="17"/>
        <v>120000</v>
      </c>
      <c r="AM32" s="3273">
        <f t="shared" si="18"/>
        <v>0</v>
      </c>
    </row>
    <row r="33" spans="1:39" ht="38.25" customHeight="1">
      <c r="A33" s="3274">
        <v>33</v>
      </c>
      <c r="B33" s="3275" t="s">
        <v>179</v>
      </c>
      <c r="C33" s="3276"/>
      <c r="D33" s="3277" t="s">
        <v>1962</v>
      </c>
      <c r="E33" s="3278" t="s">
        <v>1963</v>
      </c>
      <c r="F33" s="3279" t="s">
        <v>2003</v>
      </c>
      <c r="G33" s="3274" t="s">
        <v>1965</v>
      </c>
      <c r="H33" s="3281">
        <v>3</v>
      </c>
      <c r="I33" s="3282"/>
      <c r="J33" s="3282"/>
      <c r="K33" s="3283" t="s">
        <v>1966</v>
      </c>
      <c r="L33" s="3284" t="s">
        <v>179</v>
      </c>
      <c r="M33" s="3285"/>
      <c r="N33" s="3286" t="s">
        <v>1993</v>
      </c>
      <c r="O33" s="3287">
        <v>23174</v>
      </c>
      <c r="P33" s="3284">
        <v>5</v>
      </c>
      <c r="Q33" s="3284" t="s">
        <v>1950</v>
      </c>
      <c r="R33" s="3284" t="s">
        <v>1968</v>
      </c>
      <c r="S33" s="1568">
        <v>36000</v>
      </c>
      <c r="T33" s="3287" t="s">
        <v>1969</v>
      </c>
      <c r="U33" s="3287">
        <v>3</v>
      </c>
      <c r="V33" s="3288">
        <f>S33*U33</f>
        <v>108000</v>
      </c>
      <c r="W33" s="3288">
        <v>0</v>
      </c>
      <c r="X33" s="3288">
        <f t="shared" si="2"/>
        <v>108000</v>
      </c>
      <c r="Y33" s="3288">
        <f t="shared" si="16"/>
        <v>108000</v>
      </c>
      <c r="Z33" s="3301">
        <f t="shared" si="15"/>
        <v>108000</v>
      </c>
      <c r="AA33" s="3290"/>
      <c r="AB33" s="3290"/>
      <c r="AC33" s="3290"/>
      <c r="AD33" s="3296"/>
      <c r="AE33" s="3292"/>
      <c r="AF33" s="3277"/>
      <c r="AG33" s="3277"/>
      <c r="AH33" s="3277"/>
      <c r="AI33" s="3277"/>
      <c r="AJ33" s="3277"/>
      <c r="AK33" s="3277"/>
      <c r="AL33" s="3294">
        <f>SUM(Z33:AK33)</f>
        <v>108000</v>
      </c>
      <c r="AM33" s="3273">
        <f t="shared" si="18"/>
        <v>0</v>
      </c>
    </row>
    <row r="34" spans="1:39" ht="38.25" customHeight="1">
      <c r="A34" s="3274">
        <v>34</v>
      </c>
      <c r="B34" s="3275" t="s">
        <v>179</v>
      </c>
      <c r="C34" s="3276"/>
      <c r="D34" s="3277" t="s">
        <v>1962</v>
      </c>
      <c r="E34" s="3278" t="s">
        <v>1963</v>
      </c>
      <c r="F34" s="3279" t="s">
        <v>2003</v>
      </c>
      <c r="G34" s="3274" t="s">
        <v>1965</v>
      </c>
      <c r="H34" s="3281">
        <v>3</v>
      </c>
      <c r="I34" s="3282"/>
      <c r="J34" s="3282"/>
      <c r="K34" s="3283" t="s">
        <v>1966</v>
      </c>
      <c r="L34" s="3284" t="s">
        <v>179</v>
      </c>
      <c r="M34" s="3285"/>
      <c r="N34" s="3286" t="s">
        <v>1994</v>
      </c>
      <c r="O34" s="3287">
        <v>23174</v>
      </c>
      <c r="P34" s="3284">
        <v>5</v>
      </c>
      <c r="Q34" s="3284" t="s">
        <v>1950</v>
      </c>
      <c r="R34" s="3284" t="s">
        <v>1968</v>
      </c>
      <c r="S34" s="1568">
        <v>40000</v>
      </c>
      <c r="T34" s="3287" t="s">
        <v>1995</v>
      </c>
      <c r="U34" s="3287">
        <v>2</v>
      </c>
      <c r="V34" s="3288">
        <f>S34*U34</f>
        <v>80000</v>
      </c>
      <c r="W34" s="3288">
        <v>0</v>
      </c>
      <c r="X34" s="3288">
        <f t="shared" si="2"/>
        <v>80000</v>
      </c>
      <c r="Y34" s="3288">
        <f t="shared" si="16"/>
        <v>80000</v>
      </c>
      <c r="Z34" s="3301">
        <f t="shared" si="15"/>
        <v>80000</v>
      </c>
      <c r="AA34" s="3290"/>
      <c r="AB34" s="3290"/>
      <c r="AC34" s="3290"/>
      <c r="AD34" s="3296"/>
      <c r="AE34" s="3292"/>
      <c r="AF34" s="3277"/>
      <c r="AG34" s="3277"/>
      <c r="AH34" s="3277"/>
      <c r="AI34" s="3277"/>
      <c r="AJ34" s="3277"/>
      <c r="AK34" s="3277"/>
      <c r="AL34" s="3294">
        <f t="shared" ref="AL34:AL35" si="19">SUM(Z34:AK34)</f>
        <v>80000</v>
      </c>
      <c r="AM34" s="3273">
        <f t="shared" si="18"/>
        <v>0</v>
      </c>
    </row>
    <row r="35" spans="1:39" ht="38.25" customHeight="1">
      <c r="A35" s="3274">
        <v>35</v>
      </c>
      <c r="B35" s="3275" t="s">
        <v>179</v>
      </c>
      <c r="C35" s="3276"/>
      <c r="D35" s="3277" t="s">
        <v>1962</v>
      </c>
      <c r="E35" s="3278" t="s">
        <v>1963</v>
      </c>
      <c r="F35" s="3279" t="s">
        <v>2003</v>
      </c>
      <c r="G35" s="3274" t="s">
        <v>1965</v>
      </c>
      <c r="H35" s="3281">
        <v>3</v>
      </c>
      <c r="I35" s="3282"/>
      <c r="J35" s="3282"/>
      <c r="K35" s="3283" t="s">
        <v>1966</v>
      </c>
      <c r="L35" s="3284" t="s">
        <v>179</v>
      </c>
      <c r="M35" s="3285"/>
      <c r="N35" s="3286" t="s">
        <v>1996</v>
      </c>
      <c r="O35" s="3287">
        <v>23174</v>
      </c>
      <c r="P35" s="3284">
        <v>5</v>
      </c>
      <c r="Q35" s="3284" t="s">
        <v>1950</v>
      </c>
      <c r="R35" s="3284" t="s">
        <v>1968</v>
      </c>
      <c r="S35" s="1568">
        <f>15000*2</f>
        <v>30000</v>
      </c>
      <c r="T35" s="3287" t="s">
        <v>1973</v>
      </c>
      <c r="U35" s="3287">
        <v>1</v>
      </c>
      <c r="V35" s="3288">
        <f>S35*U35</f>
        <v>30000</v>
      </c>
      <c r="W35" s="3288">
        <v>0</v>
      </c>
      <c r="X35" s="3288">
        <f t="shared" si="2"/>
        <v>30000</v>
      </c>
      <c r="Y35" s="3288">
        <f t="shared" si="16"/>
        <v>30000</v>
      </c>
      <c r="Z35" s="3301">
        <f t="shared" si="15"/>
        <v>30000</v>
      </c>
      <c r="AA35" s="3290"/>
      <c r="AB35" s="3290"/>
      <c r="AC35" s="3290"/>
      <c r="AD35" s="3296"/>
      <c r="AE35" s="3292"/>
      <c r="AF35" s="3277"/>
      <c r="AG35" s="3277"/>
      <c r="AH35" s="3277"/>
      <c r="AI35" s="3277"/>
      <c r="AJ35" s="3277"/>
      <c r="AK35" s="3277"/>
      <c r="AL35" s="3294">
        <f t="shared" si="19"/>
        <v>30000</v>
      </c>
      <c r="AM35" s="3273">
        <f t="shared" si="18"/>
        <v>0</v>
      </c>
    </row>
    <row r="36" spans="1:39" ht="38.25" customHeight="1">
      <c r="A36" s="3274">
        <v>36</v>
      </c>
      <c r="B36" s="3275" t="s">
        <v>179</v>
      </c>
      <c r="C36" s="3276"/>
      <c r="D36" s="3277" t="s">
        <v>1962</v>
      </c>
      <c r="E36" s="3278" t="s">
        <v>2002</v>
      </c>
      <c r="F36" s="3279" t="s">
        <v>2003</v>
      </c>
      <c r="G36" s="3274" t="s">
        <v>1965</v>
      </c>
      <c r="H36" s="3281">
        <v>3</v>
      </c>
      <c r="I36" s="3282"/>
      <c r="J36" s="3282"/>
      <c r="K36" s="3283" t="s">
        <v>1966</v>
      </c>
      <c r="L36" s="3284" t="s">
        <v>179</v>
      </c>
      <c r="M36" s="3285"/>
      <c r="N36" s="3286" t="s">
        <v>1999</v>
      </c>
      <c r="O36" s="3287">
        <v>23174</v>
      </c>
      <c r="P36" s="3284">
        <v>5</v>
      </c>
      <c r="Q36" s="3284" t="s">
        <v>1950</v>
      </c>
      <c r="R36" s="3284" t="s">
        <v>1968</v>
      </c>
      <c r="S36" s="1568">
        <v>20000</v>
      </c>
      <c r="T36" s="3287" t="s">
        <v>2000</v>
      </c>
      <c r="U36" s="3287">
        <f>2*5</f>
        <v>10</v>
      </c>
      <c r="V36" s="3288">
        <f t="shared" si="1"/>
        <v>200000</v>
      </c>
      <c r="W36" s="3288">
        <v>0</v>
      </c>
      <c r="X36" s="3288">
        <f t="shared" si="2"/>
        <v>200000</v>
      </c>
      <c r="Y36" s="3288">
        <f t="shared" si="16"/>
        <v>200000</v>
      </c>
      <c r="Z36" s="3301">
        <f t="shared" si="15"/>
        <v>200000</v>
      </c>
      <c r="AA36" s="3290"/>
      <c r="AB36" s="3290"/>
      <c r="AC36" s="3290"/>
      <c r="AD36" s="3296"/>
      <c r="AE36" s="3292"/>
      <c r="AF36" s="3277"/>
      <c r="AG36" s="3277"/>
      <c r="AH36" s="3277"/>
      <c r="AI36" s="3277"/>
      <c r="AJ36" s="3277"/>
      <c r="AK36" s="3277"/>
      <c r="AL36" s="3294">
        <f>SUM(Z36:AK36)</f>
        <v>200000</v>
      </c>
      <c r="AM36" s="3273">
        <f t="shared" si="18"/>
        <v>0</v>
      </c>
    </row>
    <row r="37" spans="1:39" ht="38.25" customHeight="1">
      <c r="A37" s="3274">
        <v>37</v>
      </c>
      <c r="B37" s="3275" t="s">
        <v>179</v>
      </c>
      <c r="C37" s="3276"/>
      <c r="D37" s="3277" t="s">
        <v>1962</v>
      </c>
      <c r="E37" s="3278" t="s">
        <v>2002</v>
      </c>
      <c r="F37" s="3279" t="s">
        <v>2003</v>
      </c>
      <c r="G37" s="3274" t="s">
        <v>1965</v>
      </c>
      <c r="H37" s="3281">
        <v>3</v>
      </c>
      <c r="I37" s="3282"/>
      <c r="J37" s="3282"/>
      <c r="K37" s="3283" t="s">
        <v>1966</v>
      </c>
      <c r="L37" s="3284" t="s">
        <v>179</v>
      </c>
      <c r="M37" s="3285"/>
      <c r="N37" s="3286" t="s">
        <v>2013</v>
      </c>
      <c r="O37" s="3287">
        <v>23174</v>
      </c>
      <c r="P37" s="3284">
        <v>5</v>
      </c>
      <c r="Q37" s="3284" t="s">
        <v>1950</v>
      </c>
      <c r="R37" s="3284" t="s">
        <v>1968</v>
      </c>
      <c r="S37" s="1568">
        <f>10000*2</f>
        <v>20000</v>
      </c>
      <c r="T37" s="3287" t="s">
        <v>1973</v>
      </c>
      <c r="U37" s="3287">
        <v>2</v>
      </c>
      <c r="V37" s="3288">
        <f>S37*U37</f>
        <v>40000</v>
      </c>
      <c r="W37" s="3288">
        <v>0</v>
      </c>
      <c r="X37" s="3288">
        <f t="shared" si="2"/>
        <v>40000</v>
      </c>
      <c r="Y37" s="3288">
        <f t="shared" si="16"/>
        <v>40000</v>
      </c>
      <c r="Z37" s="3301">
        <f t="shared" si="15"/>
        <v>40000</v>
      </c>
      <c r="AA37" s="3290"/>
      <c r="AB37" s="3290"/>
      <c r="AC37" s="3290"/>
      <c r="AD37" s="3296"/>
      <c r="AE37" s="3292"/>
      <c r="AF37" s="3277"/>
      <c r="AG37" s="3277"/>
      <c r="AH37" s="3277"/>
      <c r="AI37" s="3277"/>
      <c r="AJ37" s="3277"/>
      <c r="AK37" s="3277"/>
      <c r="AL37" s="3294">
        <f t="shared" si="17"/>
        <v>40000</v>
      </c>
      <c r="AM37" s="3273">
        <f t="shared" si="18"/>
        <v>0</v>
      </c>
    </row>
    <row r="38" spans="1:39" ht="38.25" customHeight="1">
      <c r="A38" s="3274">
        <v>38</v>
      </c>
      <c r="B38" s="3275" t="s">
        <v>179</v>
      </c>
      <c r="C38" s="3276"/>
      <c r="D38" s="3277" t="s">
        <v>1962</v>
      </c>
      <c r="E38" s="3278" t="s">
        <v>2002</v>
      </c>
      <c r="F38" s="3279" t="s">
        <v>2003</v>
      </c>
      <c r="G38" s="3274" t="s">
        <v>1965</v>
      </c>
      <c r="H38" s="3281">
        <v>3</v>
      </c>
      <c r="I38" s="3282"/>
      <c r="J38" s="3282"/>
      <c r="K38" s="3283" t="s">
        <v>1966</v>
      </c>
      <c r="L38" s="3284" t="s">
        <v>179</v>
      </c>
      <c r="M38" s="3285"/>
      <c r="N38" s="3286" t="s">
        <v>2013</v>
      </c>
      <c r="O38" s="3287">
        <v>23174</v>
      </c>
      <c r="P38" s="3284">
        <v>5</v>
      </c>
      <c r="Q38" s="3284" t="s">
        <v>1950</v>
      </c>
      <c r="R38" s="3284" t="s">
        <v>1968</v>
      </c>
      <c r="S38" s="1568">
        <f>15000*2</f>
        <v>30000</v>
      </c>
      <c r="T38" s="3287" t="s">
        <v>1973</v>
      </c>
      <c r="U38" s="3287">
        <v>2</v>
      </c>
      <c r="V38" s="3288">
        <f>S38*U38</f>
        <v>60000</v>
      </c>
      <c r="W38" s="3288"/>
      <c r="X38" s="3288">
        <f t="shared" si="2"/>
        <v>60000</v>
      </c>
      <c r="Y38" s="3288">
        <f t="shared" si="16"/>
        <v>60000</v>
      </c>
      <c r="Z38" s="3301">
        <f t="shared" si="15"/>
        <v>60000</v>
      </c>
      <c r="AA38" s="3290"/>
      <c r="AB38" s="3290"/>
      <c r="AC38" s="3290"/>
      <c r="AD38" s="3296"/>
      <c r="AE38" s="3292"/>
      <c r="AF38" s="3277"/>
      <c r="AG38" s="3277"/>
      <c r="AH38" s="3277"/>
      <c r="AI38" s="3277"/>
      <c r="AJ38" s="3277"/>
      <c r="AK38" s="3277"/>
      <c r="AL38" s="3294">
        <f t="shared" si="17"/>
        <v>60000</v>
      </c>
      <c r="AM38" s="3273"/>
    </row>
    <row r="39" spans="1:39" ht="38.25" customHeight="1">
      <c r="A39" s="3274">
        <v>39</v>
      </c>
      <c r="B39" s="3275" t="s">
        <v>179</v>
      </c>
      <c r="C39" s="3276"/>
      <c r="D39" s="3277" t="s">
        <v>1962</v>
      </c>
      <c r="E39" s="3278" t="s">
        <v>2002</v>
      </c>
      <c r="F39" s="3279" t="s">
        <v>2003</v>
      </c>
      <c r="G39" s="3274" t="s">
        <v>1965</v>
      </c>
      <c r="H39" s="3281">
        <v>3</v>
      </c>
      <c r="I39" s="3282"/>
      <c r="J39" s="3282"/>
      <c r="K39" s="3283" t="s">
        <v>1966</v>
      </c>
      <c r="L39" s="3284" t="s">
        <v>179</v>
      </c>
      <c r="M39" s="3285"/>
      <c r="N39" s="3286" t="s">
        <v>2014</v>
      </c>
      <c r="O39" s="3287">
        <v>23174</v>
      </c>
      <c r="P39" s="3284">
        <v>5</v>
      </c>
      <c r="Q39" s="3284" t="s">
        <v>1950</v>
      </c>
      <c r="R39" s="3284" t="s">
        <v>1968</v>
      </c>
      <c r="S39" s="1568">
        <f>20000*2</f>
        <v>40000</v>
      </c>
      <c r="T39" s="3287" t="s">
        <v>1973</v>
      </c>
      <c r="U39" s="3287">
        <v>1</v>
      </c>
      <c r="V39" s="3288">
        <f>S39*U39</f>
        <v>40000</v>
      </c>
      <c r="W39" s="3288"/>
      <c r="X39" s="3288">
        <f t="shared" si="2"/>
        <v>40000</v>
      </c>
      <c r="Y39" s="3288">
        <f t="shared" si="16"/>
        <v>40000</v>
      </c>
      <c r="Z39" s="3301">
        <f t="shared" si="15"/>
        <v>40000</v>
      </c>
      <c r="AA39" s="3290"/>
      <c r="AB39" s="3290"/>
      <c r="AC39" s="3290"/>
      <c r="AD39" s="3296"/>
      <c r="AE39" s="3292"/>
      <c r="AF39" s="3277"/>
      <c r="AG39" s="3277"/>
      <c r="AH39" s="3277"/>
      <c r="AI39" s="3277"/>
      <c r="AJ39" s="3277"/>
      <c r="AK39" s="3277"/>
      <c r="AL39" s="3294">
        <f t="shared" si="17"/>
        <v>40000</v>
      </c>
      <c r="AM39" s="3273"/>
    </row>
    <row r="40" spans="1:39" s="3314" customFormat="1" ht="32.25" customHeight="1">
      <c r="A40" s="3256">
        <v>47</v>
      </c>
      <c r="B40" s="3257" t="s">
        <v>179</v>
      </c>
      <c r="C40" s="3303"/>
      <c r="D40" s="3303"/>
      <c r="E40" s="3304" t="s">
        <v>2017</v>
      </c>
      <c r="F40" s="3304" t="s">
        <v>2018</v>
      </c>
      <c r="G40" s="3304"/>
      <c r="H40" s="3305"/>
      <c r="I40" s="3306"/>
      <c r="J40" s="3307"/>
      <c r="K40" s="3308"/>
      <c r="L40" s="3304"/>
      <c r="M40" s="3304"/>
      <c r="N40" s="3304"/>
      <c r="O40" s="3304"/>
      <c r="P40" s="3304"/>
      <c r="Q40" s="3304"/>
      <c r="R40" s="3304"/>
      <c r="S40" s="3309"/>
      <c r="T40" s="3310"/>
      <c r="U40" s="3311"/>
      <c r="V40" s="3312">
        <v>0</v>
      </c>
      <c r="W40" s="3312"/>
      <c r="X40" s="3312">
        <v>0</v>
      </c>
      <c r="Y40" s="3312">
        <v>0</v>
      </c>
      <c r="Z40" s="3312"/>
      <c r="AA40" s="3312"/>
      <c r="AB40" s="3312"/>
      <c r="AC40" s="3312"/>
      <c r="AD40" s="3312"/>
      <c r="AE40" s="3312"/>
      <c r="AF40" s="3312"/>
      <c r="AG40" s="3312"/>
      <c r="AH40" s="3312"/>
      <c r="AI40" s="3312"/>
      <c r="AJ40" s="3312"/>
      <c r="AK40" s="3312"/>
      <c r="AL40" s="3313">
        <f>SUM(Z40:AK40)</f>
        <v>0</v>
      </c>
    </row>
    <row r="41" spans="1:39" ht="62.25" customHeight="1">
      <c r="A41" s="3274">
        <v>48</v>
      </c>
      <c r="B41" s="3275" t="s">
        <v>179</v>
      </c>
      <c r="C41" s="3276"/>
      <c r="D41" s="3277" t="s">
        <v>1962</v>
      </c>
      <c r="E41" s="3300" t="s">
        <v>2019</v>
      </c>
      <c r="F41" s="3300" t="s">
        <v>2020</v>
      </c>
      <c r="G41" s="3274" t="s">
        <v>1965</v>
      </c>
      <c r="H41" s="3315">
        <v>5</v>
      </c>
      <c r="I41" s="3282"/>
      <c r="J41" s="3282"/>
      <c r="K41" s="3283" t="s">
        <v>1966</v>
      </c>
      <c r="L41" s="3284" t="s">
        <v>179</v>
      </c>
      <c r="M41" s="3316"/>
      <c r="N41" s="3286" t="s">
        <v>2021</v>
      </c>
      <c r="O41" s="3287">
        <v>23174</v>
      </c>
      <c r="P41" s="3284">
        <v>5</v>
      </c>
      <c r="Q41" s="3284" t="s">
        <v>1950</v>
      </c>
      <c r="R41" s="3284" t="s">
        <v>1968</v>
      </c>
      <c r="S41" s="1568">
        <v>36000</v>
      </c>
      <c r="T41" s="3300" t="s">
        <v>1998</v>
      </c>
      <c r="U41" s="3287">
        <f>5*42</f>
        <v>210</v>
      </c>
      <c r="V41" s="3288">
        <f t="shared" ref="V41:V49" si="20">S41*U41</f>
        <v>7560000</v>
      </c>
      <c r="W41" s="3288">
        <v>0</v>
      </c>
      <c r="X41" s="3288">
        <f t="shared" ref="X41:X54" si="21">V41-W41</f>
        <v>7560000</v>
      </c>
      <c r="Y41" s="3288">
        <f t="shared" ref="Y41:Y54" si="22">X41+W41</f>
        <v>7560000</v>
      </c>
      <c r="Z41" s="3298"/>
      <c r="AA41" s="3317">
        <f>Y41</f>
        <v>7560000</v>
      </c>
      <c r="AB41" s="3318"/>
      <c r="AC41" s="3318"/>
      <c r="AD41" s="3288"/>
      <c r="AE41" s="3294"/>
      <c r="AF41" s="3294"/>
      <c r="AG41" s="3294"/>
      <c r="AH41" s="3294"/>
      <c r="AI41" s="3318"/>
      <c r="AJ41" s="3294"/>
      <c r="AK41" s="3294"/>
      <c r="AL41" s="3294">
        <f t="shared" ref="AL41:AL50" si="23">SUM(Z41:AK41)</f>
        <v>7560000</v>
      </c>
      <c r="AM41" s="3273">
        <f t="shared" ref="AM41:AM54" si="24">+AL41-V41</f>
        <v>0</v>
      </c>
    </row>
    <row r="42" spans="1:39" ht="55.5" customHeight="1">
      <c r="A42" s="3274">
        <v>49</v>
      </c>
      <c r="B42" s="3275" t="s">
        <v>179</v>
      </c>
      <c r="C42" s="3276"/>
      <c r="D42" s="3277" t="s">
        <v>1962</v>
      </c>
      <c r="E42" s="3300" t="s">
        <v>2019</v>
      </c>
      <c r="F42" s="3300" t="s">
        <v>2020</v>
      </c>
      <c r="G42" s="3274" t="s">
        <v>1965</v>
      </c>
      <c r="H42" s="3315">
        <v>5</v>
      </c>
      <c r="I42" s="3282"/>
      <c r="J42" s="3282"/>
      <c r="K42" s="3283" t="s">
        <v>1966</v>
      </c>
      <c r="L42" s="3284" t="s">
        <v>179</v>
      </c>
      <c r="M42" s="3316"/>
      <c r="N42" s="3286" t="s">
        <v>2022</v>
      </c>
      <c r="O42" s="3287">
        <v>23174</v>
      </c>
      <c r="P42" s="3284">
        <v>5</v>
      </c>
      <c r="Q42" s="3284" t="s">
        <v>1950</v>
      </c>
      <c r="R42" s="3284" t="s">
        <v>1968</v>
      </c>
      <c r="S42" s="1568">
        <v>20000</v>
      </c>
      <c r="T42" s="3300" t="s">
        <v>2000</v>
      </c>
      <c r="U42" s="3287">
        <f>5*40</f>
        <v>200</v>
      </c>
      <c r="V42" s="3288">
        <f t="shared" si="20"/>
        <v>4000000</v>
      </c>
      <c r="W42" s="3288">
        <v>0</v>
      </c>
      <c r="X42" s="3288">
        <f t="shared" si="21"/>
        <v>4000000</v>
      </c>
      <c r="Y42" s="3288">
        <f t="shared" si="22"/>
        <v>4000000</v>
      </c>
      <c r="Z42" s="3298"/>
      <c r="AA42" s="3317">
        <f t="shared" ref="AA42:AA54" si="25">Y42</f>
        <v>4000000</v>
      </c>
      <c r="AB42" s="3318"/>
      <c r="AC42" s="3318"/>
      <c r="AD42" s="3288"/>
      <c r="AE42" s="3294"/>
      <c r="AF42" s="3294"/>
      <c r="AG42" s="3294"/>
      <c r="AH42" s="3294"/>
      <c r="AI42" s="3318"/>
      <c r="AJ42" s="3294"/>
      <c r="AK42" s="3294"/>
      <c r="AL42" s="3294">
        <f t="shared" si="23"/>
        <v>4000000</v>
      </c>
      <c r="AM42" s="3273">
        <f t="shared" si="24"/>
        <v>0</v>
      </c>
    </row>
    <row r="43" spans="1:39" ht="42.6" customHeight="1">
      <c r="A43" s="3274">
        <v>50</v>
      </c>
      <c r="B43" s="3275" t="s">
        <v>179</v>
      </c>
      <c r="C43" s="3276"/>
      <c r="D43" s="3277" t="s">
        <v>1962</v>
      </c>
      <c r="E43" s="3300" t="s">
        <v>2019</v>
      </c>
      <c r="F43" s="3300" t="s">
        <v>2020</v>
      </c>
      <c r="G43" s="3274" t="s">
        <v>1965</v>
      </c>
      <c r="H43" s="3315">
        <v>5</v>
      </c>
      <c r="I43" s="3282"/>
      <c r="J43" s="3282"/>
      <c r="K43" s="3283" t="s">
        <v>1966</v>
      </c>
      <c r="L43" s="3284" t="s">
        <v>179</v>
      </c>
      <c r="M43" s="3316"/>
      <c r="N43" s="3286" t="s">
        <v>2023</v>
      </c>
      <c r="O43" s="3287">
        <v>23174</v>
      </c>
      <c r="P43" s="3284">
        <v>5</v>
      </c>
      <c r="Q43" s="3284" t="s">
        <v>1950</v>
      </c>
      <c r="R43" s="3284" t="s">
        <v>1968</v>
      </c>
      <c r="S43" s="1568">
        <v>20000</v>
      </c>
      <c r="T43" s="3300" t="s">
        <v>2000</v>
      </c>
      <c r="U43" s="3287">
        <f>2*5</f>
        <v>10</v>
      </c>
      <c r="V43" s="3288">
        <f t="shared" si="20"/>
        <v>200000</v>
      </c>
      <c r="W43" s="3288">
        <v>0</v>
      </c>
      <c r="X43" s="3288">
        <f t="shared" si="21"/>
        <v>200000</v>
      </c>
      <c r="Y43" s="3288">
        <f t="shared" si="22"/>
        <v>200000</v>
      </c>
      <c r="Z43" s="3298"/>
      <c r="AA43" s="3317">
        <f t="shared" si="25"/>
        <v>200000</v>
      </c>
      <c r="AB43" s="3318"/>
      <c r="AC43" s="3318"/>
      <c r="AD43" s="3288"/>
      <c r="AE43" s="3294"/>
      <c r="AF43" s="3294"/>
      <c r="AG43" s="3294"/>
      <c r="AH43" s="3294"/>
      <c r="AI43" s="3318"/>
      <c r="AJ43" s="3294"/>
      <c r="AK43" s="3294"/>
      <c r="AL43" s="3294">
        <f t="shared" si="23"/>
        <v>200000</v>
      </c>
      <c r="AM43" s="3273">
        <f t="shared" si="24"/>
        <v>0</v>
      </c>
    </row>
    <row r="44" spans="1:39" ht="51.75" customHeight="1">
      <c r="A44" s="3274">
        <v>51</v>
      </c>
      <c r="B44" s="3275" t="s">
        <v>179</v>
      </c>
      <c r="C44" s="3276"/>
      <c r="D44" s="3277" t="s">
        <v>1962</v>
      </c>
      <c r="E44" s="3300" t="s">
        <v>2019</v>
      </c>
      <c r="F44" s="3300" t="s">
        <v>2020</v>
      </c>
      <c r="G44" s="3274" t="s">
        <v>1965</v>
      </c>
      <c r="H44" s="3315">
        <v>5</v>
      </c>
      <c r="I44" s="3282"/>
      <c r="J44" s="3282"/>
      <c r="K44" s="3283" t="s">
        <v>1966</v>
      </c>
      <c r="L44" s="3284" t="s">
        <v>179</v>
      </c>
      <c r="M44" s="3285"/>
      <c r="N44" s="3286" t="s">
        <v>2024</v>
      </c>
      <c r="O44" s="3287">
        <v>23174</v>
      </c>
      <c r="P44" s="3284">
        <v>5</v>
      </c>
      <c r="Q44" s="3284" t="s">
        <v>1950</v>
      </c>
      <c r="R44" s="3284" t="s">
        <v>1968</v>
      </c>
      <c r="S44" s="1568">
        <f>10000*2</f>
        <v>20000</v>
      </c>
      <c r="T44" s="3300" t="s">
        <v>1973</v>
      </c>
      <c r="U44" s="3287">
        <v>8</v>
      </c>
      <c r="V44" s="3288">
        <f t="shared" si="20"/>
        <v>160000</v>
      </c>
      <c r="W44" s="3288">
        <v>0</v>
      </c>
      <c r="X44" s="3288">
        <f t="shared" si="21"/>
        <v>160000</v>
      </c>
      <c r="Y44" s="3288">
        <f t="shared" si="22"/>
        <v>160000</v>
      </c>
      <c r="Z44" s="3289"/>
      <c r="AA44" s="3317">
        <f t="shared" si="25"/>
        <v>160000</v>
      </c>
      <c r="AB44" s="3290"/>
      <c r="AC44" s="3290"/>
      <c r="AD44" s="3296"/>
      <c r="AE44" s="3292"/>
      <c r="AF44" s="3277"/>
      <c r="AG44" s="3277"/>
      <c r="AH44" s="3277"/>
      <c r="AI44" s="3277"/>
      <c r="AJ44" s="3277"/>
      <c r="AK44" s="3277"/>
      <c r="AL44" s="3294">
        <f t="shared" si="23"/>
        <v>160000</v>
      </c>
      <c r="AM44" s="3273">
        <f t="shared" si="24"/>
        <v>0</v>
      </c>
    </row>
    <row r="45" spans="1:39" ht="54" customHeight="1">
      <c r="A45" s="3274">
        <v>52</v>
      </c>
      <c r="B45" s="3275" t="s">
        <v>179</v>
      </c>
      <c r="C45" s="3276"/>
      <c r="D45" s="3277" t="s">
        <v>1962</v>
      </c>
      <c r="E45" s="3300" t="s">
        <v>2019</v>
      </c>
      <c r="F45" s="3300" t="s">
        <v>2020</v>
      </c>
      <c r="G45" s="3274" t="s">
        <v>1965</v>
      </c>
      <c r="H45" s="3315">
        <v>5</v>
      </c>
      <c r="I45" s="3282"/>
      <c r="J45" s="3282"/>
      <c r="K45" s="3283" t="s">
        <v>1966</v>
      </c>
      <c r="L45" s="3284" t="s">
        <v>179</v>
      </c>
      <c r="M45" s="3285"/>
      <c r="N45" s="3286" t="s">
        <v>2024</v>
      </c>
      <c r="O45" s="3287">
        <v>23174</v>
      </c>
      <c r="P45" s="3284">
        <v>5</v>
      </c>
      <c r="Q45" s="3284" t="s">
        <v>1950</v>
      </c>
      <c r="R45" s="3284" t="s">
        <v>1968</v>
      </c>
      <c r="S45" s="1568">
        <f>15000*2</f>
        <v>30000</v>
      </c>
      <c r="T45" s="3287" t="s">
        <v>1973</v>
      </c>
      <c r="U45" s="1703">
        <v>8</v>
      </c>
      <c r="V45" s="3288">
        <f>S45*U45</f>
        <v>240000</v>
      </c>
      <c r="W45" s="3288">
        <v>0</v>
      </c>
      <c r="X45" s="3288">
        <f t="shared" si="21"/>
        <v>240000</v>
      </c>
      <c r="Y45" s="3288">
        <f t="shared" si="22"/>
        <v>240000</v>
      </c>
      <c r="Z45" s="3289"/>
      <c r="AA45" s="3317">
        <f t="shared" si="25"/>
        <v>240000</v>
      </c>
      <c r="AB45" s="3290"/>
      <c r="AC45" s="3290"/>
      <c r="AD45" s="3296"/>
      <c r="AE45" s="3292"/>
      <c r="AF45" s="3277"/>
      <c r="AG45" s="3277"/>
      <c r="AH45" s="3277"/>
      <c r="AI45" s="3277"/>
      <c r="AJ45" s="3277"/>
      <c r="AK45" s="3277"/>
      <c r="AL45" s="3294">
        <f t="shared" si="23"/>
        <v>240000</v>
      </c>
      <c r="AM45" s="3273">
        <f t="shared" si="24"/>
        <v>0</v>
      </c>
    </row>
    <row r="46" spans="1:39" ht="38.25" customHeight="1">
      <c r="A46" s="3274">
        <v>53</v>
      </c>
      <c r="B46" s="3275" t="s">
        <v>179</v>
      </c>
      <c r="C46" s="3276"/>
      <c r="D46" s="3277" t="s">
        <v>1962</v>
      </c>
      <c r="E46" s="3300" t="s">
        <v>2019</v>
      </c>
      <c r="F46" s="3300" t="s">
        <v>2020</v>
      </c>
      <c r="G46" s="3274" t="s">
        <v>1965</v>
      </c>
      <c r="H46" s="3315">
        <v>5</v>
      </c>
      <c r="I46" s="3282"/>
      <c r="J46" s="3282"/>
      <c r="K46" s="3283" t="s">
        <v>1966</v>
      </c>
      <c r="L46" s="3284" t="s">
        <v>179</v>
      </c>
      <c r="M46" s="3285"/>
      <c r="N46" s="3286" t="s">
        <v>2025</v>
      </c>
      <c r="O46" s="3287">
        <v>23174</v>
      </c>
      <c r="P46" s="3284">
        <v>5</v>
      </c>
      <c r="Q46" s="3284" t="s">
        <v>1950</v>
      </c>
      <c r="R46" s="3284" t="s">
        <v>1968</v>
      </c>
      <c r="S46" s="1568">
        <f>20000*2</f>
        <v>40000</v>
      </c>
      <c r="T46" s="3287" t="s">
        <v>1973</v>
      </c>
      <c r="U46" s="1703">
        <v>4</v>
      </c>
      <c r="V46" s="3288">
        <f>S46*U46</f>
        <v>160000</v>
      </c>
      <c r="W46" s="3288">
        <v>0</v>
      </c>
      <c r="X46" s="3288">
        <f t="shared" si="21"/>
        <v>160000</v>
      </c>
      <c r="Y46" s="3288">
        <f t="shared" si="22"/>
        <v>160000</v>
      </c>
      <c r="Z46" s="3289"/>
      <c r="AA46" s="3317">
        <f t="shared" si="25"/>
        <v>160000</v>
      </c>
      <c r="AB46" s="3290"/>
      <c r="AC46" s="3290"/>
      <c r="AD46" s="3296"/>
      <c r="AE46" s="3292"/>
      <c r="AF46" s="3277"/>
      <c r="AG46" s="3277"/>
      <c r="AH46" s="3277"/>
      <c r="AI46" s="3277"/>
      <c r="AJ46" s="3277"/>
      <c r="AK46" s="3277"/>
      <c r="AL46" s="3294">
        <f t="shared" si="23"/>
        <v>160000</v>
      </c>
      <c r="AM46" s="3273">
        <f t="shared" si="24"/>
        <v>0</v>
      </c>
    </row>
    <row r="47" spans="1:39" ht="55.5" customHeight="1">
      <c r="A47" s="3274">
        <v>54</v>
      </c>
      <c r="B47" s="3275" t="s">
        <v>179</v>
      </c>
      <c r="C47" s="3276"/>
      <c r="D47" s="3277" t="s">
        <v>1962</v>
      </c>
      <c r="E47" s="3300" t="s">
        <v>2019</v>
      </c>
      <c r="F47" s="3300" t="s">
        <v>2020</v>
      </c>
      <c r="G47" s="3274" t="s">
        <v>1965</v>
      </c>
      <c r="H47" s="3315">
        <v>5</v>
      </c>
      <c r="I47" s="3282"/>
      <c r="J47" s="3282"/>
      <c r="K47" s="3283" t="s">
        <v>1966</v>
      </c>
      <c r="L47" s="3284" t="s">
        <v>179</v>
      </c>
      <c r="M47" s="3316"/>
      <c r="N47" s="3286" t="s">
        <v>2026</v>
      </c>
      <c r="O47" s="3287">
        <v>23174</v>
      </c>
      <c r="P47" s="3284">
        <v>5</v>
      </c>
      <c r="Q47" s="3284" t="s">
        <v>1950</v>
      </c>
      <c r="R47" s="3284" t="s">
        <v>1968</v>
      </c>
      <c r="S47" s="1568">
        <v>5900</v>
      </c>
      <c r="T47" s="3300" t="s">
        <v>2010</v>
      </c>
      <c r="U47" s="3287">
        <f>5/100*50*22</f>
        <v>55</v>
      </c>
      <c r="V47" s="3288">
        <f t="shared" si="20"/>
        <v>324500</v>
      </c>
      <c r="W47" s="3288">
        <v>0</v>
      </c>
      <c r="X47" s="3288">
        <f t="shared" si="21"/>
        <v>324500</v>
      </c>
      <c r="Y47" s="3288">
        <f t="shared" si="22"/>
        <v>324500</v>
      </c>
      <c r="Z47" s="3298"/>
      <c r="AA47" s="3317">
        <f t="shared" si="25"/>
        <v>324500</v>
      </c>
      <c r="AB47" s="3318"/>
      <c r="AC47" s="3318"/>
      <c r="AD47" s="3288"/>
      <c r="AE47" s="3294"/>
      <c r="AF47" s="3294"/>
      <c r="AG47" s="3294"/>
      <c r="AH47" s="3294"/>
      <c r="AI47" s="3318"/>
      <c r="AJ47" s="3294"/>
      <c r="AK47" s="3294"/>
      <c r="AL47" s="3294">
        <f t="shared" si="23"/>
        <v>324500</v>
      </c>
      <c r="AM47" s="3273">
        <f t="shared" si="24"/>
        <v>0</v>
      </c>
    </row>
    <row r="48" spans="1:39" ht="55.5" customHeight="1">
      <c r="A48" s="3274">
        <v>55</v>
      </c>
      <c r="B48" s="3275" t="s">
        <v>179</v>
      </c>
      <c r="C48" s="3276"/>
      <c r="D48" s="3277" t="s">
        <v>1962</v>
      </c>
      <c r="E48" s="3300" t="s">
        <v>2019</v>
      </c>
      <c r="F48" s="3300" t="s">
        <v>2020</v>
      </c>
      <c r="G48" s="3274" t="s">
        <v>1965</v>
      </c>
      <c r="H48" s="3315">
        <v>5</v>
      </c>
      <c r="I48" s="3282"/>
      <c r="J48" s="3282"/>
      <c r="K48" s="3299" t="s">
        <v>1966</v>
      </c>
      <c r="L48" s="3284" t="s">
        <v>179</v>
      </c>
      <c r="M48" s="3319"/>
      <c r="N48" s="3286" t="s">
        <v>2027</v>
      </c>
      <c r="O48" s="3287">
        <v>23174</v>
      </c>
      <c r="P48" s="3284">
        <v>5</v>
      </c>
      <c r="Q48" s="3284" t="s">
        <v>1950</v>
      </c>
      <c r="R48" s="3284" t="s">
        <v>1968</v>
      </c>
      <c r="S48" s="1568">
        <v>36000</v>
      </c>
      <c r="T48" s="3300" t="s">
        <v>1998</v>
      </c>
      <c r="U48" s="3287">
        <f>3*145</f>
        <v>435</v>
      </c>
      <c r="V48" s="3288">
        <f t="shared" si="20"/>
        <v>15660000</v>
      </c>
      <c r="W48" s="3288">
        <v>0</v>
      </c>
      <c r="X48" s="3288">
        <f t="shared" si="21"/>
        <v>15660000</v>
      </c>
      <c r="Y48" s="3288">
        <f t="shared" si="22"/>
        <v>15660000</v>
      </c>
      <c r="Z48" s="3298"/>
      <c r="AA48" s="3317">
        <f t="shared" si="25"/>
        <v>15660000</v>
      </c>
      <c r="AB48" s="3318"/>
      <c r="AC48" s="3318"/>
      <c r="AD48" s="3288"/>
      <c r="AE48" s="3294"/>
      <c r="AF48" s="3294"/>
      <c r="AG48" s="3294"/>
      <c r="AH48" s="3294"/>
      <c r="AI48" s="3318"/>
      <c r="AJ48" s="3294"/>
      <c r="AK48" s="3294"/>
      <c r="AL48" s="3294">
        <f t="shared" si="23"/>
        <v>15660000</v>
      </c>
      <c r="AM48" s="3273">
        <f t="shared" si="24"/>
        <v>0</v>
      </c>
    </row>
    <row r="49" spans="1:39" ht="55.5" customHeight="1">
      <c r="A49" s="3274">
        <v>56</v>
      </c>
      <c r="B49" s="3275" t="s">
        <v>179</v>
      </c>
      <c r="C49" s="3276"/>
      <c r="D49" s="3277" t="s">
        <v>1962</v>
      </c>
      <c r="E49" s="3300" t="s">
        <v>2019</v>
      </c>
      <c r="F49" s="3300" t="s">
        <v>2020</v>
      </c>
      <c r="G49" s="3274" t="s">
        <v>1965</v>
      </c>
      <c r="H49" s="3315">
        <v>5</v>
      </c>
      <c r="I49" s="3282"/>
      <c r="J49" s="3282"/>
      <c r="K49" s="3283" t="s">
        <v>1966</v>
      </c>
      <c r="L49" s="3284" t="s">
        <v>179</v>
      </c>
      <c r="M49" s="3316"/>
      <c r="N49" s="3286" t="s">
        <v>2028</v>
      </c>
      <c r="O49" s="3287">
        <v>23174</v>
      </c>
      <c r="P49" s="3284">
        <v>5</v>
      </c>
      <c r="Q49" s="3284" t="s">
        <v>1950</v>
      </c>
      <c r="R49" s="3284" t="s">
        <v>1968</v>
      </c>
      <c r="S49" s="1156">
        <v>150</v>
      </c>
      <c r="T49" s="3320" t="s">
        <v>2029</v>
      </c>
      <c r="U49" s="1703">
        <f>42*145</f>
        <v>6090</v>
      </c>
      <c r="V49" s="3288">
        <f t="shared" si="20"/>
        <v>913500</v>
      </c>
      <c r="W49" s="3288">
        <v>0</v>
      </c>
      <c r="X49" s="3288">
        <f t="shared" si="21"/>
        <v>913500</v>
      </c>
      <c r="Y49" s="3288">
        <f t="shared" si="22"/>
        <v>913500</v>
      </c>
      <c r="Z49" s="3298"/>
      <c r="AA49" s="3317">
        <f t="shared" si="25"/>
        <v>913500</v>
      </c>
      <c r="AB49" s="3318"/>
      <c r="AC49" s="3318"/>
      <c r="AD49" s="3288"/>
      <c r="AE49" s="3294"/>
      <c r="AF49" s="3294"/>
      <c r="AG49" s="3294"/>
      <c r="AH49" s="3294"/>
      <c r="AI49" s="3318"/>
      <c r="AJ49" s="3294"/>
      <c r="AK49" s="3294"/>
      <c r="AL49" s="3294">
        <f t="shared" si="23"/>
        <v>913500</v>
      </c>
      <c r="AM49" s="3273">
        <f t="shared" si="24"/>
        <v>0</v>
      </c>
    </row>
    <row r="50" spans="1:39" ht="38.25" customHeight="1">
      <c r="A50" s="3274">
        <v>57</v>
      </c>
      <c r="B50" s="3275" t="s">
        <v>179</v>
      </c>
      <c r="C50" s="3276"/>
      <c r="D50" s="3277" t="s">
        <v>1962</v>
      </c>
      <c r="E50" s="3300" t="s">
        <v>2019</v>
      </c>
      <c r="F50" s="3300" t="s">
        <v>2020</v>
      </c>
      <c r="G50" s="3274" t="s">
        <v>1965</v>
      </c>
      <c r="H50" s="3315">
        <v>5</v>
      </c>
      <c r="I50" s="3282"/>
      <c r="J50" s="3282"/>
      <c r="K50" s="3283" t="s">
        <v>1966</v>
      </c>
      <c r="L50" s="3284" t="s">
        <v>179</v>
      </c>
      <c r="M50" s="3285"/>
      <c r="N50" s="3286" t="s">
        <v>1993</v>
      </c>
      <c r="O50" s="3287">
        <v>23174</v>
      </c>
      <c r="P50" s="3284">
        <v>5</v>
      </c>
      <c r="Q50" s="3284" t="s">
        <v>1950</v>
      </c>
      <c r="R50" s="3284" t="s">
        <v>1968</v>
      </c>
      <c r="S50" s="1568">
        <v>36000</v>
      </c>
      <c r="T50" s="3287" t="s">
        <v>1969</v>
      </c>
      <c r="U50" s="3287">
        <v>3</v>
      </c>
      <c r="V50" s="3288">
        <f>S50*U50</f>
        <v>108000</v>
      </c>
      <c r="W50" s="3288">
        <v>0</v>
      </c>
      <c r="X50" s="3288">
        <f t="shared" si="21"/>
        <v>108000</v>
      </c>
      <c r="Y50" s="3288">
        <f t="shared" si="22"/>
        <v>108000</v>
      </c>
      <c r="Z50" s="3289"/>
      <c r="AA50" s="3317">
        <f t="shared" si="25"/>
        <v>108000</v>
      </c>
      <c r="AB50" s="3290"/>
      <c r="AC50" s="3290"/>
      <c r="AD50" s="3296"/>
      <c r="AE50" s="3292"/>
      <c r="AF50" s="3277"/>
      <c r="AG50" s="3277"/>
      <c r="AH50" s="3277"/>
      <c r="AI50" s="3277"/>
      <c r="AJ50" s="3277"/>
      <c r="AK50" s="3277"/>
      <c r="AL50" s="3294">
        <f t="shared" si="23"/>
        <v>108000</v>
      </c>
      <c r="AM50" s="3273">
        <f t="shared" si="24"/>
        <v>0</v>
      </c>
    </row>
    <row r="51" spans="1:39" ht="38.25" customHeight="1">
      <c r="A51" s="3274">
        <v>58</v>
      </c>
      <c r="B51" s="3275" t="s">
        <v>179</v>
      </c>
      <c r="C51" s="3276"/>
      <c r="D51" s="3277" t="s">
        <v>1962</v>
      </c>
      <c r="E51" s="3300" t="s">
        <v>2019</v>
      </c>
      <c r="F51" s="3300" t="s">
        <v>2020</v>
      </c>
      <c r="G51" s="3274" t="s">
        <v>1965</v>
      </c>
      <c r="H51" s="3315">
        <v>5</v>
      </c>
      <c r="I51" s="3282"/>
      <c r="J51" s="3282"/>
      <c r="K51" s="3283" t="s">
        <v>1966</v>
      </c>
      <c r="L51" s="3284" t="s">
        <v>179</v>
      </c>
      <c r="M51" s="3285"/>
      <c r="N51" s="3286" t="s">
        <v>1994</v>
      </c>
      <c r="O51" s="3287">
        <v>23174</v>
      </c>
      <c r="P51" s="3284">
        <v>5</v>
      </c>
      <c r="Q51" s="3284" t="s">
        <v>1950</v>
      </c>
      <c r="R51" s="3284" t="s">
        <v>1968</v>
      </c>
      <c r="S51" s="1568">
        <v>40000</v>
      </c>
      <c r="T51" s="3287" t="s">
        <v>1995</v>
      </c>
      <c r="U51" s="3287">
        <v>2</v>
      </c>
      <c r="V51" s="3288">
        <f>S51*U51</f>
        <v>80000</v>
      </c>
      <c r="W51" s="3288">
        <v>0</v>
      </c>
      <c r="X51" s="3288">
        <f t="shared" si="21"/>
        <v>80000</v>
      </c>
      <c r="Y51" s="3288">
        <f t="shared" si="22"/>
        <v>80000</v>
      </c>
      <c r="Z51" s="3289"/>
      <c r="AA51" s="3317">
        <f t="shared" si="25"/>
        <v>80000</v>
      </c>
      <c r="AB51" s="3290"/>
      <c r="AC51" s="3290"/>
      <c r="AD51" s="3296"/>
      <c r="AE51" s="3292"/>
      <c r="AF51" s="3277"/>
      <c r="AG51" s="3277"/>
      <c r="AH51" s="3277"/>
      <c r="AI51" s="3277"/>
      <c r="AJ51" s="3277"/>
      <c r="AK51" s="3277"/>
      <c r="AL51" s="3294">
        <f>SUM(Z51:AK51)</f>
        <v>80000</v>
      </c>
      <c r="AM51" s="3273">
        <f t="shared" si="24"/>
        <v>0</v>
      </c>
    </row>
    <row r="52" spans="1:39" ht="38.25" customHeight="1">
      <c r="A52" s="3274">
        <v>59</v>
      </c>
      <c r="B52" s="3275" t="s">
        <v>179</v>
      </c>
      <c r="C52" s="3276"/>
      <c r="D52" s="3277" t="s">
        <v>1962</v>
      </c>
      <c r="E52" s="3300" t="s">
        <v>2019</v>
      </c>
      <c r="F52" s="3300" t="s">
        <v>2020</v>
      </c>
      <c r="G52" s="3274" t="s">
        <v>1965</v>
      </c>
      <c r="H52" s="3315">
        <v>5</v>
      </c>
      <c r="I52" s="3282"/>
      <c r="J52" s="3282"/>
      <c r="K52" s="3283" t="s">
        <v>1966</v>
      </c>
      <c r="L52" s="3284" t="s">
        <v>179</v>
      </c>
      <c r="M52" s="3285"/>
      <c r="N52" s="3286" t="s">
        <v>1996</v>
      </c>
      <c r="O52" s="3287">
        <v>23174</v>
      </c>
      <c r="P52" s="3284">
        <v>5</v>
      </c>
      <c r="Q52" s="3284" t="s">
        <v>1950</v>
      </c>
      <c r="R52" s="3284" t="s">
        <v>1968</v>
      </c>
      <c r="S52" s="1568">
        <f>15000*2</f>
        <v>30000</v>
      </c>
      <c r="T52" s="3287" t="s">
        <v>1973</v>
      </c>
      <c r="U52" s="3287">
        <v>1</v>
      </c>
      <c r="V52" s="3288">
        <f>S52*U52</f>
        <v>30000</v>
      </c>
      <c r="W52" s="3288">
        <v>0</v>
      </c>
      <c r="X52" s="3288">
        <f t="shared" si="21"/>
        <v>30000</v>
      </c>
      <c r="Y52" s="3288">
        <f t="shared" si="22"/>
        <v>30000</v>
      </c>
      <c r="Z52" s="3289"/>
      <c r="AA52" s="3317">
        <f t="shared" si="25"/>
        <v>30000</v>
      </c>
      <c r="AB52" s="3290"/>
      <c r="AC52" s="3290"/>
      <c r="AD52" s="3296"/>
      <c r="AE52" s="3292"/>
      <c r="AF52" s="3277"/>
      <c r="AG52" s="3277"/>
      <c r="AH52" s="3277"/>
      <c r="AI52" s="3277"/>
      <c r="AJ52" s="3277"/>
      <c r="AK52" s="3277"/>
      <c r="AL52" s="3294">
        <f t="shared" ref="AL52:AL53" si="26">SUM(Z52:AK52)</f>
        <v>30000</v>
      </c>
      <c r="AM52" s="3273">
        <f t="shared" si="24"/>
        <v>0</v>
      </c>
    </row>
    <row r="53" spans="1:39" ht="38.25" customHeight="1">
      <c r="A53" s="3274">
        <v>60</v>
      </c>
      <c r="B53" s="3275" t="s">
        <v>179</v>
      </c>
      <c r="C53" s="3276"/>
      <c r="D53" s="3277" t="s">
        <v>1962</v>
      </c>
      <c r="E53" s="3300" t="s">
        <v>2019</v>
      </c>
      <c r="F53" s="3300" t="s">
        <v>2020</v>
      </c>
      <c r="G53" s="3274" t="s">
        <v>1965</v>
      </c>
      <c r="H53" s="3315">
        <v>5</v>
      </c>
      <c r="I53" s="3282"/>
      <c r="J53" s="3282"/>
      <c r="K53" s="3283" t="s">
        <v>1966</v>
      </c>
      <c r="L53" s="3284" t="s">
        <v>179</v>
      </c>
      <c r="M53" s="3285"/>
      <c r="N53" s="3286" t="s">
        <v>2030</v>
      </c>
      <c r="O53" s="3287">
        <v>23174</v>
      </c>
      <c r="P53" s="3284">
        <v>5</v>
      </c>
      <c r="Q53" s="3284" t="s">
        <v>1950</v>
      </c>
      <c r="R53" s="3284" t="s">
        <v>1968</v>
      </c>
      <c r="S53" s="1568">
        <v>36000</v>
      </c>
      <c r="T53" s="3287" t="s">
        <v>1998</v>
      </c>
      <c r="U53" s="3287">
        <f>5*3</f>
        <v>15</v>
      </c>
      <c r="V53" s="3288">
        <f>S53*U53</f>
        <v>540000</v>
      </c>
      <c r="W53" s="3288">
        <v>0</v>
      </c>
      <c r="X53" s="3288">
        <f t="shared" si="21"/>
        <v>540000</v>
      </c>
      <c r="Y53" s="3288">
        <f t="shared" si="22"/>
        <v>540000</v>
      </c>
      <c r="Z53" s="3289"/>
      <c r="AA53" s="3317">
        <f t="shared" si="25"/>
        <v>540000</v>
      </c>
      <c r="AB53" s="3290"/>
      <c r="AC53" s="3290"/>
      <c r="AD53" s="3296"/>
      <c r="AE53" s="3292"/>
      <c r="AF53" s="3277"/>
      <c r="AG53" s="3277"/>
      <c r="AH53" s="3277"/>
      <c r="AI53" s="3277"/>
      <c r="AJ53" s="3277"/>
      <c r="AK53" s="3277"/>
      <c r="AL53" s="3294">
        <f t="shared" si="26"/>
        <v>540000</v>
      </c>
      <c r="AM53" s="3273">
        <f t="shared" si="24"/>
        <v>0</v>
      </c>
    </row>
    <row r="54" spans="1:39" ht="38.25" customHeight="1">
      <c r="A54" s="3274">
        <v>61</v>
      </c>
      <c r="B54" s="3275" t="s">
        <v>179</v>
      </c>
      <c r="C54" s="3276"/>
      <c r="D54" s="3277" t="s">
        <v>1962</v>
      </c>
      <c r="E54" s="3300" t="s">
        <v>2019</v>
      </c>
      <c r="F54" s="3300" t="s">
        <v>2020</v>
      </c>
      <c r="G54" s="3274" t="s">
        <v>1965</v>
      </c>
      <c r="H54" s="3315">
        <v>5</v>
      </c>
      <c r="I54" s="3282"/>
      <c r="J54" s="3282"/>
      <c r="K54" s="3283" t="s">
        <v>1966</v>
      </c>
      <c r="L54" s="3284" t="s">
        <v>179</v>
      </c>
      <c r="M54" s="3285"/>
      <c r="N54" s="3286" t="s">
        <v>2031</v>
      </c>
      <c r="O54" s="3287">
        <v>23174</v>
      </c>
      <c r="P54" s="3284">
        <v>5</v>
      </c>
      <c r="Q54" s="3284" t="s">
        <v>1950</v>
      </c>
      <c r="R54" s="3284" t="s">
        <v>1968</v>
      </c>
      <c r="S54" s="1568">
        <v>20000</v>
      </c>
      <c r="T54" s="3287" t="s">
        <v>2000</v>
      </c>
      <c r="U54" s="3287">
        <f>5*2</f>
        <v>10</v>
      </c>
      <c r="V54" s="3288">
        <f t="shared" ref="V54" si="27">S54*U54</f>
        <v>200000</v>
      </c>
      <c r="W54" s="3288">
        <v>0</v>
      </c>
      <c r="X54" s="3288">
        <f t="shared" si="21"/>
        <v>200000</v>
      </c>
      <c r="Y54" s="3288">
        <f t="shared" si="22"/>
        <v>200000</v>
      </c>
      <c r="Z54" s="3289"/>
      <c r="AA54" s="3317">
        <f t="shared" si="25"/>
        <v>200000</v>
      </c>
      <c r="AB54" s="3290"/>
      <c r="AC54" s="3290"/>
      <c r="AD54" s="3296"/>
      <c r="AE54" s="3292"/>
      <c r="AF54" s="3277"/>
      <c r="AG54" s="3277"/>
      <c r="AH54" s="3277"/>
      <c r="AI54" s="3277"/>
      <c r="AJ54" s="3277"/>
      <c r="AK54" s="3277"/>
      <c r="AL54" s="3294">
        <f>SUM(Z54:AK54)</f>
        <v>200000</v>
      </c>
      <c r="AM54" s="3273">
        <f t="shared" si="24"/>
        <v>0</v>
      </c>
    </row>
  </sheetData>
  <sheetProtection selectLockedCells="1" sort="0" autoFilter="0" pivotTables="0"/>
  <autoFilter ref="A6:AM54" xr:uid="{00000000-0009-0000-0000-000001000000}"/>
  <mergeCells count="5">
    <mergeCell ref="G5:H5"/>
    <mergeCell ref="I5:J5"/>
    <mergeCell ref="L5:M5"/>
    <mergeCell ref="W5:Y5"/>
    <mergeCell ref="Z5:AK5"/>
  </mergeCells>
  <printOptions horizontalCentered="1"/>
  <pageMargins left="0.11811023622047245" right="0.11811023622047245" top="0.15748031496062992" bottom="0.19685039370078741" header="0.31496062992125984" footer="0.31496062992125984"/>
  <pageSetup paperSize="8" scale="27" fitToHeight="0" orientation="landscape" r:id="rId1"/>
  <headerFooter>
    <oddFooter>&amp;R&amp;P</oddFooter>
  </headerFooter>
  <rowBreaks count="1" manualBreakCount="1">
    <brk id="56" max="38"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24D9B-6E0C-4B24-AE4F-FFF867049A3F}">
  <sheetPr>
    <tabColor rgb="FF7030A0"/>
    <pageSetUpPr fitToPage="1"/>
  </sheetPr>
  <dimension ref="A1:I13"/>
  <sheetViews>
    <sheetView view="pageBreakPreview" zoomScale="96" zoomScaleNormal="96" zoomScaleSheetLayoutView="96" zoomScalePageLayoutView="80" workbookViewId="0">
      <pane xSplit="1" ySplit="1" topLeftCell="B2" activePane="bottomRight" state="frozen"/>
      <selection activeCell="H18" sqref="H18"/>
      <selection pane="topRight" activeCell="H18" sqref="H18"/>
      <selection pane="bottomLeft" activeCell="H18" sqref="H18"/>
      <selection pane="bottomRight" activeCell="A6" sqref="A6"/>
    </sheetView>
  </sheetViews>
  <sheetFormatPr baseColWidth="10" defaultColWidth="10.7109375" defaultRowHeight="15.75"/>
  <cols>
    <col min="1" max="1" width="32.28515625" style="3211" customWidth="1"/>
    <col min="2" max="2" width="12.5703125" style="3208" customWidth="1"/>
    <col min="3" max="3" width="5.140625" style="3208" customWidth="1"/>
    <col min="4" max="4" width="8" style="3208" customWidth="1"/>
    <col min="5" max="5" width="7.5703125" style="3208" customWidth="1"/>
    <col min="6" max="6" width="17.7109375" style="3352" customWidth="1"/>
    <col min="7" max="7" width="18" style="3353" bestFit="1" customWidth="1"/>
    <col min="8" max="8" width="17.42578125" style="3214" customWidth="1"/>
    <col min="9" max="9" width="25.28515625" style="3354" customWidth="1"/>
    <col min="10" max="16384" width="10.7109375" style="3204"/>
  </cols>
  <sheetData>
    <row r="1" spans="1:9" s="3242" customFormat="1" ht="84.75" customHeight="1">
      <c r="A1" s="3245" t="s">
        <v>1942</v>
      </c>
      <c r="B1" s="3245" t="s">
        <v>1943</v>
      </c>
      <c r="C1" s="3245" t="s">
        <v>213</v>
      </c>
      <c r="D1" s="3245" t="s">
        <v>1944</v>
      </c>
      <c r="E1" s="3245" t="s">
        <v>1945</v>
      </c>
      <c r="F1" s="3250" t="s">
        <v>1946</v>
      </c>
      <c r="G1" s="3251" t="s">
        <v>1947</v>
      </c>
      <c r="H1" s="3252" t="s">
        <v>1948</v>
      </c>
      <c r="I1" s="3253" t="s">
        <v>1949</v>
      </c>
    </row>
    <row r="2" spans="1:9">
      <c r="A2" s="3286" t="s">
        <v>1982</v>
      </c>
      <c r="B2" s="3287">
        <v>23173</v>
      </c>
      <c r="C2" s="3284">
        <v>5</v>
      </c>
      <c r="D2" s="3284" t="s">
        <v>1983</v>
      </c>
      <c r="E2" s="3284" t="s">
        <v>1968</v>
      </c>
      <c r="F2" s="1568">
        <v>3000</v>
      </c>
      <c r="G2" s="3287" t="s">
        <v>1984</v>
      </c>
      <c r="H2" s="3287">
        <v>480</v>
      </c>
      <c r="I2" s="3288">
        <f t="shared" ref="I2:I8" si="0">F2*H2</f>
        <v>1440000</v>
      </c>
    </row>
    <row r="3" spans="1:9">
      <c r="A3" s="3286" t="s">
        <v>1985</v>
      </c>
      <c r="B3" s="3287">
        <v>23173</v>
      </c>
      <c r="C3" s="3284">
        <v>5</v>
      </c>
      <c r="D3" s="3284" t="s">
        <v>1950</v>
      </c>
      <c r="E3" s="3284" t="s">
        <v>1968</v>
      </c>
      <c r="F3" s="1568">
        <v>1000</v>
      </c>
      <c r="G3" s="3287" t="s">
        <v>1984</v>
      </c>
      <c r="H3" s="3287">
        <v>1100</v>
      </c>
      <c r="I3" s="3288">
        <f t="shared" si="0"/>
        <v>1100000</v>
      </c>
    </row>
    <row r="4" spans="1:9">
      <c r="A4" s="3286" t="s">
        <v>1986</v>
      </c>
      <c r="B4" s="3287">
        <v>23173</v>
      </c>
      <c r="C4" s="3284">
        <v>5</v>
      </c>
      <c r="D4" s="3284" t="s">
        <v>1983</v>
      </c>
      <c r="E4" s="3284" t="s">
        <v>1968</v>
      </c>
      <c r="F4" s="1568">
        <v>20000</v>
      </c>
      <c r="G4" s="3287" t="s">
        <v>1987</v>
      </c>
      <c r="H4" s="3287">
        <v>16</v>
      </c>
      <c r="I4" s="3288">
        <f t="shared" si="0"/>
        <v>320000</v>
      </c>
    </row>
    <row r="5" spans="1:9">
      <c r="A5" s="3286" t="s">
        <v>1988</v>
      </c>
      <c r="B5" s="3287">
        <v>23173</v>
      </c>
      <c r="C5" s="3284">
        <v>5</v>
      </c>
      <c r="D5" s="3284" t="s">
        <v>1950</v>
      </c>
      <c r="E5" s="3284" t="s">
        <v>1968</v>
      </c>
      <c r="F5" s="1568">
        <v>10000</v>
      </c>
      <c r="G5" s="3287" t="s">
        <v>1989</v>
      </c>
      <c r="H5" s="3287">
        <v>27</v>
      </c>
      <c r="I5" s="3288">
        <f t="shared" si="0"/>
        <v>270000</v>
      </c>
    </row>
    <row r="6" spans="1:9" ht="38.25" customHeight="1">
      <c r="A6" s="3297" t="s">
        <v>1990</v>
      </c>
      <c r="B6" s="3287">
        <v>23173</v>
      </c>
      <c r="C6" s="3284">
        <v>5</v>
      </c>
      <c r="D6" s="3284" t="s">
        <v>1983</v>
      </c>
      <c r="E6" s="3284" t="s">
        <v>1968</v>
      </c>
      <c r="F6" s="1568">
        <v>4000</v>
      </c>
      <c r="G6" s="3287" t="s">
        <v>1984</v>
      </c>
      <c r="H6" s="3287">
        <v>27</v>
      </c>
      <c r="I6" s="3288">
        <f>F6*H6</f>
        <v>108000</v>
      </c>
    </row>
    <row r="7" spans="1:9" ht="41.25" customHeight="1">
      <c r="A7" s="3297" t="s">
        <v>2080</v>
      </c>
      <c r="B7" s="3287">
        <v>23173</v>
      </c>
      <c r="C7" s="3284">
        <v>5</v>
      </c>
      <c r="D7" s="3284" t="s">
        <v>1950</v>
      </c>
      <c r="E7" s="3284" t="s">
        <v>1968</v>
      </c>
      <c r="F7" s="1568">
        <v>22000</v>
      </c>
      <c r="G7" s="3287" t="s">
        <v>1992</v>
      </c>
      <c r="H7" s="3287">
        <v>10</v>
      </c>
      <c r="I7" s="3288">
        <f t="shared" ref="I7" si="1">F7*H7</f>
        <v>220000</v>
      </c>
    </row>
    <row r="8" spans="1:9" ht="44.25" customHeight="1">
      <c r="A8" s="3302" t="s">
        <v>2015</v>
      </c>
      <c r="B8" s="3287">
        <v>23173</v>
      </c>
      <c r="C8" s="3284">
        <v>5</v>
      </c>
      <c r="D8" s="3284" t="s">
        <v>1950</v>
      </c>
      <c r="E8" s="3284" t="s">
        <v>1968</v>
      </c>
      <c r="F8" s="1568">
        <v>100</v>
      </c>
      <c r="G8" s="3300" t="s">
        <v>2016</v>
      </c>
      <c r="H8" s="3287">
        <f>218*90</f>
        <v>19620</v>
      </c>
      <c r="I8" s="3288">
        <f t="shared" si="0"/>
        <v>1962000</v>
      </c>
    </row>
    <row r="9" spans="1:9">
      <c r="A9" s="3576" t="s">
        <v>2032</v>
      </c>
      <c r="B9" s="3287">
        <v>23173</v>
      </c>
      <c r="C9" s="3284">
        <v>5</v>
      </c>
      <c r="D9" s="3284" t="s">
        <v>1950</v>
      </c>
      <c r="E9" s="3284" t="s">
        <v>1968</v>
      </c>
      <c r="F9" s="1568">
        <v>100</v>
      </c>
      <c r="G9" s="3287" t="s">
        <v>2016</v>
      </c>
      <c r="H9" s="3287">
        <v>200</v>
      </c>
      <c r="I9" s="3288">
        <f t="shared" ref="I9:I10" si="2">F9*H9</f>
        <v>20000</v>
      </c>
    </row>
    <row r="10" spans="1:9" ht="44.25" customHeight="1">
      <c r="A10" s="3302" t="s">
        <v>2033</v>
      </c>
      <c r="B10" s="3287">
        <v>23173</v>
      </c>
      <c r="C10" s="3284">
        <v>5</v>
      </c>
      <c r="D10" s="3284" t="s">
        <v>1950</v>
      </c>
      <c r="E10" s="3284" t="s">
        <v>1968</v>
      </c>
      <c r="F10" s="1568">
        <v>100</v>
      </c>
      <c r="G10" s="3300" t="s">
        <v>2016</v>
      </c>
      <c r="H10" s="3287">
        <v>14600</v>
      </c>
      <c r="I10" s="3288">
        <f t="shared" si="2"/>
        <v>1460000</v>
      </c>
    </row>
    <row r="11" spans="1:9">
      <c r="A11" s="3576" t="s">
        <v>2032</v>
      </c>
      <c r="B11" s="3287">
        <v>23173</v>
      </c>
      <c r="C11" s="3284">
        <v>5</v>
      </c>
      <c r="D11" s="3284" t="s">
        <v>1950</v>
      </c>
      <c r="E11" s="3284" t="s">
        <v>1968</v>
      </c>
      <c r="F11" s="1568">
        <v>100</v>
      </c>
      <c r="G11" s="3287" t="s">
        <v>2016</v>
      </c>
      <c r="H11" s="3287">
        <v>30</v>
      </c>
      <c r="I11" s="3288">
        <f t="shared" ref="I11:I12" si="3">F11*H11</f>
        <v>3000</v>
      </c>
    </row>
    <row r="12" spans="1:9" ht="44.25" customHeight="1">
      <c r="A12" s="3576" t="s">
        <v>2061</v>
      </c>
      <c r="B12" s="3287">
        <v>23173</v>
      </c>
      <c r="C12" s="3284">
        <v>5</v>
      </c>
      <c r="D12" s="3284" t="s">
        <v>1950</v>
      </c>
      <c r="E12" s="3284" t="s">
        <v>1968</v>
      </c>
      <c r="F12" s="1568">
        <v>100</v>
      </c>
      <c r="G12" s="3300" t="s">
        <v>2016</v>
      </c>
      <c r="H12" s="3287">
        <v>88</v>
      </c>
      <c r="I12" s="3288">
        <f t="shared" si="3"/>
        <v>8800</v>
      </c>
    </row>
    <row r="13" spans="1:9">
      <c r="I13" s="3577">
        <f>SUM(I2:I12)</f>
        <v>6911800</v>
      </c>
    </row>
  </sheetData>
  <sheetProtection selectLockedCells="1" sort="0" autoFilter="0" pivotTables="0"/>
  <autoFilter ref="A1:I12" xr:uid="{00000000-0009-0000-0000-000001000000}"/>
  <printOptions horizontalCentered="1"/>
  <pageMargins left="0.11811023622047245" right="0.11811023622047245" top="0.15748031496062992" bottom="0.19685039370078741" header="0.31496062992125984" footer="0.31496062992125984"/>
  <pageSetup paperSize="8" fitToHeight="0" orientation="landscape" r:id="rId1"/>
  <headerFooter>
    <oddFooter>&amp;R&amp;P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FDC25-E42D-4324-BF9D-BEA16E07958E}">
  <sheetPr>
    <tabColor rgb="FF7030A0"/>
    <pageSetUpPr fitToPage="1"/>
  </sheetPr>
  <dimension ref="A1:AG294"/>
  <sheetViews>
    <sheetView topLeftCell="A263" zoomScale="70" zoomScaleNormal="70" zoomScalePageLayoutView="110" workbookViewId="0">
      <selection activeCell="AF286" sqref="AF286"/>
    </sheetView>
  </sheetViews>
  <sheetFormatPr baseColWidth="10" defaultColWidth="11.42578125" defaultRowHeight="18.75"/>
  <cols>
    <col min="1" max="1" width="10.7109375" style="3079" customWidth="1"/>
    <col min="2" max="2" width="49.42578125" style="3079" customWidth="1"/>
    <col min="3" max="3" width="50.140625" style="3079" bestFit="1" customWidth="1"/>
    <col min="4" max="4" width="50.28515625" style="3171" customWidth="1"/>
    <col min="5" max="5" width="15.85546875" style="3171" customWidth="1"/>
    <col min="6" max="6" width="13.5703125" style="3079" customWidth="1"/>
    <col min="7" max="7" width="13.42578125" style="3079" customWidth="1"/>
    <col min="8" max="8" width="19.140625" style="3079" bestFit="1" customWidth="1"/>
    <col min="9" max="9" width="8.42578125" style="3079" customWidth="1"/>
    <col min="10" max="10" width="9" style="3079" customWidth="1"/>
    <col min="11" max="11" width="8" style="3079" customWidth="1"/>
    <col min="12" max="12" width="6.42578125" style="3166" customWidth="1"/>
    <col min="13" max="13" width="9.7109375" style="3166" customWidth="1"/>
    <col min="14" max="14" width="11.140625" style="3079" customWidth="1"/>
    <col min="15" max="15" width="8.42578125" style="3079" customWidth="1"/>
    <col min="16" max="16" width="9.28515625" style="3079" customWidth="1"/>
    <col min="17" max="17" width="12.42578125" style="3079" customWidth="1"/>
    <col min="18" max="18" width="11.42578125" style="3079" customWidth="1"/>
    <col min="19" max="19" width="6.42578125" style="3166" customWidth="1"/>
    <col min="20" max="20" width="9.7109375" style="3079" customWidth="1"/>
    <col min="21" max="21" width="12.7109375" style="3079" customWidth="1"/>
    <col min="22" max="22" width="8.42578125" style="3079" customWidth="1"/>
    <col min="23" max="23" width="9.28515625" style="3079" customWidth="1"/>
    <col min="24" max="24" width="12.7109375" style="3079" customWidth="1"/>
    <col min="25" max="25" width="12.140625" style="3079" customWidth="1"/>
    <col min="26" max="26" width="9.85546875" style="3166" customWidth="1"/>
    <col min="27" max="27" width="13" style="3079" customWidth="1"/>
    <col min="28" max="28" width="13.28515625" style="3079" bestFit="1" customWidth="1"/>
    <col min="29" max="29" width="12.140625" style="3079" hidden="1" customWidth="1"/>
    <col min="30" max="30" width="12.7109375" style="3079" hidden="1" customWidth="1"/>
    <col min="31" max="31" width="23.28515625" style="3172" bestFit="1" customWidth="1"/>
    <col min="32" max="32" width="17.7109375" style="3175" bestFit="1" customWidth="1"/>
    <col min="33" max="33" width="14.85546875" style="3079" bestFit="1" customWidth="1"/>
    <col min="34" max="16384" width="11.42578125" style="3079"/>
  </cols>
  <sheetData>
    <row r="1" spans="1:32" s="3057" customFormat="1" ht="13.5" customHeight="1">
      <c r="B1" s="3058" t="s">
        <v>1140</v>
      </c>
      <c r="C1" s="3059"/>
      <c r="D1" s="3059"/>
      <c r="E1" s="3059"/>
      <c r="F1" s="3059"/>
      <c r="AF1" s="2371"/>
    </row>
    <row r="2" spans="1:32" s="3057" customFormat="1" ht="8.25" customHeight="1">
      <c r="B2" s="3058" t="s">
        <v>1141</v>
      </c>
      <c r="D2" s="3060"/>
      <c r="E2" s="3061"/>
      <c r="AF2" s="2371"/>
    </row>
    <row r="3" spans="1:32" s="3057" customFormat="1" ht="13.5" customHeight="1">
      <c r="B3" s="3058" t="s">
        <v>1142</v>
      </c>
      <c r="C3" s="3062"/>
      <c r="D3" s="3062"/>
      <c r="E3" s="3063"/>
      <c r="AF3" s="2371"/>
    </row>
    <row r="4" spans="1:32" s="3057" customFormat="1" ht="8.25" customHeight="1">
      <c r="A4" s="3059"/>
      <c r="B4" s="3058" t="s">
        <v>1141</v>
      </c>
      <c r="D4" s="3064"/>
      <c r="E4" s="3064"/>
      <c r="F4" s="3064"/>
      <c r="G4" s="3064"/>
      <c r="H4" s="3064"/>
      <c r="I4" s="3064"/>
      <c r="AF4" s="2371"/>
    </row>
    <row r="5" spans="1:32" s="3057" customFormat="1" ht="13.5" customHeight="1">
      <c r="A5" s="3058" t="s">
        <v>1143</v>
      </c>
      <c r="B5" s="3065" t="s">
        <v>1144</v>
      </c>
      <c r="F5" s="3066"/>
      <c r="G5" s="3066"/>
      <c r="H5" s="3066"/>
      <c r="I5" s="3066"/>
      <c r="AF5" s="2371"/>
    </row>
    <row r="6" spans="1:32" s="3057" customFormat="1" ht="8.25" customHeight="1">
      <c r="A6" s="3067" t="s">
        <v>1145</v>
      </c>
      <c r="B6" s="3065" t="s">
        <v>1141</v>
      </c>
      <c r="C6" s="3068"/>
      <c r="D6" s="3068"/>
      <c r="AF6" s="2371"/>
    </row>
    <row r="7" spans="1:32" s="3057" customFormat="1" ht="13.5" customHeight="1">
      <c r="A7" s="3067"/>
      <c r="B7" s="3065" t="s">
        <v>1146</v>
      </c>
      <c r="C7" s="3068"/>
      <c r="D7" s="3068"/>
      <c r="AF7" s="2371"/>
    </row>
    <row r="8" spans="1:32" s="3057" customFormat="1" ht="3.75" customHeight="1">
      <c r="A8" s="3067"/>
      <c r="B8" s="3058" t="s">
        <v>1141</v>
      </c>
      <c r="C8" s="3068"/>
      <c r="D8" s="3068"/>
      <c r="AF8" s="2371"/>
    </row>
    <row r="9" spans="1:32" s="3057" customFormat="1" ht="17.25" customHeight="1">
      <c r="A9" s="3067"/>
      <c r="D9" s="3068"/>
      <c r="AB9" s="3069" t="s">
        <v>1147</v>
      </c>
      <c r="AC9" s="3070"/>
      <c r="AD9" s="1470"/>
      <c r="AE9" s="3071">
        <v>45170</v>
      </c>
    </row>
    <row r="10" spans="1:32" s="3057" customFormat="1" ht="15" customHeight="1">
      <c r="A10" s="3067"/>
      <c r="B10" s="3072" t="s">
        <v>1148</v>
      </c>
      <c r="C10" s="3073" t="s">
        <v>1149</v>
      </c>
      <c r="D10" s="3068"/>
      <c r="AB10" s="3069" t="s">
        <v>1150</v>
      </c>
      <c r="AC10" s="3074" t="s">
        <v>1151</v>
      </c>
      <c r="AD10" s="1470"/>
      <c r="AE10" s="3075" t="s">
        <v>1137</v>
      </c>
    </row>
    <row r="11" spans="1:32" s="3057" customFormat="1" ht="8.25" customHeight="1" thickBot="1">
      <c r="A11" s="3067"/>
      <c r="B11" s="3076"/>
      <c r="C11" s="3068"/>
      <c r="D11" s="3068"/>
      <c r="AF11" s="2371"/>
    </row>
    <row r="12" spans="1:32" s="3057" customFormat="1" ht="30" customHeight="1" thickBot="1">
      <c r="A12" s="3420" t="s">
        <v>1152</v>
      </c>
      <c r="B12" s="3421"/>
      <c r="C12" s="3421"/>
      <c r="D12" s="3421"/>
      <c r="E12" s="3421"/>
      <c r="F12" s="3421"/>
      <c r="G12" s="3421"/>
      <c r="H12" s="3421"/>
      <c r="I12" s="3421"/>
      <c r="J12" s="3421"/>
      <c r="K12" s="3421"/>
      <c r="L12" s="3421"/>
      <c r="M12" s="3421"/>
      <c r="N12" s="3421"/>
      <c r="O12" s="3421"/>
      <c r="P12" s="3421"/>
      <c r="Q12" s="3421"/>
      <c r="R12" s="3421"/>
      <c r="S12" s="3421"/>
      <c r="T12" s="3421"/>
      <c r="U12" s="3421"/>
      <c r="V12" s="3421"/>
      <c r="W12" s="3421"/>
      <c r="X12" s="3421"/>
      <c r="Y12" s="3421"/>
      <c r="Z12" s="3421"/>
      <c r="AA12" s="3421"/>
      <c r="AB12" s="3421"/>
      <c r="AC12" s="3421"/>
      <c r="AD12" s="3421"/>
      <c r="AE12" s="3421"/>
      <c r="AF12" s="3421"/>
    </row>
    <row r="13" spans="1:32" s="3057" customFormat="1" ht="15" customHeight="1">
      <c r="A13" s="3067"/>
      <c r="B13" s="3076"/>
      <c r="C13" s="3068"/>
      <c r="D13" s="3068"/>
      <c r="AF13" s="2371"/>
    </row>
    <row r="14" spans="1:32">
      <c r="A14" s="3077"/>
      <c r="B14" s="3077"/>
      <c r="C14" s="3077"/>
      <c r="D14" s="3077"/>
      <c r="E14" s="3077"/>
      <c r="F14" s="3077"/>
      <c r="G14" s="3077"/>
      <c r="H14" s="3077"/>
      <c r="I14" s="3077"/>
      <c r="J14" s="3077"/>
      <c r="K14" s="3077"/>
      <c r="L14" s="3077"/>
      <c r="M14" s="3077"/>
      <c r="N14" s="3077"/>
      <c r="O14" s="3077"/>
      <c r="P14" s="3077"/>
      <c r="Q14" s="3077"/>
      <c r="R14" s="3077"/>
      <c r="S14" s="3077"/>
      <c r="T14" s="3077"/>
      <c r="U14" s="3077"/>
      <c r="V14" s="3077"/>
      <c r="W14" s="3077"/>
      <c r="X14" s="3077"/>
      <c r="Y14" s="3077"/>
      <c r="Z14" s="3077"/>
      <c r="AA14" s="3077"/>
      <c r="AB14" s="3077"/>
      <c r="AC14" s="3077"/>
      <c r="AD14" s="3077"/>
      <c r="AE14" s="3077"/>
      <c r="AF14" s="3078"/>
    </row>
    <row r="15" spans="1:32" ht="15.75" customHeight="1">
      <c r="A15" s="3422" t="s">
        <v>1153</v>
      </c>
      <c r="B15" s="3422" t="s">
        <v>1154</v>
      </c>
      <c r="C15" s="3422" t="s">
        <v>1155</v>
      </c>
      <c r="D15" s="3423" t="s">
        <v>1156</v>
      </c>
      <c r="E15" s="3423" t="s">
        <v>1157</v>
      </c>
      <c r="F15" s="3423" t="s">
        <v>1158</v>
      </c>
      <c r="G15" s="3423" t="s">
        <v>1159</v>
      </c>
      <c r="H15" s="3423" t="s">
        <v>1160</v>
      </c>
      <c r="I15" s="3423" t="s">
        <v>1161</v>
      </c>
      <c r="J15" s="3423" t="s">
        <v>1162</v>
      </c>
      <c r="K15" s="3424" t="s">
        <v>1163</v>
      </c>
      <c r="L15" s="3425" t="s">
        <v>1164</v>
      </c>
      <c r="M15" s="3425"/>
      <c r="N15" s="3425"/>
      <c r="O15" s="3425"/>
      <c r="P15" s="3425"/>
      <c r="Q15" s="3425"/>
      <c r="R15" s="3425"/>
      <c r="S15" s="3425" t="s">
        <v>1165</v>
      </c>
      <c r="T15" s="3425"/>
      <c r="U15" s="3425"/>
      <c r="V15" s="3425"/>
      <c r="W15" s="3425"/>
      <c r="X15" s="3425"/>
      <c r="Y15" s="3423" t="s">
        <v>1166</v>
      </c>
      <c r="Z15" s="3425" t="s">
        <v>1167</v>
      </c>
      <c r="AA15" s="3425"/>
      <c r="AB15" s="3425"/>
      <c r="AC15" s="3425"/>
      <c r="AD15" s="3425"/>
      <c r="AE15" s="3425"/>
      <c r="AF15" s="3427" t="s">
        <v>1168</v>
      </c>
    </row>
    <row r="16" spans="1:32" ht="15" customHeight="1">
      <c r="A16" s="3422"/>
      <c r="B16" s="3422"/>
      <c r="C16" s="3422"/>
      <c r="D16" s="3423"/>
      <c r="E16" s="3423"/>
      <c r="F16" s="3423"/>
      <c r="G16" s="3423"/>
      <c r="H16" s="3423"/>
      <c r="I16" s="3423"/>
      <c r="J16" s="3423"/>
      <c r="K16" s="3424"/>
      <c r="L16" s="3422" t="s">
        <v>596</v>
      </c>
      <c r="M16" s="3422"/>
      <c r="N16" s="3422"/>
      <c r="O16" s="3428" t="s">
        <v>597</v>
      </c>
      <c r="P16" s="3428"/>
      <c r="Q16" s="3428"/>
      <c r="R16" s="3429" t="s">
        <v>1169</v>
      </c>
      <c r="S16" s="3422" t="s">
        <v>596</v>
      </c>
      <c r="T16" s="3422"/>
      <c r="U16" s="3422"/>
      <c r="V16" s="3428" t="s">
        <v>597</v>
      </c>
      <c r="W16" s="3428"/>
      <c r="X16" s="3428"/>
      <c r="Y16" s="3423"/>
      <c r="Z16" s="3423" t="s">
        <v>1170</v>
      </c>
      <c r="AA16" s="3423" t="s">
        <v>1171</v>
      </c>
      <c r="AB16" s="3423" t="s">
        <v>1172</v>
      </c>
      <c r="AC16" s="3423" t="s">
        <v>1173</v>
      </c>
      <c r="AD16" s="3423" t="s">
        <v>1174</v>
      </c>
      <c r="AE16" s="3423" t="s">
        <v>1175</v>
      </c>
      <c r="AF16" s="3427"/>
    </row>
    <row r="17" spans="1:32" ht="14.45" customHeight="1">
      <c r="A17" s="3422"/>
      <c r="B17" s="3422"/>
      <c r="C17" s="3422"/>
      <c r="D17" s="3423"/>
      <c r="E17" s="3423"/>
      <c r="F17" s="3423"/>
      <c r="G17" s="3423"/>
      <c r="H17" s="3423"/>
      <c r="I17" s="3423"/>
      <c r="J17" s="3423"/>
      <c r="K17" s="3424"/>
      <c r="L17" s="3422"/>
      <c r="M17" s="3422"/>
      <c r="N17" s="3422"/>
      <c r="O17" s="3428"/>
      <c r="P17" s="3428"/>
      <c r="Q17" s="3428"/>
      <c r="R17" s="3429"/>
      <c r="S17" s="3422"/>
      <c r="T17" s="3422"/>
      <c r="U17" s="3422"/>
      <c r="V17" s="3428"/>
      <c r="W17" s="3428"/>
      <c r="X17" s="3428"/>
      <c r="Y17" s="3423"/>
      <c r="Z17" s="3423"/>
      <c r="AA17" s="3423"/>
      <c r="AB17" s="3423"/>
      <c r="AC17" s="3423"/>
      <c r="AD17" s="3423"/>
      <c r="AE17" s="3423"/>
      <c r="AF17" s="3427"/>
    </row>
    <row r="18" spans="1:32" ht="81.75" customHeight="1">
      <c r="A18" s="3422"/>
      <c r="B18" s="3422"/>
      <c r="C18" s="3422"/>
      <c r="D18" s="3423"/>
      <c r="E18" s="3423"/>
      <c r="F18" s="3423"/>
      <c r="G18" s="3423"/>
      <c r="H18" s="3423"/>
      <c r="I18" s="3423"/>
      <c r="J18" s="3423"/>
      <c r="K18" s="3424"/>
      <c r="L18" s="3080" t="s">
        <v>1176</v>
      </c>
      <c r="M18" s="3081" t="s">
        <v>1177</v>
      </c>
      <c r="N18" s="3080" t="s">
        <v>1178</v>
      </c>
      <c r="O18" s="3080" t="s">
        <v>1179</v>
      </c>
      <c r="P18" s="3081" t="s">
        <v>1177</v>
      </c>
      <c r="Q18" s="3080" t="s">
        <v>1180</v>
      </c>
      <c r="R18" s="3429"/>
      <c r="S18" s="3080" t="s">
        <v>1176</v>
      </c>
      <c r="T18" s="3081" t="s">
        <v>1177</v>
      </c>
      <c r="U18" s="3080" t="s">
        <v>1181</v>
      </c>
      <c r="V18" s="3080" t="s">
        <v>1182</v>
      </c>
      <c r="W18" s="3081" t="s">
        <v>1183</v>
      </c>
      <c r="X18" s="3080" t="s">
        <v>1184</v>
      </c>
      <c r="Y18" s="3423"/>
      <c r="Z18" s="3423"/>
      <c r="AA18" s="3423"/>
      <c r="AB18" s="3423"/>
      <c r="AC18" s="3423"/>
      <c r="AD18" s="3423"/>
      <c r="AE18" s="3423"/>
      <c r="AF18" s="3427"/>
    </row>
    <row r="19" spans="1:32" s="3095" customFormat="1" ht="31.5">
      <c r="A19" s="3082">
        <v>1</v>
      </c>
      <c r="B19" s="3083" t="s">
        <v>1185</v>
      </c>
      <c r="C19" s="3083" t="s">
        <v>1186</v>
      </c>
      <c r="D19" s="3083" t="s">
        <v>1187</v>
      </c>
      <c r="E19" s="3084" t="s">
        <v>1188</v>
      </c>
      <c r="F19" s="3084" t="s">
        <v>1189</v>
      </c>
      <c r="G19" s="3080" t="s">
        <v>1190</v>
      </c>
      <c r="H19" s="3084" t="s">
        <v>1187</v>
      </c>
      <c r="I19" s="3085"/>
      <c r="J19" s="3085"/>
      <c r="K19" s="3081">
        <v>3</v>
      </c>
      <c r="L19" s="3080">
        <v>0</v>
      </c>
      <c r="M19" s="3086">
        <v>15000</v>
      </c>
      <c r="N19" s="3087">
        <f>M19*L19</f>
        <v>0</v>
      </c>
      <c r="O19" s="3080">
        <v>0</v>
      </c>
      <c r="P19" s="3086">
        <v>20000</v>
      </c>
      <c r="Q19" s="3088">
        <f t="shared" ref="Q19:Q82" si="0">P19*O19</f>
        <v>0</v>
      </c>
      <c r="R19" s="3089">
        <f t="shared" ref="R19:R82" si="1">N19+Q19</f>
        <v>0</v>
      </c>
      <c r="S19" s="3080">
        <f>+K19</f>
        <v>3</v>
      </c>
      <c r="T19" s="3086">
        <v>15000</v>
      </c>
      <c r="U19" s="3088">
        <f>T19*S19</f>
        <v>45000</v>
      </c>
      <c r="V19" s="3080">
        <v>0</v>
      </c>
      <c r="W19" s="3086">
        <v>20000</v>
      </c>
      <c r="X19" s="3088">
        <f t="shared" ref="X19:X82" si="2">V19*W19</f>
        <v>0</v>
      </c>
      <c r="Y19" s="3089">
        <f t="shared" ref="Y19:Y82" si="3">U19+X19</f>
        <v>45000</v>
      </c>
      <c r="Z19" s="3090">
        <v>0</v>
      </c>
      <c r="AA19" s="3091">
        <v>0</v>
      </c>
      <c r="AB19" s="3087">
        <f t="shared" ref="AB19:AB82" si="4">Z19*AA19</f>
        <v>0</v>
      </c>
      <c r="AC19" s="3092"/>
      <c r="AD19" s="3092"/>
      <c r="AE19" s="3093">
        <f>AB19</f>
        <v>0</v>
      </c>
      <c r="AF19" s="3094">
        <f t="shared" ref="AF19:AF124" si="5">+Y19+AE19+R19</f>
        <v>45000</v>
      </c>
    </row>
    <row r="20" spans="1:32" s="3095" customFormat="1" ht="30" customHeight="1">
      <c r="A20" s="3082">
        <v>2</v>
      </c>
      <c r="B20" s="3083" t="s">
        <v>1191</v>
      </c>
      <c r="C20" s="3083" t="s">
        <v>1192</v>
      </c>
      <c r="D20" s="3083" t="s">
        <v>1187</v>
      </c>
      <c r="E20" s="3084" t="s">
        <v>1188</v>
      </c>
      <c r="F20" s="3084" t="s">
        <v>1189</v>
      </c>
      <c r="G20" s="3080" t="s">
        <v>1190</v>
      </c>
      <c r="H20" s="3084" t="s">
        <v>1187</v>
      </c>
      <c r="I20" s="3085"/>
      <c r="J20" s="3085"/>
      <c r="K20" s="3081">
        <v>3</v>
      </c>
      <c r="L20" s="3080"/>
      <c r="M20" s="3086">
        <v>15000</v>
      </c>
      <c r="N20" s="3087">
        <f t="shared" ref="N20:N41" si="6">M20*L20</f>
        <v>0</v>
      </c>
      <c r="O20" s="3080">
        <v>0</v>
      </c>
      <c r="P20" s="3086">
        <v>20000</v>
      </c>
      <c r="Q20" s="3088">
        <f t="shared" si="0"/>
        <v>0</v>
      </c>
      <c r="R20" s="3089">
        <f t="shared" si="1"/>
        <v>0</v>
      </c>
      <c r="S20" s="3080">
        <f t="shared" ref="S20:S41" si="7">+K20</f>
        <v>3</v>
      </c>
      <c r="T20" s="3086">
        <v>15000</v>
      </c>
      <c r="U20" s="3088">
        <f t="shared" ref="U20:U41" si="8">T20*S20</f>
        <v>45000</v>
      </c>
      <c r="V20" s="3080">
        <v>0</v>
      </c>
      <c r="W20" s="3086">
        <v>20000</v>
      </c>
      <c r="X20" s="3088">
        <f t="shared" si="2"/>
        <v>0</v>
      </c>
      <c r="Y20" s="3089">
        <f t="shared" si="3"/>
        <v>45000</v>
      </c>
      <c r="Z20" s="3090">
        <v>0</v>
      </c>
      <c r="AA20" s="3091">
        <v>0</v>
      </c>
      <c r="AB20" s="3087">
        <f t="shared" si="4"/>
        <v>0</v>
      </c>
      <c r="AC20" s="3092"/>
      <c r="AD20" s="3092"/>
      <c r="AE20" s="3093">
        <f t="shared" ref="AE20:AE41" si="9">AB20</f>
        <v>0</v>
      </c>
      <c r="AF20" s="3094">
        <f t="shared" si="5"/>
        <v>45000</v>
      </c>
    </row>
    <row r="21" spans="1:32" s="3095" customFormat="1" ht="30" customHeight="1">
      <c r="A21" s="3082">
        <v>3</v>
      </c>
      <c r="B21" s="3096" t="s">
        <v>1193</v>
      </c>
      <c r="C21" s="3083" t="s">
        <v>1194</v>
      </c>
      <c r="D21" s="3083" t="s">
        <v>1187</v>
      </c>
      <c r="E21" s="3084" t="s">
        <v>1188</v>
      </c>
      <c r="F21" s="3084" t="s">
        <v>1189</v>
      </c>
      <c r="G21" s="3080" t="s">
        <v>1190</v>
      </c>
      <c r="H21" s="3084" t="s">
        <v>1187</v>
      </c>
      <c r="I21" s="3085"/>
      <c r="J21" s="3085"/>
      <c r="K21" s="3081">
        <v>3</v>
      </c>
      <c r="L21" s="3080"/>
      <c r="M21" s="3086">
        <v>15000</v>
      </c>
      <c r="N21" s="3087">
        <f t="shared" si="6"/>
        <v>0</v>
      </c>
      <c r="O21" s="3080">
        <v>0</v>
      </c>
      <c r="P21" s="3086">
        <v>20000</v>
      </c>
      <c r="Q21" s="3088">
        <f t="shared" si="0"/>
        <v>0</v>
      </c>
      <c r="R21" s="3089">
        <f t="shared" si="1"/>
        <v>0</v>
      </c>
      <c r="S21" s="3080">
        <f t="shared" si="7"/>
        <v>3</v>
      </c>
      <c r="T21" s="3086">
        <v>15000</v>
      </c>
      <c r="U21" s="3088">
        <f t="shared" si="8"/>
        <v>45000</v>
      </c>
      <c r="V21" s="3080">
        <v>0</v>
      </c>
      <c r="W21" s="3086">
        <v>20000</v>
      </c>
      <c r="X21" s="3088">
        <f t="shared" si="2"/>
        <v>0</v>
      </c>
      <c r="Y21" s="3089">
        <f t="shared" si="3"/>
        <v>45000</v>
      </c>
      <c r="Z21" s="3090">
        <v>0</v>
      </c>
      <c r="AA21" s="3091">
        <v>0</v>
      </c>
      <c r="AB21" s="3087">
        <f t="shared" si="4"/>
        <v>0</v>
      </c>
      <c r="AC21" s="3092"/>
      <c r="AD21" s="3092"/>
      <c r="AE21" s="3093">
        <f t="shared" si="9"/>
        <v>0</v>
      </c>
      <c r="AF21" s="3094">
        <f t="shared" si="5"/>
        <v>45000</v>
      </c>
    </row>
    <row r="22" spans="1:32" s="3095" customFormat="1" ht="30" customHeight="1">
      <c r="A22" s="3082">
        <v>4</v>
      </c>
      <c r="B22" s="3096" t="s">
        <v>1195</v>
      </c>
      <c r="C22" s="3083" t="s">
        <v>1196</v>
      </c>
      <c r="D22" s="3083" t="s">
        <v>1187</v>
      </c>
      <c r="E22" s="3084" t="s">
        <v>1188</v>
      </c>
      <c r="F22" s="3084" t="s">
        <v>1189</v>
      </c>
      <c r="G22" s="3080" t="s">
        <v>1190</v>
      </c>
      <c r="H22" s="3084" t="s">
        <v>1187</v>
      </c>
      <c r="I22" s="3085"/>
      <c r="J22" s="3085"/>
      <c r="K22" s="3081">
        <v>3</v>
      </c>
      <c r="L22" s="3080"/>
      <c r="M22" s="3086">
        <v>15000</v>
      </c>
      <c r="N22" s="3087">
        <f t="shared" si="6"/>
        <v>0</v>
      </c>
      <c r="O22" s="3080">
        <v>0</v>
      </c>
      <c r="P22" s="3086">
        <v>20000</v>
      </c>
      <c r="Q22" s="3088">
        <f t="shared" si="0"/>
        <v>0</v>
      </c>
      <c r="R22" s="3089">
        <f t="shared" si="1"/>
        <v>0</v>
      </c>
      <c r="S22" s="3080">
        <f t="shared" si="7"/>
        <v>3</v>
      </c>
      <c r="T22" s="3086">
        <v>15000</v>
      </c>
      <c r="U22" s="3088">
        <f t="shared" si="8"/>
        <v>45000</v>
      </c>
      <c r="V22" s="3080">
        <v>0</v>
      </c>
      <c r="W22" s="3086">
        <v>20000</v>
      </c>
      <c r="X22" s="3088">
        <f t="shared" si="2"/>
        <v>0</v>
      </c>
      <c r="Y22" s="3089">
        <f t="shared" si="3"/>
        <v>45000</v>
      </c>
      <c r="Z22" s="3090">
        <v>0</v>
      </c>
      <c r="AA22" s="3091">
        <v>0</v>
      </c>
      <c r="AB22" s="3087">
        <f t="shared" si="4"/>
        <v>0</v>
      </c>
      <c r="AC22" s="3092"/>
      <c r="AD22" s="3092"/>
      <c r="AE22" s="3093">
        <f t="shared" si="9"/>
        <v>0</v>
      </c>
      <c r="AF22" s="3094">
        <f t="shared" si="5"/>
        <v>45000</v>
      </c>
    </row>
    <row r="23" spans="1:32" s="3095" customFormat="1" ht="30" customHeight="1">
      <c r="A23" s="3082">
        <v>5</v>
      </c>
      <c r="B23" s="3083" t="s">
        <v>1197</v>
      </c>
      <c r="C23" s="3083" t="s">
        <v>1194</v>
      </c>
      <c r="D23" s="3083" t="s">
        <v>1198</v>
      </c>
      <c r="E23" s="3084" t="s">
        <v>1188</v>
      </c>
      <c r="F23" s="3084" t="s">
        <v>1189</v>
      </c>
      <c r="G23" s="3080" t="s">
        <v>1190</v>
      </c>
      <c r="H23" s="3084" t="s">
        <v>1187</v>
      </c>
      <c r="I23" s="3085"/>
      <c r="J23" s="3085"/>
      <c r="K23" s="3081">
        <v>3</v>
      </c>
      <c r="L23" s="3080"/>
      <c r="M23" s="3086">
        <v>15000</v>
      </c>
      <c r="N23" s="3087">
        <f t="shared" si="6"/>
        <v>0</v>
      </c>
      <c r="O23" s="3080">
        <v>0</v>
      </c>
      <c r="P23" s="3086">
        <v>20000</v>
      </c>
      <c r="Q23" s="3088">
        <f t="shared" si="0"/>
        <v>0</v>
      </c>
      <c r="R23" s="3089">
        <f t="shared" si="1"/>
        <v>0</v>
      </c>
      <c r="S23" s="3080">
        <f t="shared" si="7"/>
        <v>3</v>
      </c>
      <c r="T23" s="3086">
        <v>15000</v>
      </c>
      <c r="U23" s="3088">
        <f t="shared" si="8"/>
        <v>45000</v>
      </c>
      <c r="V23" s="3080">
        <v>0</v>
      </c>
      <c r="W23" s="3086">
        <v>20000</v>
      </c>
      <c r="X23" s="3088">
        <f t="shared" si="2"/>
        <v>0</v>
      </c>
      <c r="Y23" s="3089">
        <f t="shared" si="3"/>
        <v>45000</v>
      </c>
      <c r="Z23" s="3090">
        <v>6</v>
      </c>
      <c r="AA23" s="3091">
        <v>0</v>
      </c>
      <c r="AB23" s="3087">
        <f t="shared" si="4"/>
        <v>0</v>
      </c>
      <c r="AC23" s="3092"/>
      <c r="AD23" s="3092"/>
      <c r="AE23" s="3093">
        <f t="shared" si="9"/>
        <v>0</v>
      </c>
      <c r="AF23" s="3094">
        <f t="shared" si="5"/>
        <v>45000</v>
      </c>
    </row>
    <row r="24" spans="1:32" s="3095" customFormat="1" ht="30" customHeight="1">
      <c r="A24" s="3082">
        <v>6</v>
      </c>
      <c r="B24" s="3083" t="s">
        <v>1199</v>
      </c>
      <c r="C24" s="3083" t="s">
        <v>1196</v>
      </c>
      <c r="D24" s="3083" t="s">
        <v>1198</v>
      </c>
      <c r="E24" s="3084" t="s">
        <v>1188</v>
      </c>
      <c r="F24" s="3084" t="s">
        <v>1189</v>
      </c>
      <c r="G24" s="3080" t="s">
        <v>1190</v>
      </c>
      <c r="H24" s="3084" t="s">
        <v>1187</v>
      </c>
      <c r="I24" s="3085"/>
      <c r="J24" s="3085"/>
      <c r="K24" s="3081">
        <v>3</v>
      </c>
      <c r="L24" s="3080"/>
      <c r="M24" s="3086">
        <v>15000</v>
      </c>
      <c r="N24" s="3087">
        <f t="shared" si="6"/>
        <v>0</v>
      </c>
      <c r="O24" s="3080">
        <v>0</v>
      </c>
      <c r="P24" s="3086">
        <v>20000</v>
      </c>
      <c r="Q24" s="3088">
        <f t="shared" si="0"/>
        <v>0</v>
      </c>
      <c r="R24" s="3089">
        <f t="shared" si="1"/>
        <v>0</v>
      </c>
      <c r="S24" s="3080">
        <f t="shared" si="7"/>
        <v>3</v>
      </c>
      <c r="T24" s="3086">
        <v>15000</v>
      </c>
      <c r="U24" s="3088">
        <f t="shared" si="8"/>
        <v>45000</v>
      </c>
      <c r="V24" s="3080">
        <v>0</v>
      </c>
      <c r="W24" s="3086">
        <v>20000</v>
      </c>
      <c r="X24" s="3088">
        <f t="shared" si="2"/>
        <v>0</v>
      </c>
      <c r="Y24" s="3089">
        <f t="shared" si="3"/>
        <v>45000</v>
      </c>
      <c r="Z24" s="3090">
        <v>6</v>
      </c>
      <c r="AA24" s="3091">
        <v>0</v>
      </c>
      <c r="AB24" s="3087">
        <f t="shared" si="4"/>
        <v>0</v>
      </c>
      <c r="AC24" s="3092"/>
      <c r="AD24" s="3092"/>
      <c r="AE24" s="3093">
        <f t="shared" si="9"/>
        <v>0</v>
      </c>
      <c r="AF24" s="3094">
        <f t="shared" si="5"/>
        <v>45000</v>
      </c>
    </row>
    <row r="25" spans="1:32" s="3095" customFormat="1" ht="30" customHeight="1">
      <c r="A25" s="3082">
        <v>7</v>
      </c>
      <c r="B25" s="3083" t="s">
        <v>1200</v>
      </c>
      <c r="C25" s="3083" t="s">
        <v>1192</v>
      </c>
      <c r="D25" s="3083" t="s">
        <v>1198</v>
      </c>
      <c r="E25" s="3084" t="s">
        <v>1188</v>
      </c>
      <c r="F25" s="3084" t="s">
        <v>1189</v>
      </c>
      <c r="G25" s="3080" t="s">
        <v>1190</v>
      </c>
      <c r="H25" s="3084" t="s">
        <v>1187</v>
      </c>
      <c r="I25" s="3085"/>
      <c r="J25" s="3085"/>
      <c r="K25" s="3081">
        <v>3</v>
      </c>
      <c r="L25" s="3080"/>
      <c r="M25" s="3086">
        <v>15000</v>
      </c>
      <c r="N25" s="3087">
        <f t="shared" si="6"/>
        <v>0</v>
      </c>
      <c r="O25" s="3080">
        <v>0</v>
      </c>
      <c r="P25" s="3086">
        <v>20000</v>
      </c>
      <c r="Q25" s="3088">
        <f t="shared" si="0"/>
        <v>0</v>
      </c>
      <c r="R25" s="3089">
        <f t="shared" si="1"/>
        <v>0</v>
      </c>
      <c r="S25" s="3080">
        <f t="shared" si="7"/>
        <v>3</v>
      </c>
      <c r="T25" s="3086">
        <v>15000</v>
      </c>
      <c r="U25" s="3088">
        <f t="shared" si="8"/>
        <v>45000</v>
      </c>
      <c r="V25" s="3080">
        <v>0</v>
      </c>
      <c r="W25" s="3086">
        <v>20000</v>
      </c>
      <c r="X25" s="3088">
        <f t="shared" si="2"/>
        <v>0</v>
      </c>
      <c r="Y25" s="3089">
        <f t="shared" si="3"/>
        <v>45000</v>
      </c>
      <c r="Z25" s="3090">
        <v>6</v>
      </c>
      <c r="AA25" s="3091">
        <v>0</v>
      </c>
      <c r="AB25" s="3087">
        <f t="shared" si="4"/>
        <v>0</v>
      </c>
      <c r="AC25" s="3092"/>
      <c r="AD25" s="3092"/>
      <c r="AE25" s="3093">
        <f t="shared" si="9"/>
        <v>0</v>
      </c>
      <c r="AF25" s="3094">
        <f t="shared" si="5"/>
        <v>45000</v>
      </c>
    </row>
    <row r="26" spans="1:32" s="3095" customFormat="1" ht="30" customHeight="1">
      <c r="A26" s="3082">
        <v>8</v>
      </c>
      <c r="B26" s="3083" t="s">
        <v>1201</v>
      </c>
      <c r="C26" s="3083" t="s">
        <v>1202</v>
      </c>
      <c r="D26" s="3083" t="s">
        <v>1198</v>
      </c>
      <c r="E26" s="3084" t="s">
        <v>1188</v>
      </c>
      <c r="F26" s="3084" t="s">
        <v>1189</v>
      </c>
      <c r="G26" s="3080" t="s">
        <v>1190</v>
      </c>
      <c r="H26" s="3084" t="s">
        <v>1187</v>
      </c>
      <c r="I26" s="3085"/>
      <c r="J26" s="3085"/>
      <c r="K26" s="3081">
        <v>3</v>
      </c>
      <c r="L26" s="3080"/>
      <c r="M26" s="3086">
        <v>15000</v>
      </c>
      <c r="N26" s="3087">
        <f t="shared" si="6"/>
        <v>0</v>
      </c>
      <c r="O26" s="3080">
        <v>0</v>
      </c>
      <c r="P26" s="3086">
        <v>20000</v>
      </c>
      <c r="Q26" s="3088">
        <f t="shared" si="0"/>
        <v>0</v>
      </c>
      <c r="R26" s="3089">
        <f t="shared" si="1"/>
        <v>0</v>
      </c>
      <c r="S26" s="3080">
        <f t="shared" si="7"/>
        <v>3</v>
      </c>
      <c r="T26" s="3086">
        <v>15000</v>
      </c>
      <c r="U26" s="3088">
        <f t="shared" si="8"/>
        <v>45000</v>
      </c>
      <c r="V26" s="3080">
        <v>0</v>
      </c>
      <c r="W26" s="3086">
        <v>20000</v>
      </c>
      <c r="X26" s="3088">
        <f t="shared" si="2"/>
        <v>0</v>
      </c>
      <c r="Y26" s="3089">
        <f t="shared" si="3"/>
        <v>45000</v>
      </c>
      <c r="Z26" s="3090">
        <v>6</v>
      </c>
      <c r="AA26" s="3091">
        <v>0</v>
      </c>
      <c r="AB26" s="3087">
        <f t="shared" si="4"/>
        <v>0</v>
      </c>
      <c r="AC26" s="3092"/>
      <c r="AD26" s="3092"/>
      <c r="AE26" s="3093">
        <f t="shared" si="9"/>
        <v>0</v>
      </c>
      <c r="AF26" s="3094">
        <f t="shared" si="5"/>
        <v>45000</v>
      </c>
    </row>
    <row r="27" spans="1:32" s="3095" customFormat="1" ht="30" customHeight="1">
      <c r="A27" s="3082">
        <v>9</v>
      </c>
      <c r="B27" s="3083" t="s">
        <v>1203</v>
      </c>
      <c r="C27" s="3083" t="s">
        <v>1186</v>
      </c>
      <c r="D27" s="3083" t="s">
        <v>1198</v>
      </c>
      <c r="E27" s="3084" t="s">
        <v>1188</v>
      </c>
      <c r="F27" s="3084" t="s">
        <v>1189</v>
      </c>
      <c r="G27" s="3080" t="s">
        <v>1190</v>
      </c>
      <c r="H27" s="3084" t="s">
        <v>1187</v>
      </c>
      <c r="I27" s="3085"/>
      <c r="J27" s="3085"/>
      <c r="K27" s="3081">
        <v>3</v>
      </c>
      <c r="L27" s="3080"/>
      <c r="M27" s="3086">
        <v>15000</v>
      </c>
      <c r="N27" s="3087">
        <f t="shared" si="6"/>
        <v>0</v>
      </c>
      <c r="O27" s="3080">
        <v>0</v>
      </c>
      <c r="P27" s="3086">
        <v>20000</v>
      </c>
      <c r="Q27" s="3088">
        <f t="shared" si="0"/>
        <v>0</v>
      </c>
      <c r="R27" s="3089">
        <f t="shared" si="1"/>
        <v>0</v>
      </c>
      <c r="S27" s="3080">
        <f t="shared" si="7"/>
        <v>3</v>
      </c>
      <c r="T27" s="3086">
        <v>15000</v>
      </c>
      <c r="U27" s="3088">
        <f t="shared" si="8"/>
        <v>45000</v>
      </c>
      <c r="V27" s="3080">
        <v>0</v>
      </c>
      <c r="W27" s="3086">
        <v>20000</v>
      </c>
      <c r="X27" s="3088">
        <f t="shared" si="2"/>
        <v>0</v>
      </c>
      <c r="Y27" s="3089">
        <f t="shared" si="3"/>
        <v>45000</v>
      </c>
      <c r="Z27" s="3090">
        <v>10</v>
      </c>
      <c r="AA27" s="3091">
        <v>150</v>
      </c>
      <c r="AB27" s="3087">
        <f t="shared" si="4"/>
        <v>1500</v>
      </c>
      <c r="AC27" s="3092"/>
      <c r="AD27" s="3092"/>
      <c r="AE27" s="3093">
        <f t="shared" si="9"/>
        <v>1500</v>
      </c>
      <c r="AF27" s="3094">
        <f t="shared" si="5"/>
        <v>46500</v>
      </c>
    </row>
    <row r="28" spans="1:32" s="3095" customFormat="1" ht="30" customHeight="1">
      <c r="A28" s="3082">
        <v>10</v>
      </c>
      <c r="B28" s="3083" t="s">
        <v>1204</v>
      </c>
      <c r="C28" s="3083" t="s">
        <v>1202</v>
      </c>
      <c r="D28" s="3083" t="s">
        <v>1205</v>
      </c>
      <c r="E28" s="3084" t="s">
        <v>1188</v>
      </c>
      <c r="F28" s="3084" t="s">
        <v>1189</v>
      </c>
      <c r="G28" s="3080" t="s">
        <v>1190</v>
      </c>
      <c r="H28" s="3084" t="s">
        <v>1187</v>
      </c>
      <c r="I28" s="3085"/>
      <c r="J28" s="3085"/>
      <c r="K28" s="3081">
        <v>3</v>
      </c>
      <c r="L28" s="3080"/>
      <c r="M28" s="3086">
        <v>15000</v>
      </c>
      <c r="N28" s="3087">
        <f t="shared" si="6"/>
        <v>0</v>
      </c>
      <c r="O28" s="3080">
        <v>0</v>
      </c>
      <c r="P28" s="3086">
        <v>20000</v>
      </c>
      <c r="Q28" s="3088">
        <f t="shared" si="0"/>
        <v>0</v>
      </c>
      <c r="R28" s="3089">
        <f t="shared" si="1"/>
        <v>0</v>
      </c>
      <c r="S28" s="3080">
        <f t="shared" si="7"/>
        <v>3</v>
      </c>
      <c r="T28" s="3086">
        <v>15000</v>
      </c>
      <c r="U28" s="3088">
        <f t="shared" si="8"/>
        <v>45000</v>
      </c>
      <c r="V28" s="3080">
        <v>0</v>
      </c>
      <c r="W28" s="3086">
        <v>20000</v>
      </c>
      <c r="X28" s="3088">
        <f t="shared" si="2"/>
        <v>0</v>
      </c>
      <c r="Y28" s="3089">
        <f t="shared" si="3"/>
        <v>45000</v>
      </c>
      <c r="Z28" s="3090">
        <v>10</v>
      </c>
      <c r="AA28" s="3091">
        <v>150</v>
      </c>
      <c r="AB28" s="3087">
        <f t="shared" si="4"/>
        <v>1500</v>
      </c>
      <c r="AC28" s="3092"/>
      <c r="AD28" s="3092"/>
      <c r="AE28" s="3093">
        <f t="shared" si="9"/>
        <v>1500</v>
      </c>
      <c r="AF28" s="3094">
        <f t="shared" si="5"/>
        <v>46500</v>
      </c>
    </row>
    <row r="29" spans="1:32" s="3095" customFormat="1" ht="30" customHeight="1">
      <c r="A29" s="3082">
        <v>11</v>
      </c>
      <c r="B29" s="3083" t="s">
        <v>1206</v>
      </c>
      <c r="C29" s="3083" t="s">
        <v>1186</v>
      </c>
      <c r="D29" s="3083" t="s">
        <v>1205</v>
      </c>
      <c r="E29" s="3084" t="s">
        <v>1188</v>
      </c>
      <c r="F29" s="3084" t="s">
        <v>1189</v>
      </c>
      <c r="G29" s="3080" t="s">
        <v>1190</v>
      </c>
      <c r="H29" s="3084" t="s">
        <v>1187</v>
      </c>
      <c r="I29" s="3085"/>
      <c r="J29" s="3085"/>
      <c r="K29" s="3081">
        <v>3</v>
      </c>
      <c r="L29" s="3080"/>
      <c r="M29" s="3086">
        <v>15000</v>
      </c>
      <c r="N29" s="3087">
        <f t="shared" si="6"/>
        <v>0</v>
      </c>
      <c r="O29" s="3080">
        <v>0</v>
      </c>
      <c r="P29" s="3086">
        <v>20000</v>
      </c>
      <c r="Q29" s="3088">
        <f t="shared" si="0"/>
        <v>0</v>
      </c>
      <c r="R29" s="3089">
        <f t="shared" si="1"/>
        <v>0</v>
      </c>
      <c r="S29" s="3080">
        <f t="shared" si="7"/>
        <v>3</v>
      </c>
      <c r="T29" s="3086">
        <v>15000</v>
      </c>
      <c r="U29" s="3088">
        <f t="shared" si="8"/>
        <v>45000</v>
      </c>
      <c r="V29" s="3080">
        <v>0</v>
      </c>
      <c r="W29" s="3086">
        <v>20000</v>
      </c>
      <c r="X29" s="3088">
        <f t="shared" si="2"/>
        <v>0</v>
      </c>
      <c r="Y29" s="3089">
        <f t="shared" si="3"/>
        <v>45000</v>
      </c>
      <c r="Z29" s="3090">
        <v>6</v>
      </c>
      <c r="AA29" s="3091">
        <v>0</v>
      </c>
      <c r="AB29" s="3087">
        <f t="shared" si="4"/>
        <v>0</v>
      </c>
      <c r="AC29" s="3092"/>
      <c r="AD29" s="3092"/>
      <c r="AE29" s="3093">
        <f t="shared" si="9"/>
        <v>0</v>
      </c>
      <c r="AF29" s="3094">
        <f t="shared" si="5"/>
        <v>45000</v>
      </c>
    </row>
    <row r="30" spans="1:32" s="3095" customFormat="1" ht="30" customHeight="1">
      <c r="A30" s="3082">
        <v>12</v>
      </c>
      <c r="B30" s="3083" t="s">
        <v>1207</v>
      </c>
      <c r="C30" s="3083" t="s">
        <v>1196</v>
      </c>
      <c r="D30" s="3083" t="s">
        <v>1208</v>
      </c>
      <c r="E30" s="3084" t="s">
        <v>1188</v>
      </c>
      <c r="F30" s="3084" t="s">
        <v>1189</v>
      </c>
      <c r="G30" s="3080" t="s">
        <v>1190</v>
      </c>
      <c r="H30" s="3084" t="s">
        <v>1187</v>
      </c>
      <c r="I30" s="3085"/>
      <c r="J30" s="3085"/>
      <c r="K30" s="3081">
        <v>3</v>
      </c>
      <c r="L30" s="3080"/>
      <c r="M30" s="3086">
        <v>15000</v>
      </c>
      <c r="N30" s="3087">
        <f t="shared" si="6"/>
        <v>0</v>
      </c>
      <c r="O30" s="3080">
        <v>0</v>
      </c>
      <c r="P30" s="3086">
        <v>20000</v>
      </c>
      <c r="Q30" s="3088">
        <f t="shared" si="0"/>
        <v>0</v>
      </c>
      <c r="R30" s="3089">
        <f t="shared" si="1"/>
        <v>0</v>
      </c>
      <c r="S30" s="3080">
        <f t="shared" si="7"/>
        <v>3</v>
      </c>
      <c r="T30" s="3086">
        <v>15000</v>
      </c>
      <c r="U30" s="3088">
        <f t="shared" si="8"/>
        <v>45000</v>
      </c>
      <c r="V30" s="3080">
        <v>0</v>
      </c>
      <c r="W30" s="3086">
        <v>20000</v>
      </c>
      <c r="X30" s="3088">
        <f t="shared" si="2"/>
        <v>0</v>
      </c>
      <c r="Y30" s="3089">
        <f t="shared" si="3"/>
        <v>45000</v>
      </c>
      <c r="Z30" s="3090">
        <v>4</v>
      </c>
      <c r="AA30" s="3091">
        <v>0</v>
      </c>
      <c r="AB30" s="3087">
        <f t="shared" si="4"/>
        <v>0</v>
      </c>
      <c r="AC30" s="3092"/>
      <c r="AD30" s="3092"/>
      <c r="AE30" s="3093">
        <f t="shared" si="9"/>
        <v>0</v>
      </c>
      <c r="AF30" s="3094">
        <f t="shared" si="5"/>
        <v>45000</v>
      </c>
    </row>
    <row r="31" spans="1:32" s="3095" customFormat="1" ht="30" customHeight="1">
      <c r="A31" s="3082">
        <v>13</v>
      </c>
      <c r="B31" s="3083" t="s">
        <v>1209</v>
      </c>
      <c r="C31" s="3083" t="s">
        <v>1186</v>
      </c>
      <c r="D31" s="3083" t="s">
        <v>1208</v>
      </c>
      <c r="E31" s="3084" t="s">
        <v>1188</v>
      </c>
      <c r="F31" s="3084" t="s">
        <v>1189</v>
      </c>
      <c r="G31" s="3080" t="s">
        <v>1190</v>
      </c>
      <c r="H31" s="3084" t="s">
        <v>1187</v>
      </c>
      <c r="I31" s="3085"/>
      <c r="J31" s="3085"/>
      <c r="K31" s="3081">
        <v>3</v>
      </c>
      <c r="L31" s="3080"/>
      <c r="M31" s="3086">
        <v>15000</v>
      </c>
      <c r="N31" s="3087">
        <f t="shared" si="6"/>
        <v>0</v>
      </c>
      <c r="O31" s="3080">
        <v>0</v>
      </c>
      <c r="P31" s="3086">
        <v>20000</v>
      </c>
      <c r="Q31" s="3088">
        <f t="shared" si="0"/>
        <v>0</v>
      </c>
      <c r="R31" s="3089">
        <f t="shared" si="1"/>
        <v>0</v>
      </c>
      <c r="S31" s="3080">
        <f t="shared" si="7"/>
        <v>3</v>
      </c>
      <c r="T31" s="3086">
        <v>15000</v>
      </c>
      <c r="U31" s="3088">
        <f t="shared" si="8"/>
        <v>45000</v>
      </c>
      <c r="V31" s="3080">
        <v>0</v>
      </c>
      <c r="W31" s="3086">
        <v>20000</v>
      </c>
      <c r="X31" s="3088">
        <f t="shared" si="2"/>
        <v>0</v>
      </c>
      <c r="Y31" s="3089">
        <f t="shared" si="3"/>
        <v>45000</v>
      </c>
      <c r="Z31" s="3090">
        <v>4</v>
      </c>
      <c r="AA31" s="3091">
        <v>0</v>
      </c>
      <c r="AB31" s="3087">
        <f t="shared" si="4"/>
        <v>0</v>
      </c>
      <c r="AC31" s="3092"/>
      <c r="AD31" s="3092"/>
      <c r="AE31" s="3093">
        <f t="shared" si="9"/>
        <v>0</v>
      </c>
      <c r="AF31" s="3094">
        <f t="shared" si="5"/>
        <v>45000</v>
      </c>
    </row>
    <row r="32" spans="1:32" s="3095" customFormat="1" ht="30" customHeight="1">
      <c r="A32" s="3082">
        <v>14</v>
      </c>
      <c r="B32" s="3083" t="s">
        <v>1210</v>
      </c>
      <c r="C32" s="3083" t="s">
        <v>1194</v>
      </c>
      <c r="D32" s="3083" t="s">
        <v>1208</v>
      </c>
      <c r="E32" s="3084" t="s">
        <v>1188</v>
      </c>
      <c r="F32" s="3084" t="s">
        <v>1189</v>
      </c>
      <c r="G32" s="3080" t="s">
        <v>1190</v>
      </c>
      <c r="H32" s="3084" t="s">
        <v>1187</v>
      </c>
      <c r="I32" s="3085"/>
      <c r="J32" s="3085"/>
      <c r="K32" s="3081">
        <v>3</v>
      </c>
      <c r="L32" s="3080"/>
      <c r="M32" s="3086">
        <v>15000</v>
      </c>
      <c r="N32" s="3087">
        <f t="shared" si="6"/>
        <v>0</v>
      </c>
      <c r="O32" s="3080">
        <v>0</v>
      </c>
      <c r="P32" s="3086">
        <v>20000</v>
      </c>
      <c r="Q32" s="3088">
        <f t="shared" si="0"/>
        <v>0</v>
      </c>
      <c r="R32" s="3089">
        <f t="shared" si="1"/>
        <v>0</v>
      </c>
      <c r="S32" s="3080">
        <f t="shared" si="7"/>
        <v>3</v>
      </c>
      <c r="T32" s="3086">
        <v>15000</v>
      </c>
      <c r="U32" s="3088">
        <f t="shared" si="8"/>
        <v>45000</v>
      </c>
      <c r="V32" s="3080">
        <v>0</v>
      </c>
      <c r="W32" s="3086">
        <v>20000</v>
      </c>
      <c r="X32" s="3088">
        <f t="shared" si="2"/>
        <v>0</v>
      </c>
      <c r="Y32" s="3089">
        <f t="shared" si="3"/>
        <v>45000</v>
      </c>
      <c r="Z32" s="3090">
        <v>4</v>
      </c>
      <c r="AA32" s="3091">
        <v>0</v>
      </c>
      <c r="AB32" s="3087">
        <f t="shared" si="4"/>
        <v>0</v>
      </c>
      <c r="AC32" s="3092"/>
      <c r="AD32" s="3092"/>
      <c r="AE32" s="3093">
        <f t="shared" si="9"/>
        <v>0</v>
      </c>
      <c r="AF32" s="3094">
        <f t="shared" si="5"/>
        <v>45000</v>
      </c>
    </row>
    <row r="33" spans="1:32" s="3095" customFormat="1" ht="30" customHeight="1">
      <c r="A33" s="3082">
        <v>15</v>
      </c>
      <c r="B33" s="3083" t="s">
        <v>1211</v>
      </c>
      <c r="C33" s="3083" t="s">
        <v>1202</v>
      </c>
      <c r="D33" s="3083" t="s">
        <v>1212</v>
      </c>
      <c r="E33" s="3084" t="s">
        <v>1188</v>
      </c>
      <c r="F33" s="3084" t="s">
        <v>1189</v>
      </c>
      <c r="G33" s="3080" t="s">
        <v>1190</v>
      </c>
      <c r="H33" s="3084" t="s">
        <v>1187</v>
      </c>
      <c r="I33" s="3085"/>
      <c r="J33" s="3085"/>
      <c r="K33" s="3081">
        <v>3</v>
      </c>
      <c r="L33" s="3080"/>
      <c r="M33" s="3086">
        <v>15000</v>
      </c>
      <c r="N33" s="3087">
        <f t="shared" si="6"/>
        <v>0</v>
      </c>
      <c r="O33" s="3080">
        <v>0</v>
      </c>
      <c r="P33" s="3086">
        <v>20000</v>
      </c>
      <c r="Q33" s="3088">
        <f t="shared" si="0"/>
        <v>0</v>
      </c>
      <c r="R33" s="3089">
        <f t="shared" si="1"/>
        <v>0</v>
      </c>
      <c r="S33" s="3080">
        <f t="shared" si="7"/>
        <v>3</v>
      </c>
      <c r="T33" s="3086">
        <v>15000</v>
      </c>
      <c r="U33" s="3088">
        <f t="shared" si="8"/>
        <v>45000</v>
      </c>
      <c r="V33" s="3080">
        <v>0</v>
      </c>
      <c r="W33" s="3086">
        <v>20000</v>
      </c>
      <c r="X33" s="3088">
        <f t="shared" si="2"/>
        <v>0</v>
      </c>
      <c r="Y33" s="3089">
        <f t="shared" si="3"/>
        <v>45000</v>
      </c>
      <c r="Z33" s="3090">
        <v>18</v>
      </c>
      <c r="AA33" s="3091">
        <v>150</v>
      </c>
      <c r="AB33" s="3087">
        <f t="shared" si="4"/>
        <v>2700</v>
      </c>
      <c r="AC33" s="3092"/>
      <c r="AD33" s="3092"/>
      <c r="AE33" s="3093">
        <f t="shared" si="9"/>
        <v>2700</v>
      </c>
      <c r="AF33" s="3094">
        <f t="shared" si="5"/>
        <v>47700</v>
      </c>
    </row>
    <row r="34" spans="1:32" s="3095" customFormat="1" ht="30" customHeight="1">
      <c r="A34" s="3082">
        <v>16</v>
      </c>
      <c r="B34" s="3083" t="s">
        <v>1213</v>
      </c>
      <c r="C34" s="3083" t="s">
        <v>1186</v>
      </c>
      <c r="D34" s="3083" t="s">
        <v>1212</v>
      </c>
      <c r="E34" s="3084" t="s">
        <v>1188</v>
      </c>
      <c r="F34" s="3084" t="s">
        <v>1189</v>
      </c>
      <c r="G34" s="3080" t="s">
        <v>1190</v>
      </c>
      <c r="H34" s="3084" t="s">
        <v>1187</v>
      </c>
      <c r="I34" s="3085"/>
      <c r="J34" s="3085"/>
      <c r="K34" s="3081">
        <v>3</v>
      </c>
      <c r="L34" s="3080"/>
      <c r="M34" s="3086">
        <v>15000</v>
      </c>
      <c r="N34" s="3087">
        <f t="shared" si="6"/>
        <v>0</v>
      </c>
      <c r="O34" s="3080">
        <v>0</v>
      </c>
      <c r="P34" s="3086">
        <v>20000</v>
      </c>
      <c r="Q34" s="3088">
        <f t="shared" si="0"/>
        <v>0</v>
      </c>
      <c r="R34" s="3089">
        <f t="shared" si="1"/>
        <v>0</v>
      </c>
      <c r="S34" s="3080">
        <f t="shared" si="7"/>
        <v>3</v>
      </c>
      <c r="T34" s="3086">
        <v>15000</v>
      </c>
      <c r="U34" s="3088">
        <f t="shared" si="8"/>
        <v>45000</v>
      </c>
      <c r="V34" s="3080">
        <v>0</v>
      </c>
      <c r="W34" s="3086">
        <v>20000</v>
      </c>
      <c r="X34" s="3088">
        <f t="shared" si="2"/>
        <v>0</v>
      </c>
      <c r="Y34" s="3089">
        <f t="shared" si="3"/>
        <v>45000</v>
      </c>
      <c r="Z34" s="3090">
        <v>18</v>
      </c>
      <c r="AA34" s="3091">
        <v>150</v>
      </c>
      <c r="AB34" s="3087">
        <f t="shared" si="4"/>
        <v>2700</v>
      </c>
      <c r="AC34" s="3092"/>
      <c r="AD34" s="3092"/>
      <c r="AE34" s="3093">
        <f t="shared" si="9"/>
        <v>2700</v>
      </c>
      <c r="AF34" s="3094">
        <f t="shared" si="5"/>
        <v>47700</v>
      </c>
    </row>
    <row r="35" spans="1:32" s="3095" customFormat="1" ht="30" customHeight="1">
      <c r="A35" s="3082">
        <v>17</v>
      </c>
      <c r="B35" s="3083" t="s">
        <v>1214</v>
      </c>
      <c r="C35" s="3083" t="s">
        <v>1194</v>
      </c>
      <c r="D35" s="3083" t="s">
        <v>1215</v>
      </c>
      <c r="E35" s="3084" t="s">
        <v>1188</v>
      </c>
      <c r="F35" s="3084" t="s">
        <v>1189</v>
      </c>
      <c r="G35" s="3080" t="s">
        <v>1190</v>
      </c>
      <c r="H35" s="3084" t="s">
        <v>1187</v>
      </c>
      <c r="I35" s="3085"/>
      <c r="J35" s="3085"/>
      <c r="K35" s="3081">
        <v>3</v>
      </c>
      <c r="L35" s="3080"/>
      <c r="M35" s="3086">
        <v>15000</v>
      </c>
      <c r="N35" s="3087">
        <v>0</v>
      </c>
      <c r="O35" s="3080">
        <v>0</v>
      </c>
      <c r="P35" s="3086">
        <v>20000</v>
      </c>
      <c r="Q35" s="3088">
        <v>0</v>
      </c>
      <c r="R35" s="3089">
        <v>0</v>
      </c>
      <c r="S35" s="3080">
        <v>3</v>
      </c>
      <c r="T35" s="3086">
        <v>15000</v>
      </c>
      <c r="U35" s="3088">
        <v>45000</v>
      </c>
      <c r="V35" s="3080">
        <v>0</v>
      </c>
      <c r="W35" s="3086">
        <v>20000</v>
      </c>
      <c r="X35" s="3088">
        <v>0</v>
      </c>
      <c r="Y35" s="3089">
        <v>45000</v>
      </c>
      <c r="Z35" s="3090">
        <v>16</v>
      </c>
      <c r="AA35" s="3091">
        <v>150</v>
      </c>
      <c r="AB35" s="3087">
        <f t="shared" si="4"/>
        <v>2400</v>
      </c>
      <c r="AC35" s="3092"/>
      <c r="AD35" s="3092"/>
      <c r="AE35" s="3093">
        <f t="shared" si="9"/>
        <v>2400</v>
      </c>
      <c r="AF35" s="3094">
        <f t="shared" si="5"/>
        <v>47400</v>
      </c>
    </row>
    <row r="36" spans="1:32" s="3095" customFormat="1" ht="30" customHeight="1">
      <c r="A36" s="3082">
        <v>18</v>
      </c>
      <c r="B36" s="3083" t="s">
        <v>1216</v>
      </c>
      <c r="C36" s="3083" t="s">
        <v>1196</v>
      </c>
      <c r="D36" s="3083" t="s">
        <v>1215</v>
      </c>
      <c r="E36" s="3084" t="s">
        <v>1188</v>
      </c>
      <c r="F36" s="3084" t="s">
        <v>1189</v>
      </c>
      <c r="G36" s="3080" t="s">
        <v>1190</v>
      </c>
      <c r="H36" s="3084" t="s">
        <v>1187</v>
      </c>
      <c r="I36" s="3085"/>
      <c r="J36" s="3085"/>
      <c r="K36" s="3081">
        <v>3</v>
      </c>
      <c r="L36" s="3080"/>
      <c r="M36" s="3086">
        <v>15000</v>
      </c>
      <c r="N36" s="3087">
        <v>0</v>
      </c>
      <c r="O36" s="3080">
        <v>0</v>
      </c>
      <c r="P36" s="3086">
        <v>20000</v>
      </c>
      <c r="Q36" s="3088">
        <v>0</v>
      </c>
      <c r="R36" s="3089">
        <v>0</v>
      </c>
      <c r="S36" s="3080">
        <v>3</v>
      </c>
      <c r="T36" s="3086">
        <v>15000</v>
      </c>
      <c r="U36" s="3088">
        <v>45000</v>
      </c>
      <c r="V36" s="3080">
        <v>0</v>
      </c>
      <c r="W36" s="3086">
        <v>20000</v>
      </c>
      <c r="X36" s="3088">
        <v>0</v>
      </c>
      <c r="Y36" s="3089">
        <v>45000</v>
      </c>
      <c r="Z36" s="3090">
        <v>16</v>
      </c>
      <c r="AA36" s="3091">
        <v>150</v>
      </c>
      <c r="AB36" s="3087">
        <f t="shared" si="4"/>
        <v>2400</v>
      </c>
      <c r="AC36" s="3092"/>
      <c r="AD36" s="3092"/>
      <c r="AE36" s="3093">
        <f t="shared" si="9"/>
        <v>2400</v>
      </c>
      <c r="AF36" s="3094">
        <f t="shared" si="5"/>
        <v>47400</v>
      </c>
    </row>
    <row r="37" spans="1:32" s="3095" customFormat="1" ht="30" customHeight="1">
      <c r="A37" s="3082">
        <v>19</v>
      </c>
      <c r="B37" s="3083" t="s">
        <v>1217</v>
      </c>
      <c r="C37" s="3083" t="s">
        <v>1192</v>
      </c>
      <c r="D37" s="3083" t="s">
        <v>1218</v>
      </c>
      <c r="E37" s="3084" t="s">
        <v>1188</v>
      </c>
      <c r="F37" s="3084" t="s">
        <v>1189</v>
      </c>
      <c r="G37" s="3080" t="s">
        <v>1190</v>
      </c>
      <c r="H37" s="3084" t="s">
        <v>1187</v>
      </c>
      <c r="I37" s="3085"/>
      <c r="J37" s="3085"/>
      <c r="K37" s="3081">
        <v>3</v>
      </c>
      <c r="L37" s="3080"/>
      <c r="M37" s="3086">
        <v>15000</v>
      </c>
      <c r="N37" s="3087">
        <f t="shared" si="6"/>
        <v>0</v>
      </c>
      <c r="O37" s="3080">
        <v>0</v>
      </c>
      <c r="P37" s="3086">
        <v>20000</v>
      </c>
      <c r="Q37" s="3088">
        <f t="shared" si="0"/>
        <v>0</v>
      </c>
      <c r="R37" s="3089">
        <f t="shared" si="1"/>
        <v>0</v>
      </c>
      <c r="S37" s="3080">
        <f t="shared" si="7"/>
        <v>3</v>
      </c>
      <c r="T37" s="3086">
        <v>15000</v>
      </c>
      <c r="U37" s="3088">
        <f t="shared" si="8"/>
        <v>45000</v>
      </c>
      <c r="V37" s="3080">
        <v>0</v>
      </c>
      <c r="W37" s="3086">
        <v>20000</v>
      </c>
      <c r="X37" s="3088">
        <f t="shared" si="2"/>
        <v>0</v>
      </c>
      <c r="Y37" s="3089">
        <f t="shared" si="3"/>
        <v>45000</v>
      </c>
      <c r="Z37" s="3090">
        <v>22</v>
      </c>
      <c r="AA37" s="3091">
        <v>150</v>
      </c>
      <c r="AB37" s="3087">
        <f t="shared" si="4"/>
        <v>3300</v>
      </c>
      <c r="AC37" s="3092"/>
      <c r="AD37" s="3092"/>
      <c r="AE37" s="3093">
        <f t="shared" si="9"/>
        <v>3300</v>
      </c>
      <c r="AF37" s="3094">
        <f t="shared" si="5"/>
        <v>48300</v>
      </c>
    </row>
    <row r="38" spans="1:32" s="3095" customFormat="1" ht="30" customHeight="1">
      <c r="A38" s="3082">
        <v>20</v>
      </c>
      <c r="B38" s="3083" t="s">
        <v>1219</v>
      </c>
      <c r="C38" s="3083" t="s">
        <v>1202</v>
      </c>
      <c r="D38" s="3083" t="s">
        <v>1218</v>
      </c>
      <c r="E38" s="3084" t="s">
        <v>1188</v>
      </c>
      <c r="F38" s="3084" t="s">
        <v>1189</v>
      </c>
      <c r="G38" s="3080" t="s">
        <v>1190</v>
      </c>
      <c r="H38" s="3084" t="s">
        <v>1187</v>
      </c>
      <c r="I38" s="3085"/>
      <c r="J38" s="3085"/>
      <c r="K38" s="3081">
        <v>3</v>
      </c>
      <c r="L38" s="3080"/>
      <c r="M38" s="3086">
        <v>15000</v>
      </c>
      <c r="N38" s="3087">
        <v>0</v>
      </c>
      <c r="O38" s="3080">
        <v>0</v>
      </c>
      <c r="P38" s="3086">
        <v>20000</v>
      </c>
      <c r="Q38" s="3088">
        <v>0</v>
      </c>
      <c r="R38" s="3089">
        <v>0</v>
      </c>
      <c r="S38" s="3080">
        <v>3</v>
      </c>
      <c r="T38" s="3086">
        <v>15000</v>
      </c>
      <c r="U38" s="3088">
        <v>45000</v>
      </c>
      <c r="V38" s="3080">
        <v>0</v>
      </c>
      <c r="W38" s="3086">
        <v>20000</v>
      </c>
      <c r="X38" s="3088">
        <v>0</v>
      </c>
      <c r="Y38" s="3089">
        <v>45000</v>
      </c>
      <c r="Z38" s="3090">
        <v>22</v>
      </c>
      <c r="AA38" s="3091">
        <v>150</v>
      </c>
      <c r="AB38" s="3087">
        <v>3300</v>
      </c>
      <c r="AC38" s="3092"/>
      <c r="AD38" s="3092"/>
      <c r="AE38" s="3093">
        <v>3300</v>
      </c>
      <c r="AF38" s="3094">
        <v>48300</v>
      </c>
    </row>
    <row r="39" spans="1:32" s="3095" customFormat="1" ht="30" customHeight="1">
      <c r="A39" s="3082">
        <v>21</v>
      </c>
      <c r="B39" s="3083" t="s">
        <v>1220</v>
      </c>
      <c r="C39" s="3083" t="s">
        <v>1196</v>
      </c>
      <c r="D39" s="3083" t="s">
        <v>1221</v>
      </c>
      <c r="E39" s="3084" t="s">
        <v>1188</v>
      </c>
      <c r="F39" s="3084" t="s">
        <v>1189</v>
      </c>
      <c r="G39" s="3080" t="s">
        <v>1190</v>
      </c>
      <c r="H39" s="3084" t="s">
        <v>1187</v>
      </c>
      <c r="I39" s="3085"/>
      <c r="J39" s="3085"/>
      <c r="K39" s="3081">
        <v>3</v>
      </c>
      <c r="L39" s="3080"/>
      <c r="M39" s="3086">
        <v>15000</v>
      </c>
      <c r="N39" s="3087">
        <f t="shared" si="6"/>
        <v>0</v>
      </c>
      <c r="O39" s="3080">
        <v>0</v>
      </c>
      <c r="P39" s="3086">
        <v>20000</v>
      </c>
      <c r="Q39" s="3088">
        <f t="shared" si="0"/>
        <v>0</v>
      </c>
      <c r="R39" s="3089">
        <f t="shared" si="1"/>
        <v>0</v>
      </c>
      <c r="S39" s="3080">
        <f t="shared" si="7"/>
        <v>3</v>
      </c>
      <c r="T39" s="3086">
        <v>15000</v>
      </c>
      <c r="U39" s="3088">
        <f t="shared" si="8"/>
        <v>45000</v>
      </c>
      <c r="V39" s="3080">
        <v>0</v>
      </c>
      <c r="W39" s="3086">
        <v>20000</v>
      </c>
      <c r="X39" s="3088">
        <f t="shared" si="2"/>
        <v>0</v>
      </c>
      <c r="Y39" s="3089">
        <f t="shared" si="3"/>
        <v>45000</v>
      </c>
      <c r="Z39" s="3090">
        <v>14</v>
      </c>
      <c r="AA39" s="3091">
        <v>150</v>
      </c>
      <c r="AB39" s="3087">
        <f t="shared" si="4"/>
        <v>2100</v>
      </c>
      <c r="AC39" s="3092"/>
      <c r="AD39" s="3092"/>
      <c r="AE39" s="3093">
        <f t="shared" si="9"/>
        <v>2100</v>
      </c>
      <c r="AF39" s="3094">
        <f t="shared" si="5"/>
        <v>47100</v>
      </c>
    </row>
    <row r="40" spans="1:32" s="3095" customFormat="1" ht="30" customHeight="1">
      <c r="A40" s="3082">
        <v>22</v>
      </c>
      <c r="B40" s="3083" t="s">
        <v>1222</v>
      </c>
      <c r="C40" s="3083" t="s">
        <v>1194</v>
      </c>
      <c r="D40" s="3083" t="s">
        <v>1221</v>
      </c>
      <c r="E40" s="3084" t="s">
        <v>1188</v>
      </c>
      <c r="F40" s="3084" t="s">
        <v>1189</v>
      </c>
      <c r="G40" s="3080" t="s">
        <v>1190</v>
      </c>
      <c r="H40" s="3084" t="s">
        <v>1187</v>
      </c>
      <c r="I40" s="3085"/>
      <c r="J40" s="3085"/>
      <c r="K40" s="3081">
        <v>3</v>
      </c>
      <c r="L40" s="3080"/>
      <c r="M40" s="3086">
        <v>15000</v>
      </c>
      <c r="N40" s="3087">
        <f t="shared" si="6"/>
        <v>0</v>
      </c>
      <c r="O40" s="3080">
        <v>0</v>
      </c>
      <c r="P40" s="3086">
        <v>20000</v>
      </c>
      <c r="Q40" s="3088">
        <f t="shared" si="0"/>
        <v>0</v>
      </c>
      <c r="R40" s="3089">
        <f t="shared" si="1"/>
        <v>0</v>
      </c>
      <c r="S40" s="3080">
        <f t="shared" si="7"/>
        <v>3</v>
      </c>
      <c r="T40" s="3086">
        <v>15000</v>
      </c>
      <c r="U40" s="3088">
        <f t="shared" si="8"/>
        <v>45000</v>
      </c>
      <c r="V40" s="3080">
        <v>0</v>
      </c>
      <c r="W40" s="3086">
        <v>20000</v>
      </c>
      <c r="X40" s="3088">
        <f t="shared" si="2"/>
        <v>0</v>
      </c>
      <c r="Y40" s="3089">
        <f t="shared" si="3"/>
        <v>45000</v>
      </c>
      <c r="Z40" s="3090">
        <v>14</v>
      </c>
      <c r="AA40" s="3091">
        <v>150</v>
      </c>
      <c r="AB40" s="3087">
        <f t="shared" si="4"/>
        <v>2100</v>
      </c>
      <c r="AC40" s="3092"/>
      <c r="AD40" s="3092"/>
      <c r="AE40" s="3093">
        <f t="shared" si="9"/>
        <v>2100</v>
      </c>
      <c r="AF40" s="3094">
        <f t="shared" si="5"/>
        <v>47100</v>
      </c>
    </row>
    <row r="41" spans="1:32" s="3095" customFormat="1" ht="30" customHeight="1">
      <c r="A41" s="3082">
        <v>23</v>
      </c>
      <c r="B41" s="3083" t="s">
        <v>1223</v>
      </c>
      <c r="C41" s="3083" t="s">
        <v>1192</v>
      </c>
      <c r="D41" s="3083" t="s">
        <v>1221</v>
      </c>
      <c r="E41" s="3084" t="s">
        <v>1188</v>
      </c>
      <c r="F41" s="3084" t="s">
        <v>1189</v>
      </c>
      <c r="G41" s="3080" t="s">
        <v>1190</v>
      </c>
      <c r="H41" s="3084" t="s">
        <v>1187</v>
      </c>
      <c r="I41" s="3085"/>
      <c r="J41" s="3085"/>
      <c r="K41" s="3081">
        <v>3</v>
      </c>
      <c r="L41" s="3080"/>
      <c r="M41" s="3086">
        <v>15000</v>
      </c>
      <c r="N41" s="3087">
        <f t="shared" si="6"/>
        <v>0</v>
      </c>
      <c r="O41" s="3080">
        <v>0</v>
      </c>
      <c r="P41" s="3086">
        <v>20000</v>
      </c>
      <c r="Q41" s="3088">
        <f t="shared" si="0"/>
        <v>0</v>
      </c>
      <c r="R41" s="3089">
        <f t="shared" si="1"/>
        <v>0</v>
      </c>
      <c r="S41" s="3080">
        <f t="shared" si="7"/>
        <v>3</v>
      </c>
      <c r="T41" s="3086">
        <v>15000</v>
      </c>
      <c r="U41" s="3088">
        <f t="shared" si="8"/>
        <v>45000</v>
      </c>
      <c r="V41" s="3080">
        <v>0</v>
      </c>
      <c r="W41" s="3086">
        <v>20000</v>
      </c>
      <c r="X41" s="3088">
        <f t="shared" si="2"/>
        <v>0</v>
      </c>
      <c r="Y41" s="3089">
        <f t="shared" si="3"/>
        <v>45000</v>
      </c>
      <c r="Z41" s="3090">
        <v>2</v>
      </c>
      <c r="AA41" s="3091">
        <v>0</v>
      </c>
      <c r="AB41" s="3087">
        <f t="shared" si="4"/>
        <v>0</v>
      </c>
      <c r="AC41" s="3092"/>
      <c r="AD41" s="3092"/>
      <c r="AE41" s="3093">
        <f t="shared" si="9"/>
        <v>0</v>
      </c>
      <c r="AF41" s="3094">
        <f t="shared" si="5"/>
        <v>45000</v>
      </c>
    </row>
    <row r="42" spans="1:32" s="3095" customFormat="1" ht="30" customHeight="1">
      <c r="A42" s="3082">
        <v>24</v>
      </c>
      <c r="B42" s="3083" t="s">
        <v>1224</v>
      </c>
      <c r="C42" s="3083" t="s">
        <v>1196</v>
      </c>
      <c r="D42" s="3083" t="s">
        <v>1225</v>
      </c>
      <c r="E42" s="3084" t="s">
        <v>1188</v>
      </c>
      <c r="F42" s="3084" t="s">
        <v>1189</v>
      </c>
      <c r="G42" s="3080" t="s">
        <v>1190</v>
      </c>
      <c r="H42" s="3084" t="s">
        <v>1187</v>
      </c>
      <c r="I42" s="3085"/>
      <c r="J42" s="3085"/>
      <c r="K42" s="3081">
        <v>3</v>
      </c>
      <c r="L42" s="3080"/>
      <c r="M42" s="3086">
        <v>15000</v>
      </c>
      <c r="N42" s="3087">
        <f>M42*L42</f>
        <v>0</v>
      </c>
      <c r="O42" s="3080">
        <v>0</v>
      </c>
      <c r="P42" s="3086">
        <v>20000</v>
      </c>
      <c r="Q42" s="3088">
        <f t="shared" si="0"/>
        <v>0</v>
      </c>
      <c r="R42" s="3089">
        <f t="shared" si="1"/>
        <v>0</v>
      </c>
      <c r="S42" s="3080">
        <f>+K42</f>
        <v>3</v>
      </c>
      <c r="T42" s="3086">
        <v>15000</v>
      </c>
      <c r="U42" s="3088">
        <f>T42*S42</f>
        <v>45000</v>
      </c>
      <c r="V42" s="3080">
        <v>0</v>
      </c>
      <c r="W42" s="3086">
        <v>20000</v>
      </c>
      <c r="X42" s="3088">
        <f t="shared" si="2"/>
        <v>0</v>
      </c>
      <c r="Y42" s="3089">
        <f t="shared" si="3"/>
        <v>45000</v>
      </c>
      <c r="Z42" s="3090">
        <v>10</v>
      </c>
      <c r="AA42" s="3091">
        <v>150</v>
      </c>
      <c r="AB42" s="3087">
        <f t="shared" si="4"/>
        <v>1500</v>
      </c>
      <c r="AC42" s="3092"/>
      <c r="AD42" s="3092"/>
      <c r="AE42" s="3093">
        <f>AB42</f>
        <v>1500</v>
      </c>
      <c r="AF42" s="3094">
        <f t="shared" si="5"/>
        <v>46500</v>
      </c>
    </row>
    <row r="43" spans="1:32" s="3095" customFormat="1" ht="30" customHeight="1">
      <c r="A43" s="3082">
        <v>25</v>
      </c>
      <c r="B43" s="3083" t="s">
        <v>1226</v>
      </c>
      <c r="C43" s="3083" t="s">
        <v>1196</v>
      </c>
      <c r="D43" s="3083" t="s">
        <v>1225</v>
      </c>
      <c r="E43" s="3084" t="s">
        <v>1188</v>
      </c>
      <c r="F43" s="3084" t="s">
        <v>1189</v>
      </c>
      <c r="G43" s="3080" t="s">
        <v>1190</v>
      </c>
      <c r="H43" s="3084" t="s">
        <v>1187</v>
      </c>
      <c r="I43" s="3085"/>
      <c r="J43" s="3085"/>
      <c r="K43" s="3081">
        <v>3</v>
      </c>
      <c r="L43" s="3080"/>
      <c r="M43" s="3086">
        <v>15000</v>
      </c>
      <c r="N43" s="3087">
        <f t="shared" ref="N43:N53" si="10">M43*L43</f>
        <v>0</v>
      </c>
      <c r="O43" s="3080">
        <v>0</v>
      </c>
      <c r="P43" s="3086">
        <v>20000</v>
      </c>
      <c r="Q43" s="3088">
        <f t="shared" si="0"/>
        <v>0</v>
      </c>
      <c r="R43" s="3089">
        <f t="shared" si="1"/>
        <v>0</v>
      </c>
      <c r="S43" s="3080">
        <f t="shared" ref="S43:S53" si="11">+K43</f>
        <v>3</v>
      </c>
      <c r="T43" s="3086">
        <v>15000</v>
      </c>
      <c r="U43" s="3088">
        <f t="shared" ref="U43:U53" si="12">T43*S43</f>
        <v>45000</v>
      </c>
      <c r="V43" s="3080">
        <v>0</v>
      </c>
      <c r="W43" s="3086">
        <v>20000</v>
      </c>
      <c r="X43" s="3088">
        <f t="shared" si="2"/>
        <v>0</v>
      </c>
      <c r="Y43" s="3089">
        <f t="shared" si="3"/>
        <v>45000</v>
      </c>
      <c r="Z43" s="3090">
        <v>10</v>
      </c>
      <c r="AA43" s="3091">
        <v>150</v>
      </c>
      <c r="AB43" s="3087">
        <f t="shared" si="4"/>
        <v>1500</v>
      </c>
      <c r="AC43" s="3092"/>
      <c r="AD43" s="3092"/>
      <c r="AE43" s="3093">
        <f t="shared" ref="AE43:AE53" si="13">AB43</f>
        <v>1500</v>
      </c>
      <c r="AF43" s="3094">
        <f t="shared" si="5"/>
        <v>46500</v>
      </c>
    </row>
    <row r="44" spans="1:32" s="3095" customFormat="1" ht="30" customHeight="1">
      <c r="A44" s="3082">
        <v>26</v>
      </c>
      <c r="B44" s="3083" t="s">
        <v>1227</v>
      </c>
      <c r="C44" s="3083" t="s">
        <v>1192</v>
      </c>
      <c r="D44" s="3083" t="s">
        <v>1225</v>
      </c>
      <c r="E44" s="3084" t="s">
        <v>1188</v>
      </c>
      <c r="F44" s="3084" t="s">
        <v>1189</v>
      </c>
      <c r="G44" s="3080" t="s">
        <v>1190</v>
      </c>
      <c r="H44" s="3084" t="s">
        <v>1187</v>
      </c>
      <c r="I44" s="3085"/>
      <c r="J44" s="3085"/>
      <c r="K44" s="3081">
        <v>3</v>
      </c>
      <c r="L44" s="3080"/>
      <c r="M44" s="3086">
        <v>15000</v>
      </c>
      <c r="N44" s="3087">
        <f t="shared" si="10"/>
        <v>0</v>
      </c>
      <c r="O44" s="3080">
        <v>0</v>
      </c>
      <c r="P44" s="3086">
        <v>20000</v>
      </c>
      <c r="Q44" s="3088">
        <f t="shared" si="0"/>
        <v>0</v>
      </c>
      <c r="R44" s="3089">
        <f t="shared" si="1"/>
        <v>0</v>
      </c>
      <c r="S44" s="3080">
        <f t="shared" si="11"/>
        <v>3</v>
      </c>
      <c r="T44" s="3086">
        <v>15000</v>
      </c>
      <c r="U44" s="3088">
        <f t="shared" si="12"/>
        <v>45000</v>
      </c>
      <c r="V44" s="3080">
        <v>0</v>
      </c>
      <c r="W44" s="3086">
        <v>20000</v>
      </c>
      <c r="X44" s="3088">
        <f t="shared" si="2"/>
        <v>0</v>
      </c>
      <c r="Y44" s="3089">
        <f t="shared" si="3"/>
        <v>45000</v>
      </c>
      <c r="Z44" s="3090">
        <v>10</v>
      </c>
      <c r="AA44" s="3091">
        <v>150</v>
      </c>
      <c r="AB44" s="3087">
        <f t="shared" si="4"/>
        <v>1500</v>
      </c>
      <c r="AC44" s="3092"/>
      <c r="AD44" s="3092"/>
      <c r="AE44" s="3093">
        <f t="shared" si="13"/>
        <v>1500</v>
      </c>
      <c r="AF44" s="3094">
        <f t="shared" si="5"/>
        <v>46500</v>
      </c>
    </row>
    <row r="45" spans="1:32" s="3095" customFormat="1" ht="30" customHeight="1">
      <c r="A45" s="3082">
        <v>27</v>
      </c>
      <c r="B45" s="3083" t="s">
        <v>1228</v>
      </c>
      <c r="C45" s="3083" t="s">
        <v>1192</v>
      </c>
      <c r="D45" s="3083" t="s">
        <v>1229</v>
      </c>
      <c r="E45" s="3084" t="s">
        <v>1188</v>
      </c>
      <c r="F45" s="3084" t="s">
        <v>1189</v>
      </c>
      <c r="G45" s="3080" t="s">
        <v>1190</v>
      </c>
      <c r="H45" s="3084" t="s">
        <v>1187</v>
      </c>
      <c r="I45" s="3085"/>
      <c r="J45" s="3085"/>
      <c r="K45" s="3081">
        <v>3</v>
      </c>
      <c r="L45" s="3080"/>
      <c r="M45" s="3086">
        <v>15000</v>
      </c>
      <c r="N45" s="3087">
        <f t="shared" si="10"/>
        <v>0</v>
      </c>
      <c r="O45" s="3080">
        <v>0</v>
      </c>
      <c r="P45" s="3086">
        <v>20000</v>
      </c>
      <c r="Q45" s="3088">
        <f t="shared" si="0"/>
        <v>0</v>
      </c>
      <c r="R45" s="3089">
        <f t="shared" si="1"/>
        <v>0</v>
      </c>
      <c r="S45" s="3080">
        <f t="shared" si="11"/>
        <v>3</v>
      </c>
      <c r="T45" s="3086">
        <v>15000</v>
      </c>
      <c r="U45" s="3088">
        <f t="shared" si="12"/>
        <v>45000</v>
      </c>
      <c r="V45" s="3080">
        <v>0</v>
      </c>
      <c r="W45" s="3086">
        <v>20000</v>
      </c>
      <c r="X45" s="3088">
        <f t="shared" si="2"/>
        <v>0</v>
      </c>
      <c r="Y45" s="3089">
        <f t="shared" si="3"/>
        <v>45000</v>
      </c>
      <c r="Z45" s="3090">
        <v>18</v>
      </c>
      <c r="AA45" s="3091">
        <v>150</v>
      </c>
      <c r="AB45" s="3087">
        <f t="shared" si="4"/>
        <v>2700</v>
      </c>
      <c r="AC45" s="3092"/>
      <c r="AD45" s="3092"/>
      <c r="AE45" s="3093">
        <f t="shared" si="13"/>
        <v>2700</v>
      </c>
      <c r="AF45" s="3094">
        <f t="shared" si="5"/>
        <v>47700</v>
      </c>
    </row>
    <row r="46" spans="1:32" s="3095" customFormat="1" ht="30" customHeight="1">
      <c r="A46" s="3082">
        <v>28</v>
      </c>
      <c r="B46" s="3083" t="s">
        <v>1230</v>
      </c>
      <c r="C46" s="3083" t="s">
        <v>1194</v>
      </c>
      <c r="D46" s="3083" t="s">
        <v>1229</v>
      </c>
      <c r="E46" s="3084" t="s">
        <v>1188</v>
      </c>
      <c r="F46" s="3084" t="s">
        <v>1189</v>
      </c>
      <c r="G46" s="3080" t="s">
        <v>1190</v>
      </c>
      <c r="H46" s="3084" t="s">
        <v>1187</v>
      </c>
      <c r="I46" s="3085"/>
      <c r="J46" s="3085"/>
      <c r="K46" s="3081">
        <v>3</v>
      </c>
      <c r="L46" s="3080"/>
      <c r="M46" s="3086">
        <v>15000</v>
      </c>
      <c r="N46" s="3087">
        <f t="shared" si="10"/>
        <v>0</v>
      </c>
      <c r="O46" s="3080">
        <v>0</v>
      </c>
      <c r="P46" s="3086">
        <v>20000</v>
      </c>
      <c r="Q46" s="3088">
        <f t="shared" si="0"/>
        <v>0</v>
      </c>
      <c r="R46" s="3089">
        <f t="shared" si="1"/>
        <v>0</v>
      </c>
      <c r="S46" s="3080">
        <f t="shared" si="11"/>
        <v>3</v>
      </c>
      <c r="T46" s="3086">
        <v>15000</v>
      </c>
      <c r="U46" s="3088">
        <f t="shared" si="12"/>
        <v>45000</v>
      </c>
      <c r="V46" s="3080">
        <v>0</v>
      </c>
      <c r="W46" s="3086">
        <v>20000</v>
      </c>
      <c r="X46" s="3088">
        <f t="shared" si="2"/>
        <v>0</v>
      </c>
      <c r="Y46" s="3089">
        <f t="shared" si="3"/>
        <v>45000</v>
      </c>
      <c r="Z46" s="3090">
        <v>18</v>
      </c>
      <c r="AA46" s="3091">
        <v>150</v>
      </c>
      <c r="AB46" s="3087">
        <f t="shared" si="4"/>
        <v>2700</v>
      </c>
      <c r="AC46" s="3092"/>
      <c r="AD46" s="3092"/>
      <c r="AE46" s="3093">
        <f t="shared" si="13"/>
        <v>2700</v>
      </c>
      <c r="AF46" s="3094">
        <f t="shared" si="5"/>
        <v>47700</v>
      </c>
    </row>
    <row r="47" spans="1:32" s="3095" customFormat="1" ht="30" customHeight="1">
      <c r="A47" s="3082">
        <v>29</v>
      </c>
      <c r="B47" s="3083" t="s">
        <v>1231</v>
      </c>
      <c r="C47" s="3083" t="s">
        <v>1202</v>
      </c>
      <c r="D47" s="3083" t="s">
        <v>1232</v>
      </c>
      <c r="E47" s="3084" t="s">
        <v>1188</v>
      </c>
      <c r="F47" s="3084" t="s">
        <v>1189</v>
      </c>
      <c r="G47" s="3080" t="s">
        <v>1190</v>
      </c>
      <c r="H47" s="3084" t="s">
        <v>1187</v>
      </c>
      <c r="I47" s="3085"/>
      <c r="J47" s="3085"/>
      <c r="K47" s="3081">
        <v>3</v>
      </c>
      <c r="L47" s="3080"/>
      <c r="M47" s="3086">
        <v>15000</v>
      </c>
      <c r="N47" s="3087">
        <f t="shared" si="10"/>
        <v>0</v>
      </c>
      <c r="O47" s="3080">
        <v>0</v>
      </c>
      <c r="P47" s="3086">
        <v>20000</v>
      </c>
      <c r="Q47" s="3088">
        <f t="shared" si="0"/>
        <v>0</v>
      </c>
      <c r="R47" s="3089">
        <f t="shared" si="1"/>
        <v>0</v>
      </c>
      <c r="S47" s="3080">
        <f t="shared" si="11"/>
        <v>3</v>
      </c>
      <c r="T47" s="3086">
        <v>15000</v>
      </c>
      <c r="U47" s="3088">
        <f t="shared" si="12"/>
        <v>45000</v>
      </c>
      <c r="V47" s="3080">
        <v>0</v>
      </c>
      <c r="W47" s="3086">
        <v>20000</v>
      </c>
      <c r="X47" s="3088">
        <f t="shared" si="2"/>
        <v>0</v>
      </c>
      <c r="Y47" s="3089">
        <f t="shared" si="3"/>
        <v>45000</v>
      </c>
      <c r="Z47" s="3090">
        <v>20</v>
      </c>
      <c r="AA47" s="3091">
        <v>150</v>
      </c>
      <c r="AB47" s="3087">
        <f t="shared" si="4"/>
        <v>3000</v>
      </c>
      <c r="AC47" s="3092"/>
      <c r="AD47" s="3092"/>
      <c r="AE47" s="3093">
        <f t="shared" si="13"/>
        <v>3000</v>
      </c>
      <c r="AF47" s="3094">
        <f t="shared" si="5"/>
        <v>48000</v>
      </c>
    </row>
    <row r="48" spans="1:32" s="3095" customFormat="1" ht="30" customHeight="1">
      <c r="A48" s="3082">
        <v>30</v>
      </c>
      <c r="B48" s="3083" t="s">
        <v>1233</v>
      </c>
      <c r="C48" s="3083" t="s">
        <v>1186</v>
      </c>
      <c r="D48" s="3083" t="s">
        <v>1232</v>
      </c>
      <c r="E48" s="3084" t="s">
        <v>1188</v>
      </c>
      <c r="F48" s="3084" t="s">
        <v>1189</v>
      </c>
      <c r="G48" s="3080" t="s">
        <v>1190</v>
      </c>
      <c r="H48" s="3084" t="s">
        <v>1187</v>
      </c>
      <c r="I48" s="3085"/>
      <c r="J48" s="3085"/>
      <c r="K48" s="3081">
        <v>3</v>
      </c>
      <c r="L48" s="3080"/>
      <c r="M48" s="3086">
        <v>15000</v>
      </c>
      <c r="N48" s="3087">
        <f t="shared" si="10"/>
        <v>0</v>
      </c>
      <c r="O48" s="3080">
        <v>0</v>
      </c>
      <c r="P48" s="3086">
        <v>20000</v>
      </c>
      <c r="Q48" s="3088">
        <f t="shared" si="0"/>
        <v>0</v>
      </c>
      <c r="R48" s="3089">
        <f t="shared" si="1"/>
        <v>0</v>
      </c>
      <c r="S48" s="3080">
        <f t="shared" si="11"/>
        <v>3</v>
      </c>
      <c r="T48" s="3086">
        <v>15000</v>
      </c>
      <c r="U48" s="3088">
        <f t="shared" si="12"/>
        <v>45000</v>
      </c>
      <c r="V48" s="3080">
        <v>0</v>
      </c>
      <c r="W48" s="3086">
        <v>20000</v>
      </c>
      <c r="X48" s="3088">
        <f t="shared" si="2"/>
        <v>0</v>
      </c>
      <c r="Y48" s="3089">
        <f t="shared" si="3"/>
        <v>45000</v>
      </c>
      <c r="Z48" s="3090">
        <v>20</v>
      </c>
      <c r="AA48" s="3091">
        <v>150</v>
      </c>
      <c r="AB48" s="3087">
        <f t="shared" si="4"/>
        <v>3000</v>
      </c>
      <c r="AC48" s="3092"/>
      <c r="AD48" s="3092"/>
      <c r="AE48" s="3093">
        <f t="shared" si="13"/>
        <v>3000</v>
      </c>
      <c r="AF48" s="3094">
        <f t="shared" si="5"/>
        <v>48000</v>
      </c>
    </row>
    <row r="49" spans="1:32" s="3095" customFormat="1" ht="30" customHeight="1">
      <c r="A49" s="3082">
        <v>31</v>
      </c>
      <c r="B49" s="3083" t="s">
        <v>1234</v>
      </c>
      <c r="C49" s="3083" t="s">
        <v>1186</v>
      </c>
      <c r="D49" s="3083" t="s">
        <v>1232</v>
      </c>
      <c r="E49" s="3084" t="s">
        <v>1188</v>
      </c>
      <c r="F49" s="3084" t="s">
        <v>1189</v>
      </c>
      <c r="G49" s="3080" t="s">
        <v>1190</v>
      </c>
      <c r="H49" s="3084" t="s">
        <v>1187</v>
      </c>
      <c r="I49" s="3085"/>
      <c r="J49" s="3085"/>
      <c r="K49" s="3081">
        <v>3</v>
      </c>
      <c r="L49" s="3080"/>
      <c r="M49" s="3086">
        <v>15000</v>
      </c>
      <c r="N49" s="3087">
        <f t="shared" si="10"/>
        <v>0</v>
      </c>
      <c r="O49" s="3080">
        <v>0</v>
      </c>
      <c r="P49" s="3086">
        <v>20000</v>
      </c>
      <c r="Q49" s="3088">
        <f t="shared" si="0"/>
        <v>0</v>
      </c>
      <c r="R49" s="3089">
        <f t="shared" si="1"/>
        <v>0</v>
      </c>
      <c r="S49" s="3080">
        <f t="shared" si="11"/>
        <v>3</v>
      </c>
      <c r="T49" s="3086">
        <v>15000</v>
      </c>
      <c r="U49" s="3088">
        <f t="shared" si="12"/>
        <v>45000</v>
      </c>
      <c r="V49" s="3080">
        <v>0</v>
      </c>
      <c r="W49" s="3086">
        <v>20000</v>
      </c>
      <c r="X49" s="3088">
        <f t="shared" si="2"/>
        <v>0</v>
      </c>
      <c r="Y49" s="3089">
        <f t="shared" si="3"/>
        <v>45000</v>
      </c>
      <c r="Z49" s="3090">
        <v>2</v>
      </c>
      <c r="AA49" s="3091">
        <v>0</v>
      </c>
      <c r="AB49" s="3087">
        <f t="shared" si="4"/>
        <v>0</v>
      </c>
      <c r="AC49" s="3092"/>
      <c r="AD49" s="3092"/>
      <c r="AE49" s="3093">
        <f t="shared" si="13"/>
        <v>0</v>
      </c>
      <c r="AF49" s="3094">
        <f t="shared" si="5"/>
        <v>45000</v>
      </c>
    </row>
    <row r="50" spans="1:32" s="3095" customFormat="1" ht="30" customHeight="1">
      <c r="A50" s="3082">
        <v>32</v>
      </c>
      <c r="B50" s="3083" t="s">
        <v>1235</v>
      </c>
      <c r="C50" s="3083" t="s">
        <v>1196</v>
      </c>
      <c r="D50" s="3083" t="s">
        <v>1236</v>
      </c>
      <c r="E50" s="3084" t="s">
        <v>1188</v>
      </c>
      <c r="F50" s="3084" t="s">
        <v>1189</v>
      </c>
      <c r="G50" s="3080" t="s">
        <v>1190</v>
      </c>
      <c r="H50" s="3084" t="s">
        <v>1187</v>
      </c>
      <c r="I50" s="3085"/>
      <c r="J50" s="3085"/>
      <c r="K50" s="3081">
        <v>3</v>
      </c>
      <c r="L50" s="3080"/>
      <c r="M50" s="3086">
        <v>15000</v>
      </c>
      <c r="N50" s="3087">
        <f t="shared" si="10"/>
        <v>0</v>
      </c>
      <c r="O50" s="3080">
        <v>0</v>
      </c>
      <c r="P50" s="3086">
        <v>20000</v>
      </c>
      <c r="Q50" s="3088">
        <f t="shared" si="0"/>
        <v>0</v>
      </c>
      <c r="R50" s="3089">
        <f t="shared" si="1"/>
        <v>0</v>
      </c>
      <c r="S50" s="3080">
        <f t="shared" si="11"/>
        <v>3</v>
      </c>
      <c r="T50" s="3086">
        <v>15000</v>
      </c>
      <c r="U50" s="3088">
        <f t="shared" si="12"/>
        <v>45000</v>
      </c>
      <c r="V50" s="3080">
        <v>0</v>
      </c>
      <c r="W50" s="3086">
        <v>20000</v>
      </c>
      <c r="X50" s="3088">
        <f t="shared" si="2"/>
        <v>0</v>
      </c>
      <c r="Y50" s="3089">
        <f t="shared" si="3"/>
        <v>45000</v>
      </c>
      <c r="Z50" s="3090">
        <v>6</v>
      </c>
      <c r="AA50" s="3091">
        <v>0</v>
      </c>
      <c r="AB50" s="3087">
        <f t="shared" si="4"/>
        <v>0</v>
      </c>
      <c r="AC50" s="3092"/>
      <c r="AD50" s="3092"/>
      <c r="AE50" s="3093">
        <f t="shared" si="13"/>
        <v>0</v>
      </c>
      <c r="AF50" s="3094">
        <f t="shared" si="5"/>
        <v>45000</v>
      </c>
    </row>
    <row r="51" spans="1:32" s="3095" customFormat="1" ht="30" customHeight="1">
      <c r="A51" s="3082">
        <v>33</v>
      </c>
      <c r="B51" s="3083" t="s">
        <v>1237</v>
      </c>
      <c r="C51" s="3083" t="s">
        <v>1186</v>
      </c>
      <c r="D51" s="3083" t="s">
        <v>1236</v>
      </c>
      <c r="E51" s="3084" t="s">
        <v>1188</v>
      </c>
      <c r="F51" s="3084" t="s">
        <v>1189</v>
      </c>
      <c r="G51" s="3080" t="s">
        <v>1190</v>
      </c>
      <c r="H51" s="3084" t="s">
        <v>1187</v>
      </c>
      <c r="I51" s="3085"/>
      <c r="J51" s="3085"/>
      <c r="K51" s="3081">
        <v>3</v>
      </c>
      <c r="L51" s="3080"/>
      <c r="M51" s="3086">
        <v>15000</v>
      </c>
      <c r="N51" s="3087">
        <f t="shared" si="10"/>
        <v>0</v>
      </c>
      <c r="O51" s="3080">
        <v>0</v>
      </c>
      <c r="P51" s="3086">
        <v>20000</v>
      </c>
      <c r="Q51" s="3088">
        <f t="shared" si="0"/>
        <v>0</v>
      </c>
      <c r="R51" s="3089">
        <f t="shared" si="1"/>
        <v>0</v>
      </c>
      <c r="S51" s="3080">
        <f t="shared" si="11"/>
        <v>3</v>
      </c>
      <c r="T51" s="3086">
        <v>15000</v>
      </c>
      <c r="U51" s="3088">
        <f t="shared" si="12"/>
        <v>45000</v>
      </c>
      <c r="V51" s="3080">
        <v>0</v>
      </c>
      <c r="W51" s="3086">
        <v>20000</v>
      </c>
      <c r="X51" s="3088">
        <f t="shared" si="2"/>
        <v>0</v>
      </c>
      <c r="Y51" s="3089">
        <f t="shared" si="3"/>
        <v>45000</v>
      </c>
      <c r="Z51" s="3090">
        <v>6</v>
      </c>
      <c r="AA51" s="3091">
        <v>0</v>
      </c>
      <c r="AB51" s="3087">
        <f t="shared" si="4"/>
        <v>0</v>
      </c>
      <c r="AC51" s="3092"/>
      <c r="AD51" s="3092"/>
      <c r="AE51" s="3093">
        <f t="shared" si="13"/>
        <v>0</v>
      </c>
      <c r="AF51" s="3094">
        <f t="shared" si="5"/>
        <v>45000</v>
      </c>
    </row>
    <row r="52" spans="1:32" s="3095" customFormat="1" ht="30" customHeight="1">
      <c r="A52" s="3082">
        <v>34</v>
      </c>
      <c r="B52" s="3083" t="s">
        <v>1238</v>
      </c>
      <c r="C52" s="3083" t="s">
        <v>1194</v>
      </c>
      <c r="D52" s="3083" t="s">
        <v>1239</v>
      </c>
      <c r="E52" s="3084" t="s">
        <v>1188</v>
      </c>
      <c r="F52" s="3084" t="s">
        <v>1189</v>
      </c>
      <c r="G52" s="3080" t="s">
        <v>1240</v>
      </c>
      <c r="H52" s="3084" t="s">
        <v>1187</v>
      </c>
      <c r="I52" s="3085"/>
      <c r="J52" s="3085"/>
      <c r="K52" s="3081">
        <v>3</v>
      </c>
      <c r="L52" s="3080"/>
      <c r="M52" s="3086">
        <v>36000</v>
      </c>
      <c r="N52" s="3087">
        <f t="shared" si="10"/>
        <v>0</v>
      </c>
      <c r="O52" s="3080">
        <v>0</v>
      </c>
      <c r="P52" s="3086">
        <v>20000</v>
      </c>
      <c r="Q52" s="3088">
        <f t="shared" si="0"/>
        <v>0</v>
      </c>
      <c r="R52" s="3089">
        <f t="shared" si="1"/>
        <v>0</v>
      </c>
      <c r="S52" s="3080">
        <f t="shared" si="11"/>
        <v>3</v>
      </c>
      <c r="T52" s="3086">
        <v>36000</v>
      </c>
      <c r="U52" s="3088">
        <f t="shared" si="12"/>
        <v>108000</v>
      </c>
      <c r="V52" s="3080">
        <v>0</v>
      </c>
      <c r="W52" s="3086">
        <v>20000</v>
      </c>
      <c r="X52" s="3088">
        <f t="shared" si="2"/>
        <v>0</v>
      </c>
      <c r="Y52" s="3089">
        <f t="shared" si="3"/>
        <v>108000</v>
      </c>
      <c r="Z52" s="3090">
        <v>32</v>
      </c>
      <c r="AA52" s="3091">
        <v>150</v>
      </c>
      <c r="AB52" s="3087">
        <f t="shared" si="4"/>
        <v>4800</v>
      </c>
      <c r="AC52" s="3092"/>
      <c r="AD52" s="3092"/>
      <c r="AE52" s="3093">
        <f t="shared" si="13"/>
        <v>4800</v>
      </c>
      <c r="AF52" s="3094">
        <f t="shared" si="5"/>
        <v>112800</v>
      </c>
    </row>
    <row r="53" spans="1:32" s="3095" customFormat="1" ht="30" customHeight="1">
      <c r="A53" s="3082">
        <v>35</v>
      </c>
      <c r="B53" s="3083" t="s">
        <v>1241</v>
      </c>
      <c r="C53" s="3083" t="s">
        <v>1186</v>
      </c>
      <c r="D53" s="3083" t="s">
        <v>1242</v>
      </c>
      <c r="E53" s="3084" t="s">
        <v>1188</v>
      </c>
      <c r="F53" s="3084" t="s">
        <v>1189</v>
      </c>
      <c r="G53" s="3080" t="s">
        <v>1190</v>
      </c>
      <c r="H53" s="3084" t="s">
        <v>1187</v>
      </c>
      <c r="I53" s="3085"/>
      <c r="J53" s="3085"/>
      <c r="K53" s="3081">
        <v>3</v>
      </c>
      <c r="L53" s="3080"/>
      <c r="M53" s="3086">
        <v>15000</v>
      </c>
      <c r="N53" s="3087">
        <f t="shared" si="10"/>
        <v>0</v>
      </c>
      <c r="O53" s="3080">
        <v>0</v>
      </c>
      <c r="P53" s="3086">
        <v>20000</v>
      </c>
      <c r="Q53" s="3088">
        <f t="shared" si="0"/>
        <v>0</v>
      </c>
      <c r="R53" s="3089">
        <f t="shared" si="1"/>
        <v>0</v>
      </c>
      <c r="S53" s="3080">
        <f t="shared" si="11"/>
        <v>3</v>
      </c>
      <c r="T53" s="3086">
        <v>15000</v>
      </c>
      <c r="U53" s="3088">
        <f t="shared" si="12"/>
        <v>45000</v>
      </c>
      <c r="V53" s="3080">
        <v>0</v>
      </c>
      <c r="W53" s="3086">
        <v>20000</v>
      </c>
      <c r="X53" s="3088">
        <f t="shared" si="2"/>
        <v>0</v>
      </c>
      <c r="Y53" s="3089">
        <f t="shared" si="3"/>
        <v>45000</v>
      </c>
      <c r="Z53" s="3090">
        <v>12</v>
      </c>
      <c r="AA53" s="3091">
        <v>150</v>
      </c>
      <c r="AB53" s="3087">
        <f t="shared" si="4"/>
        <v>1800</v>
      </c>
      <c r="AC53" s="3092"/>
      <c r="AD53" s="3092"/>
      <c r="AE53" s="3093">
        <f t="shared" si="13"/>
        <v>1800</v>
      </c>
      <c r="AF53" s="3094">
        <f t="shared" si="5"/>
        <v>46800</v>
      </c>
    </row>
    <row r="54" spans="1:32" s="3095" customFormat="1" ht="30" customHeight="1">
      <c r="A54" s="3082">
        <v>36</v>
      </c>
      <c r="B54" s="3083" t="s">
        <v>1243</v>
      </c>
      <c r="C54" s="3083" t="s">
        <v>1186</v>
      </c>
      <c r="D54" s="3083" t="s">
        <v>1242</v>
      </c>
      <c r="E54" s="3084" t="s">
        <v>1188</v>
      </c>
      <c r="F54" s="3084" t="s">
        <v>1189</v>
      </c>
      <c r="G54" s="3080" t="s">
        <v>1190</v>
      </c>
      <c r="H54" s="3084" t="s">
        <v>1187</v>
      </c>
      <c r="I54" s="3085"/>
      <c r="J54" s="3085"/>
      <c r="K54" s="3081">
        <v>3</v>
      </c>
      <c r="L54" s="3080"/>
      <c r="M54" s="3086">
        <v>15000</v>
      </c>
      <c r="N54" s="3087">
        <f>M54*L54</f>
        <v>0</v>
      </c>
      <c r="O54" s="3080">
        <v>0</v>
      </c>
      <c r="P54" s="3086">
        <v>20000</v>
      </c>
      <c r="Q54" s="3088">
        <f t="shared" si="0"/>
        <v>0</v>
      </c>
      <c r="R54" s="3089">
        <f t="shared" si="1"/>
        <v>0</v>
      </c>
      <c r="S54" s="3080">
        <f>+K54</f>
        <v>3</v>
      </c>
      <c r="T54" s="3086">
        <v>15000</v>
      </c>
      <c r="U54" s="3088">
        <f>T54*S54</f>
        <v>45000</v>
      </c>
      <c r="V54" s="3080">
        <v>0</v>
      </c>
      <c r="W54" s="3086">
        <v>20000</v>
      </c>
      <c r="X54" s="3088">
        <f t="shared" si="2"/>
        <v>0</v>
      </c>
      <c r="Y54" s="3089">
        <f t="shared" si="3"/>
        <v>45000</v>
      </c>
      <c r="Z54" s="3090">
        <v>12</v>
      </c>
      <c r="AA54" s="3091">
        <v>150</v>
      </c>
      <c r="AB54" s="3087">
        <f t="shared" si="4"/>
        <v>1800</v>
      </c>
      <c r="AC54" s="3092"/>
      <c r="AD54" s="3092"/>
      <c r="AE54" s="3093">
        <f>AB54</f>
        <v>1800</v>
      </c>
      <c r="AF54" s="3094">
        <f t="shared" si="5"/>
        <v>46800</v>
      </c>
    </row>
    <row r="55" spans="1:32" s="3095" customFormat="1" ht="30" customHeight="1">
      <c r="A55" s="3082">
        <v>37</v>
      </c>
      <c r="B55" s="3083" t="s">
        <v>1244</v>
      </c>
      <c r="C55" s="3083" t="s">
        <v>1196</v>
      </c>
      <c r="D55" s="3083" t="s">
        <v>1242</v>
      </c>
      <c r="E55" s="3084" t="s">
        <v>1188</v>
      </c>
      <c r="F55" s="3084" t="s">
        <v>1189</v>
      </c>
      <c r="G55" s="3080" t="s">
        <v>1190</v>
      </c>
      <c r="H55" s="3084" t="s">
        <v>1187</v>
      </c>
      <c r="I55" s="3085"/>
      <c r="J55" s="3085"/>
      <c r="K55" s="3081">
        <v>3</v>
      </c>
      <c r="L55" s="3080"/>
      <c r="M55" s="3086">
        <v>15000</v>
      </c>
      <c r="N55" s="3087">
        <f t="shared" ref="N55:N73" si="14">M55*L55</f>
        <v>0</v>
      </c>
      <c r="O55" s="3080">
        <v>0</v>
      </c>
      <c r="P55" s="3086">
        <v>20000</v>
      </c>
      <c r="Q55" s="3088">
        <f t="shared" si="0"/>
        <v>0</v>
      </c>
      <c r="R55" s="3089">
        <f t="shared" si="1"/>
        <v>0</v>
      </c>
      <c r="S55" s="3080">
        <f t="shared" ref="S55:S73" si="15">+K55</f>
        <v>3</v>
      </c>
      <c r="T55" s="3086">
        <v>15000</v>
      </c>
      <c r="U55" s="3088">
        <f t="shared" ref="U55:U73" si="16">T55*S55</f>
        <v>45000</v>
      </c>
      <c r="V55" s="3080">
        <v>0</v>
      </c>
      <c r="W55" s="3086">
        <v>20000</v>
      </c>
      <c r="X55" s="3088">
        <f t="shared" si="2"/>
        <v>0</v>
      </c>
      <c r="Y55" s="3089">
        <f t="shared" si="3"/>
        <v>45000</v>
      </c>
      <c r="Z55" s="3090">
        <v>2</v>
      </c>
      <c r="AA55" s="3091">
        <v>0</v>
      </c>
      <c r="AB55" s="3087">
        <f t="shared" si="4"/>
        <v>0</v>
      </c>
      <c r="AC55" s="3092"/>
      <c r="AD55" s="3092"/>
      <c r="AE55" s="3093">
        <f t="shared" ref="AE55:AE73" si="17">AB55</f>
        <v>0</v>
      </c>
      <c r="AF55" s="3094">
        <f t="shared" si="5"/>
        <v>45000</v>
      </c>
    </row>
    <row r="56" spans="1:32" s="3095" customFormat="1" ht="30" customHeight="1">
      <c r="A56" s="3082">
        <v>38</v>
      </c>
      <c r="B56" s="3083" t="s">
        <v>1245</v>
      </c>
      <c r="C56" s="3083" t="s">
        <v>1196</v>
      </c>
      <c r="D56" s="3083" t="s">
        <v>1246</v>
      </c>
      <c r="E56" s="3084" t="s">
        <v>1188</v>
      </c>
      <c r="F56" s="3084" t="s">
        <v>1189</v>
      </c>
      <c r="G56" s="3080" t="s">
        <v>1190</v>
      </c>
      <c r="H56" s="3084" t="s">
        <v>1187</v>
      </c>
      <c r="I56" s="3085"/>
      <c r="J56" s="3085"/>
      <c r="K56" s="3081">
        <v>3</v>
      </c>
      <c r="L56" s="3080"/>
      <c r="M56" s="3086">
        <v>15000</v>
      </c>
      <c r="N56" s="3087">
        <f t="shared" si="14"/>
        <v>0</v>
      </c>
      <c r="O56" s="3080">
        <v>0</v>
      </c>
      <c r="P56" s="3086">
        <v>20000</v>
      </c>
      <c r="Q56" s="3088">
        <f t="shared" si="0"/>
        <v>0</v>
      </c>
      <c r="R56" s="3089">
        <f t="shared" si="1"/>
        <v>0</v>
      </c>
      <c r="S56" s="3080">
        <f t="shared" si="15"/>
        <v>3</v>
      </c>
      <c r="T56" s="3086">
        <v>15000</v>
      </c>
      <c r="U56" s="3088">
        <f t="shared" si="16"/>
        <v>45000</v>
      </c>
      <c r="V56" s="3080">
        <v>0</v>
      </c>
      <c r="W56" s="3086">
        <v>20000</v>
      </c>
      <c r="X56" s="3088">
        <f t="shared" si="2"/>
        <v>0</v>
      </c>
      <c r="Y56" s="3089">
        <f t="shared" si="3"/>
        <v>45000</v>
      </c>
      <c r="Z56" s="3090">
        <v>2</v>
      </c>
      <c r="AA56" s="3091">
        <v>0</v>
      </c>
      <c r="AB56" s="3087">
        <f t="shared" si="4"/>
        <v>0</v>
      </c>
      <c r="AC56" s="3092"/>
      <c r="AD56" s="3092"/>
      <c r="AE56" s="3093">
        <f t="shared" si="17"/>
        <v>0</v>
      </c>
      <c r="AF56" s="3094">
        <f t="shared" si="5"/>
        <v>45000</v>
      </c>
    </row>
    <row r="57" spans="1:32" s="3095" customFormat="1" ht="30" customHeight="1">
      <c r="A57" s="3082">
        <v>39</v>
      </c>
      <c r="B57" s="3083" t="s">
        <v>1247</v>
      </c>
      <c r="C57" s="3083" t="s">
        <v>1192</v>
      </c>
      <c r="D57" s="3083" t="s">
        <v>1246</v>
      </c>
      <c r="E57" s="3084" t="s">
        <v>1188</v>
      </c>
      <c r="F57" s="3084" t="s">
        <v>1189</v>
      </c>
      <c r="G57" s="3080" t="s">
        <v>1190</v>
      </c>
      <c r="H57" s="3084" t="s">
        <v>1187</v>
      </c>
      <c r="I57" s="3085"/>
      <c r="J57" s="3085"/>
      <c r="K57" s="3081">
        <v>3</v>
      </c>
      <c r="L57" s="3080"/>
      <c r="M57" s="3086">
        <v>15000</v>
      </c>
      <c r="N57" s="3087">
        <f t="shared" si="14"/>
        <v>0</v>
      </c>
      <c r="O57" s="3080">
        <v>0</v>
      </c>
      <c r="P57" s="3086">
        <v>20000</v>
      </c>
      <c r="Q57" s="3088">
        <f t="shared" si="0"/>
        <v>0</v>
      </c>
      <c r="R57" s="3089">
        <f t="shared" si="1"/>
        <v>0</v>
      </c>
      <c r="S57" s="3080">
        <f t="shared" si="15"/>
        <v>3</v>
      </c>
      <c r="T57" s="3086">
        <v>15000</v>
      </c>
      <c r="U57" s="3088">
        <f t="shared" si="16"/>
        <v>45000</v>
      </c>
      <c r="V57" s="3080">
        <v>0</v>
      </c>
      <c r="W57" s="3086">
        <v>20000</v>
      </c>
      <c r="X57" s="3088">
        <f t="shared" si="2"/>
        <v>0</v>
      </c>
      <c r="Y57" s="3089">
        <f t="shared" si="3"/>
        <v>45000</v>
      </c>
      <c r="Z57" s="3090">
        <v>2</v>
      </c>
      <c r="AA57" s="3091">
        <v>0</v>
      </c>
      <c r="AB57" s="3087">
        <f t="shared" si="4"/>
        <v>0</v>
      </c>
      <c r="AC57" s="3092"/>
      <c r="AD57" s="3092"/>
      <c r="AE57" s="3093">
        <f t="shared" si="17"/>
        <v>0</v>
      </c>
      <c r="AF57" s="3094">
        <f t="shared" si="5"/>
        <v>45000</v>
      </c>
    </row>
    <row r="58" spans="1:32" s="3095" customFormat="1" ht="30" customHeight="1">
      <c r="A58" s="3082">
        <v>40</v>
      </c>
      <c r="B58" s="3083" t="s">
        <v>1248</v>
      </c>
      <c r="C58" s="3083" t="s">
        <v>1196</v>
      </c>
      <c r="D58" s="3083" t="s">
        <v>1246</v>
      </c>
      <c r="E58" s="3084" t="s">
        <v>1188</v>
      </c>
      <c r="F58" s="3084" t="s">
        <v>1189</v>
      </c>
      <c r="G58" s="3080" t="s">
        <v>1190</v>
      </c>
      <c r="H58" s="3084" t="s">
        <v>1187</v>
      </c>
      <c r="I58" s="3085"/>
      <c r="J58" s="3085"/>
      <c r="K58" s="3081">
        <v>3</v>
      </c>
      <c r="L58" s="3080"/>
      <c r="M58" s="3086">
        <v>15000</v>
      </c>
      <c r="N58" s="3087">
        <f t="shared" si="14"/>
        <v>0</v>
      </c>
      <c r="O58" s="3080">
        <v>0</v>
      </c>
      <c r="P58" s="3086">
        <v>20000</v>
      </c>
      <c r="Q58" s="3088">
        <f t="shared" si="0"/>
        <v>0</v>
      </c>
      <c r="R58" s="3089">
        <f t="shared" si="1"/>
        <v>0</v>
      </c>
      <c r="S58" s="3080">
        <f t="shared" si="15"/>
        <v>3</v>
      </c>
      <c r="T58" s="3086">
        <v>15000</v>
      </c>
      <c r="U58" s="3088">
        <f t="shared" si="16"/>
        <v>45000</v>
      </c>
      <c r="V58" s="3080">
        <v>0</v>
      </c>
      <c r="W58" s="3086">
        <v>20000</v>
      </c>
      <c r="X58" s="3088">
        <f t="shared" si="2"/>
        <v>0</v>
      </c>
      <c r="Y58" s="3089">
        <f t="shared" si="3"/>
        <v>45000</v>
      </c>
      <c r="Z58" s="3090">
        <v>2</v>
      </c>
      <c r="AA58" s="3091">
        <v>0</v>
      </c>
      <c r="AB58" s="3087">
        <f t="shared" si="4"/>
        <v>0</v>
      </c>
      <c r="AC58" s="3092"/>
      <c r="AD58" s="3092"/>
      <c r="AE58" s="3093">
        <f t="shared" si="17"/>
        <v>0</v>
      </c>
      <c r="AF58" s="3094">
        <f t="shared" si="5"/>
        <v>45000</v>
      </c>
    </row>
    <row r="59" spans="1:32" s="3095" customFormat="1" ht="30" customHeight="1">
      <c r="A59" s="3082">
        <v>41</v>
      </c>
      <c r="B59" s="3083" t="s">
        <v>1249</v>
      </c>
      <c r="C59" s="3083" t="s">
        <v>1196</v>
      </c>
      <c r="D59" s="3083" t="s">
        <v>1250</v>
      </c>
      <c r="E59" s="3084" t="s">
        <v>1188</v>
      </c>
      <c r="F59" s="3084" t="s">
        <v>1189</v>
      </c>
      <c r="G59" s="3080" t="s">
        <v>1190</v>
      </c>
      <c r="H59" s="3084" t="s">
        <v>1187</v>
      </c>
      <c r="I59" s="3085"/>
      <c r="J59" s="3085"/>
      <c r="K59" s="3081">
        <v>3</v>
      </c>
      <c r="L59" s="3080"/>
      <c r="M59" s="3086">
        <v>15000</v>
      </c>
      <c r="N59" s="3087">
        <f t="shared" si="14"/>
        <v>0</v>
      </c>
      <c r="O59" s="3080">
        <v>0</v>
      </c>
      <c r="P59" s="3086">
        <v>20000</v>
      </c>
      <c r="Q59" s="3088">
        <f t="shared" si="0"/>
        <v>0</v>
      </c>
      <c r="R59" s="3089">
        <f t="shared" si="1"/>
        <v>0</v>
      </c>
      <c r="S59" s="3080">
        <f t="shared" si="15"/>
        <v>3</v>
      </c>
      <c r="T59" s="3086">
        <v>15000</v>
      </c>
      <c r="U59" s="3088">
        <f t="shared" si="16"/>
        <v>45000</v>
      </c>
      <c r="V59" s="3080">
        <v>0</v>
      </c>
      <c r="W59" s="3086">
        <v>20000</v>
      </c>
      <c r="X59" s="3088">
        <f t="shared" si="2"/>
        <v>0</v>
      </c>
      <c r="Y59" s="3089">
        <f t="shared" si="3"/>
        <v>45000</v>
      </c>
      <c r="Z59" s="3090">
        <v>24</v>
      </c>
      <c r="AA59" s="3091">
        <v>150</v>
      </c>
      <c r="AB59" s="3087">
        <f t="shared" si="4"/>
        <v>3600</v>
      </c>
      <c r="AC59" s="3092"/>
      <c r="AD59" s="3092"/>
      <c r="AE59" s="3093">
        <f t="shared" si="17"/>
        <v>3600</v>
      </c>
      <c r="AF59" s="3094">
        <f t="shared" si="5"/>
        <v>48600</v>
      </c>
    </row>
    <row r="60" spans="1:32" s="3095" customFormat="1" ht="30" customHeight="1">
      <c r="A60" s="3082">
        <v>42</v>
      </c>
      <c r="B60" s="3083" t="s">
        <v>1251</v>
      </c>
      <c r="C60" s="3083" t="s">
        <v>1186</v>
      </c>
      <c r="D60" s="3083" t="s">
        <v>1250</v>
      </c>
      <c r="E60" s="3084" t="s">
        <v>1188</v>
      </c>
      <c r="F60" s="3084" t="s">
        <v>1189</v>
      </c>
      <c r="G60" s="3080" t="s">
        <v>1190</v>
      </c>
      <c r="H60" s="3084" t="s">
        <v>1187</v>
      </c>
      <c r="I60" s="3085"/>
      <c r="J60" s="3085"/>
      <c r="K60" s="3081">
        <v>3</v>
      </c>
      <c r="L60" s="3080"/>
      <c r="M60" s="3086">
        <v>15000</v>
      </c>
      <c r="N60" s="3087">
        <f t="shared" si="14"/>
        <v>0</v>
      </c>
      <c r="O60" s="3080">
        <v>0</v>
      </c>
      <c r="P60" s="3086">
        <v>20000</v>
      </c>
      <c r="Q60" s="3088">
        <f t="shared" si="0"/>
        <v>0</v>
      </c>
      <c r="R60" s="3089">
        <f t="shared" si="1"/>
        <v>0</v>
      </c>
      <c r="S60" s="3080">
        <f t="shared" si="15"/>
        <v>3</v>
      </c>
      <c r="T60" s="3086">
        <v>15000</v>
      </c>
      <c r="U60" s="3088">
        <f t="shared" si="16"/>
        <v>45000</v>
      </c>
      <c r="V60" s="3080">
        <v>0</v>
      </c>
      <c r="W60" s="3086">
        <v>20000</v>
      </c>
      <c r="X60" s="3088">
        <f t="shared" si="2"/>
        <v>0</v>
      </c>
      <c r="Y60" s="3089">
        <f t="shared" si="3"/>
        <v>45000</v>
      </c>
      <c r="Z60" s="3090">
        <v>24</v>
      </c>
      <c r="AA60" s="3091">
        <v>150</v>
      </c>
      <c r="AB60" s="3087">
        <f t="shared" si="4"/>
        <v>3600</v>
      </c>
      <c r="AC60" s="3092"/>
      <c r="AD60" s="3092"/>
      <c r="AE60" s="3093">
        <f t="shared" si="17"/>
        <v>3600</v>
      </c>
      <c r="AF60" s="3094">
        <f t="shared" si="5"/>
        <v>48600</v>
      </c>
    </row>
    <row r="61" spans="1:32" s="3095" customFormat="1" ht="30" customHeight="1">
      <c r="A61" s="3082">
        <v>43</v>
      </c>
      <c r="B61" s="3083" t="s">
        <v>1252</v>
      </c>
      <c r="C61" s="3083" t="s">
        <v>1196</v>
      </c>
      <c r="D61" s="3083" t="s">
        <v>1253</v>
      </c>
      <c r="E61" s="3084" t="s">
        <v>1188</v>
      </c>
      <c r="F61" s="3084" t="s">
        <v>1189</v>
      </c>
      <c r="G61" s="3080" t="s">
        <v>1190</v>
      </c>
      <c r="H61" s="3084" t="s">
        <v>1187</v>
      </c>
      <c r="I61" s="3085"/>
      <c r="J61" s="3085"/>
      <c r="K61" s="3081">
        <v>3</v>
      </c>
      <c r="L61" s="3080"/>
      <c r="M61" s="3086">
        <v>15000</v>
      </c>
      <c r="N61" s="3087">
        <f t="shared" si="14"/>
        <v>0</v>
      </c>
      <c r="O61" s="3080">
        <v>0</v>
      </c>
      <c r="P61" s="3086">
        <v>20000</v>
      </c>
      <c r="Q61" s="3088">
        <f t="shared" si="0"/>
        <v>0</v>
      </c>
      <c r="R61" s="3089">
        <f t="shared" si="1"/>
        <v>0</v>
      </c>
      <c r="S61" s="3080">
        <f t="shared" si="15"/>
        <v>3</v>
      </c>
      <c r="T61" s="3086">
        <v>15000</v>
      </c>
      <c r="U61" s="3088">
        <f t="shared" si="16"/>
        <v>45000</v>
      </c>
      <c r="V61" s="3080">
        <v>0</v>
      </c>
      <c r="W61" s="3086">
        <v>20000</v>
      </c>
      <c r="X61" s="3088">
        <f t="shared" si="2"/>
        <v>0</v>
      </c>
      <c r="Y61" s="3089">
        <f t="shared" si="3"/>
        <v>45000</v>
      </c>
      <c r="Z61" s="3090">
        <v>18</v>
      </c>
      <c r="AA61" s="3091">
        <v>150</v>
      </c>
      <c r="AB61" s="3087">
        <f t="shared" si="4"/>
        <v>2700</v>
      </c>
      <c r="AC61" s="3092"/>
      <c r="AD61" s="3092"/>
      <c r="AE61" s="3093">
        <f t="shared" si="17"/>
        <v>2700</v>
      </c>
      <c r="AF61" s="3094">
        <f t="shared" si="5"/>
        <v>47700</v>
      </c>
    </row>
    <row r="62" spans="1:32" s="3095" customFormat="1" ht="30" customHeight="1">
      <c r="A62" s="3082">
        <v>44</v>
      </c>
      <c r="B62" s="3083" t="s">
        <v>1254</v>
      </c>
      <c r="C62" s="3083" t="s">
        <v>1192</v>
      </c>
      <c r="D62" s="3083" t="s">
        <v>1253</v>
      </c>
      <c r="E62" s="3084" t="s">
        <v>1188</v>
      </c>
      <c r="F62" s="3084" t="s">
        <v>1189</v>
      </c>
      <c r="G62" s="3080" t="s">
        <v>1190</v>
      </c>
      <c r="H62" s="3084" t="s">
        <v>1187</v>
      </c>
      <c r="I62" s="3085"/>
      <c r="J62" s="3085"/>
      <c r="K62" s="3081">
        <v>3</v>
      </c>
      <c r="L62" s="3080"/>
      <c r="M62" s="3086">
        <v>15000</v>
      </c>
      <c r="N62" s="3087">
        <f t="shared" si="14"/>
        <v>0</v>
      </c>
      <c r="O62" s="3080">
        <v>0</v>
      </c>
      <c r="P62" s="3086">
        <v>20000</v>
      </c>
      <c r="Q62" s="3088">
        <f t="shared" si="0"/>
        <v>0</v>
      </c>
      <c r="R62" s="3089">
        <f t="shared" si="1"/>
        <v>0</v>
      </c>
      <c r="S62" s="3080">
        <f t="shared" si="15"/>
        <v>3</v>
      </c>
      <c r="T62" s="3086">
        <v>15000</v>
      </c>
      <c r="U62" s="3088">
        <f t="shared" si="16"/>
        <v>45000</v>
      </c>
      <c r="V62" s="3080">
        <v>0</v>
      </c>
      <c r="W62" s="3086">
        <v>20000</v>
      </c>
      <c r="X62" s="3088">
        <f t="shared" si="2"/>
        <v>0</v>
      </c>
      <c r="Y62" s="3089">
        <f t="shared" si="3"/>
        <v>45000</v>
      </c>
      <c r="Z62" s="3090">
        <v>18</v>
      </c>
      <c r="AA62" s="3091">
        <v>150</v>
      </c>
      <c r="AB62" s="3087">
        <f t="shared" si="4"/>
        <v>2700</v>
      </c>
      <c r="AC62" s="3092"/>
      <c r="AD62" s="3092"/>
      <c r="AE62" s="3093">
        <f t="shared" si="17"/>
        <v>2700</v>
      </c>
      <c r="AF62" s="3094">
        <f t="shared" si="5"/>
        <v>47700</v>
      </c>
    </row>
    <row r="63" spans="1:32" s="3095" customFormat="1" ht="30" customHeight="1">
      <c r="A63" s="3082">
        <v>45</v>
      </c>
      <c r="B63" s="3083" t="s">
        <v>1255</v>
      </c>
      <c r="C63" s="3083" t="s">
        <v>1192</v>
      </c>
      <c r="D63" s="3083" t="s">
        <v>1256</v>
      </c>
      <c r="E63" s="3084" t="s">
        <v>1188</v>
      </c>
      <c r="F63" s="3084" t="s">
        <v>1189</v>
      </c>
      <c r="G63" s="3080" t="s">
        <v>1190</v>
      </c>
      <c r="H63" s="3084" t="s">
        <v>1187</v>
      </c>
      <c r="I63" s="3085"/>
      <c r="J63" s="3085"/>
      <c r="K63" s="3081">
        <v>3</v>
      </c>
      <c r="L63" s="3080"/>
      <c r="M63" s="3086">
        <v>15000</v>
      </c>
      <c r="N63" s="3087">
        <f t="shared" si="14"/>
        <v>0</v>
      </c>
      <c r="O63" s="3080">
        <v>0</v>
      </c>
      <c r="P63" s="3086">
        <v>20000</v>
      </c>
      <c r="Q63" s="3088">
        <f t="shared" si="0"/>
        <v>0</v>
      </c>
      <c r="R63" s="3089">
        <f t="shared" si="1"/>
        <v>0</v>
      </c>
      <c r="S63" s="3080">
        <f t="shared" si="15"/>
        <v>3</v>
      </c>
      <c r="T63" s="3086">
        <v>15000</v>
      </c>
      <c r="U63" s="3088">
        <f t="shared" si="16"/>
        <v>45000</v>
      </c>
      <c r="V63" s="3080">
        <v>0</v>
      </c>
      <c r="W63" s="3086">
        <v>20000</v>
      </c>
      <c r="X63" s="3088">
        <f t="shared" si="2"/>
        <v>0</v>
      </c>
      <c r="Y63" s="3089">
        <f t="shared" si="3"/>
        <v>45000</v>
      </c>
      <c r="Z63" s="3090">
        <v>14</v>
      </c>
      <c r="AA63" s="3091">
        <v>150</v>
      </c>
      <c r="AB63" s="3087">
        <f t="shared" si="4"/>
        <v>2100</v>
      </c>
      <c r="AC63" s="3092"/>
      <c r="AD63" s="3092"/>
      <c r="AE63" s="3093">
        <f t="shared" si="17"/>
        <v>2100</v>
      </c>
      <c r="AF63" s="3094">
        <f t="shared" si="5"/>
        <v>47100</v>
      </c>
    </row>
    <row r="64" spans="1:32" s="3095" customFormat="1" ht="30" customHeight="1">
      <c r="A64" s="3082">
        <v>46</v>
      </c>
      <c r="B64" s="3083" t="s">
        <v>1257</v>
      </c>
      <c r="C64" s="3083" t="s">
        <v>1196</v>
      </c>
      <c r="D64" s="3083" t="s">
        <v>1256</v>
      </c>
      <c r="E64" s="3084" t="s">
        <v>1188</v>
      </c>
      <c r="F64" s="3084" t="s">
        <v>1189</v>
      </c>
      <c r="G64" s="3080" t="s">
        <v>1190</v>
      </c>
      <c r="H64" s="3084" t="s">
        <v>1187</v>
      </c>
      <c r="I64" s="3085"/>
      <c r="J64" s="3085"/>
      <c r="K64" s="3081">
        <v>3</v>
      </c>
      <c r="L64" s="3080"/>
      <c r="M64" s="3086">
        <v>15000</v>
      </c>
      <c r="N64" s="3087">
        <f t="shared" si="14"/>
        <v>0</v>
      </c>
      <c r="O64" s="3080">
        <v>0</v>
      </c>
      <c r="P64" s="3086">
        <v>20000</v>
      </c>
      <c r="Q64" s="3088">
        <f t="shared" si="0"/>
        <v>0</v>
      </c>
      <c r="R64" s="3089">
        <f t="shared" si="1"/>
        <v>0</v>
      </c>
      <c r="S64" s="3080">
        <f t="shared" si="15"/>
        <v>3</v>
      </c>
      <c r="T64" s="3086">
        <v>15000</v>
      </c>
      <c r="U64" s="3088">
        <f t="shared" si="16"/>
        <v>45000</v>
      </c>
      <c r="V64" s="3080">
        <v>0</v>
      </c>
      <c r="W64" s="3086">
        <v>20000</v>
      </c>
      <c r="X64" s="3088">
        <f t="shared" si="2"/>
        <v>0</v>
      </c>
      <c r="Y64" s="3089">
        <f t="shared" si="3"/>
        <v>45000</v>
      </c>
      <c r="Z64" s="3090">
        <v>14</v>
      </c>
      <c r="AA64" s="3091">
        <v>150</v>
      </c>
      <c r="AB64" s="3087">
        <f t="shared" si="4"/>
        <v>2100</v>
      </c>
      <c r="AC64" s="3092"/>
      <c r="AD64" s="3092"/>
      <c r="AE64" s="3093">
        <f t="shared" si="17"/>
        <v>2100</v>
      </c>
      <c r="AF64" s="3094">
        <f t="shared" si="5"/>
        <v>47100</v>
      </c>
    </row>
    <row r="65" spans="1:32" s="3095" customFormat="1" ht="30" customHeight="1">
      <c r="A65" s="3082">
        <v>47</v>
      </c>
      <c r="B65" s="3083" t="s">
        <v>1258</v>
      </c>
      <c r="C65" s="3083" t="s">
        <v>1194</v>
      </c>
      <c r="D65" s="3083" t="s">
        <v>1259</v>
      </c>
      <c r="E65" s="3084" t="s">
        <v>1188</v>
      </c>
      <c r="F65" s="3084" t="s">
        <v>1189</v>
      </c>
      <c r="G65" s="3080" t="s">
        <v>1190</v>
      </c>
      <c r="H65" s="3084" t="s">
        <v>1187</v>
      </c>
      <c r="I65" s="3085"/>
      <c r="J65" s="3085"/>
      <c r="K65" s="3081">
        <v>3</v>
      </c>
      <c r="L65" s="3080"/>
      <c r="M65" s="3086">
        <v>15000</v>
      </c>
      <c r="N65" s="3087">
        <f t="shared" si="14"/>
        <v>0</v>
      </c>
      <c r="O65" s="3080">
        <v>0</v>
      </c>
      <c r="P65" s="3086">
        <v>20000</v>
      </c>
      <c r="Q65" s="3088">
        <f t="shared" si="0"/>
        <v>0</v>
      </c>
      <c r="R65" s="3089">
        <f t="shared" si="1"/>
        <v>0</v>
      </c>
      <c r="S65" s="3080">
        <f t="shared" si="15"/>
        <v>3</v>
      </c>
      <c r="T65" s="3086">
        <v>15000</v>
      </c>
      <c r="U65" s="3088">
        <f t="shared" si="16"/>
        <v>45000</v>
      </c>
      <c r="V65" s="3080">
        <v>0</v>
      </c>
      <c r="W65" s="3086">
        <v>20000</v>
      </c>
      <c r="X65" s="3088">
        <f t="shared" si="2"/>
        <v>0</v>
      </c>
      <c r="Y65" s="3089">
        <f t="shared" si="3"/>
        <v>45000</v>
      </c>
      <c r="Z65" s="3090">
        <v>24</v>
      </c>
      <c r="AA65" s="3091">
        <v>150</v>
      </c>
      <c r="AB65" s="3087">
        <f t="shared" si="4"/>
        <v>3600</v>
      </c>
      <c r="AC65" s="3092"/>
      <c r="AD65" s="3092"/>
      <c r="AE65" s="3093">
        <f t="shared" si="17"/>
        <v>3600</v>
      </c>
      <c r="AF65" s="3094">
        <f t="shared" si="5"/>
        <v>48600</v>
      </c>
    </row>
    <row r="66" spans="1:32" s="3095" customFormat="1" ht="30" customHeight="1">
      <c r="A66" s="3082">
        <v>48</v>
      </c>
      <c r="B66" s="3083" t="s">
        <v>1260</v>
      </c>
      <c r="C66" s="3083" t="s">
        <v>1202</v>
      </c>
      <c r="D66" s="3083" t="s">
        <v>1259</v>
      </c>
      <c r="E66" s="3084" t="s">
        <v>1188</v>
      </c>
      <c r="F66" s="3084" t="s">
        <v>1189</v>
      </c>
      <c r="G66" s="3080" t="s">
        <v>1190</v>
      </c>
      <c r="H66" s="3084" t="s">
        <v>1187</v>
      </c>
      <c r="I66" s="3085"/>
      <c r="J66" s="3085"/>
      <c r="K66" s="3081">
        <v>3</v>
      </c>
      <c r="L66" s="3080"/>
      <c r="M66" s="3086">
        <v>15000</v>
      </c>
      <c r="N66" s="3087">
        <f t="shared" si="14"/>
        <v>0</v>
      </c>
      <c r="O66" s="3080">
        <v>0</v>
      </c>
      <c r="P66" s="3086">
        <v>20000</v>
      </c>
      <c r="Q66" s="3088">
        <f t="shared" si="0"/>
        <v>0</v>
      </c>
      <c r="R66" s="3089">
        <f t="shared" si="1"/>
        <v>0</v>
      </c>
      <c r="S66" s="3080">
        <f t="shared" si="15"/>
        <v>3</v>
      </c>
      <c r="T66" s="3086">
        <v>15000</v>
      </c>
      <c r="U66" s="3088">
        <f t="shared" si="16"/>
        <v>45000</v>
      </c>
      <c r="V66" s="3080">
        <v>0</v>
      </c>
      <c r="W66" s="3086">
        <v>20000</v>
      </c>
      <c r="X66" s="3088">
        <f t="shared" si="2"/>
        <v>0</v>
      </c>
      <c r="Y66" s="3089">
        <f t="shared" si="3"/>
        <v>45000</v>
      </c>
      <c r="Z66" s="3090">
        <v>24</v>
      </c>
      <c r="AA66" s="3091">
        <v>150</v>
      </c>
      <c r="AB66" s="3087">
        <f t="shared" si="4"/>
        <v>3600</v>
      </c>
      <c r="AC66" s="3092"/>
      <c r="AD66" s="3092"/>
      <c r="AE66" s="3093">
        <f t="shared" si="17"/>
        <v>3600</v>
      </c>
      <c r="AF66" s="3094">
        <f t="shared" si="5"/>
        <v>48600</v>
      </c>
    </row>
    <row r="67" spans="1:32" s="3095" customFormat="1" ht="30" customHeight="1">
      <c r="A67" s="3082">
        <v>49</v>
      </c>
      <c r="B67" s="3083" t="s">
        <v>1261</v>
      </c>
      <c r="C67" s="3083" t="s">
        <v>1186</v>
      </c>
      <c r="D67" s="3083" t="s">
        <v>1259</v>
      </c>
      <c r="E67" s="3084" t="s">
        <v>1188</v>
      </c>
      <c r="F67" s="3084" t="s">
        <v>1189</v>
      </c>
      <c r="G67" s="3080" t="s">
        <v>1190</v>
      </c>
      <c r="H67" s="3084" t="s">
        <v>1187</v>
      </c>
      <c r="I67" s="3085"/>
      <c r="J67" s="3085"/>
      <c r="K67" s="3081">
        <v>3</v>
      </c>
      <c r="L67" s="3080"/>
      <c r="M67" s="3086">
        <v>15000</v>
      </c>
      <c r="N67" s="3087">
        <f t="shared" si="14"/>
        <v>0</v>
      </c>
      <c r="O67" s="3080">
        <v>0</v>
      </c>
      <c r="P67" s="3086">
        <v>20000</v>
      </c>
      <c r="Q67" s="3088">
        <f t="shared" si="0"/>
        <v>0</v>
      </c>
      <c r="R67" s="3089">
        <f t="shared" si="1"/>
        <v>0</v>
      </c>
      <c r="S67" s="3080">
        <f t="shared" si="15"/>
        <v>3</v>
      </c>
      <c r="T67" s="3086">
        <v>15000</v>
      </c>
      <c r="U67" s="3088">
        <f t="shared" si="16"/>
        <v>45000</v>
      </c>
      <c r="V67" s="3080">
        <v>0</v>
      </c>
      <c r="W67" s="3086">
        <v>20000</v>
      </c>
      <c r="X67" s="3088">
        <f t="shared" si="2"/>
        <v>0</v>
      </c>
      <c r="Y67" s="3089">
        <f t="shared" si="3"/>
        <v>45000</v>
      </c>
      <c r="Z67" s="3090">
        <v>24</v>
      </c>
      <c r="AA67" s="3091">
        <v>150</v>
      </c>
      <c r="AB67" s="3087">
        <f t="shared" si="4"/>
        <v>3600</v>
      </c>
      <c r="AC67" s="3092"/>
      <c r="AD67" s="3092"/>
      <c r="AE67" s="3093">
        <f t="shared" si="17"/>
        <v>3600</v>
      </c>
      <c r="AF67" s="3094">
        <f t="shared" si="5"/>
        <v>48600</v>
      </c>
    </row>
    <row r="68" spans="1:32" s="3095" customFormat="1" ht="30" customHeight="1">
      <c r="A68" s="3082">
        <v>50</v>
      </c>
      <c r="B68" s="3083" t="s">
        <v>1262</v>
      </c>
      <c r="C68" s="3083" t="s">
        <v>1196</v>
      </c>
      <c r="D68" s="3083" t="s">
        <v>1259</v>
      </c>
      <c r="E68" s="3084" t="s">
        <v>1188</v>
      </c>
      <c r="F68" s="3084" t="s">
        <v>1189</v>
      </c>
      <c r="G68" s="3080" t="s">
        <v>1190</v>
      </c>
      <c r="H68" s="3084" t="s">
        <v>1187</v>
      </c>
      <c r="I68" s="3085"/>
      <c r="J68" s="3085"/>
      <c r="K68" s="3081">
        <v>3</v>
      </c>
      <c r="L68" s="3080"/>
      <c r="M68" s="3086">
        <v>15000</v>
      </c>
      <c r="N68" s="3087">
        <f t="shared" si="14"/>
        <v>0</v>
      </c>
      <c r="O68" s="3080">
        <v>0</v>
      </c>
      <c r="P68" s="3086">
        <v>20000</v>
      </c>
      <c r="Q68" s="3088">
        <f t="shared" si="0"/>
        <v>0</v>
      </c>
      <c r="R68" s="3089">
        <f t="shared" si="1"/>
        <v>0</v>
      </c>
      <c r="S68" s="3080">
        <f t="shared" si="15"/>
        <v>3</v>
      </c>
      <c r="T68" s="3086">
        <v>15000</v>
      </c>
      <c r="U68" s="3088">
        <f t="shared" si="16"/>
        <v>45000</v>
      </c>
      <c r="V68" s="3080">
        <v>0</v>
      </c>
      <c r="W68" s="3086">
        <v>20000</v>
      </c>
      <c r="X68" s="3088">
        <f t="shared" si="2"/>
        <v>0</v>
      </c>
      <c r="Y68" s="3089">
        <f t="shared" si="3"/>
        <v>45000</v>
      </c>
      <c r="Z68" s="3090">
        <v>24</v>
      </c>
      <c r="AA68" s="3091">
        <v>150</v>
      </c>
      <c r="AB68" s="3087">
        <f t="shared" si="4"/>
        <v>3600</v>
      </c>
      <c r="AC68" s="3092"/>
      <c r="AD68" s="3092"/>
      <c r="AE68" s="3093">
        <f t="shared" si="17"/>
        <v>3600</v>
      </c>
      <c r="AF68" s="3094">
        <f t="shared" si="5"/>
        <v>48600</v>
      </c>
    </row>
    <row r="69" spans="1:32" s="3095" customFormat="1" ht="30" customHeight="1">
      <c r="A69" s="3082">
        <v>51</v>
      </c>
      <c r="B69" s="3083" t="s">
        <v>1263</v>
      </c>
      <c r="C69" s="3083" t="s">
        <v>1196</v>
      </c>
      <c r="D69" s="3083" t="s">
        <v>1264</v>
      </c>
      <c r="E69" s="3084" t="s">
        <v>1188</v>
      </c>
      <c r="F69" s="3084" t="s">
        <v>1189</v>
      </c>
      <c r="G69" s="3080" t="s">
        <v>1190</v>
      </c>
      <c r="H69" s="3084" t="s">
        <v>1187</v>
      </c>
      <c r="I69" s="3085"/>
      <c r="J69" s="3085"/>
      <c r="K69" s="3081">
        <v>3</v>
      </c>
      <c r="L69" s="3080"/>
      <c r="M69" s="3086">
        <v>15000</v>
      </c>
      <c r="N69" s="3087">
        <f t="shared" si="14"/>
        <v>0</v>
      </c>
      <c r="O69" s="3080">
        <v>0</v>
      </c>
      <c r="P69" s="3086">
        <v>20000</v>
      </c>
      <c r="Q69" s="3088">
        <f t="shared" si="0"/>
        <v>0</v>
      </c>
      <c r="R69" s="3089">
        <f t="shared" si="1"/>
        <v>0</v>
      </c>
      <c r="S69" s="3080">
        <f t="shared" si="15"/>
        <v>3</v>
      </c>
      <c r="T69" s="3086">
        <v>15000</v>
      </c>
      <c r="U69" s="3088">
        <f t="shared" si="16"/>
        <v>45000</v>
      </c>
      <c r="V69" s="3080">
        <v>0</v>
      </c>
      <c r="W69" s="3086">
        <v>20000</v>
      </c>
      <c r="X69" s="3088">
        <f t="shared" si="2"/>
        <v>0</v>
      </c>
      <c r="Y69" s="3089">
        <f t="shared" si="3"/>
        <v>45000</v>
      </c>
      <c r="Z69" s="3090">
        <v>16</v>
      </c>
      <c r="AA69" s="3091">
        <v>150</v>
      </c>
      <c r="AB69" s="3087">
        <f t="shared" si="4"/>
        <v>2400</v>
      </c>
      <c r="AC69" s="3092"/>
      <c r="AD69" s="3092"/>
      <c r="AE69" s="3093">
        <f t="shared" si="17"/>
        <v>2400</v>
      </c>
      <c r="AF69" s="3094">
        <f t="shared" si="5"/>
        <v>47400</v>
      </c>
    </row>
    <row r="70" spans="1:32" s="3095" customFormat="1" ht="30" customHeight="1">
      <c r="A70" s="3082">
        <v>52</v>
      </c>
      <c r="B70" s="3083" t="s">
        <v>1265</v>
      </c>
      <c r="C70" s="3083" t="s">
        <v>1202</v>
      </c>
      <c r="D70" s="3083" t="s">
        <v>1264</v>
      </c>
      <c r="E70" s="3084" t="s">
        <v>1188</v>
      </c>
      <c r="F70" s="3084" t="s">
        <v>1189</v>
      </c>
      <c r="G70" s="3080" t="s">
        <v>1190</v>
      </c>
      <c r="H70" s="3084" t="s">
        <v>1187</v>
      </c>
      <c r="I70" s="3085"/>
      <c r="J70" s="3085"/>
      <c r="K70" s="3081">
        <v>3</v>
      </c>
      <c r="L70" s="3080"/>
      <c r="M70" s="3086">
        <v>15000</v>
      </c>
      <c r="N70" s="3087">
        <f t="shared" si="14"/>
        <v>0</v>
      </c>
      <c r="O70" s="3080">
        <v>0</v>
      </c>
      <c r="P70" s="3086">
        <v>20000</v>
      </c>
      <c r="Q70" s="3088">
        <f t="shared" si="0"/>
        <v>0</v>
      </c>
      <c r="R70" s="3089">
        <f t="shared" si="1"/>
        <v>0</v>
      </c>
      <c r="S70" s="3080">
        <f t="shared" si="15"/>
        <v>3</v>
      </c>
      <c r="T70" s="3086">
        <v>15000</v>
      </c>
      <c r="U70" s="3088">
        <f t="shared" si="16"/>
        <v>45000</v>
      </c>
      <c r="V70" s="3080">
        <v>0</v>
      </c>
      <c r="W70" s="3086">
        <v>20000</v>
      </c>
      <c r="X70" s="3088">
        <f t="shared" si="2"/>
        <v>0</v>
      </c>
      <c r="Y70" s="3089">
        <f t="shared" si="3"/>
        <v>45000</v>
      </c>
      <c r="Z70" s="3090">
        <v>16</v>
      </c>
      <c r="AA70" s="3091">
        <v>150</v>
      </c>
      <c r="AB70" s="3087">
        <f t="shared" si="4"/>
        <v>2400</v>
      </c>
      <c r="AC70" s="3092"/>
      <c r="AD70" s="3092"/>
      <c r="AE70" s="3093">
        <f t="shared" si="17"/>
        <v>2400</v>
      </c>
      <c r="AF70" s="3094">
        <f t="shared" si="5"/>
        <v>47400</v>
      </c>
    </row>
    <row r="71" spans="1:32" s="3095" customFormat="1" ht="30" customHeight="1">
      <c r="A71" s="3082">
        <v>53</v>
      </c>
      <c r="B71" s="3083" t="s">
        <v>1266</v>
      </c>
      <c r="C71" s="3083" t="s">
        <v>1186</v>
      </c>
      <c r="D71" s="3083" t="s">
        <v>1264</v>
      </c>
      <c r="E71" s="3084" t="s">
        <v>1188</v>
      </c>
      <c r="F71" s="3084" t="s">
        <v>1189</v>
      </c>
      <c r="G71" s="3080" t="s">
        <v>1190</v>
      </c>
      <c r="H71" s="3084" t="s">
        <v>1187</v>
      </c>
      <c r="I71" s="3085"/>
      <c r="J71" s="3085"/>
      <c r="K71" s="3081">
        <v>3</v>
      </c>
      <c r="L71" s="3080"/>
      <c r="M71" s="3086">
        <v>15000</v>
      </c>
      <c r="N71" s="3087">
        <f t="shared" si="14"/>
        <v>0</v>
      </c>
      <c r="O71" s="3080">
        <v>0</v>
      </c>
      <c r="P71" s="3086">
        <v>20000</v>
      </c>
      <c r="Q71" s="3088">
        <f t="shared" si="0"/>
        <v>0</v>
      </c>
      <c r="R71" s="3089">
        <f t="shared" si="1"/>
        <v>0</v>
      </c>
      <c r="S71" s="3080">
        <f t="shared" si="15"/>
        <v>3</v>
      </c>
      <c r="T71" s="3086">
        <v>15000</v>
      </c>
      <c r="U71" s="3088">
        <f t="shared" si="16"/>
        <v>45000</v>
      </c>
      <c r="V71" s="3080">
        <v>0</v>
      </c>
      <c r="W71" s="3086">
        <v>20000</v>
      </c>
      <c r="X71" s="3088">
        <f t="shared" si="2"/>
        <v>0</v>
      </c>
      <c r="Y71" s="3089">
        <f t="shared" si="3"/>
        <v>45000</v>
      </c>
      <c r="Z71" s="3090">
        <v>16</v>
      </c>
      <c r="AA71" s="3091">
        <v>150</v>
      </c>
      <c r="AB71" s="3087">
        <f t="shared" si="4"/>
        <v>2400</v>
      </c>
      <c r="AC71" s="3092"/>
      <c r="AD71" s="3092"/>
      <c r="AE71" s="3093">
        <f t="shared" si="17"/>
        <v>2400</v>
      </c>
      <c r="AF71" s="3094">
        <f t="shared" si="5"/>
        <v>47400</v>
      </c>
    </row>
    <row r="72" spans="1:32" s="3095" customFormat="1" ht="30" customHeight="1">
      <c r="A72" s="3082">
        <v>54</v>
      </c>
      <c r="B72" s="3083" t="s">
        <v>1267</v>
      </c>
      <c r="C72" s="3083" t="s">
        <v>1194</v>
      </c>
      <c r="D72" s="3083" t="s">
        <v>1264</v>
      </c>
      <c r="E72" s="3084" t="s">
        <v>1188</v>
      </c>
      <c r="F72" s="3084" t="s">
        <v>1189</v>
      </c>
      <c r="G72" s="3080" t="s">
        <v>1190</v>
      </c>
      <c r="H72" s="3084" t="s">
        <v>1187</v>
      </c>
      <c r="I72" s="3085"/>
      <c r="J72" s="3085"/>
      <c r="K72" s="3081">
        <v>3</v>
      </c>
      <c r="L72" s="3080"/>
      <c r="M72" s="3086">
        <v>15000</v>
      </c>
      <c r="N72" s="3087">
        <f t="shared" si="14"/>
        <v>0</v>
      </c>
      <c r="O72" s="3080">
        <v>0</v>
      </c>
      <c r="P72" s="3086">
        <v>20000</v>
      </c>
      <c r="Q72" s="3088">
        <f t="shared" si="0"/>
        <v>0</v>
      </c>
      <c r="R72" s="3089">
        <f t="shared" si="1"/>
        <v>0</v>
      </c>
      <c r="S72" s="3080">
        <f t="shared" si="15"/>
        <v>3</v>
      </c>
      <c r="T72" s="3086">
        <v>15000</v>
      </c>
      <c r="U72" s="3088">
        <f t="shared" si="16"/>
        <v>45000</v>
      </c>
      <c r="V72" s="3080">
        <v>0</v>
      </c>
      <c r="W72" s="3086">
        <v>20000</v>
      </c>
      <c r="X72" s="3088">
        <f t="shared" si="2"/>
        <v>0</v>
      </c>
      <c r="Y72" s="3089">
        <f t="shared" si="3"/>
        <v>45000</v>
      </c>
      <c r="Z72" s="3090">
        <v>16</v>
      </c>
      <c r="AA72" s="3091">
        <v>150</v>
      </c>
      <c r="AB72" s="3087">
        <f t="shared" si="4"/>
        <v>2400</v>
      </c>
      <c r="AC72" s="3092"/>
      <c r="AD72" s="3092"/>
      <c r="AE72" s="3093">
        <f t="shared" si="17"/>
        <v>2400</v>
      </c>
      <c r="AF72" s="3094">
        <f t="shared" si="5"/>
        <v>47400</v>
      </c>
    </row>
    <row r="73" spans="1:32" s="3095" customFormat="1" ht="30" customHeight="1">
      <c r="A73" s="3082">
        <v>55</v>
      </c>
      <c r="B73" s="3083" t="s">
        <v>1268</v>
      </c>
      <c r="C73" s="3083" t="s">
        <v>1196</v>
      </c>
      <c r="D73" s="3083" t="s">
        <v>1269</v>
      </c>
      <c r="E73" s="3084" t="s">
        <v>1188</v>
      </c>
      <c r="F73" s="3084" t="s">
        <v>1189</v>
      </c>
      <c r="G73" s="3080" t="s">
        <v>1190</v>
      </c>
      <c r="H73" s="3084" t="s">
        <v>1187</v>
      </c>
      <c r="I73" s="3085"/>
      <c r="J73" s="3085"/>
      <c r="K73" s="3081">
        <v>3</v>
      </c>
      <c r="L73" s="3080"/>
      <c r="M73" s="3086">
        <v>15000</v>
      </c>
      <c r="N73" s="3087">
        <f t="shared" si="14"/>
        <v>0</v>
      </c>
      <c r="O73" s="3080">
        <v>0</v>
      </c>
      <c r="P73" s="3086">
        <v>20000</v>
      </c>
      <c r="Q73" s="3088">
        <f t="shared" si="0"/>
        <v>0</v>
      </c>
      <c r="R73" s="3089">
        <f t="shared" si="1"/>
        <v>0</v>
      </c>
      <c r="S73" s="3080">
        <f t="shared" si="15"/>
        <v>3</v>
      </c>
      <c r="T73" s="3086">
        <v>15000</v>
      </c>
      <c r="U73" s="3088">
        <f t="shared" si="16"/>
        <v>45000</v>
      </c>
      <c r="V73" s="3080">
        <v>0</v>
      </c>
      <c r="W73" s="3086">
        <v>20000</v>
      </c>
      <c r="X73" s="3088">
        <f t="shared" si="2"/>
        <v>0</v>
      </c>
      <c r="Y73" s="3089">
        <f t="shared" si="3"/>
        <v>45000</v>
      </c>
      <c r="Z73" s="3090">
        <v>2</v>
      </c>
      <c r="AA73" s="3091">
        <v>0</v>
      </c>
      <c r="AB73" s="3087">
        <f t="shared" si="4"/>
        <v>0</v>
      </c>
      <c r="AC73" s="3092"/>
      <c r="AD73" s="3092"/>
      <c r="AE73" s="3093">
        <f t="shared" si="17"/>
        <v>0</v>
      </c>
      <c r="AF73" s="3094">
        <f t="shared" si="5"/>
        <v>45000</v>
      </c>
    </row>
    <row r="74" spans="1:32" s="3095" customFormat="1" ht="30" customHeight="1">
      <c r="A74" s="3082">
        <v>56</v>
      </c>
      <c r="B74" s="3083" t="s">
        <v>1270</v>
      </c>
      <c r="C74" s="3083" t="s">
        <v>1196</v>
      </c>
      <c r="D74" s="3083" t="s">
        <v>1269</v>
      </c>
      <c r="E74" s="3084" t="s">
        <v>1188</v>
      </c>
      <c r="F74" s="3084" t="s">
        <v>1189</v>
      </c>
      <c r="G74" s="3080" t="s">
        <v>1190</v>
      </c>
      <c r="H74" s="3084" t="s">
        <v>1187</v>
      </c>
      <c r="I74" s="3085"/>
      <c r="J74" s="3085"/>
      <c r="K74" s="3081">
        <v>3</v>
      </c>
      <c r="L74" s="3080"/>
      <c r="M74" s="3086">
        <v>15000</v>
      </c>
      <c r="N74" s="3087">
        <f>M74*L74</f>
        <v>0</v>
      </c>
      <c r="O74" s="3080">
        <v>0</v>
      </c>
      <c r="P74" s="3086">
        <v>20000</v>
      </c>
      <c r="Q74" s="3088">
        <f t="shared" si="0"/>
        <v>0</v>
      </c>
      <c r="R74" s="3089">
        <f t="shared" si="1"/>
        <v>0</v>
      </c>
      <c r="S74" s="3080">
        <f>+K74</f>
        <v>3</v>
      </c>
      <c r="T74" s="3086">
        <v>15000</v>
      </c>
      <c r="U74" s="3088">
        <f>T74*S74</f>
        <v>45000</v>
      </c>
      <c r="V74" s="3080">
        <v>0</v>
      </c>
      <c r="W74" s="3086">
        <v>20000</v>
      </c>
      <c r="X74" s="3088">
        <f t="shared" si="2"/>
        <v>0</v>
      </c>
      <c r="Y74" s="3089">
        <f t="shared" si="3"/>
        <v>45000</v>
      </c>
      <c r="Z74" s="3090">
        <v>2</v>
      </c>
      <c r="AA74" s="3091">
        <v>0</v>
      </c>
      <c r="AB74" s="3087">
        <f t="shared" si="4"/>
        <v>0</v>
      </c>
      <c r="AC74" s="3092"/>
      <c r="AD74" s="3092"/>
      <c r="AE74" s="3093">
        <f>AB74</f>
        <v>0</v>
      </c>
      <c r="AF74" s="3094">
        <f t="shared" si="5"/>
        <v>45000</v>
      </c>
    </row>
    <row r="75" spans="1:32" s="3095" customFormat="1" ht="30" customHeight="1">
      <c r="A75" s="3082">
        <v>57</v>
      </c>
      <c r="B75" s="3083" t="s">
        <v>1271</v>
      </c>
      <c r="C75" s="3083" t="s">
        <v>1186</v>
      </c>
      <c r="D75" s="3083" t="s">
        <v>1269</v>
      </c>
      <c r="E75" s="3084" t="s">
        <v>1188</v>
      </c>
      <c r="F75" s="3084" t="s">
        <v>1189</v>
      </c>
      <c r="G75" s="3080" t="s">
        <v>1190</v>
      </c>
      <c r="H75" s="3084" t="s">
        <v>1187</v>
      </c>
      <c r="I75" s="3085"/>
      <c r="J75" s="3085"/>
      <c r="K75" s="3081">
        <v>3</v>
      </c>
      <c r="L75" s="3080"/>
      <c r="M75" s="3086">
        <v>15000</v>
      </c>
      <c r="N75" s="3087">
        <f t="shared" ref="N75:N98" si="18">M75*L75</f>
        <v>0</v>
      </c>
      <c r="O75" s="3080">
        <v>0</v>
      </c>
      <c r="P75" s="3086">
        <v>20000</v>
      </c>
      <c r="Q75" s="3088">
        <f t="shared" si="0"/>
        <v>0</v>
      </c>
      <c r="R75" s="3089">
        <f t="shared" si="1"/>
        <v>0</v>
      </c>
      <c r="S75" s="3080">
        <f t="shared" ref="S75:S98" si="19">+K75</f>
        <v>3</v>
      </c>
      <c r="T75" s="3086">
        <v>15000</v>
      </c>
      <c r="U75" s="3088">
        <f t="shared" ref="U75:U98" si="20">T75*S75</f>
        <v>45000</v>
      </c>
      <c r="V75" s="3080">
        <v>0</v>
      </c>
      <c r="W75" s="3086">
        <v>20000</v>
      </c>
      <c r="X75" s="3088">
        <f t="shared" si="2"/>
        <v>0</v>
      </c>
      <c r="Y75" s="3089">
        <f t="shared" si="3"/>
        <v>45000</v>
      </c>
      <c r="Z75" s="3090">
        <v>2</v>
      </c>
      <c r="AA75" s="3091">
        <v>0</v>
      </c>
      <c r="AB75" s="3087">
        <f t="shared" si="4"/>
        <v>0</v>
      </c>
      <c r="AC75" s="3092"/>
      <c r="AD75" s="3092"/>
      <c r="AE75" s="3093">
        <f t="shared" ref="AE75:AE98" si="21">AB75</f>
        <v>0</v>
      </c>
      <c r="AF75" s="3094">
        <f t="shared" si="5"/>
        <v>45000</v>
      </c>
    </row>
    <row r="76" spans="1:32" s="3095" customFormat="1" ht="30" customHeight="1">
      <c r="A76" s="3082">
        <v>58</v>
      </c>
      <c r="B76" s="3083" t="s">
        <v>1272</v>
      </c>
      <c r="C76" s="3083" t="s">
        <v>1192</v>
      </c>
      <c r="D76" s="3083" t="s">
        <v>1269</v>
      </c>
      <c r="E76" s="3084" t="s">
        <v>1188</v>
      </c>
      <c r="F76" s="3084" t="s">
        <v>1189</v>
      </c>
      <c r="G76" s="3080" t="s">
        <v>1190</v>
      </c>
      <c r="H76" s="3084" t="s">
        <v>1187</v>
      </c>
      <c r="I76" s="3085"/>
      <c r="J76" s="3085"/>
      <c r="K76" s="3081">
        <v>3</v>
      </c>
      <c r="L76" s="3080"/>
      <c r="M76" s="3086">
        <v>15000</v>
      </c>
      <c r="N76" s="3087">
        <f t="shared" si="18"/>
        <v>0</v>
      </c>
      <c r="O76" s="3080">
        <v>0</v>
      </c>
      <c r="P76" s="3086">
        <v>20000</v>
      </c>
      <c r="Q76" s="3088">
        <f t="shared" si="0"/>
        <v>0</v>
      </c>
      <c r="R76" s="3089">
        <f t="shared" si="1"/>
        <v>0</v>
      </c>
      <c r="S76" s="3080">
        <f t="shared" si="19"/>
        <v>3</v>
      </c>
      <c r="T76" s="3086">
        <v>15000</v>
      </c>
      <c r="U76" s="3088">
        <f t="shared" si="20"/>
        <v>45000</v>
      </c>
      <c r="V76" s="3080">
        <v>0</v>
      </c>
      <c r="W76" s="3086">
        <v>20000</v>
      </c>
      <c r="X76" s="3088">
        <f t="shared" si="2"/>
        <v>0</v>
      </c>
      <c r="Y76" s="3089">
        <f t="shared" si="3"/>
        <v>45000</v>
      </c>
      <c r="Z76" s="3090">
        <v>2</v>
      </c>
      <c r="AA76" s="3091">
        <v>0</v>
      </c>
      <c r="AB76" s="3087">
        <f t="shared" si="4"/>
        <v>0</v>
      </c>
      <c r="AC76" s="3092"/>
      <c r="AD76" s="3092"/>
      <c r="AE76" s="3093">
        <f t="shared" si="21"/>
        <v>0</v>
      </c>
      <c r="AF76" s="3094">
        <f t="shared" si="5"/>
        <v>45000</v>
      </c>
    </row>
    <row r="77" spans="1:32" s="3095" customFormat="1" ht="30" customHeight="1">
      <c r="A77" s="3082">
        <v>59</v>
      </c>
      <c r="B77" s="3083" t="s">
        <v>1273</v>
      </c>
      <c r="C77" s="3083" t="s">
        <v>1186</v>
      </c>
      <c r="D77" s="3083" t="s">
        <v>1274</v>
      </c>
      <c r="E77" s="3084" t="s">
        <v>1188</v>
      </c>
      <c r="F77" s="3084" t="s">
        <v>1189</v>
      </c>
      <c r="G77" s="3080" t="s">
        <v>1190</v>
      </c>
      <c r="H77" s="3084" t="s">
        <v>1187</v>
      </c>
      <c r="I77" s="3085"/>
      <c r="J77" s="3085"/>
      <c r="K77" s="3081">
        <v>3</v>
      </c>
      <c r="L77" s="3080"/>
      <c r="M77" s="3086">
        <v>15000</v>
      </c>
      <c r="N77" s="3087">
        <f t="shared" si="18"/>
        <v>0</v>
      </c>
      <c r="O77" s="3080">
        <v>0</v>
      </c>
      <c r="P77" s="3086">
        <v>20000</v>
      </c>
      <c r="Q77" s="3088">
        <f t="shared" si="0"/>
        <v>0</v>
      </c>
      <c r="R77" s="3089">
        <f t="shared" si="1"/>
        <v>0</v>
      </c>
      <c r="S77" s="3080">
        <f t="shared" si="19"/>
        <v>3</v>
      </c>
      <c r="T77" s="3086">
        <v>15000</v>
      </c>
      <c r="U77" s="3088">
        <f t="shared" si="20"/>
        <v>45000</v>
      </c>
      <c r="V77" s="3080">
        <v>0</v>
      </c>
      <c r="W77" s="3086">
        <v>20000</v>
      </c>
      <c r="X77" s="3088">
        <f t="shared" si="2"/>
        <v>0</v>
      </c>
      <c r="Y77" s="3089">
        <f t="shared" si="3"/>
        <v>45000</v>
      </c>
      <c r="Z77" s="3090">
        <v>2</v>
      </c>
      <c r="AA77" s="3091">
        <v>0</v>
      </c>
      <c r="AB77" s="3087">
        <f t="shared" si="4"/>
        <v>0</v>
      </c>
      <c r="AC77" s="3092"/>
      <c r="AD77" s="3092"/>
      <c r="AE77" s="3093">
        <f t="shared" si="21"/>
        <v>0</v>
      </c>
      <c r="AF77" s="3094">
        <f t="shared" si="5"/>
        <v>45000</v>
      </c>
    </row>
    <row r="78" spans="1:32" s="3095" customFormat="1" ht="30" customHeight="1">
      <c r="A78" s="3082">
        <v>60</v>
      </c>
      <c r="B78" s="3083" t="s">
        <v>1275</v>
      </c>
      <c r="C78" s="3083" t="s">
        <v>1194</v>
      </c>
      <c r="D78" s="3083" t="s">
        <v>1274</v>
      </c>
      <c r="E78" s="3084" t="s">
        <v>1188</v>
      </c>
      <c r="F78" s="3084" t="s">
        <v>1189</v>
      </c>
      <c r="G78" s="3080" t="s">
        <v>1190</v>
      </c>
      <c r="H78" s="3084" t="s">
        <v>1187</v>
      </c>
      <c r="I78" s="3085"/>
      <c r="J78" s="3085"/>
      <c r="K78" s="3081">
        <v>3</v>
      </c>
      <c r="L78" s="3080"/>
      <c r="M78" s="3086">
        <v>15000</v>
      </c>
      <c r="N78" s="3087">
        <f t="shared" si="18"/>
        <v>0</v>
      </c>
      <c r="O78" s="3080">
        <v>0</v>
      </c>
      <c r="P78" s="3086">
        <v>20000</v>
      </c>
      <c r="Q78" s="3088">
        <f t="shared" si="0"/>
        <v>0</v>
      </c>
      <c r="R78" s="3089">
        <f t="shared" si="1"/>
        <v>0</v>
      </c>
      <c r="S78" s="3080">
        <f t="shared" si="19"/>
        <v>3</v>
      </c>
      <c r="T78" s="3086">
        <v>15000</v>
      </c>
      <c r="U78" s="3088">
        <f t="shared" si="20"/>
        <v>45000</v>
      </c>
      <c r="V78" s="3080">
        <v>0</v>
      </c>
      <c r="W78" s="3086">
        <v>20000</v>
      </c>
      <c r="X78" s="3088">
        <f t="shared" si="2"/>
        <v>0</v>
      </c>
      <c r="Y78" s="3089">
        <f t="shared" si="3"/>
        <v>45000</v>
      </c>
      <c r="Z78" s="3090">
        <v>2</v>
      </c>
      <c r="AA78" s="3091">
        <v>0</v>
      </c>
      <c r="AB78" s="3087">
        <f t="shared" si="4"/>
        <v>0</v>
      </c>
      <c r="AC78" s="3092"/>
      <c r="AD78" s="3092"/>
      <c r="AE78" s="3093">
        <f t="shared" si="21"/>
        <v>0</v>
      </c>
      <c r="AF78" s="3094">
        <f t="shared" si="5"/>
        <v>45000</v>
      </c>
    </row>
    <row r="79" spans="1:32" s="3095" customFormat="1" ht="30" customHeight="1">
      <c r="A79" s="3082">
        <v>61</v>
      </c>
      <c r="B79" s="3083" t="s">
        <v>1276</v>
      </c>
      <c r="C79" s="3083" t="s">
        <v>1186</v>
      </c>
      <c r="D79" s="3083" t="s">
        <v>1274</v>
      </c>
      <c r="E79" s="3084" t="s">
        <v>1188</v>
      </c>
      <c r="F79" s="3084" t="s">
        <v>1189</v>
      </c>
      <c r="G79" s="3080" t="s">
        <v>1190</v>
      </c>
      <c r="H79" s="3084" t="s">
        <v>1187</v>
      </c>
      <c r="I79" s="3085"/>
      <c r="J79" s="3085"/>
      <c r="K79" s="3081">
        <v>3</v>
      </c>
      <c r="L79" s="3080"/>
      <c r="M79" s="3086">
        <v>15000</v>
      </c>
      <c r="N79" s="3087">
        <f t="shared" si="18"/>
        <v>0</v>
      </c>
      <c r="O79" s="3080">
        <v>0</v>
      </c>
      <c r="P79" s="3086">
        <v>20000</v>
      </c>
      <c r="Q79" s="3088">
        <f t="shared" si="0"/>
        <v>0</v>
      </c>
      <c r="R79" s="3089">
        <f t="shared" si="1"/>
        <v>0</v>
      </c>
      <c r="S79" s="3080">
        <f t="shared" si="19"/>
        <v>3</v>
      </c>
      <c r="T79" s="3086">
        <v>15000</v>
      </c>
      <c r="U79" s="3088">
        <f t="shared" si="20"/>
        <v>45000</v>
      </c>
      <c r="V79" s="3080">
        <v>0</v>
      </c>
      <c r="W79" s="3086">
        <v>20000</v>
      </c>
      <c r="X79" s="3088">
        <f t="shared" si="2"/>
        <v>0</v>
      </c>
      <c r="Y79" s="3089">
        <f t="shared" si="3"/>
        <v>45000</v>
      </c>
      <c r="Z79" s="3090">
        <v>2</v>
      </c>
      <c r="AA79" s="3091">
        <v>0</v>
      </c>
      <c r="AB79" s="3087">
        <f t="shared" si="4"/>
        <v>0</v>
      </c>
      <c r="AC79" s="3092"/>
      <c r="AD79" s="3092"/>
      <c r="AE79" s="3093">
        <f t="shared" si="21"/>
        <v>0</v>
      </c>
      <c r="AF79" s="3094">
        <f t="shared" si="5"/>
        <v>45000</v>
      </c>
    </row>
    <row r="80" spans="1:32" s="3095" customFormat="1" ht="30" customHeight="1">
      <c r="A80" s="3082">
        <v>62</v>
      </c>
      <c r="B80" s="3083" t="s">
        <v>1277</v>
      </c>
      <c r="C80" s="3083" t="s">
        <v>1196</v>
      </c>
      <c r="D80" s="3083" t="s">
        <v>1274</v>
      </c>
      <c r="E80" s="3084" t="s">
        <v>1188</v>
      </c>
      <c r="F80" s="3084" t="s">
        <v>1189</v>
      </c>
      <c r="G80" s="3080" t="s">
        <v>1190</v>
      </c>
      <c r="H80" s="3084" t="s">
        <v>1187</v>
      </c>
      <c r="I80" s="3085"/>
      <c r="J80" s="3085"/>
      <c r="K80" s="3081">
        <v>3</v>
      </c>
      <c r="L80" s="3080"/>
      <c r="M80" s="3086">
        <v>15000</v>
      </c>
      <c r="N80" s="3087">
        <f t="shared" si="18"/>
        <v>0</v>
      </c>
      <c r="O80" s="3080">
        <v>0</v>
      </c>
      <c r="P80" s="3086">
        <v>20000</v>
      </c>
      <c r="Q80" s="3088">
        <f t="shared" si="0"/>
        <v>0</v>
      </c>
      <c r="R80" s="3089">
        <f t="shared" si="1"/>
        <v>0</v>
      </c>
      <c r="S80" s="3080">
        <f t="shared" si="19"/>
        <v>3</v>
      </c>
      <c r="T80" s="3086">
        <v>15000</v>
      </c>
      <c r="U80" s="3088">
        <f t="shared" si="20"/>
        <v>45000</v>
      </c>
      <c r="V80" s="3080">
        <v>0</v>
      </c>
      <c r="W80" s="3086">
        <v>20000</v>
      </c>
      <c r="X80" s="3088">
        <f t="shared" si="2"/>
        <v>0</v>
      </c>
      <c r="Y80" s="3089">
        <f t="shared" si="3"/>
        <v>45000</v>
      </c>
      <c r="Z80" s="3090">
        <v>2</v>
      </c>
      <c r="AA80" s="3091">
        <v>0</v>
      </c>
      <c r="AB80" s="3087">
        <f t="shared" si="4"/>
        <v>0</v>
      </c>
      <c r="AC80" s="3092"/>
      <c r="AD80" s="3092"/>
      <c r="AE80" s="3093">
        <f t="shared" si="21"/>
        <v>0</v>
      </c>
      <c r="AF80" s="3094">
        <f t="shared" si="5"/>
        <v>45000</v>
      </c>
    </row>
    <row r="81" spans="1:32" s="3095" customFormat="1" ht="30" customHeight="1">
      <c r="A81" s="3082">
        <v>63</v>
      </c>
      <c r="B81" s="3083" t="s">
        <v>1278</v>
      </c>
      <c r="C81" s="3083" t="s">
        <v>1279</v>
      </c>
      <c r="D81" s="3083" t="s">
        <v>1280</v>
      </c>
      <c r="E81" s="3084" t="s">
        <v>1188</v>
      </c>
      <c r="F81" s="3084" t="s">
        <v>1189</v>
      </c>
      <c r="G81" s="3080" t="s">
        <v>1240</v>
      </c>
      <c r="H81" s="3084" t="s">
        <v>1187</v>
      </c>
      <c r="I81" s="3085"/>
      <c r="J81" s="3085"/>
      <c r="K81" s="3081">
        <v>3</v>
      </c>
      <c r="L81" s="3080"/>
      <c r="M81" s="3086">
        <v>36000</v>
      </c>
      <c r="N81" s="3087">
        <f t="shared" si="18"/>
        <v>0</v>
      </c>
      <c r="O81" s="3080">
        <v>0</v>
      </c>
      <c r="P81" s="3086">
        <v>20000</v>
      </c>
      <c r="Q81" s="3088">
        <f t="shared" si="0"/>
        <v>0</v>
      </c>
      <c r="R81" s="3089">
        <f t="shared" si="1"/>
        <v>0</v>
      </c>
      <c r="S81" s="3080">
        <f t="shared" si="19"/>
        <v>3</v>
      </c>
      <c r="T81" s="3086">
        <v>36000</v>
      </c>
      <c r="U81" s="3088">
        <f t="shared" si="20"/>
        <v>108000</v>
      </c>
      <c r="V81" s="3080">
        <v>0</v>
      </c>
      <c r="W81" s="3086">
        <v>20000</v>
      </c>
      <c r="X81" s="3088">
        <f t="shared" si="2"/>
        <v>0</v>
      </c>
      <c r="Y81" s="3089">
        <f t="shared" si="3"/>
        <v>108000</v>
      </c>
      <c r="Z81" s="3090">
        <v>44</v>
      </c>
      <c r="AA81" s="3091">
        <v>150</v>
      </c>
      <c r="AB81" s="3087">
        <f t="shared" si="4"/>
        <v>6600</v>
      </c>
      <c r="AC81" s="3092"/>
      <c r="AD81" s="3092"/>
      <c r="AE81" s="3093">
        <f t="shared" si="21"/>
        <v>6600</v>
      </c>
      <c r="AF81" s="3094">
        <f t="shared" si="5"/>
        <v>114600</v>
      </c>
    </row>
    <row r="82" spans="1:32" s="3095" customFormat="1" ht="30" customHeight="1">
      <c r="A82" s="3082">
        <v>64</v>
      </c>
      <c r="B82" s="3083" t="s">
        <v>1281</v>
      </c>
      <c r="C82" s="3083" t="s">
        <v>1196</v>
      </c>
      <c r="D82" s="3083" t="s">
        <v>1280</v>
      </c>
      <c r="E82" s="3084" t="s">
        <v>1188</v>
      </c>
      <c r="F82" s="3084" t="s">
        <v>1189</v>
      </c>
      <c r="G82" s="3080" t="s">
        <v>1240</v>
      </c>
      <c r="H82" s="3084" t="s">
        <v>1187</v>
      </c>
      <c r="I82" s="3085"/>
      <c r="J82" s="3085"/>
      <c r="K82" s="3081">
        <v>3</v>
      </c>
      <c r="L82" s="3080"/>
      <c r="M82" s="3086">
        <v>36000</v>
      </c>
      <c r="N82" s="3087">
        <f t="shared" si="18"/>
        <v>0</v>
      </c>
      <c r="O82" s="3080">
        <v>0</v>
      </c>
      <c r="P82" s="3086">
        <v>20000</v>
      </c>
      <c r="Q82" s="3088">
        <f t="shared" si="0"/>
        <v>0</v>
      </c>
      <c r="R82" s="3089">
        <f t="shared" si="1"/>
        <v>0</v>
      </c>
      <c r="S82" s="3080">
        <f t="shared" si="19"/>
        <v>3</v>
      </c>
      <c r="T82" s="3086">
        <v>36000</v>
      </c>
      <c r="U82" s="3088">
        <f t="shared" si="20"/>
        <v>108000</v>
      </c>
      <c r="V82" s="3080">
        <v>0</v>
      </c>
      <c r="W82" s="3086">
        <v>20000</v>
      </c>
      <c r="X82" s="3088">
        <f t="shared" si="2"/>
        <v>0</v>
      </c>
      <c r="Y82" s="3089">
        <f t="shared" si="3"/>
        <v>108000</v>
      </c>
      <c r="Z82" s="3090">
        <v>44</v>
      </c>
      <c r="AA82" s="3091">
        <v>150</v>
      </c>
      <c r="AB82" s="3087">
        <f t="shared" si="4"/>
        <v>6600</v>
      </c>
      <c r="AC82" s="3092"/>
      <c r="AD82" s="3092"/>
      <c r="AE82" s="3093">
        <f t="shared" si="21"/>
        <v>6600</v>
      </c>
      <c r="AF82" s="3094">
        <f t="shared" si="5"/>
        <v>114600</v>
      </c>
    </row>
    <row r="83" spans="1:32" s="3095" customFormat="1" ht="30" customHeight="1">
      <c r="A83" s="3082">
        <v>65</v>
      </c>
      <c r="B83" s="3083" t="s">
        <v>1282</v>
      </c>
      <c r="C83" s="3083" t="s">
        <v>1194</v>
      </c>
      <c r="D83" s="3083" t="s">
        <v>1283</v>
      </c>
      <c r="E83" s="3084" t="s">
        <v>1188</v>
      </c>
      <c r="F83" s="3084" t="s">
        <v>1189</v>
      </c>
      <c r="G83" s="3080" t="s">
        <v>1240</v>
      </c>
      <c r="H83" s="3084" t="s">
        <v>1187</v>
      </c>
      <c r="I83" s="3085"/>
      <c r="J83" s="3085"/>
      <c r="K83" s="3081">
        <v>3</v>
      </c>
      <c r="L83" s="3080"/>
      <c r="M83" s="3086">
        <v>36000</v>
      </c>
      <c r="N83" s="3087">
        <f t="shared" si="18"/>
        <v>0</v>
      </c>
      <c r="O83" s="3080">
        <v>0</v>
      </c>
      <c r="P83" s="3086">
        <v>20000</v>
      </c>
      <c r="Q83" s="3088">
        <f t="shared" ref="Q83:Q146" si="22">P83*O83</f>
        <v>0</v>
      </c>
      <c r="R83" s="3089">
        <f t="shared" ref="R83:R146" si="23">N83+Q83</f>
        <v>0</v>
      </c>
      <c r="S83" s="3080">
        <f t="shared" si="19"/>
        <v>3</v>
      </c>
      <c r="T83" s="3086">
        <v>36000</v>
      </c>
      <c r="U83" s="3088">
        <f t="shared" si="20"/>
        <v>108000</v>
      </c>
      <c r="V83" s="3080">
        <v>0</v>
      </c>
      <c r="W83" s="3086">
        <v>20000</v>
      </c>
      <c r="X83" s="3088">
        <f t="shared" ref="X83:X146" si="24">V83*W83</f>
        <v>0</v>
      </c>
      <c r="Y83" s="3089">
        <f t="shared" ref="Y83:Y146" si="25">U83+X83</f>
        <v>108000</v>
      </c>
      <c r="Z83" s="3090">
        <v>40</v>
      </c>
      <c r="AA83" s="3091">
        <v>150</v>
      </c>
      <c r="AB83" s="3087">
        <f t="shared" ref="AB83:AB146" si="26">Z83*AA83</f>
        <v>6000</v>
      </c>
      <c r="AC83" s="3092"/>
      <c r="AD83" s="3092"/>
      <c r="AE83" s="3093">
        <f t="shared" si="21"/>
        <v>6000</v>
      </c>
      <c r="AF83" s="3094">
        <f t="shared" si="5"/>
        <v>114000</v>
      </c>
    </row>
    <row r="84" spans="1:32" s="3095" customFormat="1" ht="30" customHeight="1">
      <c r="A84" s="3082">
        <v>66</v>
      </c>
      <c r="B84" s="3083" t="s">
        <v>1284</v>
      </c>
      <c r="C84" s="3083" t="s">
        <v>1196</v>
      </c>
      <c r="D84" s="3083" t="s">
        <v>1283</v>
      </c>
      <c r="E84" s="3084" t="s">
        <v>1188</v>
      </c>
      <c r="F84" s="3084" t="s">
        <v>1189</v>
      </c>
      <c r="G84" s="3080" t="s">
        <v>1240</v>
      </c>
      <c r="H84" s="3084" t="s">
        <v>1187</v>
      </c>
      <c r="I84" s="3085"/>
      <c r="J84" s="3085"/>
      <c r="K84" s="3081">
        <v>3</v>
      </c>
      <c r="L84" s="3080"/>
      <c r="M84" s="3086">
        <v>36000</v>
      </c>
      <c r="N84" s="3087">
        <f t="shared" si="18"/>
        <v>0</v>
      </c>
      <c r="O84" s="3080">
        <v>0</v>
      </c>
      <c r="P84" s="3086">
        <v>20000</v>
      </c>
      <c r="Q84" s="3088">
        <f t="shared" si="22"/>
        <v>0</v>
      </c>
      <c r="R84" s="3089">
        <f t="shared" si="23"/>
        <v>0</v>
      </c>
      <c r="S84" s="3080">
        <f t="shared" si="19"/>
        <v>3</v>
      </c>
      <c r="T84" s="3086">
        <v>36000</v>
      </c>
      <c r="U84" s="3088">
        <f t="shared" si="20"/>
        <v>108000</v>
      </c>
      <c r="V84" s="3080">
        <v>0</v>
      </c>
      <c r="W84" s="3086">
        <v>20000</v>
      </c>
      <c r="X84" s="3088">
        <f t="shared" si="24"/>
        <v>0</v>
      </c>
      <c r="Y84" s="3089">
        <f t="shared" si="25"/>
        <v>108000</v>
      </c>
      <c r="Z84" s="3090">
        <v>40</v>
      </c>
      <c r="AA84" s="3091">
        <v>150</v>
      </c>
      <c r="AB84" s="3087">
        <f t="shared" si="26"/>
        <v>6000</v>
      </c>
      <c r="AC84" s="3092"/>
      <c r="AD84" s="3092"/>
      <c r="AE84" s="3093">
        <f t="shared" si="21"/>
        <v>6000</v>
      </c>
      <c r="AF84" s="3094">
        <f t="shared" si="5"/>
        <v>114000</v>
      </c>
    </row>
    <row r="85" spans="1:32" s="3095" customFormat="1" ht="30" customHeight="1">
      <c r="A85" s="3082">
        <v>67</v>
      </c>
      <c r="B85" s="3083" t="s">
        <v>1285</v>
      </c>
      <c r="C85" s="3083" t="s">
        <v>1186</v>
      </c>
      <c r="D85" s="3083" t="s">
        <v>1286</v>
      </c>
      <c r="E85" s="3084" t="s">
        <v>1188</v>
      </c>
      <c r="F85" s="3084" t="s">
        <v>1189</v>
      </c>
      <c r="G85" s="3080" t="s">
        <v>1240</v>
      </c>
      <c r="H85" s="3084" t="s">
        <v>1187</v>
      </c>
      <c r="I85" s="3085"/>
      <c r="J85" s="3085"/>
      <c r="K85" s="3081">
        <v>3</v>
      </c>
      <c r="L85" s="3080"/>
      <c r="M85" s="3086">
        <v>36000</v>
      </c>
      <c r="N85" s="3087">
        <f t="shared" si="18"/>
        <v>0</v>
      </c>
      <c r="O85" s="3080">
        <v>0</v>
      </c>
      <c r="P85" s="3086">
        <v>20000</v>
      </c>
      <c r="Q85" s="3088">
        <f t="shared" si="22"/>
        <v>0</v>
      </c>
      <c r="R85" s="3089">
        <f t="shared" si="23"/>
        <v>0</v>
      </c>
      <c r="S85" s="3080">
        <f t="shared" si="19"/>
        <v>3</v>
      </c>
      <c r="T85" s="3086">
        <v>36000</v>
      </c>
      <c r="U85" s="3088">
        <f t="shared" si="20"/>
        <v>108000</v>
      </c>
      <c r="V85" s="3080">
        <v>0</v>
      </c>
      <c r="W85" s="3086">
        <v>20000</v>
      </c>
      <c r="X85" s="3088">
        <f t="shared" si="24"/>
        <v>0</v>
      </c>
      <c r="Y85" s="3089">
        <f t="shared" si="25"/>
        <v>108000</v>
      </c>
      <c r="Z85" s="3090">
        <v>48</v>
      </c>
      <c r="AA85" s="3091">
        <v>150</v>
      </c>
      <c r="AB85" s="3087">
        <f t="shared" si="26"/>
        <v>7200</v>
      </c>
      <c r="AC85" s="3092"/>
      <c r="AD85" s="3092"/>
      <c r="AE85" s="3093">
        <f t="shared" si="21"/>
        <v>7200</v>
      </c>
      <c r="AF85" s="3094">
        <f t="shared" si="5"/>
        <v>115200</v>
      </c>
    </row>
    <row r="86" spans="1:32" s="3095" customFormat="1" ht="30" customHeight="1">
      <c r="A86" s="3082">
        <v>68</v>
      </c>
      <c r="B86" s="3083" t="s">
        <v>1287</v>
      </c>
      <c r="C86" s="3083" t="s">
        <v>1194</v>
      </c>
      <c r="D86" s="3083" t="s">
        <v>1286</v>
      </c>
      <c r="E86" s="3084" t="s">
        <v>1188</v>
      </c>
      <c r="F86" s="3084" t="s">
        <v>1189</v>
      </c>
      <c r="G86" s="3080" t="s">
        <v>1240</v>
      </c>
      <c r="H86" s="3084" t="s">
        <v>1187</v>
      </c>
      <c r="I86" s="3085"/>
      <c r="J86" s="3085"/>
      <c r="K86" s="3081">
        <v>3</v>
      </c>
      <c r="L86" s="3080"/>
      <c r="M86" s="3086">
        <v>36000</v>
      </c>
      <c r="N86" s="3087">
        <f t="shared" si="18"/>
        <v>0</v>
      </c>
      <c r="O86" s="3080">
        <v>0</v>
      </c>
      <c r="P86" s="3086">
        <v>20000</v>
      </c>
      <c r="Q86" s="3088">
        <f t="shared" si="22"/>
        <v>0</v>
      </c>
      <c r="R86" s="3089">
        <f t="shared" si="23"/>
        <v>0</v>
      </c>
      <c r="S86" s="3080">
        <f t="shared" si="19"/>
        <v>3</v>
      </c>
      <c r="T86" s="3086">
        <v>36000</v>
      </c>
      <c r="U86" s="3088">
        <f t="shared" si="20"/>
        <v>108000</v>
      </c>
      <c r="V86" s="3080">
        <v>0</v>
      </c>
      <c r="W86" s="3086">
        <v>20000</v>
      </c>
      <c r="X86" s="3088">
        <f t="shared" si="24"/>
        <v>0</v>
      </c>
      <c r="Y86" s="3089">
        <f t="shared" si="25"/>
        <v>108000</v>
      </c>
      <c r="Z86" s="3090">
        <v>48</v>
      </c>
      <c r="AA86" s="3091">
        <v>150</v>
      </c>
      <c r="AB86" s="3087">
        <f t="shared" si="26"/>
        <v>7200</v>
      </c>
      <c r="AC86" s="3092"/>
      <c r="AD86" s="3092"/>
      <c r="AE86" s="3093">
        <f t="shared" si="21"/>
        <v>7200</v>
      </c>
      <c r="AF86" s="3094">
        <f t="shared" si="5"/>
        <v>115200</v>
      </c>
    </row>
    <row r="87" spans="1:32" s="3095" customFormat="1" ht="30" customHeight="1">
      <c r="A87" s="3082">
        <v>69</v>
      </c>
      <c r="B87" s="3083" t="s">
        <v>1288</v>
      </c>
      <c r="C87" s="3083" t="s">
        <v>1289</v>
      </c>
      <c r="D87" s="3083" t="s">
        <v>1290</v>
      </c>
      <c r="E87" s="3084" t="s">
        <v>1188</v>
      </c>
      <c r="F87" s="3084" t="s">
        <v>1189</v>
      </c>
      <c r="G87" s="3080" t="s">
        <v>1240</v>
      </c>
      <c r="H87" s="3084" t="s">
        <v>1187</v>
      </c>
      <c r="I87" s="3085"/>
      <c r="J87" s="3085"/>
      <c r="K87" s="3081">
        <v>3</v>
      </c>
      <c r="L87" s="3080"/>
      <c r="M87" s="3086">
        <v>36000</v>
      </c>
      <c r="N87" s="3087">
        <f t="shared" si="18"/>
        <v>0</v>
      </c>
      <c r="O87" s="3080">
        <v>0</v>
      </c>
      <c r="P87" s="3086">
        <v>20000</v>
      </c>
      <c r="Q87" s="3088">
        <f t="shared" si="22"/>
        <v>0</v>
      </c>
      <c r="R87" s="3089">
        <f t="shared" si="23"/>
        <v>0</v>
      </c>
      <c r="S87" s="3080">
        <f t="shared" si="19"/>
        <v>3</v>
      </c>
      <c r="T87" s="3086">
        <v>36000</v>
      </c>
      <c r="U87" s="3088">
        <f t="shared" si="20"/>
        <v>108000</v>
      </c>
      <c r="V87" s="3080">
        <v>0</v>
      </c>
      <c r="W87" s="3086">
        <v>20000</v>
      </c>
      <c r="X87" s="3088">
        <f t="shared" si="24"/>
        <v>0</v>
      </c>
      <c r="Y87" s="3089">
        <f t="shared" si="25"/>
        <v>108000</v>
      </c>
      <c r="Z87" s="3090">
        <v>60</v>
      </c>
      <c r="AA87" s="3091">
        <v>150</v>
      </c>
      <c r="AB87" s="3087">
        <f t="shared" si="26"/>
        <v>9000</v>
      </c>
      <c r="AC87" s="3092"/>
      <c r="AD87" s="3092"/>
      <c r="AE87" s="3093">
        <f t="shared" si="21"/>
        <v>9000</v>
      </c>
      <c r="AF87" s="3094">
        <f t="shared" si="5"/>
        <v>117000</v>
      </c>
    </row>
    <row r="88" spans="1:32" s="3095" customFormat="1" ht="30" customHeight="1">
      <c r="A88" s="3082">
        <v>70</v>
      </c>
      <c r="B88" s="3083" t="s">
        <v>1291</v>
      </c>
      <c r="C88" s="3083" t="s">
        <v>1194</v>
      </c>
      <c r="D88" s="3083" t="s">
        <v>1290</v>
      </c>
      <c r="E88" s="3084" t="s">
        <v>1188</v>
      </c>
      <c r="F88" s="3084" t="s">
        <v>1189</v>
      </c>
      <c r="G88" s="3080" t="s">
        <v>1240</v>
      </c>
      <c r="H88" s="3084" t="s">
        <v>1187</v>
      </c>
      <c r="I88" s="3085"/>
      <c r="J88" s="3085"/>
      <c r="K88" s="3081">
        <v>3</v>
      </c>
      <c r="L88" s="3080"/>
      <c r="M88" s="3086">
        <v>36000</v>
      </c>
      <c r="N88" s="3087">
        <f t="shared" si="18"/>
        <v>0</v>
      </c>
      <c r="O88" s="3080">
        <v>0</v>
      </c>
      <c r="P88" s="3086">
        <v>20000</v>
      </c>
      <c r="Q88" s="3088">
        <f t="shared" si="22"/>
        <v>0</v>
      </c>
      <c r="R88" s="3089">
        <f t="shared" si="23"/>
        <v>0</v>
      </c>
      <c r="S88" s="3080">
        <f t="shared" si="19"/>
        <v>3</v>
      </c>
      <c r="T88" s="3086">
        <v>36000</v>
      </c>
      <c r="U88" s="3088">
        <f t="shared" si="20"/>
        <v>108000</v>
      </c>
      <c r="V88" s="3080">
        <v>0</v>
      </c>
      <c r="W88" s="3086">
        <v>20000</v>
      </c>
      <c r="X88" s="3088">
        <f t="shared" si="24"/>
        <v>0</v>
      </c>
      <c r="Y88" s="3089">
        <f t="shared" si="25"/>
        <v>108000</v>
      </c>
      <c r="Z88" s="3090">
        <v>60</v>
      </c>
      <c r="AA88" s="3091">
        <v>150</v>
      </c>
      <c r="AB88" s="3087">
        <f t="shared" si="26"/>
        <v>9000</v>
      </c>
      <c r="AC88" s="3092"/>
      <c r="AD88" s="3092"/>
      <c r="AE88" s="3093">
        <f t="shared" si="21"/>
        <v>9000</v>
      </c>
      <c r="AF88" s="3094">
        <f t="shared" si="5"/>
        <v>117000</v>
      </c>
    </row>
    <row r="89" spans="1:32" s="3095" customFormat="1" ht="30" customHeight="1">
      <c r="A89" s="3082">
        <v>71</v>
      </c>
      <c r="B89" s="3083" t="s">
        <v>1292</v>
      </c>
      <c r="C89" s="3083" t="s">
        <v>1194</v>
      </c>
      <c r="D89" s="3083" t="s">
        <v>1293</v>
      </c>
      <c r="E89" s="3084" t="s">
        <v>1188</v>
      </c>
      <c r="F89" s="3084" t="s">
        <v>1189</v>
      </c>
      <c r="G89" s="3080" t="s">
        <v>1240</v>
      </c>
      <c r="H89" s="3084" t="s">
        <v>1187</v>
      </c>
      <c r="I89" s="3085"/>
      <c r="J89" s="3085"/>
      <c r="K89" s="3081">
        <v>3</v>
      </c>
      <c r="L89" s="3080"/>
      <c r="M89" s="3086">
        <v>36000</v>
      </c>
      <c r="N89" s="3087">
        <f t="shared" si="18"/>
        <v>0</v>
      </c>
      <c r="O89" s="3080">
        <v>0</v>
      </c>
      <c r="P89" s="3086">
        <v>20000</v>
      </c>
      <c r="Q89" s="3088">
        <f t="shared" si="22"/>
        <v>0</v>
      </c>
      <c r="R89" s="3089">
        <f t="shared" si="23"/>
        <v>0</v>
      </c>
      <c r="S89" s="3080">
        <f t="shared" si="19"/>
        <v>3</v>
      </c>
      <c r="T89" s="3086">
        <v>36000</v>
      </c>
      <c r="U89" s="3088">
        <f t="shared" si="20"/>
        <v>108000</v>
      </c>
      <c r="V89" s="3080">
        <v>0</v>
      </c>
      <c r="W89" s="3086">
        <v>20000</v>
      </c>
      <c r="X89" s="3088">
        <f t="shared" si="24"/>
        <v>0</v>
      </c>
      <c r="Y89" s="3089">
        <f t="shared" si="25"/>
        <v>108000</v>
      </c>
      <c r="Z89" s="3090">
        <v>36</v>
      </c>
      <c r="AA89" s="3091">
        <v>150</v>
      </c>
      <c r="AB89" s="3087">
        <f t="shared" si="26"/>
        <v>5400</v>
      </c>
      <c r="AC89" s="3092"/>
      <c r="AD89" s="3092"/>
      <c r="AE89" s="3093">
        <f t="shared" si="21"/>
        <v>5400</v>
      </c>
      <c r="AF89" s="3094">
        <f t="shared" si="5"/>
        <v>113400</v>
      </c>
    </row>
    <row r="90" spans="1:32" s="3095" customFormat="1" ht="30" customHeight="1">
      <c r="A90" s="3082">
        <v>72</v>
      </c>
      <c r="B90" s="3083" t="s">
        <v>1294</v>
      </c>
      <c r="C90" s="3083" t="s">
        <v>1186</v>
      </c>
      <c r="D90" s="3083" t="s">
        <v>1293</v>
      </c>
      <c r="E90" s="3084" t="s">
        <v>1188</v>
      </c>
      <c r="F90" s="3084" t="s">
        <v>1189</v>
      </c>
      <c r="G90" s="3080" t="s">
        <v>1240</v>
      </c>
      <c r="H90" s="3084" t="s">
        <v>1187</v>
      </c>
      <c r="I90" s="3085"/>
      <c r="J90" s="3085"/>
      <c r="K90" s="3081">
        <v>3</v>
      </c>
      <c r="L90" s="3080"/>
      <c r="M90" s="3086">
        <v>36000</v>
      </c>
      <c r="N90" s="3087">
        <f t="shared" si="18"/>
        <v>0</v>
      </c>
      <c r="O90" s="3080">
        <v>0</v>
      </c>
      <c r="P90" s="3086">
        <v>20000</v>
      </c>
      <c r="Q90" s="3088">
        <f t="shared" si="22"/>
        <v>0</v>
      </c>
      <c r="R90" s="3089">
        <f t="shared" si="23"/>
        <v>0</v>
      </c>
      <c r="S90" s="3080">
        <f t="shared" si="19"/>
        <v>3</v>
      </c>
      <c r="T90" s="3086">
        <v>36000</v>
      </c>
      <c r="U90" s="3088">
        <f t="shared" si="20"/>
        <v>108000</v>
      </c>
      <c r="V90" s="3080">
        <v>0</v>
      </c>
      <c r="W90" s="3086">
        <v>20000</v>
      </c>
      <c r="X90" s="3088">
        <f t="shared" si="24"/>
        <v>0</v>
      </c>
      <c r="Y90" s="3089">
        <f t="shared" si="25"/>
        <v>108000</v>
      </c>
      <c r="Z90" s="3090">
        <v>36</v>
      </c>
      <c r="AA90" s="3091">
        <v>150</v>
      </c>
      <c r="AB90" s="3087">
        <f t="shared" si="26"/>
        <v>5400</v>
      </c>
      <c r="AC90" s="3092"/>
      <c r="AD90" s="3092"/>
      <c r="AE90" s="3093">
        <f t="shared" si="21"/>
        <v>5400</v>
      </c>
      <c r="AF90" s="3094">
        <f t="shared" si="5"/>
        <v>113400</v>
      </c>
    </row>
    <row r="91" spans="1:32" s="3095" customFormat="1" ht="30" customHeight="1">
      <c r="A91" s="3082">
        <v>73</v>
      </c>
      <c r="B91" s="3083" t="s">
        <v>1295</v>
      </c>
      <c r="C91" s="3083" t="s">
        <v>1186</v>
      </c>
      <c r="D91" s="3083" t="s">
        <v>1296</v>
      </c>
      <c r="E91" s="3084" t="s">
        <v>1188</v>
      </c>
      <c r="F91" s="3084" t="s">
        <v>1189</v>
      </c>
      <c r="G91" s="3080" t="s">
        <v>1190</v>
      </c>
      <c r="H91" s="3084" t="s">
        <v>1187</v>
      </c>
      <c r="I91" s="3085"/>
      <c r="J91" s="3085"/>
      <c r="K91" s="3081">
        <v>3</v>
      </c>
      <c r="L91" s="3080"/>
      <c r="M91" s="3086">
        <v>15000</v>
      </c>
      <c r="N91" s="3087">
        <f t="shared" si="18"/>
        <v>0</v>
      </c>
      <c r="O91" s="3080">
        <v>0</v>
      </c>
      <c r="P91" s="3086">
        <v>20000</v>
      </c>
      <c r="Q91" s="3088">
        <f t="shared" si="22"/>
        <v>0</v>
      </c>
      <c r="R91" s="3089">
        <f t="shared" si="23"/>
        <v>0</v>
      </c>
      <c r="S91" s="3080">
        <f t="shared" si="19"/>
        <v>3</v>
      </c>
      <c r="T91" s="3086">
        <v>15000</v>
      </c>
      <c r="U91" s="3088">
        <f t="shared" si="20"/>
        <v>45000</v>
      </c>
      <c r="V91" s="3080">
        <v>0</v>
      </c>
      <c r="W91" s="3086">
        <v>20000</v>
      </c>
      <c r="X91" s="3088">
        <f t="shared" si="24"/>
        <v>0</v>
      </c>
      <c r="Y91" s="3089">
        <f t="shared" si="25"/>
        <v>45000</v>
      </c>
      <c r="Z91" s="3090">
        <v>22</v>
      </c>
      <c r="AA91" s="3091">
        <v>150</v>
      </c>
      <c r="AB91" s="3087">
        <f t="shared" si="26"/>
        <v>3300</v>
      </c>
      <c r="AC91" s="3092"/>
      <c r="AD91" s="3092"/>
      <c r="AE91" s="3093">
        <f t="shared" si="21"/>
        <v>3300</v>
      </c>
      <c r="AF91" s="3094">
        <f t="shared" si="5"/>
        <v>48300</v>
      </c>
    </row>
    <row r="92" spans="1:32" s="3095" customFormat="1" ht="30" customHeight="1">
      <c r="A92" s="3082">
        <v>74</v>
      </c>
      <c r="B92" s="3083" t="s">
        <v>1297</v>
      </c>
      <c r="C92" s="3083" t="s">
        <v>1186</v>
      </c>
      <c r="D92" s="3083" t="s">
        <v>1296</v>
      </c>
      <c r="E92" s="3084" t="s">
        <v>1188</v>
      </c>
      <c r="F92" s="3084" t="s">
        <v>1189</v>
      </c>
      <c r="G92" s="3080" t="s">
        <v>1190</v>
      </c>
      <c r="H92" s="3084" t="s">
        <v>1187</v>
      </c>
      <c r="I92" s="3085"/>
      <c r="J92" s="3085"/>
      <c r="K92" s="3081">
        <v>3</v>
      </c>
      <c r="L92" s="3080"/>
      <c r="M92" s="3086">
        <v>15000</v>
      </c>
      <c r="N92" s="3087">
        <f t="shared" si="18"/>
        <v>0</v>
      </c>
      <c r="O92" s="3080">
        <v>0</v>
      </c>
      <c r="P92" s="3086">
        <v>20000</v>
      </c>
      <c r="Q92" s="3088">
        <f t="shared" si="22"/>
        <v>0</v>
      </c>
      <c r="R92" s="3089">
        <f t="shared" si="23"/>
        <v>0</v>
      </c>
      <c r="S92" s="3080">
        <f t="shared" si="19"/>
        <v>3</v>
      </c>
      <c r="T92" s="3086">
        <v>15000</v>
      </c>
      <c r="U92" s="3088">
        <f t="shared" si="20"/>
        <v>45000</v>
      </c>
      <c r="V92" s="3080">
        <v>0</v>
      </c>
      <c r="W92" s="3086">
        <v>20000</v>
      </c>
      <c r="X92" s="3088">
        <f t="shared" si="24"/>
        <v>0</v>
      </c>
      <c r="Y92" s="3089">
        <f t="shared" si="25"/>
        <v>45000</v>
      </c>
      <c r="Z92" s="3090">
        <v>22</v>
      </c>
      <c r="AA92" s="3091">
        <v>150</v>
      </c>
      <c r="AB92" s="3087">
        <f t="shared" si="26"/>
        <v>3300</v>
      </c>
      <c r="AC92" s="3092"/>
      <c r="AD92" s="3092"/>
      <c r="AE92" s="3093">
        <f t="shared" si="21"/>
        <v>3300</v>
      </c>
      <c r="AF92" s="3094">
        <f t="shared" si="5"/>
        <v>48300</v>
      </c>
    </row>
    <row r="93" spans="1:32" s="3095" customFormat="1" ht="30" customHeight="1">
      <c r="A93" s="3082">
        <v>75</v>
      </c>
      <c r="B93" s="3083" t="s">
        <v>1298</v>
      </c>
      <c r="C93" s="3083" t="s">
        <v>1196</v>
      </c>
      <c r="D93" s="3083" t="s">
        <v>1296</v>
      </c>
      <c r="E93" s="3084" t="s">
        <v>1188</v>
      </c>
      <c r="F93" s="3084" t="s">
        <v>1189</v>
      </c>
      <c r="G93" s="3080" t="s">
        <v>1190</v>
      </c>
      <c r="H93" s="3084" t="s">
        <v>1187</v>
      </c>
      <c r="I93" s="3085"/>
      <c r="J93" s="3085"/>
      <c r="K93" s="3081">
        <v>3</v>
      </c>
      <c r="L93" s="3080"/>
      <c r="M93" s="3086">
        <v>15000</v>
      </c>
      <c r="N93" s="3087">
        <f t="shared" si="18"/>
        <v>0</v>
      </c>
      <c r="O93" s="3080">
        <v>0</v>
      </c>
      <c r="P93" s="3086">
        <v>20000</v>
      </c>
      <c r="Q93" s="3088">
        <f t="shared" si="22"/>
        <v>0</v>
      </c>
      <c r="R93" s="3089">
        <f t="shared" si="23"/>
        <v>0</v>
      </c>
      <c r="S93" s="3080">
        <f t="shared" si="19"/>
        <v>3</v>
      </c>
      <c r="T93" s="3086">
        <v>15000</v>
      </c>
      <c r="U93" s="3088">
        <f t="shared" si="20"/>
        <v>45000</v>
      </c>
      <c r="V93" s="3080">
        <v>0</v>
      </c>
      <c r="W93" s="3086">
        <v>20000</v>
      </c>
      <c r="X93" s="3088">
        <f t="shared" si="24"/>
        <v>0</v>
      </c>
      <c r="Y93" s="3089">
        <f t="shared" si="25"/>
        <v>45000</v>
      </c>
      <c r="Z93" s="3090">
        <v>22</v>
      </c>
      <c r="AA93" s="3091">
        <v>150</v>
      </c>
      <c r="AB93" s="3087">
        <f t="shared" si="26"/>
        <v>3300</v>
      </c>
      <c r="AC93" s="3092"/>
      <c r="AD93" s="3092"/>
      <c r="AE93" s="3093">
        <f t="shared" si="21"/>
        <v>3300</v>
      </c>
      <c r="AF93" s="3094">
        <f t="shared" si="5"/>
        <v>48300</v>
      </c>
    </row>
    <row r="94" spans="1:32" s="3095" customFormat="1" ht="30" customHeight="1">
      <c r="A94" s="3082">
        <v>76</v>
      </c>
      <c r="B94" s="3083" t="s">
        <v>1299</v>
      </c>
      <c r="C94" s="3083" t="s">
        <v>1196</v>
      </c>
      <c r="D94" s="3083" t="s">
        <v>1296</v>
      </c>
      <c r="E94" s="3084" t="s">
        <v>1188</v>
      </c>
      <c r="F94" s="3084" t="s">
        <v>1189</v>
      </c>
      <c r="G94" s="3080" t="s">
        <v>1190</v>
      </c>
      <c r="H94" s="3084" t="s">
        <v>1187</v>
      </c>
      <c r="I94" s="3085"/>
      <c r="J94" s="3085"/>
      <c r="K94" s="3081">
        <v>3</v>
      </c>
      <c r="L94" s="3080"/>
      <c r="M94" s="3086">
        <v>15000</v>
      </c>
      <c r="N94" s="3087">
        <f t="shared" si="18"/>
        <v>0</v>
      </c>
      <c r="O94" s="3080">
        <v>0</v>
      </c>
      <c r="P94" s="3086">
        <v>20000</v>
      </c>
      <c r="Q94" s="3088">
        <f t="shared" si="22"/>
        <v>0</v>
      </c>
      <c r="R94" s="3089">
        <f t="shared" si="23"/>
        <v>0</v>
      </c>
      <c r="S94" s="3080">
        <f t="shared" si="19"/>
        <v>3</v>
      </c>
      <c r="T94" s="3086">
        <v>15000</v>
      </c>
      <c r="U94" s="3088">
        <f t="shared" si="20"/>
        <v>45000</v>
      </c>
      <c r="V94" s="3080">
        <v>0</v>
      </c>
      <c r="W94" s="3086">
        <v>20000</v>
      </c>
      <c r="X94" s="3088">
        <f t="shared" si="24"/>
        <v>0</v>
      </c>
      <c r="Y94" s="3089">
        <f t="shared" si="25"/>
        <v>45000</v>
      </c>
      <c r="Z94" s="3090">
        <v>22</v>
      </c>
      <c r="AA94" s="3091">
        <v>150</v>
      </c>
      <c r="AB94" s="3087">
        <f t="shared" si="26"/>
        <v>3300</v>
      </c>
      <c r="AC94" s="3092"/>
      <c r="AD94" s="3092"/>
      <c r="AE94" s="3093">
        <f t="shared" si="21"/>
        <v>3300</v>
      </c>
      <c r="AF94" s="3094">
        <f t="shared" si="5"/>
        <v>48300</v>
      </c>
    </row>
    <row r="95" spans="1:32" s="3095" customFormat="1" ht="30" customHeight="1">
      <c r="A95" s="3082">
        <v>77</v>
      </c>
      <c r="B95" s="3083" t="s">
        <v>1300</v>
      </c>
      <c r="C95" s="3083" t="s">
        <v>1196</v>
      </c>
      <c r="D95" s="3083" t="s">
        <v>1296</v>
      </c>
      <c r="E95" s="3084" t="s">
        <v>1188</v>
      </c>
      <c r="F95" s="3084" t="s">
        <v>1189</v>
      </c>
      <c r="G95" s="3080" t="s">
        <v>1190</v>
      </c>
      <c r="H95" s="3084" t="s">
        <v>1187</v>
      </c>
      <c r="I95" s="3085"/>
      <c r="J95" s="3085"/>
      <c r="K95" s="3081">
        <v>3</v>
      </c>
      <c r="L95" s="3080"/>
      <c r="M95" s="3086">
        <v>15000</v>
      </c>
      <c r="N95" s="3087">
        <f t="shared" si="18"/>
        <v>0</v>
      </c>
      <c r="O95" s="3080">
        <v>0</v>
      </c>
      <c r="P95" s="3086">
        <v>20000</v>
      </c>
      <c r="Q95" s="3088">
        <f t="shared" si="22"/>
        <v>0</v>
      </c>
      <c r="R95" s="3089">
        <f t="shared" si="23"/>
        <v>0</v>
      </c>
      <c r="S95" s="3080">
        <f t="shared" si="19"/>
        <v>3</v>
      </c>
      <c r="T95" s="3086">
        <v>15000</v>
      </c>
      <c r="U95" s="3088">
        <f t="shared" si="20"/>
        <v>45000</v>
      </c>
      <c r="V95" s="3080">
        <v>0</v>
      </c>
      <c r="W95" s="3086">
        <v>20000</v>
      </c>
      <c r="X95" s="3088">
        <f t="shared" si="24"/>
        <v>0</v>
      </c>
      <c r="Y95" s="3089">
        <f t="shared" si="25"/>
        <v>45000</v>
      </c>
      <c r="Z95" s="3090">
        <v>22</v>
      </c>
      <c r="AA95" s="3091">
        <v>150</v>
      </c>
      <c r="AB95" s="3087">
        <f t="shared" si="26"/>
        <v>3300</v>
      </c>
      <c r="AC95" s="3092"/>
      <c r="AD95" s="3092"/>
      <c r="AE95" s="3093">
        <f t="shared" si="21"/>
        <v>3300</v>
      </c>
      <c r="AF95" s="3094">
        <f t="shared" si="5"/>
        <v>48300</v>
      </c>
    </row>
    <row r="96" spans="1:32" s="3095" customFormat="1" ht="30" customHeight="1">
      <c r="A96" s="3082">
        <v>78</v>
      </c>
      <c r="B96" s="3083" t="s">
        <v>1301</v>
      </c>
      <c r="C96" s="3083" t="s">
        <v>1192</v>
      </c>
      <c r="D96" s="3083" t="s">
        <v>1296</v>
      </c>
      <c r="E96" s="3084" t="s">
        <v>1188</v>
      </c>
      <c r="F96" s="3084" t="s">
        <v>1189</v>
      </c>
      <c r="G96" s="3080" t="s">
        <v>1190</v>
      </c>
      <c r="H96" s="3084" t="s">
        <v>1187</v>
      </c>
      <c r="I96" s="3085"/>
      <c r="J96" s="3085"/>
      <c r="K96" s="3081">
        <v>3</v>
      </c>
      <c r="L96" s="3080"/>
      <c r="M96" s="3086">
        <v>15000</v>
      </c>
      <c r="N96" s="3087">
        <f t="shared" si="18"/>
        <v>0</v>
      </c>
      <c r="O96" s="3080">
        <v>0</v>
      </c>
      <c r="P96" s="3086">
        <v>20000</v>
      </c>
      <c r="Q96" s="3088">
        <f t="shared" si="22"/>
        <v>0</v>
      </c>
      <c r="R96" s="3089">
        <f t="shared" si="23"/>
        <v>0</v>
      </c>
      <c r="S96" s="3080">
        <f t="shared" si="19"/>
        <v>3</v>
      </c>
      <c r="T96" s="3086">
        <v>15000</v>
      </c>
      <c r="U96" s="3088">
        <f t="shared" si="20"/>
        <v>45000</v>
      </c>
      <c r="V96" s="3080">
        <v>0</v>
      </c>
      <c r="W96" s="3086">
        <v>20000</v>
      </c>
      <c r="X96" s="3088">
        <f t="shared" si="24"/>
        <v>0</v>
      </c>
      <c r="Y96" s="3089">
        <f t="shared" si="25"/>
        <v>45000</v>
      </c>
      <c r="Z96" s="3090">
        <v>22</v>
      </c>
      <c r="AA96" s="3091">
        <v>150</v>
      </c>
      <c r="AB96" s="3087">
        <f t="shared" si="26"/>
        <v>3300</v>
      </c>
      <c r="AC96" s="3092"/>
      <c r="AD96" s="3092"/>
      <c r="AE96" s="3093">
        <f t="shared" si="21"/>
        <v>3300</v>
      </c>
      <c r="AF96" s="3094">
        <f t="shared" si="5"/>
        <v>48300</v>
      </c>
    </row>
    <row r="97" spans="1:32" s="3095" customFormat="1" ht="30" customHeight="1">
      <c r="A97" s="3082">
        <v>79</v>
      </c>
      <c r="B97" s="3083" t="s">
        <v>1302</v>
      </c>
      <c r="C97" s="3083" t="s">
        <v>1186</v>
      </c>
      <c r="D97" s="3083" t="s">
        <v>1296</v>
      </c>
      <c r="E97" s="3084" t="s">
        <v>1188</v>
      </c>
      <c r="F97" s="3084" t="s">
        <v>1189</v>
      </c>
      <c r="G97" s="3080" t="s">
        <v>1190</v>
      </c>
      <c r="H97" s="3084" t="s">
        <v>1187</v>
      </c>
      <c r="I97" s="3085"/>
      <c r="J97" s="3085"/>
      <c r="K97" s="3081">
        <v>3</v>
      </c>
      <c r="L97" s="3080"/>
      <c r="M97" s="3086">
        <v>15000</v>
      </c>
      <c r="N97" s="3087">
        <f t="shared" si="18"/>
        <v>0</v>
      </c>
      <c r="O97" s="3080">
        <v>0</v>
      </c>
      <c r="P97" s="3086">
        <v>20000</v>
      </c>
      <c r="Q97" s="3088">
        <f t="shared" si="22"/>
        <v>0</v>
      </c>
      <c r="R97" s="3089">
        <f t="shared" si="23"/>
        <v>0</v>
      </c>
      <c r="S97" s="3080">
        <f t="shared" si="19"/>
        <v>3</v>
      </c>
      <c r="T97" s="3086">
        <v>15000</v>
      </c>
      <c r="U97" s="3088">
        <f t="shared" si="20"/>
        <v>45000</v>
      </c>
      <c r="V97" s="3080">
        <v>0</v>
      </c>
      <c r="W97" s="3086">
        <v>20000</v>
      </c>
      <c r="X97" s="3088">
        <f t="shared" si="24"/>
        <v>0</v>
      </c>
      <c r="Y97" s="3089">
        <f t="shared" si="25"/>
        <v>45000</v>
      </c>
      <c r="Z97" s="3090">
        <v>22</v>
      </c>
      <c r="AA97" s="3091">
        <v>150</v>
      </c>
      <c r="AB97" s="3087">
        <f t="shared" si="26"/>
        <v>3300</v>
      </c>
      <c r="AC97" s="3092"/>
      <c r="AD97" s="3092"/>
      <c r="AE97" s="3093">
        <f t="shared" si="21"/>
        <v>3300</v>
      </c>
      <c r="AF97" s="3094">
        <f t="shared" si="5"/>
        <v>48300</v>
      </c>
    </row>
    <row r="98" spans="1:32" s="3095" customFormat="1" ht="30" customHeight="1">
      <c r="A98" s="3082">
        <v>80</v>
      </c>
      <c r="B98" s="3083" t="s">
        <v>1303</v>
      </c>
      <c r="C98" s="3083" t="s">
        <v>1194</v>
      </c>
      <c r="D98" s="3083" t="s">
        <v>1296</v>
      </c>
      <c r="E98" s="3084" t="s">
        <v>1188</v>
      </c>
      <c r="F98" s="3084" t="s">
        <v>1189</v>
      </c>
      <c r="G98" s="3080" t="s">
        <v>1190</v>
      </c>
      <c r="H98" s="3084" t="s">
        <v>1187</v>
      </c>
      <c r="I98" s="3085"/>
      <c r="J98" s="3085"/>
      <c r="K98" s="3081">
        <v>3</v>
      </c>
      <c r="L98" s="3080"/>
      <c r="M98" s="3086">
        <v>15000</v>
      </c>
      <c r="N98" s="3087">
        <f t="shared" si="18"/>
        <v>0</v>
      </c>
      <c r="O98" s="3080">
        <v>0</v>
      </c>
      <c r="P98" s="3086">
        <v>20000</v>
      </c>
      <c r="Q98" s="3088">
        <f t="shared" si="22"/>
        <v>0</v>
      </c>
      <c r="R98" s="3089">
        <f t="shared" si="23"/>
        <v>0</v>
      </c>
      <c r="S98" s="3080">
        <f t="shared" si="19"/>
        <v>3</v>
      </c>
      <c r="T98" s="3086">
        <v>15000</v>
      </c>
      <c r="U98" s="3088">
        <f t="shared" si="20"/>
        <v>45000</v>
      </c>
      <c r="V98" s="3080">
        <v>0</v>
      </c>
      <c r="W98" s="3086">
        <v>20000</v>
      </c>
      <c r="X98" s="3088">
        <f t="shared" si="24"/>
        <v>0</v>
      </c>
      <c r="Y98" s="3089">
        <f t="shared" si="25"/>
        <v>45000</v>
      </c>
      <c r="Z98" s="3090">
        <v>22</v>
      </c>
      <c r="AA98" s="3091">
        <v>150</v>
      </c>
      <c r="AB98" s="3087">
        <f t="shared" si="26"/>
        <v>3300</v>
      </c>
      <c r="AC98" s="3092"/>
      <c r="AD98" s="3092"/>
      <c r="AE98" s="3093">
        <f t="shared" si="21"/>
        <v>3300</v>
      </c>
      <c r="AF98" s="3094">
        <f t="shared" si="5"/>
        <v>48300</v>
      </c>
    </row>
    <row r="99" spans="1:32" s="3095" customFormat="1" ht="30" customHeight="1">
      <c r="A99" s="3082">
        <v>81</v>
      </c>
      <c r="B99" s="3097" t="s">
        <v>1304</v>
      </c>
      <c r="C99" s="3097" t="s">
        <v>1186</v>
      </c>
      <c r="D99" s="3083" t="s">
        <v>1305</v>
      </c>
      <c r="E99" s="3084" t="s">
        <v>1188</v>
      </c>
      <c r="F99" s="3084" t="s">
        <v>1189</v>
      </c>
      <c r="G99" s="3080" t="s">
        <v>1240</v>
      </c>
      <c r="H99" s="3084" t="s">
        <v>1187</v>
      </c>
      <c r="I99" s="3085"/>
      <c r="J99" s="3085"/>
      <c r="K99" s="3081">
        <v>3</v>
      </c>
      <c r="L99" s="3080"/>
      <c r="M99" s="3086">
        <v>36000</v>
      </c>
      <c r="N99" s="3087">
        <f>M99*L99</f>
        <v>0</v>
      </c>
      <c r="O99" s="3080">
        <v>0</v>
      </c>
      <c r="P99" s="3086">
        <v>20000</v>
      </c>
      <c r="Q99" s="3088">
        <f t="shared" si="22"/>
        <v>0</v>
      </c>
      <c r="R99" s="3089">
        <f t="shared" si="23"/>
        <v>0</v>
      </c>
      <c r="S99" s="3080">
        <f>+K99</f>
        <v>3</v>
      </c>
      <c r="T99" s="3086">
        <v>36000</v>
      </c>
      <c r="U99" s="3088">
        <f>T99*S99</f>
        <v>108000</v>
      </c>
      <c r="V99" s="3080">
        <v>0</v>
      </c>
      <c r="W99" s="3086">
        <v>20000</v>
      </c>
      <c r="X99" s="3088">
        <f t="shared" si="24"/>
        <v>0</v>
      </c>
      <c r="Y99" s="3089">
        <f t="shared" si="25"/>
        <v>108000</v>
      </c>
      <c r="Z99" s="3090">
        <v>70</v>
      </c>
      <c r="AA99" s="3091">
        <v>150</v>
      </c>
      <c r="AB99" s="3087">
        <f t="shared" si="26"/>
        <v>10500</v>
      </c>
      <c r="AC99" s="3092"/>
      <c r="AD99" s="3092"/>
      <c r="AE99" s="3093">
        <f>AB99</f>
        <v>10500</v>
      </c>
      <c r="AF99" s="3094">
        <f t="shared" si="5"/>
        <v>118500</v>
      </c>
    </row>
    <row r="100" spans="1:32" s="3095" customFormat="1" ht="30" customHeight="1">
      <c r="A100" s="3082">
        <v>82</v>
      </c>
      <c r="B100" s="3097" t="s">
        <v>1306</v>
      </c>
      <c r="C100" s="3097" t="s">
        <v>1196</v>
      </c>
      <c r="D100" s="3083" t="s">
        <v>1305</v>
      </c>
      <c r="E100" s="3084" t="s">
        <v>1188</v>
      </c>
      <c r="F100" s="3084" t="s">
        <v>1189</v>
      </c>
      <c r="G100" s="3080" t="s">
        <v>1240</v>
      </c>
      <c r="H100" s="3084" t="s">
        <v>1187</v>
      </c>
      <c r="I100" s="3085"/>
      <c r="J100" s="3085"/>
      <c r="K100" s="3081">
        <v>3</v>
      </c>
      <c r="L100" s="3080"/>
      <c r="M100" s="3086">
        <v>36000</v>
      </c>
      <c r="N100" s="3087">
        <f>M100*L100</f>
        <v>0</v>
      </c>
      <c r="O100" s="3080">
        <v>0</v>
      </c>
      <c r="P100" s="3086">
        <v>20000</v>
      </c>
      <c r="Q100" s="3088">
        <f t="shared" si="22"/>
        <v>0</v>
      </c>
      <c r="R100" s="3089">
        <f t="shared" si="23"/>
        <v>0</v>
      </c>
      <c r="S100" s="3080">
        <f>+K100</f>
        <v>3</v>
      </c>
      <c r="T100" s="3086">
        <v>36000</v>
      </c>
      <c r="U100" s="3088">
        <f>T100*S100</f>
        <v>108000</v>
      </c>
      <c r="V100" s="3080">
        <v>0</v>
      </c>
      <c r="W100" s="3086">
        <v>20000</v>
      </c>
      <c r="X100" s="3088">
        <f t="shared" si="24"/>
        <v>0</v>
      </c>
      <c r="Y100" s="3089">
        <f t="shared" si="25"/>
        <v>108000</v>
      </c>
      <c r="Z100" s="3090">
        <v>70</v>
      </c>
      <c r="AA100" s="3091">
        <v>150</v>
      </c>
      <c r="AB100" s="3087">
        <f t="shared" si="26"/>
        <v>10500</v>
      </c>
      <c r="AC100" s="3092"/>
      <c r="AD100" s="3092"/>
      <c r="AE100" s="3093">
        <f>AB100</f>
        <v>10500</v>
      </c>
      <c r="AF100" s="3094">
        <f t="shared" si="5"/>
        <v>118500</v>
      </c>
    </row>
    <row r="101" spans="1:32" s="3095" customFormat="1" ht="30" customHeight="1">
      <c r="A101" s="3082">
        <v>83</v>
      </c>
      <c r="B101" s="3083" t="s">
        <v>1307</v>
      </c>
      <c r="C101" s="3083" t="s">
        <v>1196</v>
      </c>
      <c r="D101" s="3083" t="s">
        <v>1308</v>
      </c>
      <c r="E101" s="3084" t="s">
        <v>1188</v>
      </c>
      <c r="F101" s="3084" t="s">
        <v>1189</v>
      </c>
      <c r="G101" s="3080" t="s">
        <v>1190</v>
      </c>
      <c r="H101" s="3084" t="s">
        <v>1187</v>
      </c>
      <c r="I101" s="3085"/>
      <c r="J101" s="3085"/>
      <c r="K101" s="3081">
        <v>3</v>
      </c>
      <c r="L101" s="3080"/>
      <c r="M101" s="3086">
        <v>15000</v>
      </c>
      <c r="N101" s="3087">
        <f t="shared" ref="N101:N120" si="27">M101*L101</f>
        <v>0</v>
      </c>
      <c r="O101" s="3080">
        <v>0</v>
      </c>
      <c r="P101" s="3086">
        <v>20000</v>
      </c>
      <c r="Q101" s="3088">
        <f t="shared" si="22"/>
        <v>0</v>
      </c>
      <c r="R101" s="3089">
        <f t="shared" si="23"/>
        <v>0</v>
      </c>
      <c r="S101" s="3080">
        <f t="shared" ref="S101:S120" si="28">+K101</f>
        <v>3</v>
      </c>
      <c r="T101" s="3086">
        <v>15000</v>
      </c>
      <c r="U101" s="3088">
        <f t="shared" ref="U101:U120" si="29">T101*S101</f>
        <v>45000</v>
      </c>
      <c r="V101" s="3080">
        <v>0</v>
      </c>
      <c r="W101" s="3086">
        <v>20000</v>
      </c>
      <c r="X101" s="3088">
        <f t="shared" si="24"/>
        <v>0</v>
      </c>
      <c r="Y101" s="3089">
        <f t="shared" si="25"/>
        <v>45000</v>
      </c>
      <c r="Z101" s="3090">
        <v>28</v>
      </c>
      <c r="AA101" s="3091">
        <v>150</v>
      </c>
      <c r="AB101" s="3087">
        <f t="shared" si="26"/>
        <v>4200</v>
      </c>
      <c r="AC101" s="3092"/>
      <c r="AD101" s="3092"/>
      <c r="AE101" s="3093">
        <f t="shared" ref="AE101:AE120" si="30">AB101</f>
        <v>4200</v>
      </c>
      <c r="AF101" s="3094">
        <f t="shared" si="5"/>
        <v>49200</v>
      </c>
    </row>
    <row r="102" spans="1:32" s="3095" customFormat="1" ht="30" customHeight="1">
      <c r="A102" s="3082">
        <v>84</v>
      </c>
      <c r="B102" s="3083" t="s">
        <v>1309</v>
      </c>
      <c r="C102" s="3083" t="s">
        <v>1192</v>
      </c>
      <c r="D102" s="3083" t="s">
        <v>1308</v>
      </c>
      <c r="E102" s="3084" t="s">
        <v>1188</v>
      </c>
      <c r="F102" s="3084" t="s">
        <v>1189</v>
      </c>
      <c r="G102" s="3080" t="s">
        <v>1190</v>
      </c>
      <c r="H102" s="3084" t="s">
        <v>1187</v>
      </c>
      <c r="I102" s="3085"/>
      <c r="J102" s="3085"/>
      <c r="K102" s="3081">
        <v>3</v>
      </c>
      <c r="L102" s="3080"/>
      <c r="M102" s="3086">
        <v>15000</v>
      </c>
      <c r="N102" s="3087">
        <f t="shared" si="27"/>
        <v>0</v>
      </c>
      <c r="O102" s="3080">
        <v>0</v>
      </c>
      <c r="P102" s="3086">
        <v>20000</v>
      </c>
      <c r="Q102" s="3088">
        <f t="shared" si="22"/>
        <v>0</v>
      </c>
      <c r="R102" s="3089">
        <f t="shared" si="23"/>
        <v>0</v>
      </c>
      <c r="S102" s="3080">
        <f t="shared" si="28"/>
        <v>3</v>
      </c>
      <c r="T102" s="3086">
        <v>15000</v>
      </c>
      <c r="U102" s="3088">
        <f t="shared" si="29"/>
        <v>45000</v>
      </c>
      <c r="V102" s="3080">
        <v>0</v>
      </c>
      <c r="W102" s="3086">
        <v>20000</v>
      </c>
      <c r="X102" s="3088">
        <f t="shared" si="24"/>
        <v>0</v>
      </c>
      <c r="Y102" s="3089">
        <f t="shared" si="25"/>
        <v>45000</v>
      </c>
      <c r="Z102" s="3090">
        <v>28</v>
      </c>
      <c r="AA102" s="3091">
        <v>150</v>
      </c>
      <c r="AB102" s="3087">
        <f t="shared" si="26"/>
        <v>4200</v>
      </c>
      <c r="AC102" s="3092"/>
      <c r="AD102" s="3092"/>
      <c r="AE102" s="3093">
        <f t="shared" si="30"/>
        <v>4200</v>
      </c>
      <c r="AF102" s="3094">
        <f t="shared" si="5"/>
        <v>49200</v>
      </c>
    </row>
    <row r="103" spans="1:32" s="3095" customFormat="1" ht="30" customHeight="1">
      <c r="A103" s="3082">
        <v>85</v>
      </c>
      <c r="B103" s="3083" t="s">
        <v>1310</v>
      </c>
      <c r="C103" s="3083" t="s">
        <v>1202</v>
      </c>
      <c r="D103" s="3083" t="s">
        <v>1308</v>
      </c>
      <c r="E103" s="3084" t="s">
        <v>1188</v>
      </c>
      <c r="F103" s="3084" t="s">
        <v>1189</v>
      </c>
      <c r="G103" s="3080" t="s">
        <v>1190</v>
      </c>
      <c r="H103" s="3084" t="s">
        <v>1187</v>
      </c>
      <c r="I103" s="3085"/>
      <c r="J103" s="3085"/>
      <c r="K103" s="3081">
        <v>3</v>
      </c>
      <c r="L103" s="3080"/>
      <c r="M103" s="3086">
        <v>15000</v>
      </c>
      <c r="N103" s="3087">
        <f t="shared" si="27"/>
        <v>0</v>
      </c>
      <c r="O103" s="3080">
        <v>0</v>
      </c>
      <c r="P103" s="3086">
        <v>20000</v>
      </c>
      <c r="Q103" s="3088">
        <f t="shared" si="22"/>
        <v>0</v>
      </c>
      <c r="R103" s="3089">
        <f t="shared" si="23"/>
        <v>0</v>
      </c>
      <c r="S103" s="3080">
        <f t="shared" si="28"/>
        <v>3</v>
      </c>
      <c r="T103" s="3086">
        <v>15000</v>
      </c>
      <c r="U103" s="3088">
        <f t="shared" si="29"/>
        <v>45000</v>
      </c>
      <c r="V103" s="3080">
        <v>0</v>
      </c>
      <c r="W103" s="3086">
        <v>20000</v>
      </c>
      <c r="X103" s="3088">
        <f t="shared" si="24"/>
        <v>0</v>
      </c>
      <c r="Y103" s="3089">
        <f t="shared" si="25"/>
        <v>45000</v>
      </c>
      <c r="Z103" s="3090">
        <v>28</v>
      </c>
      <c r="AA103" s="3091">
        <v>150</v>
      </c>
      <c r="AB103" s="3087">
        <f t="shared" si="26"/>
        <v>4200</v>
      </c>
      <c r="AC103" s="3092"/>
      <c r="AD103" s="3092"/>
      <c r="AE103" s="3093">
        <f t="shared" si="30"/>
        <v>4200</v>
      </c>
      <c r="AF103" s="3094">
        <f t="shared" si="5"/>
        <v>49200</v>
      </c>
    </row>
    <row r="104" spans="1:32" s="3095" customFormat="1" ht="30" customHeight="1">
      <c r="A104" s="3082">
        <v>86</v>
      </c>
      <c r="B104" s="3083" t="s">
        <v>1311</v>
      </c>
      <c r="C104" s="3083" t="s">
        <v>1196</v>
      </c>
      <c r="D104" s="3083" t="s">
        <v>1308</v>
      </c>
      <c r="E104" s="3084" t="s">
        <v>1188</v>
      </c>
      <c r="F104" s="3084" t="s">
        <v>1189</v>
      </c>
      <c r="G104" s="3080" t="s">
        <v>1190</v>
      </c>
      <c r="H104" s="3084" t="s">
        <v>1187</v>
      </c>
      <c r="I104" s="3085"/>
      <c r="J104" s="3085"/>
      <c r="K104" s="3081">
        <v>3</v>
      </c>
      <c r="L104" s="3080"/>
      <c r="M104" s="3086">
        <v>15000</v>
      </c>
      <c r="N104" s="3087">
        <f t="shared" si="27"/>
        <v>0</v>
      </c>
      <c r="O104" s="3080">
        <v>0</v>
      </c>
      <c r="P104" s="3086">
        <v>20000</v>
      </c>
      <c r="Q104" s="3088">
        <f t="shared" si="22"/>
        <v>0</v>
      </c>
      <c r="R104" s="3089">
        <f t="shared" si="23"/>
        <v>0</v>
      </c>
      <c r="S104" s="3080">
        <f t="shared" si="28"/>
        <v>3</v>
      </c>
      <c r="T104" s="3086">
        <v>15000</v>
      </c>
      <c r="U104" s="3088">
        <f t="shared" si="29"/>
        <v>45000</v>
      </c>
      <c r="V104" s="3080">
        <v>0</v>
      </c>
      <c r="W104" s="3086">
        <v>20000</v>
      </c>
      <c r="X104" s="3088">
        <f t="shared" si="24"/>
        <v>0</v>
      </c>
      <c r="Y104" s="3089">
        <f t="shared" si="25"/>
        <v>45000</v>
      </c>
      <c r="Z104" s="3090">
        <v>28</v>
      </c>
      <c r="AA104" s="3091">
        <v>150</v>
      </c>
      <c r="AB104" s="3087">
        <f t="shared" si="26"/>
        <v>4200</v>
      </c>
      <c r="AC104" s="3092"/>
      <c r="AD104" s="3092"/>
      <c r="AE104" s="3093">
        <f t="shared" si="30"/>
        <v>4200</v>
      </c>
      <c r="AF104" s="3094">
        <f t="shared" si="5"/>
        <v>49200</v>
      </c>
    </row>
    <row r="105" spans="1:32" s="3095" customFormat="1" ht="30" customHeight="1">
      <c r="A105" s="3082">
        <v>87</v>
      </c>
      <c r="B105" s="3083" t="s">
        <v>1312</v>
      </c>
      <c r="C105" s="3083" t="s">
        <v>1186</v>
      </c>
      <c r="D105" s="3083" t="s">
        <v>1308</v>
      </c>
      <c r="E105" s="3084" t="s">
        <v>1188</v>
      </c>
      <c r="F105" s="3084" t="s">
        <v>1189</v>
      </c>
      <c r="G105" s="3080" t="s">
        <v>1190</v>
      </c>
      <c r="H105" s="3084" t="s">
        <v>1187</v>
      </c>
      <c r="I105" s="3085"/>
      <c r="J105" s="3085"/>
      <c r="K105" s="3081">
        <v>3</v>
      </c>
      <c r="L105" s="3080"/>
      <c r="M105" s="3086">
        <v>15000</v>
      </c>
      <c r="N105" s="3087">
        <f t="shared" si="27"/>
        <v>0</v>
      </c>
      <c r="O105" s="3080">
        <v>0</v>
      </c>
      <c r="P105" s="3086">
        <v>20000</v>
      </c>
      <c r="Q105" s="3088">
        <f t="shared" si="22"/>
        <v>0</v>
      </c>
      <c r="R105" s="3089">
        <f t="shared" si="23"/>
        <v>0</v>
      </c>
      <c r="S105" s="3080">
        <f t="shared" si="28"/>
        <v>3</v>
      </c>
      <c r="T105" s="3086">
        <v>15000</v>
      </c>
      <c r="U105" s="3088">
        <f t="shared" si="29"/>
        <v>45000</v>
      </c>
      <c r="V105" s="3080">
        <v>0</v>
      </c>
      <c r="W105" s="3086">
        <v>20000</v>
      </c>
      <c r="X105" s="3088">
        <f t="shared" si="24"/>
        <v>0</v>
      </c>
      <c r="Y105" s="3089">
        <f t="shared" si="25"/>
        <v>45000</v>
      </c>
      <c r="Z105" s="3090">
        <v>28</v>
      </c>
      <c r="AA105" s="3091">
        <v>150</v>
      </c>
      <c r="AB105" s="3087">
        <f t="shared" si="26"/>
        <v>4200</v>
      </c>
      <c r="AC105" s="3092"/>
      <c r="AD105" s="3092"/>
      <c r="AE105" s="3093">
        <f t="shared" si="30"/>
        <v>4200</v>
      </c>
      <c r="AF105" s="3094">
        <f t="shared" si="5"/>
        <v>49200</v>
      </c>
    </row>
    <row r="106" spans="1:32" s="3095" customFormat="1" ht="30" customHeight="1">
      <c r="A106" s="3082">
        <v>88</v>
      </c>
      <c r="B106" s="3083" t="s">
        <v>1313</v>
      </c>
      <c r="C106" s="3083" t="s">
        <v>1186</v>
      </c>
      <c r="D106" s="3083" t="s">
        <v>1314</v>
      </c>
      <c r="E106" s="3084" t="s">
        <v>1188</v>
      </c>
      <c r="F106" s="3084" t="s">
        <v>1189</v>
      </c>
      <c r="G106" s="3080" t="s">
        <v>1240</v>
      </c>
      <c r="H106" s="3084" t="s">
        <v>1187</v>
      </c>
      <c r="I106" s="3085"/>
      <c r="J106" s="3085"/>
      <c r="K106" s="3081">
        <v>3</v>
      </c>
      <c r="L106" s="3080"/>
      <c r="M106" s="3086">
        <v>36000</v>
      </c>
      <c r="N106" s="3087">
        <f t="shared" si="27"/>
        <v>0</v>
      </c>
      <c r="O106" s="3080">
        <v>0</v>
      </c>
      <c r="P106" s="3086">
        <v>20000</v>
      </c>
      <c r="Q106" s="3088">
        <f t="shared" si="22"/>
        <v>0</v>
      </c>
      <c r="R106" s="3089">
        <f t="shared" si="23"/>
        <v>0</v>
      </c>
      <c r="S106" s="3080">
        <f t="shared" si="28"/>
        <v>3</v>
      </c>
      <c r="T106" s="3086">
        <v>36000</v>
      </c>
      <c r="U106" s="3088">
        <f t="shared" si="29"/>
        <v>108000</v>
      </c>
      <c r="V106" s="3080">
        <v>0</v>
      </c>
      <c r="W106" s="3086">
        <v>20000</v>
      </c>
      <c r="X106" s="3088">
        <f t="shared" si="24"/>
        <v>0</v>
      </c>
      <c r="Y106" s="3089">
        <f t="shared" si="25"/>
        <v>108000</v>
      </c>
      <c r="Z106" s="3090">
        <v>48</v>
      </c>
      <c r="AA106" s="3091">
        <v>150</v>
      </c>
      <c r="AB106" s="3087">
        <f t="shared" si="26"/>
        <v>7200</v>
      </c>
      <c r="AC106" s="3092"/>
      <c r="AD106" s="3092"/>
      <c r="AE106" s="3093">
        <f t="shared" si="30"/>
        <v>7200</v>
      </c>
      <c r="AF106" s="3094">
        <f t="shared" si="5"/>
        <v>115200</v>
      </c>
    </row>
    <row r="107" spans="1:32" s="3095" customFormat="1" ht="30" customHeight="1">
      <c r="A107" s="3082">
        <v>89</v>
      </c>
      <c r="B107" s="3083" t="s">
        <v>1315</v>
      </c>
      <c r="C107" s="3083" t="s">
        <v>1196</v>
      </c>
      <c r="D107" s="3083" t="s">
        <v>1314</v>
      </c>
      <c r="E107" s="3084" t="s">
        <v>1188</v>
      </c>
      <c r="F107" s="3084" t="s">
        <v>1189</v>
      </c>
      <c r="G107" s="3080" t="s">
        <v>1240</v>
      </c>
      <c r="H107" s="3084" t="s">
        <v>1187</v>
      </c>
      <c r="I107" s="3085"/>
      <c r="J107" s="3085"/>
      <c r="K107" s="3081">
        <v>3</v>
      </c>
      <c r="L107" s="3080"/>
      <c r="M107" s="3086">
        <v>36000</v>
      </c>
      <c r="N107" s="3087">
        <f t="shared" si="27"/>
        <v>0</v>
      </c>
      <c r="O107" s="3080">
        <v>0</v>
      </c>
      <c r="P107" s="3086">
        <v>20000</v>
      </c>
      <c r="Q107" s="3088">
        <f t="shared" si="22"/>
        <v>0</v>
      </c>
      <c r="R107" s="3089">
        <f t="shared" si="23"/>
        <v>0</v>
      </c>
      <c r="S107" s="3080">
        <f t="shared" si="28"/>
        <v>3</v>
      </c>
      <c r="T107" s="3086">
        <v>36000</v>
      </c>
      <c r="U107" s="3088">
        <f t="shared" si="29"/>
        <v>108000</v>
      </c>
      <c r="V107" s="3080">
        <v>0</v>
      </c>
      <c r="W107" s="3086">
        <v>20000</v>
      </c>
      <c r="X107" s="3088">
        <f t="shared" si="24"/>
        <v>0</v>
      </c>
      <c r="Y107" s="3089">
        <f t="shared" si="25"/>
        <v>108000</v>
      </c>
      <c r="Z107" s="3090">
        <v>48</v>
      </c>
      <c r="AA107" s="3091">
        <v>150</v>
      </c>
      <c r="AB107" s="3087">
        <f t="shared" si="26"/>
        <v>7200</v>
      </c>
      <c r="AC107" s="3092"/>
      <c r="AD107" s="3092"/>
      <c r="AE107" s="3093">
        <f t="shared" si="30"/>
        <v>7200</v>
      </c>
      <c r="AF107" s="3094">
        <f t="shared" si="5"/>
        <v>115200</v>
      </c>
    </row>
    <row r="108" spans="1:32" s="3095" customFormat="1" ht="30" customHeight="1">
      <c r="A108" s="3082">
        <v>90</v>
      </c>
      <c r="B108" s="3083" t="s">
        <v>1316</v>
      </c>
      <c r="C108" s="3083" t="s">
        <v>1192</v>
      </c>
      <c r="D108" s="3083" t="s">
        <v>1314</v>
      </c>
      <c r="E108" s="3084" t="s">
        <v>1188</v>
      </c>
      <c r="F108" s="3084" t="s">
        <v>1189</v>
      </c>
      <c r="G108" s="3080" t="s">
        <v>1240</v>
      </c>
      <c r="H108" s="3084" t="s">
        <v>1187</v>
      </c>
      <c r="I108" s="3085"/>
      <c r="J108" s="3085"/>
      <c r="K108" s="3081">
        <v>3</v>
      </c>
      <c r="L108" s="3080"/>
      <c r="M108" s="3086">
        <v>36000</v>
      </c>
      <c r="N108" s="3087">
        <f t="shared" si="27"/>
        <v>0</v>
      </c>
      <c r="O108" s="3080">
        <v>0</v>
      </c>
      <c r="P108" s="3086">
        <v>20000</v>
      </c>
      <c r="Q108" s="3088">
        <f t="shared" si="22"/>
        <v>0</v>
      </c>
      <c r="R108" s="3089">
        <f t="shared" si="23"/>
        <v>0</v>
      </c>
      <c r="S108" s="3080">
        <f t="shared" si="28"/>
        <v>3</v>
      </c>
      <c r="T108" s="3086">
        <v>36000</v>
      </c>
      <c r="U108" s="3088">
        <f t="shared" si="29"/>
        <v>108000</v>
      </c>
      <c r="V108" s="3080">
        <v>0</v>
      </c>
      <c r="W108" s="3086">
        <v>20000</v>
      </c>
      <c r="X108" s="3088">
        <f t="shared" si="24"/>
        <v>0</v>
      </c>
      <c r="Y108" s="3089">
        <f t="shared" si="25"/>
        <v>108000</v>
      </c>
      <c r="Z108" s="3090">
        <v>48</v>
      </c>
      <c r="AA108" s="3091">
        <v>150</v>
      </c>
      <c r="AB108" s="3087">
        <f t="shared" si="26"/>
        <v>7200</v>
      </c>
      <c r="AC108" s="3092"/>
      <c r="AD108" s="3092"/>
      <c r="AE108" s="3093">
        <f t="shared" si="30"/>
        <v>7200</v>
      </c>
      <c r="AF108" s="3094">
        <f t="shared" si="5"/>
        <v>115200</v>
      </c>
    </row>
    <row r="109" spans="1:32" s="3095" customFormat="1" ht="30" customHeight="1">
      <c r="A109" s="3082">
        <v>91</v>
      </c>
      <c r="B109" s="3083" t="s">
        <v>1317</v>
      </c>
      <c r="C109" s="3083" t="s">
        <v>1194</v>
      </c>
      <c r="D109" s="3083" t="s">
        <v>1314</v>
      </c>
      <c r="E109" s="3084" t="s">
        <v>1188</v>
      </c>
      <c r="F109" s="3084" t="s">
        <v>1189</v>
      </c>
      <c r="G109" s="3080" t="s">
        <v>1240</v>
      </c>
      <c r="H109" s="3084" t="s">
        <v>1187</v>
      </c>
      <c r="I109" s="3085"/>
      <c r="J109" s="3085"/>
      <c r="K109" s="3081">
        <v>3</v>
      </c>
      <c r="L109" s="3080"/>
      <c r="M109" s="3086">
        <v>36000</v>
      </c>
      <c r="N109" s="3087">
        <f t="shared" si="27"/>
        <v>0</v>
      </c>
      <c r="O109" s="3080">
        <v>0</v>
      </c>
      <c r="P109" s="3086">
        <v>20000</v>
      </c>
      <c r="Q109" s="3088">
        <f t="shared" si="22"/>
        <v>0</v>
      </c>
      <c r="R109" s="3089">
        <f t="shared" si="23"/>
        <v>0</v>
      </c>
      <c r="S109" s="3080">
        <f t="shared" si="28"/>
        <v>3</v>
      </c>
      <c r="T109" s="3086">
        <v>36000</v>
      </c>
      <c r="U109" s="3088">
        <f t="shared" si="29"/>
        <v>108000</v>
      </c>
      <c r="V109" s="3080">
        <v>0</v>
      </c>
      <c r="W109" s="3086">
        <v>20000</v>
      </c>
      <c r="X109" s="3088">
        <f t="shared" si="24"/>
        <v>0</v>
      </c>
      <c r="Y109" s="3089">
        <f t="shared" si="25"/>
        <v>108000</v>
      </c>
      <c r="Z109" s="3090">
        <v>48</v>
      </c>
      <c r="AA109" s="3091">
        <v>150</v>
      </c>
      <c r="AB109" s="3087">
        <f t="shared" si="26"/>
        <v>7200</v>
      </c>
      <c r="AC109" s="3092"/>
      <c r="AD109" s="3092"/>
      <c r="AE109" s="3093">
        <f t="shared" si="30"/>
        <v>7200</v>
      </c>
      <c r="AF109" s="3094">
        <f t="shared" si="5"/>
        <v>115200</v>
      </c>
    </row>
    <row r="110" spans="1:32" s="3095" customFormat="1" ht="30" customHeight="1">
      <c r="A110" s="3082">
        <v>92</v>
      </c>
      <c r="B110" s="3083" t="s">
        <v>1318</v>
      </c>
      <c r="C110" s="3083" t="s">
        <v>1186</v>
      </c>
      <c r="D110" s="3083" t="s">
        <v>1319</v>
      </c>
      <c r="E110" s="3084" t="s">
        <v>1188</v>
      </c>
      <c r="F110" s="3084" t="s">
        <v>1189</v>
      </c>
      <c r="G110" s="3080" t="s">
        <v>1240</v>
      </c>
      <c r="H110" s="3084" t="s">
        <v>1187</v>
      </c>
      <c r="I110" s="3085"/>
      <c r="J110" s="3085"/>
      <c r="K110" s="3081">
        <v>3</v>
      </c>
      <c r="L110" s="3080"/>
      <c r="M110" s="3086">
        <v>36000</v>
      </c>
      <c r="N110" s="3087">
        <f t="shared" si="27"/>
        <v>0</v>
      </c>
      <c r="O110" s="3080">
        <v>0</v>
      </c>
      <c r="P110" s="3086">
        <v>20000</v>
      </c>
      <c r="Q110" s="3088">
        <f t="shared" si="22"/>
        <v>0</v>
      </c>
      <c r="R110" s="3089">
        <f t="shared" si="23"/>
        <v>0</v>
      </c>
      <c r="S110" s="3080">
        <f t="shared" si="28"/>
        <v>3</v>
      </c>
      <c r="T110" s="3086">
        <v>36000</v>
      </c>
      <c r="U110" s="3088">
        <f t="shared" si="29"/>
        <v>108000</v>
      </c>
      <c r="V110" s="3080">
        <v>0</v>
      </c>
      <c r="W110" s="3086">
        <v>20000</v>
      </c>
      <c r="X110" s="3088">
        <f t="shared" si="24"/>
        <v>0</v>
      </c>
      <c r="Y110" s="3089">
        <f t="shared" si="25"/>
        <v>108000</v>
      </c>
      <c r="Z110" s="3090">
        <v>30</v>
      </c>
      <c r="AA110" s="3091">
        <v>150</v>
      </c>
      <c r="AB110" s="3087">
        <f t="shared" si="26"/>
        <v>4500</v>
      </c>
      <c r="AC110" s="3092"/>
      <c r="AD110" s="3092"/>
      <c r="AE110" s="3093">
        <f t="shared" si="30"/>
        <v>4500</v>
      </c>
      <c r="AF110" s="3094">
        <f t="shared" si="5"/>
        <v>112500</v>
      </c>
    </row>
    <row r="111" spans="1:32" s="3095" customFormat="1" ht="30" customHeight="1">
      <c r="A111" s="3082">
        <v>93</v>
      </c>
      <c r="B111" s="3083" t="s">
        <v>1320</v>
      </c>
      <c r="C111" s="3083" t="s">
        <v>1194</v>
      </c>
      <c r="D111" s="3083" t="s">
        <v>1321</v>
      </c>
      <c r="E111" s="3084" t="s">
        <v>1188</v>
      </c>
      <c r="F111" s="3084" t="s">
        <v>1189</v>
      </c>
      <c r="G111" s="3080" t="s">
        <v>1190</v>
      </c>
      <c r="H111" s="3084" t="s">
        <v>1187</v>
      </c>
      <c r="I111" s="3085"/>
      <c r="J111" s="3085"/>
      <c r="K111" s="3081">
        <v>3</v>
      </c>
      <c r="L111" s="3080"/>
      <c r="M111" s="3086">
        <v>15000</v>
      </c>
      <c r="N111" s="3087">
        <f t="shared" si="27"/>
        <v>0</v>
      </c>
      <c r="O111" s="3080">
        <v>0</v>
      </c>
      <c r="P111" s="3086">
        <v>20000</v>
      </c>
      <c r="Q111" s="3088">
        <f t="shared" si="22"/>
        <v>0</v>
      </c>
      <c r="R111" s="3089">
        <f t="shared" si="23"/>
        <v>0</v>
      </c>
      <c r="S111" s="3080">
        <f t="shared" si="28"/>
        <v>3</v>
      </c>
      <c r="T111" s="3086">
        <v>15000</v>
      </c>
      <c r="U111" s="3088">
        <f t="shared" si="29"/>
        <v>45000</v>
      </c>
      <c r="V111" s="3080">
        <v>0</v>
      </c>
      <c r="W111" s="3086">
        <v>20000</v>
      </c>
      <c r="X111" s="3088">
        <f t="shared" si="24"/>
        <v>0</v>
      </c>
      <c r="Y111" s="3089">
        <f t="shared" si="25"/>
        <v>45000</v>
      </c>
      <c r="Z111" s="3090">
        <v>10</v>
      </c>
      <c r="AA111" s="3091">
        <v>150</v>
      </c>
      <c r="AB111" s="3087">
        <f t="shared" si="26"/>
        <v>1500</v>
      </c>
      <c r="AC111" s="3092"/>
      <c r="AD111" s="3092"/>
      <c r="AE111" s="3093">
        <f t="shared" si="30"/>
        <v>1500</v>
      </c>
      <c r="AF111" s="3094">
        <f t="shared" si="5"/>
        <v>46500</v>
      </c>
    </row>
    <row r="112" spans="1:32" s="3095" customFormat="1" ht="30" customHeight="1">
      <c r="A112" s="3082">
        <v>94</v>
      </c>
      <c r="B112" s="3083" t="s">
        <v>1322</v>
      </c>
      <c r="C112" s="3083" t="s">
        <v>1196</v>
      </c>
      <c r="D112" s="3083" t="s">
        <v>1323</v>
      </c>
      <c r="E112" s="3084" t="s">
        <v>1188</v>
      </c>
      <c r="F112" s="3084" t="s">
        <v>1189</v>
      </c>
      <c r="G112" s="3080" t="s">
        <v>1190</v>
      </c>
      <c r="H112" s="3084" t="s">
        <v>1187</v>
      </c>
      <c r="I112" s="3085"/>
      <c r="J112" s="3085"/>
      <c r="K112" s="3081">
        <v>3</v>
      </c>
      <c r="L112" s="3080"/>
      <c r="M112" s="3086">
        <v>15000</v>
      </c>
      <c r="N112" s="3087">
        <f t="shared" si="27"/>
        <v>0</v>
      </c>
      <c r="O112" s="3080">
        <v>0</v>
      </c>
      <c r="P112" s="3086">
        <v>20000</v>
      </c>
      <c r="Q112" s="3088">
        <f t="shared" si="22"/>
        <v>0</v>
      </c>
      <c r="R112" s="3089">
        <f t="shared" si="23"/>
        <v>0</v>
      </c>
      <c r="S112" s="3080">
        <f t="shared" si="28"/>
        <v>3</v>
      </c>
      <c r="T112" s="3086">
        <v>15000</v>
      </c>
      <c r="U112" s="3088">
        <f t="shared" si="29"/>
        <v>45000</v>
      </c>
      <c r="V112" s="3080">
        <v>0</v>
      </c>
      <c r="W112" s="3086">
        <v>20000</v>
      </c>
      <c r="X112" s="3088">
        <f t="shared" si="24"/>
        <v>0</v>
      </c>
      <c r="Y112" s="3089">
        <f t="shared" si="25"/>
        <v>45000</v>
      </c>
      <c r="Z112" s="3090">
        <v>14</v>
      </c>
      <c r="AA112" s="3091">
        <v>150</v>
      </c>
      <c r="AB112" s="3087">
        <f t="shared" si="26"/>
        <v>2100</v>
      </c>
      <c r="AC112" s="3092"/>
      <c r="AD112" s="3092"/>
      <c r="AE112" s="3093">
        <f t="shared" si="30"/>
        <v>2100</v>
      </c>
      <c r="AF112" s="3094">
        <f t="shared" si="5"/>
        <v>47100</v>
      </c>
    </row>
    <row r="113" spans="1:32" s="3095" customFormat="1" ht="30" customHeight="1">
      <c r="A113" s="3082">
        <v>95</v>
      </c>
      <c r="B113" s="3083" t="s">
        <v>1324</v>
      </c>
      <c r="C113" s="3083" t="s">
        <v>1196</v>
      </c>
      <c r="D113" s="3083" t="s">
        <v>1323</v>
      </c>
      <c r="E113" s="3084" t="s">
        <v>1188</v>
      </c>
      <c r="F113" s="3084" t="s">
        <v>1189</v>
      </c>
      <c r="G113" s="3080" t="s">
        <v>1190</v>
      </c>
      <c r="H113" s="3084" t="s">
        <v>1187</v>
      </c>
      <c r="I113" s="3085"/>
      <c r="J113" s="3085"/>
      <c r="K113" s="3081">
        <v>3</v>
      </c>
      <c r="L113" s="3080"/>
      <c r="M113" s="3086">
        <v>15000</v>
      </c>
      <c r="N113" s="3087">
        <f t="shared" si="27"/>
        <v>0</v>
      </c>
      <c r="O113" s="3080">
        <v>0</v>
      </c>
      <c r="P113" s="3086">
        <v>20000</v>
      </c>
      <c r="Q113" s="3088">
        <f t="shared" si="22"/>
        <v>0</v>
      </c>
      <c r="R113" s="3089">
        <f t="shared" si="23"/>
        <v>0</v>
      </c>
      <c r="S113" s="3080">
        <f t="shared" si="28"/>
        <v>3</v>
      </c>
      <c r="T113" s="3086">
        <v>15000</v>
      </c>
      <c r="U113" s="3088">
        <f t="shared" si="29"/>
        <v>45000</v>
      </c>
      <c r="V113" s="3080">
        <v>0</v>
      </c>
      <c r="W113" s="3086">
        <v>20000</v>
      </c>
      <c r="X113" s="3088">
        <f t="shared" si="24"/>
        <v>0</v>
      </c>
      <c r="Y113" s="3089">
        <f t="shared" si="25"/>
        <v>45000</v>
      </c>
      <c r="Z113" s="3090">
        <v>14</v>
      </c>
      <c r="AA113" s="3091">
        <v>150</v>
      </c>
      <c r="AB113" s="3087">
        <f t="shared" si="26"/>
        <v>2100</v>
      </c>
      <c r="AC113" s="3092"/>
      <c r="AD113" s="3092"/>
      <c r="AE113" s="3093">
        <f t="shared" si="30"/>
        <v>2100</v>
      </c>
      <c r="AF113" s="3094">
        <f t="shared" si="5"/>
        <v>47100</v>
      </c>
    </row>
    <row r="114" spans="1:32" s="3095" customFormat="1" ht="30" customHeight="1">
      <c r="A114" s="3082">
        <v>96</v>
      </c>
      <c r="B114" s="3083" t="s">
        <v>1325</v>
      </c>
      <c r="C114" s="3083" t="s">
        <v>1202</v>
      </c>
      <c r="D114" s="3083" t="s">
        <v>1323</v>
      </c>
      <c r="E114" s="3084" t="s">
        <v>1188</v>
      </c>
      <c r="F114" s="3084" t="s">
        <v>1189</v>
      </c>
      <c r="G114" s="3080" t="s">
        <v>1190</v>
      </c>
      <c r="H114" s="3084" t="s">
        <v>1187</v>
      </c>
      <c r="I114" s="3085"/>
      <c r="J114" s="3085"/>
      <c r="K114" s="3081">
        <v>3</v>
      </c>
      <c r="L114" s="3080"/>
      <c r="M114" s="3086">
        <v>15000</v>
      </c>
      <c r="N114" s="3087">
        <f t="shared" si="27"/>
        <v>0</v>
      </c>
      <c r="O114" s="3080">
        <v>0</v>
      </c>
      <c r="P114" s="3086">
        <v>20000</v>
      </c>
      <c r="Q114" s="3088">
        <f t="shared" si="22"/>
        <v>0</v>
      </c>
      <c r="R114" s="3089">
        <f t="shared" si="23"/>
        <v>0</v>
      </c>
      <c r="S114" s="3080">
        <f t="shared" si="28"/>
        <v>3</v>
      </c>
      <c r="T114" s="3086">
        <v>15000</v>
      </c>
      <c r="U114" s="3088">
        <f t="shared" si="29"/>
        <v>45000</v>
      </c>
      <c r="V114" s="3080">
        <v>0</v>
      </c>
      <c r="W114" s="3086">
        <v>20000</v>
      </c>
      <c r="X114" s="3088">
        <f t="shared" si="24"/>
        <v>0</v>
      </c>
      <c r="Y114" s="3089">
        <f t="shared" si="25"/>
        <v>45000</v>
      </c>
      <c r="Z114" s="3090">
        <v>14</v>
      </c>
      <c r="AA114" s="3091">
        <v>150</v>
      </c>
      <c r="AB114" s="3087">
        <f t="shared" si="26"/>
        <v>2100</v>
      </c>
      <c r="AC114" s="3092"/>
      <c r="AD114" s="3092"/>
      <c r="AE114" s="3093">
        <f t="shared" si="30"/>
        <v>2100</v>
      </c>
      <c r="AF114" s="3094">
        <f t="shared" si="5"/>
        <v>47100</v>
      </c>
    </row>
    <row r="115" spans="1:32" s="3095" customFormat="1" ht="30" customHeight="1">
      <c r="A115" s="3082">
        <v>97</v>
      </c>
      <c r="B115" s="3083" t="s">
        <v>1326</v>
      </c>
      <c r="C115" s="3083" t="s">
        <v>1194</v>
      </c>
      <c r="D115" s="3083" t="s">
        <v>1323</v>
      </c>
      <c r="E115" s="3084" t="s">
        <v>1188</v>
      </c>
      <c r="F115" s="3084" t="s">
        <v>1189</v>
      </c>
      <c r="G115" s="3080" t="s">
        <v>1190</v>
      </c>
      <c r="H115" s="3084" t="s">
        <v>1187</v>
      </c>
      <c r="I115" s="3085"/>
      <c r="J115" s="3085"/>
      <c r="K115" s="3081">
        <v>3</v>
      </c>
      <c r="L115" s="3080"/>
      <c r="M115" s="3086">
        <v>15000</v>
      </c>
      <c r="N115" s="3087">
        <f t="shared" si="27"/>
        <v>0</v>
      </c>
      <c r="O115" s="3080">
        <v>0</v>
      </c>
      <c r="P115" s="3086">
        <v>20000</v>
      </c>
      <c r="Q115" s="3088">
        <f t="shared" si="22"/>
        <v>0</v>
      </c>
      <c r="R115" s="3089">
        <f t="shared" si="23"/>
        <v>0</v>
      </c>
      <c r="S115" s="3080">
        <f t="shared" si="28"/>
        <v>3</v>
      </c>
      <c r="T115" s="3086">
        <v>15000</v>
      </c>
      <c r="U115" s="3088">
        <f t="shared" si="29"/>
        <v>45000</v>
      </c>
      <c r="V115" s="3080">
        <v>0</v>
      </c>
      <c r="W115" s="3086">
        <v>20000</v>
      </c>
      <c r="X115" s="3088">
        <f t="shared" si="24"/>
        <v>0</v>
      </c>
      <c r="Y115" s="3089">
        <f t="shared" si="25"/>
        <v>45000</v>
      </c>
      <c r="Z115" s="3090">
        <v>14</v>
      </c>
      <c r="AA115" s="3091">
        <v>150</v>
      </c>
      <c r="AB115" s="3087">
        <f t="shared" si="26"/>
        <v>2100</v>
      </c>
      <c r="AC115" s="3092"/>
      <c r="AD115" s="3092"/>
      <c r="AE115" s="3093">
        <f t="shared" si="30"/>
        <v>2100</v>
      </c>
      <c r="AF115" s="3094">
        <f t="shared" si="5"/>
        <v>47100</v>
      </c>
    </row>
    <row r="116" spans="1:32" s="3095" customFormat="1" ht="30" customHeight="1">
      <c r="A116" s="3082">
        <v>98</v>
      </c>
      <c r="B116" s="3083" t="s">
        <v>1327</v>
      </c>
      <c r="C116" s="3083" t="s">
        <v>1328</v>
      </c>
      <c r="D116" s="3083" t="s">
        <v>1329</v>
      </c>
      <c r="E116" s="3084" t="s">
        <v>1188</v>
      </c>
      <c r="F116" s="3084" t="s">
        <v>1189</v>
      </c>
      <c r="G116" s="3080" t="s">
        <v>1240</v>
      </c>
      <c r="H116" s="3084" t="s">
        <v>1187</v>
      </c>
      <c r="I116" s="3085"/>
      <c r="J116" s="3085"/>
      <c r="K116" s="3081">
        <v>3</v>
      </c>
      <c r="L116" s="3080"/>
      <c r="M116" s="3086">
        <v>36000</v>
      </c>
      <c r="N116" s="3087">
        <f t="shared" si="27"/>
        <v>0</v>
      </c>
      <c r="O116" s="3080">
        <v>0</v>
      </c>
      <c r="P116" s="3086">
        <v>20000</v>
      </c>
      <c r="Q116" s="3088">
        <f t="shared" si="22"/>
        <v>0</v>
      </c>
      <c r="R116" s="3089">
        <f t="shared" si="23"/>
        <v>0</v>
      </c>
      <c r="S116" s="3080">
        <f t="shared" si="28"/>
        <v>3</v>
      </c>
      <c r="T116" s="3086">
        <v>36000</v>
      </c>
      <c r="U116" s="3088">
        <f t="shared" si="29"/>
        <v>108000</v>
      </c>
      <c r="V116" s="3080">
        <v>0</v>
      </c>
      <c r="W116" s="3086">
        <v>20000</v>
      </c>
      <c r="X116" s="3088">
        <f t="shared" si="24"/>
        <v>0</v>
      </c>
      <c r="Y116" s="3089">
        <f t="shared" si="25"/>
        <v>108000</v>
      </c>
      <c r="Z116" s="3090">
        <v>40</v>
      </c>
      <c r="AA116" s="3091">
        <v>150</v>
      </c>
      <c r="AB116" s="3087">
        <f t="shared" si="26"/>
        <v>6000</v>
      </c>
      <c r="AC116" s="3092"/>
      <c r="AD116" s="3092"/>
      <c r="AE116" s="3093">
        <f t="shared" si="30"/>
        <v>6000</v>
      </c>
      <c r="AF116" s="3094">
        <f t="shared" si="5"/>
        <v>114000</v>
      </c>
    </row>
    <row r="117" spans="1:32" s="3095" customFormat="1" ht="30" customHeight="1">
      <c r="A117" s="3082">
        <v>99</v>
      </c>
      <c r="B117" s="3083" t="s">
        <v>1330</v>
      </c>
      <c r="C117" s="3083" t="s">
        <v>1279</v>
      </c>
      <c r="D117" s="3083" t="s">
        <v>1331</v>
      </c>
      <c r="E117" s="3084" t="s">
        <v>1188</v>
      </c>
      <c r="F117" s="3084" t="s">
        <v>1189</v>
      </c>
      <c r="G117" s="3080" t="s">
        <v>1240</v>
      </c>
      <c r="H117" s="3084" t="s">
        <v>1187</v>
      </c>
      <c r="I117" s="3085"/>
      <c r="J117" s="3085"/>
      <c r="K117" s="3081">
        <v>3</v>
      </c>
      <c r="L117" s="3080"/>
      <c r="M117" s="3086">
        <v>36000</v>
      </c>
      <c r="N117" s="3087">
        <f t="shared" si="27"/>
        <v>0</v>
      </c>
      <c r="O117" s="3080">
        <v>0</v>
      </c>
      <c r="P117" s="3086">
        <v>20000</v>
      </c>
      <c r="Q117" s="3088">
        <f t="shared" si="22"/>
        <v>0</v>
      </c>
      <c r="R117" s="3089">
        <f t="shared" si="23"/>
        <v>0</v>
      </c>
      <c r="S117" s="3080">
        <f t="shared" si="28"/>
        <v>3</v>
      </c>
      <c r="T117" s="3086">
        <v>36000</v>
      </c>
      <c r="U117" s="3088">
        <f t="shared" si="29"/>
        <v>108000</v>
      </c>
      <c r="V117" s="3080">
        <v>0</v>
      </c>
      <c r="W117" s="3086">
        <v>20000</v>
      </c>
      <c r="X117" s="3088">
        <f t="shared" si="24"/>
        <v>0</v>
      </c>
      <c r="Y117" s="3089">
        <f t="shared" si="25"/>
        <v>108000</v>
      </c>
      <c r="Z117" s="3090">
        <v>58</v>
      </c>
      <c r="AA117" s="3091">
        <v>150</v>
      </c>
      <c r="AB117" s="3087">
        <f t="shared" si="26"/>
        <v>8700</v>
      </c>
      <c r="AC117" s="3092"/>
      <c r="AD117" s="3092"/>
      <c r="AE117" s="3093">
        <f t="shared" si="30"/>
        <v>8700</v>
      </c>
      <c r="AF117" s="3094">
        <f t="shared" si="5"/>
        <v>116700</v>
      </c>
    </row>
    <row r="118" spans="1:32" s="3095" customFormat="1" ht="30" customHeight="1">
      <c r="A118" s="3082">
        <v>100</v>
      </c>
      <c r="B118" s="3083" t="s">
        <v>1332</v>
      </c>
      <c r="C118" s="3083" t="s">
        <v>1333</v>
      </c>
      <c r="D118" s="3083" t="s">
        <v>1334</v>
      </c>
      <c r="E118" s="3084" t="s">
        <v>1188</v>
      </c>
      <c r="F118" s="3084" t="s">
        <v>1189</v>
      </c>
      <c r="G118" s="3080" t="s">
        <v>1240</v>
      </c>
      <c r="H118" s="3084" t="s">
        <v>1187</v>
      </c>
      <c r="I118" s="3085"/>
      <c r="J118" s="3085"/>
      <c r="K118" s="3081">
        <v>3</v>
      </c>
      <c r="L118" s="3080"/>
      <c r="M118" s="3086">
        <v>36000</v>
      </c>
      <c r="N118" s="3087">
        <f t="shared" si="27"/>
        <v>0</v>
      </c>
      <c r="O118" s="3080">
        <v>0</v>
      </c>
      <c r="P118" s="3086">
        <v>20000</v>
      </c>
      <c r="Q118" s="3088">
        <f t="shared" si="22"/>
        <v>0</v>
      </c>
      <c r="R118" s="3089">
        <f t="shared" si="23"/>
        <v>0</v>
      </c>
      <c r="S118" s="3080">
        <f t="shared" si="28"/>
        <v>3</v>
      </c>
      <c r="T118" s="3086">
        <v>36000</v>
      </c>
      <c r="U118" s="3088">
        <f t="shared" si="29"/>
        <v>108000</v>
      </c>
      <c r="V118" s="3080">
        <v>0</v>
      </c>
      <c r="W118" s="3086">
        <v>20000</v>
      </c>
      <c r="X118" s="3088">
        <f t="shared" si="24"/>
        <v>0</v>
      </c>
      <c r="Y118" s="3089">
        <f t="shared" si="25"/>
        <v>108000</v>
      </c>
      <c r="Z118" s="3090">
        <v>36</v>
      </c>
      <c r="AA118" s="3091">
        <v>150</v>
      </c>
      <c r="AB118" s="3087">
        <f t="shared" si="26"/>
        <v>5400</v>
      </c>
      <c r="AC118" s="3092"/>
      <c r="AD118" s="3092"/>
      <c r="AE118" s="3093">
        <f t="shared" si="30"/>
        <v>5400</v>
      </c>
      <c r="AF118" s="3094">
        <f t="shared" si="5"/>
        <v>113400</v>
      </c>
    </row>
    <row r="119" spans="1:32" s="3095" customFormat="1" ht="30" customHeight="1">
      <c r="A119" s="3082">
        <v>101</v>
      </c>
      <c r="B119" s="3083" t="s">
        <v>1335</v>
      </c>
      <c r="C119" s="3083" t="s">
        <v>1196</v>
      </c>
      <c r="D119" s="3083" t="s">
        <v>1336</v>
      </c>
      <c r="E119" s="3084" t="s">
        <v>1188</v>
      </c>
      <c r="F119" s="3084" t="s">
        <v>1189</v>
      </c>
      <c r="G119" s="3080" t="s">
        <v>1240</v>
      </c>
      <c r="H119" s="3084" t="s">
        <v>1187</v>
      </c>
      <c r="I119" s="3085"/>
      <c r="J119" s="3085"/>
      <c r="K119" s="3081">
        <v>3</v>
      </c>
      <c r="L119" s="3080"/>
      <c r="M119" s="3086">
        <v>36000</v>
      </c>
      <c r="N119" s="3087">
        <f t="shared" si="27"/>
        <v>0</v>
      </c>
      <c r="O119" s="3080">
        <v>0</v>
      </c>
      <c r="P119" s="3086">
        <v>20000</v>
      </c>
      <c r="Q119" s="3088">
        <f t="shared" si="22"/>
        <v>0</v>
      </c>
      <c r="R119" s="3089">
        <f t="shared" si="23"/>
        <v>0</v>
      </c>
      <c r="S119" s="3080">
        <f t="shared" si="28"/>
        <v>3</v>
      </c>
      <c r="T119" s="3086">
        <v>36000</v>
      </c>
      <c r="U119" s="3088">
        <f t="shared" si="29"/>
        <v>108000</v>
      </c>
      <c r="V119" s="3080">
        <v>0</v>
      </c>
      <c r="W119" s="3086">
        <v>20000</v>
      </c>
      <c r="X119" s="3088">
        <f t="shared" si="24"/>
        <v>0</v>
      </c>
      <c r="Y119" s="3089">
        <f t="shared" si="25"/>
        <v>108000</v>
      </c>
      <c r="Z119" s="3090">
        <v>36</v>
      </c>
      <c r="AA119" s="3091">
        <v>150</v>
      </c>
      <c r="AB119" s="3087">
        <f t="shared" si="26"/>
        <v>5400</v>
      </c>
      <c r="AC119" s="3092"/>
      <c r="AD119" s="3092"/>
      <c r="AE119" s="3093">
        <f t="shared" si="30"/>
        <v>5400</v>
      </c>
      <c r="AF119" s="3094">
        <f t="shared" si="5"/>
        <v>113400</v>
      </c>
    </row>
    <row r="120" spans="1:32" s="3095" customFormat="1" ht="30" customHeight="1">
      <c r="A120" s="3082">
        <v>102</v>
      </c>
      <c r="B120" s="3083" t="s">
        <v>1337</v>
      </c>
      <c r="C120" s="3083" t="s">
        <v>1186</v>
      </c>
      <c r="D120" s="3083" t="s">
        <v>1336</v>
      </c>
      <c r="E120" s="3084" t="s">
        <v>1188</v>
      </c>
      <c r="F120" s="3084" t="s">
        <v>1189</v>
      </c>
      <c r="G120" s="3080" t="s">
        <v>1240</v>
      </c>
      <c r="H120" s="3084" t="s">
        <v>1187</v>
      </c>
      <c r="I120" s="3085"/>
      <c r="J120" s="3085"/>
      <c r="K120" s="3081">
        <v>3</v>
      </c>
      <c r="L120" s="3080"/>
      <c r="M120" s="3086">
        <v>36000</v>
      </c>
      <c r="N120" s="3087">
        <f t="shared" si="27"/>
        <v>0</v>
      </c>
      <c r="O120" s="3080">
        <v>0</v>
      </c>
      <c r="P120" s="3086">
        <v>20000</v>
      </c>
      <c r="Q120" s="3088">
        <f t="shared" si="22"/>
        <v>0</v>
      </c>
      <c r="R120" s="3089">
        <f t="shared" si="23"/>
        <v>0</v>
      </c>
      <c r="S120" s="3080">
        <f t="shared" si="28"/>
        <v>3</v>
      </c>
      <c r="T120" s="3086">
        <v>36000</v>
      </c>
      <c r="U120" s="3088">
        <f t="shared" si="29"/>
        <v>108000</v>
      </c>
      <c r="V120" s="3080">
        <v>0</v>
      </c>
      <c r="W120" s="3086">
        <v>20000</v>
      </c>
      <c r="X120" s="3088">
        <f t="shared" si="24"/>
        <v>0</v>
      </c>
      <c r="Y120" s="3089">
        <f t="shared" si="25"/>
        <v>108000</v>
      </c>
      <c r="Z120" s="3090">
        <v>36</v>
      </c>
      <c r="AA120" s="3091">
        <v>150</v>
      </c>
      <c r="AB120" s="3087">
        <f t="shared" si="26"/>
        <v>5400</v>
      </c>
      <c r="AC120" s="3092"/>
      <c r="AD120" s="3092"/>
      <c r="AE120" s="3093">
        <f t="shared" si="30"/>
        <v>5400</v>
      </c>
      <c r="AF120" s="3094">
        <f t="shared" si="5"/>
        <v>113400</v>
      </c>
    </row>
    <row r="121" spans="1:32" s="3095" customFormat="1" ht="30" customHeight="1">
      <c r="A121" s="3082">
        <v>103</v>
      </c>
      <c r="B121" s="3083" t="s">
        <v>1338</v>
      </c>
      <c r="C121" s="3083" t="s">
        <v>1196</v>
      </c>
      <c r="D121" s="3083" t="s">
        <v>1339</v>
      </c>
      <c r="E121" s="3084" t="s">
        <v>1188</v>
      </c>
      <c r="F121" s="3084" t="s">
        <v>1189</v>
      </c>
      <c r="G121" s="3080" t="s">
        <v>1240</v>
      </c>
      <c r="H121" s="3084" t="s">
        <v>1187</v>
      </c>
      <c r="I121" s="3085"/>
      <c r="J121" s="3085"/>
      <c r="K121" s="3081">
        <v>3</v>
      </c>
      <c r="L121" s="3080"/>
      <c r="M121" s="3086">
        <v>36000</v>
      </c>
      <c r="N121" s="3087">
        <f>M121*L121</f>
        <v>0</v>
      </c>
      <c r="O121" s="3080">
        <v>0</v>
      </c>
      <c r="P121" s="3086">
        <v>20000</v>
      </c>
      <c r="Q121" s="3088">
        <f t="shared" si="22"/>
        <v>0</v>
      </c>
      <c r="R121" s="3089">
        <f t="shared" si="23"/>
        <v>0</v>
      </c>
      <c r="S121" s="3080">
        <f>+K121</f>
        <v>3</v>
      </c>
      <c r="T121" s="3086">
        <v>36000</v>
      </c>
      <c r="U121" s="3088">
        <f>T121*S121</f>
        <v>108000</v>
      </c>
      <c r="V121" s="3080">
        <v>0</v>
      </c>
      <c r="W121" s="3086">
        <v>20000</v>
      </c>
      <c r="X121" s="3088">
        <f t="shared" si="24"/>
        <v>0</v>
      </c>
      <c r="Y121" s="3089">
        <f t="shared" si="25"/>
        <v>108000</v>
      </c>
      <c r="Z121" s="3090">
        <v>62</v>
      </c>
      <c r="AA121" s="3091">
        <v>150</v>
      </c>
      <c r="AB121" s="3087">
        <f t="shared" si="26"/>
        <v>9300</v>
      </c>
      <c r="AC121" s="3092"/>
      <c r="AD121" s="3092"/>
      <c r="AE121" s="3093">
        <f>AB121</f>
        <v>9300</v>
      </c>
      <c r="AF121" s="3094">
        <f t="shared" si="5"/>
        <v>117300</v>
      </c>
    </row>
    <row r="122" spans="1:32" s="3095" customFormat="1" ht="30" customHeight="1">
      <c r="A122" s="3082">
        <v>104</v>
      </c>
      <c r="B122" s="3083" t="s">
        <v>1340</v>
      </c>
      <c r="C122" s="3083" t="s">
        <v>1333</v>
      </c>
      <c r="D122" s="3083" t="s">
        <v>1341</v>
      </c>
      <c r="E122" s="3084" t="s">
        <v>1188</v>
      </c>
      <c r="F122" s="3084" t="s">
        <v>1189</v>
      </c>
      <c r="G122" s="3080" t="s">
        <v>1240</v>
      </c>
      <c r="H122" s="3084" t="s">
        <v>1187</v>
      </c>
      <c r="I122" s="3085"/>
      <c r="J122" s="3085"/>
      <c r="K122" s="3081">
        <v>3</v>
      </c>
      <c r="L122" s="3080"/>
      <c r="M122" s="3086">
        <v>36000</v>
      </c>
      <c r="N122" s="3087">
        <f t="shared" ref="N122:N132" si="31">M122*L122</f>
        <v>0</v>
      </c>
      <c r="O122" s="3080">
        <v>0</v>
      </c>
      <c r="P122" s="3086">
        <v>20000</v>
      </c>
      <c r="Q122" s="3088">
        <f t="shared" si="22"/>
        <v>0</v>
      </c>
      <c r="R122" s="3089">
        <f t="shared" si="23"/>
        <v>0</v>
      </c>
      <c r="S122" s="3080">
        <f t="shared" ref="S122:S132" si="32">+K122</f>
        <v>3</v>
      </c>
      <c r="T122" s="3086">
        <v>36000</v>
      </c>
      <c r="U122" s="3088">
        <f t="shared" ref="U122:U132" si="33">T122*S122</f>
        <v>108000</v>
      </c>
      <c r="V122" s="3080">
        <v>0</v>
      </c>
      <c r="W122" s="3086">
        <v>20000</v>
      </c>
      <c r="X122" s="3088">
        <f t="shared" si="24"/>
        <v>0</v>
      </c>
      <c r="Y122" s="3089">
        <f t="shared" si="25"/>
        <v>108000</v>
      </c>
      <c r="Z122" s="3090">
        <v>44</v>
      </c>
      <c r="AA122" s="3091">
        <v>150</v>
      </c>
      <c r="AB122" s="3087">
        <f t="shared" si="26"/>
        <v>6600</v>
      </c>
      <c r="AC122" s="3092"/>
      <c r="AD122" s="3092"/>
      <c r="AE122" s="3093">
        <f t="shared" ref="AE122:AE132" si="34">AB122</f>
        <v>6600</v>
      </c>
      <c r="AF122" s="3094">
        <f t="shared" si="5"/>
        <v>114600</v>
      </c>
    </row>
    <row r="123" spans="1:32" s="3095" customFormat="1" ht="30" customHeight="1">
      <c r="A123" s="3082">
        <v>105</v>
      </c>
      <c r="B123" s="3083" t="s">
        <v>1342</v>
      </c>
      <c r="C123" s="3083" t="s">
        <v>1186</v>
      </c>
      <c r="D123" s="3083" t="s">
        <v>1343</v>
      </c>
      <c r="E123" s="3084" t="s">
        <v>1188</v>
      </c>
      <c r="F123" s="3084" t="s">
        <v>1189</v>
      </c>
      <c r="G123" s="3080" t="s">
        <v>1240</v>
      </c>
      <c r="H123" s="3084" t="s">
        <v>1187</v>
      </c>
      <c r="I123" s="3085"/>
      <c r="J123" s="3085"/>
      <c r="K123" s="3081">
        <v>3</v>
      </c>
      <c r="L123" s="3080"/>
      <c r="M123" s="3086">
        <v>36000</v>
      </c>
      <c r="N123" s="3087">
        <f t="shared" si="31"/>
        <v>0</v>
      </c>
      <c r="O123" s="3080">
        <v>0</v>
      </c>
      <c r="P123" s="3086">
        <v>20000</v>
      </c>
      <c r="Q123" s="3088">
        <f t="shared" si="22"/>
        <v>0</v>
      </c>
      <c r="R123" s="3089">
        <f t="shared" si="23"/>
        <v>0</v>
      </c>
      <c r="S123" s="3080">
        <f t="shared" si="32"/>
        <v>3</v>
      </c>
      <c r="T123" s="3086">
        <v>36000</v>
      </c>
      <c r="U123" s="3088">
        <f t="shared" si="33"/>
        <v>108000</v>
      </c>
      <c r="V123" s="3080">
        <v>0</v>
      </c>
      <c r="W123" s="3086">
        <v>20000</v>
      </c>
      <c r="X123" s="3088">
        <f t="shared" si="24"/>
        <v>0</v>
      </c>
      <c r="Y123" s="3089">
        <f t="shared" si="25"/>
        <v>108000</v>
      </c>
      <c r="Z123" s="3090">
        <v>36</v>
      </c>
      <c r="AA123" s="3091">
        <v>150</v>
      </c>
      <c r="AB123" s="3087">
        <f t="shared" si="26"/>
        <v>5400</v>
      </c>
      <c r="AC123" s="3092"/>
      <c r="AD123" s="3092"/>
      <c r="AE123" s="3093">
        <f t="shared" si="34"/>
        <v>5400</v>
      </c>
      <c r="AF123" s="3094">
        <f t="shared" si="5"/>
        <v>113400</v>
      </c>
    </row>
    <row r="124" spans="1:32" s="3095" customFormat="1" ht="30" customHeight="1">
      <c r="A124" s="3082">
        <v>106</v>
      </c>
      <c r="B124" s="3083" t="s">
        <v>1344</v>
      </c>
      <c r="C124" s="3083" t="s">
        <v>1345</v>
      </c>
      <c r="D124" s="3083" t="s">
        <v>1343</v>
      </c>
      <c r="E124" s="3084" t="s">
        <v>1188</v>
      </c>
      <c r="F124" s="3084" t="s">
        <v>1189</v>
      </c>
      <c r="G124" s="3080" t="s">
        <v>1240</v>
      </c>
      <c r="H124" s="3084" t="s">
        <v>1187</v>
      </c>
      <c r="I124" s="3085"/>
      <c r="J124" s="3085"/>
      <c r="K124" s="3081">
        <v>3</v>
      </c>
      <c r="L124" s="3080"/>
      <c r="M124" s="3086">
        <v>36000</v>
      </c>
      <c r="N124" s="3087">
        <f t="shared" si="31"/>
        <v>0</v>
      </c>
      <c r="O124" s="3080">
        <v>0</v>
      </c>
      <c r="P124" s="3086">
        <v>20000</v>
      </c>
      <c r="Q124" s="3088">
        <f t="shared" si="22"/>
        <v>0</v>
      </c>
      <c r="R124" s="3089">
        <f t="shared" si="23"/>
        <v>0</v>
      </c>
      <c r="S124" s="3080">
        <f t="shared" si="32"/>
        <v>3</v>
      </c>
      <c r="T124" s="3086">
        <v>36000</v>
      </c>
      <c r="U124" s="3088">
        <f t="shared" si="33"/>
        <v>108000</v>
      </c>
      <c r="V124" s="3080">
        <v>0</v>
      </c>
      <c r="W124" s="3086">
        <v>20000</v>
      </c>
      <c r="X124" s="3088">
        <f t="shared" si="24"/>
        <v>0</v>
      </c>
      <c r="Y124" s="3089">
        <f t="shared" si="25"/>
        <v>108000</v>
      </c>
      <c r="Z124" s="3090">
        <v>36</v>
      </c>
      <c r="AA124" s="3091">
        <v>150</v>
      </c>
      <c r="AB124" s="3087">
        <f t="shared" si="26"/>
        <v>5400</v>
      </c>
      <c r="AC124" s="3092"/>
      <c r="AD124" s="3092"/>
      <c r="AE124" s="3093">
        <f t="shared" si="34"/>
        <v>5400</v>
      </c>
      <c r="AF124" s="3094">
        <f t="shared" si="5"/>
        <v>113400</v>
      </c>
    </row>
    <row r="125" spans="1:32" s="3095" customFormat="1" ht="30" customHeight="1">
      <c r="A125" s="3082">
        <v>107</v>
      </c>
      <c r="B125" s="3083" t="s">
        <v>1346</v>
      </c>
      <c r="C125" s="3083" t="s">
        <v>1333</v>
      </c>
      <c r="D125" s="3083" t="s">
        <v>1347</v>
      </c>
      <c r="E125" s="3084" t="s">
        <v>1188</v>
      </c>
      <c r="F125" s="3084" t="s">
        <v>1189</v>
      </c>
      <c r="G125" s="3080" t="s">
        <v>1240</v>
      </c>
      <c r="H125" s="3084" t="s">
        <v>1187</v>
      </c>
      <c r="I125" s="3085"/>
      <c r="J125" s="3085"/>
      <c r="K125" s="3081">
        <v>3</v>
      </c>
      <c r="L125" s="3080"/>
      <c r="M125" s="3086">
        <v>36000</v>
      </c>
      <c r="N125" s="3087">
        <f t="shared" si="31"/>
        <v>0</v>
      </c>
      <c r="O125" s="3080">
        <v>0</v>
      </c>
      <c r="P125" s="3086">
        <v>20000</v>
      </c>
      <c r="Q125" s="3088">
        <f t="shared" si="22"/>
        <v>0</v>
      </c>
      <c r="R125" s="3089">
        <f t="shared" si="23"/>
        <v>0</v>
      </c>
      <c r="S125" s="3080">
        <f t="shared" si="32"/>
        <v>3</v>
      </c>
      <c r="T125" s="3086">
        <v>36000</v>
      </c>
      <c r="U125" s="3088">
        <f t="shared" si="33"/>
        <v>108000</v>
      </c>
      <c r="V125" s="3080">
        <v>0</v>
      </c>
      <c r="W125" s="3086">
        <v>20000</v>
      </c>
      <c r="X125" s="3088">
        <f t="shared" si="24"/>
        <v>0</v>
      </c>
      <c r="Y125" s="3089">
        <f t="shared" si="25"/>
        <v>108000</v>
      </c>
      <c r="Z125" s="3090">
        <v>34</v>
      </c>
      <c r="AA125" s="3091">
        <v>150</v>
      </c>
      <c r="AB125" s="3087">
        <f t="shared" si="26"/>
        <v>5100</v>
      </c>
      <c r="AC125" s="3092"/>
      <c r="AD125" s="3092"/>
      <c r="AE125" s="3093">
        <f t="shared" si="34"/>
        <v>5100</v>
      </c>
      <c r="AF125" s="3094">
        <f t="shared" ref="AF125:AF191" si="35">+Y125+AE125+R125</f>
        <v>113100</v>
      </c>
    </row>
    <row r="126" spans="1:32" s="3095" customFormat="1" ht="30" customHeight="1">
      <c r="A126" s="3082">
        <v>108</v>
      </c>
      <c r="B126" s="3083" t="s">
        <v>1348</v>
      </c>
      <c r="C126" s="3083" t="s">
        <v>1192</v>
      </c>
      <c r="D126" s="3083" t="s">
        <v>1349</v>
      </c>
      <c r="E126" s="3084" t="s">
        <v>1188</v>
      </c>
      <c r="F126" s="3084" t="s">
        <v>1189</v>
      </c>
      <c r="G126" s="3080" t="s">
        <v>1240</v>
      </c>
      <c r="H126" s="3084" t="s">
        <v>1187</v>
      </c>
      <c r="I126" s="3085"/>
      <c r="J126" s="3085"/>
      <c r="K126" s="3081">
        <v>3</v>
      </c>
      <c r="L126" s="3080"/>
      <c r="M126" s="3086">
        <v>36000</v>
      </c>
      <c r="N126" s="3087">
        <f t="shared" si="31"/>
        <v>0</v>
      </c>
      <c r="O126" s="3080">
        <v>0</v>
      </c>
      <c r="P126" s="3086">
        <v>20000</v>
      </c>
      <c r="Q126" s="3088">
        <f t="shared" si="22"/>
        <v>0</v>
      </c>
      <c r="R126" s="3089">
        <f t="shared" si="23"/>
        <v>0</v>
      </c>
      <c r="S126" s="3080">
        <f t="shared" si="32"/>
        <v>3</v>
      </c>
      <c r="T126" s="3086">
        <v>36000</v>
      </c>
      <c r="U126" s="3088">
        <f t="shared" si="33"/>
        <v>108000</v>
      </c>
      <c r="V126" s="3080">
        <v>0</v>
      </c>
      <c r="W126" s="3086">
        <v>20000</v>
      </c>
      <c r="X126" s="3088">
        <f t="shared" si="24"/>
        <v>0</v>
      </c>
      <c r="Y126" s="3089">
        <f t="shared" si="25"/>
        <v>108000</v>
      </c>
      <c r="Z126" s="3090">
        <v>44</v>
      </c>
      <c r="AA126" s="3091">
        <v>150</v>
      </c>
      <c r="AB126" s="3087">
        <f t="shared" si="26"/>
        <v>6600</v>
      </c>
      <c r="AC126" s="3092"/>
      <c r="AD126" s="3092"/>
      <c r="AE126" s="3093">
        <f t="shared" si="34"/>
        <v>6600</v>
      </c>
      <c r="AF126" s="3094">
        <f t="shared" si="35"/>
        <v>114600</v>
      </c>
    </row>
    <row r="127" spans="1:32" s="3095" customFormat="1" ht="30" customHeight="1">
      <c r="A127" s="3082">
        <v>109</v>
      </c>
      <c r="B127" s="3083" t="s">
        <v>1350</v>
      </c>
      <c r="C127" s="3083" t="s">
        <v>1333</v>
      </c>
      <c r="D127" s="3083" t="s">
        <v>1351</v>
      </c>
      <c r="E127" s="3084" t="s">
        <v>1188</v>
      </c>
      <c r="F127" s="3084" t="s">
        <v>1189</v>
      </c>
      <c r="G127" s="3080" t="s">
        <v>1240</v>
      </c>
      <c r="H127" s="3084" t="s">
        <v>1187</v>
      </c>
      <c r="I127" s="3085"/>
      <c r="J127" s="3085"/>
      <c r="K127" s="3081">
        <v>3</v>
      </c>
      <c r="L127" s="3080"/>
      <c r="M127" s="3086">
        <v>36000</v>
      </c>
      <c r="N127" s="3087">
        <f t="shared" si="31"/>
        <v>0</v>
      </c>
      <c r="O127" s="3080">
        <v>0</v>
      </c>
      <c r="P127" s="3086">
        <v>20000</v>
      </c>
      <c r="Q127" s="3088">
        <f t="shared" si="22"/>
        <v>0</v>
      </c>
      <c r="R127" s="3089">
        <f t="shared" si="23"/>
        <v>0</v>
      </c>
      <c r="S127" s="3080">
        <f t="shared" si="32"/>
        <v>3</v>
      </c>
      <c r="T127" s="3086">
        <v>36000</v>
      </c>
      <c r="U127" s="3088">
        <f t="shared" si="33"/>
        <v>108000</v>
      </c>
      <c r="V127" s="3080">
        <v>0</v>
      </c>
      <c r="W127" s="3086">
        <v>20000</v>
      </c>
      <c r="X127" s="3088">
        <f t="shared" si="24"/>
        <v>0</v>
      </c>
      <c r="Y127" s="3089">
        <f t="shared" si="25"/>
        <v>108000</v>
      </c>
      <c r="Z127" s="3090">
        <v>44</v>
      </c>
      <c r="AA127" s="3091">
        <v>150</v>
      </c>
      <c r="AB127" s="3087">
        <f t="shared" si="26"/>
        <v>6600</v>
      </c>
      <c r="AC127" s="3092"/>
      <c r="AD127" s="3092"/>
      <c r="AE127" s="3093">
        <f t="shared" si="34"/>
        <v>6600</v>
      </c>
      <c r="AF127" s="3094">
        <f t="shared" si="35"/>
        <v>114600</v>
      </c>
    </row>
    <row r="128" spans="1:32" s="3095" customFormat="1" ht="30" customHeight="1">
      <c r="A128" s="3082">
        <v>110</v>
      </c>
      <c r="B128" s="3083" t="s">
        <v>1352</v>
      </c>
      <c r="C128" s="3083" t="s">
        <v>1196</v>
      </c>
      <c r="D128" s="3083" t="s">
        <v>1353</v>
      </c>
      <c r="E128" s="3084" t="s">
        <v>1188</v>
      </c>
      <c r="F128" s="3084" t="s">
        <v>1189</v>
      </c>
      <c r="G128" s="3080" t="s">
        <v>1240</v>
      </c>
      <c r="H128" s="3084" t="s">
        <v>1187</v>
      </c>
      <c r="I128" s="3085"/>
      <c r="J128" s="3085"/>
      <c r="K128" s="3081">
        <v>3</v>
      </c>
      <c r="L128" s="3080"/>
      <c r="M128" s="3086">
        <v>36000</v>
      </c>
      <c r="N128" s="3087">
        <f t="shared" si="31"/>
        <v>0</v>
      </c>
      <c r="O128" s="3080">
        <v>0</v>
      </c>
      <c r="P128" s="3086">
        <v>20000</v>
      </c>
      <c r="Q128" s="3088">
        <f t="shared" si="22"/>
        <v>0</v>
      </c>
      <c r="R128" s="3089">
        <f t="shared" si="23"/>
        <v>0</v>
      </c>
      <c r="S128" s="3080">
        <f t="shared" si="32"/>
        <v>3</v>
      </c>
      <c r="T128" s="3086">
        <v>36000</v>
      </c>
      <c r="U128" s="3088">
        <f t="shared" si="33"/>
        <v>108000</v>
      </c>
      <c r="V128" s="3080">
        <v>0</v>
      </c>
      <c r="W128" s="3086">
        <v>20000</v>
      </c>
      <c r="X128" s="3088">
        <f t="shared" si="24"/>
        <v>0</v>
      </c>
      <c r="Y128" s="3089">
        <f t="shared" si="25"/>
        <v>108000</v>
      </c>
      <c r="Z128" s="3090">
        <v>34</v>
      </c>
      <c r="AA128" s="3091">
        <v>150</v>
      </c>
      <c r="AB128" s="3087">
        <f t="shared" si="26"/>
        <v>5100</v>
      </c>
      <c r="AC128" s="3092"/>
      <c r="AD128" s="3092"/>
      <c r="AE128" s="3093">
        <f t="shared" si="34"/>
        <v>5100</v>
      </c>
      <c r="AF128" s="3094">
        <f t="shared" si="35"/>
        <v>113100</v>
      </c>
    </row>
    <row r="129" spans="1:32" s="3095" customFormat="1" ht="30" customHeight="1">
      <c r="A129" s="3082">
        <v>111</v>
      </c>
      <c r="B129" s="3083" t="s">
        <v>1354</v>
      </c>
      <c r="C129" s="3083" t="s">
        <v>1186</v>
      </c>
      <c r="D129" s="3083" t="s">
        <v>1353</v>
      </c>
      <c r="E129" s="3084" t="s">
        <v>1188</v>
      </c>
      <c r="F129" s="3084" t="s">
        <v>1189</v>
      </c>
      <c r="G129" s="3080" t="s">
        <v>1240</v>
      </c>
      <c r="H129" s="3084" t="s">
        <v>1187</v>
      </c>
      <c r="I129" s="3085"/>
      <c r="J129" s="3085"/>
      <c r="K129" s="3081">
        <v>3</v>
      </c>
      <c r="L129" s="3080"/>
      <c r="M129" s="3086">
        <v>36000</v>
      </c>
      <c r="N129" s="3087">
        <f t="shared" si="31"/>
        <v>0</v>
      </c>
      <c r="O129" s="3080">
        <v>0</v>
      </c>
      <c r="P129" s="3086">
        <v>20000</v>
      </c>
      <c r="Q129" s="3088">
        <f t="shared" si="22"/>
        <v>0</v>
      </c>
      <c r="R129" s="3089">
        <f t="shared" si="23"/>
        <v>0</v>
      </c>
      <c r="S129" s="3080">
        <f t="shared" si="32"/>
        <v>3</v>
      </c>
      <c r="T129" s="3086">
        <v>36000</v>
      </c>
      <c r="U129" s="3088">
        <f t="shared" si="33"/>
        <v>108000</v>
      </c>
      <c r="V129" s="3080">
        <v>0</v>
      </c>
      <c r="W129" s="3086">
        <v>20000</v>
      </c>
      <c r="X129" s="3088">
        <f t="shared" si="24"/>
        <v>0</v>
      </c>
      <c r="Y129" s="3089">
        <f t="shared" si="25"/>
        <v>108000</v>
      </c>
      <c r="Z129" s="3090">
        <v>34</v>
      </c>
      <c r="AA129" s="3091">
        <v>150</v>
      </c>
      <c r="AB129" s="3087">
        <f t="shared" si="26"/>
        <v>5100</v>
      </c>
      <c r="AC129" s="3092"/>
      <c r="AD129" s="3092"/>
      <c r="AE129" s="3093">
        <f t="shared" si="34"/>
        <v>5100</v>
      </c>
      <c r="AF129" s="3094">
        <f t="shared" si="35"/>
        <v>113100</v>
      </c>
    </row>
    <row r="130" spans="1:32" s="3095" customFormat="1" ht="30" customHeight="1">
      <c r="A130" s="3082">
        <v>112</v>
      </c>
      <c r="B130" s="3083" t="s">
        <v>1355</v>
      </c>
      <c r="C130" s="3083" t="s">
        <v>1196</v>
      </c>
      <c r="D130" s="3083" t="s">
        <v>1356</v>
      </c>
      <c r="E130" s="3084" t="s">
        <v>1188</v>
      </c>
      <c r="F130" s="3084" t="s">
        <v>1189</v>
      </c>
      <c r="G130" s="3080" t="s">
        <v>1240</v>
      </c>
      <c r="H130" s="3084" t="s">
        <v>1187</v>
      </c>
      <c r="I130" s="3085"/>
      <c r="J130" s="3085"/>
      <c r="K130" s="3081">
        <v>3</v>
      </c>
      <c r="L130" s="3080"/>
      <c r="M130" s="3086">
        <v>36000</v>
      </c>
      <c r="N130" s="3087">
        <f t="shared" si="31"/>
        <v>0</v>
      </c>
      <c r="O130" s="3080">
        <v>0</v>
      </c>
      <c r="P130" s="3086">
        <v>20000</v>
      </c>
      <c r="Q130" s="3088">
        <f t="shared" si="22"/>
        <v>0</v>
      </c>
      <c r="R130" s="3089">
        <f t="shared" si="23"/>
        <v>0</v>
      </c>
      <c r="S130" s="3080">
        <f t="shared" si="32"/>
        <v>3</v>
      </c>
      <c r="T130" s="3086">
        <v>36000</v>
      </c>
      <c r="U130" s="3088">
        <f t="shared" si="33"/>
        <v>108000</v>
      </c>
      <c r="V130" s="3080">
        <v>0</v>
      </c>
      <c r="W130" s="3086">
        <v>20000</v>
      </c>
      <c r="X130" s="3088">
        <f t="shared" si="24"/>
        <v>0</v>
      </c>
      <c r="Y130" s="3089">
        <f t="shared" si="25"/>
        <v>108000</v>
      </c>
      <c r="Z130" s="3090">
        <v>32</v>
      </c>
      <c r="AA130" s="3091">
        <v>150</v>
      </c>
      <c r="AB130" s="3087">
        <f t="shared" si="26"/>
        <v>4800</v>
      </c>
      <c r="AC130" s="3092"/>
      <c r="AD130" s="3092"/>
      <c r="AE130" s="3093">
        <f t="shared" si="34"/>
        <v>4800</v>
      </c>
      <c r="AF130" s="3094">
        <f t="shared" si="35"/>
        <v>112800</v>
      </c>
    </row>
    <row r="131" spans="1:32" s="3095" customFormat="1" ht="30" customHeight="1">
      <c r="A131" s="3082">
        <v>113</v>
      </c>
      <c r="B131" s="3083" t="s">
        <v>1357</v>
      </c>
      <c r="C131" s="3083" t="s">
        <v>1186</v>
      </c>
      <c r="D131" s="3083" t="s">
        <v>1356</v>
      </c>
      <c r="E131" s="3084" t="s">
        <v>1188</v>
      </c>
      <c r="F131" s="3084" t="s">
        <v>1189</v>
      </c>
      <c r="G131" s="3080" t="s">
        <v>1240</v>
      </c>
      <c r="H131" s="3084" t="s">
        <v>1187</v>
      </c>
      <c r="I131" s="3085"/>
      <c r="J131" s="3085"/>
      <c r="K131" s="3081">
        <v>3</v>
      </c>
      <c r="L131" s="3080"/>
      <c r="M131" s="3086">
        <v>36000</v>
      </c>
      <c r="N131" s="3087">
        <f t="shared" si="31"/>
        <v>0</v>
      </c>
      <c r="O131" s="3080">
        <v>0</v>
      </c>
      <c r="P131" s="3086">
        <v>20000</v>
      </c>
      <c r="Q131" s="3088">
        <f t="shared" si="22"/>
        <v>0</v>
      </c>
      <c r="R131" s="3089">
        <f t="shared" si="23"/>
        <v>0</v>
      </c>
      <c r="S131" s="3080">
        <f t="shared" si="32"/>
        <v>3</v>
      </c>
      <c r="T131" s="3086">
        <v>36000</v>
      </c>
      <c r="U131" s="3088">
        <f t="shared" si="33"/>
        <v>108000</v>
      </c>
      <c r="V131" s="3080">
        <v>0</v>
      </c>
      <c r="W131" s="3086">
        <v>20000</v>
      </c>
      <c r="X131" s="3088">
        <f t="shared" si="24"/>
        <v>0</v>
      </c>
      <c r="Y131" s="3089">
        <f t="shared" si="25"/>
        <v>108000</v>
      </c>
      <c r="Z131" s="3090">
        <v>32</v>
      </c>
      <c r="AA131" s="3091">
        <v>150</v>
      </c>
      <c r="AB131" s="3087">
        <f t="shared" si="26"/>
        <v>4800</v>
      </c>
      <c r="AC131" s="3092"/>
      <c r="AD131" s="3092"/>
      <c r="AE131" s="3093">
        <f t="shared" si="34"/>
        <v>4800</v>
      </c>
      <c r="AF131" s="3094">
        <f t="shared" si="35"/>
        <v>112800</v>
      </c>
    </row>
    <row r="132" spans="1:32" s="3095" customFormat="1" ht="30" customHeight="1">
      <c r="A132" s="3082">
        <v>114</v>
      </c>
      <c r="B132" s="3083" t="s">
        <v>1358</v>
      </c>
      <c r="C132" s="3083" t="s">
        <v>1194</v>
      </c>
      <c r="D132" s="3083" t="s">
        <v>1359</v>
      </c>
      <c r="E132" s="3084" t="s">
        <v>1188</v>
      </c>
      <c r="F132" s="3084" t="s">
        <v>1189</v>
      </c>
      <c r="G132" s="3080" t="s">
        <v>1240</v>
      </c>
      <c r="H132" s="3084" t="s">
        <v>1187</v>
      </c>
      <c r="I132" s="3085"/>
      <c r="J132" s="3085"/>
      <c r="K132" s="3081">
        <v>3</v>
      </c>
      <c r="L132" s="3080"/>
      <c r="M132" s="3086">
        <v>36000</v>
      </c>
      <c r="N132" s="3087">
        <f t="shared" si="31"/>
        <v>0</v>
      </c>
      <c r="O132" s="3080">
        <v>0</v>
      </c>
      <c r="P132" s="3086">
        <v>20000</v>
      </c>
      <c r="Q132" s="3088">
        <f t="shared" si="22"/>
        <v>0</v>
      </c>
      <c r="R132" s="3089">
        <f t="shared" si="23"/>
        <v>0</v>
      </c>
      <c r="S132" s="3080">
        <f t="shared" si="32"/>
        <v>3</v>
      </c>
      <c r="T132" s="3086">
        <v>36000</v>
      </c>
      <c r="U132" s="3088">
        <f t="shared" si="33"/>
        <v>108000</v>
      </c>
      <c r="V132" s="3080">
        <v>0</v>
      </c>
      <c r="W132" s="3086">
        <v>20000</v>
      </c>
      <c r="X132" s="3088">
        <f t="shared" si="24"/>
        <v>0</v>
      </c>
      <c r="Y132" s="3089">
        <f t="shared" si="25"/>
        <v>108000</v>
      </c>
      <c r="Z132" s="3090">
        <v>42</v>
      </c>
      <c r="AA132" s="3091">
        <v>150</v>
      </c>
      <c r="AB132" s="3087">
        <f t="shared" si="26"/>
        <v>6300</v>
      </c>
      <c r="AC132" s="3092"/>
      <c r="AD132" s="3092"/>
      <c r="AE132" s="3093">
        <f t="shared" si="34"/>
        <v>6300</v>
      </c>
      <c r="AF132" s="3094">
        <f t="shared" si="35"/>
        <v>114300</v>
      </c>
    </row>
    <row r="133" spans="1:32" s="3095" customFormat="1" ht="30" customHeight="1">
      <c r="A133" s="3082">
        <v>115</v>
      </c>
      <c r="B133" s="3083" t="s">
        <v>1360</v>
      </c>
      <c r="C133" s="3083" t="s">
        <v>1186</v>
      </c>
      <c r="D133" s="3083" t="s">
        <v>1361</v>
      </c>
      <c r="E133" s="3084" t="s">
        <v>1188</v>
      </c>
      <c r="F133" s="3084" t="s">
        <v>1189</v>
      </c>
      <c r="G133" s="3080" t="s">
        <v>1240</v>
      </c>
      <c r="H133" s="3084" t="s">
        <v>1362</v>
      </c>
      <c r="I133" s="3085"/>
      <c r="J133" s="3085"/>
      <c r="K133" s="3081">
        <v>3</v>
      </c>
      <c r="L133" s="3080"/>
      <c r="M133" s="3086">
        <v>36000</v>
      </c>
      <c r="N133" s="3087">
        <f>M133*L133</f>
        <v>0</v>
      </c>
      <c r="O133" s="3080">
        <v>0</v>
      </c>
      <c r="P133" s="3086">
        <v>20000</v>
      </c>
      <c r="Q133" s="3088">
        <f t="shared" si="22"/>
        <v>0</v>
      </c>
      <c r="R133" s="3089">
        <f t="shared" si="23"/>
        <v>0</v>
      </c>
      <c r="S133" s="3080">
        <f>+K133</f>
        <v>3</v>
      </c>
      <c r="T133" s="3086">
        <v>36000</v>
      </c>
      <c r="U133" s="3088">
        <f>T133*S133</f>
        <v>108000</v>
      </c>
      <c r="V133" s="3080">
        <v>0</v>
      </c>
      <c r="W133" s="3086">
        <v>20000</v>
      </c>
      <c r="X133" s="3088">
        <f t="shared" si="24"/>
        <v>0</v>
      </c>
      <c r="Y133" s="3089">
        <f t="shared" si="25"/>
        <v>108000</v>
      </c>
      <c r="Z133" s="3090">
        <v>174</v>
      </c>
      <c r="AA133" s="3091">
        <v>150</v>
      </c>
      <c r="AB133" s="3087">
        <f t="shared" si="26"/>
        <v>26100</v>
      </c>
      <c r="AC133" s="3092"/>
      <c r="AD133" s="3092"/>
      <c r="AE133" s="3093">
        <f>AB133</f>
        <v>26100</v>
      </c>
      <c r="AF133" s="3094">
        <f t="shared" si="35"/>
        <v>134100</v>
      </c>
    </row>
    <row r="134" spans="1:32" s="3095" customFormat="1" ht="30" customHeight="1">
      <c r="A134" s="3082">
        <v>116</v>
      </c>
      <c r="B134" s="3083" t="s">
        <v>1363</v>
      </c>
      <c r="C134" s="3083" t="s">
        <v>1186</v>
      </c>
      <c r="D134" s="3083" t="s">
        <v>1364</v>
      </c>
      <c r="E134" s="3084" t="s">
        <v>1188</v>
      </c>
      <c r="F134" s="3084" t="s">
        <v>1189</v>
      </c>
      <c r="G134" s="3080" t="s">
        <v>1240</v>
      </c>
      <c r="H134" s="3084" t="s">
        <v>1362</v>
      </c>
      <c r="I134" s="3085"/>
      <c r="J134" s="3085"/>
      <c r="K134" s="3081">
        <v>3</v>
      </c>
      <c r="L134" s="3080"/>
      <c r="M134" s="3086">
        <v>36000</v>
      </c>
      <c r="N134" s="3087">
        <f t="shared" ref="N134:N144" si="36">M134*L134</f>
        <v>0</v>
      </c>
      <c r="O134" s="3080">
        <v>0</v>
      </c>
      <c r="P134" s="3086">
        <v>20000</v>
      </c>
      <c r="Q134" s="3088">
        <f t="shared" si="22"/>
        <v>0</v>
      </c>
      <c r="R134" s="3089">
        <f t="shared" si="23"/>
        <v>0</v>
      </c>
      <c r="S134" s="3080">
        <f t="shared" ref="S134:S144" si="37">+K134</f>
        <v>3</v>
      </c>
      <c r="T134" s="3086">
        <v>36000</v>
      </c>
      <c r="U134" s="3088">
        <f t="shared" ref="U134:U144" si="38">T134*S134</f>
        <v>108000</v>
      </c>
      <c r="V134" s="3080">
        <v>0</v>
      </c>
      <c r="W134" s="3086">
        <v>20000</v>
      </c>
      <c r="X134" s="3088">
        <f t="shared" si="24"/>
        <v>0</v>
      </c>
      <c r="Y134" s="3089">
        <f t="shared" si="25"/>
        <v>108000</v>
      </c>
      <c r="Z134" s="3090">
        <v>128</v>
      </c>
      <c r="AA134" s="3091">
        <v>150</v>
      </c>
      <c r="AB134" s="3087">
        <f t="shared" si="26"/>
        <v>19200</v>
      </c>
      <c r="AC134" s="3092"/>
      <c r="AD134" s="3092"/>
      <c r="AE134" s="3093">
        <f t="shared" ref="AE134:AE144" si="39">AB134</f>
        <v>19200</v>
      </c>
      <c r="AF134" s="3094">
        <f t="shared" si="35"/>
        <v>127200</v>
      </c>
    </row>
    <row r="135" spans="1:32" s="3095" customFormat="1" ht="30" customHeight="1">
      <c r="A135" s="3082">
        <v>117</v>
      </c>
      <c r="B135" s="3083" t="s">
        <v>1365</v>
      </c>
      <c r="C135" s="3083" t="s">
        <v>1196</v>
      </c>
      <c r="D135" s="3083" t="s">
        <v>1366</v>
      </c>
      <c r="E135" s="3084" t="s">
        <v>1188</v>
      </c>
      <c r="F135" s="3084" t="s">
        <v>1189</v>
      </c>
      <c r="G135" s="3080" t="s">
        <v>1240</v>
      </c>
      <c r="H135" s="3084" t="s">
        <v>1362</v>
      </c>
      <c r="I135" s="3085"/>
      <c r="J135" s="3085"/>
      <c r="K135" s="3081">
        <v>3</v>
      </c>
      <c r="L135" s="3080"/>
      <c r="M135" s="3086">
        <v>36000</v>
      </c>
      <c r="N135" s="3087">
        <f t="shared" si="36"/>
        <v>0</v>
      </c>
      <c r="O135" s="3080">
        <v>0</v>
      </c>
      <c r="P135" s="3086">
        <v>20000</v>
      </c>
      <c r="Q135" s="3088">
        <f t="shared" si="22"/>
        <v>0</v>
      </c>
      <c r="R135" s="3089">
        <f t="shared" si="23"/>
        <v>0</v>
      </c>
      <c r="S135" s="3080">
        <f t="shared" si="37"/>
        <v>3</v>
      </c>
      <c r="T135" s="3086">
        <v>36000</v>
      </c>
      <c r="U135" s="3088">
        <f t="shared" si="38"/>
        <v>108000</v>
      </c>
      <c r="V135" s="3080">
        <v>0</v>
      </c>
      <c r="W135" s="3086">
        <v>20000</v>
      </c>
      <c r="X135" s="3088">
        <f t="shared" si="24"/>
        <v>0</v>
      </c>
      <c r="Y135" s="3089">
        <f t="shared" si="25"/>
        <v>108000</v>
      </c>
      <c r="Z135" s="3090">
        <v>128</v>
      </c>
      <c r="AA135" s="3091">
        <v>150</v>
      </c>
      <c r="AB135" s="3087">
        <f t="shared" si="26"/>
        <v>19200</v>
      </c>
      <c r="AC135" s="3092"/>
      <c r="AD135" s="3092"/>
      <c r="AE135" s="3093">
        <f t="shared" si="39"/>
        <v>19200</v>
      </c>
      <c r="AF135" s="3094">
        <f t="shared" si="35"/>
        <v>127200</v>
      </c>
    </row>
    <row r="136" spans="1:32" s="3095" customFormat="1" ht="30" customHeight="1">
      <c r="A136" s="3082">
        <v>118</v>
      </c>
      <c r="B136" s="3083" t="s">
        <v>1367</v>
      </c>
      <c r="C136" s="3083" t="s">
        <v>1186</v>
      </c>
      <c r="D136" s="3083" t="s">
        <v>1368</v>
      </c>
      <c r="E136" s="3084" t="s">
        <v>1188</v>
      </c>
      <c r="F136" s="3084" t="s">
        <v>1189</v>
      </c>
      <c r="G136" s="3080" t="s">
        <v>1240</v>
      </c>
      <c r="H136" s="3084" t="s">
        <v>1362</v>
      </c>
      <c r="I136" s="3085"/>
      <c r="J136" s="3085"/>
      <c r="K136" s="3081">
        <v>3</v>
      </c>
      <c r="L136" s="3080"/>
      <c r="M136" s="3086">
        <v>36000</v>
      </c>
      <c r="N136" s="3087">
        <f t="shared" si="36"/>
        <v>0</v>
      </c>
      <c r="O136" s="3080">
        <v>0</v>
      </c>
      <c r="P136" s="3086">
        <v>20000</v>
      </c>
      <c r="Q136" s="3088">
        <f t="shared" si="22"/>
        <v>0</v>
      </c>
      <c r="R136" s="3089">
        <f t="shared" si="23"/>
        <v>0</v>
      </c>
      <c r="S136" s="3080">
        <f t="shared" si="37"/>
        <v>3</v>
      </c>
      <c r="T136" s="3086">
        <v>36000</v>
      </c>
      <c r="U136" s="3088">
        <f t="shared" si="38"/>
        <v>108000</v>
      </c>
      <c r="V136" s="3080">
        <v>0</v>
      </c>
      <c r="W136" s="3086">
        <v>20000</v>
      </c>
      <c r="X136" s="3088">
        <f t="shared" si="24"/>
        <v>0</v>
      </c>
      <c r="Y136" s="3089">
        <f t="shared" si="25"/>
        <v>108000</v>
      </c>
      <c r="Z136" s="3090">
        <v>104</v>
      </c>
      <c r="AA136" s="3091">
        <v>150</v>
      </c>
      <c r="AB136" s="3087">
        <f t="shared" si="26"/>
        <v>15600</v>
      </c>
      <c r="AC136" s="3092"/>
      <c r="AD136" s="3092"/>
      <c r="AE136" s="3093">
        <f t="shared" si="39"/>
        <v>15600</v>
      </c>
      <c r="AF136" s="3094">
        <f t="shared" si="35"/>
        <v>123600</v>
      </c>
    </row>
    <row r="137" spans="1:32" s="3095" customFormat="1" ht="30" customHeight="1">
      <c r="A137" s="3082">
        <v>119</v>
      </c>
      <c r="B137" s="3083" t="s">
        <v>1369</v>
      </c>
      <c r="C137" s="3083" t="s">
        <v>1186</v>
      </c>
      <c r="D137" s="3083" t="s">
        <v>1368</v>
      </c>
      <c r="E137" s="3084" t="s">
        <v>1188</v>
      </c>
      <c r="F137" s="3084" t="s">
        <v>1189</v>
      </c>
      <c r="G137" s="3080" t="s">
        <v>1240</v>
      </c>
      <c r="H137" s="3084" t="s">
        <v>1362</v>
      </c>
      <c r="I137" s="3085"/>
      <c r="J137" s="3085"/>
      <c r="K137" s="3081">
        <v>3</v>
      </c>
      <c r="L137" s="3080"/>
      <c r="M137" s="3086">
        <v>36000</v>
      </c>
      <c r="N137" s="3087">
        <f t="shared" si="36"/>
        <v>0</v>
      </c>
      <c r="O137" s="3080">
        <v>0</v>
      </c>
      <c r="P137" s="3086">
        <v>20000</v>
      </c>
      <c r="Q137" s="3088">
        <f t="shared" si="22"/>
        <v>0</v>
      </c>
      <c r="R137" s="3089">
        <f t="shared" si="23"/>
        <v>0</v>
      </c>
      <c r="S137" s="3080">
        <f t="shared" si="37"/>
        <v>3</v>
      </c>
      <c r="T137" s="3086">
        <v>36000</v>
      </c>
      <c r="U137" s="3088">
        <f t="shared" si="38"/>
        <v>108000</v>
      </c>
      <c r="V137" s="3080">
        <v>0</v>
      </c>
      <c r="W137" s="3086">
        <v>20000</v>
      </c>
      <c r="X137" s="3088">
        <f t="shared" si="24"/>
        <v>0</v>
      </c>
      <c r="Y137" s="3089">
        <f t="shared" si="25"/>
        <v>108000</v>
      </c>
      <c r="Z137" s="3090">
        <v>104</v>
      </c>
      <c r="AA137" s="3091">
        <v>150</v>
      </c>
      <c r="AB137" s="3087">
        <f t="shared" si="26"/>
        <v>15600</v>
      </c>
      <c r="AC137" s="3092"/>
      <c r="AD137" s="3092"/>
      <c r="AE137" s="3093">
        <f t="shared" si="39"/>
        <v>15600</v>
      </c>
      <c r="AF137" s="3094">
        <f t="shared" si="35"/>
        <v>123600</v>
      </c>
    </row>
    <row r="138" spans="1:32" s="3095" customFormat="1" ht="30" customHeight="1">
      <c r="A138" s="3082">
        <v>120</v>
      </c>
      <c r="B138" s="3083" t="s">
        <v>1370</v>
      </c>
      <c r="C138" s="3083" t="s">
        <v>1196</v>
      </c>
      <c r="D138" s="3083" t="s">
        <v>1371</v>
      </c>
      <c r="E138" s="3084" t="s">
        <v>1188</v>
      </c>
      <c r="F138" s="3084" t="s">
        <v>1189</v>
      </c>
      <c r="G138" s="3080" t="s">
        <v>1240</v>
      </c>
      <c r="H138" s="3084" t="s">
        <v>1362</v>
      </c>
      <c r="I138" s="3085"/>
      <c r="J138" s="3085"/>
      <c r="K138" s="3081">
        <v>3</v>
      </c>
      <c r="L138" s="3080"/>
      <c r="M138" s="3086">
        <v>36000</v>
      </c>
      <c r="N138" s="3087">
        <f t="shared" si="36"/>
        <v>0</v>
      </c>
      <c r="O138" s="3080">
        <v>0</v>
      </c>
      <c r="P138" s="3086">
        <v>20000</v>
      </c>
      <c r="Q138" s="3088">
        <f t="shared" si="22"/>
        <v>0</v>
      </c>
      <c r="R138" s="3089">
        <f t="shared" si="23"/>
        <v>0</v>
      </c>
      <c r="S138" s="3080">
        <f t="shared" si="37"/>
        <v>3</v>
      </c>
      <c r="T138" s="3086">
        <v>36000</v>
      </c>
      <c r="U138" s="3088">
        <f t="shared" si="38"/>
        <v>108000</v>
      </c>
      <c r="V138" s="3080">
        <v>0</v>
      </c>
      <c r="W138" s="3086">
        <v>20000</v>
      </c>
      <c r="X138" s="3088">
        <f t="shared" si="24"/>
        <v>0</v>
      </c>
      <c r="Y138" s="3089">
        <f t="shared" si="25"/>
        <v>108000</v>
      </c>
      <c r="Z138" s="3090">
        <v>128</v>
      </c>
      <c r="AA138" s="3091">
        <v>150</v>
      </c>
      <c r="AB138" s="3087">
        <f t="shared" si="26"/>
        <v>19200</v>
      </c>
      <c r="AC138" s="3092"/>
      <c r="AD138" s="3092"/>
      <c r="AE138" s="3093">
        <f t="shared" si="39"/>
        <v>19200</v>
      </c>
      <c r="AF138" s="3094">
        <f t="shared" si="35"/>
        <v>127200</v>
      </c>
    </row>
    <row r="139" spans="1:32" s="3095" customFormat="1" ht="30" customHeight="1">
      <c r="A139" s="3082">
        <v>121</v>
      </c>
      <c r="B139" s="3083" t="s">
        <v>1372</v>
      </c>
      <c r="C139" s="3083" t="s">
        <v>1373</v>
      </c>
      <c r="D139" s="3083" t="s">
        <v>1374</v>
      </c>
      <c r="E139" s="3084" t="s">
        <v>1188</v>
      </c>
      <c r="F139" s="3084" t="s">
        <v>1189</v>
      </c>
      <c r="G139" s="3080" t="s">
        <v>1240</v>
      </c>
      <c r="H139" s="3084" t="s">
        <v>1362</v>
      </c>
      <c r="I139" s="3085"/>
      <c r="J139" s="3085"/>
      <c r="K139" s="3081">
        <v>3</v>
      </c>
      <c r="L139" s="3080"/>
      <c r="M139" s="3086">
        <v>36000</v>
      </c>
      <c r="N139" s="3087">
        <f t="shared" si="36"/>
        <v>0</v>
      </c>
      <c r="O139" s="3080">
        <v>0</v>
      </c>
      <c r="P139" s="3086">
        <v>20000</v>
      </c>
      <c r="Q139" s="3088">
        <f t="shared" si="22"/>
        <v>0</v>
      </c>
      <c r="R139" s="3089">
        <f t="shared" si="23"/>
        <v>0</v>
      </c>
      <c r="S139" s="3080">
        <f t="shared" si="37"/>
        <v>3</v>
      </c>
      <c r="T139" s="3086">
        <v>36000</v>
      </c>
      <c r="U139" s="3088">
        <f t="shared" si="38"/>
        <v>108000</v>
      </c>
      <c r="V139" s="3080">
        <v>0</v>
      </c>
      <c r="W139" s="3086">
        <v>20000</v>
      </c>
      <c r="X139" s="3088">
        <f t="shared" si="24"/>
        <v>0</v>
      </c>
      <c r="Y139" s="3089">
        <f t="shared" si="25"/>
        <v>108000</v>
      </c>
      <c r="Z139" s="3090">
        <v>136</v>
      </c>
      <c r="AA139" s="3091">
        <v>150</v>
      </c>
      <c r="AB139" s="3087">
        <f t="shared" si="26"/>
        <v>20400</v>
      </c>
      <c r="AC139" s="3092"/>
      <c r="AD139" s="3092"/>
      <c r="AE139" s="3093">
        <f t="shared" si="39"/>
        <v>20400</v>
      </c>
      <c r="AF139" s="3094">
        <f t="shared" si="35"/>
        <v>128400</v>
      </c>
    </row>
    <row r="140" spans="1:32" s="3095" customFormat="1" ht="30" customHeight="1">
      <c r="A140" s="3082">
        <v>122</v>
      </c>
      <c r="B140" s="3083" t="s">
        <v>1375</v>
      </c>
      <c r="C140" s="3083" t="s">
        <v>1333</v>
      </c>
      <c r="D140" s="3083" t="s">
        <v>1334</v>
      </c>
      <c r="E140" s="3084" t="s">
        <v>1188</v>
      </c>
      <c r="F140" s="3084" t="s">
        <v>1189</v>
      </c>
      <c r="G140" s="3080" t="s">
        <v>1240</v>
      </c>
      <c r="H140" s="3084" t="s">
        <v>1362</v>
      </c>
      <c r="I140" s="3085"/>
      <c r="J140" s="3085"/>
      <c r="K140" s="3081">
        <v>3</v>
      </c>
      <c r="L140" s="3080"/>
      <c r="M140" s="3086">
        <v>36000</v>
      </c>
      <c r="N140" s="3087">
        <f t="shared" si="36"/>
        <v>0</v>
      </c>
      <c r="O140" s="3080">
        <v>0</v>
      </c>
      <c r="P140" s="3086">
        <v>20000</v>
      </c>
      <c r="Q140" s="3088">
        <f t="shared" si="22"/>
        <v>0</v>
      </c>
      <c r="R140" s="3089">
        <f t="shared" si="23"/>
        <v>0</v>
      </c>
      <c r="S140" s="3080">
        <f t="shared" si="37"/>
        <v>3</v>
      </c>
      <c r="T140" s="3086">
        <v>36000</v>
      </c>
      <c r="U140" s="3088">
        <f t="shared" si="38"/>
        <v>108000</v>
      </c>
      <c r="V140" s="3080">
        <v>0</v>
      </c>
      <c r="W140" s="3086">
        <v>20000</v>
      </c>
      <c r="X140" s="3088">
        <f t="shared" si="24"/>
        <v>0</v>
      </c>
      <c r="Y140" s="3089">
        <f t="shared" si="25"/>
        <v>108000</v>
      </c>
      <c r="Z140" s="3090">
        <v>128</v>
      </c>
      <c r="AA140" s="3091">
        <v>150</v>
      </c>
      <c r="AB140" s="3087">
        <f t="shared" si="26"/>
        <v>19200</v>
      </c>
      <c r="AC140" s="3092"/>
      <c r="AD140" s="3092"/>
      <c r="AE140" s="3093">
        <f t="shared" si="39"/>
        <v>19200</v>
      </c>
      <c r="AF140" s="3094">
        <f t="shared" si="35"/>
        <v>127200</v>
      </c>
    </row>
    <row r="141" spans="1:32" s="3095" customFormat="1" ht="30" customHeight="1">
      <c r="A141" s="3082">
        <v>123</v>
      </c>
      <c r="B141" s="3083" t="s">
        <v>1376</v>
      </c>
      <c r="C141" s="3083" t="s">
        <v>1196</v>
      </c>
      <c r="D141" s="3083" t="s">
        <v>1377</v>
      </c>
      <c r="E141" s="3084" t="s">
        <v>1188</v>
      </c>
      <c r="F141" s="3084" t="s">
        <v>1189</v>
      </c>
      <c r="G141" s="3080" t="s">
        <v>1240</v>
      </c>
      <c r="H141" s="3084" t="s">
        <v>1362</v>
      </c>
      <c r="I141" s="3085"/>
      <c r="J141" s="3085"/>
      <c r="K141" s="3081">
        <v>3</v>
      </c>
      <c r="L141" s="3080"/>
      <c r="M141" s="3086">
        <v>36000</v>
      </c>
      <c r="N141" s="3087">
        <f t="shared" si="36"/>
        <v>0</v>
      </c>
      <c r="O141" s="3080">
        <v>0</v>
      </c>
      <c r="P141" s="3086">
        <v>20000</v>
      </c>
      <c r="Q141" s="3088">
        <f t="shared" si="22"/>
        <v>0</v>
      </c>
      <c r="R141" s="3089">
        <f t="shared" si="23"/>
        <v>0</v>
      </c>
      <c r="S141" s="3080">
        <f t="shared" si="37"/>
        <v>3</v>
      </c>
      <c r="T141" s="3086">
        <v>36000</v>
      </c>
      <c r="U141" s="3088">
        <f t="shared" si="38"/>
        <v>108000</v>
      </c>
      <c r="V141" s="3080">
        <v>0</v>
      </c>
      <c r="W141" s="3086">
        <v>20000</v>
      </c>
      <c r="X141" s="3088">
        <f t="shared" si="24"/>
        <v>0</v>
      </c>
      <c r="Y141" s="3089">
        <f t="shared" si="25"/>
        <v>108000</v>
      </c>
      <c r="Z141" s="3090">
        <v>128</v>
      </c>
      <c r="AA141" s="3091">
        <v>150</v>
      </c>
      <c r="AB141" s="3087">
        <f t="shared" si="26"/>
        <v>19200</v>
      </c>
      <c r="AC141" s="3092"/>
      <c r="AD141" s="3092"/>
      <c r="AE141" s="3093">
        <f t="shared" si="39"/>
        <v>19200</v>
      </c>
      <c r="AF141" s="3094">
        <f t="shared" si="35"/>
        <v>127200</v>
      </c>
    </row>
    <row r="142" spans="1:32" s="3095" customFormat="1" ht="37.5">
      <c r="A142" s="3082">
        <v>124</v>
      </c>
      <c r="B142" s="3083" t="s">
        <v>1378</v>
      </c>
      <c r="C142" s="3083" t="s">
        <v>1194</v>
      </c>
      <c r="D142" s="3083" t="s">
        <v>1379</v>
      </c>
      <c r="E142" s="3084" t="s">
        <v>1188</v>
      </c>
      <c r="F142" s="3084" t="s">
        <v>1189</v>
      </c>
      <c r="G142" s="3080" t="s">
        <v>1240</v>
      </c>
      <c r="H142" s="3084" t="s">
        <v>1380</v>
      </c>
      <c r="I142" s="3085"/>
      <c r="J142" s="3085"/>
      <c r="K142" s="3081">
        <v>3</v>
      </c>
      <c r="L142" s="3080"/>
      <c r="M142" s="3086">
        <v>36000</v>
      </c>
      <c r="N142" s="3087">
        <f t="shared" si="36"/>
        <v>0</v>
      </c>
      <c r="O142" s="3080">
        <v>0</v>
      </c>
      <c r="P142" s="3086">
        <v>20000</v>
      </c>
      <c r="Q142" s="3088">
        <f t="shared" si="22"/>
        <v>0</v>
      </c>
      <c r="R142" s="3089">
        <f t="shared" si="23"/>
        <v>0</v>
      </c>
      <c r="S142" s="3080">
        <f t="shared" si="37"/>
        <v>3</v>
      </c>
      <c r="T142" s="3086">
        <v>36000</v>
      </c>
      <c r="U142" s="3088">
        <f t="shared" si="38"/>
        <v>108000</v>
      </c>
      <c r="V142" s="3080">
        <v>0</v>
      </c>
      <c r="W142" s="3086">
        <v>20000</v>
      </c>
      <c r="X142" s="3088">
        <f t="shared" si="24"/>
        <v>0</v>
      </c>
      <c r="Y142" s="3089">
        <f t="shared" si="25"/>
        <v>108000</v>
      </c>
      <c r="Z142" s="3090">
        <v>58</v>
      </c>
      <c r="AA142" s="3091">
        <v>150</v>
      </c>
      <c r="AB142" s="3087">
        <f t="shared" si="26"/>
        <v>8700</v>
      </c>
      <c r="AC142" s="3092"/>
      <c r="AD142" s="3092"/>
      <c r="AE142" s="3093">
        <f t="shared" si="39"/>
        <v>8700</v>
      </c>
      <c r="AF142" s="3094">
        <f t="shared" si="35"/>
        <v>116700</v>
      </c>
    </row>
    <row r="143" spans="1:32" s="3095" customFormat="1" ht="31.5">
      <c r="A143" s="3082">
        <v>125</v>
      </c>
      <c r="B143" s="3083" t="s">
        <v>1381</v>
      </c>
      <c r="C143" s="3083" t="s">
        <v>1382</v>
      </c>
      <c r="D143" s="3083" t="s">
        <v>1383</v>
      </c>
      <c r="E143" s="3084" t="s">
        <v>1188</v>
      </c>
      <c r="F143" s="3084" t="s">
        <v>1189</v>
      </c>
      <c r="G143" s="3080" t="s">
        <v>1240</v>
      </c>
      <c r="H143" s="3084" t="s">
        <v>1380</v>
      </c>
      <c r="I143" s="3085"/>
      <c r="J143" s="3085"/>
      <c r="K143" s="3081">
        <v>3</v>
      </c>
      <c r="L143" s="3080"/>
      <c r="M143" s="3086">
        <v>36000</v>
      </c>
      <c r="N143" s="3087">
        <f t="shared" si="36"/>
        <v>0</v>
      </c>
      <c r="O143" s="3080">
        <v>0</v>
      </c>
      <c r="P143" s="3086">
        <v>20000</v>
      </c>
      <c r="Q143" s="3088">
        <f t="shared" si="22"/>
        <v>0</v>
      </c>
      <c r="R143" s="3089">
        <f t="shared" si="23"/>
        <v>0</v>
      </c>
      <c r="S143" s="3080">
        <f t="shared" si="37"/>
        <v>3</v>
      </c>
      <c r="T143" s="3086">
        <v>36000</v>
      </c>
      <c r="U143" s="3088">
        <f t="shared" si="38"/>
        <v>108000</v>
      </c>
      <c r="V143" s="3080">
        <v>0</v>
      </c>
      <c r="W143" s="3086">
        <v>20000</v>
      </c>
      <c r="X143" s="3088">
        <f t="shared" si="24"/>
        <v>0</v>
      </c>
      <c r="Y143" s="3089">
        <f t="shared" si="25"/>
        <v>108000</v>
      </c>
      <c r="Z143" s="3090">
        <v>48</v>
      </c>
      <c r="AA143" s="3091">
        <v>150</v>
      </c>
      <c r="AB143" s="3087">
        <f t="shared" si="26"/>
        <v>7200</v>
      </c>
      <c r="AC143" s="3092"/>
      <c r="AD143" s="3092"/>
      <c r="AE143" s="3093">
        <f t="shared" si="39"/>
        <v>7200</v>
      </c>
      <c r="AF143" s="3094">
        <f t="shared" si="35"/>
        <v>115200</v>
      </c>
    </row>
    <row r="144" spans="1:32" s="3095" customFormat="1" ht="30" customHeight="1">
      <c r="A144" s="3082">
        <v>126</v>
      </c>
      <c r="B144" s="3083" t="s">
        <v>1384</v>
      </c>
      <c r="C144" s="3083" t="s">
        <v>1385</v>
      </c>
      <c r="D144" s="3083" t="s">
        <v>1386</v>
      </c>
      <c r="E144" s="3084" t="s">
        <v>1188</v>
      </c>
      <c r="F144" s="3084" t="s">
        <v>1189</v>
      </c>
      <c r="G144" s="3080" t="s">
        <v>1240</v>
      </c>
      <c r="H144" s="3084" t="s">
        <v>1380</v>
      </c>
      <c r="I144" s="3085"/>
      <c r="J144" s="3085"/>
      <c r="K144" s="3081">
        <v>3</v>
      </c>
      <c r="L144" s="3080"/>
      <c r="M144" s="3086">
        <v>36000</v>
      </c>
      <c r="N144" s="3087">
        <f t="shared" si="36"/>
        <v>0</v>
      </c>
      <c r="O144" s="3080">
        <v>0</v>
      </c>
      <c r="P144" s="3086">
        <v>20000</v>
      </c>
      <c r="Q144" s="3088">
        <f t="shared" si="22"/>
        <v>0</v>
      </c>
      <c r="R144" s="3089">
        <f t="shared" si="23"/>
        <v>0</v>
      </c>
      <c r="S144" s="3080">
        <f t="shared" si="37"/>
        <v>3</v>
      </c>
      <c r="T144" s="3086">
        <v>36000</v>
      </c>
      <c r="U144" s="3088">
        <f t="shared" si="38"/>
        <v>108000</v>
      </c>
      <c r="V144" s="3080">
        <v>0</v>
      </c>
      <c r="W144" s="3086">
        <v>20000</v>
      </c>
      <c r="X144" s="3088">
        <f t="shared" si="24"/>
        <v>0</v>
      </c>
      <c r="Y144" s="3089">
        <f t="shared" si="25"/>
        <v>108000</v>
      </c>
      <c r="Z144" s="3090">
        <v>60</v>
      </c>
      <c r="AA144" s="3091">
        <v>150</v>
      </c>
      <c r="AB144" s="3087">
        <f t="shared" si="26"/>
        <v>9000</v>
      </c>
      <c r="AC144" s="3092"/>
      <c r="AD144" s="3092"/>
      <c r="AE144" s="3093">
        <f t="shared" si="39"/>
        <v>9000</v>
      </c>
      <c r="AF144" s="3094">
        <f t="shared" si="35"/>
        <v>117000</v>
      </c>
    </row>
    <row r="145" spans="1:32" s="3095" customFormat="1" ht="30" customHeight="1">
      <c r="A145" s="3082">
        <v>127</v>
      </c>
      <c r="B145" s="3083" t="s">
        <v>1387</v>
      </c>
      <c r="C145" s="3083" t="s">
        <v>1186</v>
      </c>
      <c r="D145" s="3083" t="s">
        <v>1388</v>
      </c>
      <c r="E145" s="3084" t="s">
        <v>1188</v>
      </c>
      <c r="F145" s="3084" t="s">
        <v>1189</v>
      </c>
      <c r="G145" s="3080" t="s">
        <v>1240</v>
      </c>
      <c r="H145" s="3084" t="s">
        <v>1380</v>
      </c>
      <c r="I145" s="3085"/>
      <c r="J145" s="3085"/>
      <c r="K145" s="3081">
        <v>3</v>
      </c>
      <c r="L145" s="3080"/>
      <c r="M145" s="3086">
        <v>36000</v>
      </c>
      <c r="N145" s="3087">
        <f>M145*L145</f>
        <v>0</v>
      </c>
      <c r="O145" s="3080">
        <v>0</v>
      </c>
      <c r="P145" s="3086">
        <v>20000</v>
      </c>
      <c r="Q145" s="3088">
        <f t="shared" si="22"/>
        <v>0</v>
      </c>
      <c r="R145" s="3089">
        <f t="shared" si="23"/>
        <v>0</v>
      </c>
      <c r="S145" s="3080">
        <f>+K145</f>
        <v>3</v>
      </c>
      <c r="T145" s="3086">
        <v>36000</v>
      </c>
      <c r="U145" s="3088">
        <f>T145*S145</f>
        <v>108000</v>
      </c>
      <c r="V145" s="3080">
        <v>0</v>
      </c>
      <c r="W145" s="3086">
        <v>20000</v>
      </c>
      <c r="X145" s="3088">
        <f t="shared" si="24"/>
        <v>0</v>
      </c>
      <c r="Y145" s="3089">
        <f t="shared" si="25"/>
        <v>108000</v>
      </c>
      <c r="Z145" s="3090">
        <v>58</v>
      </c>
      <c r="AA145" s="3091">
        <v>150</v>
      </c>
      <c r="AB145" s="3087">
        <f t="shared" si="26"/>
        <v>8700</v>
      </c>
      <c r="AC145" s="3092"/>
      <c r="AD145" s="3092"/>
      <c r="AE145" s="3093">
        <f>AB145</f>
        <v>8700</v>
      </c>
      <c r="AF145" s="3094">
        <f t="shared" si="35"/>
        <v>116700</v>
      </c>
    </row>
    <row r="146" spans="1:32" s="3095" customFormat="1" ht="30" customHeight="1">
      <c r="A146" s="3082">
        <v>128</v>
      </c>
      <c r="B146" s="3083" t="s">
        <v>1389</v>
      </c>
      <c r="C146" s="3083" t="s">
        <v>1333</v>
      </c>
      <c r="D146" s="3083" t="s">
        <v>1390</v>
      </c>
      <c r="E146" s="3084" t="s">
        <v>1188</v>
      </c>
      <c r="F146" s="3084" t="s">
        <v>1189</v>
      </c>
      <c r="G146" s="3080" t="s">
        <v>1240</v>
      </c>
      <c r="H146" s="3084" t="s">
        <v>1380</v>
      </c>
      <c r="I146" s="3085"/>
      <c r="J146" s="3085"/>
      <c r="K146" s="3081">
        <v>3</v>
      </c>
      <c r="L146" s="3080"/>
      <c r="M146" s="3086">
        <v>36000</v>
      </c>
      <c r="N146" s="3087">
        <f t="shared" ref="N146:N159" si="40">M146*L146</f>
        <v>0</v>
      </c>
      <c r="O146" s="3080">
        <v>0</v>
      </c>
      <c r="P146" s="3086">
        <v>20000</v>
      </c>
      <c r="Q146" s="3088">
        <f t="shared" si="22"/>
        <v>0</v>
      </c>
      <c r="R146" s="3089">
        <f t="shared" si="23"/>
        <v>0</v>
      </c>
      <c r="S146" s="3080">
        <f t="shared" ref="S146:S159" si="41">+K146</f>
        <v>3</v>
      </c>
      <c r="T146" s="3086">
        <v>36000</v>
      </c>
      <c r="U146" s="3088">
        <f t="shared" ref="U146:U159" si="42">T146*S146</f>
        <v>108000</v>
      </c>
      <c r="V146" s="3080">
        <v>0</v>
      </c>
      <c r="W146" s="3086">
        <v>20000</v>
      </c>
      <c r="X146" s="3088">
        <f t="shared" si="24"/>
        <v>0</v>
      </c>
      <c r="Y146" s="3089">
        <f t="shared" si="25"/>
        <v>108000</v>
      </c>
      <c r="Z146" s="3090">
        <v>42</v>
      </c>
      <c r="AA146" s="3091">
        <v>150</v>
      </c>
      <c r="AB146" s="3087">
        <f t="shared" si="26"/>
        <v>6300</v>
      </c>
      <c r="AC146" s="3092"/>
      <c r="AD146" s="3092"/>
      <c r="AE146" s="3093">
        <f t="shared" ref="AE146:AE159" si="43">AB146</f>
        <v>6300</v>
      </c>
      <c r="AF146" s="3094">
        <f t="shared" si="35"/>
        <v>114300</v>
      </c>
    </row>
    <row r="147" spans="1:32" s="3095" customFormat="1" ht="30" customHeight="1">
      <c r="A147" s="3082">
        <v>129</v>
      </c>
      <c r="B147" s="3083" t="s">
        <v>1391</v>
      </c>
      <c r="C147" s="3083" t="s">
        <v>1333</v>
      </c>
      <c r="D147" s="3083" t="s">
        <v>1392</v>
      </c>
      <c r="E147" s="3084" t="s">
        <v>1188</v>
      </c>
      <c r="F147" s="3084" t="s">
        <v>1189</v>
      </c>
      <c r="G147" s="3080" t="s">
        <v>1240</v>
      </c>
      <c r="H147" s="3084" t="s">
        <v>1380</v>
      </c>
      <c r="I147" s="3085"/>
      <c r="J147" s="3085"/>
      <c r="K147" s="3081">
        <v>3</v>
      </c>
      <c r="L147" s="3080"/>
      <c r="M147" s="3086">
        <v>36000</v>
      </c>
      <c r="N147" s="3087">
        <f t="shared" si="40"/>
        <v>0</v>
      </c>
      <c r="O147" s="3080">
        <v>0</v>
      </c>
      <c r="P147" s="3086">
        <v>20000</v>
      </c>
      <c r="Q147" s="3088">
        <f t="shared" ref="Q147:Q214" si="44">P147*O147</f>
        <v>0</v>
      </c>
      <c r="R147" s="3089">
        <f t="shared" ref="R147:R214" si="45">N147+Q147</f>
        <v>0</v>
      </c>
      <c r="S147" s="3080">
        <f t="shared" si="41"/>
        <v>3</v>
      </c>
      <c r="T147" s="3086">
        <v>36000</v>
      </c>
      <c r="U147" s="3088">
        <f t="shared" si="42"/>
        <v>108000</v>
      </c>
      <c r="V147" s="3080">
        <v>0</v>
      </c>
      <c r="W147" s="3086">
        <v>20000</v>
      </c>
      <c r="X147" s="3088">
        <f t="shared" ref="X147:X214" si="46">V147*W147</f>
        <v>0</v>
      </c>
      <c r="Y147" s="3089">
        <f t="shared" ref="Y147:Y214" si="47">U147+X147</f>
        <v>108000</v>
      </c>
      <c r="Z147" s="3090">
        <v>36</v>
      </c>
      <c r="AA147" s="3091">
        <v>150</v>
      </c>
      <c r="AB147" s="3087">
        <f t="shared" ref="AB147:AB210" si="48">Z147*AA147</f>
        <v>5400</v>
      </c>
      <c r="AC147" s="3092"/>
      <c r="AD147" s="3092"/>
      <c r="AE147" s="3093">
        <f t="shared" si="43"/>
        <v>5400</v>
      </c>
      <c r="AF147" s="3094">
        <f t="shared" si="35"/>
        <v>113400</v>
      </c>
    </row>
    <row r="148" spans="1:32" s="3095" customFormat="1" ht="30" customHeight="1">
      <c r="A148" s="3082">
        <v>130</v>
      </c>
      <c r="B148" s="3083" t="s">
        <v>1393</v>
      </c>
      <c r="C148" s="3083" t="s">
        <v>1196</v>
      </c>
      <c r="D148" s="3083" t="s">
        <v>1394</v>
      </c>
      <c r="E148" s="3084" t="s">
        <v>1188</v>
      </c>
      <c r="F148" s="3084" t="s">
        <v>1189</v>
      </c>
      <c r="G148" s="3080" t="s">
        <v>1240</v>
      </c>
      <c r="H148" s="3084" t="s">
        <v>1395</v>
      </c>
      <c r="I148" s="3085"/>
      <c r="J148" s="3085"/>
      <c r="K148" s="3081">
        <v>3</v>
      </c>
      <c r="L148" s="3080"/>
      <c r="M148" s="3086">
        <v>36000</v>
      </c>
      <c r="N148" s="3087">
        <f t="shared" si="40"/>
        <v>0</v>
      </c>
      <c r="O148" s="3080">
        <v>0</v>
      </c>
      <c r="P148" s="3086">
        <v>20000</v>
      </c>
      <c r="Q148" s="3088">
        <f t="shared" si="44"/>
        <v>0</v>
      </c>
      <c r="R148" s="3089">
        <f t="shared" si="45"/>
        <v>0</v>
      </c>
      <c r="S148" s="3080">
        <f t="shared" si="41"/>
        <v>3</v>
      </c>
      <c r="T148" s="3086">
        <v>36000</v>
      </c>
      <c r="U148" s="3088">
        <f t="shared" si="42"/>
        <v>108000</v>
      </c>
      <c r="V148" s="3080">
        <v>0</v>
      </c>
      <c r="W148" s="3086">
        <v>20000</v>
      </c>
      <c r="X148" s="3088">
        <f t="shared" si="46"/>
        <v>0</v>
      </c>
      <c r="Y148" s="3089">
        <f t="shared" si="47"/>
        <v>108000</v>
      </c>
      <c r="Z148" s="3090">
        <v>46</v>
      </c>
      <c r="AA148" s="3091">
        <v>150</v>
      </c>
      <c r="AB148" s="3087">
        <f t="shared" si="48"/>
        <v>6900</v>
      </c>
      <c r="AC148" s="3092"/>
      <c r="AD148" s="3092"/>
      <c r="AE148" s="3093">
        <f t="shared" si="43"/>
        <v>6900</v>
      </c>
      <c r="AF148" s="3094">
        <f t="shared" si="35"/>
        <v>114900</v>
      </c>
    </row>
    <row r="149" spans="1:32" s="3095" customFormat="1" ht="30" customHeight="1">
      <c r="A149" s="3082">
        <v>131</v>
      </c>
      <c r="B149" s="3083" t="s">
        <v>1396</v>
      </c>
      <c r="C149" s="3083" t="s">
        <v>1194</v>
      </c>
      <c r="D149" s="3083" t="s">
        <v>1397</v>
      </c>
      <c r="E149" s="3084" t="s">
        <v>1188</v>
      </c>
      <c r="F149" s="3084" t="s">
        <v>1189</v>
      </c>
      <c r="G149" s="3080" t="s">
        <v>1190</v>
      </c>
      <c r="H149" s="3084" t="s">
        <v>1395</v>
      </c>
      <c r="I149" s="3085"/>
      <c r="J149" s="3085"/>
      <c r="K149" s="3081">
        <v>3</v>
      </c>
      <c r="L149" s="3080"/>
      <c r="M149" s="3086">
        <v>15000</v>
      </c>
      <c r="N149" s="3087">
        <f t="shared" si="40"/>
        <v>0</v>
      </c>
      <c r="O149" s="3080">
        <v>0</v>
      </c>
      <c r="P149" s="3086">
        <v>20000</v>
      </c>
      <c r="Q149" s="3088">
        <f t="shared" si="44"/>
        <v>0</v>
      </c>
      <c r="R149" s="3089">
        <f t="shared" si="45"/>
        <v>0</v>
      </c>
      <c r="S149" s="3080">
        <f t="shared" si="41"/>
        <v>3</v>
      </c>
      <c r="T149" s="3086">
        <v>15000</v>
      </c>
      <c r="U149" s="3088">
        <f t="shared" si="42"/>
        <v>45000</v>
      </c>
      <c r="V149" s="3080">
        <v>0</v>
      </c>
      <c r="W149" s="3086">
        <v>20000</v>
      </c>
      <c r="X149" s="3088">
        <f t="shared" si="46"/>
        <v>0</v>
      </c>
      <c r="Y149" s="3089">
        <f t="shared" si="47"/>
        <v>45000</v>
      </c>
      <c r="Z149" s="3090">
        <v>22</v>
      </c>
      <c r="AA149" s="3091">
        <v>150</v>
      </c>
      <c r="AB149" s="3087">
        <f t="shared" si="48"/>
        <v>3300</v>
      </c>
      <c r="AC149" s="3092"/>
      <c r="AD149" s="3092"/>
      <c r="AE149" s="3093">
        <f t="shared" si="43"/>
        <v>3300</v>
      </c>
      <c r="AF149" s="3094">
        <f t="shared" si="35"/>
        <v>48300</v>
      </c>
    </row>
    <row r="150" spans="1:32" s="3095" customFormat="1" ht="30" customHeight="1">
      <c r="A150" s="3082">
        <v>132</v>
      </c>
      <c r="B150" s="3083" t="s">
        <v>1398</v>
      </c>
      <c r="C150" s="3083" t="s">
        <v>1186</v>
      </c>
      <c r="D150" s="3083" t="s">
        <v>1399</v>
      </c>
      <c r="E150" s="3084" t="s">
        <v>1188</v>
      </c>
      <c r="F150" s="3084" t="s">
        <v>1189</v>
      </c>
      <c r="G150" s="3080" t="s">
        <v>1240</v>
      </c>
      <c r="H150" s="3084" t="s">
        <v>1395</v>
      </c>
      <c r="I150" s="3085"/>
      <c r="J150" s="3085"/>
      <c r="K150" s="3081">
        <v>3</v>
      </c>
      <c r="L150" s="3080"/>
      <c r="M150" s="3086">
        <v>36000</v>
      </c>
      <c r="N150" s="3087">
        <f t="shared" si="40"/>
        <v>0</v>
      </c>
      <c r="O150" s="3080">
        <v>0</v>
      </c>
      <c r="P150" s="3086">
        <v>20000</v>
      </c>
      <c r="Q150" s="3088">
        <f t="shared" si="44"/>
        <v>0</v>
      </c>
      <c r="R150" s="3089">
        <f t="shared" si="45"/>
        <v>0</v>
      </c>
      <c r="S150" s="3080">
        <f t="shared" si="41"/>
        <v>3</v>
      </c>
      <c r="T150" s="3086">
        <v>36000</v>
      </c>
      <c r="U150" s="3088">
        <f t="shared" si="42"/>
        <v>108000</v>
      </c>
      <c r="V150" s="3080">
        <v>0</v>
      </c>
      <c r="W150" s="3086">
        <v>20000</v>
      </c>
      <c r="X150" s="3088">
        <f t="shared" si="46"/>
        <v>0</v>
      </c>
      <c r="Y150" s="3089">
        <f t="shared" si="47"/>
        <v>108000</v>
      </c>
      <c r="Z150" s="3090">
        <v>48</v>
      </c>
      <c r="AA150" s="3091">
        <v>150</v>
      </c>
      <c r="AB150" s="3087">
        <f t="shared" si="48"/>
        <v>7200</v>
      </c>
      <c r="AC150" s="3092"/>
      <c r="AD150" s="3092"/>
      <c r="AE150" s="3093">
        <f t="shared" si="43"/>
        <v>7200</v>
      </c>
      <c r="AF150" s="3094">
        <f t="shared" si="35"/>
        <v>115200</v>
      </c>
    </row>
    <row r="151" spans="1:32" s="3095" customFormat="1" ht="30" customHeight="1">
      <c r="A151" s="3082">
        <v>133</v>
      </c>
      <c r="B151" s="3083" t="s">
        <v>1400</v>
      </c>
      <c r="C151" s="3083" t="s">
        <v>1382</v>
      </c>
      <c r="D151" s="3083" t="s">
        <v>1401</v>
      </c>
      <c r="E151" s="3084" t="s">
        <v>1188</v>
      </c>
      <c r="F151" s="3084" t="s">
        <v>1189</v>
      </c>
      <c r="G151" s="3080" t="s">
        <v>1240</v>
      </c>
      <c r="H151" s="3084" t="s">
        <v>1395</v>
      </c>
      <c r="I151" s="3085"/>
      <c r="J151" s="3085"/>
      <c r="K151" s="3081">
        <v>3</v>
      </c>
      <c r="L151" s="3080"/>
      <c r="M151" s="3086">
        <v>36000</v>
      </c>
      <c r="N151" s="3087">
        <f t="shared" si="40"/>
        <v>0</v>
      </c>
      <c r="O151" s="3080">
        <v>0</v>
      </c>
      <c r="P151" s="3086">
        <v>20000</v>
      </c>
      <c r="Q151" s="3088">
        <f t="shared" si="44"/>
        <v>0</v>
      </c>
      <c r="R151" s="3089">
        <f t="shared" si="45"/>
        <v>0</v>
      </c>
      <c r="S151" s="3080">
        <f t="shared" si="41"/>
        <v>3</v>
      </c>
      <c r="T151" s="3086">
        <v>36000</v>
      </c>
      <c r="U151" s="3088">
        <f t="shared" si="42"/>
        <v>108000</v>
      </c>
      <c r="V151" s="3080">
        <v>0</v>
      </c>
      <c r="W151" s="3086">
        <v>20000</v>
      </c>
      <c r="X151" s="3088">
        <f t="shared" si="46"/>
        <v>0</v>
      </c>
      <c r="Y151" s="3089">
        <f t="shared" si="47"/>
        <v>108000</v>
      </c>
      <c r="Z151" s="3090">
        <v>49</v>
      </c>
      <c r="AA151" s="3091">
        <v>150</v>
      </c>
      <c r="AB151" s="3087">
        <f t="shared" si="48"/>
        <v>7350</v>
      </c>
      <c r="AC151" s="3092"/>
      <c r="AD151" s="3092"/>
      <c r="AE151" s="3093">
        <f t="shared" si="43"/>
        <v>7350</v>
      </c>
      <c r="AF151" s="3094">
        <f t="shared" si="35"/>
        <v>115350</v>
      </c>
    </row>
    <row r="152" spans="1:32" s="3095" customFormat="1" ht="30" customHeight="1">
      <c r="A152" s="3082">
        <v>134</v>
      </c>
      <c r="B152" s="3083" t="s">
        <v>1402</v>
      </c>
      <c r="C152" s="3083" t="s">
        <v>1403</v>
      </c>
      <c r="D152" s="3083" t="s">
        <v>1401</v>
      </c>
      <c r="E152" s="3084" t="s">
        <v>1188</v>
      </c>
      <c r="F152" s="3084" t="s">
        <v>1189</v>
      </c>
      <c r="G152" s="3080" t="s">
        <v>1240</v>
      </c>
      <c r="H152" s="3084" t="s">
        <v>1395</v>
      </c>
      <c r="I152" s="3085"/>
      <c r="J152" s="3085"/>
      <c r="K152" s="3081">
        <v>3</v>
      </c>
      <c r="L152" s="3080"/>
      <c r="M152" s="3086">
        <v>36000</v>
      </c>
      <c r="N152" s="3087">
        <f t="shared" si="40"/>
        <v>0</v>
      </c>
      <c r="O152" s="3080">
        <v>0</v>
      </c>
      <c r="P152" s="3086">
        <v>20000</v>
      </c>
      <c r="Q152" s="3088">
        <f t="shared" si="44"/>
        <v>0</v>
      </c>
      <c r="R152" s="3089">
        <f t="shared" si="45"/>
        <v>0</v>
      </c>
      <c r="S152" s="3080">
        <f t="shared" si="41"/>
        <v>3</v>
      </c>
      <c r="T152" s="3086">
        <v>36000</v>
      </c>
      <c r="U152" s="3088">
        <f t="shared" si="42"/>
        <v>108000</v>
      </c>
      <c r="V152" s="3080">
        <v>0</v>
      </c>
      <c r="W152" s="3086">
        <v>20000</v>
      </c>
      <c r="X152" s="3088">
        <f t="shared" si="46"/>
        <v>0</v>
      </c>
      <c r="Y152" s="3089">
        <f t="shared" si="47"/>
        <v>108000</v>
      </c>
      <c r="Z152" s="3090">
        <v>49</v>
      </c>
      <c r="AA152" s="3091">
        <v>150</v>
      </c>
      <c r="AB152" s="3087">
        <f t="shared" si="48"/>
        <v>7350</v>
      </c>
      <c r="AC152" s="3092"/>
      <c r="AD152" s="3092"/>
      <c r="AE152" s="3093">
        <f t="shared" si="43"/>
        <v>7350</v>
      </c>
      <c r="AF152" s="3094">
        <f t="shared" si="35"/>
        <v>115350</v>
      </c>
    </row>
    <row r="153" spans="1:32" s="3095" customFormat="1" ht="30" customHeight="1">
      <c r="A153" s="3082">
        <v>135</v>
      </c>
      <c r="B153" s="3083" t="s">
        <v>1404</v>
      </c>
      <c r="C153" s="3083" t="s">
        <v>1345</v>
      </c>
      <c r="D153" s="3083" t="s">
        <v>1405</v>
      </c>
      <c r="E153" s="3084" t="s">
        <v>1188</v>
      </c>
      <c r="F153" s="3084" t="s">
        <v>1189</v>
      </c>
      <c r="G153" s="3080" t="s">
        <v>1240</v>
      </c>
      <c r="H153" s="3084" t="s">
        <v>1395</v>
      </c>
      <c r="I153" s="3085"/>
      <c r="J153" s="3085"/>
      <c r="K153" s="3081">
        <v>3</v>
      </c>
      <c r="L153" s="3080"/>
      <c r="M153" s="3086">
        <v>36000</v>
      </c>
      <c r="N153" s="3087">
        <f t="shared" si="40"/>
        <v>0</v>
      </c>
      <c r="O153" s="3080">
        <v>0</v>
      </c>
      <c r="P153" s="3086">
        <v>20000</v>
      </c>
      <c r="Q153" s="3088">
        <f t="shared" si="44"/>
        <v>0</v>
      </c>
      <c r="R153" s="3089">
        <f t="shared" si="45"/>
        <v>0</v>
      </c>
      <c r="S153" s="3080">
        <f t="shared" si="41"/>
        <v>3</v>
      </c>
      <c r="T153" s="3086">
        <v>36000</v>
      </c>
      <c r="U153" s="3088">
        <f t="shared" si="42"/>
        <v>108000</v>
      </c>
      <c r="V153" s="3080">
        <v>0</v>
      </c>
      <c r="W153" s="3086">
        <v>20000</v>
      </c>
      <c r="X153" s="3088">
        <f t="shared" si="46"/>
        <v>0</v>
      </c>
      <c r="Y153" s="3089">
        <f t="shared" si="47"/>
        <v>108000</v>
      </c>
      <c r="Z153" s="3090">
        <v>50</v>
      </c>
      <c r="AA153" s="3091">
        <v>150</v>
      </c>
      <c r="AB153" s="3087">
        <f t="shared" si="48"/>
        <v>7500</v>
      </c>
      <c r="AC153" s="3092"/>
      <c r="AD153" s="3092"/>
      <c r="AE153" s="3093">
        <f t="shared" si="43"/>
        <v>7500</v>
      </c>
      <c r="AF153" s="3094">
        <f t="shared" si="35"/>
        <v>115500</v>
      </c>
    </row>
    <row r="154" spans="1:32" s="3095" customFormat="1" ht="30" customHeight="1">
      <c r="A154" s="3082">
        <v>136</v>
      </c>
      <c r="B154" s="3083" t="s">
        <v>1406</v>
      </c>
      <c r="C154" s="3083" t="s">
        <v>1407</v>
      </c>
      <c r="D154" s="3083" t="s">
        <v>1408</v>
      </c>
      <c r="E154" s="3084" t="s">
        <v>1188</v>
      </c>
      <c r="F154" s="3084" t="s">
        <v>1189</v>
      </c>
      <c r="G154" s="3080" t="s">
        <v>1190</v>
      </c>
      <c r="H154" s="3084" t="s">
        <v>1362</v>
      </c>
      <c r="I154" s="3085"/>
      <c r="J154" s="3085"/>
      <c r="K154" s="3081">
        <v>3</v>
      </c>
      <c r="L154" s="3080"/>
      <c r="M154" s="3086">
        <v>15000</v>
      </c>
      <c r="N154" s="3087">
        <f t="shared" si="40"/>
        <v>0</v>
      </c>
      <c r="O154" s="3080">
        <v>0</v>
      </c>
      <c r="P154" s="3086">
        <v>20000</v>
      </c>
      <c r="Q154" s="3088">
        <f t="shared" si="44"/>
        <v>0</v>
      </c>
      <c r="R154" s="3089">
        <f t="shared" si="45"/>
        <v>0</v>
      </c>
      <c r="S154" s="3080">
        <f t="shared" si="41"/>
        <v>3</v>
      </c>
      <c r="T154" s="3086">
        <v>15000</v>
      </c>
      <c r="U154" s="3088">
        <f t="shared" si="42"/>
        <v>45000</v>
      </c>
      <c r="V154" s="3080">
        <v>0</v>
      </c>
      <c r="W154" s="3086">
        <v>20000</v>
      </c>
      <c r="X154" s="3088">
        <f t="shared" si="46"/>
        <v>0</v>
      </c>
      <c r="Y154" s="3089">
        <f t="shared" si="47"/>
        <v>45000</v>
      </c>
      <c r="Z154" s="3090">
        <v>6</v>
      </c>
      <c r="AA154" s="3091">
        <v>0</v>
      </c>
      <c r="AB154" s="3087">
        <f t="shared" si="48"/>
        <v>0</v>
      </c>
      <c r="AC154" s="3092"/>
      <c r="AD154" s="3092"/>
      <c r="AE154" s="3093">
        <f t="shared" si="43"/>
        <v>0</v>
      </c>
      <c r="AF154" s="3094">
        <f t="shared" si="35"/>
        <v>45000</v>
      </c>
    </row>
    <row r="155" spans="1:32" s="3095" customFormat="1" ht="37.5">
      <c r="A155" s="3082">
        <v>137</v>
      </c>
      <c r="B155" s="3083" t="s">
        <v>1409</v>
      </c>
      <c r="C155" s="3083" t="s">
        <v>1196</v>
      </c>
      <c r="D155" s="3083" t="s">
        <v>1410</v>
      </c>
      <c r="E155" s="3084" t="s">
        <v>1188</v>
      </c>
      <c r="F155" s="3084" t="s">
        <v>1189</v>
      </c>
      <c r="G155" s="3080" t="s">
        <v>1190</v>
      </c>
      <c r="H155" s="3084" t="s">
        <v>1362</v>
      </c>
      <c r="I155" s="3085"/>
      <c r="J155" s="3085"/>
      <c r="K155" s="3081">
        <v>3</v>
      </c>
      <c r="L155" s="3080"/>
      <c r="M155" s="3086">
        <v>15000</v>
      </c>
      <c r="N155" s="3087">
        <f t="shared" si="40"/>
        <v>0</v>
      </c>
      <c r="O155" s="3080">
        <v>0</v>
      </c>
      <c r="P155" s="3086">
        <v>20000</v>
      </c>
      <c r="Q155" s="3088">
        <f t="shared" si="44"/>
        <v>0</v>
      </c>
      <c r="R155" s="3089">
        <f t="shared" si="45"/>
        <v>0</v>
      </c>
      <c r="S155" s="3080">
        <f t="shared" si="41"/>
        <v>3</v>
      </c>
      <c r="T155" s="3086">
        <v>15000</v>
      </c>
      <c r="U155" s="3088">
        <f t="shared" si="42"/>
        <v>45000</v>
      </c>
      <c r="V155" s="3080">
        <v>0</v>
      </c>
      <c r="W155" s="3086">
        <v>20000</v>
      </c>
      <c r="X155" s="3088">
        <f t="shared" si="46"/>
        <v>0</v>
      </c>
      <c r="Y155" s="3089">
        <f t="shared" si="47"/>
        <v>45000</v>
      </c>
      <c r="Z155" s="3090">
        <v>20</v>
      </c>
      <c r="AA155" s="3091">
        <v>150</v>
      </c>
      <c r="AB155" s="3087">
        <f t="shared" si="48"/>
        <v>3000</v>
      </c>
      <c r="AC155" s="3092"/>
      <c r="AD155" s="3092"/>
      <c r="AE155" s="3093">
        <f t="shared" si="43"/>
        <v>3000</v>
      </c>
      <c r="AF155" s="3094">
        <f t="shared" si="35"/>
        <v>48000</v>
      </c>
    </row>
    <row r="156" spans="1:32" s="3095" customFormat="1" ht="30" customHeight="1">
      <c r="A156" s="3082">
        <v>138</v>
      </c>
      <c r="B156" s="3083" t="s">
        <v>1411</v>
      </c>
      <c r="C156" s="3083" t="s">
        <v>1192</v>
      </c>
      <c r="D156" s="3083" t="s">
        <v>1412</v>
      </c>
      <c r="E156" s="3084" t="s">
        <v>1188</v>
      </c>
      <c r="F156" s="3084" t="s">
        <v>1189</v>
      </c>
      <c r="G156" s="3080" t="s">
        <v>1240</v>
      </c>
      <c r="H156" s="3084" t="s">
        <v>1362</v>
      </c>
      <c r="I156" s="3085"/>
      <c r="J156" s="3085"/>
      <c r="K156" s="3081">
        <v>3</v>
      </c>
      <c r="L156" s="3080"/>
      <c r="M156" s="3086">
        <v>36000</v>
      </c>
      <c r="N156" s="3087">
        <f t="shared" si="40"/>
        <v>0</v>
      </c>
      <c r="O156" s="3080">
        <v>0</v>
      </c>
      <c r="P156" s="3086">
        <v>20000</v>
      </c>
      <c r="Q156" s="3088">
        <f t="shared" si="44"/>
        <v>0</v>
      </c>
      <c r="R156" s="3089">
        <f t="shared" si="45"/>
        <v>0</v>
      </c>
      <c r="S156" s="3080">
        <f t="shared" si="41"/>
        <v>3</v>
      </c>
      <c r="T156" s="3086">
        <v>36000</v>
      </c>
      <c r="U156" s="3088">
        <f t="shared" si="42"/>
        <v>108000</v>
      </c>
      <c r="V156" s="3080">
        <v>0</v>
      </c>
      <c r="W156" s="3086">
        <v>20000</v>
      </c>
      <c r="X156" s="3088">
        <f t="shared" si="46"/>
        <v>0</v>
      </c>
      <c r="Y156" s="3089">
        <f t="shared" si="47"/>
        <v>108000</v>
      </c>
      <c r="Z156" s="3090">
        <v>52</v>
      </c>
      <c r="AA156" s="3091">
        <v>150</v>
      </c>
      <c r="AB156" s="3087">
        <f t="shared" si="48"/>
        <v>7800</v>
      </c>
      <c r="AC156" s="3092"/>
      <c r="AD156" s="3092"/>
      <c r="AE156" s="3093">
        <f t="shared" si="43"/>
        <v>7800</v>
      </c>
      <c r="AF156" s="3094">
        <f t="shared" si="35"/>
        <v>115800</v>
      </c>
    </row>
    <row r="157" spans="1:32" s="3095" customFormat="1" ht="31.5">
      <c r="A157" s="3082">
        <v>139</v>
      </c>
      <c r="B157" s="3083" t="s">
        <v>1413</v>
      </c>
      <c r="C157" s="3083" t="s">
        <v>1186</v>
      </c>
      <c r="D157" s="3083" t="s">
        <v>1414</v>
      </c>
      <c r="E157" s="3084" t="s">
        <v>1188</v>
      </c>
      <c r="F157" s="3084" t="s">
        <v>1189</v>
      </c>
      <c r="G157" s="3080" t="s">
        <v>1190</v>
      </c>
      <c r="H157" s="3084" t="s">
        <v>1362</v>
      </c>
      <c r="I157" s="3085"/>
      <c r="J157" s="3085"/>
      <c r="K157" s="3081">
        <v>3</v>
      </c>
      <c r="L157" s="3080"/>
      <c r="M157" s="3086">
        <v>15000</v>
      </c>
      <c r="N157" s="3087">
        <f t="shared" si="40"/>
        <v>0</v>
      </c>
      <c r="O157" s="3080">
        <v>0</v>
      </c>
      <c r="P157" s="3086">
        <v>20000</v>
      </c>
      <c r="Q157" s="3088">
        <f t="shared" si="44"/>
        <v>0</v>
      </c>
      <c r="R157" s="3089">
        <f t="shared" si="45"/>
        <v>0</v>
      </c>
      <c r="S157" s="3080">
        <f t="shared" si="41"/>
        <v>3</v>
      </c>
      <c r="T157" s="3086">
        <v>15000</v>
      </c>
      <c r="U157" s="3088">
        <f t="shared" si="42"/>
        <v>45000</v>
      </c>
      <c r="V157" s="3080">
        <v>0</v>
      </c>
      <c r="W157" s="3086">
        <v>20000</v>
      </c>
      <c r="X157" s="3088">
        <f t="shared" si="46"/>
        <v>0</v>
      </c>
      <c r="Y157" s="3089">
        <f t="shared" si="47"/>
        <v>45000</v>
      </c>
      <c r="Z157" s="3090">
        <v>24</v>
      </c>
      <c r="AA157" s="3091">
        <v>150</v>
      </c>
      <c r="AB157" s="3087">
        <f t="shared" si="48"/>
        <v>3600</v>
      </c>
      <c r="AC157" s="3092"/>
      <c r="AD157" s="3092"/>
      <c r="AE157" s="3093">
        <f t="shared" si="43"/>
        <v>3600</v>
      </c>
      <c r="AF157" s="3094">
        <f t="shared" si="35"/>
        <v>48600</v>
      </c>
    </row>
    <row r="158" spans="1:32" s="3095" customFormat="1" ht="30" customHeight="1">
      <c r="A158" s="3082">
        <v>140</v>
      </c>
      <c r="B158" s="3083" t="s">
        <v>1415</v>
      </c>
      <c r="C158" s="3083" t="s">
        <v>1186</v>
      </c>
      <c r="D158" s="3083" t="s">
        <v>1416</v>
      </c>
      <c r="E158" s="3084" t="s">
        <v>1188</v>
      </c>
      <c r="F158" s="3084" t="s">
        <v>1189</v>
      </c>
      <c r="G158" s="3080" t="s">
        <v>1190</v>
      </c>
      <c r="H158" s="3084" t="s">
        <v>1362</v>
      </c>
      <c r="I158" s="3085"/>
      <c r="J158" s="3085"/>
      <c r="K158" s="3081">
        <v>3</v>
      </c>
      <c r="L158" s="3080"/>
      <c r="M158" s="3086">
        <v>15000</v>
      </c>
      <c r="N158" s="3087">
        <f t="shared" si="40"/>
        <v>0</v>
      </c>
      <c r="O158" s="3080">
        <v>0</v>
      </c>
      <c r="P158" s="3086">
        <v>20000</v>
      </c>
      <c r="Q158" s="3088">
        <f t="shared" si="44"/>
        <v>0</v>
      </c>
      <c r="R158" s="3089">
        <f t="shared" si="45"/>
        <v>0</v>
      </c>
      <c r="S158" s="3080">
        <f t="shared" si="41"/>
        <v>3</v>
      </c>
      <c r="T158" s="3086">
        <v>15000</v>
      </c>
      <c r="U158" s="3088">
        <f t="shared" si="42"/>
        <v>45000</v>
      </c>
      <c r="V158" s="3080">
        <v>0</v>
      </c>
      <c r="W158" s="3086">
        <v>20000</v>
      </c>
      <c r="X158" s="3088">
        <f t="shared" si="46"/>
        <v>0</v>
      </c>
      <c r="Y158" s="3089">
        <f t="shared" si="47"/>
        <v>45000</v>
      </c>
      <c r="Z158" s="3090">
        <v>20</v>
      </c>
      <c r="AA158" s="3091">
        <v>150</v>
      </c>
      <c r="AB158" s="3087">
        <f t="shared" si="48"/>
        <v>3000</v>
      </c>
      <c r="AC158" s="3092"/>
      <c r="AD158" s="3092"/>
      <c r="AE158" s="3093">
        <f t="shared" si="43"/>
        <v>3000</v>
      </c>
      <c r="AF158" s="3094">
        <f t="shared" si="35"/>
        <v>48000</v>
      </c>
    </row>
    <row r="159" spans="1:32" s="3095" customFormat="1" ht="30" customHeight="1">
      <c r="A159" s="3082">
        <v>141</v>
      </c>
      <c r="B159" s="3083" t="s">
        <v>1417</v>
      </c>
      <c r="C159" s="3083" t="s">
        <v>1194</v>
      </c>
      <c r="D159" s="3083" t="s">
        <v>1418</v>
      </c>
      <c r="E159" s="3084" t="s">
        <v>1188</v>
      </c>
      <c r="F159" s="3084" t="s">
        <v>1189</v>
      </c>
      <c r="G159" s="3080" t="s">
        <v>1190</v>
      </c>
      <c r="H159" s="3084" t="s">
        <v>1362</v>
      </c>
      <c r="I159" s="3085"/>
      <c r="J159" s="3085"/>
      <c r="K159" s="3081">
        <v>3</v>
      </c>
      <c r="L159" s="3080"/>
      <c r="M159" s="3086">
        <v>15000</v>
      </c>
      <c r="N159" s="3087">
        <f t="shared" si="40"/>
        <v>0</v>
      </c>
      <c r="O159" s="3080">
        <v>0</v>
      </c>
      <c r="P159" s="3086">
        <v>20000</v>
      </c>
      <c r="Q159" s="3088">
        <f t="shared" si="44"/>
        <v>0</v>
      </c>
      <c r="R159" s="3089">
        <f t="shared" si="45"/>
        <v>0</v>
      </c>
      <c r="S159" s="3080">
        <f t="shared" si="41"/>
        <v>3</v>
      </c>
      <c r="T159" s="3086">
        <v>15000</v>
      </c>
      <c r="U159" s="3088">
        <f t="shared" si="42"/>
        <v>45000</v>
      </c>
      <c r="V159" s="3080">
        <v>0</v>
      </c>
      <c r="W159" s="3086">
        <v>20000</v>
      </c>
      <c r="X159" s="3088">
        <f t="shared" si="46"/>
        <v>0</v>
      </c>
      <c r="Y159" s="3089">
        <f t="shared" si="47"/>
        <v>45000</v>
      </c>
      <c r="Z159" s="3090">
        <v>14</v>
      </c>
      <c r="AA159" s="3091">
        <v>150</v>
      </c>
      <c r="AB159" s="3087">
        <f t="shared" si="48"/>
        <v>2100</v>
      </c>
      <c r="AC159" s="3092"/>
      <c r="AD159" s="3092"/>
      <c r="AE159" s="3093">
        <f t="shared" si="43"/>
        <v>2100</v>
      </c>
      <c r="AF159" s="3094">
        <f t="shared" si="35"/>
        <v>47100</v>
      </c>
    </row>
    <row r="160" spans="1:32" s="3095" customFormat="1" ht="30" customHeight="1">
      <c r="A160" s="3082">
        <v>142</v>
      </c>
      <c r="B160" s="3083" t="s">
        <v>1419</v>
      </c>
      <c r="C160" s="3083" t="s">
        <v>1194</v>
      </c>
      <c r="D160" s="3083" t="s">
        <v>1420</v>
      </c>
      <c r="E160" s="3084" t="s">
        <v>1188</v>
      </c>
      <c r="F160" s="3084" t="s">
        <v>1189</v>
      </c>
      <c r="G160" s="3080" t="s">
        <v>1190</v>
      </c>
      <c r="H160" s="3084" t="s">
        <v>1362</v>
      </c>
      <c r="I160" s="3085"/>
      <c r="J160" s="3085"/>
      <c r="K160" s="3081">
        <v>3</v>
      </c>
      <c r="L160" s="3080"/>
      <c r="M160" s="3086">
        <v>15000</v>
      </c>
      <c r="N160" s="3087">
        <f>M160*L160</f>
        <v>0</v>
      </c>
      <c r="O160" s="3080">
        <v>0</v>
      </c>
      <c r="P160" s="3086">
        <v>20000</v>
      </c>
      <c r="Q160" s="3088">
        <f t="shared" si="44"/>
        <v>0</v>
      </c>
      <c r="R160" s="3089">
        <f t="shared" si="45"/>
        <v>0</v>
      </c>
      <c r="S160" s="3080">
        <f>+K160</f>
        <v>3</v>
      </c>
      <c r="T160" s="3086">
        <v>15000</v>
      </c>
      <c r="U160" s="3088">
        <f>T160*S160</f>
        <v>45000</v>
      </c>
      <c r="V160" s="3080">
        <v>0</v>
      </c>
      <c r="W160" s="3086">
        <v>20000</v>
      </c>
      <c r="X160" s="3088">
        <f t="shared" si="46"/>
        <v>0</v>
      </c>
      <c r="Y160" s="3089">
        <f t="shared" si="47"/>
        <v>45000</v>
      </c>
      <c r="Z160" s="3090">
        <v>0</v>
      </c>
      <c r="AA160" s="3091">
        <v>0</v>
      </c>
      <c r="AB160" s="3087">
        <f t="shared" si="48"/>
        <v>0</v>
      </c>
      <c r="AC160" s="3092"/>
      <c r="AD160" s="3092"/>
      <c r="AE160" s="3093">
        <f>AB160</f>
        <v>0</v>
      </c>
      <c r="AF160" s="3094">
        <f t="shared" si="35"/>
        <v>45000</v>
      </c>
    </row>
    <row r="161" spans="1:32" s="3095" customFormat="1" ht="30" customHeight="1">
      <c r="A161" s="3082">
        <v>143</v>
      </c>
      <c r="B161" s="3083" t="s">
        <v>1421</v>
      </c>
      <c r="C161" s="3083" t="s">
        <v>1186</v>
      </c>
      <c r="D161" s="3083" t="s">
        <v>1420</v>
      </c>
      <c r="E161" s="3084" t="s">
        <v>1188</v>
      </c>
      <c r="F161" s="3084" t="s">
        <v>1189</v>
      </c>
      <c r="G161" s="3080" t="s">
        <v>1190</v>
      </c>
      <c r="H161" s="3084" t="s">
        <v>1362</v>
      </c>
      <c r="I161" s="3085"/>
      <c r="J161" s="3085"/>
      <c r="K161" s="3081">
        <v>3</v>
      </c>
      <c r="L161" s="3080"/>
      <c r="M161" s="3086">
        <v>15000</v>
      </c>
      <c r="N161" s="3087">
        <f t="shared" ref="N161:N171" si="49">M161*L161</f>
        <v>0</v>
      </c>
      <c r="O161" s="3080">
        <v>0</v>
      </c>
      <c r="P161" s="3086">
        <v>20000</v>
      </c>
      <c r="Q161" s="3088">
        <f t="shared" si="44"/>
        <v>0</v>
      </c>
      <c r="R161" s="3089">
        <f t="shared" si="45"/>
        <v>0</v>
      </c>
      <c r="S161" s="3080">
        <f t="shared" ref="S161:S171" si="50">+K161</f>
        <v>3</v>
      </c>
      <c r="T161" s="3086">
        <v>15000</v>
      </c>
      <c r="U161" s="3088">
        <f t="shared" ref="U161:U171" si="51">T161*S161</f>
        <v>45000</v>
      </c>
      <c r="V161" s="3080">
        <v>0</v>
      </c>
      <c r="W161" s="3086">
        <v>20000</v>
      </c>
      <c r="X161" s="3088">
        <f t="shared" si="46"/>
        <v>0</v>
      </c>
      <c r="Y161" s="3089">
        <f t="shared" si="47"/>
        <v>45000</v>
      </c>
      <c r="Z161" s="3090">
        <v>0</v>
      </c>
      <c r="AA161" s="3091">
        <v>0</v>
      </c>
      <c r="AB161" s="3087">
        <f t="shared" si="48"/>
        <v>0</v>
      </c>
      <c r="AC161" s="3092"/>
      <c r="AD161" s="3092"/>
      <c r="AE161" s="3093">
        <f t="shared" ref="AE161:AE171" si="52">AB161</f>
        <v>0</v>
      </c>
      <c r="AF161" s="3094">
        <f t="shared" si="35"/>
        <v>45000</v>
      </c>
    </row>
    <row r="162" spans="1:32" s="3095" customFormat="1" ht="30" customHeight="1">
      <c r="A162" s="3082">
        <v>144</v>
      </c>
      <c r="B162" s="3083" t="s">
        <v>1422</v>
      </c>
      <c r="C162" s="3083" t="s">
        <v>1186</v>
      </c>
      <c r="D162" s="3083" t="s">
        <v>1420</v>
      </c>
      <c r="E162" s="3084" t="s">
        <v>1188</v>
      </c>
      <c r="F162" s="3084" t="s">
        <v>1189</v>
      </c>
      <c r="G162" s="3080" t="s">
        <v>1190</v>
      </c>
      <c r="H162" s="3084" t="s">
        <v>1362</v>
      </c>
      <c r="I162" s="3085"/>
      <c r="J162" s="3085"/>
      <c r="K162" s="3081">
        <v>3</v>
      </c>
      <c r="L162" s="3080"/>
      <c r="M162" s="3086">
        <v>15000</v>
      </c>
      <c r="N162" s="3087">
        <f t="shared" si="49"/>
        <v>0</v>
      </c>
      <c r="O162" s="3080">
        <v>0</v>
      </c>
      <c r="P162" s="3086">
        <v>20000</v>
      </c>
      <c r="Q162" s="3088">
        <f t="shared" si="44"/>
        <v>0</v>
      </c>
      <c r="R162" s="3089">
        <f t="shared" si="45"/>
        <v>0</v>
      </c>
      <c r="S162" s="3080">
        <f t="shared" si="50"/>
        <v>3</v>
      </c>
      <c r="T162" s="3086">
        <v>15000</v>
      </c>
      <c r="U162" s="3088">
        <f t="shared" si="51"/>
        <v>45000</v>
      </c>
      <c r="V162" s="3080">
        <v>0</v>
      </c>
      <c r="W162" s="3086">
        <v>20000</v>
      </c>
      <c r="X162" s="3088">
        <f t="shared" si="46"/>
        <v>0</v>
      </c>
      <c r="Y162" s="3089">
        <f t="shared" si="47"/>
        <v>45000</v>
      </c>
      <c r="Z162" s="3090">
        <v>0</v>
      </c>
      <c r="AA162" s="3091">
        <v>0</v>
      </c>
      <c r="AB162" s="3087">
        <f t="shared" si="48"/>
        <v>0</v>
      </c>
      <c r="AC162" s="3092"/>
      <c r="AD162" s="3092"/>
      <c r="AE162" s="3093">
        <f t="shared" si="52"/>
        <v>0</v>
      </c>
      <c r="AF162" s="3094">
        <f t="shared" si="35"/>
        <v>45000</v>
      </c>
    </row>
    <row r="163" spans="1:32" s="3095" customFormat="1" ht="30" customHeight="1">
      <c r="A163" s="3082">
        <v>145</v>
      </c>
      <c r="B163" s="3083" t="s">
        <v>1423</v>
      </c>
      <c r="C163" s="3083" t="s">
        <v>1186</v>
      </c>
      <c r="D163" s="3083" t="s">
        <v>1424</v>
      </c>
      <c r="E163" s="3084" t="s">
        <v>1188</v>
      </c>
      <c r="F163" s="3084" t="s">
        <v>1189</v>
      </c>
      <c r="G163" s="3080" t="s">
        <v>1190</v>
      </c>
      <c r="H163" s="3084" t="s">
        <v>1362</v>
      </c>
      <c r="I163" s="3085"/>
      <c r="J163" s="3085"/>
      <c r="K163" s="3081">
        <v>3</v>
      </c>
      <c r="L163" s="3080"/>
      <c r="M163" s="3086">
        <v>15000</v>
      </c>
      <c r="N163" s="3087">
        <f t="shared" si="49"/>
        <v>0</v>
      </c>
      <c r="O163" s="3080">
        <v>0</v>
      </c>
      <c r="P163" s="3086">
        <v>20000</v>
      </c>
      <c r="Q163" s="3088">
        <f t="shared" si="44"/>
        <v>0</v>
      </c>
      <c r="R163" s="3089">
        <f t="shared" si="45"/>
        <v>0</v>
      </c>
      <c r="S163" s="3080">
        <f t="shared" si="50"/>
        <v>3</v>
      </c>
      <c r="T163" s="3086">
        <v>15000</v>
      </c>
      <c r="U163" s="3088">
        <f t="shared" si="51"/>
        <v>45000</v>
      </c>
      <c r="V163" s="3080">
        <v>0</v>
      </c>
      <c r="W163" s="3086">
        <v>20000</v>
      </c>
      <c r="X163" s="3088">
        <f t="shared" si="46"/>
        <v>0</v>
      </c>
      <c r="Y163" s="3089">
        <f t="shared" si="47"/>
        <v>45000</v>
      </c>
      <c r="Z163" s="3090">
        <v>22</v>
      </c>
      <c r="AA163" s="3091">
        <v>150</v>
      </c>
      <c r="AB163" s="3087">
        <f t="shared" si="48"/>
        <v>3300</v>
      </c>
      <c r="AC163" s="3092"/>
      <c r="AD163" s="3092"/>
      <c r="AE163" s="3093">
        <f t="shared" si="52"/>
        <v>3300</v>
      </c>
      <c r="AF163" s="3094">
        <f t="shared" si="35"/>
        <v>48300</v>
      </c>
    </row>
    <row r="164" spans="1:32" s="3095" customFormat="1" ht="30" customHeight="1">
      <c r="A164" s="3082">
        <v>146</v>
      </c>
      <c r="B164" s="3083" t="s">
        <v>1425</v>
      </c>
      <c r="C164" s="3083" t="s">
        <v>1192</v>
      </c>
      <c r="D164" s="3083" t="s">
        <v>1426</v>
      </c>
      <c r="E164" s="3084" t="s">
        <v>1188</v>
      </c>
      <c r="F164" s="3084" t="s">
        <v>1189</v>
      </c>
      <c r="G164" s="3080" t="s">
        <v>1190</v>
      </c>
      <c r="H164" s="3084" t="s">
        <v>1362</v>
      </c>
      <c r="I164" s="3085"/>
      <c r="J164" s="3085"/>
      <c r="K164" s="3081">
        <v>3</v>
      </c>
      <c r="L164" s="3080"/>
      <c r="M164" s="3086">
        <v>15000</v>
      </c>
      <c r="N164" s="3087">
        <f t="shared" si="49"/>
        <v>0</v>
      </c>
      <c r="O164" s="3080">
        <v>0</v>
      </c>
      <c r="P164" s="3086">
        <v>20000</v>
      </c>
      <c r="Q164" s="3088">
        <f t="shared" si="44"/>
        <v>0</v>
      </c>
      <c r="R164" s="3089">
        <f t="shared" si="45"/>
        <v>0</v>
      </c>
      <c r="S164" s="3080">
        <f t="shared" si="50"/>
        <v>3</v>
      </c>
      <c r="T164" s="3086">
        <v>15000</v>
      </c>
      <c r="U164" s="3088">
        <f t="shared" si="51"/>
        <v>45000</v>
      </c>
      <c r="V164" s="3080">
        <v>0</v>
      </c>
      <c r="W164" s="3086">
        <v>20000</v>
      </c>
      <c r="X164" s="3088">
        <f t="shared" si="46"/>
        <v>0</v>
      </c>
      <c r="Y164" s="3089">
        <f t="shared" si="47"/>
        <v>45000</v>
      </c>
      <c r="Z164" s="3090">
        <v>14</v>
      </c>
      <c r="AA164" s="3091">
        <v>150</v>
      </c>
      <c r="AB164" s="3087">
        <f t="shared" si="48"/>
        <v>2100</v>
      </c>
      <c r="AC164" s="3092"/>
      <c r="AD164" s="3092"/>
      <c r="AE164" s="3093">
        <f t="shared" si="52"/>
        <v>2100</v>
      </c>
      <c r="AF164" s="3094">
        <f t="shared" si="35"/>
        <v>47100</v>
      </c>
    </row>
    <row r="165" spans="1:32" s="3095" customFormat="1" ht="30" customHeight="1">
      <c r="A165" s="3082">
        <v>147</v>
      </c>
      <c r="B165" s="3083" t="s">
        <v>1427</v>
      </c>
      <c r="C165" s="3083" t="s">
        <v>1186</v>
      </c>
      <c r="D165" s="3083" t="s">
        <v>1428</v>
      </c>
      <c r="E165" s="3084" t="s">
        <v>1188</v>
      </c>
      <c r="F165" s="3084" t="s">
        <v>1189</v>
      </c>
      <c r="G165" s="3080" t="s">
        <v>1190</v>
      </c>
      <c r="H165" s="3084" t="s">
        <v>1362</v>
      </c>
      <c r="I165" s="3085"/>
      <c r="J165" s="3085"/>
      <c r="K165" s="3081">
        <v>3</v>
      </c>
      <c r="L165" s="3080"/>
      <c r="M165" s="3086">
        <v>15000</v>
      </c>
      <c r="N165" s="3087">
        <f t="shared" si="49"/>
        <v>0</v>
      </c>
      <c r="O165" s="3080">
        <v>0</v>
      </c>
      <c r="P165" s="3086">
        <v>20000</v>
      </c>
      <c r="Q165" s="3088">
        <f t="shared" si="44"/>
        <v>0</v>
      </c>
      <c r="R165" s="3089">
        <f t="shared" si="45"/>
        <v>0</v>
      </c>
      <c r="S165" s="3080">
        <f t="shared" si="50"/>
        <v>3</v>
      </c>
      <c r="T165" s="3086">
        <v>15000</v>
      </c>
      <c r="U165" s="3088">
        <f t="shared" si="51"/>
        <v>45000</v>
      </c>
      <c r="V165" s="3080">
        <v>0</v>
      </c>
      <c r="W165" s="3086">
        <v>20000</v>
      </c>
      <c r="X165" s="3088">
        <f t="shared" si="46"/>
        <v>0</v>
      </c>
      <c r="Y165" s="3089">
        <f t="shared" si="47"/>
        <v>45000</v>
      </c>
      <c r="Z165" s="3090">
        <v>6</v>
      </c>
      <c r="AA165" s="3091">
        <v>0</v>
      </c>
      <c r="AB165" s="3087">
        <f t="shared" si="48"/>
        <v>0</v>
      </c>
      <c r="AC165" s="3092"/>
      <c r="AD165" s="3092"/>
      <c r="AE165" s="3093">
        <f t="shared" si="52"/>
        <v>0</v>
      </c>
      <c r="AF165" s="3094">
        <f t="shared" si="35"/>
        <v>45000</v>
      </c>
    </row>
    <row r="166" spans="1:32" s="3095" customFormat="1" ht="30" customHeight="1">
      <c r="A166" s="3082">
        <v>148</v>
      </c>
      <c r="B166" s="3083" t="s">
        <v>1429</v>
      </c>
      <c r="C166" s="3083" t="s">
        <v>1333</v>
      </c>
      <c r="D166" s="3083" t="s">
        <v>1430</v>
      </c>
      <c r="E166" s="3084" t="s">
        <v>1188</v>
      </c>
      <c r="F166" s="3084" t="s">
        <v>1189</v>
      </c>
      <c r="G166" s="3080" t="s">
        <v>1240</v>
      </c>
      <c r="H166" s="3084" t="s">
        <v>1362</v>
      </c>
      <c r="I166" s="3085"/>
      <c r="J166" s="3085"/>
      <c r="K166" s="3081">
        <v>3</v>
      </c>
      <c r="L166" s="3080"/>
      <c r="M166" s="3086">
        <v>36000</v>
      </c>
      <c r="N166" s="3087">
        <f t="shared" si="49"/>
        <v>0</v>
      </c>
      <c r="O166" s="3080">
        <v>0</v>
      </c>
      <c r="P166" s="3086">
        <v>20000</v>
      </c>
      <c r="Q166" s="3088">
        <f t="shared" si="44"/>
        <v>0</v>
      </c>
      <c r="R166" s="3089">
        <f t="shared" si="45"/>
        <v>0</v>
      </c>
      <c r="S166" s="3080">
        <f t="shared" si="50"/>
        <v>3</v>
      </c>
      <c r="T166" s="3086">
        <v>36000</v>
      </c>
      <c r="U166" s="3088">
        <f t="shared" si="51"/>
        <v>108000</v>
      </c>
      <c r="V166" s="3080">
        <v>0</v>
      </c>
      <c r="W166" s="3086">
        <v>20000</v>
      </c>
      <c r="X166" s="3088">
        <f t="shared" si="46"/>
        <v>0</v>
      </c>
      <c r="Y166" s="3089">
        <f t="shared" si="47"/>
        <v>108000</v>
      </c>
      <c r="Z166" s="3090">
        <v>46</v>
      </c>
      <c r="AA166" s="3091">
        <v>150</v>
      </c>
      <c r="AB166" s="3087">
        <f t="shared" si="48"/>
        <v>6900</v>
      </c>
      <c r="AC166" s="3092"/>
      <c r="AD166" s="3092"/>
      <c r="AE166" s="3093">
        <f t="shared" si="52"/>
        <v>6900</v>
      </c>
      <c r="AF166" s="3094">
        <f t="shared" si="35"/>
        <v>114900</v>
      </c>
    </row>
    <row r="167" spans="1:32" s="3095" customFormat="1" ht="30" customHeight="1">
      <c r="A167" s="3082">
        <v>149</v>
      </c>
      <c r="B167" s="3083" t="s">
        <v>1431</v>
      </c>
      <c r="C167" s="3083" t="s">
        <v>1196</v>
      </c>
      <c r="D167" s="3083" t="s">
        <v>1432</v>
      </c>
      <c r="E167" s="3084" t="s">
        <v>1188</v>
      </c>
      <c r="F167" s="3084" t="s">
        <v>1189</v>
      </c>
      <c r="G167" s="3080" t="s">
        <v>1240</v>
      </c>
      <c r="H167" s="3084" t="s">
        <v>1362</v>
      </c>
      <c r="I167" s="3085"/>
      <c r="J167" s="3085"/>
      <c r="K167" s="3081">
        <v>3</v>
      </c>
      <c r="L167" s="3080"/>
      <c r="M167" s="3086">
        <v>36000</v>
      </c>
      <c r="N167" s="3087">
        <f t="shared" si="49"/>
        <v>0</v>
      </c>
      <c r="O167" s="3080">
        <v>0</v>
      </c>
      <c r="P167" s="3086">
        <v>20000</v>
      </c>
      <c r="Q167" s="3088">
        <f t="shared" si="44"/>
        <v>0</v>
      </c>
      <c r="R167" s="3089">
        <f t="shared" si="45"/>
        <v>0</v>
      </c>
      <c r="S167" s="3080">
        <f t="shared" si="50"/>
        <v>3</v>
      </c>
      <c r="T167" s="3086">
        <v>36000</v>
      </c>
      <c r="U167" s="3088">
        <f t="shared" si="51"/>
        <v>108000</v>
      </c>
      <c r="V167" s="3080">
        <v>0</v>
      </c>
      <c r="W167" s="3086">
        <v>20000</v>
      </c>
      <c r="X167" s="3088">
        <f t="shared" si="46"/>
        <v>0</v>
      </c>
      <c r="Y167" s="3089">
        <f t="shared" si="47"/>
        <v>108000</v>
      </c>
      <c r="Z167" s="3090">
        <v>30</v>
      </c>
      <c r="AA167" s="3091">
        <v>150</v>
      </c>
      <c r="AB167" s="3087">
        <f t="shared" si="48"/>
        <v>4500</v>
      </c>
      <c r="AC167" s="3092"/>
      <c r="AD167" s="3092"/>
      <c r="AE167" s="3093">
        <f t="shared" si="52"/>
        <v>4500</v>
      </c>
      <c r="AF167" s="3094">
        <f t="shared" si="35"/>
        <v>112500</v>
      </c>
    </row>
    <row r="168" spans="1:32" s="3095" customFormat="1" ht="30" customHeight="1">
      <c r="A168" s="3082">
        <v>150</v>
      </c>
      <c r="B168" s="3083" t="s">
        <v>1433</v>
      </c>
      <c r="C168" s="3083" t="s">
        <v>1434</v>
      </c>
      <c r="D168" s="3083" t="s">
        <v>1435</v>
      </c>
      <c r="E168" s="3084" t="s">
        <v>1188</v>
      </c>
      <c r="F168" s="3084" t="s">
        <v>1189</v>
      </c>
      <c r="G168" s="3080" t="s">
        <v>1240</v>
      </c>
      <c r="H168" s="3084" t="s">
        <v>1362</v>
      </c>
      <c r="I168" s="3085"/>
      <c r="J168" s="3085"/>
      <c r="K168" s="3081">
        <v>3</v>
      </c>
      <c r="L168" s="3080"/>
      <c r="M168" s="3086">
        <v>36000</v>
      </c>
      <c r="N168" s="3087">
        <f t="shared" si="49"/>
        <v>0</v>
      </c>
      <c r="O168" s="3080">
        <v>0</v>
      </c>
      <c r="P168" s="3086">
        <v>20000</v>
      </c>
      <c r="Q168" s="3088">
        <f t="shared" si="44"/>
        <v>0</v>
      </c>
      <c r="R168" s="3089">
        <f t="shared" si="45"/>
        <v>0</v>
      </c>
      <c r="S168" s="3080">
        <f t="shared" si="50"/>
        <v>3</v>
      </c>
      <c r="T168" s="3086">
        <v>36000</v>
      </c>
      <c r="U168" s="3088">
        <f t="shared" si="51"/>
        <v>108000</v>
      </c>
      <c r="V168" s="3080">
        <v>0</v>
      </c>
      <c r="W168" s="3086">
        <v>20000</v>
      </c>
      <c r="X168" s="3088">
        <f t="shared" si="46"/>
        <v>0</v>
      </c>
      <c r="Y168" s="3089">
        <f t="shared" si="47"/>
        <v>108000</v>
      </c>
      <c r="Z168" s="3090">
        <v>56</v>
      </c>
      <c r="AA168" s="3091">
        <v>150</v>
      </c>
      <c r="AB168" s="3087">
        <f t="shared" si="48"/>
        <v>8400</v>
      </c>
      <c r="AC168" s="3092"/>
      <c r="AD168" s="3092"/>
      <c r="AE168" s="3093">
        <f t="shared" si="52"/>
        <v>8400</v>
      </c>
      <c r="AF168" s="3094">
        <f t="shared" si="35"/>
        <v>116400</v>
      </c>
    </row>
    <row r="169" spans="1:32" s="3095" customFormat="1" ht="30" customHeight="1">
      <c r="A169" s="3082">
        <v>151</v>
      </c>
      <c r="B169" s="3083" t="s">
        <v>1436</v>
      </c>
      <c r="C169" s="3083" t="s">
        <v>1186</v>
      </c>
      <c r="D169" s="3083" t="s">
        <v>1437</v>
      </c>
      <c r="E169" s="3084" t="s">
        <v>1188</v>
      </c>
      <c r="F169" s="3084" t="s">
        <v>1189</v>
      </c>
      <c r="G169" s="3080" t="s">
        <v>1240</v>
      </c>
      <c r="H169" s="3084" t="s">
        <v>1362</v>
      </c>
      <c r="I169" s="3085"/>
      <c r="J169" s="3085"/>
      <c r="K169" s="3081">
        <v>3</v>
      </c>
      <c r="L169" s="3080"/>
      <c r="M169" s="3086">
        <v>36000</v>
      </c>
      <c r="N169" s="3087">
        <f t="shared" si="49"/>
        <v>0</v>
      </c>
      <c r="O169" s="3080">
        <v>0</v>
      </c>
      <c r="P169" s="3086">
        <v>20000</v>
      </c>
      <c r="Q169" s="3088">
        <f t="shared" si="44"/>
        <v>0</v>
      </c>
      <c r="R169" s="3089">
        <f t="shared" si="45"/>
        <v>0</v>
      </c>
      <c r="S169" s="3080">
        <f t="shared" si="50"/>
        <v>3</v>
      </c>
      <c r="T169" s="3086">
        <v>36000</v>
      </c>
      <c r="U169" s="3088">
        <f t="shared" si="51"/>
        <v>108000</v>
      </c>
      <c r="V169" s="3080">
        <v>0</v>
      </c>
      <c r="W169" s="3086">
        <v>20000</v>
      </c>
      <c r="X169" s="3088">
        <f t="shared" si="46"/>
        <v>0</v>
      </c>
      <c r="Y169" s="3089">
        <f t="shared" si="47"/>
        <v>108000</v>
      </c>
      <c r="Z169" s="3090">
        <v>80</v>
      </c>
      <c r="AA169" s="3091">
        <v>150</v>
      </c>
      <c r="AB169" s="3087">
        <f t="shared" si="48"/>
        <v>12000</v>
      </c>
      <c r="AC169" s="3092"/>
      <c r="AD169" s="3092"/>
      <c r="AE169" s="3093">
        <f t="shared" si="52"/>
        <v>12000</v>
      </c>
      <c r="AF169" s="3094">
        <f t="shared" si="35"/>
        <v>120000</v>
      </c>
    </row>
    <row r="170" spans="1:32" s="3095" customFormat="1" ht="30" customHeight="1">
      <c r="A170" s="3082">
        <v>152</v>
      </c>
      <c r="B170" s="3083" t="s">
        <v>1438</v>
      </c>
      <c r="C170" s="3083" t="s">
        <v>1196</v>
      </c>
      <c r="D170" s="3083" t="s">
        <v>1437</v>
      </c>
      <c r="E170" s="3084" t="s">
        <v>1188</v>
      </c>
      <c r="F170" s="3084" t="s">
        <v>1189</v>
      </c>
      <c r="G170" s="3080" t="s">
        <v>1240</v>
      </c>
      <c r="H170" s="3084" t="s">
        <v>1362</v>
      </c>
      <c r="I170" s="3085"/>
      <c r="J170" s="3085"/>
      <c r="K170" s="3081">
        <v>3</v>
      </c>
      <c r="L170" s="3080"/>
      <c r="M170" s="3086">
        <v>36000</v>
      </c>
      <c r="N170" s="3087">
        <f t="shared" si="49"/>
        <v>0</v>
      </c>
      <c r="O170" s="3080">
        <v>0</v>
      </c>
      <c r="P170" s="3086">
        <v>20000</v>
      </c>
      <c r="Q170" s="3088">
        <f t="shared" si="44"/>
        <v>0</v>
      </c>
      <c r="R170" s="3089">
        <f t="shared" si="45"/>
        <v>0</v>
      </c>
      <c r="S170" s="3080">
        <f t="shared" si="50"/>
        <v>3</v>
      </c>
      <c r="T170" s="3086">
        <v>36000</v>
      </c>
      <c r="U170" s="3088">
        <f t="shared" si="51"/>
        <v>108000</v>
      </c>
      <c r="V170" s="3080">
        <v>0</v>
      </c>
      <c r="W170" s="3086">
        <v>20000</v>
      </c>
      <c r="X170" s="3088">
        <f t="shared" si="46"/>
        <v>0</v>
      </c>
      <c r="Y170" s="3089">
        <f t="shared" si="47"/>
        <v>108000</v>
      </c>
      <c r="Z170" s="3090">
        <v>80</v>
      </c>
      <c r="AA170" s="3091">
        <v>150</v>
      </c>
      <c r="AB170" s="3087">
        <f t="shared" si="48"/>
        <v>12000</v>
      </c>
      <c r="AC170" s="3092"/>
      <c r="AD170" s="3092"/>
      <c r="AE170" s="3093">
        <f t="shared" si="52"/>
        <v>12000</v>
      </c>
      <c r="AF170" s="3094">
        <f t="shared" si="35"/>
        <v>120000</v>
      </c>
    </row>
    <row r="171" spans="1:32" s="3095" customFormat="1" ht="30" customHeight="1">
      <c r="A171" s="3082">
        <v>153</v>
      </c>
      <c r="B171" s="3083" t="s">
        <v>1439</v>
      </c>
      <c r="C171" s="3083" t="s">
        <v>1196</v>
      </c>
      <c r="D171" s="3083" t="s">
        <v>1440</v>
      </c>
      <c r="E171" s="3084" t="s">
        <v>1188</v>
      </c>
      <c r="F171" s="3084" t="s">
        <v>1189</v>
      </c>
      <c r="G171" s="3080" t="s">
        <v>1240</v>
      </c>
      <c r="H171" s="3084" t="s">
        <v>1362</v>
      </c>
      <c r="I171" s="3085"/>
      <c r="J171" s="3085"/>
      <c r="K171" s="3081">
        <v>3</v>
      </c>
      <c r="L171" s="3080"/>
      <c r="M171" s="3086">
        <v>36000</v>
      </c>
      <c r="N171" s="3087">
        <f t="shared" si="49"/>
        <v>0</v>
      </c>
      <c r="O171" s="3080">
        <v>0</v>
      </c>
      <c r="P171" s="3086">
        <v>20000</v>
      </c>
      <c r="Q171" s="3088">
        <f t="shared" si="44"/>
        <v>0</v>
      </c>
      <c r="R171" s="3089">
        <f t="shared" si="45"/>
        <v>0</v>
      </c>
      <c r="S171" s="3080">
        <f t="shared" si="50"/>
        <v>3</v>
      </c>
      <c r="T171" s="3086">
        <v>36000</v>
      </c>
      <c r="U171" s="3088">
        <f t="shared" si="51"/>
        <v>108000</v>
      </c>
      <c r="V171" s="3080">
        <v>0</v>
      </c>
      <c r="W171" s="3086">
        <v>20000</v>
      </c>
      <c r="X171" s="3088">
        <f t="shared" si="46"/>
        <v>0</v>
      </c>
      <c r="Y171" s="3089">
        <f t="shared" si="47"/>
        <v>108000</v>
      </c>
      <c r="Z171" s="3090">
        <v>34</v>
      </c>
      <c r="AA171" s="3091">
        <v>150</v>
      </c>
      <c r="AB171" s="3087">
        <f t="shared" si="48"/>
        <v>5100</v>
      </c>
      <c r="AC171" s="3092"/>
      <c r="AD171" s="3092"/>
      <c r="AE171" s="3093">
        <f t="shared" si="52"/>
        <v>5100</v>
      </c>
      <c r="AF171" s="3094">
        <f t="shared" si="35"/>
        <v>113100</v>
      </c>
    </row>
    <row r="172" spans="1:32" s="3095" customFormat="1" ht="30" customHeight="1">
      <c r="A172" s="3082">
        <v>154</v>
      </c>
      <c r="B172" s="3083" t="s">
        <v>1441</v>
      </c>
      <c r="C172" s="3083" t="s">
        <v>1186</v>
      </c>
      <c r="D172" s="3083" t="s">
        <v>1442</v>
      </c>
      <c r="E172" s="3084" t="s">
        <v>1188</v>
      </c>
      <c r="F172" s="3084" t="s">
        <v>1189</v>
      </c>
      <c r="G172" s="3080" t="s">
        <v>1240</v>
      </c>
      <c r="H172" s="3084" t="s">
        <v>1362</v>
      </c>
      <c r="I172" s="3085"/>
      <c r="J172" s="3085"/>
      <c r="K172" s="3081">
        <v>3</v>
      </c>
      <c r="L172" s="3080"/>
      <c r="M172" s="3086">
        <v>36000</v>
      </c>
      <c r="N172" s="3087">
        <f>M172*L172</f>
        <v>0</v>
      </c>
      <c r="O172" s="3080">
        <v>0</v>
      </c>
      <c r="P172" s="3086">
        <v>20000</v>
      </c>
      <c r="Q172" s="3088">
        <f t="shared" si="44"/>
        <v>0</v>
      </c>
      <c r="R172" s="3089">
        <f t="shared" si="45"/>
        <v>0</v>
      </c>
      <c r="S172" s="3080">
        <f>+K172</f>
        <v>3</v>
      </c>
      <c r="T172" s="3086">
        <v>36000</v>
      </c>
      <c r="U172" s="3088">
        <f>T172*S172</f>
        <v>108000</v>
      </c>
      <c r="V172" s="3080">
        <v>0</v>
      </c>
      <c r="W172" s="3086">
        <v>20000</v>
      </c>
      <c r="X172" s="3088">
        <f t="shared" si="46"/>
        <v>0</v>
      </c>
      <c r="Y172" s="3089">
        <f t="shared" si="47"/>
        <v>108000</v>
      </c>
      <c r="Z172" s="3090">
        <v>46</v>
      </c>
      <c r="AA172" s="3091">
        <v>150</v>
      </c>
      <c r="AB172" s="3087">
        <f t="shared" si="48"/>
        <v>6900</v>
      </c>
      <c r="AC172" s="3092"/>
      <c r="AD172" s="3092"/>
      <c r="AE172" s="3093">
        <f>AB172</f>
        <v>6900</v>
      </c>
      <c r="AF172" s="3094">
        <f t="shared" si="35"/>
        <v>114900</v>
      </c>
    </row>
    <row r="173" spans="1:32" s="3095" customFormat="1" ht="30" customHeight="1">
      <c r="A173" s="3082">
        <v>155</v>
      </c>
      <c r="B173" s="3083" t="s">
        <v>1443</v>
      </c>
      <c r="C173" s="3083" t="s">
        <v>1186</v>
      </c>
      <c r="D173" s="3083" t="s">
        <v>1444</v>
      </c>
      <c r="E173" s="3084" t="s">
        <v>1188</v>
      </c>
      <c r="F173" s="3084" t="s">
        <v>1189</v>
      </c>
      <c r="G173" s="3080" t="s">
        <v>1240</v>
      </c>
      <c r="H173" s="3084" t="s">
        <v>1362</v>
      </c>
      <c r="I173" s="3085"/>
      <c r="J173" s="3085"/>
      <c r="K173" s="3081">
        <v>3</v>
      </c>
      <c r="L173" s="3080"/>
      <c r="M173" s="3086">
        <v>36000</v>
      </c>
      <c r="N173" s="3087">
        <f t="shared" ref="N173:N183" si="53">M173*L173</f>
        <v>0</v>
      </c>
      <c r="O173" s="3080">
        <v>0</v>
      </c>
      <c r="P173" s="3086">
        <v>20000</v>
      </c>
      <c r="Q173" s="3088">
        <f t="shared" si="44"/>
        <v>0</v>
      </c>
      <c r="R173" s="3089">
        <f t="shared" si="45"/>
        <v>0</v>
      </c>
      <c r="S173" s="3080">
        <f t="shared" ref="S173:S183" si="54">+K173</f>
        <v>3</v>
      </c>
      <c r="T173" s="3086">
        <v>36000</v>
      </c>
      <c r="U173" s="3088">
        <f t="shared" ref="U173:U183" si="55">T173*S173</f>
        <v>108000</v>
      </c>
      <c r="V173" s="3080">
        <v>0</v>
      </c>
      <c r="W173" s="3086">
        <v>20000</v>
      </c>
      <c r="X173" s="3088">
        <f t="shared" si="46"/>
        <v>0</v>
      </c>
      <c r="Y173" s="3089">
        <f t="shared" si="47"/>
        <v>108000</v>
      </c>
      <c r="Z173" s="3090">
        <v>60</v>
      </c>
      <c r="AA173" s="3091">
        <v>150</v>
      </c>
      <c r="AB173" s="3087">
        <f t="shared" si="48"/>
        <v>9000</v>
      </c>
      <c r="AC173" s="3092"/>
      <c r="AD173" s="3092"/>
      <c r="AE173" s="3093">
        <f t="shared" ref="AE173:AE183" si="56">AB173</f>
        <v>9000</v>
      </c>
      <c r="AF173" s="3094">
        <f t="shared" si="35"/>
        <v>117000</v>
      </c>
    </row>
    <row r="174" spans="1:32" s="3095" customFormat="1" ht="30" customHeight="1">
      <c r="A174" s="3082">
        <v>156</v>
      </c>
      <c r="B174" s="3083" t="s">
        <v>1445</v>
      </c>
      <c r="C174" s="3083" t="s">
        <v>1194</v>
      </c>
      <c r="D174" s="3083" t="s">
        <v>1444</v>
      </c>
      <c r="E174" s="3084" t="s">
        <v>1188</v>
      </c>
      <c r="F174" s="3084" t="s">
        <v>1189</v>
      </c>
      <c r="G174" s="3080" t="s">
        <v>1190</v>
      </c>
      <c r="H174" s="3084" t="s">
        <v>1362</v>
      </c>
      <c r="I174" s="3085"/>
      <c r="J174" s="3085"/>
      <c r="K174" s="3081">
        <v>3</v>
      </c>
      <c r="L174" s="3080"/>
      <c r="M174" s="3086">
        <v>15000</v>
      </c>
      <c r="N174" s="3087">
        <f t="shared" si="53"/>
        <v>0</v>
      </c>
      <c r="O174" s="3080">
        <v>0</v>
      </c>
      <c r="P174" s="3086">
        <v>20000</v>
      </c>
      <c r="Q174" s="3088">
        <f t="shared" si="44"/>
        <v>0</v>
      </c>
      <c r="R174" s="3089">
        <f t="shared" si="45"/>
        <v>0</v>
      </c>
      <c r="S174" s="3080">
        <f t="shared" si="54"/>
        <v>3</v>
      </c>
      <c r="T174" s="3086">
        <v>15000</v>
      </c>
      <c r="U174" s="3088">
        <f t="shared" si="55"/>
        <v>45000</v>
      </c>
      <c r="V174" s="3080">
        <v>0</v>
      </c>
      <c r="W174" s="3086">
        <v>20000</v>
      </c>
      <c r="X174" s="3088">
        <f t="shared" si="46"/>
        <v>0</v>
      </c>
      <c r="Y174" s="3089">
        <f t="shared" si="47"/>
        <v>45000</v>
      </c>
      <c r="Z174" s="3090">
        <v>2</v>
      </c>
      <c r="AA174" s="3091">
        <v>0</v>
      </c>
      <c r="AB174" s="3087">
        <f t="shared" si="48"/>
        <v>0</v>
      </c>
      <c r="AC174" s="3092"/>
      <c r="AD174" s="3092"/>
      <c r="AE174" s="3093">
        <f t="shared" si="56"/>
        <v>0</v>
      </c>
      <c r="AF174" s="3094">
        <f t="shared" si="35"/>
        <v>45000</v>
      </c>
    </row>
    <row r="175" spans="1:32" s="3095" customFormat="1" ht="30" customHeight="1">
      <c r="A175" s="3082">
        <v>157</v>
      </c>
      <c r="B175" s="3083" t="s">
        <v>1446</v>
      </c>
      <c r="C175" s="3083" t="s">
        <v>1194</v>
      </c>
      <c r="D175" s="3083" t="s">
        <v>1447</v>
      </c>
      <c r="E175" s="3084" t="s">
        <v>1188</v>
      </c>
      <c r="F175" s="3084" t="s">
        <v>1189</v>
      </c>
      <c r="G175" s="3080" t="s">
        <v>1190</v>
      </c>
      <c r="H175" s="3084" t="s">
        <v>1362</v>
      </c>
      <c r="I175" s="3085"/>
      <c r="J175" s="3085"/>
      <c r="K175" s="3081">
        <v>3</v>
      </c>
      <c r="L175" s="3080"/>
      <c r="M175" s="3086">
        <v>15000</v>
      </c>
      <c r="N175" s="3087">
        <f t="shared" si="53"/>
        <v>0</v>
      </c>
      <c r="O175" s="3080">
        <v>0</v>
      </c>
      <c r="P175" s="3086">
        <v>20000</v>
      </c>
      <c r="Q175" s="3088">
        <f t="shared" si="44"/>
        <v>0</v>
      </c>
      <c r="R175" s="3089">
        <f t="shared" si="45"/>
        <v>0</v>
      </c>
      <c r="S175" s="3080">
        <f t="shared" si="54"/>
        <v>3</v>
      </c>
      <c r="T175" s="3086">
        <v>15000</v>
      </c>
      <c r="U175" s="3088">
        <f t="shared" si="55"/>
        <v>45000</v>
      </c>
      <c r="V175" s="3080">
        <v>0</v>
      </c>
      <c r="W175" s="3086">
        <v>20000</v>
      </c>
      <c r="X175" s="3088">
        <f t="shared" si="46"/>
        <v>0</v>
      </c>
      <c r="Y175" s="3089">
        <f t="shared" si="47"/>
        <v>45000</v>
      </c>
      <c r="Z175" s="3090">
        <v>20</v>
      </c>
      <c r="AA175" s="3091">
        <v>150</v>
      </c>
      <c r="AB175" s="3087">
        <f t="shared" si="48"/>
        <v>3000</v>
      </c>
      <c r="AC175" s="3092"/>
      <c r="AD175" s="3092"/>
      <c r="AE175" s="3093">
        <f t="shared" si="56"/>
        <v>3000</v>
      </c>
      <c r="AF175" s="3094">
        <f t="shared" si="35"/>
        <v>48000</v>
      </c>
    </row>
    <row r="176" spans="1:32" s="3095" customFormat="1" ht="30" customHeight="1">
      <c r="A176" s="3082">
        <v>158</v>
      </c>
      <c r="B176" s="3083" t="s">
        <v>1448</v>
      </c>
      <c r="C176" s="3083" t="s">
        <v>1186</v>
      </c>
      <c r="D176" s="3083" t="s">
        <v>1449</v>
      </c>
      <c r="E176" s="3084" t="s">
        <v>1188</v>
      </c>
      <c r="F176" s="3084" t="s">
        <v>1189</v>
      </c>
      <c r="G176" s="3080" t="s">
        <v>1240</v>
      </c>
      <c r="H176" s="3084" t="s">
        <v>1362</v>
      </c>
      <c r="I176" s="3085"/>
      <c r="J176" s="3085"/>
      <c r="K176" s="3081">
        <v>3</v>
      </c>
      <c r="L176" s="3080"/>
      <c r="M176" s="3086">
        <v>36000</v>
      </c>
      <c r="N176" s="3087">
        <f t="shared" si="53"/>
        <v>0</v>
      </c>
      <c r="O176" s="3080">
        <v>0</v>
      </c>
      <c r="P176" s="3086">
        <v>20000</v>
      </c>
      <c r="Q176" s="3088">
        <f t="shared" si="44"/>
        <v>0</v>
      </c>
      <c r="R176" s="3089">
        <f t="shared" si="45"/>
        <v>0</v>
      </c>
      <c r="S176" s="3080">
        <f t="shared" si="54"/>
        <v>3</v>
      </c>
      <c r="T176" s="3086">
        <v>36000</v>
      </c>
      <c r="U176" s="3088">
        <f t="shared" si="55"/>
        <v>108000</v>
      </c>
      <c r="V176" s="3080">
        <v>0</v>
      </c>
      <c r="W176" s="3086">
        <v>20000</v>
      </c>
      <c r="X176" s="3088">
        <f t="shared" si="46"/>
        <v>0</v>
      </c>
      <c r="Y176" s="3089">
        <f t="shared" si="47"/>
        <v>108000</v>
      </c>
      <c r="Z176" s="3090">
        <v>50</v>
      </c>
      <c r="AA176" s="3091">
        <v>150</v>
      </c>
      <c r="AB176" s="3087">
        <f t="shared" si="48"/>
        <v>7500</v>
      </c>
      <c r="AC176" s="3092"/>
      <c r="AD176" s="3092"/>
      <c r="AE176" s="3093">
        <f t="shared" si="56"/>
        <v>7500</v>
      </c>
      <c r="AF176" s="3094">
        <f t="shared" si="35"/>
        <v>115500</v>
      </c>
    </row>
    <row r="177" spans="1:32" s="3095" customFormat="1" ht="30" customHeight="1">
      <c r="A177" s="3082">
        <v>159</v>
      </c>
      <c r="B177" s="3083" t="s">
        <v>1450</v>
      </c>
      <c r="C177" s="3083" t="s">
        <v>1194</v>
      </c>
      <c r="D177" s="3083" t="s">
        <v>1449</v>
      </c>
      <c r="E177" s="3084" t="s">
        <v>1188</v>
      </c>
      <c r="F177" s="3084" t="s">
        <v>1189</v>
      </c>
      <c r="G177" s="3080" t="s">
        <v>1240</v>
      </c>
      <c r="H177" s="3084" t="s">
        <v>1362</v>
      </c>
      <c r="I177" s="3085"/>
      <c r="J177" s="3085"/>
      <c r="K177" s="3081">
        <v>3</v>
      </c>
      <c r="L177" s="3080"/>
      <c r="M177" s="3086">
        <v>36000</v>
      </c>
      <c r="N177" s="3087">
        <f t="shared" si="53"/>
        <v>0</v>
      </c>
      <c r="O177" s="3080">
        <v>0</v>
      </c>
      <c r="P177" s="3086">
        <v>20000</v>
      </c>
      <c r="Q177" s="3088">
        <f t="shared" si="44"/>
        <v>0</v>
      </c>
      <c r="R177" s="3089">
        <f t="shared" si="45"/>
        <v>0</v>
      </c>
      <c r="S177" s="3080">
        <f t="shared" si="54"/>
        <v>3</v>
      </c>
      <c r="T177" s="3086">
        <v>36000</v>
      </c>
      <c r="U177" s="3088">
        <f t="shared" si="55"/>
        <v>108000</v>
      </c>
      <c r="V177" s="3080">
        <v>0</v>
      </c>
      <c r="W177" s="3086">
        <v>20000</v>
      </c>
      <c r="X177" s="3088">
        <f t="shared" si="46"/>
        <v>0</v>
      </c>
      <c r="Y177" s="3089">
        <f t="shared" si="47"/>
        <v>108000</v>
      </c>
      <c r="Z177" s="3090">
        <v>50</v>
      </c>
      <c r="AA177" s="3091">
        <v>150</v>
      </c>
      <c r="AB177" s="3087">
        <f t="shared" si="48"/>
        <v>7500</v>
      </c>
      <c r="AC177" s="3092"/>
      <c r="AD177" s="3092"/>
      <c r="AE177" s="3093">
        <f t="shared" si="56"/>
        <v>7500</v>
      </c>
      <c r="AF177" s="3094">
        <f t="shared" si="35"/>
        <v>115500</v>
      </c>
    </row>
    <row r="178" spans="1:32" s="3095" customFormat="1" ht="30" customHeight="1">
      <c r="A178" s="3082">
        <v>160</v>
      </c>
      <c r="B178" s="3083" t="s">
        <v>1451</v>
      </c>
      <c r="C178" s="3083" t="s">
        <v>1186</v>
      </c>
      <c r="D178" s="3083" t="s">
        <v>1452</v>
      </c>
      <c r="E178" s="3084" t="s">
        <v>1188</v>
      </c>
      <c r="F178" s="3084" t="s">
        <v>1189</v>
      </c>
      <c r="G178" s="3080" t="s">
        <v>1240</v>
      </c>
      <c r="H178" s="3084" t="s">
        <v>1362</v>
      </c>
      <c r="I178" s="3085"/>
      <c r="J178" s="3085"/>
      <c r="K178" s="3081">
        <v>3</v>
      </c>
      <c r="L178" s="3080"/>
      <c r="M178" s="3086">
        <v>36000</v>
      </c>
      <c r="N178" s="3087">
        <f t="shared" si="53"/>
        <v>0</v>
      </c>
      <c r="O178" s="3080">
        <v>0</v>
      </c>
      <c r="P178" s="3086">
        <v>20000</v>
      </c>
      <c r="Q178" s="3088">
        <f t="shared" si="44"/>
        <v>0</v>
      </c>
      <c r="R178" s="3089">
        <f t="shared" si="45"/>
        <v>0</v>
      </c>
      <c r="S178" s="3080">
        <f t="shared" si="54"/>
        <v>3</v>
      </c>
      <c r="T178" s="3086">
        <v>36000</v>
      </c>
      <c r="U178" s="3088">
        <f t="shared" si="55"/>
        <v>108000</v>
      </c>
      <c r="V178" s="3080">
        <v>0</v>
      </c>
      <c r="W178" s="3086">
        <v>20000</v>
      </c>
      <c r="X178" s="3088">
        <f t="shared" si="46"/>
        <v>0</v>
      </c>
      <c r="Y178" s="3089">
        <f t="shared" si="47"/>
        <v>108000</v>
      </c>
      <c r="Z178" s="3090">
        <v>42</v>
      </c>
      <c r="AA178" s="3091">
        <v>150</v>
      </c>
      <c r="AB178" s="3087">
        <f t="shared" si="48"/>
        <v>6300</v>
      </c>
      <c r="AC178" s="3092"/>
      <c r="AD178" s="3092"/>
      <c r="AE178" s="3093">
        <f t="shared" si="56"/>
        <v>6300</v>
      </c>
      <c r="AF178" s="3094">
        <f t="shared" si="35"/>
        <v>114300</v>
      </c>
    </row>
    <row r="179" spans="1:32" s="3095" customFormat="1" ht="30" customHeight="1">
      <c r="A179" s="3082">
        <v>161</v>
      </c>
      <c r="B179" s="3083" t="s">
        <v>1453</v>
      </c>
      <c r="C179" s="3083" t="s">
        <v>1196</v>
      </c>
      <c r="D179" s="3083" t="s">
        <v>1454</v>
      </c>
      <c r="E179" s="3084" t="s">
        <v>1188</v>
      </c>
      <c r="F179" s="3084" t="s">
        <v>1189</v>
      </c>
      <c r="G179" s="3080" t="s">
        <v>1240</v>
      </c>
      <c r="H179" s="3084" t="s">
        <v>1362</v>
      </c>
      <c r="I179" s="3085"/>
      <c r="J179" s="3085"/>
      <c r="K179" s="3081">
        <v>3</v>
      </c>
      <c r="L179" s="3080"/>
      <c r="M179" s="3086">
        <v>36000</v>
      </c>
      <c r="N179" s="3087">
        <f t="shared" si="53"/>
        <v>0</v>
      </c>
      <c r="O179" s="3080">
        <v>0</v>
      </c>
      <c r="P179" s="3086">
        <v>20000</v>
      </c>
      <c r="Q179" s="3088">
        <f t="shared" si="44"/>
        <v>0</v>
      </c>
      <c r="R179" s="3089">
        <f t="shared" si="45"/>
        <v>0</v>
      </c>
      <c r="S179" s="3080">
        <f t="shared" si="54"/>
        <v>3</v>
      </c>
      <c r="T179" s="3086">
        <v>36000</v>
      </c>
      <c r="U179" s="3088">
        <f t="shared" si="55"/>
        <v>108000</v>
      </c>
      <c r="V179" s="3080">
        <v>0</v>
      </c>
      <c r="W179" s="3086">
        <v>20000</v>
      </c>
      <c r="X179" s="3088">
        <f t="shared" si="46"/>
        <v>0</v>
      </c>
      <c r="Y179" s="3089">
        <f t="shared" si="47"/>
        <v>108000</v>
      </c>
      <c r="Z179" s="3090">
        <v>108</v>
      </c>
      <c r="AA179" s="3091">
        <v>150</v>
      </c>
      <c r="AB179" s="3087">
        <f t="shared" si="48"/>
        <v>16200</v>
      </c>
      <c r="AC179" s="3092"/>
      <c r="AD179" s="3092"/>
      <c r="AE179" s="3093">
        <f t="shared" si="56"/>
        <v>16200</v>
      </c>
      <c r="AF179" s="3094">
        <f t="shared" si="35"/>
        <v>124200</v>
      </c>
    </row>
    <row r="180" spans="1:32" s="3095" customFormat="1" ht="30" customHeight="1">
      <c r="A180" s="3082">
        <v>162</v>
      </c>
      <c r="B180" s="3083" t="s">
        <v>1455</v>
      </c>
      <c r="C180" s="3083" t="s">
        <v>1333</v>
      </c>
      <c r="D180" s="3083" t="s">
        <v>1456</v>
      </c>
      <c r="E180" s="3084" t="s">
        <v>1188</v>
      </c>
      <c r="F180" s="3084" t="s">
        <v>1189</v>
      </c>
      <c r="G180" s="3080" t="s">
        <v>1240</v>
      </c>
      <c r="H180" s="3084" t="s">
        <v>1362</v>
      </c>
      <c r="I180" s="3085"/>
      <c r="J180" s="3085"/>
      <c r="K180" s="3081">
        <v>3</v>
      </c>
      <c r="L180" s="3080"/>
      <c r="M180" s="3086">
        <v>36000</v>
      </c>
      <c r="N180" s="3087">
        <f t="shared" si="53"/>
        <v>0</v>
      </c>
      <c r="O180" s="3080">
        <v>0</v>
      </c>
      <c r="P180" s="3086">
        <v>20000</v>
      </c>
      <c r="Q180" s="3088">
        <f t="shared" si="44"/>
        <v>0</v>
      </c>
      <c r="R180" s="3089">
        <f t="shared" si="45"/>
        <v>0</v>
      </c>
      <c r="S180" s="3080">
        <f t="shared" si="54"/>
        <v>3</v>
      </c>
      <c r="T180" s="3086">
        <v>36000</v>
      </c>
      <c r="U180" s="3088">
        <f t="shared" si="55"/>
        <v>108000</v>
      </c>
      <c r="V180" s="3080">
        <v>0</v>
      </c>
      <c r="W180" s="3086">
        <v>20000</v>
      </c>
      <c r="X180" s="3088">
        <f t="shared" si="46"/>
        <v>0</v>
      </c>
      <c r="Y180" s="3089">
        <f t="shared" si="47"/>
        <v>108000</v>
      </c>
      <c r="Z180" s="3090">
        <v>114</v>
      </c>
      <c r="AA180" s="3091">
        <v>150</v>
      </c>
      <c r="AB180" s="3087">
        <f t="shared" si="48"/>
        <v>17100</v>
      </c>
      <c r="AC180" s="3092"/>
      <c r="AD180" s="3092"/>
      <c r="AE180" s="3093">
        <f t="shared" si="56"/>
        <v>17100</v>
      </c>
      <c r="AF180" s="3094">
        <f t="shared" si="35"/>
        <v>125100</v>
      </c>
    </row>
    <row r="181" spans="1:32" s="3095" customFormat="1" ht="30" customHeight="1">
      <c r="A181" s="3082">
        <v>163</v>
      </c>
      <c r="B181" s="3083" t="s">
        <v>1457</v>
      </c>
      <c r="C181" s="3083" t="s">
        <v>1458</v>
      </c>
      <c r="D181" s="3083" t="s">
        <v>1428</v>
      </c>
      <c r="E181" s="3084" t="s">
        <v>1188</v>
      </c>
      <c r="F181" s="3084" t="s">
        <v>1189</v>
      </c>
      <c r="G181" s="3080" t="s">
        <v>1240</v>
      </c>
      <c r="H181" s="3084" t="s">
        <v>1362</v>
      </c>
      <c r="I181" s="3085"/>
      <c r="J181" s="3085"/>
      <c r="K181" s="3081">
        <v>3</v>
      </c>
      <c r="L181" s="3080"/>
      <c r="M181" s="3086">
        <v>36000</v>
      </c>
      <c r="N181" s="3087">
        <f t="shared" si="53"/>
        <v>0</v>
      </c>
      <c r="O181" s="3080">
        <v>0</v>
      </c>
      <c r="P181" s="3086">
        <v>20000</v>
      </c>
      <c r="Q181" s="3088">
        <f t="shared" si="44"/>
        <v>0</v>
      </c>
      <c r="R181" s="3089">
        <f t="shared" si="45"/>
        <v>0</v>
      </c>
      <c r="S181" s="3080">
        <f t="shared" si="54"/>
        <v>3</v>
      </c>
      <c r="T181" s="3086">
        <v>36000</v>
      </c>
      <c r="U181" s="3088">
        <f t="shared" si="55"/>
        <v>108000</v>
      </c>
      <c r="V181" s="3080">
        <v>0</v>
      </c>
      <c r="W181" s="3086">
        <v>20000</v>
      </c>
      <c r="X181" s="3088">
        <f t="shared" si="46"/>
        <v>0</v>
      </c>
      <c r="Y181" s="3089">
        <f t="shared" si="47"/>
        <v>108000</v>
      </c>
      <c r="Z181" s="3090">
        <v>118</v>
      </c>
      <c r="AA181" s="3091">
        <v>150</v>
      </c>
      <c r="AB181" s="3087">
        <f t="shared" si="48"/>
        <v>17700</v>
      </c>
      <c r="AC181" s="3092"/>
      <c r="AD181" s="3092"/>
      <c r="AE181" s="3093">
        <f t="shared" si="56"/>
        <v>17700</v>
      </c>
      <c r="AF181" s="3094">
        <f t="shared" si="35"/>
        <v>125700</v>
      </c>
    </row>
    <row r="182" spans="1:32" s="3095" customFormat="1" ht="30" customHeight="1">
      <c r="A182" s="3082">
        <v>164</v>
      </c>
      <c r="B182" s="3083" t="s">
        <v>1459</v>
      </c>
      <c r="C182" s="3083" t="s">
        <v>1186</v>
      </c>
      <c r="D182" s="3083" t="s">
        <v>1428</v>
      </c>
      <c r="E182" s="3084" t="s">
        <v>1188</v>
      </c>
      <c r="F182" s="3084" t="s">
        <v>1189</v>
      </c>
      <c r="G182" s="3080" t="s">
        <v>1240</v>
      </c>
      <c r="H182" s="3084" t="s">
        <v>1362</v>
      </c>
      <c r="I182" s="3085"/>
      <c r="J182" s="3085"/>
      <c r="K182" s="3081">
        <v>3</v>
      </c>
      <c r="L182" s="3080"/>
      <c r="M182" s="3086">
        <v>36000</v>
      </c>
      <c r="N182" s="3087">
        <f t="shared" si="53"/>
        <v>0</v>
      </c>
      <c r="O182" s="3080">
        <v>0</v>
      </c>
      <c r="P182" s="3086">
        <v>20000</v>
      </c>
      <c r="Q182" s="3088">
        <f t="shared" si="44"/>
        <v>0</v>
      </c>
      <c r="R182" s="3089">
        <f t="shared" si="45"/>
        <v>0</v>
      </c>
      <c r="S182" s="3080">
        <f t="shared" si="54"/>
        <v>3</v>
      </c>
      <c r="T182" s="3086">
        <v>36000</v>
      </c>
      <c r="U182" s="3088">
        <f t="shared" si="55"/>
        <v>108000</v>
      </c>
      <c r="V182" s="3080">
        <v>0</v>
      </c>
      <c r="W182" s="3086">
        <v>20000</v>
      </c>
      <c r="X182" s="3088">
        <f t="shared" si="46"/>
        <v>0</v>
      </c>
      <c r="Y182" s="3089">
        <f t="shared" si="47"/>
        <v>108000</v>
      </c>
      <c r="Z182" s="3090">
        <v>118</v>
      </c>
      <c r="AA182" s="3091">
        <v>150</v>
      </c>
      <c r="AB182" s="3087">
        <f t="shared" si="48"/>
        <v>17700</v>
      </c>
      <c r="AC182" s="3092"/>
      <c r="AD182" s="3092"/>
      <c r="AE182" s="3093">
        <f t="shared" si="56"/>
        <v>17700</v>
      </c>
      <c r="AF182" s="3094">
        <f t="shared" si="35"/>
        <v>125700</v>
      </c>
    </row>
    <row r="183" spans="1:32" s="3095" customFormat="1" ht="30" customHeight="1">
      <c r="A183" s="3082">
        <v>165</v>
      </c>
      <c r="B183" s="3083" t="s">
        <v>1460</v>
      </c>
      <c r="C183" s="3083" t="s">
        <v>1382</v>
      </c>
      <c r="D183" s="3083" t="s">
        <v>1461</v>
      </c>
      <c r="E183" s="3084" t="s">
        <v>1188</v>
      </c>
      <c r="F183" s="3084" t="s">
        <v>1189</v>
      </c>
      <c r="G183" s="3080" t="s">
        <v>1240</v>
      </c>
      <c r="H183" s="3084" t="s">
        <v>1362</v>
      </c>
      <c r="I183" s="3085"/>
      <c r="J183" s="3085"/>
      <c r="K183" s="3081">
        <v>3</v>
      </c>
      <c r="L183" s="3080"/>
      <c r="M183" s="3086">
        <v>36000</v>
      </c>
      <c r="N183" s="3087">
        <f t="shared" si="53"/>
        <v>0</v>
      </c>
      <c r="O183" s="3080">
        <v>0</v>
      </c>
      <c r="P183" s="3086">
        <v>20000</v>
      </c>
      <c r="Q183" s="3088">
        <f t="shared" si="44"/>
        <v>0</v>
      </c>
      <c r="R183" s="3089">
        <f t="shared" si="45"/>
        <v>0</v>
      </c>
      <c r="S183" s="3080">
        <f t="shared" si="54"/>
        <v>3</v>
      </c>
      <c r="T183" s="3086">
        <v>36000</v>
      </c>
      <c r="U183" s="3088">
        <f t="shared" si="55"/>
        <v>108000</v>
      </c>
      <c r="V183" s="3080">
        <v>0</v>
      </c>
      <c r="W183" s="3086">
        <v>20000</v>
      </c>
      <c r="X183" s="3088">
        <f t="shared" si="46"/>
        <v>0</v>
      </c>
      <c r="Y183" s="3089">
        <f t="shared" si="47"/>
        <v>108000</v>
      </c>
      <c r="Z183" s="3090">
        <v>102</v>
      </c>
      <c r="AA183" s="3091">
        <v>150</v>
      </c>
      <c r="AB183" s="3087">
        <f t="shared" si="48"/>
        <v>15300</v>
      </c>
      <c r="AC183" s="3092"/>
      <c r="AD183" s="3092"/>
      <c r="AE183" s="3093">
        <f t="shared" si="56"/>
        <v>15300</v>
      </c>
      <c r="AF183" s="3094">
        <f t="shared" si="35"/>
        <v>123300</v>
      </c>
    </row>
    <row r="184" spans="1:32" s="3095" customFormat="1" ht="30" customHeight="1">
      <c r="A184" s="3082">
        <v>166</v>
      </c>
      <c r="B184" s="3083" t="s">
        <v>1462</v>
      </c>
      <c r="C184" s="3083" t="s">
        <v>1385</v>
      </c>
      <c r="D184" s="3083" t="s">
        <v>1463</v>
      </c>
      <c r="E184" s="3084" t="s">
        <v>1188</v>
      </c>
      <c r="F184" s="3084" t="s">
        <v>1189</v>
      </c>
      <c r="G184" s="3080" t="s">
        <v>1240</v>
      </c>
      <c r="H184" s="3084" t="s">
        <v>1362</v>
      </c>
      <c r="I184" s="3085"/>
      <c r="J184" s="3085"/>
      <c r="K184" s="3081">
        <v>3</v>
      </c>
      <c r="L184" s="3080"/>
      <c r="M184" s="3086">
        <v>36000</v>
      </c>
      <c r="N184" s="3087">
        <f>M184*L184</f>
        <v>0</v>
      </c>
      <c r="O184" s="3080">
        <v>0</v>
      </c>
      <c r="P184" s="3086">
        <v>20000</v>
      </c>
      <c r="Q184" s="3088">
        <f t="shared" si="44"/>
        <v>0</v>
      </c>
      <c r="R184" s="3089">
        <f t="shared" si="45"/>
        <v>0</v>
      </c>
      <c r="S184" s="3080">
        <f>+K184</f>
        <v>3</v>
      </c>
      <c r="T184" s="3086">
        <v>36000</v>
      </c>
      <c r="U184" s="3088">
        <f>T184*S184</f>
        <v>108000</v>
      </c>
      <c r="V184" s="3080">
        <v>0</v>
      </c>
      <c r="W184" s="3086">
        <v>20000</v>
      </c>
      <c r="X184" s="3088">
        <f t="shared" si="46"/>
        <v>0</v>
      </c>
      <c r="Y184" s="3089">
        <f t="shared" si="47"/>
        <v>108000</v>
      </c>
      <c r="Z184" s="3090">
        <v>106</v>
      </c>
      <c r="AA184" s="3091">
        <v>150</v>
      </c>
      <c r="AB184" s="3087">
        <f t="shared" si="48"/>
        <v>15900</v>
      </c>
      <c r="AC184" s="3092"/>
      <c r="AD184" s="3092"/>
      <c r="AE184" s="3093">
        <f>AB184</f>
        <v>15900</v>
      </c>
      <c r="AF184" s="3094">
        <f t="shared" si="35"/>
        <v>123900</v>
      </c>
    </row>
    <row r="185" spans="1:32" s="3095" customFormat="1" ht="30" customHeight="1">
      <c r="A185" s="3082">
        <v>167</v>
      </c>
      <c r="B185" s="3083" t="s">
        <v>1464</v>
      </c>
      <c r="C185" s="3083" t="s">
        <v>1382</v>
      </c>
      <c r="D185" s="3083" t="s">
        <v>1465</v>
      </c>
      <c r="E185" s="3084" t="s">
        <v>1188</v>
      </c>
      <c r="F185" s="3084" t="s">
        <v>1189</v>
      </c>
      <c r="G185" s="3080" t="s">
        <v>1240</v>
      </c>
      <c r="H185" s="3084" t="s">
        <v>1362</v>
      </c>
      <c r="I185" s="3085"/>
      <c r="J185" s="3085"/>
      <c r="K185" s="3081">
        <v>3</v>
      </c>
      <c r="L185" s="3080"/>
      <c r="M185" s="3086">
        <v>36000</v>
      </c>
      <c r="N185" s="3087">
        <f t="shared" ref="N185:N195" si="57">M185*L185</f>
        <v>0</v>
      </c>
      <c r="O185" s="3080">
        <v>0</v>
      </c>
      <c r="P185" s="3086">
        <v>20000</v>
      </c>
      <c r="Q185" s="3088">
        <f t="shared" si="44"/>
        <v>0</v>
      </c>
      <c r="R185" s="3089">
        <f t="shared" si="45"/>
        <v>0</v>
      </c>
      <c r="S185" s="3080">
        <f t="shared" ref="S185:S195" si="58">+K185</f>
        <v>3</v>
      </c>
      <c r="T185" s="3086">
        <v>36000</v>
      </c>
      <c r="U185" s="3088">
        <f t="shared" ref="U185:U195" si="59">T185*S185</f>
        <v>108000</v>
      </c>
      <c r="V185" s="3080">
        <v>0</v>
      </c>
      <c r="W185" s="3086">
        <v>20000</v>
      </c>
      <c r="X185" s="3088">
        <f t="shared" si="46"/>
        <v>0</v>
      </c>
      <c r="Y185" s="3089">
        <f t="shared" si="47"/>
        <v>108000</v>
      </c>
      <c r="Z185" s="3090">
        <v>90</v>
      </c>
      <c r="AA185" s="3091">
        <v>150</v>
      </c>
      <c r="AB185" s="3087">
        <f t="shared" si="48"/>
        <v>13500</v>
      </c>
      <c r="AC185" s="3092"/>
      <c r="AD185" s="3092"/>
      <c r="AE185" s="3093">
        <f t="shared" ref="AE185:AE195" si="60">AB185</f>
        <v>13500</v>
      </c>
      <c r="AF185" s="3094">
        <f t="shared" si="35"/>
        <v>121500</v>
      </c>
    </row>
    <row r="186" spans="1:32" s="3095" customFormat="1" ht="30" customHeight="1">
      <c r="A186" s="3082">
        <v>168</v>
      </c>
      <c r="B186" s="3083" t="s">
        <v>1466</v>
      </c>
      <c r="C186" s="3083" t="s">
        <v>1382</v>
      </c>
      <c r="D186" s="3083" t="s">
        <v>1467</v>
      </c>
      <c r="E186" s="3084" t="s">
        <v>1188</v>
      </c>
      <c r="F186" s="3084" t="s">
        <v>1189</v>
      </c>
      <c r="G186" s="3080" t="s">
        <v>1240</v>
      </c>
      <c r="H186" s="3084" t="s">
        <v>1380</v>
      </c>
      <c r="I186" s="3085"/>
      <c r="J186" s="3085"/>
      <c r="K186" s="3081">
        <v>3</v>
      </c>
      <c r="L186" s="3080"/>
      <c r="M186" s="3086">
        <v>36000</v>
      </c>
      <c r="N186" s="3087">
        <f t="shared" si="57"/>
        <v>0</v>
      </c>
      <c r="O186" s="3080">
        <v>0</v>
      </c>
      <c r="P186" s="3086">
        <v>20000</v>
      </c>
      <c r="Q186" s="3088">
        <f t="shared" si="44"/>
        <v>0</v>
      </c>
      <c r="R186" s="3089">
        <f t="shared" si="45"/>
        <v>0</v>
      </c>
      <c r="S186" s="3080">
        <f t="shared" si="58"/>
        <v>3</v>
      </c>
      <c r="T186" s="3086">
        <v>36000</v>
      </c>
      <c r="U186" s="3088">
        <f t="shared" si="59"/>
        <v>108000</v>
      </c>
      <c r="V186" s="3080">
        <v>0</v>
      </c>
      <c r="W186" s="3086">
        <v>20000</v>
      </c>
      <c r="X186" s="3088">
        <f t="shared" si="46"/>
        <v>0</v>
      </c>
      <c r="Y186" s="3089">
        <f t="shared" si="47"/>
        <v>108000</v>
      </c>
      <c r="Z186" s="3090">
        <v>114</v>
      </c>
      <c r="AA186" s="3091">
        <v>150</v>
      </c>
      <c r="AB186" s="3087">
        <f t="shared" si="48"/>
        <v>17100</v>
      </c>
      <c r="AC186" s="3092"/>
      <c r="AD186" s="3092"/>
      <c r="AE186" s="3093">
        <f t="shared" si="60"/>
        <v>17100</v>
      </c>
      <c r="AF186" s="3094">
        <f t="shared" si="35"/>
        <v>125100</v>
      </c>
    </row>
    <row r="187" spans="1:32" s="3095" customFormat="1" ht="30" customHeight="1">
      <c r="A187" s="3082">
        <v>169</v>
      </c>
      <c r="B187" s="3083" t="s">
        <v>1468</v>
      </c>
      <c r="C187" s="3083" t="s">
        <v>1382</v>
      </c>
      <c r="D187" s="3083" t="s">
        <v>1469</v>
      </c>
      <c r="E187" s="3084" t="s">
        <v>1188</v>
      </c>
      <c r="F187" s="3084" t="s">
        <v>1189</v>
      </c>
      <c r="G187" s="3080" t="s">
        <v>1240</v>
      </c>
      <c r="H187" s="3084" t="s">
        <v>1380</v>
      </c>
      <c r="I187" s="3085"/>
      <c r="J187" s="3085"/>
      <c r="K187" s="3081">
        <v>3</v>
      </c>
      <c r="L187" s="3080"/>
      <c r="M187" s="3086">
        <v>36000</v>
      </c>
      <c r="N187" s="3087">
        <f t="shared" si="57"/>
        <v>0</v>
      </c>
      <c r="O187" s="3080">
        <v>0</v>
      </c>
      <c r="P187" s="3086">
        <v>20000</v>
      </c>
      <c r="Q187" s="3088">
        <f t="shared" si="44"/>
        <v>0</v>
      </c>
      <c r="R187" s="3089">
        <f t="shared" si="45"/>
        <v>0</v>
      </c>
      <c r="S187" s="3080">
        <f t="shared" si="58"/>
        <v>3</v>
      </c>
      <c r="T187" s="3086">
        <v>36000</v>
      </c>
      <c r="U187" s="3088">
        <f t="shared" si="59"/>
        <v>108000</v>
      </c>
      <c r="V187" s="3080">
        <v>0</v>
      </c>
      <c r="W187" s="3086">
        <v>20000</v>
      </c>
      <c r="X187" s="3088">
        <f t="shared" si="46"/>
        <v>0</v>
      </c>
      <c r="Y187" s="3089">
        <f t="shared" si="47"/>
        <v>108000</v>
      </c>
      <c r="Z187" s="3090">
        <v>140</v>
      </c>
      <c r="AA187" s="3091">
        <v>150</v>
      </c>
      <c r="AB187" s="3087">
        <f t="shared" si="48"/>
        <v>21000</v>
      </c>
      <c r="AC187" s="3092"/>
      <c r="AD187" s="3092"/>
      <c r="AE187" s="3093">
        <f t="shared" si="60"/>
        <v>21000</v>
      </c>
      <c r="AF187" s="3094">
        <f t="shared" si="35"/>
        <v>129000</v>
      </c>
    </row>
    <row r="188" spans="1:32" s="3095" customFormat="1" ht="30" customHeight="1">
      <c r="A188" s="3082">
        <v>170</v>
      </c>
      <c r="B188" s="3083" t="s">
        <v>1470</v>
      </c>
      <c r="C188" s="3083" t="s">
        <v>1333</v>
      </c>
      <c r="D188" s="3083" t="s">
        <v>1471</v>
      </c>
      <c r="E188" s="3084" t="s">
        <v>1188</v>
      </c>
      <c r="F188" s="3084" t="s">
        <v>1189</v>
      </c>
      <c r="G188" s="3080" t="s">
        <v>1240</v>
      </c>
      <c r="H188" s="3084" t="s">
        <v>1380</v>
      </c>
      <c r="I188" s="3085"/>
      <c r="J188" s="3085"/>
      <c r="K188" s="3081">
        <v>3</v>
      </c>
      <c r="L188" s="3080"/>
      <c r="M188" s="3086">
        <v>36000</v>
      </c>
      <c r="N188" s="3087">
        <f t="shared" si="57"/>
        <v>0</v>
      </c>
      <c r="O188" s="3080">
        <v>0</v>
      </c>
      <c r="P188" s="3086">
        <v>20000</v>
      </c>
      <c r="Q188" s="3088">
        <f t="shared" si="44"/>
        <v>0</v>
      </c>
      <c r="R188" s="3089">
        <f t="shared" si="45"/>
        <v>0</v>
      </c>
      <c r="S188" s="3080">
        <f t="shared" si="58"/>
        <v>3</v>
      </c>
      <c r="T188" s="3086">
        <v>36000</v>
      </c>
      <c r="U188" s="3088">
        <f t="shared" si="59"/>
        <v>108000</v>
      </c>
      <c r="V188" s="3080">
        <v>0</v>
      </c>
      <c r="W188" s="3086">
        <v>20000</v>
      </c>
      <c r="X188" s="3088">
        <f t="shared" si="46"/>
        <v>0</v>
      </c>
      <c r="Y188" s="3089">
        <f t="shared" si="47"/>
        <v>108000</v>
      </c>
      <c r="Z188" s="3090">
        <v>80</v>
      </c>
      <c r="AA188" s="3091">
        <v>150</v>
      </c>
      <c r="AB188" s="3087">
        <f t="shared" si="48"/>
        <v>12000</v>
      </c>
      <c r="AC188" s="3092"/>
      <c r="AD188" s="3092"/>
      <c r="AE188" s="3093">
        <f t="shared" si="60"/>
        <v>12000</v>
      </c>
      <c r="AF188" s="3094">
        <f t="shared" si="35"/>
        <v>120000</v>
      </c>
    </row>
    <row r="189" spans="1:32" s="3095" customFormat="1" ht="30" customHeight="1">
      <c r="A189" s="3082">
        <v>171</v>
      </c>
      <c r="B189" s="3083" t="s">
        <v>1472</v>
      </c>
      <c r="C189" s="3083" t="s">
        <v>1186</v>
      </c>
      <c r="D189" s="3083" t="s">
        <v>1473</v>
      </c>
      <c r="E189" s="3084" t="s">
        <v>1188</v>
      </c>
      <c r="F189" s="3084" t="s">
        <v>1189</v>
      </c>
      <c r="G189" s="3080" t="s">
        <v>1240</v>
      </c>
      <c r="H189" s="3084" t="s">
        <v>1395</v>
      </c>
      <c r="I189" s="3085"/>
      <c r="J189" s="3085"/>
      <c r="K189" s="3081">
        <v>3</v>
      </c>
      <c r="L189" s="3080"/>
      <c r="M189" s="3086">
        <v>36000</v>
      </c>
      <c r="N189" s="3087">
        <f t="shared" si="57"/>
        <v>0</v>
      </c>
      <c r="O189" s="3080">
        <v>0</v>
      </c>
      <c r="P189" s="3086">
        <v>20000</v>
      </c>
      <c r="Q189" s="3088">
        <f t="shared" si="44"/>
        <v>0</v>
      </c>
      <c r="R189" s="3089">
        <f t="shared" si="45"/>
        <v>0</v>
      </c>
      <c r="S189" s="3080">
        <f t="shared" si="58"/>
        <v>3</v>
      </c>
      <c r="T189" s="3086">
        <v>36000</v>
      </c>
      <c r="U189" s="3088">
        <f t="shared" si="59"/>
        <v>108000</v>
      </c>
      <c r="V189" s="3080">
        <v>0</v>
      </c>
      <c r="W189" s="3086">
        <v>20000</v>
      </c>
      <c r="X189" s="3088">
        <f t="shared" si="46"/>
        <v>0</v>
      </c>
      <c r="Y189" s="3089">
        <f t="shared" si="47"/>
        <v>108000</v>
      </c>
      <c r="Z189" s="3090">
        <v>36</v>
      </c>
      <c r="AA189" s="3091">
        <v>150</v>
      </c>
      <c r="AB189" s="3087">
        <f t="shared" si="48"/>
        <v>5400</v>
      </c>
      <c r="AC189" s="3092"/>
      <c r="AD189" s="3092"/>
      <c r="AE189" s="3093">
        <f t="shared" si="60"/>
        <v>5400</v>
      </c>
      <c r="AF189" s="3094">
        <f t="shared" si="35"/>
        <v>113400</v>
      </c>
    </row>
    <row r="190" spans="1:32" s="3095" customFormat="1" ht="30" customHeight="1">
      <c r="A190" s="3082">
        <v>172</v>
      </c>
      <c r="B190" s="3083" t="s">
        <v>1474</v>
      </c>
      <c r="C190" s="3083" t="s">
        <v>1385</v>
      </c>
      <c r="D190" s="3083" t="s">
        <v>1475</v>
      </c>
      <c r="E190" s="3084" t="s">
        <v>1188</v>
      </c>
      <c r="F190" s="3084" t="s">
        <v>1189</v>
      </c>
      <c r="G190" s="3080" t="s">
        <v>1190</v>
      </c>
      <c r="H190" s="3084" t="s">
        <v>1395</v>
      </c>
      <c r="I190" s="3085"/>
      <c r="J190" s="3085"/>
      <c r="K190" s="3081">
        <v>3</v>
      </c>
      <c r="L190" s="3080"/>
      <c r="M190" s="3086">
        <v>15000</v>
      </c>
      <c r="N190" s="3087">
        <f t="shared" si="57"/>
        <v>0</v>
      </c>
      <c r="O190" s="3080">
        <v>0</v>
      </c>
      <c r="P190" s="3086">
        <v>20000</v>
      </c>
      <c r="Q190" s="3088">
        <f t="shared" si="44"/>
        <v>0</v>
      </c>
      <c r="R190" s="3089">
        <f t="shared" si="45"/>
        <v>0</v>
      </c>
      <c r="S190" s="3080">
        <f t="shared" si="58"/>
        <v>3</v>
      </c>
      <c r="T190" s="3086">
        <v>15000</v>
      </c>
      <c r="U190" s="3088">
        <f t="shared" si="59"/>
        <v>45000</v>
      </c>
      <c r="V190" s="3080">
        <v>0</v>
      </c>
      <c r="W190" s="3086">
        <v>20000</v>
      </c>
      <c r="X190" s="3088">
        <f t="shared" si="46"/>
        <v>0</v>
      </c>
      <c r="Y190" s="3089">
        <f t="shared" si="47"/>
        <v>45000</v>
      </c>
      <c r="Z190" s="3090">
        <v>18</v>
      </c>
      <c r="AA190" s="3091">
        <v>150</v>
      </c>
      <c r="AB190" s="3087">
        <f t="shared" si="48"/>
        <v>2700</v>
      </c>
      <c r="AC190" s="3092"/>
      <c r="AD190" s="3092"/>
      <c r="AE190" s="3093">
        <f t="shared" si="60"/>
        <v>2700</v>
      </c>
      <c r="AF190" s="3094">
        <f t="shared" si="35"/>
        <v>47700</v>
      </c>
    </row>
    <row r="191" spans="1:32" s="3095" customFormat="1" ht="30" customHeight="1">
      <c r="A191" s="3082">
        <v>173</v>
      </c>
      <c r="B191" s="3083" t="s">
        <v>1476</v>
      </c>
      <c r="C191" s="3083" t="s">
        <v>1196</v>
      </c>
      <c r="D191" s="3083" t="s">
        <v>1477</v>
      </c>
      <c r="E191" s="3084" t="s">
        <v>1188</v>
      </c>
      <c r="F191" s="3084" t="s">
        <v>1189</v>
      </c>
      <c r="G191" s="3080" t="s">
        <v>1240</v>
      </c>
      <c r="H191" s="3084" t="s">
        <v>1395</v>
      </c>
      <c r="I191" s="3085"/>
      <c r="J191" s="3085"/>
      <c r="K191" s="3081">
        <v>3</v>
      </c>
      <c r="L191" s="3080"/>
      <c r="M191" s="3086">
        <v>36000</v>
      </c>
      <c r="N191" s="3087">
        <f t="shared" si="57"/>
        <v>0</v>
      </c>
      <c r="O191" s="3080">
        <v>0</v>
      </c>
      <c r="P191" s="3086">
        <v>20000</v>
      </c>
      <c r="Q191" s="3088">
        <f t="shared" si="44"/>
        <v>0</v>
      </c>
      <c r="R191" s="3089">
        <f t="shared" si="45"/>
        <v>0</v>
      </c>
      <c r="S191" s="3080">
        <f t="shared" si="58"/>
        <v>3</v>
      </c>
      <c r="T191" s="3086">
        <v>36000</v>
      </c>
      <c r="U191" s="3088">
        <f t="shared" si="59"/>
        <v>108000</v>
      </c>
      <c r="V191" s="3080">
        <v>0</v>
      </c>
      <c r="W191" s="3086">
        <v>20000</v>
      </c>
      <c r="X191" s="3088">
        <f t="shared" si="46"/>
        <v>0</v>
      </c>
      <c r="Y191" s="3089">
        <f t="shared" si="47"/>
        <v>108000</v>
      </c>
      <c r="Z191" s="3090">
        <v>30</v>
      </c>
      <c r="AA191" s="3091">
        <v>150</v>
      </c>
      <c r="AB191" s="3087">
        <f t="shared" si="48"/>
        <v>4500</v>
      </c>
      <c r="AC191" s="3092"/>
      <c r="AD191" s="3092"/>
      <c r="AE191" s="3093">
        <f t="shared" si="60"/>
        <v>4500</v>
      </c>
      <c r="AF191" s="3094">
        <f t="shared" si="35"/>
        <v>112500</v>
      </c>
    </row>
    <row r="192" spans="1:32" s="3095" customFormat="1" ht="30" customHeight="1">
      <c r="A192" s="3082">
        <v>174</v>
      </c>
      <c r="B192" s="3083" t="s">
        <v>1478</v>
      </c>
      <c r="C192" s="3083" t="s">
        <v>1196</v>
      </c>
      <c r="D192" s="3083" t="s">
        <v>1479</v>
      </c>
      <c r="E192" s="3084" t="s">
        <v>1188</v>
      </c>
      <c r="F192" s="3084" t="s">
        <v>1189</v>
      </c>
      <c r="G192" s="3080" t="s">
        <v>1240</v>
      </c>
      <c r="H192" s="3084" t="s">
        <v>1395</v>
      </c>
      <c r="I192" s="3085"/>
      <c r="J192" s="3085"/>
      <c r="K192" s="3081">
        <v>3</v>
      </c>
      <c r="L192" s="3080"/>
      <c r="M192" s="3086">
        <v>36000</v>
      </c>
      <c r="N192" s="3087">
        <f t="shared" si="57"/>
        <v>0</v>
      </c>
      <c r="O192" s="3080">
        <v>0</v>
      </c>
      <c r="P192" s="3086">
        <v>20000</v>
      </c>
      <c r="Q192" s="3088">
        <f t="shared" si="44"/>
        <v>0</v>
      </c>
      <c r="R192" s="3089">
        <f t="shared" si="45"/>
        <v>0</v>
      </c>
      <c r="S192" s="3080">
        <f t="shared" si="58"/>
        <v>3</v>
      </c>
      <c r="T192" s="3086">
        <v>36000</v>
      </c>
      <c r="U192" s="3088">
        <f t="shared" si="59"/>
        <v>108000</v>
      </c>
      <c r="V192" s="3080">
        <v>0</v>
      </c>
      <c r="W192" s="3086">
        <v>20000</v>
      </c>
      <c r="X192" s="3088">
        <f t="shared" si="46"/>
        <v>0</v>
      </c>
      <c r="Y192" s="3089">
        <f t="shared" si="47"/>
        <v>108000</v>
      </c>
      <c r="Z192" s="3090">
        <v>30</v>
      </c>
      <c r="AA192" s="3091">
        <v>150</v>
      </c>
      <c r="AB192" s="3087">
        <f t="shared" si="48"/>
        <v>4500</v>
      </c>
      <c r="AC192" s="3092"/>
      <c r="AD192" s="3092"/>
      <c r="AE192" s="3093">
        <f t="shared" si="60"/>
        <v>4500</v>
      </c>
      <c r="AF192" s="3094">
        <f t="shared" ref="AF192:AF262" si="61">+Y192+AE192+R192</f>
        <v>112500</v>
      </c>
    </row>
    <row r="193" spans="1:33" s="3095" customFormat="1" ht="30" customHeight="1">
      <c r="A193" s="3082">
        <v>175</v>
      </c>
      <c r="B193" s="3083" t="s">
        <v>1480</v>
      </c>
      <c r="C193" s="3083" t="s">
        <v>1186</v>
      </c>
      <c r="D193" s="3083" t="s">
        <v>1481</v>
      </c>
      <c r="E193" s="3084" t="s">
        <v>1188</v>
      </c>
      <c r="F193" s="3084" t="s">
        <v>1189</v>
      </c>
      <c r="G193" s="3080" t="s">
        <v>1190</v>
      </c>
      <c r="H193" s="3084" t="s">
        <v>1395</v>
      </c>
      <c r="I193" s="3085"/>
      <c r="J193" s="3085"/>
      <c r="K193" s="3081">
        <v>3</v>
      </c>
      <c r="L193" s="3080"/>
      <c r="M193" s="3086">
        <v>15000</v>
      </c>
      <c r="N193" s="3087">
        <f t="shared" si="57"/>
        <v>0</v>
      </c>
      <c r="O193" s="3080">
        <v>0</v>
      </c>
      <c r="P193" s="3086">
        <v>20000</v>
      </c>
      <c r="Q193" s="3088">
        <f t="shared" si="44"/>
        <v>0</v>
      </c>
      <c r="R193" s="3089">
        <f t="shared" si="45"/>
        <v>0</v>
      </c>
      <c r="S193" s="3080">
        <f t="shared" si="58"/>
        <v>3</v>
      </c>
      <c r="T193" s="3086">
        <v>15000</v>
      </c>
      <c r="U193" s="3088">
        <f t="shared" si="59"/>
        <v>45000</v>
      </c>
      <c r="V193" s="3080">
        <v>0</v>
      </c>
      <c r="W193" s="3086">
        <v>20000</v>
      </c>
      <c r="X193" s="3088">
        <f t="shared" si="46"/>
        <v>0</v>
      </c>
      <c r="Y193" s="3089">
        <f t="shared" si="47"/>
        <v>45000</v>
      </c>
      <c r="Z193" s="3090">
        <v>18</v>
      </c>
      <c r="AA193" s="3091">
        <v>150</v>
      </c>
      <c r="AB193" s="3087">
        <f t="shared" si="48"/>
        <v>2700</v>
      </c>
      <c r="AC193" s="3092"/>
      <c r="AD193" s="3092"/>
      <c r="AE193" s="3093">
        <f t="shared" si="60"/>
        <v>2700</v>
      </c>
      <c r="AF193" s="3094">
        <f t="shared" si="61"/>
        <v>47700</v>
      </c>
    </row>
    <row r="194" spans="1:33" s="3095" customFormat="1" ht="30" customHeight="1">
      <c r="A194" s="3082">
        <v>176</v>
      </c>
      <c r="B194" s="3083" t="s">
        <v>1482</v>
      </c>
      <c r="C194" s="3083" t="s">
        <v>1194</v>
      </c>
      <c r="D194" s="3083" t="s">
        <v>1483</v>
      </c>
      <c r="E194" s="3084" t="s">
        <v>1188</v>
      </c>
      <c r="F194" s="3084" t="s">
        <v>1189</v>
      </c>
      <c r="G194" s="3080" t="s">
        <v>1190</v>
      </c>
      <c r="H194" s="3084" t="s">
        <v>1395</v>
      </c>
      <c r="I194" s="3085"/>
      <c r="J194" s="3085"/>
      <c r="K194" s="3081">
        <v>3</v>
      </c>
      <c r="L194" s="3080"/>
      <c r="M194" s="3086">
        <v>15000</v>
      </c>
      <c r="N194" s="3087">
        <f t="shared" si="57"/>
        <v>0</v>
      </c>
      <c r="O194" s="3080">
        <v>0</v>
      </c>
      <c r="P194" s="3086">
        <v>20000</v>
      </c>
      <c r="Q194" s="3088">
        <f t="shared" si="44"/>
        <v>0</v>
      </c>
      <c r="R194" s="3089">
        <f t="shared" si="45"/>
        <v>0</v>
      </c>
      <c r="S194" s="3080">
        <f t="shared" si="58"/>
        <v>3</v>
      </c>
      <c r="T194" s="3086">
        <v>15000</v>
      </c>
      <c r="U194" s="3088">
        <f t="shared" si="59"/>
        <v>45000</v>
      </c>
      <c r="V194" s="3080">
        <v>0</v>
      </c>
      <c r="W194" s="3086">
        <v>20000</v>
      </c>
      <c r="X194" s="3088">
        <f t="shared" si="46"/>
        <v>0</v>
      </c>
      <c r="Y194" s="3089">
        <f t="shared" si="47"/>
        <v>45000</v>
      </c>
      <c r="Z194" s="3090">
        <v>2</v>
      </c>
      <c r="AA194" s="3091">
        <v>0</v>
      </c>
      <c r="AB194" s="3087">
        <f t="shared" si="48"/>
        <v>0</v>
      </c>
      <c r="AC194" s="3092"/>
      <c r="AD194" s="3092"/>
      <c r="AE194" s="3093">
        <f t="shared" si="60"/>
        <v>0</v>
      </c>
      <c r="AF194" s="3094">
        <f t="shared" si="61"/>
        <v>45000</v>
      </c>
    </row>
    <row r="195" spans="1:33" s="3095" customFormat="1" ht="30" customHeight="1">
      <c r="A195" s="3082">
        <v>177</v>
      </c>
      <c r="B195" s="3083" t="s">
        <v>1484</v>
      </c>
      <c r="C195" s="3083" t="s">
        <v>1192</v>
      </c>
      <c r="D195" s="3083" t="s">
        <v>1485</v>
      </c>
      <c r="E195" s="3084" t="s">
        <v>1188</v>
      </c>
      <c r="F195" s="3084" t="s">
        <v>1189</v>
      </c>
      <c r="G195" s="3080" t="s">
        <v>1240</v>
      </c>
      <c r="H195" s="3084" t="s">
        <v>1395</v>
      </c>
      <c r="I195" s="3085"/>
      <c r="J195" s="3085"/>
      <c r="K195" s="3081">
        <v>3</v>
      </c>
      <c r="L195" s="3080"/>
      <c r="M195" s="3086">
        <v>36000</v>
      </c>
      <c r="N195" s="3087">
        <f t="shared" si="57"/>
        <v>0</v>
      </c>
      <c r="O195" s="3080">
        <v>0</v>
      </c>
      <c r="P195" s="3086">
        <v>20000</v>
      </c>
      <c r="Q195" s="3088">
        <f t="shared" si="44"/>
        <v>0</v>
      </c>
      <c r="R195" s="3089">
        <f t="shared" si="45"/>
        <v>0</v>
      </c>
      <c r="S195" s="3080">
        <f t="shared" si="58"/>
        <v>3</v>
      </c>
      <c r="T195" s="3086">
        <v>36000</v>
      </c>
      <c r="U195" s="3088">
        <f t="shared" si="59"/>
        <v>108000</v>
      </c>
      <c r="V195" s="3080">
        <v>0</v>
      </c>
      <c r="W195" s="3086">
        <v>20000</v>
      </c>
      <c r="X195" s="3088">
        <f t="shared" si="46"/>
        <v>0</v>
      </c>
      <c r="Y195" s="3089">
        <f t="shared" si="47"/>
        <v>108000</v>
      </c>
      <c r="Z195" s="3090">
        <v>50</v>
      </c>
      <c r="AA195" s="3091">
        <v>150</v>
      </c>
      <c r="AB195" s="3087">
        <f t="shared" si="48"/>
        <v>7500</v>
      </c>
      <c r="AC195" s="3092"/>
      <c r="AD195" s="3092"/>
      <c r="AE195" s="3093">
        <f t="shared" si="60"/>
        <v>7500</v>
      </c>
      <c r="AF195" s="3094">
        <f t="shared" si="61"/>
        <v>115500</v>
      </c>
    </row>
    <row r="196" spans="1:33" s="3095" customFormat="1" ht="30" customHeight="1">
      <c r="A196" s="3082">
        <v>178</v>
      </c>
      <c r="B196" s="3083" t="s">
        <v>1486</v>
      </c>
      <c r="C196" s="3083" t="s">
        <v>1194</v>
      </c>
      <c r="D196" s="3083" t="s">
        <v>1485</v>
      </c>
      <c r="E196" s="3084" t="s">
        <v>1188</v>
      </c>
      <c r="F196" s="3084" t="s">
        <v>1189</v>
      </c>
      <c r="G196" s="3080" t="s">
        <v>1240</v>
      </c>
      <c r="H196" s="3084" t="s">
        <v>1395</v>
      </c>
      <c r="I196" s="3085"/>
      <c r="J196" s="3085"/>
      <c r="K196" s="3081">
        <v>3</v>
      </c>
      <c r="L196" s="3080"/>
      <c r="M196" s="3086">
        <v>36000</v>
      </c>
      <c r="N196" s="3087">
        <f>M196*L196</f>
        <v>0</v>
      </c>
      <c r="O196" s="3080">
        <v>0</v>
      </c>
      <c r="P196" s="3086">
        <v>20000</v>
      </c>
      <c r="Q196" s="3088">
        <f t="shared" si="44"/>
        <v>0</v>
      </c>
      <c r="R196" s="3089">
        <f t="shared" si="45"/>
        <v>0</v>
      </c>
      <c r="S196" s="3080">
        <f>+K196</f>
        <v>3</v>
      </c>
      <c r="T196" s="3086">
        <v>36000</v>
      </c>
      <c r="U196" s="3088">
        <f>T196*S196</f>
        <v>108000</v>
      </c>
      <c r="V196" s="3080">
        <v>0</v>
      </c>
      <c r="W196" s="3086">
        <v>20000</v>
      </c>
      <c r="X196" s="3088">
        <f t="shared" si="46"/>
        <v>0</v>
      </c>
      <c r="Y196" s="3089">
        <f t="shared" si="47"/>
        <v>108000</v>
      </c>
      <c r="Z196" s="3090">
        <v>50</v>
      </c>
      <c r="AA196" s="3091">
        <v>150</v>
      </c>
      <c r="AB196" s="3087">
        <f t="shared" si="48"/>
        <v>7500</v>
      </c>
      <c r="AC196" s="3092"/>
      <c r="AD196" s="3092"/>
      <c r="AE196" s="3093">
        <f>AB196</f>
        <v>7500</v>
      </c>
      <c r="AF196" s="3094">
        <f t="shared" si="61"/>
        <v>115500</v>
      </c>
    </row>
    <row r="197" spans="1:33" s="3095" customFormat="1" ht="30" customHeight="1">
      <c r="A197" s="3082">
        <v>179</v>
      </c>
      <c r="B197" s="3083" t="s">
        <v>1487</v>
      </c>
      <c r="C197" s="3083" t="s">
        <v>1333</v>
      </c>
      <c r="D197" s="3083" t="s">
        <v>1488</v>
      </c>
      <c r="E197" s="3084" t="s">
        <v>1188</v>
      </c>
      <c r="F197" s="3084" t="s">
        <v>1189</v>
      </c>
      <c r="G197" s="3080" t="s">
        <v>1240</v>
      </c>
      <c r="H197" s="3084" t="s">
        <v>1395</v>
      </c>
      <c r="I197" s="3085"/>
      <c r="J197" s="3085"/>
      <c r="K197" s="3081">
        <v>3</v>
      </c>
      <c r="L197" s="3080"/>
      <c r="M197" s="3086">
        <v>36000</v>
      </c>
      <c r="N197" s="3087">
        <f t="shared" ref="N197:N208" si="62">M197*L197</f>
        <v>0</v>
      </c>
      <c r="O197" s="3080">
        <v>0</v>
      </c>
      <c r="P197" s="3086">
        <v>20000</v>
      </c>
      <c r="Q197" s="3088">
        <f t="shared" si="44"/>
        <v>0</v>
      </c>
      <c r="R197" s="3089">
        <f t="shared" si="45"/>
        <v>0</v>
      </c>
      <c r="S197" s="3080">
        <f t="shared" ref="S197:S208" si="63">+K197</f>
        <v>3</v>
      </c>
      <c r="T197" s="3086">
        <v>36000</v>
      </c>
      <c r="U197" s="3088">
        <f t="shared" ref="U197:U208" si="64">T197*S197</f>
        <v>108000</v>
      </c>
      <c r="V197" s="3080">
        <v>0</v>
      </c>
      <c r="W197" s="3086">
        <v>20000</v>
      </c>
      <c r="X197" s="3088">
        <f t="shared" si="46"/>
        <v>0</v>
      </c>
      <c r="Y197" s="3089">
        <f t="shared" si="47"/>
        <v>108000</v>
      </c>
      <c r="Z197" s="3090">
        <v>42</v>
      </c>
      <c r="AA197" s="3091">
        <v>150</v>
      </c>
      <c r="AB197" s="3087">
        <f t="shared" si="48"/>
        <v>6300</v>
      </c>
      <c r="AC197" s="3092"/>
      <c r="AD197" s="3092"/>
      <c r="AE197" s="3093">
        <f t="shared" ref="AE197:AE208" si="65">AB197</f>
        <v>6300</v>
      </c>
      <c r="AF197" s="3094">
        <f t="shared" si="61"/>
        <v>114300</v>
      </c>
    </row>
    <row r="198" spans="1:33" s="3095" customFormat="1" ht="30" customHeight="1">
      <c r="A198" s="3082">
        <v>180</v>
      </c>
      <c r="B198" s="3083" t="s">
        <v>1489</v>
      </c>
      <c r="C198" s="3083" t="s">
        <v>1196</v>
      </c>
      <c r="D198" s="3083" t="s">
        <v>1490</v>
      </c>
      <c r="E198" s="3084" t="s">
        <v>1188</v>
      </c>
      <c r="F198" s="3084" t="s">
        <v>1189</v>
      </c>
      <c r="G198" s="3080" t="s">
        <v>1190</v>
      </c>
      <c r="H198" s="3084" t="s">
        <v>1395</v>
      </c>
      <c r="I198" s="3085"/>
      <c r="J198" s="3085"/>
      <c r="K198" s="3081">
        <v>3</v>
      </c>
      <c r="L198" s="3080"/>
      <c r="M198" s="3086">
        <v>15000</v>
      </c>
      <c r="N198" s="3087">
        <f t="shared" si="62"/>
        <v>0</v>
      </c>
      <c r="O198" s="3080">
        <v>0</v>
      </c>
      <c r="P198" s="3086">
        <v>20000</v>
      </c>
      <c r="Q198" s="3088">
        <f t="shared" si="44"/>
        <v>0</v>
      </c>
      <c r="R198" s="3089">
        <f t="shared" si="45"/>
        <v>0</v>
      </c>
      <c r="S198" s="3080">
        <f t="shared" si="63"/>
        <v>3</v>
      </c>
      <c r="T198" s="3086">
        <v>15000</v>
      </c>
      <c r="U198" s="3088">
        <f t="shared" si="64"/>
        <v>45000</v>
      </c>
      <c r="V198" s="3080">
        <v>0</v>
      </c>
      <c r="W198" s="3086">
        <v>20000</v>
      </c>
      <c r="X198" s="3088">
        <f t="shared" si="46"/>
        <v>0</v>
      </c>
      <c r="Y198" s="3089">
        <f t="shared" si="47"/>
        <v>45000</v>
      </c>
      <c r="Z198" s="3090">
        <v>10</v>
      </c>
      <c r="AA198" s="3091">
        <v>150</v>
      </c>
      <c r="AB198" s="3087">
        <f t="shared" si="48"/>
        <v>1500</v>
      </c>
      <c r="AC198" s="3092"/>
      <c r="AD198" s="3092"/>
      <c r="AE198" s="3093">
        <f t="shared" si="65"/>
        <v>1500</v>
      </c>
      <c r="AF198" s="3094">
        <f t="shared" si="61"/>
        <v>46500</v>
      </c>
    </row>
    <row r="199" spans="1:33" s="3095" customFormat="1" ht="37.5">
      <c r="A199" s="3082">
        <v>181</v>
      </c>
      <c r="B199" s="3083" t="s">
        <v>1491</v>
      </c>
      <c r="C199" s="3083" t="s">
        <v>1385</v>
      </c>
      <c r="D199" s="3083" t="s">
        <v>1492</v>
      </c>
      <c r="E199" s="3084" t="s">
        <v>1188</v>
      </c>
      <c r="F199" s="3084" t="s">
        <v>1189</v>
      </c>
      <c r="G199" s="3080" t="s">
        <v>1240</v>
      </c>
      <c r="H199" s="3084" t="s">
        <v>1395</v>
      </c>
      <c r="I199" s="3085"/>
      <c r="J199" s="3085"/>
      <c r="K199" s="3081">
        <v>3</v>
      </c>
      <c r="L199" s="3080"/>
      <c r="M199" s="3086">
        <v>36000</v>
      </c>
      <c r="N199" s="3087">
        <f t="shared" si="62"/>
        <v>0</v>
      </c>
      <c r="O199" s="3080">
        <v>0</v>
      </c>
      <c r="P199" s="3086">
        <v>20000</v>
      </c>
      <c r="Q199" s="3088">
        <f t="shared" si="44"/>
        <v>0</v>
      </c>
      <c r="R199" s="3089">
        <f t="shared" si="45"/>
        <v>0</v>
      </c>
      <c r="S199" s="3080">
        <f t="shared" si="63"/>
        <v>3</v>
      </c>
      <c r="T199" s="3086">
        <v>36000</v>
      </c>
      <c r="U199" s="3088">
        <f t="shared" si="64"/>
        <v>108000</v>
      </c>
      <c r="V199" s="3080">
        <v>0</v>
      </c>
      <c r="W199" s="3086">
        <v>20000</v>
      </c>
      <c r="X199" s="3088">
        <f t="shared" si="46"/>
        <v>0</v>
      </c>
      <c r="Y199" s="3089">
        <f t="shared" si="47"/>
        <v>108000</v>
      </c>
      <c r="Z199" s="3090">
        <v>36</v>
      </c>
      <c r="AA199" s="3091">
        <v>150</v>
      </c>
      <c r="AB199" s="3087">
        <f t="shared" si="48"/>
        <v>5400</v>
      </c>
      <c r="AC199" s="3092"/>
      <c r="AD199" s="3092"/>
      <c r="AE199" s="3093">
        <f t="shared" si="65"/>
        <v>5400</v>
      </c>
      <c r="AF199" s="3094">
        <f t="shared" si="61"/>
        <v>113400</v>
      </c>
    </row>
    <row r="200" spans="1:33" s="3095" customFormat="1" ht="30" customHeight="1">
      <c r="A200" s="3082">
        <v>182</v>
      </c>
      <c r="B200" s="3083" t="s">
        <v>1493</v>
      </c>
      <c r="C200" s="3083" t="s">
        <v>1196</v>
      </c>
      <c r="D200" s="3083" t="s">
        <v>1494</v>
      </c>
      <c r="E200" s="3084" t="s">
        <v>1188</v>
      </c>
      <c r="F200" s="3084" t="s">
        <v>1189</v>
      </c>
      <c r="G200" s="3080" t="s">
        <v>1240</v>
      </c>
      <c r="H200" s="3084" t="s">
        <v>1380</v>
      </c>
      <c r="I200" s="3085"/>
      <c r="J200" s="3085"/>
      <c r="K200" s="3081">
        <v>3</v>
      </c>
      <c r="L200" s="3080"/>
      <c r="M200" s="3086">
        <v>36000</v>
      </c>
      <c r="N200" s="3087">
        <f t="shared" si="62"/>
        <v>0</v>
      </c>
      <c r="O200" s="3080">
        <v>0</v>
      </c>
      <c r="P200" s="3086">
        <v>20000</v>
      </c>
      <c r="Q200" s="3088">
        <f t="shared" si="44"/>
        <v>0</v>
      </c>
      <c r="R200" s="3089">
        <f t="shared" si="45"/>
        <v>0</v>
      </c>
      <c r="S200" s="3080">
        <f t="shared" si="63"/>
        <v>3</v>
      </c>
      <c r="T200" s="3086">
        <v>36000</v>
      </c>
      <c r="U200" s="3088">
        <f t="shared" si="64"/>
        <v>108000</v>
      </c>
      <c r="V200" s="3080">
        <v>0</v>
      </c>
      <c r="W200" s="3086">
        <v>20000</v>
      </c>
      <c r="X200" s="3088">
        <f t="shared" si="46"/>
        <v>0</v>
      </c>
      <c r="Y200" s="3089">
        <f t="shared" si="47"/>
        <v>108000</v>
      </c>
      <c r="Z200" s="3090">
        <v>52</v>
      </c>
      <c r="AA200" s="3091">
        <v>150</v>
      </c>
      <c r="AB200" s="3087">
        <f t="shared" si="48"/>
        <v>7800</v>
      </c>
      <c r="AC200" s="3092"/>
      <c r="AD200" s="3092"/>
      <c r="AE200" s="3093">
        <f t="shared" si="65"/>
        <v>7800</v>
      </c>
      <c r="AF200" s="3094">
        <f t="shared" si="61"/>
        <v>115800</v>
      </c>
    </row>
    <row r="201" spans="1:33" s="3095" customFormat="1" ht="30" customHeight="1">
      <c r="A201" s="3082">
        <v>183</v>
      </c>
      <c r="B201" s="3083" t="s">
        <v>1495</v>
      </c>
      <c r="C201" s="3083" t="s">
        <v>1333</v>
      </c>
      <c r="D201" s="3083" t="s">
        <v>1496</v>
      </c>
      <c r="E201" s="3084" t="s">
        <v>1188</v>
      </c>
      <c r="F201" s="3084" t="s">
        <v>1189</v>
      </c>
      <c r="G201" s="3080" t="s">
        <v>1240</v>
      </c>
      <c r="H201" s="3084" t="s">
        <v>1380</v>
      </c>
      <c r="I201" s="3085"/>
      <c r="J201" s="3085"/>
      <c r="K201" s="3081">
        <v>3</v>
      </c>
      <c r="L201" s="3080"/>
      <c r="M201" s="3086">
        <v>36000</v>
      </c>
      <c r="N201" s="3087">
        <f t="shared" si="62"/>
        <v>0</v>
      </c>
      <c r="O201" s="3080">
        <v>0</v>
      </c>
      <c r="P201" s="3086">
        <v>20000</v>
      </c>
      <c r="Q201" s="3088">
        <f t="shared" si="44"/>
        <v>0</v>
      </c>
      <c r="R201" s="3089">
        <f t="shared" si="45"/>
        <v>0</v>
      </c>
      <c r="S201" s="3080">
        <f t="shared" si="63"/>
        <v>3</v>
      </c>
      <c r="T201" s="3086">
        <v>36000</v>
      </c>
      <c r="U201" s="3088">
        <f t="shared" si="64"/>
        <v>108000</v>
      </c>
      <c r="V201" s="3080">
        <v>0</v>
      </c>
      <c r="W201" s="3086">
        <v>20000</v>
      </c>
      <c r="X201" s="3088">
        <f t="shared" si="46"/>
        <v>0</v>
      </c>
      <c r="Y201" s="3089">
        <f t="shared" si="47"/>
        <v>108000</v>
      </c>
      <c r="Z201" s="3090">
        <v>64</v>
      </c>
      <c r="AA201" s="3091">
        <v>150</v>
      </c>
      <c r="AB201" s="3087">
        <f t="shared" si="48"/>
        <v>9600</v>
      </c>
      <c r="AC201" s="3092"/>
      <c r="AD201" s="3092"/>
      <c r="AE201" s="3093">
        <f t="shared" si="65"/>
        <v>9600</v>
      </c>
      <c r="AF201" s="3094">
        <f t="shared" si="61"/>
        <v>117600</v>
      </c>
    </row>
    <row r="202" spans="1:33" s="3095" customFormat="1" ht="30" customHeight="1">
      <c r="A202" s="3082">
        <v>184</v>
      </c>
      <c r="B202" s="3083" t="s">
        <v>1497</v>
      </c>
      <c r="C202" s="3083" t="s">
        <v>1333</v>
      </c>
      <c r="D202" s="3083" t="s">
        <v>1498</v>
      </c>
      <c r="E202" s="3084" t="s">
        <v>1188</v>
      </c>
      <c r="F202" s="3084" t="s">
        <v>1189</v>
      </c>
      <c r="G202" s="3080" t="s">
        <v>1240</v>
      </c>
      <c r="H202" s="3084" t="s">
        <v>1380</v>
      </c>
      <c r="I202" s="3085"/>
      <c r="J202" s="3085"/>
      <c r="K202" s="3081">
        <v>3</v>
      </c>
      <c r="L202" s="3080"/>
      <c r="M202" s="3086">
        <v>36000</v>
      </c>
      <c r="N202" s="3087">
        <f t="shared" si="62"/>
        <v>0</v>
      </c>
      <c r="O202" s="3080">
        <v>0</v>
      </c>
      <c r="P202" s="3086">
        <v>20000</v>
      </c>
      <c r="Q202" s="3088">
        <f t="shared" si="44"/>
        <v>0</v>
      </c>
      <c r="R202" s="3089">
        <f t="shared" si="45"/>
        <v>0</v>
      </c>
      <c r="S202" s="3080">
        <f t="shared" si="63"/>
        <v>3</v>
      </c>
      <c r="T202" s="3086">
        <v>36000</v>
      </c>
      <c r="U202" s="3088">
        <f t="shared" si="64"/>
        <v>108000</v>
      </c>
      <c r="V202" s="3080">
        <v>0</v>
      </c>
      <c r="W202" s="3086">
        <v>20000</v>
      </c>
      <c r="X202" s="3088">
        <f t="shared" si="46"/>
        <v>0</v>
      </c>
      <c r="Y202" s="3089">
        <f t="shared" si="47"/>
        <v>108000</v>
      </c>
      <c r="Z202" s="3090">
        <v>60</v>
      </c>
      <c r="AA202" s="3091">
        <v>150</v>
      </c>
      <c r="AB202" s="3087">
        <f t="shared" si="48"/>
        <v>9000</v>
      </c>
      <c r="AC202" s="3092"/>
      <c r="AD202" s="3092"/>
      <c r="AE202" s="3093">
        <f t="shared" si="65"/>
        <v>9000</v>
      </c>
      <c r="AF202" s="3094">
        <f t="shared" si="61"/>
        <v>117000</v>
      </c>
    </row>
    <row r="203" spans="1:33" s="3095" customFormat="1" ht="30" customHeight="1">
      <c r="A203" s="3082">
        <v>185</v>
      </c>
      <c r="B203" s="3083" t="s">
        <v>1499</v>
      </c>
      <c r="C203" s="3083" t="s">
        <v>1186</v>
      </c>
      <c r="D203" s="3083" t="s">
        <v>1500</v>
      </c>
      <c r="E203" s="3084" t="s">
        <v>1188</v>
      </c>
      <c r="F203" s="3084" t="s">
        <v>1189</v>
      </c>
      <c r="G203" s="3080" t="s">
        <v>1240</v>
      </c>
      <c r="H203" s="3084" t="s">
        <v>1380</v>
      </c>
      <c r="I203" s="3085"/>
      <c r="J203" s="3085"/>
      <c r="K203" s="3081">
        <v>3</v>
      </c>
      <c r="L203" s="3080"/>
      <c r="M203" s="3086">
        <v>36000</v>
      </c>
      <c r="N203" s="3087">
        <f t="shared" si="62"/>
        <v>0</v>
      </c>
      <c r="O203" s="3080">
        <v>0</v>
      </c>
      <c r="P203" s="3086">
        <v>20000</v>
      </c>
      <c r="Q203" s="3088">
        <f t="shared" si="44"/>
        <v>0</v>
      </c>
      <c r="R203" s="3089">
        <f t="shared" si="45"/>
        <v>0</v>
      </c>
      <c r="S203" s="3080">
        <f t="shared" si="63"/>
        <v>3</v>
      </c>
      <c r="T203" s="3086">
        <v>36000</v>
      </c>
      <c r="U203" s="3088">
        <f t="shared" si="64"/>
        <v>108000</v>
      </c>
      <c r="V203" s="3080">
        <v>0</v>
      </c>
      <c r="W203" s="3086">
        <v>20000</v>
      </c>
      <c r="X203" s="3088">
        <f t="shared" si="46"/>
        <v>0</v>
      </c>
      <c r="Y203" s="3089">
        <f t="shared" si="47"/>
        <v>108000</v>
      </c>
      <c r="Z203" s="3090">
        <v>46</v>
      </c>
      <c r="AA203" s="3091">
        <v>150</v>
      </c>
      <c r="AB203" s="3087">
        <f t="shared" si="48"/>
        <v>6900</v>
      </c>
      <c r="AC203" s="3092"/>
      <c r="AD203" s="3092"/>
      <c r="AE203" s="3093">
        <f t="shared" si="65"/>
        <v>6900</v>
      </c>
      <c r="AF203" s="3094">
        <f t="shared" si="61"/>
        <v>114900</v>
      </c>
    </row>
    <row r="204" spans="1:33" s="3095" customFormat="1" ht="30" customHeight="1">
      <c r="A204" s="3082">
        <v>186</v>
      </c>
      <c r="B204" s="3083" t="s">
        <v>1501</v>
      </c>
      <c r="C204" s="3083" t="s">
        <v>1502</v>
      </c>
      <c r="D204" s="3083" t="s">
        <v>1503</v>
      </c>
      <c r="E204" s="3084" t="s">
        <v>1188</v>
      </c>
      <c r="F204" s="3084" t="s">
        <v>1189</v>
      </c>
      <c r="G204" s="3080" t="s">
        <v>1240</v>
      </c>
      <c r="H204" s="3084" t="s">
        <v>1380</v>
      </c>
      <c r="I204" s="3085"/>
      <c r="J204" s="3085"/>
      <c r="K204" s="3081">
        <v>3</v>
      </c>
      <c r="L204" s="3080"/>
      <c r="M204" s="3086">
        <v>36000</v>
      </c>
      <c r="N204" s="3087">
        <f t="shared" si="62"/>
        <v>0</v>
      </c>
      <c r="O204" s="3080">
        <v>0</v>
      </c>
      <c r="P204" s="3086">
        <v>20000</v>
      </c>
      <c r="Q204" s="3088">
        <f t="shared" si="44"/>
        <v>0</v>
      </c>
      <c r="R204" s="3089">
        <f t="shared" si="45"/>
        <v>0</v>
      </c>
      <c r="S204" s="3080">
        <f t="shared" si="63"/>
        <v>3</v>
      </c>
      <c r="T204" s="3086">
        <v>36000</v>
      </c>
      <c r="U204" s="3088">
        <f t="shared" si="64"/>
        <v>108000</v>
      </c>
      <c r="V204" s="3080">
        <v>0</v>
      </c>
      <c r="W204" s="3086">
        <v>20000</v>
      </c>
      <c r="X204" s="3088">
        <f t="shared" si="46"/>
        <v>0</v>
      </c>
      <c r="Y204" s="3089">
        <f t="shared" si="47"/>
        <v>108000</v>
      </c>
      <c r="Z204" s="3090">
        <v>68</v>
      </c>
      <c r="AA204" s="3091">
        <v>150</v>
      </c>
      <c r="AB204" s="3087">
        <f t="shared" si="48"/>
        <v>10200</v>
      </c>
      <c r="AC204" s="3092"/>
      <c r="AD204" s="3092"/>
      <c r="AE204" s="3093">
        <f t="shared" si="65"/>
        <v>10200</v>
      </c>
      <c r="AF204" s="3094">
        <f t="shared" si="61"/>
        <v>118200</v>
      </c>
      <c r="AG204" s="3095">
        <v>1</v>
      </c>
    </row>
    <row r="205" spans="1:33" s="3095" customFormat="1" ht="30" customHeight="1">
      <c r="A205" s="3082">
        <v>187</v>
      </c>
      <c r="B205" s="3083" t="s">
        <v>1504</v>
      </c>
      <c r="C205" s="3083" t="s">
        <v>1333</v>
      </c>
      <c r="D205" s="3083" t="s">
        <v>1505</v>
      </c>
      <c r="E205" s="3084" t="s">
        <v>1188</v>
      </c>
      <c r="F205" s="3084" t="s">
        <v>1189</v>
      </c>
      <c r="G205" s="3080" t="s">
        <v>1240</v>
      </c>
      <c r="H205" s="3084" t="s">
        <v>1380</v>
      </c>
      <c r="I205" s="3085"/>
      <c r="J205" s="3085"/>
      <c r="K205" s="3081">
        <v>3</v>
      </c>
      <c r="L205" s="3080"/>
      <c r="M205" s="3086">
        <v>36000</v>
      </c>
      <c r="N205" s="3087">
        <f t="shared" si="62"/>
        <v>0</v>
      </c>
      <c r="O205" s="3080">
        <v>0</v>
      </c>
      <c r="P205" s="3086">
        <v>20000</v>
      </c>
      <c r="Q205" s="3088">
        <f t="shared" si="44"/>
        <v>0</v>
      </c>
      <c r="R205" s="3089">
        <f t="shared" si="45"/>
        <v>0</v>
      </c>
      <c r="S205" s="3080">
        <f t="shared" si="63"/>
        <v>3</v>
      </c>
      <c r="T205" s="3086">
        <v>36000</v>
      </c>
      <c r="U205" s="3088">
        <f t="shared" si="64"/>
        <v>108000</v>
      </c>
      <c r="V205" s="3080">
        <v>0</v>
      </c>
      <c r="W205" s="3086">
        <v>20000</v>
      </c>
      <c r="X205" s="3088">
        <f t="shared" si="46"/>
        <v>0</v>
      </c>
      <c r="Y205" s="3089">
        <f t="shared" si="47"/>
        <v>108000</v>
      </c>
      <c r="Z205" s="3090">
        <v>40</v>
      </c>
      <c r="AA205" s="3091">
        <v>150</v>
      </c>
      <c r="AB205" s="3087">
        <f t="shared" si="48"/>
        <v>6000</v>
      </c>
      <c r="AC205" s="3092"/>
      <c r="AD205" s="3092"/>
      <c r="AE205" s="3093">
        <f t="shared" si="65"/>
        <v>6000</v>
      </c>
      <c r="AF205" s="3094">
        <f t="shared" si="61"/>
        <v>114000</v>
      </c>
      <c r="AG205" s="3095">
        <v>2</v>
      </c>
    </row>
    <row r="206" spans="1:33" s="3095" customFormat="1" ht="30" customHeight="1">
      <c r="A206" s="3082">
        <v>188</v>
      </c>
      <c r="B206" s="3083" t="s">
        <v>1506</v>
      </c>
      <c r="C206" s="3083" t="s">
        <v>1196</v>
      </c>
      <c r="D206" s="3083" t="s">
        <v>1507</v>
      </c>
      <c r="E206" s="3084" t="s">
        <v>1188</v>
      </c>
      <c r="F206" s="3084" t="s">
        <v>1189</v>
      </c>
      <c r="G206" s="3080" t="s">
        <v>1240</v>
      </c>
      <c r="H206" s="3084" t="s">
        <v>1380</v>
      </c>
      <c r="I206" s="3085"/>
      <c r="J206" s="3085"/>
      <c r="K206" s="3081">
        <v>3</v>
      </c>
      <c r="L206" s="3080"/>
      <c r="M206" s="3086">
        <v>36000</v>
      </c>
      <c r="N206" s="3087">
        <f t="shared" si="62"/>
        <v>0</v>
      </c>
      <c r="O206" s="3080">
        <v>0</v>
      </c>
      <c r="P206" s="3086">
        <v>20000</v>
      </c>
      <c r="Q206" s="3088">
        <f t="shared" si="44"/>
        <v>0</v>
      </c>
      <c r="R206" s="3089">
        <f t="shared" si="45"/>
        <v>0</v>
      </c>
      <c r="S206" s="3080">
        <f t="shared" si="63"/>
        <v>3</v>
      </c>
      <c r="T206" s="3086">
        <v>36000</v>
      </c>
      <c r="U206" s="3088">
        <f t="shared" si="64"/>
        <v>108000</v>
      </c>
      <c r="V206" s="3080">
        <v>0</v>
      </c>
      <c r="W206" s="3086">
        <v>20000</v>
      </c>
      <c r="X206" s="3088">
        <f t="shared" si="46"/>
        <v>0</v>
      </c>
      <c r="Y206" s="3089">
        <f t="shared" si="47"/>
        <v>108000</v>
      </c>
      <c r="Z206" s="3090">
        <v>50</v>
      </c>
      <c r="AA206" s="3091">
        <v>150</v>
      </c>
      <c r="AB206" s="3087">
        <f t="shared" si="48"/>
        <v>7500</v>
      </c>
      <c r="AC206" s="3092"/>
      <c r="AD206" s="3092"/>
      <c r="AE206" s="3093">
        <f t="shared" si="65"/>
        <v>7500</v>
      </c>
      <c r="AF206" s="3094">
        <f t="shared" si="61"/>
        <v>115500</v>
      </c>
      <c r="AG206" s="3095">
        <v>3</v>
      </c>
    </row>
    <row r="207" spans="1:33" s="3095" customFormat="1" ht="30" customHeight="1">
      <c r="A207" s="3082">
        <v>189</v>
      </c>
      <c r="B207" s="3083" t="s">
        <v>1508</v>
      </c>
      <c r="C207" s="3083" t="s">
        <v>1509</v>
      </c>
      <c r="D207" s="3083" t="s">
        <v>1510</v>
      </c>
      <c r="E207" s="3084" t="s">
        <v>1188</v>
      </c>
      <c r="F207" s="3084" t="s">
        <v>1189</v>
      </c>
      <c r="G207" s="3080" t="s">
        <v>1240</v>
      </c>
      <c r="H207" s="3084" t="s">
        <v>1380</v>
      </c>
      <c r="I207" s="3085"/>
      <c r="J207" s="3085"/>
      <c r="K207" s="3081">
        <v>3</v>
      </c>
      <c r="L207" s="3080"/>
      <c r="M207" s="3086">
        <v>36000</v>
      </c>
      <c r="N207" s="3087">
        <f t="shared" si="62"/>
        <v>0</v>
      </c>
      <c r="O207" s="3080">
        <v>0</v>
      </c>
      <c r="P207" s="3086">
        <v>20000</v>
      </c>
      <c r="Q207" s="3088">
        <f t="shared" si="44"/>
        <v>0</v>
      </c>
      <c r="R207" s="3089">
        <f t="shared" si="45"/>
        <v>0</v>
      </c>
      <c r="S207" s="3080">
        <f t="shared" si="63"/>
        <v>3</v>
      </c>
      <c r="T207" s="3086">
        <v>36000</v>
      </c>
      <c r="U207" s="3088">
        <f t="shared" si="64"/>
        <v>108000</v>
      </c>
      <c r="V207" s="3080">
        <v>0</v>
      </c>
      <c r="W207" s="3086">
        <v>20000</v>
      </c>
      <c r="X207" s="3088">
        <f t="shared" si="46"/>
        <v>0</v>
      </c>
      <c r="Y207" s="3089">
        <f t="shared" si="47"/>
        <v>108000</v>
      </c>
      <c r="Z207" s="3090">
        <v>72</v>
      </c>
      <c r="AA207" s="3091">
        <v>150</v>
      </c>
      <c r="AB207" s="3087">
        <f t="shared" si="48"/>
        <v>10800</v>
      </c>
      <c r="AC207" s="3092"/>
      <c r="AD207" s="3092"/>
      <c r="AE207" s="3093">
        <f t="shared" si="65"/>
        <v>10800</v>
      </c>
      <c r="AF207" s="3094">
        <f t="shared" si="61"/>
        <v>118800</v>
      </c>
      <c r="AG207" s="3095">
        <v>4</v>
      </c>
    </row>
    <row r="208" spans="1:33" s="3095" customFormat="1" ht="30" customHeight="1">
      <c r="A208" s="3082">
        <v>190</v>
      </c>
      <c r="B208" s="3083" t="s">
        <v>1511</v>
      </c>
      <c r="C208" s="3083" t="s">
        <v>1512</v>
      </c>
      <c r="D208" s="3083" t="s">
        <v>1513</v>
      </c>
      <c r="E208" s="3084" t="s">
        <v>1188</v>
      </c>
      <c r="F208" s="3084" t="s">
        <v>1189</v>
      </c>
      <c r="G208" s="3080" t="s">
        <v>1240</v>
      </c>
      <c r="H208" s="3084" t="s">
        <v>1362</v>
      </c>
      <c r="I208" s="3085"/>
      <c r="J208" s="3085"/>
      <c r="K208" s="3081">
        <v>3</v>
      </c>
      <c r="L208" s="3080"/>
      <c r="M208" s="3086">
        <v>36000</v>
      </c>
      <c r="N208" s="3087">
        <f t="shared" si="62"/>
        <v>0</v>
      </c>
      <c r="O208" s="3080">
        <v>0</v>
      </c>
      <c r="P208" s="3086">
        <v>20000</v>
      </c>
      <c r="Q208" s="3088">
        <f t="shared" si="44"/>
        <v>0</v>
      </c>
      <c r="R208" s="3089">
        <f t="shared" si="45"/>
        <v>0</v>
      </c>
      <c r="S208" s="3080">
        <f t="shared" si="63"/>
        <v>3</v>
      </c>
      <c r="T208" s="3086">
        <v>36000</v>
      </c>
      <c r="U208" s="3088">
        <f t="shared" si="64"/>
        <v>108000</v>
      </c>
      <c r="V208" s="3080">
        <v>0</v>
      </c>
      <c r="W208" s="3086">
        <v>20000</v>
      </c>
      <c r="X208" s="3088">
        <f t="shared" si="46"/>
        <v>0</v>
      </c>
      <c r="Y208" s="3089">
        <f t="shared" si="47"/>
        <v>108000</v>
      </c>
      <c r="Z208" s="3090">
        <v>294</v>
      </c>
      <c r="AA208" s="3091">
        <v>150</v>
      </c>
      <c r="AB208" s="3087">
        <f t="shared" si="48"/>
        <v>44100</v>
      </c>
      <c r="AC208" s="3092"/>
      <c r="AD208" s="3092"/>
      <c r="AE208" s="3093">
        <f t="shared" si="65"/>
        <v>44100</v>
      </c>
      <c r="AF208" s="3094">
        <f t="shared" si="61"/>
        <v>152100</v>
      </c>
    </row>
    <row r="209" spans="1:33" s="3095" customFormat="1" ht="30" customHeight="1">
      <c r="A209" s="3082">
        <v>191</v>
      </c>
      <c r="B209" s="3083" t="s">
        <v>1514</v>
      </c>
      <c r="C209" s="3083" t="s">
        <v>1382</v>
      </c>
      <c r="D209" s="3083" t="s">
        <v>1515</v>
      </c>
      <c r="E209" s="3084" t="s">
        <v>1188</v>
      </c>
      <c r="F209" s="3084" t="s">
        <v>1189</v>
      </c>
      <c r="G209" s="3080" t="s">
        <v>1240</v>
      </c>
      <c r="H209" s="3084" t="s">
        <v>1362</v>
      </c>
      <c r="I209" s="3085"/>
      <c r="J209" s="3085"/>
      <c r="K209" s="3081">
        <v>3</v>
      </c>
      <c r="L209" s="3080"/>
      <c r="M209" s="3086">
        <v>36000</v>
      </c>
      <c r="N209" s="3087">
        <f>M209*L209</f>
        <v>0</v>
      </c>
      <c r="O209" s="3080">
        <v>0</v>
      </c>
      <c r="P209" s="3086">
        <v>20000</v>
      </c>
      <c r="Q209" s="3088">
        <f t="shared" si="44"/>
        <v>0</v>
      </c>
      <c r="R209" s="3089">
        <f t="shared" si="45"/>
        <v>0</v>
      </c>
      <c r="S209" s="3080">
        <f>+K209</f>
        <v>3</v>
      </c>
      <c r="T209" s="3086">
        <v>36000</v>
      </c>
      <c r="U209" s="3088">
        <f>T209*S209</f>
        <v>108000</v>
      </c>
      <c r="V209" s="3080">
        <v>0</v>
      </c>
      <c r="W209" s="3086">
        <v>20000</v>
      </c>
      <c r="X209" s="3088">
        <f t="shared" si="46"/>
        <v>0</v>
      </c>
      <c r="Y209" s="3089">
        <f t="shared" si="47"/>
        <v>108000</v>
      </c>
      <c r="Z209" s="3090">
        <v>298</v>
      </c>
      <c r="AA209" s="3091">
        <v>150</v>
      </c>
      <c r="AB209" s="3087">
        <f t="shared" si="48"/>
        <v>44700</v>
      </c>
      <c r="AC209" s="3092"/>
      <c r="AD209" s="3092"/>
      <c r="AE209" s="3093">
        <f>AB209</f>
        <v>44700</v>
      </c>
      <c r="AF209" s="3094">
        <f t="shared" si="61"/>
        <v>152700</v>
      </c>
      <c r="AG209" s="3095">
        <v>5</v>
      </c>
    </row>
    <row r="210" spans="1:33" s="3095" customFormat="1" ht="30" customHeight="1">
      <c r="A210" s="3082">
        <v>192</v>
      </c>
      <c r="B210" s="3083" t="s">
        <v>1516</v>
      </c>
      <c r="C210" s="3083" t="s">
        <v>1382</v>
      </c>
      <c r="D210" s="3083" t="s">
        <v>1444</v>
      </c>
      <c r="E210" s="3084" t="s">
        <v>1188</v>
      </c>
      <c r="F210" s="3084" t="s">
        <v>1189</v>
      </c>
      <c r="G210" s="3080" t="s">
        <v>1240</v>
      </c>
      <c r="H210" s="3084" t="s">
        <v>1362</v>
      </c>
      <c r="I210" s="3085"/>
      <c r="J210" s="3085"/>
      <c r="K210" s="3081">
        <v>3</v>
      </c>
      <c r="L210" s="3080"/>
      <c r="M210" s="3086">
        <v>36000</v>
      </c>
      <c r="N210" s="3087">
        <f t="shared" ref="N210:N221" si="66">M210*L210</f>
        <v>0</v>
      </c>
      <c r="O210" s="3080">
        <v>0</v>
      </c>
      <c r="P210" s="3086">
        <v>20000</v>
      </c>
      <c r="Q210" s="3088">
        <f t="shared" si="44"/>
        <v>0</v>
      </c>
      <c r="R210" s="3089">
        <f t="shared" si="45"/>
        <v>0</v>
      </c>
      <c r="S210" s="3080">
        <f t="shared" ref="S210:S221" si="67">+K210</f>
        <v>3</v>
      </c>
      <c r="T210" s="3086">
        <v>36000</v>
      </c>
      <c r="U210" s="3088">
        <f t="shared" ref="U210:U221" si="68">T210*S210</f>
        <v>108000</v>
      </c>
      <c r="V210" s="3080">
        <v>0</v>
      </c>
      <c r="W210" s="3086">
        <v>20000</v>
      </c>
      <c r="X210" s="3088">
        <f t="shared" si="46"/>
        <v>0</v>
      </c>
      <c r="Y210" s="3089">
        <f t="shared" si="47"/>
        <v>108000</v>
      </c>
      <c r="Z210" s="3090">
        <v>296</v>
      </c>
      <c r="AA210" s="3091">
        <v>150</v>
      </c>
      <c r="AB210" s="3087">
        <f t="shared" si="48"/>
        <v>44400</v>
      </c>
      <c r="AC210" s="3092"/>
      <c r="AD210" s="3092"/>
      <c r="AE210" s="3093">
        <f t="shared" ref="AE210:AE221" si="69">AB210</f>
        <v>44400</v>
      </c>
      <c r="AF210" s="3094">
        <f t="shared" si="61"/>
        <v>152400</v>
      </c>
      <c r="AG210" s="3095">
        <v>6</v>
      </c>
    </row>
    <row r="211" spans="1:33" s="3095" customFormat="1" ht="30" customHeight="1">
      <c r="A211" s="3082">
        <v>193</v>
      </c>
      <c r="B211" s="3083" t="s">
        <v>1517</v>
      </c>
      <c r="C211" s="3083" t="s">
        <v>1196</v>
      </c>
      <c r="D211" s="3083" t="s">
        <v>1518</v>
      </c>
      <c r="E211" s="3084" t="s">
        <v>1188</v>
      </c>
      <c r="F211" s="3084" t="s">
        <v>1189</v>
      </c>
      <c r="G211" s="3080" t="s">
        <v>1240</v>
      </c>
      <c r="H211" s="3084" t="s">
        <v>1362</v>
      </c>
      <c r="I211" s="3085"/>
      <c r="J211" s="3085"/>
      <c r="K211" s="3081">
        <v>3</v>
      </c>
      <c r="L211" s="3080"/>
      <c r="M211" s="3086">
        <v>36000</v>
      </c>
      <c r="N211" s="3087">
        <f t="shared" si="66"/>
        <v>0</v>
      </c>
      <c r="O211" s="3080">
        <v>0</v>
      </c>
      <c r="P211" s="3086">
        <v>20000</v>
      </c>
      <c r="Q211" s="3088">
        <f t="shared" si="44"/>
        <v>0</v>
      </c>
      <c r="R211" s="3089">
        <f t="shared" si="45"/>
        <v>0</v>
      </c>
      <c r="S211" s="3080">
        <f t="shared" si="67"/>
        <v>3</v>
      </c>
      <c r="T211" s="3086">
        <v>36000</v>
      </c>
      <c r="U211" s="3088">
        <f t="shared" si="68"/>
        <v>108000</v>
      </c>
      <c r="V211" s="3080">
        <v>0</v>
      </c>
      <c r="W211" s="3086">
        <v>20000</v>
      </c>
      <c r="X211" s="3088">
        <f t="shared" si="46"/>
        <v>0</v>
      </c>
      <c r="Y211" s="3089">
        <f t="shared" si="47"/>
        <v>108000</v>
      </c>
      <c r="Z211" s="3090">
        <v>278</v>
      </c>
      <c r="AA211" s="3091">
        <v>150</v>
      </c>
      <c r="AB211" s="3087">
        <f t="shared" ref="AB211:AB262" si="70">Z211*AA211</f>
        <v>41700</v>
      </c>
      <c r="AC211" s="3092"/>
      <c r="AD211" s="3092"/>
      <c r="AE211" s="3093">
        <f t="shared" si="69"/>
        <v>41700</v>
      </c>
      <c r="AF211" s="3094">
        <f t="shared" si="61"/>
        <v>149700</v>
      </c>
      <c r="AG211" s="3095">
        <v>7</v>
      </c>
    </row>
    <row r="212" spans="1:33" s="3095" customFormat="1" ht="30" customHeight="1">
      <c r="A212" s="3082">
        <v>194</v>
      </c>
      <c r="B212" s="3083" t="s">
        <v>1519</v>
      </c>
      <c r="C212" s="3083" t="s">
        <v>1385</v>
      </c>
      <c r="D212" s="3083" t="s">
        <v>1520</v>
      </c>
      <c r="E212" s="3084" t="s">
        <v>1188</v>
      </c>
      <c r="F212" s="3084" t="s">
        <v>1189</v>
      </c>
      <c r="G212" s="3080" t="s">
        <v>1240</v>
      </c>
      <c r="H212" s="3084" t="s">
        <v>1362</v>
      </c>
      <c r="I212" s="3085"/>
      <c r="J212" s="3085"/>
      <c r="K212" s="3081">
        <v>3</v>
      </c>
      <c r="L212" s="3080"/>
      <c r="M212" s="3086">
        <v>36000</v>
      </c>
      <c r="N212" s="3087">
        <f t="shared" si="66"/>
        <v>0</v>
      </c>
      <c r="O212" s="3080">
        <v>0</v>
      </c>
      <c r="P212" s="3086">
        <v>20000</v>
      </c>
      <c r="Q212" s="3088">
        <f t="shared" si="44"/>
        <v>0</v>
      </c>
      <c r="R212" s="3089">
        <f t="shared" si="45"/>
        <v>0</v>
      </c>
      <c r="S212" s="3080">
        <f t="shared" si="67"/>
        <v>3</v>
      </c>
      <c r="T212" s="3086">
        <v>36000</v>
      </c>
      <c r="U212" s="3088">
        <f t="shared" si="68"/>
        <v>108000</v>
      </c>
      <c r="V212" s="3080">
        <v>0</v>
      </c>
      <c r="W212" s="3086">
        <v>20000</v>
      </c>
      <c r="X212" s="3088">
        <f t="shared" si="46"/>
        <v>0</v>
      </c>
      <c r="Y212" s="3089">
        <f t="shared" si="47"/>
        <v>108000</v>
      </c>
      <c r="Z212" s="3090">
        <v>278</v>
      </c>
      <c r="AA212" s="3091">
        <v>150</v>
      </c>
      <c r="AB212" s="3087">
        <f t="shared" si="70"/>
        <v>41700</v>
      </c>
      <c r="AC212" s="3092"/>
      <c r="AD212" s="3092"/>
      <c r="AE212" s="3093">
        <f t="shared" si="69"/>
        <v>41700</v>
      </c>
      <c r="AF212" s="3094">
        <f t="shared" si="61"/>
        <v>149700</v>
      </c>
      <c r="AG212" s="3095">
        <v>8</v>
      </c>
    </row>
    <row r="213" spans="1:33" s="3095" customFormat="1" ht="30" customHeight="1">
      <c r="A213" s="3082">
        <v>195</v>
      </c>
      <c r="B213" s="3083" t="s">
        <v>1521</v>
      </c>
      <c r="C213" s="3083" t="s">
        <v>1385</v>
      </c>
      <c r="D213" s="3083" t="s">
        <v>1522</v>
      </c>
      <c r="E213" s="3084" t="s">
        <v>1188</v>
      </c>
      <c r="F213" s="3084" t="s">
        <v>1189</v>
      </c>
      <c r="G213" s="3080" t="s">
        <v>1240</v>
      </c>
      <c r="H213" s="3084" t="s">
        <v>1362</v>
      </c>
      <c r="I213" s="3085"/>
      <c r="J213" s="3085"/>
      <c r="K213" s="3081">
        <v>3</v>
      </c>
      <c r="L213" s="3080"/>
      <c r="M213" s="3086">
        <v>36000</v>
      </c>
      <c r="N213" s="3087">
        <f t="shared" si="66"/>
        <v>0</v>
      </c>
      <c r="O213" s="3080">
        <v>0</v>
      </c>
      <c r="P213" s="3086">
        <v>20000</v>
      </c>
      <c r="Q213" s="3088">
        <f t="shared" si="44"/>
        <v>0</v>
      </c>
      <c r="R213" s="3089">
        <f t="shared" si="45"/>
        <v>0</v>
      </c>
      <c r="S213" s="3080">
        <f t="shared" si="67"/>
        <v>3</v>
      </c>
      <c r="T213" s="3086">
        <v>36000</v>
      </c>
      <c r="U213" s="3088">
        <f t="shared" si="68"/>
        <v>108000</v>
      </c>
      <c r="V213" s="3080">
        <v>0</v>
      </c>
      <c r="W213" s="3086">
        <v>20000</v>
      </c>
      <c r="X213" s="3088">
        <f t="shared" si="46"/>
        <v>0</v>
      </c>
      <c r="Y213" s="3089">
        <f t="shared" si="47"/>
        <v>108000</v>
      </c>
      <c r="Z213" s="3090">
        <v>266</v>
      </c>
      <c r="AA213" s="3091">
        <v>150</v>
      </c>
      <c r="AB213" s="3087">
        <f t="shared" si="70"/>
        <v>39900</v>
      </c>
      <c r="AC213" s="3092"/>
      <c r="AD213" s="3092"/>
      <c r="AE213" s="3093">
        <f t="shared" si="69"/>
        <v>39900</v>
      </c>
      <c r="AF213" s="3094">
        <f t="shared" si="61"/>
        <v>147900</v>
      </c>
      <c r="AG213" s="3095">
        <v>9</v>
      </c>
    </row>
    <row r="214" spans="1:33" s="3095" customFormat="1" ht="30" customHeight="1">
      <c r="A214" s="3082">
        <v>196</v>
      </c>
      <c r="B214" s="3083" t="s">
        <v>1523</v>
      </c>
      <c r="C214" s="3083" t="s">
        <v>1333</v>
      </c>
      <c r="D214" s="3083" t="s">
        <v>1524</v>
      </c>
      <c r="E214" s="3084" t="s">
        <v>1188</v>
      </c>
      <c r="F214" s="3084" t="s">
        <v>1189</v>
      </c>
      <c r="G214" s="3080" t="s">
        <v>1240</v>
      </c>
      <c r="H214" s="3084" t="s">
        <v>1362</v>
      </c>
      <c r="I214" s="3085"/>
      <c r="J214" s="3085"/>
      <c r="K214" s="3081">
        <v>3</v>
      </c>
      <c r="L214" s="3080"/>
      <c r="M214" s="3086">
        <v>36000</v>
      </c>
      <c r="N214" s="3087">
        <f t="shared" si="66"/>
        <v>0</v>
      </c>
      <c r="O214" s="3080">
        <v>0</v>
      </c>
      <c r="P214" s="3086">
        <v>20000</v>
      </c>
      <c r="Q214" s="3088">
        <f t="shared" si="44"/>
        <v>0</v>
      </c>
      <c r="R214" s="3089">
        <f t="shared" si="45"/>
        <v>0</v>
      </c>
      <c r="S214" s="3080">
        <f t="shared" si="67"/>
        <v>3</v>
      </c>
      <c r="T214" s="3086">
        <v>36000</v>
      </c>
      <c r="U214" s="3088">
        <f t="shared" si="68"/>
        <v>108000</v>
      </c>
      <c r="V214" s="3080">
        <v>0</v>
      </c>
      <c r="W214" s="3086">
        <v>20000</v>
      </c>
      <c r="X214" s="3088">
        <f t="shared" si="46"/>
        <v>0</v>
      </c>
      <c r="Y214" s="3089">
        <f t="shared" si="47"/>
        <v>108000</v>
      </c>
      <c r="Z214" s="3090">
        <v>278</v>
      </c>
      <c r="AA214" s="3091">
        <v>150</v>
      </c>
      <c r="AB214" s="3087">
        <f t="shared" si="70"/>
        <v>41700</v>
      </c>
      <c r="AC214" s="3092"/>
      <c r="AD214" s="3092"/>
      <c r="AE214" s="3093">
        <f t="shared" si="69"/>
        <v>41700</v>
      </c>
      <c r="AF214" s="3094">
        <f t="shared" si="61"/>
        <v>149700</v>
      </c>
      <c r="AG214" s="3095">
        <v>10</v>
      </c>
    </row>
    <row r="215" spans="1:33" s="3095" customFormat="1" ht="30" customHeight="1">
      <c r="A215" s="3082">
        <v>197</v>
      </c>
      <c r="B215" s="3083"/>
      <c r="C215" s="3083"/>
      <c r="D215" s="3083"/>
      <c r="E215" s="3084"/>
      <c r="F215" s="3084"/>
      <c r="G215" s="3080" t="s">
        <v>1240</v>
      </c>
      <c r="H215" s="3084"/>
      <c r="I215" s="3085"/>
      <c r="J215" s="3085"/>
      <c r="K215" s="3081"/>
      <c r="L215" s="3080"/>
      <c r="M215" s="3086"/>
      <c r="N215" s="3087"/>
      <c r="O215" s="3080"/>
      <c r="P215" s="3086"/>
      <c r="Q215" s="3088"/>
      <c r="R215" s="3089"/>
      <c r="S215" s="3080"/>
      <c r="T215" s="3086"/>
      <c r="U215" s="3088"/>
      <c r="V215" s="3080"/>
      <c r="W215" s="3086"/>
      <c r="X215" s="3088"/>
      <c r="Y215" s="3089"/>
      <c r="Z215" s="3090"/>
      <c r="AA215" s="3091"/>
      <c r="AB215" s="3087"/>
      <c r="AC215" s="3092"/>
      <c r="AD215" s="3092"/>
      <c r="AE215" s="3093"/>
      <c r="AF215" s="3094"/>
    </row>
    <row r="216" spans="1:33" s="3095" customFormat="1" ht="30" customHeight="1">
      <c r="A216" s="3082">
        <v>198</v>
      </c>
      <c r="B216" s="3083" t="s">
        <v>1525</v>
      </c>
      <c r="C216" s="3083" t="s">
        <v>1385</v>
      </c>
      <c r="D216" s="3083" t="s">
        <v>1526</v>
      </c>
      <c r="E216" s="3084" t="s">
        <v>1188</v>
      </c>
      <c r="F216" s="3084" t="s">
        <v>1189</v>
      </c>
      <c r="G216" s="3080" t="s">
        <v>1240</v>
      </c>
      <c r="H216" s="3084" t="s">
        <v>1362</v>
      </c>
      <c r="I216" s="3085"/>
      <c r="J216" s="3085"/>
      <c r="K216" s="3081">
        <v>3</v>
      </c>
      <c r="L216" s="3080"/>
      <c r="M216" s="3086">
        <v>36000</v>
      </c>
      <c r="N216" s="3087">
        <f t="shared" si="66"/>
        <v>0</v>
      </c>
      <c r="O216" s="3080">
        <v>0</v>
      </c>
      <c r="P216" s="3086">
        <v>20000</v>
      </c>
      <c r="Q216" s="3088">
        <f t="shared" ref="Q216:Q279" si="71">P216*O216</f>
        <v>0</v>
      </c>
      <c r="R216" s="3089">
        <f t="shared" ref="R216:R279" si="72">N216+Q216</f>
        <v>0</v>
      </c>
      <c r="S216" s="3080">
        <f t="shared" si="67"/>
        <v>3</v>
      </c>
      <c r="T216" s="3086">
        <v>36000</v>
      </c>
      <c r="U216" s="3088">
        <f t="shared" si="68"/>
        <v>108000</v>
      </c>
      <c r="V216" s="3080">
        <v>0</v>
      </c>
      <c r="W216" s="3086">
        <v>20000</v>
      </c>
      <c r="X216" s="3088">
        <f t="shared" ref="X216:X279" si="73">V216*W216</f>
        <v>0</v>
      </c>
      <c r="Y216" s="3089">
        <f t="shared" ref="Y216:Y279" si="74">U216+X216</f>
        <v>108000</v>
      </c>
      <c r="Z216" s="3090">
        <v>306</v>
      </c>
      <c r="AA216" s="3091">
        <v>150</v>
      </c>
      <c r="AB216" s="3087">
        <f t="shared" si="70"/>
        <v>45900</v>
      </c>
      <c r="AC216" s="3092"/>
      <c r="AD216" s="3092"/>
      <c r="AE216" s="3093">
        <f t="shared" si="69"/>
        <v>45900</v>
      </c>
      <c r="AF216" s="3094">
        <f t="shared" si="61"/>
        <v>153900</v>
      </c>
      <c r="AG216" s="3095">
        <v>11</v>
      </c>
    </row>
    <row r="217" spans="1:33" s="3095" customFormat="1" ht="30" customHeight="1">
      <c r="A217" s="3082">
        <v>199</v>
      </c>
      <c r="B217" s="3083" t="s">
        <v>1527</v>
      </c>
      <c r="C217" s="3083" t="s">
        <v>1385</v>
      </c>
      <c r="D217" s="3083" t="s">
        <v>1528</v>
      </c>
      <c r="E217" s="3084" t="s">
        <v>1188</v>
      </c>
      <c r="F217" s="3084" t="s">
        <v>1189</v>
      </c>
      <c r="G217" s="3080" t="s">
        <v>1240</v>
      </c>
      <c r="H217" s="3084" t="s">
        <v>1362</v>
      </c>
      <c r="I217" s="3085"/>
      <c r="J217" s="3085"/>
      <c r="K217" s="3081">
        <v>3</v>
      </c>
      <c r="L217" s="3080"/>
      <c r="M217" s="3086">
        <v>36000</v>
      </c>
      <c r="N217" s="3087">
        <f t="shared" si="66"/>
        <v>0</v>
      </c>
      <c r="O217" s="3080">
        <v>0</v>
      </c>
      <c r="P217" s="3086">
        <v>20000</v>
      </c>
      <c r="Q217" s="3088">
        <f t="shared" si="71"/>
        <v>0</v>
      </c>
      <c r="R217" s="3089">
        <f t="shared" si="72"/>
        <v>0</v>
      </c>
      <c r="S217" s="3080">
        <f t="shared" si="67"/>
        <v>3</v>
      </c>
      <c r="T217" s="3086">
        <v>36000</v>
      </c>
      <c r="U217" s="3088">
        <f t="shared" si="68"/>
        <v>108000</v>
      </c>
      <c r="V217" s="3080">
        <v>0</v>
      </c>
      <c r="W217" s="3086">
        <v>20000</v>
      </c>
      <c r="X217" s="3088">
        <f t="shared" si="73"/>
        <v>0</v>
      </c>
      <c r="Y217" s="3089">
        <f t="shared" si="74"/>
        <v>108000</v>
      </c>
      <c r="Z217" s="3090">
        <v>286</v>
      </c>
      <c r="AA217" s="3091">
        <v>150</v>
      </c>
      <c r="AB217" s="3087">
        <f t="shared" si="70"/>
        <v>42900</v>
      </c>
      <c r="AC217" s="3092"/>
      <c r="AD217" s="3092"/>
      <c r="AE217" s="3093">
        <f t="shared" si="69"/>
        <v>42900</v>
      </c>
      <c r="AF217" s="3094">
        <f t="shared" si="61"/>
        <v>150900</v>
      </c>
      <c r="AG217" s="3095">
        <v>12</v>
      </c>
    </row>
    <row r="218" spans="1:33" s="3095" customFormat="1" ht="30" customHeight="1">
      <c r="A218" s="3082">
        <v>200</v>
      </c>
      <c r="B218" s="3083" t="s">
        <v>1529</v>
      </c>
      <c r="C218" s="3083" t="s">
        <v>1186</v>
      </c>
      <c r="D218" s="3083" t="s">
        <v>1530</v>
      </c>
      <c r="E218" s="3084" t="s">
        <v>1188</v>
      </c>
      <c r="F218" s="3084" t="s">
        <v>1189</v>
      </c>
      <c r="G218" s="3080" t="s">
        <v>1240</v>
      </c>
      <c r="H218" s="3084" t="s">
        <v>1187</v>
      </c>
      <c r="I218" s="3085"/>
      <c r="J218" s="3085"/>
      <c r="K218" s="3081">
        <v>3</v>
      </c>
      <c r="L218" s="3080"/>
      <c r="M218" s="3086">
        <v>36000</v>
      </c>
      <c r="N218" s="3087">
        <f t="shared" si="66"/>
        <v>0</v>
      </c>
      <c r="O218" s="3080">
        <v>0</v>
      </c>
      <c r="P218" s="3086">
        <v>20000</v>
      </c>
      <c r="Q218" s="3088">
        <f t="shared" si="71"/>
        <v>0</v>
      </c>
      <c r="R218" s="3089">
        <f t="shared" si="72"/>
        <v>0</v>
      </c>
      <c r="S218" s="3080">
        <f t="shared" si="67"/>
        <v>3</v>
      </c>
      <c r="T218" s="3086">
        <v>36000</v>
      </c>
      <c r="U218" s="3088">
        <f t="shared" si="68"/>
        <v>108000</v>
      </c>
      <c r="V218" s="3080">
        <v>0</v>
      </c>
      <c r="W218" s="3086">
        <v>20000</v>
      </c>
      <c r="X218" s="3088">
        <f t="shared" si="73"/>
        <v>0</v>
      </c>
      <c r="Y218" s="3089">
        <f t="shared" si="74"/>
        <v>108000</v>
      </c>
      <c r="Z218" s="3090">
        <v>50</v>
      </c>
      <c r="AA218" s="3091">
        <v>150</v>
      </c>
      <c r="AB218" s="3087">
        <f t="shared" si="70"/>
        <v>7500</v>
      </c>
      <c r="AC218" s="3092"/>
      <c r="AD218" s="3092"/>
      <c r="AE218" s="3093">
        <f t="shared" si="69"/>
        <v>7500</v>
      </c>
      <c r="AF218" s="3094">
        <f t="shared" si="61"/>
        <v>115500</v>
      </c>
      <c r="AG218" s="3095">
        <v>13</v>
      </c>
    </row>
    <row r="219" spans="1:33" s="3095" customFormat="1" ht="30" customHeight="1">
      <c r="A219" s="3082">
        <v>201</v>
      </c>
      <c r="B219" s="3083" t="s">
        <v>1531</v>
      </c>
      <c r="C219" s="3083" t="s">
        <v>1194</v>
      </c>
      <c r="D219" s="3083" t="s">
        <v>1530</v>
      </c>
      <c r="E219" s="3084" t="s">
        <v>1188</v>
      </c>
      <c r="F219" s="3084" t="s">
        <v>1189</v>
      </c>
      <c r="G219" s="3080" t="s">
        <v>1240</v>
      </c>
      <c r="H219" s="3084" t="s">
        <v>1187</v>
      </c>
      <c r="I219" s="3085"/>
      <c r="J219" s="3085"/>
      <c r="K219" s="3081">
        <v>3</v>
      </c>
      <c r="L219" s="3080"/>
      <c r="M219" s="3086">
        <v>36000</v>
      </c>
      <c r="N219" s="3087">
        <f t="shared" si="66"/>
        <v>0</v>
      </c>
      <c r="O219" s="3080">
        <v>0</v>
      </c>
      <c r="P219" s="3086">
        <v>20000</v>
      </c>
      <c r="Q219" s="3088">
        <f t="shared" si="71"/>
        <v>0</v>
      </c>
      <c r="R219" s="3089">
        <f t="shared" si="72"/>
        <v>0</v>
      </c>
      <c r="S219" s="3080">
        <f t="shared" si="67"/>
        <v>3</v>
      </c>
      <c r="T219" s="3086">
        <v>36000</v>
      </c>
      <c r="U219" s="3088">
        <f t="shared" si="68"/>
        <v>108000</v>
      </c>
      <c r="V219" s="3080">
        <v>0</v>
      </c>
      <c r="W219" s="3086">
        <v>20000</v>
      </c>
      <c r="X219" s="3088">
        <f t="shared" si="73"/>
        <v>0</v>
      </c>
      <c r="Y219" s="3089">
        <f t="shared" si="74"/>
        <v>108000</v>
      </c>
      <c r="Z219" s="3090">
        <v>50</v>
      </c>
      <c r="AA219" s="3091">
        <v>150</v>
      </c>
      <c r="AB219" s="3087">
        <f t="shared" si="70"/>
        <v>7500</v>
      </c>
      <c r="AC219" s="3092"/>
      <c r="AD219" s="3092"/>
      <c r="AE219" s="3093">
        <f t="shared" si="69"/>
        <v>7500</v>
      </c>
      <c r="AF219" s="3094">
        <f t="shared" si="61"/>
        <v>115500</v>
      </c>
      <c r="AG219" s="3095">
        <v>14</v>
      </c>
    </row>
    <row r="220" spans="1:33" s="3095" customFormat="1" ht="30" customHeight="1">
      <c r="A220" s="3082">
        <v>202</v>
      </c>
      <c r="B220" s="3083" t="s">
        <v>1532</v>
      </c>
      <c r="C220" s="3083" t="s">
        <v>1186</v>
      </c>
      <c r="D220" s="3083" t="s">
        <v>1533</v>
      </c>
      <c r="E220" s="3084" t="s">
        <v>1188</v>
      </c>
      <c r="F220" s="3084" t="s">
        <v>1189</v>
      </c>
      <c r="G220" s="3080" t="s">
        <v>1240</v>
      </c>
      <c r="H220" s="3084" t="s">
        <v>1187</v>
      </c>
      <c r="I220" s="3085"/>
      <c r="J220" s="3085"/>
      <c r="K220" s="3081">
        <v>3</v>
      </c>
      <c r="L220" s="3080"/>
      <c r="M220" s="3086">
        <v>36000</v>
      </c>
      <c r="N220" s="3087">
        <f t="shared" si="66"/>
        <v>0</v>
      </c>
      <c r="O220" s="3080">
        <v>0</v>
      </c>
      <c r="P220" s="3086">
        <v>20000</v>
      </c>
      <c r="Q220" s="3088">
        <f t="shared" si="71"/>
        <v>0</v>
      </c>
      <c r="R220" s="3089">
        <f t="shared" si="72"/>
        <v>0</v>
      </c>
      <c r="S220" s="3080">
        <f t="shared" si="67"/>
        <v>3</v>
      </c>
      <c r="T220" s="3086">
        <v>36000</v>
      </c>
      <c r="U220" s="3088">
        <f t="shared" si="68"/>
        <v>108000</v>
      </c>
      <c r="V220" s="3080">
        <v>0</v>
      </c>
      <c r="W220" s="3086">
        <v>20000</v>
      </c>
      <c r="X220" s="3088">
        <f t="shared" si="73"/>
        <v>0</v>
      </c>
      <c r="Y220" s="3089">
        <f t="shared" si="74"/>
        <v>108000</v>
      </c>
      <c r="Z220" s="3090">
        <v>54</v>
      </c>
      <c r="AA220" s="3091">
        <v>150</v>
      </c>
      <c r="AB220" s="3087">
        <f t="shared" si="70"/>
        <v>8100</v>
      </c>
      <c r="AC220" s="3092"/>
      <c r="AD220" s="3092"/>
      <c r="AE220" s="3093">
        <f t="shared" si="69"/>
        <v>8100</v>
      </c>
      <c r="AF220" s="3094">
        <f t="shared" si="61"/>
        <v>116100</v>
      </c>
      <c r="AG220" s="3095">
        <v>15</v>
      </c>
    </row>
    <row r="221" spans="1:33" s="3095" customFormat="1" ht="30" customHeight="1">
      <c r="A221" s="3082">
        <v>203</v>
      </c>
      <c r="B221" s="3083" t="s">
        <v>1534</v>
      </c>
      <c r="C221" s="3083" t="s">
        <v>1196</v>
      </c>
      <c r="D221" s="3083" t="s">
        <v>1533</v>
      </c>
      <c r="E221" s="3084" t="s">
        <v>1188</v>
      </c>
      <c r="F221" s="3084" t="s">
        <v>1189</v>
      </c>
      <c r="G221" s="3080" t="s">
        <v>1240</v>
      </c>
      <c r="H221" s="3084" t="s">
        <v>1187</v>
      </c>
      <c r="I221" s="3085"/>
      <c r="J221" s="3085"/>
      <c r="K221" s="3081">
        <v>3</v>
      </c>
      <c r="L221" s="3080"/>
      <c r="M221" s="3086">
        <v>36000</v>
      </c>
      <c r="N221" s="3087">
        <f t="shared" si="66"/>
        <v>0</v>
      </c>
      <c r="O221" s="3080">
        <v>0</v>
      </c>
      <c r="P221" s="3086">
        <v>20000</v>
      </c>
      <c r="Q221" s="3088">
        <f t="shared" si="71"/>
        <v>0</v>
      </c>
      <c r="R221" s="3089">
        <f t="shared" si="72"/>
        <v>0</v>
      </c>
      <c r="S221" s="3080">
        <f t="shared" si="67"/>
        <v>3</v>
      </c>
      <c r="T221" s="3086">
        <v>36000</v>
      </c>
      <c r="U221" s="3088">
        <f t="shared" si="68"/>
        <v>108000</v>
      </c>
      <c r="V221" s="3080">
        <v>0</v>
      </c>
      <c r="W221" s="3086">
        <v>20000</v>
      </c>
      <c r="X221" s="3088">
        <f t="shared" si="73"/>
        <v>0</v>
      </c>
      <c r="Y221" s="3089">
        <f t="shared" si="74"/>
        <v>108000</v>
      </c>
      <c r="Z221" s="3090">
        <v>54</v>
      </c>
      <c r="AA221" s="3091">
        <v>150</v>
      </c>
      <c r="AB221" s="3087">
        <f t="shared" si="70"/>
        <v>8100</v>
      </c>
      <c r="AC221" s="3092"/>
      <c r="AD221" s="3092"/>
      <c r="AE221" s="3093">
        <f t="shared" si="69"/>
        <v>8100</v>
      </c>
      <c r="AF221" s="3094">
        <f t="shared" si="61"/>
        <v>116100</v>
      </c>
      <c r="AG221" s="3095">
        <v>16</v>
      </c>
    </row>
    <row r="222" spans="1:33" s="3095" customFormat="1" ht="30" customHeight="1">
      <c r="A222" s="3082">
        <v>204</v>
      </c>
      <c r="B222" s="3083" t="s">
        <v>1535</v>
      </c>
      <c r="C222" s="3083" t="s">
        <v>1186</v>
      </c>
      <c r="D222" s="3083" t="s">
        <v>1533</v>
      </c>
      <c r="E222" s="3084" t="s">
        <v>1188</v>
      </c>
      <c r="F222" s="3084" t="s">
        <v>1189</v>
      </c>
      <c r="G222" s="3080" t="s">
        <v>1240</v>
      </c>
      <c r="H222" s="3084" t="s">
        <v>1187</v>
      </c>
      <c r="I222" s="3085"/>
      <c r="J222" s="3085"/>
      <c r="K222" s="3081">
        <v>3</v>
      </c>
      <c r="L222" s="3080"/>
      <c r="M222" s="3086">
        <v>36000</v>
      </c>
      <c r="N222" s="3087">
        <f>M222*L222</f>
        <v>0</v>
      </c>
      <c r="O222" s="3080">
        <v>0</v>
      </c>
      <c r="P222" s="3086">
        <v>20000</v>
      </c>
      <c r="Q222" s="3088">
        <f t="shared" si="71"/>
        <v>0</v>
      </c>
      <c r="R222" s="3089">
        <f t="shared" si="72"/>
        <v>0</v>
      </c>
      <c r="S222" s="3080">
        <f>+K222</f>
        <v>3</v>
      </c>
      <c r="T222" s="3086">
        <v>36000</v>
      </c>
      <c r="U222" s="3088">
        <f>T222*S222</f>
        <v>108000</v>
      </c>
      <c r="V222" s="3080">
        <v>0</v>
      </c>
      <c r="W222" s="3086">
        <v>20000</v>
      </c>
      <c r="X222" s="3088">
        <f t="shared" si="73"/>
        <v>0</v>
      </c>
      <c r="Y222" s="3089">
        <f t="shared" si="74"/>
        <v>108000</v>
      </c>
      <c r="Z222" s="3090">
        <v>54</v>
      </c>
      <c r="AA222" s="3091">
        <v>150</v>
      </c>
      <c r="AB222" s="3087">
        <f t="shared" si="70"/>
        <v>8100</v>
      </c>
      <c r="AC222" s="3092"/>
      <c r="AD222" s="3092"/>
      <c r="AE222" s="3093">
        <f>AB222</f>
        <v>8100</v>
      </c>
      <c r="AF222" s="3094">
        <f t="shared" si="61"/>
        <v>116100</v>
      </c>
      <c r="AG222" s="3095">
        <v>17</v>
      </c>
    </row>
    <row r="223" spans="1:33" s="3095" customFormat="1" ht="30" customHeight="1">
      <c r="A223" s="3082">
        <v>205</v>
      </c>
      <c r="B223" s="3083" t="s">
        <v>1536</v>
      </c>
      <c r="C223" s="3083" t="s">
        <v>1186</v>
      </c>
      <c r="D223" s="3083" t="s">
        <v>1537</v>
      </c>
      <c r="E223" s="3084" t="s">
        <v>1188</v>
      </c>
      <c r="F223" s="3084" t="s">
        <v>1189</v>
      </c>
      <c r="G223" s="3080" t="s">
        <v>1240</v>
      </c>
      <c r="H223" s="3084" t="s">
        <v>1187</v>
      </c>
      <c r="I223" s="3085"/>
      <c r="J223" s="3085"/>
      <c r="K223" s="3081">
        <v>3</v>
      </c>
      <c r="L223" s="3080"/>
      <c r="M223" s="3086">
        <v>36000</v>
      </c>
      <c r="N223" s="3087">
        <f t="shared" ref="N223:N233" si="75">M223*L223</f>
        <v>0</v>
      </c>
      <c r="O223" s="3080">
        <v>0</v>
      </c>
      <c r="P223" s="3086">
        <v>20000</v>
      </c>
      <c r="Q223" s="3088">
        <f t="shared" si="71"/>
        <v>0</v>
      </c>
      <c r="R223" s="3089">
        <f t="shared" si="72"/>
        <v>0</v>
      </c>
      <c r="S223" s="3080">
        <f t="shared" ref="S223:S233" si="76">+K223</f>
        <v>3</v>
      </c>
      <c r="T223" s="3086">
        <v>36000</v>
      </c>
      <c r="U223" s="3088">
        <f t="shared" ref="U223:U233" si="77">T223*S223</f>
        <v>108000</v>
      </c>
      <c r="V223" s="3080">
        <v>0</v>
      </c>
      <c r="W223" s="3086">
        <v>20000</v>
      </c>
      <c r="X223" s="3088">
        <f t="shared" si="73"/>
        <v>0</v>
      </c>
      <c r="Y223" s="3089">
        <f t="shared" si="74"/>
        <v>108000</v>
      </c>
      <c r="Z223" s="3090">
        <v>58</v>
      </c>
      <c r="AA223" s="3091">
        <v>150</v>
      </c>
      <c r="AB223" s="3087">
        <f t="shared" si="70"/>
        <v>8700</v>
      </c>
      <c r="AC223" s="3092"/>
      <c r="AD223" s="3092"/>
      <c r="AE223" s="3093">
        <f t="shared" ref="AE223:AE233" si="78">AB223</f>
        <v>8700</v>
      </c>
      <c r="AF223" s="3094">
        <f t="shared" si="61"/>
        <v>116700</v>
      </c>
      <c r="AG223" s="3095">
        <v>18</v>
      </c>
    </row>
    <row r="224" spans="1:33" s="3095" customFormat="1" ht="30" customHeight="1">
      <c r="A224" s="3082">
        <v>206</v>
      </c>
      <c r="B224" s="3083" t="s">
        <v>1538</v>
      </c>
      <c r="C224" s="3083" t="s">
        <v>1194</v>
      </c>
      <c r="D224" s="3083" t="s">
        <v>1537</v>
      </c>
      <c r="E224" s="3084" t="s">
        <v>1188</v>
      </c>
      <c r="F224" s="3084" t="s">
        <v>1189</v>
      </c>
      <c r="G224" s="3080" t="s">
        <v>1240</v>
      </c>
      <c r="H224" s="3084" t="s">
        <v>1187</v>
      </c>
      <c r="I224" s="3085"/>
      <c r="J224" s="3085"/>
      <c r="K224" s="3081">
        <v>3</v>
      </c>
      <c r="L224" s="3080"/>
      <c r="M224" s="3086">
        <v>36000</v>
      </c>
      <c r="N224" s="3087">
        <f t="shared" si="75"/>
        <v>0</v>
      </c>
      <c r="O224" s="3080">
        <v>0</v>
      </c>
      <c r="P224" s="3086">
        <v>20000</v>
      </c>
      <c r="Q224" s="3088">
        <f t="shared" si="71"/>
        <v>0</v>
      </c>
      <c r="R224" s="3089">
        <f t="shared" si="72"/>
        <v>0</v>
      </c>
      <c r="S224" s="3080">
        <f t="shared" si="76"/>
        <v>3</v>
      </c>
      <c r="T224" s="3086">
        <v>36000</v>
      </c>
      <c r="U224" s="3088">
        <f t="shared" si="77"/>
        <v>108000</v>
      </c>
      <c r="V224" s="3080">
        <v>0</v>
      </c>
      <c r="W224" s="3086">
        <v>20000</v>
      </c>
      <c r="X224" s="3088">
        <f t="shared" si="73"/>
        <v>0</v>
      </c>
      <c r="Y224" s="3089">
        <f t="shared" si="74"/>
        <v>108000</v>
      </c>
      <c r="Z224" s="3090">
        <v>58</v>
      </c>
      <c r="AA224" s="3091">
        <v>150</v>
      </c>
      <c r="AB224" s="3087">
        <f t="shared" si="70"/>
        <v>8700</v>
      </c>
      <c r="AC224" s="3092"/>
      <c r="AD224" s="3092"/>
      <c r="AE224" s="3093">
        <f t="shared" si="78"/>
        <v>8700</v>
      </c>
      <c r="AF224" s="3094">
        <f t="shared" si="61"/>
        <v>116700</v>
      </c>
      <c r="AG224" s="3095">
        <v>19</v>
      </c>
    </row>
    <row r="225" spans="1:33" s="3095" customFormat="1" ht="30" customHeight="1">
      <c r="A225" s="3082">
        <v>207</v>
      </c>
      <c r="B225" s="3083" t="s">
        <v>1539</v>
      </c>
      <c r="C225" s="3083" t="s">
        <v>1194</v>
      </c>
      <c r="D225" s="3083" t="s">
        <v>1540</v>
      </c>
      <c r="E225" s="3084" t="s">
        <v>1188</v>
      </c>
      <c r="F225" s="3084" t="s">
        <v>1189</v>
      </c>
      <c r="G225" s="3080" t="s">
        <v>1240</v>
      </c>
      <c r="H225" s="3084" t="s">
        <v>1187</v>
      </c>
      <c r="I225" s="3085"/>
      <c r="J225" s="3085"/>
      <c r="K225" s="3081">
        <v>3</v>
      </c>
      <c r="L225" s="3080"/>
      <c r="M225" s="3086">
        <v>36000</v>
      </c>
      <c r="N225" s="3087">
        <f t="shared" si="75"/>
        <v>0</v>
      </c>
      <c r="O225" s="3080">
        <v>0</v>
      </c>
      <c r="P225" s="3086">
        <v>20000</v>
      </c>
      <c r="Q225" s="3088">
        <f t="shared" si="71"/>
        <v>0</v>
      </c>
      <c r="R225" s="3089">
        <f t="shared" si="72"/>
        <v>0</v>
      </c>
      <c r="S225" s="3080">
        <f t="shared" si="76"/>
        <v>3</v>
      </c>
      <c r="T225" s="3086">
        <v>36000</v>
      </c>
      <c r="U225" s="3088">
        <f t="shared" si="77"/>
        <v>108000</v>
      </c>
      <c r="V225" s="3080">
        <v>0</v>
      </c>
      <c r="W225" s="3086">
        <v>20000</v>
      </c>
      <c r="X225" s="3088">
        <f t="shared" si="73"/>
        <v>0</v>
      </c>
      <c r="Y225" s="3089">
        <f t="shared" si="74"/>
        <v>108000</v>
      </c>
      <c r="Z225" s="3090">
        <v>48</v>
      </c>
      <c r="AA225" s="3091">
        <v>150</v>
      </c>
      <c r="AB225" s="3087">
        <f t="shared" si="70"/>
        <v>7200</v>
      </c>
      <c r="AC225" s="3092"/>
      <c r="AD225" s="3092"/>
      <c r="AE225" s="3093">
        <f t="shared" si="78"/>
        <v>7200</v>
      </c>
      <c r="AF225" s="3094">
        <f t="shared" si="61"/>
        <v>115200</v>
      </c>
      <c r="AG225" s="3095">
        <v>20</v>
      </c>
    </row>
    <row r="226" spans="1:33" s="3095" customFormat="1" ht="30" customHeight="1">
      <c r="A226" s="3082">
        <v>208</v>
      </c>
      <c r="B226" s="3083" t="s">
        <v>1541</v>
      </c>
      <c r="C226" s="3083" t="s">
        <v>1192</v>
      </c>
      <c r="D226" s="3083" t="s">
        <v>1540</v>
      </c>
      <c r="E226" s="3084" t="s">
        <v>1188</v>
      </c>
      <c r="F226" s="3084" t="s">
        <v>1189</v>
      </c>
      <c r="G226" s="3080" t="s">
        <v>1240</v>
      </c>
      <c r="H226" s="3084" t="s">
        <v>1187</v>
      </c>
      <c r="I226" s="3085"/>
      <c r="J226" s="3085"/>
      <c r="K226" s="3081">
        <v>3</v>
      </c>
      <c r="L226" s="3080"/>
      <c r="M226" s="3086">
        <v>36000</v>
      </c>
      <c r="N226" s="3087">
        <f t="shared" si="75"/>
        <v>0</v>
      </c>
      <c r="O226" s="3080">
        <v>0</v>
      </c>
      <c r="P226" s="3086">
        <v>20000</v>
      </c>
      <c r="Q226" s="3088">
        <f t="shared" si="71"/>
        <v>0</v>
      </c>
      <c r="R226" s="3089">
        <f t="shared" si="72"/>
        <v>0</v>
      </c>
      <c r="S226" s="3080">
        <f t="shared" si="76"/>
        <v>3</v>
      </c>
      <c r="T226" s="3086">
        <v>36000</v>
      </c>
      <c r="U226" s="3088">
        <f t="shared" si="77"/>
        <v>108000</v>
      </c>
      <c r="V226" s="3080">
        <v>0</v>
      </c>
      <c r="W226" s="3086">
        <v>20000</v>
      </c>
      <c r="X226" s="3088">
        <f t="shared" si="73"/>
        <v>0</v>
      </c>
      <c r="Y226" s="3089">
        <f t="shared" si="74"/>
        <v>108000</v>
      </c>
      <c r="Z226" s="3090">
        <v>48</v>
      </c>
      <c r="AA226" s="3091">
        <v>150</v>
      </c>
      <c r="AB226" s="3087">
        <f t="shared" si="70"/>
        <v>7200</v>
      </c>
      <c r="AC226" s="3092"/>
      <c r="AD226" s="3092"/>
      <c r="AE226" s="3093">
        <f t="shared" si="78"/>
        <v>7200</v>
      </c>
      <c r="AF226" s="3094">
        <f t="shared" si="61"/>
        <v>115200</v>
      </c>
      <c r="AG226" s="3095">
        <v>21</v>
      </c>
    </row>
    <row r="227" spans="1:33" s="3095" customFormat="1" ht="30" customHeight="1">
      <c r="A227" s="3082">
        <v>209</v>
      </c>
      <c r="B227" s="3083" t="s">
        <v>1542</v>
      </c>
      <c r="C227" s="3083" t="s">
        <v>1186</v>
      </c>
      <c r="D227" s="3083" t="s">
        <v>1543</v>
      </c>
      <c r="E227" s="3084" t="s">
        <v>1188</v>
      </c>
      <c r="F227" s="3084" t="s">
        <v>1189</v>
      </c>
      <c r="G227" s="3080" t="s">
        <v>1240</v>
      </c>
      <c r="H227" s="3084" t="s">
        <v>1187</v>
      </c>
      <c r="I227" s="3085"/>
      <c r="J227" s="3085"/>
      <c r="K227" s="3081">
        <v>3</v>
      </c>
      <c r="L227" s="3080"/>
      <c r="M227" s="3086">
        <v>36000</v>
      </c>
      <c r="N227" s="3087">
        <f t="shared" si="75"/>
        <v>0</v>
      </c>
      <c r="O227" s="3080">
        <v>0</v>
      </c>
      <c r="P227" s="3086">
        <v>20000</v>
      </c>
      <c r="Q227" s="3088">
        <f t="shared" si="71"/>
        <v>0</v>
      </c>
      <c r="R227" s="3089">
        <f t="shared" si="72"/>
        <v>0</v>
      </c>
      <c r="S227" s="3080">
        <f t="shared" si="76"/>
        <v>3</v>
      </c>
      <c r="T227" s="3086">
        <v>36000</v>
      </c>
      <c r="U227" s="3088">
        <f t="shared" si="77"/>
        <v>108000</v>
      </c>
      <c r="V227" s="3080">
        <v>0</v>
      </c>
      <c r="W227" s="3086">
        <v>20000</v>
      </c>
      <c r="X227" s="3088">
        <f t="shared" si="73"/>
        <v>0</v>
      </c>
      <c r="Y227" s="3089">
        <f t="shared" si="74"/>
        <v>108000</v>
      </c>
      <c r="Z227" s="3090">
        <v>52</v>
      </c>
      <c r="AA227" s="3091">
        <v>150</v>
      </c>
      <c r="AB227" s="3087">
        <f t="shared" si="70"/>
        <v>7800</v>
      </c>
      <c r="AC227" s="3092"/>
      <c r="AD227" s="3092"/>
      <c r="AE227" s="3093">
        <f t="shared" si="78"/>
        <v>7800</v>
      </c>
      <c r="AF227" s="3094">
        <f t="shared" si="61"/>
        <v>115800</v>
      </c>
      <c r="AG227" s="3095">
        <v>22</v>
      </c>
    </row>
    <row r="228" spans="1:33" s="3095" customFormat="1" ht="30" customHeight="1">
      <c r="A228" s="3082">
        <v>210</v>
      </c>
      <c r="B228" s="3083" t="s">
        <v>1544</v>
      </c>
      <c r="C228" s="3083" t="s">
        <v>1194</v>
      </c>
      <c r="D228" s="3083" t="s">
        <v>1543</v>
      </c>
      <c r="E228" s="3084" t="s">
        <v>1188</v>
      </c>
      <c r="F228" s="3084" t="s">
        <v>1189</v>
      </c>
      <c r="G228" s="3080" t="s">
        <v>1240</v>
      </c>
      <c r="H228" s="3084" t="s">
        <v>1187</v>
      </c>
      <c r="I228" s="3085"/>
      <c r="J228" s="3085"/>
      <c r="K228" s="3081">
        <v>3</v>
      </c>
      <c r="L228" s="3080"/>
      <c r="M228" s="3086">
        <v>36000</v>
      </c>
      <c r="N228" s="3087">
        <f t="shared" si="75"/>
        <v>0</v>
      </c>
      <c r="O228" s="3080">
        <v>0</v>
      </c>
      <c r="P228" s="3086">
        <v>20000</v>
      </c>
      <c r="Q228" s="3088">
        <f t="shared" si="71"/>
        <v>0</v>
      </c>
      <c r="R228" s="3089">
        <f t="shared" si="72"/>
        <v>0</v>
      </c>
      <c r="S228" s="3080">
        <f t="shared" si="76"/>
        <v>3</v>
      </c>
      <c r="T228" s="3086">
        <v>36000</v>
      </c>
      <c r="U228" s="3088">
        <f t="shared" si="77"/>
        <v>108000</v>
      </c>
      <c r="V228" s="3080">
        <v>0</v>
      </c>
      <c r="W228" s="3086">
        <v>20000</v>
      </c>
      <c r="X228" s="3088">
        <f t="shared" si="73"/>
        <v>0</v>
      </c>
      <c r="Y228" s="3089">
        <f t="shared" si="74"/>
        <v>108000</v>
      </c>
      <c r="Z228" s="3090">
        <v>52</v>
      </c>
      <c r="AA228" s="3091">
        <v>150</v>
      </c>
      <c r="AB228" s="3087">
        <f t="shared" si="70"/>
        <v>7800</v>
      </c>
      <c r="AC228" s="3092"/>
      <c r="AD228" s="3092"/>
      <c r="AE228" s="3093">
        <f t="shared" si="78"/>
        <v>7800</v>
      </c>
      <c r="AF228" s="3094">
        <f t="shared" si="61"/>
        <v>115800</v>
      </c>
      <c r="AG228" s="3095">
        <v>23</v>
      </c>
    </row>
    <row r="229" spans="1:33" s="3095" customFormat="1" ht="30" customHeight="1">
      <c r="A229" s="3082">
        <v>211</v>
      </c>
      <c r="B229" s="3083" t="s">
        <v>1545</v>
      </c>
      <c r="C229" s="3083" t="s">
        <v>1192</v>
      </c>
      <c r="D229" s="3083" t="s">
        <v>1543</v>
      </c>
      <c r="E229" s="3084" t="s">
        <v>1188</v>
      </c>
      <c r="F229" s="3084" t="s">
        <v>1189</v>
      </c>
      <c r="G229" s="3080" t="s">
        <v>1240</v>
      </c>
      <c r="H229" s="3084" t="s">
        <v>1187</v>
      </c>
      <c r="I229" s="3085"/>
      <c r="J229" s="3085"/>
      <c r="K229" s="3081">
        <v>3</v>
      </c>
      <c r="L229" s="3080"/>
      <c r="M229" s="3086">
        <v>36000</v>
      </c>
      <c r="N229" s="3087">
        <f t="shared" si="75"/>
        <v>0</v>
      </c>
      <c r="O229" s="3080">
        <v>0</v>
      </c>
      <c r="P229" s="3086">
        <v>20000</v>
      </c>
      <c r="Q229" s="3088">
        <f t="shared" si="71"/>
        <v>0</v>
      </c>
      <c r="R229" s="3089">
        <f t="shared" si="72"/>
        <v>0</v>
      </c>
      <c r="S229" s="3080">
        <f t="shared" si="76"/>
        <v>3</v>
      </c>
      <c r="T229" s="3086">
        <v>36000</v>
      </c>
      <c r="U229" s="3088">
        <f t="shared" si="77"/>
        <v>108000</v>
      </c>
      <c r="V229" s="3080">
        <v>0</v>
      </c>
      <c r="W229" s="3086">
        <v>20000</v>
      </c>
      <c r="X229" s="3088">
        <f t="shared" si="73"/>
        <v>0</v>
      </c>
      <c r="Y229" s="3089">
        <f t="shared" si="74"/>
        <v>108000</v>
      </c>
      <c r="Z229" s="3090">
        <v>52</v>
      </c>
      <c r="AA229" s="3091">
        <v>150</v>
      </c>
      <c r="AB229" s="3087">
        <f t="shared" si="70"/>
        <v>7800</v>
      </c>
      <c r="AC229" s="3092"/>
      <c r="AD229" s="3092"/>
      <c r="AE229" s="3093">
        <f t="shared" si="78"/>
        <v>7800</v>
      </c>
      <c r="AF229" s="3094">
        <f t="shared" si="61"/>
        <v>115800</v>
      </c>
      <c r="AG229" s="3095">
        <v>24</v>
      </c>
    </row>
    <row r="230" spans="1:33" s="3095" customFormat="1" ht="30" customHeight="1">
      <c r="A230" s="3082">
        <v>212</v>
      </c>
      <c r="B230" s="3083" t="s">
        <v>1546</v>
      </c>
      <c r="C230" s="3083" t="s">
        <v>1502</v>
      </c>
      <c r="D230" s="3083" t="s">
        <v>1547</v>
      </c>
      <c r="E230" s="3084" t="s">
        <v>1188</v>
      </c>
      <c r="F230" s="3084" t="s">
        <v>1189</v>
      </c>
      <c r="G230" s="3080" t="s">
        <v>1240</v>
      </c>
      <c r="H230" s="3084" t="s">
        <v>1187</v>
      </c>
      <c r="I230" s="3085"/>
      <c r="J230" s="3085"/>
      <c r="K230" s="3081">
        <v>3</v>
      </c>
      <c r="L230" s="3080"/>
      <c r="M230" s="3086">
        <v>36000</v>
      </c>
      <c r="N230" s="3087">
        <f t="shared" si="75"/>
        <v>0</v>
      </c>
      <c r="O230" s="3080">
        <v>0</v>
      </c>
      <c r="P230" s="3086">
        <v>20000</v>
      </c>
      <c r="Q230" s="3088">
        <f t="shared" si="71"/>
        <v>0</v>
      </c>
      <c r="R230" s="3089">
        <f t="shared" si="72"/>
        <v>0</v>
      </c>
      <c r="S230" s="3080">
        <f t="shared" si="76"/>
        <v>3</v>
      </c>
      <c r="T230" s="3086">
        <v>36000</v>
      </c>
      <c r="U230" s="3088">
        <f t="shared" si="77"/>
        <v>108000</v>
      </c>
      <c r="V230" s="3080">
        <v>0</v>
      </c>
      <c r="W230" s="3086">
        <v>20000</v>
      </c>
      <c r="X230" s="3088">
        <f t="shared" si="73"/>
        <v>0</v>
      </c>
      <c r="Y230" s="3089">
        <f t="shared" si="74"/>
        <v>108000</v>
      </c>
      <c r="Z230" s="3090">
        <v>36</v>
      </c>
      <c r="AA230" s="3091">
        <v>150</v>
      </c>
      <c r="AB230" s="3087">
        <f t="shared" si="70"/>
        <v>5400</v>
      </c>
      <c r="AC230" s="3092"/>
      <c r="AD230" s="3092"/>
      <c r="AE230" s="3093">
        <f t="shared" si="78"/>
        <v>5400</v>
      </c>
      <c r="AF230" s="3094">
        <f t="shared" si="61"/>
        <v>113400</v>
      </c>
      <c r="AG230" s="3095">
        <v>25</v>
      </c>
    </row>
    <row r="231" spans="1:33" s="3095" customFormat="1" ht="30" customHeight="1">
      <c r="A231" s="3082">
        <v>213</v>
      </c>
      <c r="B231" s="3083" t="s">
        <v>1548</v>
      </c>
      <c r="C231" s="3083" t="s">
        <v>1328</v>
      </c>
      <c r="D231" s="3083" t="s">
        <v>1549</v>
      </c>
      <c r="E231" s="3084" t="s">
        <v>1188</v>
      </c>
      <c r="F231" s="3084" t="s">
        <v>1189</v>
      </c>
      <c r="G231" s="3080" t="s">
        <v>1240</v>
      </c>
      <c r="H231" s="3084" t="s">
        <v>1187</v>
      </c>
      <c r="I231" s="3085"/>
      <c r="J231" s="3085"/>
      <c r="K231" s="3081">
        <v>3</v>
      </c>
      <c r="L231" s="3080"/>
      <c r="M231" s="3086">
        <v>36000</v>
      </c>
      <c r="N231" s="3087">
        <f t="shared" si="75"/>
        <v>0</v>
      </c>
      <c r="O231" s="3080">
        <v>0</v>
      </c>
      <c r="P231" s="3086">
        <v>20000</v>
      </c>
      <c r="Q231" s="3088">
        <f t="shared" si="71"/>
        <v>0</v>
      </c>
      <c r="R231" s="3089">
        <f t="shared" si="72"/>
        <v>0</v>
      </c>
      <c r="S231" s="3080">
        <f t="shared" si="76"/>
        <v>3</v>
      </c>
      <c r="T231" s="3086">
        <v>36000</v>
      </c>
      <c r="U231" s="3088">
        <f t="shared" si="77"/>
        <v>108000</v>
      </c>
      <c r="V231" s="3080">
        <v>0</v>
      </c>
      <c r="W231" s="3086">
        <v>20000</v>
      </c>
      <c r="X231" s="3088">
        <f t="shared" si="73"/>
        <v>0</v>
      </c>
      <c r="Y231" s="3089">
        <f t="shared" si="74"/>
        <v>108000</v>
      </c>
      <c r="Z231" s="3090">
        <v>42</v>
      </c>
      <c r="AA231" s="3091">
        <v>150</v>
      </c>
      <c r="AB231" s="3087">
        <f t="shared" si="70"/>
        <v>6300</v>
      </c>
      <c r="AC231" s="3092"/>
      <c r="AD231" s="3092"/>
      <c r="AE231" s="3093">
        <f t="shared" si="78"/>
        <v>6300</v>
      </c>
      <c r="AF231" s="3094">
        <f t="shared" si="61"/>
        <v>114300</v>
      </c>
      <c r="AG231" s="3095">
        <v>26</v>
      </c>
    </row>
    <row r="232" spans="1:33" s="3095" customFormat="1" ht="30" customHeight="1">
      <c r="A232" s="3082">
        <v>214</v>
      </c>
      <c r="B232" s="3083" t="s">
        <v>1550</v>
      </c>
      <c r="C232" s="3083" t="s">
        <v>1186</v>
      </c>
      <c r="D232" s="3083" t="s">
        <v>1551</v>
      </c>
      <c r="E232" s="3084" t="s">
        <v>1188</v>
      </c>
      <c r="F232" s="3084" t="s">
        <v>1189</v>
      </c>
      <c r="G232" s="3080" t="s">
        <v>1240</v>
      </c>
      <c r="H232" s="3084" t="s">
        <v>1187</v>
      </c>
      <c r="I232" s="3085"/>
      <c r="J232" s="3085"/>
      <c r="K232" s="3081">
        <v>3</v>
      </c>
      <c r="L232" s="3080"/>
      <c r="M232" s="3086">
        <v>36000</v>
      </c>
      <c r="N232" s="3087">
        <f t="shared" si="75"/>
        <v>0</v>
      </c>
      <c r="O232" s="3080">
        <v>0</v>
      </c>
      <c r="P232" s="3086">
        <v>20000</v>
      </c>
      <c r="Q232" s="3088">
        <f t="shared" si="71"/>
        <v>0</v>
      </c>
      <c r="R232" s="3089">
        <f t="shared" si="72"/>
        <v>0</v>
      </c>
      <c r="S232" s="3080">
        <f t="shared" si="76"/>
        <v>3</v>
      </c>
      <c r="T232" s="3086">
        <v>36000</v>
      </c>
      <c r="U232" s="3088">
        <f t="shared" si="77"/>
        <v>108000</v>
      </c>
      <c r="V232" s="3080">
        <v>0</v>
      </c>
      <c r="W232" s="3086">
        <v>20000</v>
      </c>
      <c r="X232" s="3088">
        <f t="shared" si="73"/>
        <v>0</v>
      </c>
      <c r="Y232" s="3089">
        <f t="shared" si="74"/>
        <v>108000</v>
      </c>
      <c r="Z232" s="3090">
        <v>62</v>
      </c>
      <c r="AA232" s="3091">
        <v>150</v>
      </c>
      <c r="AB232" s="3087">
        <f t="shared" si="70"/>
        <v>9300</v>
      </c>
      <c r="AC232" s="3092"/>
      <c r="AD232" s="3092"/>
      <c r="AE232" s="3093">
        <f t="shared" si="78"/>
        <v>9300</v>
      </c>
      <c r="AF232" s="3094">
        <f t="shared" si="61"/>
        <v>117300</v>
      </c>
      <c r="AG232" s="3095">
        <v>27</v>
      </c>
    </row>
    <row r="233" spans="1:33" s="3095" customFormat="1" ht="30" customHeight="1">
      <c r="A233" s="3082">
        <v>215</v>
      </c>
      <c r="B233" s="3083" t="s">
        <v>1552</v>
      </c>
      <c r="C233" s="3083" t="s">
        <v>1509</v>
      </c>
      <c r="D233" s="3083" t="s">
        <v>1553</v>
      </c>
      <c r="E233" s="3084" t="s">
        <v>1188</v>
      </c>
      <c r="F233" s="3084" t="s">
        <v>1189</v>
      </c>
      <c r="G233" s="3080" t="s">
        <v>1240</v>
      </c>
      <c r="H233" s="3084" t="s">
        <v>1187</v>
      </c>
      <c r="I233" s="3085"/>
      <c r="J233" s="3085"/>
      <c r="K233" s="3081">
        <v>3</v>
      </c>
      <c r="L233" s="3080"/>
      <c r="M233" s="3086">
        <v>36000</v>
      </c>
      <c r="N233" s="3087">
        <f t="shared" si="75"/>
        <v>0</v>
      </c>
      <c r="O233" s="3080">
        <v>0</v>
      </c>
      <c r="P233" s="3086">
        <v>20000</v>
      </c>
      <c r="Q233" s="3088">
        <f t="shared" si="71"/>
        <v>0</v>
      </c>
      <c r="R233" s="3089">
        <f t="shared" si="72"/>
        <v>0</v>
      </c>
      <c r="S233" s="3080">
        <f t="shared" si="76"/>
        <v>3</v>
      </c>
      <c r="T233" s="3086">
        <v>36000</v>
      </c>
      <c r="U233" s="3088">
        <f t="shared" si="77"/>
        <v>108000</v>
      </c>
      <c r="V233" s="3080">
        <v>0</v>
      </c>
      <c r="W233" s="3086">
        <v>20000</v>
      </c>
      <c r="X233" s="3088">
        <f t="shared" si="73"/>
        <v>0</v>
      </c>
      <c r="Y233" s="3089">
        <f t="shared" si="74"/>
        <v>108000</v>
      </c>
      <c r="Z233" s="3090">
        <v>44</v>
      </c>
      <c r="AA233" s="3091">
        <v>150</v>
      </c>
      <c r="AB233" s="3087">
        <f t="shared" si="70"/>
        <v>6600</v>
      </c>
      <c r="AC233" s="3092"/>
      <c r="AD233" s="3092"/>
      <c r="AE233" s="3093">
        <f t="shared" si="78"/>
        <v>6600</v>
      </c>
      <c r="AF233" s="3094">
        <f t="shared" si="61"/>
        <v>114600</v>
      </c>
      <c r="AG233" s="3095">
        <v>28</v>
      </c>
    </row>
    <row r="234" spans="1:33" s="3095" customFormat="1" ht="30" customHeight="1">
      <c r="A234" s="3082">
        <v>216</v>
      </c>
      <c r="B234" s="3098" t="s">
        <v>1554</v>
      </c>
      <c r="C234" s="3083" t="s">
        <v>1555</v>
      </c>
      <c r="D234" s="3083" t="s">
        <v>1556</v>
      </c>
      <c r="E234" s="3084" t="s">
        <v>1188</v>
      </c>
      <c r="F234" s="3084" t="s">
        <v>1189</v>
      </c>
      <c r="G234" s="3080" t="s">
        <v>1240</v>
      </c>
      <c r="H234" s="3084" t="s">
        <v>1187</v>
      </c>
      <c r="I234" s="3085"/>
      <c r="J234" s="3085"/>
      <c r="K234" s="3081">
        <v>3</v>
      </c>
      <c r="L234" s="3080"/>
      <c r="M234" s="3086">
        <v>36000</v>
      </c>
      <c r="N234" s="3087">
        <f>M234*L234</f>
        <v>0</v>
      </c>
      <c r="O234" s="3080">
        <v>0</v>
      </c>
      <c r="P234" s="3086">
        <v>20000</v>
      </c>
      <c r="Q234" s="3088">
        <f t="shared" si="71"/>
        <v>0</v>
      </c>
      <c r="R234" s="3089">
        <f t="shared" si="72"/>
        <v>0</v>
      </c>
      <c r="S234" s="3080">
        <f>+K234</f>
        <v>3</v>
      </c>
      <c r="T234" s="3086">
        <v>36000</v>
      </c>
      <c r="U234" s="3088">
        <f>T234*S234</f>
        <v>108000</v>
      </c>
      <c r="V234" s="3080">
        <v>0</v>
      </c>
      <c r="W234" s="3086">
        <v>20000</v>
      </c>
      <c r="X234" s="3088">
        <f t="shared" si="73"/>
        <v>0</v>
      </c>
      <c r="Y234" s="3089">
        <f t="shared" si="74"/>
        <v>108000</v>
      </c>
      <c r="Z234" s="3090">
        <v>30</v>
      </c>
      <c r="AA234" s="3091">
        <v>150</v>
      </c>
      <c r="AB234" s="3087">
        <f t="shared" si="70"/>
        <v>4500</v>
      </c>
      <c r="AC234" s="3092"/>
      <c r="AD234" s="3092"/>
      <c r="AE234" s="3093">
        <f>AB234</f>
        <v>4500</v>
      </c>
      <c r="AF234" s="3094">
        <f t="shared" si="61"/>
        <v>112500</v>
      </c>
      <c r="AG234" s="3095">
        <v>29</v>
      </c>
    </row>
    <row r="235" spans="1:33" s="3095" customFormat="1" ht="30" customHeight="1">
      <c r="A235" s="3082">
        <v>217</v>
      </c>
      <c r="B235" s="3083" t="s">
        <v>1557</v>
      </c>
      <c r="C235" s="3083" t="s">
        <v>1186</v>
      </c>
      <c r="D235" s="3083" t="s">
        <v>1558</v>
      </c>
      <c r="E235" s="3084" t="s">
        <v>1188</v>
      </c>
      <c r="F235" s="3084" t="s">
        <v>1189</v>
      </c>
      <c r="G235" s="3080" t="s">
        <v>1240</v>
      </c>
      <c r="H235" s="3084" t="s">
        <v>1187</v>
      </c>
      <c r="I235" s="3085"/>
      <c r="J235" s="3085"/>
      <c r="K235" s="3081">
        <v>3</v>
      </c>
      <c r="L235" s="3080"/>
      <c r="M235" s="3086">
        <v>36000</v>
      </c>
      <c r="N235" s="3087">
        <f t="shared" ref="N235:N248" si="79">M235*L235</f>
        <v>0</v>
      </c>
      <c r="O235" s="3080">
        <v>0</v>
      </c>
      <c r="P235" s="3086">
        <v>20000</v>
      </c>
      <c r="Q235" s="3088">
        <f t="shared" si="71"/>
        <v>0</v>
      </c>
      <c r="R235" s="3089">
        <f t="shared" si="72"/>
        <v>0</v>
      </c>
      <c r="S235" s="3080">
        <f t="shared" ref="S235:S248" si="80">+K235</f>
        <v>3</v>
      </c>
      <c r="T235" s="3086">
        <v>36000</v>
      </c>
      <c r="U235" s="3088">
        <f t="shared" ref="U235:U248" si="81">T235*S235</f>
        <v>108000</v>
      </c>
      <c r="V235" s="3080">
        <v>0</v>
      </c>
      <c r="W235" s="3086">
        <v>20000</v>
      </c>
      <c r="X235" s="3088">
        <f t="shared" si="73"/>
        <v>0</v>
      </c>
      <c r="Y235" s="3089">
        <f t="shared" si="74"/>
        <v>108000</v>
      </c>
      <c r="Z235" s="3090">
        <v>30</v>
      </c>
      <c r="AA235" s="3091">
        <v>150</v>
      </c>
      <c r="AB235" s="3087">
        <f t="shared" si="70"/>
        <v>4500</v>
      </c>
      <c r="AC235" s="3092"/>
      <c r="AD235" s="3092"/>
      <c r="AE235" s="3093">
        <f t="shared" ref="AE235:AE248" si="82">AB235</f>
        <v>4500</v>
      </c>
      <c r="AF235" s="3094">
        <f t="shared" si="61"/>
        <v>112500</v>
      </c>
      <c r="AG235" s="3095">
        <v>30</v>
      </c>
    </row>
    <row r="236" spans="1:33" s="3095" customFormat="1" ht="30" customHeight="1">
      <c r="A236" s="3082">
        <v>218</v>
      </c>
      <c r="B236" s="3083" t="s">
        <v>1559</v>
      </c>
      <c r="C236" s="3083" t="s">
        <v>1196</v>
      </c>
      <c r="D236" s="3083" t="s">
        <v>1560</v>
      </c>
      <c r="E236" s="3084" t="s">
        <v>1188</v>
      </c>
      <c r="F236" s="3084" t="s">
        <v>1189</v>
      </c>
      <c r="G236" s="3080" t="s">
        <v>1240</v>
      </c>
      <c r="H236" s="3084" t="s">
        <v>1187</v>
      </c>
      <c r="I236" s="3085"/>
      <c r="J236" s="3085"/>
      <c r="K236" s="3081">
        <v>3</v>
      </c>
      <c r="L236" s="3080"/>
      <c r="M236" s="3086">
        <v>36000</v>
      </c>
      <c r="N236" s="3087">
        <f t="shared" si="79"/>
        <v>0</v>
      </c>
      <c r="O236" s="3080">
        <v>0</v>
      </c>
      <c r="P236" s="3086">
        <v>20000</v>
      </c>
      <c r="Q236" s="3088">
        <f t="shared" si="71"/>
        <v>0</v>
      </c>
      <c r="R236" s="3089">
        <f t="shared" si="72"/>
        <v>0</v>
      </c>
      <c r="S236" s="3080">
        <f t="shared" si="80"/>
        <v>3</v>
      </c>
      <c r="T236" s="3086">
        <v>36000</v>
      </c>
      <c r="U236" s="3088">
        <f t="shared" si="81"/>
        <v>108000</v>
      </c>
      <c r="V236" s="3080">
        <v>0</v>
      </c>
      <c r="W236" s="3086">
        <v>20000</v>
      </c>
      <c r="X236" s="3088">
        <f t="shared" si="73"/>
        <v>0</v>
      </c>
      <c r="Y236" s="3089">
        <f t="shared" si="74"/>
        <v>108000</v>
      </c>
      <c r="Z236" s="3090">
        <v>36</v>
      </c>
      <c r="AA236" s="3091">
        <v>150</v>
      </c>
      <c r="AB236" s="3087">
        <f t="shared" si="70"/>
        <v>5400</v>
      </c>
      <c r="AC236" s="3092"/>
      <c r="AD236" s="3092"/>
      <c r="AE236" s="3093">
        <f t="shared" si="82"/>
        <v>5400</v>
      </c>
      <c r="AF236" s="3094">
        <f t="shared" si="61"/>
        <v>113400</v>
      </c>
      <c r="AG236" s="3095">
        <v>31</v>
      </c>
    </row>
    <row r="237" spans="1:33" s="3095" customFormat="1" ht="30" customHeight="1">
      <c r="A237" s="3082">
        <v>219</v>
      </c>
      <c r="B237" s="3083" t="s">
        <v>1561</v>
      </c>
      <c r="C237" s="3083" t="s">
        <v>1192</v>
      </c>
      <c r="D237" s="3083" t="s">
        <v>1562</v>
      </c>
      <c r="E237" s="3084" t="s">
        <v>1188</v>
      </c>
      <c r="F237" s="3084" t="s">
        <v>1189</v>
      </c>
      <c r="G237" s="3080" t="s">
        <v>1190</v>
      </c>
      <c r="H237" s="3084" t="s">
        <v>1187</v>
      </c>
      <c r="I237" s="3085"/>
      <c r="J237" s="3085"/>
      <c r="K237" s="3081">
        <v>3</v>
      </c>
      <c r="L237" s="3080"/>
      <c r="M237" s="3086">
        <v>15000</v>
      </c>
      <c r="N237" s="3087">
        <f t="shared" si="79"/>
        <v>0</v>
      </c>
      <c r="O237" s="3080">
        <v>0</v>
      </c>
      <c r="P237" s="3086">
        <v>20000</v>
      </c>
      <c r="Q237" s="3088">
        <f t="shared" si="71"/>
        <v>0</v>
      </c>
      <c r="R237" s="3089">
        <f t="shared" si="72"/>
        <v>0</v>
      </c>
      <c r="S237" s="3080">
        <f t="shared" si="80"/>
        <v>3</v>
      </c>
      <c r="T237" s="3086">
        <v>15000</v>
      </c>
      <c r="U237" s="3088">
        <f t="shared" si="81"/>
        <v>45000</v>
      </c>
      <c r="V237" s="3080">
        <v>0</v>
      </c>
      <c r="W237" s="3086">
        <v>20000</v>
      </c>
      <c r="X237" s="3088">
        <f t="shared" si="73"/>
        <v>0</v>
      </c>
      <c r="Y237" s="3089">
        <f t="shared" si="74"/>
        <v>45000</v>
      </c>
      <c r="Z237" s="3090">
        <v>2</v>
      </c>
      <c r="AA237" s="3091">
        <v>0</v>
      </c>
      <c r="AB237" s="3087">
        <f t="shared" si="70"/>
        <v>0</v>
      </c>
      <c r="AC237" s="3092"/>
      <c r="AD237" s="3092"/>
      <c r="AE237" s="3093">
        <f t="shared" si="82"/>
        <v>0</v>
      </c>
      <c r="AF237" s="3094">
        <f t="shared" si="61"/>
        <v>45000</v>
      </c>
      <c r="AG237" s="3095">
        <v>32</v>
      </c>
    </row>
    <row r="238" spans="1:33" s="3095" customFormat="1" ht="30" customHeight="1">
      <c r="A238" s="3082">
        <v>220</v>
      </c>
      <c r="B238" s="3083" t="s">
        <v>1563</v>
      </c>
      <c r="C238" s="3083" t="s">
        <v>1196</v>
      </c>
      <c r="D238" s="3083" t="s">
        <v>1564</v>
      </c>
      <c r="E238" s="3084" t="s">
        <v>1188</v>
      </c>
      <c r="F238" s="3084" t="s">
        <v>1189</v>
      </c>
      <c r="G238" s="3080" t="s">
        <v>1240</v>
      </c>
      <c r="H238" s="3084" t="s">
        <v>1187</v>
      </c>
      <c r="I238" s="3085"/>
      <c r="J238" s="3085"/>
      <c r="K238" s="3081">
        <v>3</v>
      </c>
      <c r="L238" s="3080"/>
      <c r="M238" s="3086">
        <v>36000</v>
      </c>
      <c r="N238" s="3087">
        <f t="shared" si="79"/>
        <v>0</v>
      </c>
      <c r="O238" s="3080">
        <v>0</v>
      </c>
      <c r="P238" s="3086">
        <v>20000</v>
      </c>
      <c r="Q238" s="3088">
        <f t="shared" si="71"/>
        <v>0</v>
      </c>
      <c r="R238" s="3089">
        <f t="shared" si="72"/>
        <v>0</v>
      </c>
      <c r="S238" s="3080">
        <f t="shared" si="80"/>
        <v>3</v>
      </c>
      <c r="T238" s="3086">
        <v>36000</v>
      </c>
      <c r="U238" s="3088">
        <f t="shared" si="81"/>
        <v>108000</v>
      </c>
      <c r="V238" s="3080">
        <v>0</v>
      </c>
      <c r="W238" s="3086">
        <v>20000</v>
      </c>
      <c r="X238" s="3088">
        <f t="shared" si="73"/>
        <v>0</v>
      </c>
      <c r="Y238" s="3089">
        <f t="shared" si="74"/>
        <v>108000</v>
      </c>
      <c r="Z238" s="3090">
        <v>40</v>
      </c>
      <c r="AA238" s="3091">
        <v>150</v>
      </c>
      <c r="AB238" s="3087">
        <f t="shared" si="70"/>
        <v>6000</v>
      </c>
      <c r="AC238" s="3092"/>
      <c r="AD238" s="3092"/>
      <c r="AE238" s="3093">
        <f t="shared" si="82"/>
        <v>6000</v>
      </c>
      <c r="AF238" s="3094">
        <f t="shared" si="61"/>
        <v>114000</v>
      </c>
      <c r="AG238" s="3095">
        <v>33</v>
      </c>
    </row>
    <row r="239" spans="1:33" s="3095" customFormat="1" ht="30" customHeight="1">
      <c r="A239" s="3082">
        <v>221</v>
      </c>
      <c r="B239" s="3083" t="s">
        <v>1565</v>
      </c>
      <c r="C239" s="3083" t="s">
        <v>1186</v>
      </c>
      <c r="D239" s="3083" t="s">
        <v>1566</v>
      </c>
      <c r="E239" s="3084" t="s">
        <v>1188</v>
      </c>
      <c r="F239" s="3084" t="s">
        <v>1189</v>
      </c>
      <c r="G239" s="3080" t="s">
        <v>1240</v>
      </c>
      <c r="H239" s="3084" t="s">
        <v>1187</v>
      </c>
      <c r="I239" s="3085"/>
      <c r="J239" s="3085"/>
      <c r="K239" s="3081">
        <v>3</v>
      </c>
      <c r="L239" s="3080"/>
      <c r="M239" s="3086">
        <v>36000</v>
      </c>
      <c r="N239" s="3087">
        <f t="shared" si="79"/>
        <v>0</v>
      </c>
      <c r="O239" s="3080">
        <v>0</v>
      </c>
      <c r="P239" s="3086">
        <v>20000</v>
      </c>
      <c r="Q239" s="3088">
        <f t="shared" si="71"/>
        <v>0</v>
      </c>
      <c r="R239" s="3089">
        <f t="shared" si="72"/>
        <v>0</v>
      </c>
      <c r="S239" s="3080">
        <f t="shared" si="80"/>
        <v>3</v>
      </c>
      <c r="T239" s="3086">
        <v>36000</v>
      </c>
      <c r="U239" s="3088">
        <f t="shared" si="81"/>
        <v>108000</v>
      </c>
      <c r="V239" s="3080">
        <v>0</v>
      </c>
      <c r="W239" s="3086">
        <v>20000</v>
      </c>
      <c r="X239" s="3088">
        <f t="shared" si="73"/>
        <v>0</v>
      </c>
      <c r="Y239" s="3089">
        <f t="shared" si="74"/>
        <v>108000</v>
      </c>
      <c r="Z239" s="3090">
        <v>38</v>
      </c>
      <c r="AA239" s="3091">
        <v>150</v>
      </c>
      <c r="AB239" s="3087">
        <f t="shared" si="70"/>
        <v>5700</v>
      </c>
      <c r="AC239" s="3092"/>
      <c r="AD239" s="3092"/>
      <c r="AE239" s="3093">
        <f t="shared" si="82"/>
        <v>5700</v>
      </c>
      <c r="AF239" s="3094">
        <f t="shared" si="61"/>
        <v>113700</v>
      </c>
      <c r="AG239" s="3095">
        <v>34</v>
      </c>
    </row>
    <row r="240" spans="1:33" s="3095" customFormat="1" ht="30" customHeight="1">
      <c r="A240" s="3082">
        <v>222</v>
      </c>
      <c r="B240" s="3083" t="s">
        <v>1567</v>
      </c>
      <c r="C240" s="3083" t="s">
        <v>1196</v>
      </c>
      <c r="D240" s="3083" t="s">
        <v>1566</v>
      </c>
      <c r="E240" s="3084" t="s">
        <v>1188</v>
      </c>
      <c r="F240" s="3084" t="s">
        <v>1189</v>
      </c>
      <c r="G240" s="3080" t="s">
        <v>1240</v>
      </c>
      <c r="H240" s="3084" t="s">
        <v>1187</v>
      </c>
      <c r="I240" s="3085"/>
      <c r="J240" s="3085"/>
      <c r="K240" s="3081">
        <v>3</v>
      </c>
      <c r="L240" s="3080"/>
      <c r="M240" s="3086">
        <v>36000</v>
      </c>
      <c r="N240" s="3087">
        <f t="shared" si="79"/>
        <v>0</v>
      </c>
      <c r="O240" s="3080">
        <v>0</v>
      </c>
      <c r="P240" s="3086">
        <v>20000</v>
      </c>
      <c r="Q240" s="3088">
        <f t="shared" si="71"/>
        <v>0</v>
      </c>
      <c r="R240" s="3089">
        <f t="shared" si="72"/>
        <v>0</v>
      </c>
      <c r="S240" s="3080">
        <f t="shared" si="80"/>
        <v>3</v>
      </c>
      <c r="T240" s="3086">
        <v>36000</v>
      </c>
      <c r="U240" s="3088">
        <f t="shared" si="81"/>
        <v>108000</v>
      </c>
      <c r="V240" s="3080">
        <v>0</v>
      </c>
      <c r="W240" s="3086">
        <v>20000</v>
      </c>
      <c r="X240" s="3088">
        <f t="shared" si="73"/>
        <v>0</v>
      </c>
      <c r="Y240" s="3089">
        <f t="shared" si="74"/>
        <v>108000</v>
      </c>
      <c r="Z240" s="3090">
        <v>38</v>
      </c>
      <c r="AA240" s="3091">
        <v>150</v>
      </c>
      <c r="AB240" s="3087">
        <f t="shared" si="70"/>
        <v>5700</v>
      </c>
      <c r="AC240" s="3092"/>
      <c r="AD240" s="3092"/>
      <c r="AE240" s="3093">
        <f t="shared" si="82"/>
        <v>5700</v>
      </c>
      <c r="AF240" s="3094">
        <f t="shared" si="61"/>
        <v>113700</v>
      </c>
      <c r="AG240" s="3095">
        <v>35</v>
      </c>
    </row>
    <row r="241" spans="1:33" s="3095" customFormat="1" ht="30" customHeight="1">
      <c r="A241" s="3082">
        <v>223</v>
      </c>
      <c r="B241" s="3083" t="s">
        <v>1568</v>
      </c>
      <c r="C241" s="3083" t="s">
        <v>1569</v>
      </c>
      <c r="D241" s="3083" t="s">
        <v>1570</v>
      </c>
      <c r="E241" s="3084" t="s">
        <v>1188</v>
      </c>
      <c r="F241" s="3084" t="s">
        <v>1189</v>
      </c>
      <c r="G241" s="3080" t="s">
        <v>1240</v>
      </c>
      <c r="H241" s="3084" t="s">
        <v>1380</v>
      </c>
      <c r="I241" s="3085"/>
      <c r="J241" s="3085"/>
      <c r="K241" s="3081">
        <v>3</v>
      </c>
      <c r="L241" s="3080"/>
      <c r="M241" s="3086">
        <v>36000</v>
      </c>
      <c r="N241" s="3087">
        <f t="shared" si="79"/>
        <v>0</v>
      </c>
      <c r="O241" s="3080">
        <v>0</v>
      </c>
      <c r="P241" s="3086">
        <v>20000</v>
      </c>
      <c r="Q241" s="3088">
        <f t="shared" si="71"/>
        <v>0</v>
      </c>
      <c r="R241" s="3089">
        <f t="shared" si="72"/>
        <v>0</v>
      </c>
      <c r="S241" s="3080">
        <f t="shared" si="80"/>
        <v>3</v>
      </c>
      <c r="T241" s="3086">
        <v>36000</v>
      </c>
      <c r="U241" s="3088">
        <f t="shared" si="81"/>
        <v>108000</v>
      </c>
      <c r="V241" s="3080">
        <v>0</v>
      </c>
      <c r="W241" s="3086">
        <v>20000</v>
      </c>
      <c r="X241" s="3088">
        <f t="shared" si="73"/>
        <v>0</v>
      </c>
      <c r="Y241" s="3089">
        <f t="shared" si="74"/>
        <v>108000</v>
      </c>
      <c r="Z241" s="3090">
        <v>72</v>
      </c>
      <c r="AA241" s="3091">
        <v>150</v>
      </c>
      <c r="AB241" s="3087">
        <f t="shared" si="70"/>
        <v>10800</v>
      </c>
      <c r="AC241" s="3092"/>
      <c r="AD241" s="3092"/>
      <c r="AE241" s="3093">
        <f t="shared" si="82"/>
        <v>10800</v>
      </c>
      <c r="AF241" s="3094">
        <f t="shared" si="61"/>
        <v>118800</v>
      </c>
      <c r="AG241" s="3095">
        <v>36</v>
      </c>
    </row>
    <row r="242" spans="1:33" s="3095" customFormat="1" ht="31.5">
      <c r="A242" s="3082">
        <v>224</v>
      </c>
      <c r="B242" s="3083" t="s">
        <v>1571</v>
      </c>
      <c r="C242" s="3083" t="s">
        <v>1186</v>
      </c>
      <c r="D242" s="3083" t="s">
        <v>1572</v>
      </c>
      <c r="E242" s="3084" t="s">
        <v>1188</v>
      </c>
      <c r="F242" s="3084" t="s">
        <v>1189</v>
      </c>
      <c r="G242" s="3080" t="s">
        <v>1240</v>
      </c>
      <c r="H242" s="3084" t="s">
        <v>1380</v>
      </c>
      <c r="I242" s="3085"/>
      <c r="J242" s="3085"/>
      <c r="K242" s="3081">
        <v>3</v>
      </c>
      <c r="L242" s="3080"/>
      <c r="M242" s="3086">
        <v>36000</v>
      </c>
      <c r="N242" s="3087">
        <f t="shared" si="79"/>
        <v>0</v>
      </c>
      <c r="O242" s="3080">
        <v>0</v>
      </c>
      <c r="P242" s="3086">
        <v>20000</v>
      </c>
      <c r="Q242" s="3088">
        <f t="shared" si="71"/>
        <v>0</v>
      </c>
      <c r="R242" s="3089">
        <f t="shared" si="72"/>
        <v>0</v>
      </c>
      <c r="S242" s="3080">
        <f t="shared" si="80"/>
        <v>3</v>
      </c>
      <c r="T242" s="3086">
        <v>36000</v>
      </c>
      <c r="U242" s="3088">
        <f t="shared" si="81"/>
        <v>108000</v>
      </c>
      <c r="V242" s="3080">
        <v>0</v>
      </c>
      <c r="W242" s="3086">
        <v>20000</v>
      </c>
      <c r="X242" s="3088">
        <f t="shared" si="73"/>
        <v>0</v>
      </c>
      <c r="Y242" s="3089">
        <f t="shared" si="74"/>
        <v>108000</v>
      </c>
      <c r="Z242" s="3090">
        <v>76</v>
      </c>
      <c r="AA242" s="3091">
        <v>150</v>
      </c>
      <c r="AB242" s="3087">
        <f t="shared" si="70"/>
        <v>11400</v>
      </c>
      <c r="AC242" s="3092"/>
      <c r="AD242" s="3092"/>
      <c r="AE242" s="3093">
        <f t="shared" si="82"/>
        <v>11400</v>
      </c>
      <c r="AF242" s="3094">
        <f t="shared" si="61"/>
        <v>119400</v>
      </c>
      <c r="AG242" s="3095">
        <v>37</v>
      </c>
    </row>
    <row r="243" spans="1:33" s="3095" customFormat="1" ht="30" customHeight="1">
      <c r="A243" s="3082">
        <v>225</v>
      </c>
      <c r="B243" s="3083" t="s">
        <v>1573</v>
      </c>
      <c r="C243" s="3083" t="s">
        <v>1458</v>
      </c>
      <c r="D243" s="3083" t="s">
        <v>1574</v>
      </c>
      <c r="E243" s="3084" t="s">
        <v>1188</v>
      </c>
      <c r="F243" s="3084" t="s">
        <v>1189</v>
      </c>
      <c r="G243" s="3080" t="s">
        <v>1240</v>
      </c>
      <c r="H243" s="3084" t="s">
        <v>1575</v>
      </c>
      <c r="I243" s="3085"/>
      <c r="J243" s="3085"/>
      <c r="K243" s="3081">
        <v>3</v>
      </c>
      <c r="L243" s="3080"/>
      <c r="M243" s="3086">
        <v>36000</v>
      </c>
      <c r="N243" s="3087">
        <f t="shared" si="79"/>
        <v>0</v>
      </c>
      <c r="O243" s="3080">
        <v>0</v>
      </c>
      <c r="P243" s="3086">
        <v>20000</v>
      </c>
      <c r="Q243" s="3088">
        <f t="shared" si="71"/>
        <v>0</v>
      </c>
      <c r="R243" s="3089">
        <f t="shared" si="72"/>
        <v>0</v>
      </c>
      <c r="S243" s="3080">
        <f t="shared" si="80"/>
        <v>3</v>
      </c>
      <c r="T243" s="3086">
        <v>36000</v>
      </c>
      <c r="U243" s="3088">
        <f t="shared" si="81"/>
        <v>108000</v>
      </c>
      <c r="V243" s="3080">
        <v>0</v>
      </c>
      <c r="W243" s="3086">
        <v>20000</v>
      </c>
      <c r="X243" s="3088">
        <f t="shared" si="73"/>
        <v>0</v>
      </c>
      <c r="Y243" s="3089">
        <f t="shared" si="74"/>
        <v>108000</v>
      </c>
      <c r="Z243" s="3090">
        <v>50</v>
      </c>
      <c r="AA243" s="3091">
        <v>150</v>
      </c>
      <c r="AB243" s="3087">
        <f t="shared" si="70"/>
        <v>7500</v>
      </c>
      <c r="AC243" s="3092"/>
      <c r="AD243" s="3092"/>
      <c r="AE243" s="3093">
        <f t="shared" si="82"/>
        <v>7500</v>
      </c>
      <c r="AF243" s="3094">
        <f t="shared" si="61"/>
        <v>115500</v>
      </c>
      <c r="AG243" s="3095">
        <v>38</v>
      </c>
    </row>
    <row r="244" spans="1:33" s="3095" customFormat="1" ht="30" customHeight="1">
      <c r="A244" s="3082">
        <v>226</v>
      </c>
      <c r="B244" s="3083" t="s">
        <v>1576</v>
      </c>
      <c r="C244" s="3083" t="s">
        <v>1186</v>
      </c>
      <c r="D244" s="3083" t="s">
        <v>1574</v>
      </c>
      <c r="E244" s="3084" t="s">
        <v>1188</v>
      </c>
      <c r="F244" s="3084" t="s">
        <v>1189</v>
      </c>
      <c r="G244" s="3080" t="s">
        <v>1240</v>
      </c>
      <c r="H244" s="3084" t="s">
        <v>1575</v>
      </c>
      <c r="I244" s="3085"/>
      <c r="J244" s="3085"/>
      <c r="K244" s="3081">
        <v>3</v>
      </c>
      <c r="L244" s="3080"/>
      <c r="M244" s="3086">
        <v>36000</v>
      </c>
      <c r="N244" s="3087">
        <f t="shared" si="79"/>
        <v>0</v>
      </c>
      <c r="O244" s="3080">
        <v>0</v>
      </c>
      <c r="P244" s="3086">
        <v>20000</v>
      </c>
      <c r="Q244" s="3088">
        <f t="shared" si="71"/>
        <v>0</v>
      </c>
      <c r="R244" s="3089">
        <f t="shared" si="72"/>
        <v>0</v>
      </c>
      <c r="S244" s="3080">
        <f t="shared" si="80"/>
        <v>3</v>
      </c>
      <c r="T244" s="3086">
        <v>36000</v>
      </c>
      <c r="U244" s="3088">
        <f t="shared" si="81"/>
        <v>108000</v>
      </c>
      <c r="V244" s="3080">
        <v>0</v>
      </c>
      <c r="W244" s="3086">
        <v>20000</v>
      </c>
      <c r="X244" s="3088">
        <f t="shared" si="73"/>
        <v>0</v>
      </c>
      <c r="Y244" s="3089">
        <f t="shared" si="74"/>
        <v>108000</v>
      </c>
      <c r="Z244" s="3090">
        <v>50</v>
      </c>
      <c r="AA244" s="3091">
        <v>150</v>
      </c>
      <c r="AB244" s="3087">
        <f t="shared" si="70"/>
        <v>7500</v>
      </c>
      <c r="AC244" s="3092"/>
      <c r="AD244" s="3092"/>
      <c r="AE244" s="3093">
        <f t="shared" si="82"/>
        <v>7500</v>
      </c>
      <c r="AF244" s="3094">
        <f t="shared" si="61"/>
        <v>115500</v>
      </c>
    </row>
    <row r="245" spans="1:33" s="3095" customFormat="1" ht="30" customHeight="1">
      <c r="A245" s="3082">
        <v>227</v>
      </c>
      <c r="B245" s="3083" t="s">
        <v>1577</v>
      </c>
      <c r="C245" s="3083" t="s">
        <v>1196</v>
      </c>
      <c r="D245" s="3083" t="s">
        <v>1578</v>
      </c>
      <c r="E245" s="3084" t="s">
        <v>1188</v>
      </c>
      <c r="F245" s="3084" t="s">
        <v>1189</v>
      </c>
      <c r="G245" s="3080" t="s">
        <v>1190</v>
      </c>
      <c r="H245" s="3084" t="s">
        <v>1575</v>
      </c>
      <c r="I245" s="3085"/>
      <c r="J245" s="3085"/>
      <c r="K245" s="3081">
        <v>3</v>
      </c>
      <c r="L245" s="3080"/>
      <c r="M245" s="3086">
        <v>15000</v>
      </c>
      <c r="N245" s="3087">
        <f t="shared" si="79"/>
        <v>0</v>
      </c>
      <c r="O245" s="3080">
        <v>0</v>
      </c>
      <c r="P245" s="3086">
        <v>20000</v>
      </c>
      <c r="Q245" s="3088">
        <f t="shared" si="71"/>
        <v>0</v>
      </c>
      <c r="R245" s="3089">
        <f t="shared" si="72"/>
        <v>0</v>
      </c>
      <c r="S245" s="3080">
        <f t="shared" si="80"/>
        <v>3</v>
      </c>
      <c r="T245" s="3086">
        <v>15000</v>
      </c>
      <c r="U245" s="3088">
        <f t="shared" si="81"/>
        <v>45000</v>
      </c>
      <c r="V245" s="3080">
        <v>0</v>
      </c>
      <c r="W245" s="3086">
        <v>20000</v>
      </c>
      <c r="X245" s="3088">
        <f t="shared" si="73"/>
        <v>0</v>
      </c>
      <c r="Y245" s="3089">
        <f t="shared" si="74"/>
        <v>45000</v>
      </c>
      <c r="Z245" s="3090">
        <v>14</v>
      </c>
      <c r="AA245" s="3091">
        <v>150</v>
      </c>
      <c r="AB245" s="3087">
        <f t="shared" si="70"/>
        <v>2100</v>
      </c>
      <c r="AC245" s="3092"/>
      <c r="AD245" s="3092"/>
      <c r="AE245" s="3093">
        <f t="shared" si="82"/>
        <v>2100</v>
      </c>
      <c r="AF245" s="3094">
        <f t="shared" si="61"/>
        <v>47100</v>
      </c>
      <c r="AG245" s="3095">
        <v>39</v>
      </c>
    </row>
    <row r="246" spans="1:33" s="3095" customFormat="1" ht="30" customHeight="1">
      <c r="A246" s="3082">
        <v>228</v>
      </c>
      <c r="B246" s="3083" t="s">
        <v>1579</v>
      </c>
      <c r="C246" s="3083" t="s">
        <v>1580</v>
      </c>
      <c r="D246" s="3083" t="s">
        <v>1578</v>
      </c>
      <c r="E246" s="3084" t="s">
        <v>1188</v>
      </c>
      <c r="F246" s="3084" t="s">
        <v>1189</v>
      </c>
      <c r="G246" s="3080" t="s">
        <v>1190</v>
      </c>
      <c r="H246" s="3084" t="s">
        <v>1575</v>
      </c>
      <c r="I246" s="3085"/>
      <c r="J246" s="3085"/>
      <c r="K246" s="3081">
        <v>3</v>
      </c>
      <c r="L246" s="3080"/>
      <c r="M246" s="3086">
        <v>15000</v>
      </c>
      <c r="N246" s="3087">
        <f t="shared" si="79"/>
        <v>0</v>
      </c>
      <c r="O246" s="3080">
        <v>0</v>
      </c>
      <c r="P246" s="3086">
        <v>20000</v>
      </c>
      <c r="Q246" s="3088">
        <f t="shared" si="71"/>
        <v>0</v>
      </c>
      <c r="R246" s="3089">
        <f t="shared" si="72"/>
        <v>0</v>
      </c>
      <c r="S246" s="3080">
        <f t="shared" si="80"/>
        <v>3</v>
      </c>
      <c r="T246" s="3086">
        <v>15000</v>
      </c>
      <c r="U246" s="3088">
        <f t="shared" si="81"/>
        <v>45000</v>
      </c>
      <c r="V246" s="3080">
        <v>0</v>
      </c>
      <c r="W246" s="3086">
        <v>20000</v>
      </c>
      <c r="X246" s="3088">
        <f t="shared" si="73"/>
        <v>0</v>
      </c>
      <c r="Y246" s="3089">
        <f t="shared" si="74"/>
        <v>45000</v>
      </c>
      <c r="Z246" s="3090">
        <v>14</v>
      </c>
      <c r="AA246" s="3091">
        <v>150</v>
      </c>
      <c r="AB246" s="3087">
        <f t="shared" si="70"/>
        <v>2100</v>
      </c>
      <c r="AC246" s="3092"/>
      <c r="AD246" s="3092"/>
      <c r="AE246" s="3093">
        <f t="shared" si="82"/>
        <v>2100</v>
      </c>
      <c r="AF246" s="3094">
        <f t="shared" si="61"/>
        <v>47100</v>
      </c>
    </row>
    <row r="247" spans="1:33" s="3095" customFormat="1" ht="30" customHeight="1">
      <c r="A247" s="3082">
        <v>229</v>
      </c>
      <c r="B247" s="3083" t="s">
        <v>1581</v>
      </c>
      <c r="C247" s="3083" t="s">
        <v>1509</v>
      </c>
      <c r="D247" s="3083" t="s">
        <v>1582</v>
      </c>
      <c r="E247" s="3084" t="s">
        <v>1188</v>
      </c>
      <c r="F247" s="3084" t="s">
        <v>1189</v>
      </c>
      <c r="G247" s="3080" t="s">
        <v>1240</v>
      </c>
      <c r="H247" s="3084" t="s">
        <v>1575</v>
      </c>
      <c r="I247" s="3085"/>
      <c r="J247" s="3085"/>
      <c r="K247" s="3081">
        <v>3</v>
      </c>
      <c r="L247" s="3080"/>
      <c r="M247" s="3086">
        <v>36000</v>
      </c>
      <c r="N247" s="3087">
        <f t="shared" si="79"/>
        <v>0</v>
      </c>
      <c r="O247" s="3080">
        <v>0</v>
      </c>
      <c r="P247" s="3086">
        <v>20000</v>
      </c>
      <c r="Q247" s="3088">
        <f t="shared" si="71"/>
        <v>0</v>
      </c>
      <c r="R247" s="3089">
        <f t="shared" si="72"/>
        <v>0</v>
      </c>
      <c r="S247" s="3080">
        <f t="shared" si="80"/>
        <v>3</v>
      </c>
      <c r="T247" s="3086">
        <v>36000</v>
      </c>
      <c r="U247" s="3088">
        <f t="shared" si="81"/>
        <v>108000</v>
      </c>
      <c r="V247" s="3080">
        <v>0</v>
      </c>
      <c r="W247" s="3086">
        <v>20000</v>
      </c>
      <c r="X247" s="3088">
        <f t="shared" si="73"/>
        <v>0</v>
      </c>
      <c r="Y247" s="3089">
        <f t="shared" si="74"/>
        <v>108000</v>
      </c>
      <c r="Z247" s="3090">
        <v>60</v>
      </c>
      <c r="AA247" s="3091">
        <v>150</v>
      </c>
      <c r="AB247" s="3087">
        <f t="shared" si="70"/>
        <v>9000</v>
      </c>
      <c r="AC247" s="3092"/>
      <c r="AD247" s="3092"/>
      <c r="AE247" s="3093">
        <f t="shared" si="82"/>
        <v>9000</v>
      </c>
      <c r="AF247" s="3094">
        <f t="shared" si="61"/>
        <v>117000</v>
      </c>
      <c r="AG247" s="3095">
        <v>40</v>
      </c>
    </row>
    <row r="248" spans="1:33" s="3095" customFormat="1" ht="30" customHeight="1">
      <c r="A248" s="3082">
        <v>230</v>
      </c>
      <c r="B248" s="3083" t="s">
        <v>1583</v>
      </c>
      <c r="C248" s="3083" t="s">
        <v>1584</v>
      </c>
      <c r="D248" s="3083" t="s">
        <v>1585</v>
      </c>
      <c r="E248" s="3084" t="s">
        <v>1188</v>
      </c>
      <c r="F248" s="3084" t="s">
        <v>1189</v>
      </c>
      <c r="G248" s="3080" t="s">
        <v>1240</v>
      </c>
      <c r="H248" s="3084" t="s">
        <v>1575</v>
      </c>
      <c r="I248" s="3085"/>
      <c r="J248" s="3085"/>
      <c r="K248" s="3081">
        <v>3</v>
      </c>
      <c r="L248" s="3080"/>
      <c r="M248" s="3086">
        <v>36000</v>
      </c>
      <c r="N248" s="3087">
        <f t="shared" si="79"/>
        <v>0</v>
      </c>
      <c r="O248" s="3080">
        <v>0</v>
      </c>
      <c r="P248" s="3086">
        <v>20000</v>
      </c>
      <c r="Q248" s="3088">
        <f t="shared" si="71"/>
        <v>0</v>
      </c>
      <c r="R248" s="3089">
        <f t="shared" si="72"/>
        <v>0</v>
      </c>
      <c r="S248" s="3080">
        <f t="shared" si="80"/>
        <v>3</v>
      </c>
      <c r="T248" s="3086">
        <v>36000</v>
      </c>
      <c r="U248" s="3088">
        <f t="shared" si="81"/>
        <v>108000</v>
      </c>
      <c r="V248" s="3080">
        <v>0</v>
      </c>
      <c r="W248" s="3086">
        <v>20000</v>
      </c>
      <c r="X248" s="3088">
        <f t="shared" si="73"/>
        <v>0</v>
      </c>
      <c r="Y248" s="3089">
        <f t="shared" si="74"/>
        <v>108000</v>
      </c>
      <c r="Z248" s="3090">
        <v>40</v>
      </c>
      <c r="AA248" s="3091">
        <v>150</v>
      </c>
      <c r="AB248" s="3087">
        <f t="shared" si="70"/>
        <v>6000</v>
      </c>
      <c r="AC248" s="3092"/>
      <c r="AD248" s="3092"/>
      <c r="AE248" s="3093">
        <f t="shared" si="82"/>
        <v>6000</v>
      </c>
      <c r="AF248" s="3094">
        <f t="shared" si="61"/>
        <v>114000</v>
      </c>
    </row>
    <row r="249" spans="1:33" s="3095" customFormat="1" ht="30" customHeight="1">
      <c r="A249" s="3082">
        <v>231</v>
      </c>
      <c r="B249" s="3083" t="s">
        <v>1586</v>
      </c>
      <c r="C249" s="3083" t="s">
        <v>1569</v>
      </c>
      <c r="D249" s="3083" t="s">
        <v>1587</v>
      </c>
      <c r="E249" s="3084" t="s">
        <v>1188</v>
      </c>
      <c r="F249" s="3084" t="s">
        <v>1189</v>
      </c>
      <c r="G249" s="3080" t="s">
        <v>1190</v>
      </c>
      <c r="H249" s="3084" t="s">
        <v>1575</v>
      </c>
      <c r="I249" s="3085"/>
      <c r="J249" s="3085"/>
      <c r="K249" s="3081">
        <v>3</v>
      </c>
      <c r="L249" s="3080"/>
      <c r="M249" s="3086">
        <v>15000</v>
      </c>
      <c r="N249" s="3087">
        <f>M249*L249</f>
        <v>0</v>
      </c>
      <c r="O249" s="3080">
        <v>0</v>
      </c>
      <c r="P249" s="3086">
        <v>20000</v>
      </c>
      <c r="Q249" s="3088">
        <f t="shared" si="71"/>
        <v>0</v>
      </c>
      <c r="R249" s="3089">
        <f t="shared" si="72"/>
        <v>0</v>
      </c>
      <c r="S249" s="3080">
        <f>+K249</f>
        <v>3</v>
      </c>
      <c r="T249" s="3086">
        <v>15000</v>
      </c>
      <c r="U249" s="3088">
        <f>T249*S249</f>
        <v>45000</v>
      </c>
      <c r="V249" s="3080">
        <v>0</v>
      </c>
      <c r="W249" s="3086">
        <v>20000</v>
      </c>
      <c r="X249" s="3088">
        <f t="shared" si="73"/>
        <v>0</v>
      </c>
      <c r="Y249" s="3089">
        <f t="shared" si="74"/>
        <v>45000</v>
      </c>
      <c r="Z249" s="3090">
        <v>20</v>
      </c>
      <c r="AA249" s="3091">
        <v>150</v>
      </c>
      <c r="AB249" s="3087">
        <f t="shared" si="70"/>
        <v>3000</v>
      </c>
      <c r="AC249" s="3092"/>
      <c r="AD249" s="3092"/>
      <c r="AE249" s="3093">
        <f>AB249</f>
        <v>3000</v>
      </c>
      <c r="AF249" s="3094">
        <f t="shared" si="61"/>
        <v>48000</v>
      </c>
      <c r="AG249" s="3095">
        <v>41</v>
      </c>
    </row>
    <row r="250" spans="1:33" s="3095" customFormat="1" ht="30" customHeight="1">
      <c r="A250" s="3082">
        <v>232</v>
      </c>
      <c r="B250" s="3083" t="s">
        <v>1588</v>
      </c>
      <c r="C250" s="3083" t="s">
        <v>1328</v>
      </c>
      <c r="D250" s="3083" t="s">
        <v>1589</v>
      </c>
      <c r="E250" s="3084" t="s">
        <v>1188</v>
      </c>
      <c r="F250" s="3084" t="s">
        <v>1189</v>
      </c>
      <c r="G250" s="3080" t="s">
        <v>1240</v>
      </c>
      <c r="H250" s="3084" t="s">
        <v>1575</v>
      </c>
      <c r="I250" s="3085"/>
      <c r="J250" s="3085"/>
      <c r="K250" s="3081">
        <v>3</v>
      </c>
      <c r="L250" s="3080"/>
      <c r="M250" s="3086">
        <v>36000</v>
      </c>
      <c r="N250" s="3087">
        <f>M250*L250</f>
        <v>0</v>
      </c>
      <c r="O250" s="3080">
        <v>0</v>
      </c>
      <c r="P250" s="3086">
        <v>20000</v>
      </c>
      <c r="Q250" s="3088">
        <f t="shared" si="71"/>
        <v>0</v>
      </c>
      <c r="R250" s="3089">
        <f t="shared" si="72"/>
        <v>0</v>
      </c>
      <c r="S250" s="3080">
        <f>+K250</f>
        <v>3</v>
      </c>
      <c r="T250" s="3086">
        <v>36000</v>
      </c>
      <c r="U250" s="3088">
        <f>T250*S250</f>
        <v>108000</v>
      </c>
      <c r="V250" s="3080">
        <v>0</v>
      </c>
      <c r="W250" s="3086">
        <v>20000</v>
      </c>
      <c r="X250" s="3088">
        <f t="shared" si="73"/>
        <v>0</v>
      </c>
      <c r="Y250" s="3089">
        <f t="shared" si="74"/>
        <v>108000</v>
      </c>
      <c r="Z250" s="3090">
        <v>40</v>
      </c>
      <c r="AA250" s="3091">
        <v>150</v>
      </c>
      <c r="AB250" s="3087">
        <f t="shared" si="70"/>
        <v>6000</v>
      </c>
      <c r="AC250" s="3092"/>
      <c r="AD250" s="3092"/>
      <c r="AE250" s="3093">
        <f>AB250</f>
        <v>6000</v>
      </c>
      <c r="AF250" s="3094">
        <f t="shared" si="61"/>
        <v>114000</v>
      </c>
    </row>
    <row r="251" spans="1:33" s="3095" customFormat="1" ht="30" customHeight="1">
      <c r="A251" s="3082">
        <v>233</v>
      </c>
      <c r="B251" s="3083" t="s">
        <v>1590</v>
      </c>
      <c r="C251" s="3083" t="s">
        <v>1591</v>
      </c>
      <c r="D251" s="3083" t="s">
        <v>1592</v>
      </c>
      <c r="E251" s="3084" t="s">
        <v>1188</v>
      </c>
      <c r="F251" s="3084" t="s">
        <v>1189</v>
      </c>
      <c r="G251" s="3080" t="s">
        <v>1240</v>
      </c>
      <c r="H251" s="3084" t="s">
        <v>1575</v>
      </c>
      <c r="I251" s="3085"/>
      <c r="J251" s="3085"/>
      <c r="K251" s="3081">
        <v>3</v>
      </c>
      <c r="L251" s="3080"/>
      <c r="M251" s="3086">
        <v>36000</v>
      </c>
      <c r="N251" s="3087">
        <f t="shared" ref="N251:N262" si="83">M251*L251</f>
        <v>0</v>
      </c>
      <c r="O251" s="3080">
        <v>0</v>
      </c>
      <c r="P251" s="3086">
        <v>20000</v>
      </c>
      <c r="Q251" s="3088">
        <f t="shared" si="71"/>
        <v>0</v>
      </c>
      <c r="R251" s="3089">
        <f t="shared" si="72"/>
        <v>0</v>
      </c>
      <c r="S251" s="3080">
        <f t="shared" ref="S251:S262" si="84">+K251</f>
        <v>3</v>
      </c>
      <c r="T251" s="3086">
        <v>36000</v>
      </c>
      <c r="U251" s="3088">
        <f t="shared" ref="U251:U262" si="85">T251*S251</f>
        <v>108000</v>
      </c>
      <c r="V251" s="3080">
        <v>0</v>
      </c>
      <c r="W251" s="3086">
        <v>20000</v>
      </c>
      <c r="X251" s="3088">
        <f t="shared" si="73"/>
        <v>0</v>
      </c>
      <c r="Y251" s="3089">
        <f t="shared" si="74"/>
        <v>108000</v>
      </c>
      <c r="Z251" s="3090">
        <v>70</v>
      </c>
      <c r="AA251" s="3091">
        <v>150</v>
      </c>
      <c r="AB251" s="3087">
        <f t="shared" si="70"/>
        <v>10500</v>
      </c>
      <c r="AC251" s="3092"/>
      <c r="AD251" s="3092"/>
      <c r="AE251" s="3093">
        <f t="shared" ref="AE251:AE271" si="86">AB251</f>
        <v>10500</v>
      </c>
      <c r="AF251" s="3094">
        <f t="shared" si="61"/>
        <v>118500</v>
      </c>
      <c r="AG251" s="3095">
        <v>42</v>
      </c>
    </row>
    <row r="252" spans="1:33" s="3095" customFormat="1" ht="30" customHeight="1">
      <c r="A252" s="3082">
        <v>234</v>
      </c>
      <c r="B252" s="3083" t="s">
        <v>1593</v>
      </c>
      <c r="C252" s="3083" t="s">
        <v>1580</v>
      </c>
      <c r="D252" s="3083" t="s">
        <v>1594</v>
      </c>
      <c r="E252" s="3084" t="s">
        <v>1188</v>
      </c>
      <c r="F252" s="3084" t="s">
        <v>1189</v>
      </c>
      <c r="G252" s="3080" t="s">
        <v>1240</v>
      </c>
      <c r="H252" s="3084" t="s">
        <v>1575</v>
      </c>
      <c r="I252" s="3085"/>
      <c r="J252" s="3085"/>
      <c r="K252" s="3081">
        <v>3</v>
      </c>
      <c r="L252" s="3080"/>
      <c r="M252" s="3086">
        <v>36000</v>
      </c>
      <c r="N252" s="3087">
        <f t="shared" si="83"/>
        <v>0</v>
      </c>
      <c r="O252" s="3080">
        <v>0</v>
      </c>
      <c r="P252" s="3086">
        <v>20000</v>
      </c>
      <c r="Q252" s="3088">
        <f t="shared" si="71"/>
        <v>0</v>
      </c>
      <c r="R252" s="3089">
        <f t="shared" si="72"/>
        <v>0</v>
      </c>
      <c r="S252" s="3080">
        <f t="shared" si="84"/>
        <v>3</v>
      </c>
      <c r="T252" s="3086">
        <v>36000</v>
      </c>
      <c r="U252" s="3088">
        <f t="shared" si="85"/>
        <v>108000</v>
      </c>
      <c r="V252" s="3080">
        <v>0</v>
      </c>
      <c r="W252" s="3086">
        <v>20000</v>
      </c>
      <c r="X252" s="3088">
        <f t="shared" si="73"/>
        <v>0</v>
      </c>
      <c r="Y252" s="3089">
        <f t="shared" si="74"/>
        <v>108000</v>
      </c>
      <c r="Z252" s="3090">
        <v>40</v>
      </c>
      <c r="AA252" s="3091">
        <v>150</v>
      </c>
      <c r="AB252" s="3087">
        <f t="shared" si="70"/>
        <v>6000</v>
      </c>
      <c r="AC252" s="3092"/>
      <c r="AD252" s="3092"/>
      <c r="AE252" s="3093">
        <f t="shared" si="86"/>
        <v>6000</v>
      </c>
      <c r="AF252" s="3094">
        <f t="shared" si="61"/>
        <v>114000</v>
      </c>
    </row>
    <row r="253" spans="1:33" s="3095" customFormat="1" ht="30" customHeight="1">
      <c r="A253" s="3082">
        <v>235</v>
      </c>
      <c r="B253" s="3083" t="s">
        <v>1595</v>
      </c>
      <c r="C253" s="3083" t="s">
        <v>1328</v>
      </c>
      <c r="D253" s="3083" t="s">
        <v>1596</v>
      </c>
      <c r="E253" s="3084" t="s">
        <v>1188</v>
      </c>
      <c r="F253" s="3084" t="s">
        <v>1189</v>
      </c>
      <c r="G253" s="3080" t="s">
        <v>1240</v>
      </c>
      <c r="H253" s="3084" t="s">
        <v>1575</v>
      </c>
      <c r="I253" s="3085"/>
      <c r="J253" s="3085"/>
      <c r="K253" s="3081">
        <v>3</v>
      </c>
      <c r="L253" s="3080"/>
      <c r="M253" s="3086">
        <v>36000</v>
      </c>
      <c r="N253" s="3087">
        <f t="shared" si="83"/>
        <v>0</v>
      </c>
      <c r="O253" s="3080">
        <v>0</v>
      </c>
      <c r="P253" s="3086">
        <v>20000</v>
      </c>
      <c r="Q253" s="3088">
        <f t="shared" si="71"/>
        <v>0</v>
      </c>
      <c r="R253" s="3089">
        <f t="shared" si="72"/>
        <v>0</v>
      </c>
      <c r="S253" s="3080">
        <f t="shared" si="84"/>
        <v>3</v>
      </c>
      <c r="T253" s="3086">
        <v>36000</v>
      </c>
      <c r="U253" s="3088">
        <f t="shared" si="85"/>
        <v>108000</v>
      </c>
      <c r="V253" s="3080">
        <v>0</v>
      </c>
      <c r="W253" s="3086">
        <v>20000</v>
      </c>
      <c r="X253" s="3088">
        <f t="shared" si="73"/>
        <v>0</v>
      </c>
      <c r="Y253" s="3089">
        <f t="shared" si="74"/>
        <v>108000</v>
      </c>
      <c r="Z253" s="3090">
        <v>40</v>
      </c>
      <c r="AA253" s="3091">
        <v>150</v>
      </c>
      <c r="AB253" s="3087">
        <f t="shared" si="70"/>
        <v>6000</v>
      </c>
      <c r="AC253" s="3092"/>
      <c r="AD253" s="3092"/>
      <c r="AE253" s="3093">
        <f t="shared" si="86"/>
        <v>6000</v>
      </c>
      <c r="AF253" s="3094">
        <f t="shared" si="61"/>
        <v>114000</v>
      </c>
      <c r="AG253" s="3095">
        <v>43</v>
      </c>
    </row>
    <row r="254" spans="1:33" s="3095" customFormat="1" ht="30" customHeight="1">
      <c r="A254" s="3082">
        <v>236</v>
      </c>
      <c r="B254" s="3083" t="s">
        <v>1597</v>
      </c>
      <c r="C254" s="3083" t="s">
        <v>1194</v>
      </c>
      <c r="D254" s="3083" t="s">
        <v>1598</v>
      </c>
      <c r="E254" s="3084" t="s">
        <v>1188</v>
      </c>
      <c r="F254" s="3084" t="s">
        <v>1189</v>
      </c>
      <c r="G254" s="3080" t="s">
        <v>1190</v>
      </c>
      <c r="H254" s="3084" t="s">
        <v>1575</v>
      </c>
      <c r="I254" s="3085"/>
      <c r="J254" s="3085"/>
      <c r="K254" s="3081">
        <v>3</v>
      </c>
      <c r="L254" s="3080"/>
      <c r="M254" s="3086">
        <v>15000</v>
      </c>
      <c r="N254" s="3087">
        <f t="shared" si="83"/>
        <v>0</v>
      </c>
      <c r="O254" s="3080">
        <v>0</v>
      </c>
      <c r="P254" s="3086">
        <v>20000</v>
      </c>
      <c r="Q254" s="3088">
        <f t="shared" si="71"/>
        <v>0</v>
      </c>
      <c r="R254" s="3089">
        <f t="shared" si="72"/>
        <v>0</v>
      </c>
      <c r="S254" s="3080">
        <f t="shared" si="84"/>
        <v>3</v>
      </c>
      <c r="T254" s="3086">
        <v>15000</v>
      </c>
      <c r="U254" s="3088">
        <f t="shared" si="85"/>
        <v>45000</v>
      </c>
      <c r="V254" s="3080">
        <v>0</v>
      </c>
      <c r="W254" s="3086">
        <v>20000</v>
      </c>
      <c r="X254" s="3088">
        <f t="shared" si="73"/>
        <v>0</v>
      </c>
      <c r="Y254" s="3089">
        <f t="shared" si="74"/>
        <v>45000</v>
      </c>
      <c r="Z254" s="3090">
        <v>20</v>
      </c>
      <c r="AA254" s="3091">
        <v>150</v>
      </c>
      <c r="AB254" s="3087">
        <f t="shared" si="70"/>
        <v>3000</v>
      </c>
      <c r="AC254" s="3092"/>
      <c r="AD254" s="3092"/>
      <c r="AE254" s="3093">
        <f t="shared" si="86"/>
        <v>3000</v>
      </c>
      <c r="AF254" s="3094">
        <f t="shared" si="61"/>
        <v>48000</v>
      </c>
      <c r="AG254" s="3095">
        <v>44</v>
      </c>
    </row>
    <row r="255" spans="1:33" s="3095" customFormat="1" ht="30" customHeight="1">
      <c r="A255" s="3082">
        <v>237</v>
      </c>
      <c r="B255" s="3083" t="s">
        <v>1599</v>
      </c>
      <c r="C255" s="3083" t="s">
        <v>1196</v>
      </c>
      <c r="D255" s="3083" t="s">
        <v>1600</v>
      </c>
      <c r="E255" s="3084" t="s">
        <v>1188</v>
      </c>
      <c r="F255" s="3084" t="s">
        <v>1189</v>
      </c>
      <c r="G255" s="3080" t="s">
        <v>1240</v>
      </c>
      <c r="H255" s="3084" t="s">
        <v>1575</v>
      </c>
      <c r="I255" s="3085"/>
      <c r="J255" s="3085"/>
      <c r="K255" s="3081">
        <v>3</v>
      </c>
      <c r="L255" s="3080"/>
      <c r="M255" s="3086">
        <v>36000</v>
      </c>
      <c r="N255" s="3087">
        <f t="shared" si="83"/>
        <v>0</v>
      </c>
      <c r="O255" s="3080">
        <v>0</v>
      </c>
      <c r="P255" s="3086">
        <v>20000</v>
      </c>
      <c r="Q255" s="3088">
        <f t="shared" si="71"/>
        <v>0</v>
      </c>
      <c r="R255" s="3089">
        <f t="shared" si="72"/>
        <v>0</v>
      </c>
      <c r="S255" s="3080">
        <f t="shared" si="84"/>
        <v>3</v>
      </c>
      <c r="T255" s="3086">
        <v>36000</v>
      </c>
      <c r="U255" s="3088">
        <f t="shared" si="85"/>
        <v>108000</v>
      </c>
      <c r="V255" s="3080">
        <v>0</v>
      </c>
      <c r="W255" s="3086">
        <v>20000</v>
      </c>
      <c r="X255" s="3088">
        <f t="shared" si="73"/>
        <v>0</v>
      </c>
      <c r="Y255" s="3089">
        <f t="shared" si="74"/>
        <v>108000</v>
      </c>
      <c r="Z255" s="3090">
        <v>30</v>
      </c>
      <c r="AA255" s="3091">
        <v>150</v>
      </c>
      <c r="AB255" s="3087">
        <f t="shared" si="70"/>
        <v>4500</v>
      </c>
      <c r="AC255" s="3092"/>
      <c r="AD255" s="3092"/>
      <c r="AE255" s="3093">
        <f t="shared" si="86"/>
        <v>4500</v>
      </c>
      <c r="AF255" s="3094">
        <f t="shared" si="61"/>
        <v>112500</v>
      </c>
      <c r="AG255" s="3095">
        <v>45</v>
      </c>
    </row>
    <row r="256" spans="1:33" s="3095" customFormat="1" ht="30" customHeight="1">
      <c r="A256" s="3082">
        <v>238</v>
      </c>
      <c r="B256" s="3083" t="s">
        <v>1601</v>
      </c>
      <c r="C256" s="3083" t="s">
        <v>1186</v>
      </c>
      <c r="D256" s="3083" t="s">
        <v>1602</v>
      </c>
      <c r="E256" s="3084" t="s">
        <v>1188</v>
      </c>
      <c r="F256" s="3084" t="s">
        <v>1189</v>
      </c>
      <c r="G256" s="3080" t="s">
        <v>1190</v>
      </c>
      <c r="H256" s="3084" t="s">
        <v>1380</v>
      </c>
      <c r="I256" s="3085"/>
      <c r="J256" s="3085"/>
      <c r="K256" s="3081">
        <v>3</v>
      </c>
      <c r="L256" s="3080"/>
      <c r="M256" s="3086">
        <v>15000</v>
      </c>
      <c r="N256" s="3087">
        <f t="shared" si="83"/>
        <v>0</v>
      </c>
      <c r="O256" s="3080">
        <v>0</v>
      </c>
      <c r="P256" s="3086">
        <v>20000</v>
      </c>
      <c r="Q256" s="3088">
        <f t="shared" si="71"/>
        <v>0</v>
      </c>
      <c r="R256" s="3089">
        <f t="shared" si="72"/>
        <v>0</v>
      </c>
      <c r="S256" s="3080">
        <f t="shared" si="84"/>
        <v>3</v>
      </c>
      <c r="T256" s="3086">
        <v>15000</v>
      </c>
      <c r="U256" s="3088">
        <f t="shared" si="85"/>
        <v>45000</v>
      </c>
      <c r="V256" s="3080">
        <v>0</v>
      </c>
      <c r="W256" s="3086">
        <v>20000</v>
      </c>
      <c r="X256" s="3088">
        <f t="shared" si="73"/>
        <v>0</v>
      </c>
      <c r="Y256" s="3089">
        <f t="shared" si="74"/>
        <v>45000</v>
      </c>
      <c r="Z256" s="3090">
        <v>14</v>
      </c>
      <c r="AA256" s="3091">
        <v>150</v>
      </c>
      <c r="AB256" s="3087">
        <f t="shared" si="70"/>
        <v>2100</v>
      </c>
      <c r="AC256" s="3092"/>
      <c r="AD256" s="3092"/>
      <c r="AE256" s="3093">
        <f t="shared" si="86"/>
        <v>2100</v>
      </c>
      <c r="AF256" s="3094">
        <f t="shared" si="61"/>
        <v>47100</v>
      </c>
      <c r="AG256" s="3095">
        <v>46</v>
      </c>
    </row>
    <row r="257" spans="1:33" s="3095" customFormat="1" ht="30" customHeight="1">
      <c r="A257" s="3082">
        <v>239</v>
      </c>
      <c r="B257" s="3083" t="s">
        <v>1603</v>
      </c>
      <c r="C257" s="3083" t="s">
        <v>1604</v>
      </c>
      <c r="D257" s="3083" t="s">
        <v>1605</v>
      </c>
      <c r="E257" s="3084" t="s">
        <v>1188</v>
      </c>
      <c r="F257" s="3084" t="s">
        <v>1189</v>
      </c>
      <c r="G257" s="3080" t="s">
        <v>1240</v>
      </c>
      <c r="H257" s="3084" t="s">
        <v>1380</v>
      </c>
      <c r="I257" s="3085"/>
      <c r="J257" s="3085"/>
      <c r="K257" s="3081">
        <v>3</v>
      </c>
      <c r="L257" s="3080"/>
      <c r="M257" s="3086">
        <v>36000</v>
      </c>
      <c r="N257" s="3087">
        <f t="shared" si="83"/>
        <v>0</v>
      </c>
      <c r="O257" s="3080">
        <v>0</v>
      </c>
      <c r="P257" s="3086">
        <v>20000</v>
      </c>
      <c r="Q257" s="3088">
        <f t="shared" si="71"/>
        <v>0</v>
      </c>
      <c r="R257" s="3089">
        <f t="shared" si="72"/>
        <v>0</v>
      </c>
      <c r="S257" s="3080">
        <f t="shared" si="84"/>
        <v>3</v>
      </c>
      <c r="T257" s="3086">
        <v>36000</v>
      </c>
      <c r="U257" s="3088">
        <f t="shared" si="85"/>
        <v>108000</v>
      </c>
      <c r="V257" s="3080">
        <v>0</v>
      </c>
      <c r="W257" s="3086">
        <v>20000</v>
      </c>
      <c r="X257" s="3088">
        <f t="shared" si="73"/>
        <v>0</v>
      </c>
      <c r="Y257" s="3089">
        <f t="shared" si="74"/>
        <v>108000</v>
      </c>
      <c r="Z257" s="3090">
        <v>40</v>
      </c>
      <c r="AA257" s="3091">
        <v>150</v>
      </c>
      <c r="AB257" s="3087">
        <f t="shared" si="70"/>
        <v>6000</v>
      </c>
      <c r="AC257" s="3092"/>
      <c r="AD257" s="3092"/>
      <c r="AE257" s="3093">
        <f t="shared" si="86"/>
        <v>6000</v>
      </c>
      <c r="AF257" s="3094">
        <f t="shared" si="61"/>
        <v>114000</v>
      </c>
      <c r="AG257" s="3095">
        <v>47</v>
      </c>
    </row>
    <row r="258" spans="1:33" s="3095" customFormat="1" ht="30" customHeight="1">
      <c r="A258" s="3082">
        <v>240</v>
      </c>
      <c r="B258" s="3083" t="s">
        <v>1606</v>
      </c>
      <c r="C258" s="3083" t="s">
        <v>1196</v>
      </c>
      <c r="D258" s="3083" t="s">
        <v>1605</v>
      </c>
      <c r="E258" s="3084" t="s">
        <v>1188</v>
      </c>
      <c r="F258" s="3084" t="s">
        <v>1189</v>
      </c>
      <c r="G258" s="3080" t="s">
        <v>1240</v>
      </c>
      <c r="H258" s="3084" t="s">
        <v>1380</v>
      </c>
      <c r="I258" s="3085"/>
      <c r="J258" s="3085"/>
      <c r="K258" s="3081">
        <v>3</v>
      </c>
      <c r="L258" s="3080"/>
      <c r="M258" s="3086">
        <v>36000</v>
      </c>
      <c r="N258" s="3087">
        <f t="shared" si="83"/>
        <v>0</v>
      </c>
      <c r="O258" s="3080">
        <v>0</v>
      </c>
      <c r="P258" s="3086">
        <v>20000</v>
      </c>
      <c r="Q258" s="3088">
        <f t="shared" si="71"/>
        <v>0</v>
      </c>
      <c r="R258" s="3089">
        <f t="shared" si="72"/>
        <v>0</v>
      </c>
      <c r="S258" s="3080">
        <f t="shared" si="84"/>
        <v>3</v>
      </c>
      <c r="T258" s="3086">
        <v>36000</v>
      </c>
      <c r="U258" s="3088">
        <f t="shared" si="85"/>
        <v>108000</v>
      </c>
      <c r="V258" s="3080">
        <v>0</v>
      </c>
      <c r="W258" s="3086">
        <v>20000</v>
      </c>
      <c r="X258" s="3088">
        <f t="shared" si="73"/>
        <v>0</v>
      </c>
      <c r="Y258" s="3089">
        <f t="shared" si="74"/>
        <v>108000</v>
      </c>
      <c r="Z258" s="3090">
        <v>40</v>
      </c>
      <c r="AA258" s="3091">
        <v>150</v>
      </c>
      <c r="AB258" s="3087">
        <f t="shared" si="70"/>
        <v>6000</v>
      </c>
      <c r="AC258" s="3092"/>
      <c r="AD258" s="3092"/>
      <c r="AE258" s="3093">
        <f t="shared" si="86"/>
        <v>6000</v>
      </c>
      <c r="AF258" s="3094">
        <f t="shared" si="61"/>
        <v>114000</v>
      </c>
      <c r="AG258" s="3095">
        <v>48</v>
      </c>
    </row>
    <row r="259" spans="1:33" s="3095" customFormat="1" ht="30" customHeight="1">
      <c r="A259" s="3082">
        <v>241</v>
      </c>
      <c r="B259" s="3083" t="s">
        <v>1607</v>
      </c>
      <c r="C259" s="3083" t="s">
        <v>1328</v>
      </c>
      <c r="D259" s="3083" t="s">
        <v>1608</v>
      </c>
      <c r="E259" s="3084" t="s">
        <v>1188</v>
      </c>
      <c r="F259" s="3084" t="s">
        <v>1189</v>
      </c>
      <c r="G259" s="3080" t="s">
        <v>1240</v>
      </c>
      <c r="H259" s="3084" t="s">
        <v>1380</v>
      </c>
      <c r="I259" s="3085"/>
      <c r="J259" s="3085"/>
      <c r="K259" s="3081">
        <v>3</v>
      </c>
      <c r="L259" s="3080"/>
      <c r="M259" s="3086">
        <v>36000</v>
      </c>
      <c r="N259" s="3087">
        <f t="shared" si="83"/>
        <v>0</v>
      </c>
      <c r="O259" s="3080">
        <v>0</v>
      </c>
      <c r="P259" s="3086">
        <v>20000</v>
      </c>
      <c r="Q259" s="3088">
        <f t="shared" si="71"/>
        <v>0</v>
      </c>
      <c r="R259" s="3089">
        <f t="shared" si="72"/>
        <v>0</v>
      </c>
      <c r="S259" s="3080">
        <f t="shared" si="84"/>
        <v>3</v>
      </c>
      <c r="T259" s="3086">
        <v>36000</v>
      </c>
      <c r="U259" s="3088">
        <f t="shared" si="85"/>
        <v>108000</v>
      </c>
      <c r="V259" s="3080">
        <v>0</v>
      </c>
      <c r="W259" s="3086">
        <v>20000</v>
      </c>
      <c r="X259" s="3088">
        <f t="shared" si="73"/>
        <v>0</v>
      </c>
      <c r="Y259" s="3089">
        <f t="shared" si="74"/>
        <v>108000</v>
      </c>
      <c r="Z259" s="3090">
        <v>44</v>
      </c>
      <c r="AA259" s="3091">
        <v>150</v>
      </c>
      <c r="AB259" s="3087">
        <f t="shared" si="70"/>
        <v>6600</v>
      </c>
      <c r="AC259" s="3092"/>
      <c r="AD259" s="3092"/>
      <c r="AE259" s="3093">
        <f t="shared" si="86"/>
        <v>6600</v>
      </c>
      <c r="AF259" s="3094">
        <f t="shared" si="61"/>
        <v>114600</v>
      </c>
      <c r="AG259" s="3095">
        <v>49</v>
      </c>
    </row>
    <row r="260" spans="1:33" s="3095" customFormat="1" ht="30" customHeight="1">
      <c r="A260" s="3082">
        <v>242</v>
      </c>
      <c r="B260" s="3083" t="s">
        <v>1609</v>
      </c>
      <c r="C260" s="3083" t="s">
        <v>1502</v>
      </c>
      <c r="D260" s="3083" t="s">
        <v>1610</v>
      </c>
      <c r="E260" s="3084" t="s">
        <v>1188</v>
      </c>
      <c r="F260" s="3084" t="s">
        <v>1189</v>
      </c>
      <c r="G260" s="3080" t="s">
        <v>1190</v>
      </c>
      <c r="H260" s="3084" t="s">
        <v>1380</v>
      </c>
      <c r="I260" s="3085"/>
      <c r="J260" s="3085"/>
      <c r="K260" s="3081">
        <v>3</v>
      </c>
      <c r="L260" s="3080"/>
      <c r="M260" s="3086">
        <v>15000</v>
      </c>
      <c r="N260" s="3087">
        <f t="shared" si="83"/>
        <v>0</v>
      </c>
      <c r="O260" s="3080">
        <v>0</v>
      </c>
      <c r="P260" s="3086">
        <v>20000</v>
      </c>
      <c r="Q260" s="3088">
        <f t="shared" si="71"/>
        <v>0</v>
      </c>
      <c r="R260" s="3089">
        <f t="shared" si="72"/>
        <v>0</v>
      </c>
      <c r="S260" s="3080">
        <f t="shared" si="84"/>
        <v>3</v>
      </c>
      <c r="T260" s="3086">
        <v>15000</v>
      </c>
      <c r="U260" s="3088">
        <f t="shared" si="85"/>
        <v>45000</v>
      </c>
      <c r="V260" s="3080">
        <v>0</v>
      </c>
      <c r="W260" s="3086">
        <v>20000</v>
      </c>
      <c r="X260" s="3088">
        <f t="shared" si="73"/>
        <v>0</v>
      </c>
      <c r="Y260" s="3089">
        <f t="shared" si="74"/>
        <v>45000</v>
      </c>
      <c r="Z260" s="3090">
        <v>10</v>
      </c>
      <c r="AA260" s="3091">
        <v>150</v>
      </c>
      <c r="AB260" s="3087">
        <f t="shared" si="70"/>
        <v>1500</v>
      </c>
      <c r="AC260" s="3092"/>
      <c r="AD260" s="3092"/>
      <c r="AE260" s="3093">
        <f t="shared" si="86"/>
        <v>1500</v>
      </c>
      <c r="AF260" s="3094">
        <f t="shared" si="61"/>
        <v>46500</v>
      </c>
      <c r="AG260" s="3095">
        <v>50</v>
      </c>
    </row>
    <row r="261" spans="1:33" s="3095" customFormat="1" ht="37.5">
      <c r="A261" s="3082">
        <v>243</v>
      </c>
      <c r="B261" s="3083" t="s">
        <v>1611</v>
      </c>
      <c r="C261" s="3083" t="s">
        <v>1555</v>
      </c>
      <c r="D261" s="3083" t="s">
        <v>1612</v>
      </c>
      <c r="E261" s="3084" t="s">
        <v>1188</v>
      </c>
      <c r="F261" s="3084" t="s">
        <v>1189</v>
      </c>
      <c r="G261" s="3080" t="s">
        <v>1240</v>
      </c>
      <c r="H261" s="3084" t="s">
        <v>1380</v>
      </c>
      <c r="I261" s="3085"/>
      <c r="J261" s="3085"/>
      <c r="K261" s="3081">
        <v>3</v>
      </c>
      <c r="L261" s="3080"/>
      <c r="M261" s="3086">
        <v>36000</v>
      </c>
      <c r="N261" s="3087">
        <f t="shared" si="83"/>
        <v>0</v>
      </c>
      <c r="O261" s="3080">
        <v>0</v>
      </c>
      <c r="P261" s="3086">
        <v>20000</v>
      </c>
      <c r="Q261" s="3088">
        <f t="shared" si="71"/>
        <v>0</v>
      </c>
      <c r="R261" s="3089">
        <f t="shared" si="72"/>
        <v>0</v>
      </c>
      <c r="S261" s="3080">
        <f t="shared" si="84"/>
        <v>3</v>
      </c>
      <c r="T261" s="3086">
        <v>36000</v>
      </c>
      <c r="U261" s="3088">
        <f t="shared" si="85"/>
        <v>108000</v>
      </c>
      <c r="V261" s="3080">
        <v>0</v>
      </c>
      <c r="W261" s="3086">
        <v>20000</v>
      </c>
      <c r="X261" s="3088">
        <f t="shared" si="73"/>
        <v>0</v>
      </c>
      <c r="Y261" s="3089">
        <f t="shared" si="74"/>
        <v>108000</v>
      </c>
      <c r="Z261" s="3090">
        <v>30</v>
      </c>
      <c r="AA261" s="3091">
        <v>150</v>
      </c>
      <c r="AB261" s="3087">
        <f t="shared" si="70"/>
        <v>4500</v>
      </c>
      <c r="AC261" s="3092"/>
      <c r="AD261" s="3092"/>
      <c r="AE261" s="3093">
        <f t="shared" si="86"/>
        <v>4500</v>
      </c>
      <c r="AF261" s="3094">
        <f t="shared" si="61"/>
        <v>112500</v>
      </c>
      <c r="AG261" s="3095">
        <v>51</v>
      </c>
    </row>
    <row r="262" spans="1:33" s="3110" customFormat="1" ht="31.5">
      <c r="A262" s="3099">
        <v>244</v>
      </c>
      <c r="B262" s="3100" t="s">
        <v>1613</v>
      </c>
      <c r="C262" s="3100" t="s">
        <v>1194</v>
      </c>
      <c r="D262" s="3100" t="s">
        <v>1380</v>
      </c>
      <c r="E262" s="3101" t="s">
        <v>1188</v>
      </c>
      <c r="F262" s="3101" t="s">
        <v>1189</v>
      </c>
      <c r="G262" s="3102" t="s">
        <v>1190</v>
      </c>
      <c r="H262" s="3101" t="s">
        <v>1380</v>
      </c>
      <c r="I262" s="3103"/>
      <c r="J262" s="3103"/>
      <c r="K262" s="3104">
        <v>3</v>
      </c>
      <c r="L262" s="3102"/>
      <c r="M262" s="3105">
        <v>15000</v>
      </c>
      <c r="N262" s="3106">
        <f t="shared" si="83"/>
        <v>0</v>
      </c>
      <c r="O262" s="3080">
        <v>0</v>
      </c>
      <c r="P262" s="3105">
        <v>20000</v>
      </c>
      <c r="Q262" s="3107">
        <f t="shared" si="71"/>
        <v>0</v>
      </c>
      <c r="R262" s="3107">
        <f t="shared" si="72"/>
        <v>0</v>
      </c>
      <c r="S262" s="3102">
        <f t="shared" si="84"/>
        <v>3</v>
      </c>
      <c r="T262" s="3105">
        <v>15000</v>
      </c>
      <c r="U262" s="3107">
        <f t="shared" si="85"/>
        <v>45000</v>
      </c>
      <c r="V262" s="3080">
        <v>0</v>
      </c>
      <c r="W262" s="3105">
        <v>20000</v>
      </c>
      <c r="X262" s="3107">
        <f t="shared" si="73"/>
        <v>0</v>
      </c>
      <c r="Y262" s="3107">
        <f t="shared" si="74"/>
        <v>45000</v>
      </c>
      <c r="Z262" s="3107">
        <v>0</v>
      </c>
      <c r="AA262" s="3106">
        <v>0</v>
      </c>
      <c r="AB262" s="3106">
        <f t="shared" si="70"/>
        <v>0</v>
      </c>
      <c r="AC262" s="3108"/>
      <c r="AD262" s="3108"/>
      <c r="AE262" s="3106">
        <f t="shared" si="86"/>
        <v>0</v>
      </c>
      <c r="AF262" s="3109">
        <f t="shared" si="61"/>
        <v>45000</v>
      </c>
      <c r="AG262" s="3095">
        <v>52</v>
      </c>
    </row>
    <row r="263" spans="1:33" s="3125" customFormat="1" ht="30" customHeight="1">
      <c r="A263" s="3111">
        <v>1</v>
      </c>
      <c r="B263" s="3112" t="s">
        <v>1614</v>
      </c>
      <c r="C263" s="3113" t="s">
        <v>1615</v>
      </c>
      <c r="D263" s="3114" t="s">
        <v>1616</v>
      </c>
      <c r="E263" s="3115" t="s">
        <v>1617</v>
      </c>
      <c r="F263" s="3116" t="s">
        <v>1618</v>
      </c>
      <c r="G263" s="3117" t="s">
        <v>1190</v>
      </c>
      <c r="H263" s="3116" t="s">
        <v>1187</v>
      </c>
      <c r="I263" s="3118"/>
      <c r="J263" s="3118"/>
      <c r="K263" s="3119">
        <v>3</v>
      </c>
      <c r="L263" s="3117">
        <v>0</v>
      </c>
      <c r="M263" s="3120">
        <v>15000</v>
      </c>
      <c r="N263" s="3121">
        <f>M263*L263</f>
        <v>0</v>
      </c>
      <c r="O263" s="3117">
        <v>0</v>
      </c>
      <c r="P263" s="3120">
        <v>20000</v>
      </c>
      <c r="Q263" s="3122">
        <f>P263*O263</f>
        <v>0</v>
      </c>
      <c r="R263" s="3122">
        <f>N263+Q263</f>
        <v>0</v>
      </c>
      <c r="S263" s="3117">
        <f>+K263</f>
        <v>3</v>
      </c>
      <c r="T263" s="3120">
        <v>15000</v>
      </c>
      <c r="U263" s="3122">
        <f>T263*S263</f>
        <v>45000</v>
      </c>
      <c r="V263" s="3117">
        <v>0</v>
      </c>
      <c r="W263" s="3120">
        <v>20000</v>
      </c>
      <c r="X263" s="3122">
        <f>V263*W263</f>
        <v>0</v>
      </c>
      <c r="Y263" s="3122">
        <f>U263+X263</f>
        <v>45000</v>
      </c>
      <c r="Z263" s="3122">
        <v>0</v>
      </c>
      <c r="AA263" s="3121"/>
      <c r="AB263" s="3121">
        <f>Z263*AA263</f>
        <v>0</v>
      </c>
      <c r="AC263" s="3123"/>
      <c r="AD263" s="3123"/>
      <c r="AE263" s="3121">
        <f>AB263</f>
        <v>0</v>
      </c>
      <c r="AF263" s="3124">
        <f>+Y263+AE263+R263</f>
        <v>45000</v>
      </c>
    </row>
    <row r="264" spans="1:33" s="3125" customFormat="1" ht="30" customHeight="1">
      <c r="A264" s="3111">
        <v>2</v>
      </c>
      <c r="B264" s="3112" t="s">
        <v>1619</v>
      </c>
      <c r="C264" s="3113" t="s">
        <v>1615</v>
      </c>
      <c r="D264" s="3114" t="s">
        <v>1616</v>
      </c>
      <c r="E264" s="3115" t="s">
        <v>1617</v>
      </c>
      <c r="F264" s="3116" t="s">
        <v>1618</v>
      </c>
      <c r="G264" s="3117" t="s">
        <v>1240</v>
      </c>
      <c r="H264" s="3116" t="s">
        <v>1420</v>
      </c>
      <c r="I264" s="3118"/>
      <c r="J264" s="3118"/>
      <c r="K264" s="3119">
        <v>3</v>
      </c>
      <c r="L264" s="3117">
        <v>0</v>
      </c>
      <c r="M264" s="3120">
        <v>36000</v>
      </c>
      <c r="N264" s="3121">
        <f t="shared" ref="N264:N283" si="87">M264*L264</f>
        <v>0</v>
      </c>
      <c r="O264" s="3117">
        <v>0</v>
      </c>
      <c r="P264" s="3120">
        <v>20000</v>
      </c>
      <c r="Q264" s="3122">
        <f t="shared" ref="Q264:Q267" si="88">P264*O264</f>
        <v>0</v>
      </c>
      <c r="R264" s="3122">
        <f t="shared" si="72"/>
        <v>0</v>
      </c>
      <c r="S264" s="3117">
        <f>+K264</f>
        <v>3</v>
      </c>
      <c r="T264" s="3120">
        <v>36000</v>
      </c>
      <c r="U264" s="3122">
        <f t="shared" ref="U264:U283" si="89">T264*S264</f>
        <v>108000</v>
      </c>
      <c r="V264" s="3117">
        <v>3</v>
      </c>
      <c r="W264" s="3120">
        <v>20000</v>
      </c>
      <c r="X264" s="3122">
        <f t="shared" ref="X264:X267" si="90">V264*W264</f>
        <v>60000</v>
      </c>
      <c r="Y264" s="3122">
        <f t="shared" ref="Y264:Y267" si="91">U264+X264</f>
        <v>168000</v>
      </c>
      <c r="Z264" s="3122">
        <f t="shared" ref="Z264" si="92">45*2</f>
        <v>90</v>
      </c>
      <c r="AA264" s="3121">
        <f>15000*2</f>
        <v>30000</v>
      </c>
      <c r="AB264" s="3121">
        <f>15000*2</f>
        <v>30000</v>
      </c>
      <c r="AC264" s="3123"/>
      <c r="AD264" s="3123"/>
      <c r="AE264" s="3121">
        <f t="shared" si="86"/>
        <v>30000</v>
      </c>
      <c r="AF264" s="3124">
        <f t="shared" ref="AF264:AF283" si="93">+Y264+AE264+R264</f>
        <v>198000</v>
      </c>
    </row>
    <row r="265" spans="1:33" s="3125" customFormat="1" ht="30" customHeight="1">
      <c r="A265" s="3111">
        <v>3</v>
      </c>
      <c r="B265" s="3112" t="s">
        <v>1620</v>
      </c>
      <c r="C265" s="3113" t="s">
        <v>1615</v>
      </c>
      <c r="D265" s="3114" t="s">
        <v>1616</v>
      </c>
      <c r="E265" s="3115" t="s">
        <v>1617</v>
      </c>
      <c r="F265" s="3116" t="s">
        <v>1618</v>
      </c>
      <c r="G265" s="3117" t="s">
        <v>1240</v>
      </c>
      <c r="H265" s="3116" t="s">
        <v>1395</v>
      </c>
      <c r="I265" s="3118"/>
      <c r="J265" s="3118"/>
      <c r="K265" s="3119">
        <v>3</v>
      </c>
      <c r="L265" s="3117">
        <v>2</v>
      </c>
      <c r="M265" s="3120">
        <v>36000</v>
      </c>
      <c r="N265" s="3121">
        <f t="shared" si="87"/>
        <v>72000</v>
      </c>
      <c r="O265" s="3117">
        <f t="shared" ref="O265:O271" si="94">L265-1</f>
        <v>1</v>
      </c>
      <c r="P265" s="3120">
        <v>20000</v>
      </c>
      <c r="Q265" s="3122">
        <f t="shared" si="88"/>
        <v>20000</v>
      </c>
      <c r="R265" s="3122">
        <f t="shared" si="72"/>
        <v>92000</v>
      </c>
      <c r="S265" s="3117">
        <f t="shared" ref="S265:S271" si="95">+K265</f>
        <v>3</v>
      </c>
      <c r="T265" s="3120">
        <v>36000</v>
      </c>
      <c r="U265" s="3122">
        <f t="shared" si="89"/>
        <v>108000</v>
      </c>
      <c r="V265" s="3117">
        <f t="shared" ref="V265:V283" si="96">S265</f>
        <v>3</v>
      </c>
      <c r="W265" s="3120">
        <v>20000</v>
      </c>
      <c r="X265" s="3122">
        <f t="shared" si="90"/>
        <v>60000</v>
      </c>
      <c r="Y265" s="3122">
        <f t="shared" si="91"/>
        <v>168000</v>
      </c>
      <c r="Z265" s="3122">
        <f>87*2</f>
        <v>174</v>
      </c>
      <c r="AA265" s="3121">
        <v>60000</v>
      </c>
      <c r="AB265" s="3121">
        <v>60000</v>
      </c>
      <c r="AC265" s="3123"/>
      <c r="AD265" s="3123"/>
      <c r="AE265" s="3121">
        <f t="shared" si="86"/>
        <v>60000</v>
      </c>
      <c r="AF265" s="3124">
        <f t="shared" si="93"/>
        <v>320000</v>
      </c>
    </row>
    <row r="266" spans="1:33" s="3125" customFormat="1" ht="30" customHeight="1">
      <c r="A266" s="3111">
        <v>4</v>
      </c>
      <c r="B266" s="3112" t="s">
        <v>1621</v>
      </c>
      <c r="C266" s="3113" t="s">
        <v>1615</v>
      </c>
      <c r="D266" s="3114" t="s">
        <v>1616</v>
      </c>
      <c r="E266" s="3115" t="s">
        <v>1617</v>
      </c>
      <c r="F266" s="3116" t="s">
        <v>1618</v>
      </c>
      <c r="G266" s="3117" t="s">
        <v>1240</v>
      </c>
      <c r="H266" s="3116" t="s">
        <v>1575</v>
      </c>
      <c r="I266" s="3118"/>
      <c r="J266" s="3118"/>
      <c r="K266" s="3119">
        <v>3</v>
      </c>
      <c r="L266" s="3117">
        <v>2</v>
      </c>
      <c r="M266" s="3120">
        <v>36000</v>
      </c>
      <c r="N266" s="3121">
        <f t="shared" si="87"/>
        <v>72000</v>
      </c>
      <c r="O266" s="3117">
        <f t="shared" si="94"/>
        <v>1</v>
      </c>
      <c r="P266" s="3120">
        <v>20000</v>
      </c>
      <c r="Q266" s="3122">
        <f t="shared" si="88"/>
        <v>20000</v>
      </c>
      <c r="R266" s="3122">
        <f t="shared" si="72"/>
        <v>92000</v>
      </c>
      <c r="S266" s="3117">
        <f t="shared" si="95"/>
        <v>3</v>
      </c>
      <c r="T266" s="3120">
        <v>36000</v>
      </c>
      <c r="U266" s="3122">
        <f t="shared" si="89"/>
        <v>108000</v>
      </c>
      <c r="V266" s="3117">
        <f t="shared" si="96"/>
        <v>3</v>
      </c>
      <c r="W266" s="3120">
        <v>20000</v>
      </c>
      <c r="X266" s="3122">
        <f t="shared" si="90"/>
        <v>60000</v>
      </c>
      <c r="Y266" s="3122">
        <f t="shared" si="91"/>
        <v>168000</v>
      </c>
      <c r="Z266" s="3122">
        <f>52*2</f>
        <v>104</v>
      </c>
      <c r="AA266" s="3121">
        <f>25000*2</f>
        <v>50000</v>
      </c>
      <c r="AB266" s="3121">
        <f>25000*2</f>
        <v>50000</v>
      </c>
      <c r="AC266" s="3123"/>
      <c r="AD266" s="3123"/>
      <c r="AE266" s="3121">
        <f t="shared" si="86"/>
        <v>50000</v>
      </c>
      <c r="AF266" s="3124">
        <f t="shared" si="93"/>
        <v>310000</v>
      </c>
    </row>
    <row r="267" spans="1:33" s="3125" customFormat="1" ht="30" customHeight="1">
      <c r="A267" s="3111">
        <v>5</v>
      </c>
      <c r="B267" s="3112" t="s">
        <v>1622</v>
      </c>
      <c r="C267" s="3113" t="s">
        <v>1623</v>
      </c>
      <c r="D267" s="3114" t="s">
        <v>1616</v>
      </c>
      <c r="E267" s="3115" t="s">
        <v>1617</v>
      </c>
      <c r="F267" s="3116" t="s">
        <v>1618</v>
      </c>
      <c r="G267" s="3117" t="s">
        <v>1240</v>
      </c>
      <c r="H267" s="3116" t="s">
        <v>1380</v>
      </c>
      <c r="I267" s="3118"/>
      <c r="J267" s="3118"/>
      <c r="K267" s="3119">
        <v>3</v>
      </c>
      <c r="L267" s="3117">
        <v>2</v>
      </c>
      <c r="M267" s="3120">
        <v>36000</v>
      </c>
      <c r="N267" s="3121">
        <f t="shared" si="87"/>
        <v>72000</v>
      </c>
      <c r="O267" s="3117">
        <f t="shared" si="94"/>
        <v>1</v>
      </c>
      <c r="P267" s="3120">
        <v>20000</v>
      </c>
      <c r="Q267" s="3122">
        <f t="shared" si="88"/>
        <v>20000</v>
      </c>
      <c r="R267" s="3122">
        <f t="shared" si="72"/>
        <v>92000</v>
      </c>
      <c r="S267" s="3117">
        <f t="shared" si="95"/>
        <v>3</v>
      </c>
      <c r="T267" s="3120">
        <v>36000</v>
      </c>
      <c r="U267" s="3122">
        <f t="shared" si="89"/>
        <v>108000</v>
      </c>
      <c r="V267" s="3117">
        <f t="shared" si="96"/>
        <v>3</v>
      </c>
      <c r="W267" s="3120">
        <v>20000</v>
      </c>
      <c r="X267" s="3122">
        <f t="shared" si="90"/>
        <v>60000</v>
      </c>
      <c r="Y267" s="3122">
        <f t="shared" si="91"/>
        <v>168000</v>
      </c>
      <c r="Z267" s="3122">
        <f>169*2</f>
        <v>338</v>
      </c>
      <c r="AA267" s="3121">
        <f>25000*2</f>
        <v>50000</v>
      </c>
      <c r="AB267" s="3121">
        <f>25000*2</f>
        <v>50000</v>
      </c>
      <c r="AC267" s="3123"/>
      <c r="AD267" s="3123"/>
      <c r="AE267" s="3121">
        <f t="shared" si="86"/>
        <v>50000</v>
      </c>
      <c r="AF267" s="3124">
        <f t="shared" si="93"/>
        <v>310000</v>
      </c>
    </row>
    <row r="268" spans="1:33" s="3139" customFormat="1" ht="63">
      <c r="A268" s="3126">
        <v>1</v>
      </c>
      <c r="B268" s="3127" t="s">
        <v>1624</v>
      </c>
      <c r="C268" s="3128" t="s">
        <v>1625</v>
      </c>
      <c r="D268" s="3127" t="s">
        <v>1626</v>
      </c>
      <c r="E268" s="3129" t="s">
        <v>1627</v>
      </c>
      <c r="F268" s="3130" t="s">
        <v>1628</v>
      </c>
      <c r="G268" s="3131" t="s">
        <v>1240</v>
      </c>
      <c r="H268" s="3130" t="s">
        <v>1187</v>
      </c>
      <c r="I268" s="3132"/>
      <c r="J268" s="3132"/>
      <c r="K268" s="3133">
        <v>3</v>
      </c>
      <c r="L268" s="3131">
        <v>2</v>
      </c>
      <c r="M268" s="3134">
        <v>36000</v>
      </c>
      <c r="N268" s="3135">
        <f t="shared" si="87"/>
        <v>72000</v>
      </c>
      <c r="O268" s="3131">
        <f>+L268-1</f>
        <v>1</v>
      </c>
      <c r="P268" s="3134">
        <v>20000</v>
      </c>
      <c r="Q268" s="3136">
        <f>P268*O268</f>
        <v>20000</v>
      </c>
      <c r="R268" s="3136">
        <f>N268+Q268</f>
        <v>92000</v>
      </c>
      <c r="S268" s="3131">
        <f t="shared" si="95"/>
        <v>3</v>
      </c>
      <c r="T268" s="3134">
        <v>36000</v>
      </c>
      <c r="U268" s="3136">
        <f t="shared" si="89"/>
        <v>108000</v>
      </c>
      <c r="V268" s="3131">
        <v>3</v>
      </c>
      <c r="W268" s="3134">
        <v>20000</v>
      </c>
      <c r="X268" s="3136">
        <f>V268*W268</f>
        <v>60000</v>
      </c>
      <c r="Y268" s="3136">
        <f>U268+X268</f>
        <v>168000</v>
      </c>
      <c r="Z268" s="3136">
        <f>75*2*15/100</f>
        <v>22.5</v>
      </c>
      <c r="AA268" s="3135">
        <v>4900</v>
      </c>
      <c r="AB268" s="3135">
        <f>Z268*AA268</f>
        <v>110250</v>
      </c>
      <c r="AC268" s="3137"/>
      <c r="AD268" s="3137"/>
      <c r="AE268" s="3135">
        <f t="shared" si="86"/>
        <v>110250</v>
      </c>
      <c r="AF268" s="3138">
        <f>+Y268+AE268+R268</f>
        <v>370250</v>
      </c>
    </row>
    <row r="269" spans="1:33" s="3139" customFormat="1" ht="30" customHeight="1">
      <c r="A269" s="3126">
        <v>2</v>
      </c>
      <c r="B269" s="3127" t="s">
        <v>1629</v>
      </c>
      <c r="C269" s="3140" t="s">
        <v>1630</v>
      </c>
      <c r="D269" s="3127" t="s">
        <v>1626</v>
      </c>
      <c r="E269" s="3129" t="s">
        <v>1627</v>
      </c>
      <c r="F269" s="3130" t="s">
        <v>1631</v>
      </c>
      <c r="G269" s="3131" t="s">
        <v>1240</v>
      </c>
      <c r="H269" s="3130" t="s">
        <v>1632</v>
      </c>
      <c r="I269" s="3132"/>
      <c r="J269" s="3132"/>
      <c r="K269" s="3133">
        <v>3</v>
      </c>
      <c r="L269" s="3131">
        <v>2</v>
      </c>
      <c r="M269" s="3134">
        <v>36000</v>
      </c>
      <c r="N269" s="3135">
        <f t="shared" si="87"/>
        <v>72000</v>
      </c>
      <c r="O269" s="3131">
        <f t="shared" si="94"/>
        <v>1</v>
      </c>
      <c r="P269" s="3134">
        <v>20000</v>
      </c>
      <c r="Q269" s="3136">
        <f t="shared" ref="Q269:Q272" si="97">P269*O269</f>
        <v>20000</v>
      </c>
      <c r="R269" s="3136">
        <f t="shared" ref="R269:R272" si="98">N269+Q269</f>
        <v>92000</v>
      </c>
      <c r="S269" s="3131">
        <f t="shared" si="95"/>
        <v>3</v>
      </c>
      <c r="T269" s="3134">
        <v>36000</v>
      </c>
      <c r="U269" s="3136">
        <f t="shared" si="89"/>
        <v>108000</v>
      </c>
      <c r="V269" s="3131">
        <f t="shared" si="96"/>
        <v>3</v>
      </c>
      <c r="W269" s="3134">
        <v>20000</v>
      </c>
      <c r="X269" s="3136">
        <f t="shared" ref="X269:X272" si="99">V269*W269</f>
        <v>60000</v>
      </c>
      <c r="Y269" s="3136">
        <f t="shared" ref="Y269:Y272" si="100">U269+X269</f>
        <v>168000</v>
      </c>
      <c r="Z269" s="3136">
        <f>120*2*5/100</f>
        <v>12</v>
      </c>
      <c r="AA269" s="3135">
        <v>5900</v>
      </c>
      <c r="AB269" s="3135">
        <f t="shared" ref="AB269:AB273" si="101">Z269*AA269</f>
        <v>70800</v>
      </c>
      <c r="AC269" s="3137"/>
      <c r="AD269" s="3137"/>
      <c r="AE269" s="3135">
        <f t="shared" si="86"/>
        <v>70800</v>
      </c>
      <c r="AF269" s="3138">
        <f t="shared" si="93"/>
        <v>330800</v>
      </c>
    </row>
    <row r="270" spans="1:33" s="3139" customFormat="1" ht="37.5">
      <c r="A270" s="3126">
        <v>3</v>
      </c>
      <c r="B270" s="3141" t="s">
        <v>1633</v>
      </c>
      <c r="C270" s="3142" t="s">
        <v>1634</v>
      </c>
      <c r="D270" s="3127" t="s">
        <v>1616</v>
      </c>
      <c r="E270" s="3129" t="s">
        <v>1627</v>
      </c>
      <c r="F270" s="3130" t="s">
        <v>1631</v>
      </c>
      <c r="G270" s="3131" t="s">
        <v>1240</v>
      </c>
      <c r="H270" s="3130" t="s">
        <v>1635</v>
      </c>
      <c r="I270" s="3132"/>
      <c r="J270" s="3132"/>
      <c r="K270" s="3133">
        <v>3</v>
      </c>
      <c r="L270" s="3131">
        <v>2</v>
      </c>
      <c r="M270" s="3134">
        <v>36000</v>
      </c>
      <c r="N270" s="3135">
        <f t="shared" si="87"/>
        <v>72000</v>
      </c>
      <c r="O270" s="3131">
        <f>L270-1</f>
        <v>1</v>
      </c>
      <c r="P270" s="3134">
        <v>20000</v>
      </c>
      <c r="Q270" s="3136">
        <f t="shared" si="97"/>
        <v>20000</v>
      </c>
      <c r="R270" s="3136">
        <f t="shared" si="98"/>
        <v>92000</v>
      </c>
      <c r="S270" s="3131">
        <f>+K270</f>
        <v>3</v>
      </c>
      <c r="T270" s="3134">
        <v>36000</v>
      </c>
      <c r="U270" s="3136">
        <f t="shared" si="89"/>
        <v>108000</v>
      </c>
      <c r="V270" s="3131">
        <f t="shared" si="96"/>
        <v>3</v>
      </c>
      <c r="W270" s="3134">
        <v>20000</v>
      </c>
      <c r="X270" s="3136">
        <f t="shared" si="99"/>
        <v>60000</v>
      </c>
      <c r="Y270" s="3136">
        <f t="shared" si="100"/>
        <v>168000</v>
      </c>
      <c r="Z270" s="3136">
        <f>87*2*5/100</f>
        <v>8.6999999999999993</v>
      </c>
      <c r="AA270" s="3135">
        <v>5900</v>
      </c>
      <c r="AB270" s="3135">
        <f t="shared" si="101"/>
        <v>51329.999999999993</v>
      </c>
      <c r="AC270" s="3137"/>
      <c r="AD270" s="3137"/>
      <c r="AE270" s="3135">
        <f>AB270</f>
        <v>51329.999999999993</v>
      </c>
      <c r="AF270" s="3138">
        <f t="shared" si="93"/>
        <v>311330</v>
      </c>
    </row>
    <row r="271" spans="1:33" s="3139" customFormat="1" ht="30" customHeight="1">
      <c r="A271" s="3126">
        <v>4</v>
      </c>
      <c r="B271" s="3141" t="str">
        <f>[8]Liste_personnel!$F$6</f>
        <v>MANANDAHY PHILBERT</v>
      </c>
      <c r="C271" s="3141" t="str">
        <f>[8]Liste_personnel!$D$6</f>
        <v>CHEF CISCO</v>
      </c>
      <c r="D271" s="3141" t="s">
        <v>1616</v>
      </c>
      <c r="E271" s="3129" t="s">
        <v>1627</v>
      </c>
      <c r="F271" s="3130" t="s">
        <v>1631</v>
      </c>
      <c r="G271" s="3131" t="s">
        <v>1240</v>
      </c>
      <c r="H271" s="3130" t="s">
        <v>1636</v>
      </c>
      <c r="I271" s="3132"/>
      <c r="J271" s="3132"/>
      <c r="K271" s="3133">
        <v>3</v>
      </c>
      <c r="L271" s="3131">
        <v>2</v>
      </c>
      <c r="M271" s="3134">
        <v>36000</v>
      </c>
      <c r="N271" s="3135">
        <f t="shared" si="87"/>
        <v>72000</v>
      </c>
      <c r="O271" s="3131">
        <f t="shared" si="94"/>
        <v>1</v>
      </c>
      <c r="P271" s="3134">
        <v>20000</v>
      </c>
      <c r="Q271" s="3136">
        <f t="shared" si="97"/>
        <v>20000</v>
      </c>
      <c r="R271" s="3136">
        <f t="shared" si="98"/>
        <v>92000</v>
      </c>
      <c r="S271" s="3131">
        <f t="shared" si="95"/>
        <v>3</v>
      </c>
      <c r="T271" s="3134">
        <v>36000</v>
      </c>
      <c r="U271" s="3136">
        <f t="shared" si="89"/>
        <v>108000</v>
      </c>
      <c r="V271" s="3131">
        <f t="shared" si="96"/>
        <v>3</v>
      </c>
      <c r="W271" s="3134">
        <v>20000</v>
      </c>
      <c r="X271" s="3136">
        <f t="shared" si="99"/>
        <v>60000</v>
      </c>
      <c r="Y271" s="3136">
        <f t="shared" si="100"/>
        <v>168000</v>
      </c>
      <c r="Z271" s="3136">
        <f>52*2*5/100</f>
        <v>5.2</v>
      </c>
      <c r="AA271" s="3135">
        <v>5900</v>
      </c>
      <c r="AB271" s="3135">
        <f t="shared" si="101"/>
        <v>30680</v>
      </c>
      <c r="AC271" s="3137"/>
      <c r="AD271" s="3137"/>
      <c r="AE271" s="3135">
        <f t="shared" si="86"/>
        <v>30680</v>
      </c>
      <c r="AF271" s="3138">
        <f t="shared" si="93"/>
        <v>290680</v>
      </c>
    </row>
    <row r="272" spans="1:33" s="3139" customFormat="1" ht="31.5">
      <c r="A272" s="3126">
        <v>5</v>
      </c>
      <c r="B272" s="3141" t="s">
        <v>1637</v>
      </c>
      <c r="C272" s="3141" t="s">
        <v>1638</v>
      </c>
      <c r="D272" s="3127" t="s">
        <v>1616</v>
      </c>
      <c r="E272" s="3129" t="s">
        <v>1627</v>
      </c>
      <c r="F272" s="3130" t="s">
        <v>1631</v>
      </c>
      <c r="G272" s="3131" t="s">
        <v>1240</v>
      </c>
      <c r="H272" s="3130" t="s">
        <v>1639</v>
      </c>
      <c r="I272" s="3132"/>
      <c r="J272" s="3132"/>
      <c r="K272" s="3133">
        <v>3</v>
      </c>
      <c r="L272" s="3131">
        <v>2</v>
      </c>
      <c r="M272" s="3134">
        <v>36000</v>
      </c>
      <c r="N272" s="3135">
        <f t="shared" si="87"/>
        <v>72000</v>
      </c>
      <c r="O272" s="3131">
        <f>L272-1</f>
        <v>1</v>
      </c>
      <c r="P272" s="3134">
        <v>20000</v>
      </c>
      <c r="Q272" s="3136">
        <f t="shared" si="97"/>
        <v>20000</v>
      </c>
      <c r="R272" s="3136">
        <f t="shared" si="98"/>
        <v>92000</v>
      </c>
      <c r="S272" s="3131">
        <f>+K272</f>
        <v>3</v>
      </c>
      <c r="T272" s="3134">
        <v>36000</v>
      </c>
      <c r="U272" s="3136">
        <f t="shared" si="89"/>
        <v>108000</v>
      </c>
      <c r="V272" s="3131">
        <f t="shared" si="96"/>
        <v>3</v>
      </c>
      <c r="W272" s="3134">
        <v>20000</v>
      </c>
      <c r="X272" s="3136">
        <f t="shared" si="99"/>
        <v>60000</v>
      </c>
      <c r="Y272" s="3136">
        <f t="shared" si="100"/>
        <v>168000</v>
      </c>
      <c r="Z272" s="3136">
        <f>169*2</f>
        <v>338</v>
      </c>
      <c r="AA272" s="3135">
        <v>50000</v>
      </c>
      <c r="AB272" s="3135">
        <v>50000</v>
      </c>
      <c r="AC272" s="3137"/>
      <c r="AD272" s="3137"/>
      <c r="AE272" s="3135">
        <f>AB272</f>
        <v>50000</v>
      </c>
      <c r="AF272" s="3138">
        <f t="shared" si="93"/>
        <v>310000</v>
      </c>
    </row>
    <row r="273" spans="1:33" s="3156" customFormat="1" ht="30" customHeight="1">
      <c r="A273" s="3143">
        <v>1</v>
      </c>
      <c r="B273" s="3144" t="s">
        <v>1640</v>
      </c>
      <c r="C273" s="3144" t="s">
        <v>1641</v>
      </c>
      <c r="D273" s="3145" t="s">
        <v>1616</v>
      </c>
      <c r="E273" s="3146" t="s">
        <v>1642</v>
      </c>
      <c r="F273" s="3147" t="s">
        <v>1643</v>
      </c>
      <c r="G273" s="3148" t="s">
        <v>1190</v>
      </c>
      <c r="H273" s="3147" t="s">
        <v>1644</v>
      </c>
      <c r="I273" s="3149"/>
      <c r="J273" s="3149"/>
      <c r="K273" s="3150">
        <v>3</v>
      </c>
      <c r="L273" s="3148">
        <v>0</v>
      </c>
      <c r="M273" s="3151">
        <v>15000</v>
      </c>
      <c r="N273" s="3152">
        <f t="shared" si="87"/>
        <v>0</v>
      </c>
      <c r="O273" s="3148">
        <v>0</v>
      </c>
      <c r="P273" s="3151">
        <v>20000</v>
      </c>
      <c r="Q273" s="3153">
        <f t="shared" si="71"/>
        <v>0</v>
      </c>
      <c r="R273" s="3153">
        <f t="shared" si="72"/>
        <v>0</v>
      </c>
      <c r="S273" s="3148">
        <f t="shared" ref="S273:S283" si="102">+K273</f>
        <v>3</v>
      </c>
      <c r="T273" s="3151">
        <v>15000</v>
      </c>
      <c r="U273" s="3153">
        <f t="shared" si="89"/>
        <v>45000</v>
      </c>
      <c r="V273" s="3148">
        <v>0</v>
      </c>
      <c r="W273" s="3151">
        <v>20000</v>
      </c>
      <c r="X273" s="3153">
        <f t="shared" si="73"/>
        <v>0</v>
      </c>
      <c r="Y273" s="3153">
        <f t="shared" si="74"/>
        <v>45000</v>
      </c>
      <c r="Z273" s="3153">
        <v>0</v>
      </c>
      <c r="AA273" s="3152"/>
      <c r="AB273" s="3152">
        <f t="shared" si="101"/>
        <v>0</v>
      </c>
      <c r="AC273" s="3154"/>
      <c r="AD273" s="3154"/>
      <c r="AE273" s="3152">
        <f t="shared" ref="AE273:AE283" si="103">AB273</f>
        <v>0</v>
      </c>
      <c r="AF273" s="3155">
        <f t="shared" si="93"/>
        <v>45000</v>
      </c>
    </row>
    <row r="274" spans="1:33" s="3156" customFormat="1" ht="30" customHeight="1">
      <c r="A274" s="3143">
        <v>2</v>
      </c>
      <c r="B274" s="3144" t="s">
        <v>1645</v>
      </c>
      <c r="C274" s="3157" t="s">
        <v>1646</v>
      </c>
      <c r="D274" s="3145" t="s">
        <v>1616</v>
      </c>
      <c r="E274" s="3146" t="s">
        <v>1642</v>
      </c>
      <c r="F274" s="3147" t="s">
        <v>1618</v>
      </c>
      <c r="G274" s="3148" t="s">
        <v>1240</v>
      </c>
      <c r="H274" s="3147" t="s">
        <v>1632</v>
      </c>
      <c r="I274" s="3149"/>
      <c r="J274" s="3149"/>
      <c r="K274" s="3150">
        <v>3</v>
      </c>
      <c r="L274" s="3148">
        <v>2</v>
      </c>
      <c r="M274" s="3151">
        <v>36000</v>
      </c>
      <c r="N274" s="3152">
        <f t="shared" si="87"/>
        <v>72000</v>
      </c>
      <c r="O274" s="3148">
        <f t="shared" ref="O274:O278" si="104">L274-1</f>
        <v>1</v>
      </c>
      <c r="P274" s="3151">
        <v>20000</v>
      </c>
      <c r="Q274" s="3153">
        <f t="shared" si="71"/>
        <v>20000</v>
      </c>
      <c r="R274" s="3153">
        <f t="shared" si="72"/>
        <v>92000</v>
      </c>
      <c r="S274" s="3148">
        <f t="shared" si="102"/>
        <v>3</v>
      </c>
      <c r="T274" s="3151">
        <v>36000</v>
      </c>
      <c r="U274" s="3153">
        <f t="shared" si="89"/>
        <v>108000</v>
      </c>
      <c r="V274" s="3148">
        <f t="shared" si="96"/>
        <v>3</v>
      </c>
      <c r="W274" s="3151">
        <v>20000</v>
      </c>
      <c r="X274" s="3153">
        <f t="shared" si="73"/>
        <v>60000</v>
      </c>
      <c r="Y274" s="3153">
        <f t="shared" si="74"/>
        <v>168000</v>
      </c>
      <c r="Z274" s="3153">
        <f>45*2</f>
        <v>90</v>
      </c>
      <c r="AA274" s="3152">
        <f>15000*2</f>
        <v>30000</v>
      </c>
      <c r="AB274" s="3152">
        <v>30000</v>
      </c>
      <c r="AC274" s="3154"/>
      <c r="AD274" s="3154"/>
      <c r="AE274" s="3152">
        <f t="shared" si="103"/>
        <v>30000</v>
      </c>
      <c r="AF274" s="3155">
        <f t="shared" si="93"/>
        <v>290000</v>
      </c>
    </row>
    <row r="275" spans="1:33" s="3156" customFormat="1" ht="30" customHeight="1">
      <c r="A275" s="3143">
        <v>3</v>
      </c>
      <c r="B275" s="3144" t="s">
        <v>1647</v>
      </c>
      <c r="C275" s="3157" t="s">
        <v>1648</v>
      </c>
      <c r="D275" s="3145" t="s">
        <v>1616</v>
      </c>
      <c r="E275" s="3146" t="s">
        <v>1642</v>
      </c>
      <c r="F275" s="3147" t="s">
        <v>1618</v>
      </c>
      <c r="G275" s="3148" t="s">
        <v>1240</v>
      </c>
      <c r="H275" s="3147" t="s">
        <v>1635</v>
      </c>
      <c r="I275" s="3149"/>
      <c r="J275" s="3149"/>
      <c r="K275" s="3150">
        <v>3</v>
      </c>
      <c r="L275" s="3148">
        <v>2</v>
      </c>
      <c r="M275" s="3151">
        <v>36000</v>
      </c>
      <c r="N275" s="3152">
        <f t="shared" si="87"/>
        <v>72000</v>
      </c>
      <c r="O275" s="3148">
        <f t="shared" si="104"/>
        <v>1</v>
      </c>
      <c r="P275" s="3151">
        <v>20000</v>
      </c>
      <c r="Q275" s="3153">
        <f t="shared" si="71"/>
        <v>20000</v>
      </c>
      <c r="R275" s="3153">
        <f t="shared" si="72"/>
        <v>92000</v>
      </c>
      <c r="S275" s="3148">
        <f t="shared" si="102"/>
        <v>3</v>
      </c>
      <c r="T275" s="3151">
        <v>36000</v>
      </c>
      <c r="U275" s="3153">
        <f t="shared" si="89"/>
        <v>108000</v>
      </c>
      <c r="V275" s="3148">
        <f t="shared" si="96"/>
        <v>3</v>
      </c>
      <c r="W275" s="3151">
        <v>20000</v>
      </c>
      <c r="X275" s="3153">
        <f t="shared" si="73"/>
        <v>60000</v>
      </c>
      <c r="Y275" s="3153">
        <f t="shared" si="74"/>
        <v>168000</v>
      </c>
      <c r="Z275" s="3153">
        <f>87*2</f>
        <v>174</v>
      </c>
      <c r="AA275" s="3152">
        <v>60000</v>
      </c>
      <c r="AB275" s="3152">
        <v>60000</v>
      </c>
      <c r="AC275" s="3154"/>
      <c r="AD275" s="3154"/>
      <c r="AE275" s="3152">
        <f t="shared" si="103"/>
        <v>60000</v>
      </c>
      <c r="AF275" s="3155">
        <f t="shared" si="93"/>
        <v>320000</v>
      </c>
    </row>
    <row r="276" spans="1:33" s="3156" customFormat="1" ht="30" customHeight="1">
      <c r="A276" s="3143">
        <v>4</v>
      </c>
      <c r="B276" s="3144" t="s">
        <v>1649</v>
      </c>
      <c r="C276" s="3157" t="s">
        <v>1650</v>
      </c>
      <c r="D276" s="3145" t="s">
        <v>1616</v>
      </c>
      <c r="E276" s="3146" t="s">
        <v>1642</v>
      </c>
      <c r="F276" s="3147" t="s">
        <v>1618</v>
      </c>
      <c r="G276" s="3148" t="s">
        <v>1240</v>
      </c>
      <c r="H276" s="3147" t="s">
        <v>1636</v>
      </c>
      <c r="I276" s="3149"/>
      <c r="J276" s="3149"/>
      <c r="K276" s="3150">
        <v>3</v>
      </c>
      <c r="L276" s="3148">
        <v>2</v>
      </c>
      <c r="M276" s="3151">
        <v>36000</v>
      </c>
      <c r="N276" s="3152">
        <f t="shared" si="87"/>
        <v>72000</v>
      </c>
      <c r="O276" s="3148">
        <f t="shared" si="104"/>
        <v>1</v>
      </c>
      <c r="P276" s="3151">
        <v>20000</v>
      </c>
      <c r="Q276" s="3153">
        <f t="shared" si="71"/>
        <v>20000</v>
      </c>
      <c r="R276" s="3153">
        <f t="shared" si="72"/>
        <v>92000</v>
      </c>
      <c r="S276" s="3148">
        <f t="shared" si="102"/>
        <v>3</v>
      </c>
      <c r="T276" s="3151">
        <v>36000</v>
      </c>
      <c r="U276" s="3153">
        <f t="shared" si="89"/>
        <v>108000</v>
      </c>
      <c r="V276" s="3148">
        <f t="shared" si="96"/>
        <v>3</v>
      </c>
      <c r="W276" s="3151">
        <v>20000</v>
      </c>
      <c r="X276" s="3153">
        <f t="shared" si="73"/>
        <v>60000</v>
      </c>
      <c r="Y276" s="3153">
        <f t="shared" si="74"/>
        <v>168000</v>
      </c>
      <c r="Z276" s="3153">
        <f>52*2</f>
        <v>104</v>
      </c>
      <c r="AA276" s="3152">
        <v>50000</v>
      </c>
      <c r="AB276" s="3152">
        <v>50000</v>
      </c>
      <c r="AC276" s="3154"/>
      <c r="AD276" s="3154"/>
      <c r="AE276" s="3152">
        <f t="shared" si="103"/>
        <v>50000</v>
      </c>
      <c r="AF276" s="3155">
        <f t="shared" si="93"/>
        <v>310000</v>
      </c>
    </row>
    <row r="277" spans="1:33" s="3156" customFormat="1" ht="30" customHeight="1">
      <c r="A277" s="3143">
        <v>5</v>
      </c>
      <c r="B277" s="3144" t="s">
        <v>1651</v>
      </c>
      <c r="C277" s="3157" t="s">
        <v>1652</v>
      </c>
      <c r="D277" s="3145" t="s">
        <v>1616</v>
      </c>
      <c r="E277" s="3146" t="s">
        <v>1642</v>
      </c>
      <c r="F277" s="3147" t="s">
        <v>1618</v>
      </c>
      <c r="G277" s="3148" t="s">
        <v>1240</v>
      </c>
      <c r="H277" s="3147" t="s">
        <v>1639</v>
      </c>
      <c r="I277" s="3149"/>
      <c r="J277" s="3149"/>
      <c r="K277" s="3150">
        <v>3</v>
      </c>
      <c r="L277" s="3148">
        <v>2</v>
      </c>
      <c r="M277" s="3151">
        <v>36000</v>
      </c>
      <c r="N277" s="3152">
        <f t="shared" si="87"/>
        <v>72000</v>
      </c>
      <c r="O277" s="3148">
        <f t="shared" si="104"/>
        <v>1</v>
      </c>
      <c r="P277" s="3151">
        <v>20000</v>
      </c>
      <c r="Q277" s="3153">
        <f t="shared" si="71"/>
        <v>20000</v>
      </c>
      <c r="R277" s="3153">
        <f t="shared" si="72"/>
        <v>92000</v>
      </c>
      <c r="S277" s="3148">
        <f t="shared" si="102"/>
        <v>3</v>
      </c>
      <c r="T277" s="3151">
        <v>36000</v>
      </c>
      <c r="U277" s="3153">
        <f t="shared" si="89"/>
        <v>108000</v>
      </c>
      <c r="V277" s="3148">
        <f t="shared" si="96"/>
        <v>3</v>
      </c>
      <c r="W277" s="3151">
        <v>20000</v>
      </c>
      <c r="X277" s="3153">
        <f t="shared" si="73"/>
        <v>60000</v>
      </c>
      <c r="Y277" s="3153">
        <f t="shared" si="74"/>
        <v>168000</v>
      </c>
      <c r="Z277" s="3153">
        <f>169*2</f>
        <v>338</v>
      </c>
      <c r="AA277" s="3152">
        <v>50000</v>
      </c>
      <c r="AB277" s="3152">
        <v>50000</v>
      </c>
      <c r="AC277" s="3154"/>
      <c r="AD277" s="3154"/>
      <c r="AE277" s="3152">
        <f t="shared" si="103"/>
        <v>50000</v>
      </c>
      <c r="AF277" s="3155">
        <f t="shared" si="93"/>
        <v>310000</v>
      </c>
    </row>
    <row r="278" spans="1:33" s="3110" customFormat="1" ht="30" customHeight="1">
      <c r="A278" s="3099">
        <v>6</v>
      </c>
      <c r="B278" s="3100" t="s">
        <v>1653</v>
      </c>
      <c r="C278" s="3100" t="s">
        <v>1654</v>
      </c>
      <c r="D278" s="3158" t="s">
        <v>1616</v>
      </c>
      <c r="E278" s="3101" t="s">
        <v>1188</v>
      </c>
      <c r="F278" s="3101" t="s">
        <v>1628</v>
      </c>
      <c r="G278" s="3102" t="s">
        <v>1240</v>
      </c>
      <c r="H278" s="3101" t="s">
        <v>1655</v>
      </c>
      <c r="I278" s="3103"/>
      <c r="J278" s="3103"/>
      <c r="K278" s="3104">
        <v>2</v>
      </c>
      <c r="L278" s="3102">
        <v>2</v>
      </c>
      <c r="M278" s="3105">
        <v>36000</v>
      </c>
      <c r="N278" s="3106">
        <f t="shared" si="87"/>
        <v>72000</v>
      </c>
      <c r="O278" s="3102">
        <f t="shared" si="104"/>
        <v>1</v>
      </c>
      <c r="P278" s="3105">
        <v>40000</v>
      </c>
      <c r="Q278" s="3107">
        <f t="shared" si="71"/>
        <v>40000</v>
      </c>
      <c r="R278" s="3107">
        <f t="shared" si="72"/>
        <v>112000</v>
      </c>
      <c r="S278" s="3102">
        <f t="shared" si="102"/>
        <v>2</v>
      </c>
      <c r="T278" s="3105">
        <v>36000</v>
      </c>
      <c r="U278" s="3107">
        <f t="shared" si="89"/>
        <v>72000</v>
      </c>
      <c r="V278" s="3102">
        <f t="shared" si="96"/>
        <v>2</v>
      </c>
      <c r="W278" s="3105">
        <v>40000</v>
      </c>
      <c r="X278" s="3107">
        <f t="shared" si="73"/>
        <v>80000</v>
      </c>
      <c r="Y278" s="3107">
        <f t="shared" si="74"/>
        <v>152000</v>
      </c>
      <c r="Z278" s="3107">
        <f>75*2</f>
        <v>150</v>
      </c>
      <c r="AA278" s="3106">
        <f>15000*2</f>
        <v>30000</v>
      </c>
      <c r="AB278" s="3106">
        <v>30000</v>
      </c>
      <c r="AC278" s="3108"/>
      <c r="AD278" s="3108"/>
      <c r="AE278" s="3106">
        <f t="shared" si="103"/>
        <v>30000</v>
      </c>
      <c r="AF278" s="3109">
        <f t="shared" si="93"/>
        <v>294000</v>
      </c>
    </row>
    <row r="279" spans="1:33" s="3095" customFormat="1" ht="30" customHeight="1">
      <c r="A279" s="3082">
        <v>1</v>
      </c>
      <c r="B279" s="3097" t="s">
        <v>1656</v>
      </c>
      <c r="C279" s="3159" t="s">
        <v>1657</v>
      </c>
      <c r="D279" s="3160" t="s">
        <v>1616</v>
      </c>
      <c r="E279" s="3084" t="s">
        <v>1188</v>
      </c>
      <c r="F279" s="3084" t="s">
        <v>1643</v>
      </c>
      <c r="G279" s="3080" t="s">
        <v>1190</v>
      </c>
      <c r="H279" s="3147" t="s">
        <v>1187</v>
      </c>
      <c r="I279" s="3085"/>
      <c r="J279" s="3085"/>
      <c r="K279" s="3104">
        <v>3</v>
      </c>
      <c r="L279" s="3102">
        <v>0</v>
      </c>
      <c r="M279" s="3086">
        <v>15000</v>
      </c>
      <c r="N279" s="3087">
        <f t="shared" si="87"/>
        <v>0</v>
      </c>
      <c r="O279" s="3080">
        <v>0</v>
      </c>
      <c r="P279" s="3086">
        <v>20000</v>
      </c>
      <c r="Q279" s="3088">
        <f t="shared" si="71"/>
        <v>0</v>
      </c>
      <c r="R279" s="3089">
        <f t="shared" si="72"/>
        <v>0</v>
      </c>
      <c r="S279" s="3080">
        <f t="shared" si="102"/>
        <v>3</v>
      </c>
      <c r="T279" s="3086">
        <v>15000</v>
      </c>
      <c r="U279" s="3088">
        <f t="shared" si="89"/>
        <v>45000</v>
      </c>
      <c r="V279" s="3080">
        <v>0</v>
      </c>
      <c r="W279" s="3086">
        <v>20000</v>
      </c>
      <c r="X279" s="3088">
        <f t="shared" si="73"/>
        <v>0</v>
      </c>
      <c r="Y279" s="3089">
        <f t="shared" si="74"/>
        <v>45000</v>
      </c>
      <c r="Z279" s="3153">
        <v>0</v>
      </c>
      <c r="AA279" s="3152"/>
      <c r="AB279" s="3152">
        <f>Z279*AA279</f>
        <v>0</v>
      </c>
      <c r="AC279" s="3154"/>
      <c r="AD279" s="3154"/>
      <c r="AE279" s="3152">
        <f t="shared" si="103"/>
        <v>0</v>
      </c>
      <c r="AF279" s="3094">
        <f t="shared" si="93"/>
        <v>45000</v>
      </c>
    </row>
    <row r="280" spans="1:33" s="3095" customFormat="1" ht="63">
      <c r="A280" s="3082">
        <v>2</v>
      </c>
      <c r="B280" s="3161" t="s">
        <v>1658</v>
      </c>
      <c r="C280" s="3162" t="s">
        <v>1659</v>
      </c>
      <c r="D280" s="3160" t="s">
        <v>1616</v>
      </c>
      <c r="E280" s="3084" t="s">
        <v>1188</v>
      </c>
      <c r="F280" s="3084" t="s">
        <v>1628</v>
      </c>
      <c r="G280" s="3080" t="s">
        <v>1240</v>
      </c>
      <c r="H280" s="3147" t="s">
        <v>1632</v>
      </c>
      <c r="I280" s="3085"/>
      <c r="J280" s="3085"/>
      <c r="K280" s="3104">
        <v>3</v>
      </c>
      <c r="L280" s="3102">
        <v>2</v>
      </c>
      <c r="M280" s="3086">
        <v>36000</v>
      </c>
      <c r="N280" s="3087">
        <f t="shared" si="87"/>
        <v>72000</v>
      </c>
      <c r="O280" s="3080">
        <f t="shared" ref="O280:O283" si="105">L280-1</f>
        <v>1</v>
      </c>
      <c r="P280" s="3086">
        <v>20000</v>
      </c>
      <c r="Q280" s="3088">
        <f t="shared" ref="Q280:Q283" si="106">P280*O280</f>
        <v>20000</v>
      </c>
      <c r="R280" s="3089">
        <f t="shared" ref="R280:R283" si="107">N280+Q280</f>
        <v>92000</v>
      </c>
      <c r="S280" s="3080">
        <f t="shared" si="102"/>
        <v>3</v>
      </c>
      <c r="T280" s="3086">
        <v>36000</v>
      </c>
      <c r="U280" s="3088">
        <f t="shared" si="89"/>
        <v>108000</v>
      </c>
      <c r="V280" s="3080">
        <f t="shared" si="96"/>
        <v>3</v>
      </c>
      <c r="W280" s="3086">
        <v>20000</v>
      </c>
      <c r="X280" s="3088">
        <f t="shared" ref="X280:X283" si="108">V280*W280</f>
        <v>60000</v>
      </c>
      <c r="Y280" s="3089">
        <f t="shared" ref="Y280:Y283" si="109">U280+X280</f>
        <v>168000</v>
      </c>
      <c r="Z280" s="3153">
        <f>45*2</f>
        <v>90</v>
      </c>
      <c r="AA280" s="3152">
        <f>15000*2</f>
        <v>30000</v>
      </c>
      <c r="AB280" s="3152">
        <v>30000</v>
      </c>
      <c r="AC280" s="3154"/>
      <c r="AD280" s="3154"/>
      <c r="AE280" s="3152">
        <f t="shared" si="103"/>
        <v>30000</v>
      </c>
      <c r="AF280" s="3094">
        <f t="shared" si="93"/>
        <v>290000</v>
      </c>
    </row>
    <row r="281" spans="1:33" s="3095" customFormat="1" ht="30" customHeight="1">
      <c r="A281" s="3082">
        <v>3</v>
      </c>
      <c r="B281" s="3097" t="s">
        <v>1660</v>
      </c>
      <c r="C281" s="3159" t="s">
        <v>1661</v>
      </c>
      <c r="D281" s="3160" t="s">
        <v>1616</v>
      </c>
      <c r="E281" s="3084" t="s">
        <v>1188</v>
      </c>
      <c r="F281" s="3084" t="s">
        <v>1628</v>
      </c>
      <c r="G281" s="3080" t="s">
        <v>1240</v>
      </c>
      <c r="H281" s="3147" t="s">
        <v>1635</v>
      </c>
      <c r="I281" s="3085"/>
      <c r="J281" s="3085"/>
      <c r="K281" s="3104">
        <v>3</v>
      </c>
      <c r="L281" s="3102">
        <v>2</v>
      </c>
      <c r="M281" s="3086">
        <v>36000</v>
      </c>
      <c r="N281" s="3087">
        <f t="shared" si="87"/>
        <v>72000</v>
      </c>
      <c r="O281" s="3080">
        <f t="shared" si="105"/>
        <v>1</v>
      </c>
      <c r="P281" s="3086">
        <v>20000</v>
      </c>
      <c r="Q281" s="3088">
        <f t="shared" si="106"/>
        <v>20000</v>
      </c>
      <c r="R281" s="3089">
        <f t="shared" si="107"/>
        <v>92000</v>
      </c>
      <c r="S281" s="3080">
        <f t="shared" si="102"/>
        <v>3</v>
      </c>
      <c r="T281" s="3086">
        <v>36000</v>
      </c>
      <c r="U281" s="3088">
        <f t="shared" si="89"/>
        <v>108000</v>
      </c>
      <c r="V281" s="3080">
        <f t="shared" si="96"/>
        <v>3</v>
      </c>
      <c r="W281" s="3086">
        <v>20000</v>
      </c>
      <c r="X281" s="3088">
        <f t="shared" si="108"/>
        <v>60000</v>
      </c>
      <c r="Y281" s="3089">
        <f t="shared" si="109"/>
        <v>168000</v>
      </c>
      <c r="Z281" s="3153">
        <f>87*2</f>
        <v>174</v>
      </c>
      <c r="AA281" s="3152">
        <v>60000</v>
      </c>
      <c r="AB281" s="3152">
        <v>60000</v>
      </c>
      <c r="AC281" s="3154"/>
      <c r="AD281" s="3154"/>
      <c r="AE281" s="3152">
        <f t="shared" si="103"/>
        <v>60000</v>
      </c>
      <c r="AF281" s="3094">
        <f t="shared" si="93"/>
        <v>320000</v>
      </c>
    </row>
    <row r="282" spans="1:33" s="3095" customFormat="1" ht="30" customHeight="1">
      <c r="A282" s="3082">
        <v>4</v>
      </c>
      <c r="B282" s="3097" t="s">
        <v>1662</v>
      </c>
      <c r="C282" s="3159" t="s">
        <v>1663</v>
      </c>
      <c r="D282" s="3160" t="s">
        <v>1616</v>
      </c>
      <c r="E282" s="3084" t="s">
        <v>1188</v>
      </c>
      <c r="F282" s="3084" t="s">
        <v>1628</v>
      </c>
      <c r="G282" s="3080" t="s">
        <v>1240</v>
      </c>
      <c r="H282" s="3147" t="s">
        <v>1636</v>
      </c>
      <c r="I282" s="3085"/>
      <c r="J282" s="3085"/>
      <c r="K282" s="3104">
        <v>3</v>
      </c>
      <c r="L282" s="3102">
        <v>2</v>
      </c>
      <c r="M282" s="3086">
        <v>36000</v>
      </c>
      <c r="N282" s="3087">
        <f t="shared" si="87"/>
        <v>72000</v>
      </c>
      <c r="O282" s="3080">
        <f t="shared" si="105"/>
        <v>1</v>
      </c>
      <c r="P282" s="3086">
        <v>20000</v>
      </c>
      <c r="Q282" s="3088">
        <f t="shared" si="106"/>
        <v>20000</v>
      </c>
      <c r="R282" s="3089">
        <f t="shared" si="107"/>
        <v>92000</v>
      </c>
      <c r="S282" s="3080">
        <f t="shared" si="102"/>
        <v>3</v>
      </c>
      <c r="T282" s="3086">
        <v>36000</v>
      </c>
      <c r="U282" s="3088">
        <f t="shared" si="89"/>
        <v>108000</v>
      </c>
      <c r="V282" s="3080">
        <f t="shared" si="96"/>
        <v>3</v>
      </c>
      <c r="W282" s="3086">
        <v>20000</v>
      </c>
      <c r="X282" s="3088">
        <f t="shared" si="108"/>
        <v>60000</v>
      </c>
      <c r="Y282" s="3089">
        <f t="shared" si="109"/>
        <v>168000</v>
      </c>
      <c r="Z282" s="3153">
        <f>52*2</f>
        <v>104</v>
      </c>
      <c r="AA282" s="3152">
        <f>25000*2</f>
        <v>50000</v>
      </c>
      <c r="AB282" s="3152">
        <f>+AA282</f>
        <v>50000</v>
      </c>
      <c r="AC282" s="3154"/>
      <c r="AD282" s="3154"/>
      <c r="AE282" s="3152">
        <f t="shared" si="103"/>
        <v>50000</v>
      </c>
      <c r="AF282" s="3094">
        <f t="shared" si="93"/>
        <v>310000</v>
      </c>
    </row>
    <row r="283" spans="1:33" s="3095" customFormat="1" ht="63">
      <c r="A283" s="3082">
        <v>5</v>
      </c>
      <c r="B283" s="3097" t="s">
        <v>1664</v>
      </c>
      <c r="C283" s="3163" t="s">
        <v>1665</v>
      </c>
      <c r="D283" s="3160" t="s">
        <v>1616</v>
      </c>
      <c r="E283" s="3084" t="s">
        <v>1188</v>
      </c>
      <c r="F283" s="3084" t="s">
        <v>1628</v>
      </c>
      <c r="G283" s="3080" t="s">
        <v>1240</v>
      </c>
      <c r="H283" s="3147" t="s">
        <v>1639</v>
      </c>
      <c r="I283" s="3085"/>
      <c r="J283" s="3085"/>
      <c r="K283" s="3104">
        <v>3</v>
      </c>
      <c r="L283" s="3102">
        <v>2</v>
      </c>
      <c r="M283" s="3086">
        <v>36000</v>
      </c>
      <c r="N283" s="3087">
        <f t="shared" si="87"/>
        <v>72000</v>
      </c>
      <c r="O283" s="3080">
        <f t="shared" si="105"/>
        <v>1</v>
      </c>
      <c r="P283" s="3086">
        <v>20000</v>
      </c>
      <c r="Q283" s="3088">
        <f t="shared" si="106"/>
        <v>20000</v>
      </c>
      <c r="R283" s="3089">
        <f t="shared" si="107"/>
        <v>92000</v>
      </c>
      <c r="S283" s="3080">
        <f t="shared" si="102"/>
        <v>3</v>
      </c>
      <c r="T283" s="3086">
        <v>36000</v>
      </c>
      <c r="U283" s="3088">
        <f t="shared" si="89"/>
        <v>108000</v>
      </c>
      <c r="V283" s="3080">
        <f t="shared" si="96"/>
        <v>3</v>
      </c>
      <c r="W283" s="3086">
        <v>20000</v>
      </c>
      <c r="X283" s="3088">
        <f t="shared" si="108"/>
        <v>60000</v>
      </c>
      <c r="Y283" s="3089">
        <f t="shared" si="109"/>
        <v>168000</v>
      </c>
      <c r="Z283" s="3153">
        <f>169*2</f>
        <v>338</v>
      </c>
      <c r="AA283" s="3152">
        <f>25000*2</f>
        <v>50000</v>
      </c>
      <c r="AB283" s="3152">
        <f>+AA283</f>
        <v>50000</v>
      </c>
      <c r="AC283" s="3154"/>
      <c r="AD283" s="3154"/>
      <c r="AE283" s="3152">
        <f t="shared" si="103"/>
        <v>50000</v>
      </c>
      <c r="AF283" s="3094">
        <f t="shared" si="93"/>
        <v>310000</v>
      </c>
    </row>
    <row r="284" spans="1:33" ht="24.95" customHeight="1">
      <c r="D284" s="3079"/>
      <c r="E284" s="3079"/>
      <c r="L284" s="3079"/>
      <c r="M284" s="3079"/>
      <c r="O284" s="3164" t="s">
        <v>285</v>
      </c>
      <c r="R284" s="3165">
        <f>SUM(R19:R283)</f>
        <v>1584000</v>
      </c>
      <c r="T284" s="3166"/>
      <c r="U284" s="3166"/>
      <c r="V284" s="3166"/>
      <c r="W284" s="3166"/>
      <c r="X284" s="3166"/>
      <c r="Y284" s="3165">
        <f>SUM(Y19:Y283)</f>
        <v>22772000</v>
      </c>
      <c r="Z284" s="3079"/>
      <c r="AC284" s="3167"/>
      <c r="AD284" s="3167"/>
      <c r="AE284" s="3165">
        <f>SUM(AE19:AE283)</f>
        <v>2599060</v>
      </c>
      <c r="AF284" s="3168">
        <f>SUM(AF19:AF283)</f>
        <v>26955060</v>
      </c>
      <c r="AG284" s="3169"/>
    </row>
    <row r="285" spans="1:33">
      <c r="B285" s="3170" t="s">
        <v>1666</v>
      </c>
      <c r="AF285" s="3173">
        <v>4688000</v>
      </c>
    </row>
    <row r="286" spans="1:33">
      <c r="B286" s="3170"/>
      <c r="AF286" s="3174">
        <f>+AF284+AF285</f>
        <v>31643060</v>
      </c>
    </row>
    <row r="287" spans="1:33" s="3175" customFormat="1" ht="42.75" customHeight="1">
      <c r="C287" s="3176" t="s">
        <v>1667</v>
      </c>
      <c r="D287" s="3177"/>
      <c r="E287" s="3177"/>
      <c r="M287" s="3178"/>
      <c r="P287" s="3179"/>
      <c r="Q287" s="3180"/>
      <c r="R287" s="3180"/>
      <c r="S287" s="3178"/>
      <c r="T287" s="3178"/>
      <c r="V287" s="3426" t="s">
        <v>1668</v>
      </c>
      <c r="W287" s="3426"/>
      <c r="X287" s="3426"/>
      <c r="AF287" s="3173">
        <v>33068400</v>
      </c>
      <c r="AG287" s="3174">
        <f>+AF287-AF286</f>
        <v>1425340</v>
      </c>
    </row>
    <row r="288" spans="1:33">
      <c r="L288" s="3079"/>
      <c r="S288" s="3079"/>
      <c r="T288" s="3166"/>
      <c r="X288" s="3172"/>
      <c r="Z288" s="3079"/>
      <c r="AE288" s="3079"/>
    </row>
    <row r="289" spans="12:31">
      <c r="L289" s="3079"/>
      <c r="S289" s="3079"/>
      <c r="T289" s="3166"/>
      <c r="X289" s="3172"/>
      <c r="Z289" s="3079"/>
      <c r="AE289" s="3079"/>
    </row>
    <row r="290" spans="12:31">
      <c r="L290" s="3079"/>
      <c r="S290" s="3079"/>
      <c r="T290" s="3166"/>
      <c r="X290" s="3172"/>
      <c r="Z290" s="3079"/>
      <c r="AE290" s="3079"/>
    </row>
    <row r="291" spans="12:31">
      <c r="L291" s="3079"/>
      <c r="S291" s="3079"/>
      <c r="T291" s="3166"/>
      <c r="X291" s="3172"/>
      <c r="Z291" s="3079"/>
      <c r="AE291" s="3079"/>
    </row>
    <row r="292" spans="12:31">
      <c r="L292" s="3079"/>
      <c r="S292" s="3079"/>
      <c r="T292" s="3166"/>
      <c r="X292" s="3172"/>
      <c r="Z292" s="3079"/>
      <c r="AE292" s="3079"/>
    </row>
    <row r="293" spans="12:31">
      <c r="L293" s="3079"/>
      <c r="S293" s="3079"/>
      <c r="T293" s="3166"/>
      <c r="X293" s="3172"/>
      <c r="Z293" s="3079"/>
      <c r="AE293" s="3079"/>
    </row>
    <row r="294" spans="12:31">
      <c r="L294" s="3079"/>
      <c r="S294" s="3079"/>
      <c r="T294" s="3166"/>
      <c r="X294" s="3172"/>
      <c r="Z294" s="3079"/>
      <c r="AE294" s="3079"/>
    </row>
  </sheetData>
  <autoFilter ref="A18:AG287" xr:uid="{00000000-0001-0000-0000-000000000000}"/>
  <mergeCells count="29">
    <mergeCell ref="V287:X287"/>
    <mergeCell ref="AF15:AF18"/>
    <mergeCell ref="L16:N17"/>
    <mergeCell ref="O16:Q17"/>
    <mergeCell ref="R16:R18"/>
    <mergeCell ref="S16:U17"/>
    <mergeCell ref="V16:X17"/>
    <mergeCell ref="Z16:Z18"/>
    <mergeCell ref="AA16:AA18"/>
    <mergeCell ref="AB16:AB18"/>
    <mergeCell ref="AC16:AC18"/>
    <mergeCell ref="Z15:AE15"/>
    <mergeCell ref="AD16:AD18"/>
    <mergeCell ref="AE16:AE18"/>
    <mergeCell ref="A12:AF12"/>
    <mergeCell ref="A15:A18"/>
    <mergeCell ref="B15:B18"/>
    <mergeCell ref="C15:C18"/>
    <mergeCell ref="D15:D18"/>
    <mergeCell ref="E15:E18"/>
    <mergeCell ref="F15:F18"/>
    <mergeCell ref="G15:G18"/>
    <mergeCell ref="H15:H18"/>
    <mergeCell ref="I15:I18"/>
    <mergeCell ref="J15:J18"/>
    <mergeCell ref="K15:K18"/>
    <mergeCell ref="L15:R15"/>
    <mergeCell ref="S15:X15"/>
    <mergeCell ref="Y15:Y18"/>
  </mergeCells>
  <conditionalFormatting sqref="B21:B22">
    <cfRule type="duplicateValues" dxfId="195" priority="1"/>
  </conditionalFormatting>
  <pageMargins left="0.39370078740157483" right="0.39370078740157483" top="0.39370078740157483" bottom="0.39370078740157483" header="0.31496062992125984" footer="0.31496062992125984"/>
  <pageSetup paperSize="9" scale="40" fitToHeight="0" orientation="landscape" r:id="rId1"/>
  <headerFooter>
    <oddFooter>Page &amp;P de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E0FA1-9F84-4150-8938-75EEC2DADEA7}">
  <sheetPr>
    <tabColor rgb="FF7030A0"/>
  </sheetPr>
  <dimension ref="A1:AG38"/>
  <sheetViews>
    <sheetView topLeftCell="G25" zoomScale="70" zoomScaleNormal="70" workbookViewId="0">
      <selection activeCell="V48" sqref="V48"/>
    </sheetView>
  </sheetViews>
  <sheetFormatPr baseColWidth="10" defaultRowHeight="15"/>
  <cols>
    <col min="1" max="1" width="7.7109375" customWidth="1"/>
    <col min="2" max="2" width="39.42578125" bestFit="1" customWidth="1"/>
    <col min="3" max="3" width="35.7109375" customWidth="1"/>
    <col min="4" max="4" width="18.28515625" bestFit="1" customWidth="1"/>
    <col min="5" max="5" width="20.7109375" customWidth="1"/>
    <col min="6" max="6" width="11.5703125" customWidth="1"/>
    <col min="7" max="7" width="16.5703125" customWidth="1"/>
    <col min="8" max="8" width="19" bestFit="1" customWidth="1"/>
    <col min="9" max="12" width="11.5703125" customWidth="1"/>
    <col min="13" max="13" width="13.85546875" bestFit="1" customWidth="1"/>
    <col min="14" max="14" width="11.7109375" bestFit="1" customWidth="1"/>
    <col min="15" max="15" width="11.5703125" customWidth="1"/>
    <col min="16" max="16" width="13.85546875" bestFit="1" customWidth="1"/>
    <col min="17" max="17" width="11.5703125" customWidth="1"/>
    <col min="18" max="18" width="23.7109375" bestFit="1" customWidth="1"/>
    <col min="19" max="19" width="11.5703125" customWidth="1"/>
    <col min="20" max="20" width="13.85546875" bestFit="1" customWidth="1"/>
    <col min="21" max="22" width="11.5703125" customWidth="1"/>
    <col min="23" max="23" width="13.85546875" bestFit="1" customWidth="1"/>
    <col min="24" max="24" width="11.5703125" customWidth="1"/>
    <col min="25" max="25" width="23.42578125" bestFit="1" customWidth="1"/>
    <col min="28" max="28" width="12.7109375" bestFit="1" customWidth="1"/>
    <col min="31" max="31" width="14.28515625" bestFit="1" customWidth="1"/>
    <col min="32" max="33" width="17.28515625" bestFit="1" customWidth="1"/>
  </cols>
  <sheetData>
    <row r="1" spans="1:33" ht="15.6" customHeight="1">
      <c r="A1" s="3430" t="s">
        <v>1153</v>
      </c>
      <c r="B1" s="3430" t="s">
        <v>1154</v>
      </c>
      <c r="C1" s="3430" t="s">
        <v>1155</v>
      </c>
      <c r="D1" s="3433" t="s">
        <v>1156</v>
      </c>
      <c r="E1" s="3433" t="s">
        <v>1157</v>
      </c>
      <c r="F1" s="3433" t="s">
        <v>1158</v>
      </c>
      <c r="G1" s="3433" t="s">
        <v>1159</v>
      </c>
      <c r="H1" s="3433" t="s">
        <v>1160</v>
      </c>
      <c r="I1" s="3433" t="s">
        <v>1161</v>
      </c>
      <c r="J1" s="3433" t="s">
        <v>1162</v>
      </c>
      <c r="K1" s="3436" t="s">
        <v>1163</v>
      </c>
      <c r="L1" s="3425" t="s">
        <v>1164</v>
      </c>
      <c r="M1" s="3425"/>
      <c r="N1" s="3425"/>
      <c r="O1" s="3425"/>
      <c r="P1" s="3425"/>
      <c r="Q1" s="3425"/>
      <c r="R1" s="3425"/>
      <c r="S1" s="3425" t="s">
        <v>1165</v>
      </c>
      <c r="T1" s="3425"/>
      <c r="U1" s="3425"/>
      <c r="V1" s="3425"/>
      <c r="W1" s="3425"/>
      <c r="X1" s="3425"/>
      <c r="Y1" s="3423" t="s">
        <v>1166</v>
      </c>
      <c r="Z1" s="3425" t="s">
        <v>1167</v>
      </c>
      <c r="AA1" s="3425"/>
      <c r="AB1" s="3425"/>
      <c r="AC1" s="3425"/>
      <c r="AD1" s="3425"/>
      <c r="AE1" s="3425"/>
      <c r="AF1" s="3427" t="s">
        <v>1168</v>
      </c>
      <c r="AG1" s="3079"/>
    </row>
    <row r="2" spans="1:33" ht="15.75">
      <c r="A2" s="3431"/>
      <c r="B2" s="3431"/>
      <c r="C2" s="3431"/>
      <c r="D2" s="3434"/>
      <c r="E2" s="3434"/>
      <c r="F2" s="3434"/>
      <c r="G2" s="3434"/>
      <c r="H2" s="3434"/>
      <c r="I2" s="3434"/>
      <c r="J2" s="3434"/>
      <c r="K2" s="3437"/>
      <c r="L2" s="3422" t="s">
        <v>596</v>
      </c>
      <c r="M2" s="3422"/>
      <c r="N2" s="3422"/>
      <c r="O2" s="3428" t="s">
        <v>597</v>
      </c>
      <c r="P2" s="3428"/>
      <c r="Q2" s="3428"/>
      <c r="R2" s="3429" t="s">
        <v>1169</v>
      </c>
      <c r="S2" s="3422" t="s">
        <v>596</v>
      </c>
      <c r="T2" s="3422"/>
      <c r="U2" s="3422"/>
      <c r="V2" s="3428" t="s">
        <v>597</v>
      </c>
      <c r="W2" s="3428"/>
      <c r="X2" s="3428"/>
      <c r="Y2" s="3423"/>
      <c r="Z2" s="3423" t="s">
        <v>1170</v>
      </c>
      <c r="AA2" s="3423" t="s">
        <v>1171</v>
      </c>
      <c r="AB2" s="3423" t="s">
        <v>1172</v>
      </c>
      <c r="AC2" s="3423" t="s">
        <v>1173</v>
      </c>
      <c r="AD2" s="3423" t="s">
        <v>1174</v>
      </c>
      <c r="AE2" s="3423" t="s">
        <v>1175</v>
      </c>
      <c r="AF2" s="3427"/>
      <c r="AG2" s="3079"/>
    </row>
    <row r="3" spans="1:33" ht="15.75">
      <c r="A3" s="3431"/>
      <c r="B3" s="3431"/>
      <c r="C3" s="3431"/>
      <c r="D3" s="3434"/>
      <c r="E3" s="3434"/>
      <c r="F3" s="3434"/>
      <c r="G3" s="3434"/>
      <c r="H3" s="3434"/>
      <c r="I3" s="3434"/>
      <c r="J3" s="3434"/>
      <c r="K3" s="3437"/>
      <c r="L3" s="3422"/>
      <c r="M3" s="3422"/>
      <c r="N3" s="3422"/>
      <c r="O3" s="3428"/>
      <c r="P3" s="3428"/>
      <c r="Q3" s="3428"/>
      <c r="R3" s="3429"/>
      <c r="S3" s="3422"/>
      <c r="T3" s="3422"/>
      <c r="U3" s="3422"/>
      <c r="V3" s="3428"/>
      <c r="W3" s="3428"/>
      <c r="X3" s="3428"/>
      <c r="Y3" s="3423"/>
      <c r="Z3" s="3423"/>
      <c r="AA3" s="3423"/>
      <c r="AB3" s="3423"/>
      <c r="AC3" s="3423"/>
      <c r="AD3" s="3423"/>
      <c r="AE3" s="3423"/>
      <c r="AF3" s="3427"/>
      <c r="AG3" s="3079"/>
    </row>
    <row r="4" spans="1:33" ht="47.25">
      <c r="A4" s="3432"/>
      <c r="B4" s="3432"/>
      <c r="C4" s="3432"/>
      <c r="D4" s="3435"/>
      <c r="E4" s="3435"/>
      <c r="F4" s="3435"/>
      <c r="G4" s="3435"/>
      <c r="H4" s="3435"/>
      <c r="I4" s="3435"/>
      <c r="J4" s="3435"/>
      <c r="K4" s="3438"/>
      <c r="L4" s="3080" t="s">
        <v>1176</v>
      </c>
      <c r="M4" s="3081" t="s">
        <v>1177</v>
      </c>
      <c r="N4" s="3080" t="s">
        <v>1178</v>
      </c>
      <c r="O4" s="3080" t="s">
        <v>1179</v>
      </c>
      <c r="P4" s="3081" t="s">
        <v>1177</v>
      </c>
      <c r="Q4" s="3080" t="s">
        <v>1180</v>
      </c>
      <c r="R4" s="3429"/>
      <c r="S4" s="3080" t="s">
        <v>1176</v>
      </c>
      <c r="T4" s="3081" t="s">
        <v>1177</v>
      </c>
      <c r="U4" s="3080" t="s">
        <v>1181</v>
      </c>
      <c r="V4" s="3080" t="s">
        <v>1182</v>
      </c>
      <c r="W4" s="3081" t="s">
        <v>1183</v>
      </c>
      <c r="X4" s="3080" t="s">
        <v>1184</v>
      </c>
      <c r="Y4" s="3423"/>
      <c r="Z4" s="3423"/>
      <c r="AA4" s="3423"/>
      <c r="AB4" s="3423"/>
      <c r="AC4" s="3423"/>
      <c r="AD4" s="3423"/>
      <c r="AE4" s="3423"/>
      <c r="AF4" s="3427"/>
      <c r="AG4" s="3079"/>
    </row>
    <row r="5" spans="1:33" ht="18.75">
      <c r="A5" s="3082">
        <v>1</v>
      </c>
      <c r="B5" s="3181" t="s">
        <v>1669</v>
      </c>
      <c r="C5" s="3182" t="s">
        <v>1670</v>
      </c>
      <c r="D5" s="3182" t="s">
        <v>1670</v>
      </c>
      <c r="E5" s="3084" t="s">
        <v>1188</v>
      </c>
      <c r="F5" s="3084" t="s">
        <v>1631</v>
      </c>
      <c r="G5" s="3183" t="s">
        <v>1671</v>
      </c>
      <c r="H5" s="3084" t="s">
        <v>1420</v>
      </c>
      <c r="I5" s="3085"/>
      <c r="J5" s="3085"/>
      <c r="K5" s="3081">
        <v>5</v>
      </c>
      <c r="L5" s="3080">
        <v>0</v>
      </c>
      <c r="M5" s="3086">
        <v>0</v>
      </c>
      <c r="N5" s="3087">
        <f>M5*L5</f>
        <v>0</v>
      </c>
      <c r="O5" s="3080">
        <v>0</v>
      </c>
      <c r="P5" s="3086">
        <v>20000</v>
      </c>
      <c r="Q5" s="3088">
        <f t="shared" ref="Q5:Q33" si="0">P5*O5</f>
        <v>0</v>
      </c>
      <c r="R5" s="3089">
        <f t="shared" ref="R5:R34" si="1">N5+Q5</f>
        <v>0</v>
      </c>
      <c r="S5" s="3080">
        <v>5</v>
      </c>
      <c r="T5" s="3086">
        <v>15000</v>
      </c>
      <c r="U5" s="3088">
        <f>T5*S5</f>
        <v>75000</v>
      </c>
      <c r="V5" s="3080">
        <v>0</v>
      </c>
      <c r="W5" s="3086">
        <v>20000</v>
      </c>
      <c r="X5" s="3088">
        <f t="shared" ref="X5:X34" si="2">V5*W5</f>
        <v>0</v>
      </c>
      <c r="Y5" s="3089">
        <f t="shared" ref="Y5:Y34" si="3">U5+X5</f>
        <v>75000</v>
      </c>
      <c r="Z5" s="3090">
        <v>0</v>
      </c>
      <c r="AA5" s="3091">
        <v>150</v>
      </c>
      <c r="AB5" s="3087">
        <f>Z5*AA5</f>
        <v>0</v>
      </c>
      <c r="AC5" s="3092"/>
      <c r="AD5" s="3092"/>
      <c r="AE5" s="3093">
        <f>AB5</f>
        <v>0</v>
      </c>
      <c r="AF5" s="3094">
        <f>+Y5+AE5+R5</f>
        <v>75000</v>
      </c>
      <c r="AG5" s="3095"/>
    </row>
    <row r="6" spans="1:33" ht="18.75">
      <c r="A6" s="3082">
        <v>2</v>
      </c>
      <c r="B6" s="3184" t="s">
        <v>1672</v>
      </c>
      <c r="C6" s="3182" t="s">
        <v>1673</v>
      </c>
      <c r="D6" s="3182" t="s">
        <v>1673</v>
      </c>
      <c r="E6" s="3084" t="s">
        <v>1188</v>
      </c>
      <c r="F6" s="3084" t="s">
        <v>1631</v>
      </c>
      <c r="G6" s="3080" t="s">
        <v>1240</v>
      </c>
      <c r="H6" s="3084" t="s">
        <v>1420</v>
      </c>
      <c r="I6" s="3085"/>
      <c r="J6" s="3085"/>
      <c r="K6" s="3081">
        <v>5</v>
      </c>
      <c r="L6" s="3080">
        <v>2</v>
      </c>
      <c r="M6" s="3086">
        <v>36000</v>
      </c>
      <c r="N6" s="3087">
        <f t="shared" ref="N6:N16" si="4">M6*L6</f>
        <v>72000</v>
      </c>
      <c r="O6" s="3080">
        <f t="shared" ref="O6:O34" si="5">+L6-1</f>
        <v>1</v>
      </c>
      <c r="P6" s="3086">
        <v>20000</v>
      </c>
      <c r="Q6" s="3088">
        <f t="shared" si="0"/>
        <v>20000</v>
      </c>
      <c r="R6" s="3089">
        <f t="shared" si="1"/>
        <v>92000</v>
      </c>
      <c r="S6" s="3080">
        <f t="shared" ref="S6:S16" si="6">+K6</f>
        <v>5</v>
      </c>
      <c r="T6" s="3086">
        <v>36000</v>
      </c>
      <c r="U6" s="3088">
        <f t="shared" ref="U6:U16" si="7">T6*S6</f>
        <v>180000</v>
      </c>
      <c r="V6" s="3080">
        <v>5</v>
      </c>
      <c r="W6" s="3086">
        <v>20000</v>
      </c>
      <c r="X6" s="3088">
        <f t="shared" si="2"/>
        <v>100000</v>
      </c>
      <c r="Y6" s="3089">
        <f t="shared" si="3"/>
        <v>280000</v>
      </c>
      <c r="Z6" s="3090">
        <f>15*2*5/100</f>
        <v>1.5</v>
      </c>
      <c r="AA6" s="3091">
        <v>5900</v>
      </c>
      <c r="AB6" s="3087">
        <f t="shared" ref="AB6:AB16" si="8">Z6*AA6</f>
        <v>8850</v>
      </c>
      <c r="AC6" s="3092"/>
      <c r="AD6" s="3092"/>
      <c r="AE6" s="3093">
        <f t="shared" ref="AE6:AE16" si="9">AB6</f>
        <v>8850</v>
      </c>
      <c r="AF6" s="3094">
        <f t="shared" ref="AF6:AF16" si="10">+Y6+AE6+R6</f>
        <v>380850</v>
      </c>
      <c r="AG6" s="3095"/>
    </row>
    <row r="7" spans="1:33" ht="18.75">
      <c r="A7" s="3082">
        <v>3</v>
      </c>
      <c r="B7" s="3181" t="s">
        <v>1674</v>
      </c>
      <c r="C7" s="3182" t="s">
        <v>1675</v>
      </c>
      <c r="D7" s="3182" t="s">
        <v>1676</v>
      </c>
      <c r="E7" s="3084" t="s">
        <v>1188</v>
      </c>
      <c r="F7" s="3084" t="s">
        <v>1631</v>
      </c>
      <c r="G7" s="3080" t="s">
        <v>1240</v>
      </c>
      <c r="H7" s="3084" t="s">
        <v>1420</v>
      </c>
      <c r="I7" s="3085"/>
      <c r="J7" s="3085"/>
      <c r="K7" s="3081">
        <v>5</v>
      </c>
      <c r="L7" s="3080">
        <v>2</v>
      </c>
      <c r="M7" s="3086">
        <v>36000</v>
      </c>
      <c r="N7" s="3087">
        <f t="shared" si="4"/>
        <v>72000</v>
      </c>
      <c r="O7" s="3080">
        <f t="shared" si="5"/>
        <v>1</v>
      </c>
      <c r="P7" s="3086">
        <v>20000</v>
      </c>
      <c r="Q7" s="3088">
        <f t="shared" si="0"/>
        <v>20000</v>
      </c>
      <c r="R7" s="3089">
        <f t="shared" si="1"/>
        <v>92000</v>
      </c>
      <c r="S7" s="3080">
        <f t="shared" si="6"/>
        <v>5</v>
      </c>
      <c r="T7" s="3086">
        <v>36000</v>
      </c>
      <c r="U7" s="3088">
        <f t="shared" si="7"/>
        <v>180000</v>
      </c>
      <c r="V7" s="3080">
        <v>5</v>
      </c>
      <c r="W7" s="3086">
        <v>20000</v>
      </c>
      <c r="X7" s="3088">
        <f t="shared" si="2"/>
        <v>100000</v>
      </c>
      <c r="Y7" s="3089">
        <f t="shared" si="3"/>
        <v>280000</v>
      </c>
      <c r="Z7" s="3090">
        <f>45*2*5/100</f>
        <v>4.5</v>
      </c>
      <c r="AA7" s="3091">
        <v>5900</v>
      </c>
      <c r="AB7" s="3087">
        <f t="shared" si="8"/>
        <v>26550</v>
      </c>
      <c r="AC7" s="3092"/>
      <c r="AD7" s="3092"/>
      <c r="AE7" s="3093">
        <f t="shared" si="9"/>
        <v>26550</v>
      </c>
      <c r="AF7" s="3094">
        <f t="shared" si="10"/>
        <v>398550</v>
      </c>
      <c r="AG7" s="3095"/>
    </row>
    <row r="8" spans="1:33" ht="18.75">
      <c r="A8" s="3082">
        <v>4</v>
      </c>
      <c r="B8" s="3181" t="s">
        <v>1677</v>
      </c>
      <c r="C8" s="3182" t="s">
        <v>1678</v>
      </c>
      <c r="D8" s="3182" t="s">
        <v>1679</v>
      </c>
      <c r="E8" s="3084" t="s">
        <v>1188</v>
      </c>
      <c r="F8" s="3084" t="s">
        <v>1631</v>
      </c>
      <c r="G8" s="3080" t="s">
        <v>1240</v>
      </c>
      <c r="H8" s="3084" t="s">
        <v>1420</v>
      </c>
      <c r="I8" s="3085"/>
      <c r="J8" s="3085"/>
      <c r="K8" s="3081">
        <v>5</v>
      </c>
      <c r="L8" s="3080">
        <v>2</v>
      </c>
      <c r="M8" s="3086">
        <v>36000</v>
      </c>
      <c r="N8" s="3087">
        <f t="shared" si="4"/>
        <v>72000</v>
      </c>
      <c r="O8" s="3080">
        <f t="shared" si="5"/>
        <v>1</v>
      </c>
      <c r="P8" s="3086">
        <v>20000</v>
      </c>
      <c r="Q8" s="3088">
        <f t="shared" si="0"/>
        <v>20000</v>
      </c>
      <c r="R8" s="3089">
        <f t="shared" si="1"/>
        <v>92000</v>
      </c>
      <c r="S8" s="3080">
        <f t="shared" si="6"/>
        <v>5</v>
      </c>
      <c r="T8" s="3086">
        <v>36000</v>
      </c>
      <c r="U8" s="3088">
        <f t="shared" si="7"/>
        <v>180000</v>
      </c>
      <c r="V8" s="3080">
        <v>5</v>
      </c>
      <c r="W8" s="3086">
        <v>20000</v>
      </c>
      <c r="X8" s="3088">
        <f t="shared" si="2"/>
        <v>100000</v>
      </c>
      <c r="Y8" s="3089">
        <f t="shared" si="3"/>
        <v>280000</v>
      </c>
      <c r="Z8" s="3090">
        <f t="shared" ref="Z8:Z9" si="11">45*2*5/100</f>
        <v>4.5</v>
      </c>
      <c r="AA8" s="3091">
        <v>5900</v>
      </c>
      <c r="AB8" s="3087">
        <f t="shared" si="8"/>
        <v>26550</v>
      </c>
      <c r="AC8" s="3092"/>
      <c r="AD8" s="3092"/>
      <c r="AE8" s="3093">
        <f t="shared" si="9"/>
        <v>26550</v>
      </c>
      <c r="AF8" s="3094">
        <f t="shared" si="10"/>
        <v>398550</v>
      </c>
      <c r="AG8" s="3095"/>
    </row>
    <row r="9" spans="1:33" ht="18.75">
      <c r="A9" s="3082">
        <v>5</v>
      </c>
      <c r="B9" s="3184" t="s">
        <v>1680</v>
      </c>
      <c r="C9" s="3182" t="s">
        <v>1681</v>
      </c>
      <c r="D9" s="3182" t="s">
        <v>1682</v>
      </c>
      <c r="E9" s="3084" t="s">
        <v>1188</v>
      </c>
      <c r="F9" s="3084" t="s">
        <v>1631</v>
      </c>
      <c r="G9" s="3080" t="s">
        <v>1240</v>
      </c>
      <c r="H9" s="3084" t="s">
        <v>1420</v>
      </c>
      <c r="I9" s="3085"/>
      <c r="J9" s="3085"/>
      <c r="K9" s="3081">
        <v>5</v>
      </c>
      <c r="L9" s="3080">
        <v>2</v>
      </c>
      <c r="M9" s="3086">
        <v>36000</v>
      </c>
      <c r="N9" s="3087">
        <f t="shared" si="4"/>
        <v>72000</v>
      </c>
      <c r="O9" s="3080">
        <f t="shared" si="5"/>
        <v>1</v>
      </c>
      <c r="P9" s="3086">
        <v>20000</v>
      </c>
      <c r="Q9" s="3088">
        <f t="shared" si="0"/>
        <v>20000</v>
      </c>
      <c r="R9" s="3089">
        <f t="shared" si="1"/>
        <v>92000</v>
      </c>
      <c r="S9" s="3080">
        <f t="shared" si="6"/>
        <v>5</v>
      </c>
      <c r="T9" s="3086">
        <v>36000</v>
      </c>
      <c r="U9" s="3088">
        <f t="shared" si="7"/>
        <v>180000</v>
      </c>
      <c r="V9" s="3080">
        <v>5</v>
      </c>
      <c r="W9" s="3086">
        <v>20000</v>
      </c>
      <c r="X9" s="3088">
        <f t="shared" si="2"/>
        <v>100000</v>
      </c>
      <c r="Y9" s="3089">
        <f t="shared" si="3"/>
        <v>280000</v>
      </c>
      <c r="Z9" s="3090">
        <f t="shared" si="11"/>
        <v>4.5</v>
      </c>
      <c r="AA9" s="3091">
        <v>5900</v>
      </c>
      <c r="AB9" s="3087">
        <f t="shared" si="8"/>
        <v>26550</v>
      </c>
      <c r="AC9" s="3092"/>
      <c r="AD9" s="3092"/>
      <c r="AE9" s="3093">
        <f t="shared" si="9"/>
        <v>26550</v>
      </c>
      <c r="AF9" s="3094">
        <f t="shared" si="10"/>
        <v>398550</v>
      </c>
      <c r="AG9" s="3095"/>
    </row>
    <row r="10" spans="1:33" ht="18.75">
      <c r="A10" s="3082">
        <v>6</v>
      </c>
      <c r="B10" s="3184" t="s">
        <v>1683</v>
      </c>
      <c r="C10" s="3182" t="s">
        <v>1684</v>
      </c>
      <c r="D10" s="3182" t="s">
        <v>1684</v>
      </c>
      <c r="E10" s="3084" t="s">
        <v>1188</v>
      </c>
      <c r="F10" s="3084" t="s">
        <v>1631</v>
      </c>
      <c r="G10" s="3080" t="s">
        <v>1240</v>
      </c>
      <c r="H10" s="3084" t="s">
        <v>1420</v>
      </c>
      <c r="I10" s="3085"/>
      <c r="J10" s="3085"/>
      <c r="K10" s="3081">
        <v>5</v>
      </c>
      <c r="L10" s="3080">
        <v>2</v>
      </c>
      <c r="M10" s="3086">
        <v>36000</v>
      </c>
      <c r="N10" s="3087">
        <f t="shared" si="4"/>
        <v>72000</v>
      </c>
      <c r="O10" s="3080">
        <f t="shared" si="5"/>
        <v>1</v>
      </c>
      <c r="P10" s="3086">
        <v>20000</v>
      </c>
      <c r="Q10" s="3088">
        <f t="shared" si="0"/>
        <v>20000</v>
      </c>
      <c r="R10" s="3089">
        <f t="shared" si="1"/>
        <v>92000</v>
      </c>
      <c r="S10" s="3080">
        <f t="shared" si="6"/>
        <v>5</v>
      </c>
      <c r="T10" s="3086">
        <v>36000</v>
      </c>
      <c r="U10" s="3088">
        <f t="shared" si="7"/>
        <v>180000</v>
      </c>
      <c r="V10" s="3080">
        <v>5</v>
      </c>
      <c r="W10" s="3086">
        <v>20000</v>
      </c>
      <c r="X10" s="3088">
        <f t="shared" si="2"/>
        <v>100000</v>
      </c>
      <c r="Y10" s="3089">
        <f t="shared" si="3"/>
        <v>280000</v>
      </c>
      <c r="Z10" s="3090">
        <f>66*2*5/100</f>
        <v>6.6</v>
      </c>
      <c r="AA10" s="3091">
        <v>5900</v>
      </c>
      <c r="AB10" s="3087">
        <f t="shared" si="8"/>
        <v>38940</v>
      </c>
      <c r="AC10" s="3092"/>
      <c r="AD10" s="3092"/>
      <c r="AE10" s="3093">
        <f t="shared" si="9"/>
        <v>38940</v>
      </c>
      <c r="AF10" s="3094">
        <f t="shared" si="10"/>
        <v>410940</v>
      </c>
      <c r="AG10" s="3095"/>
    </row>
    <row r="11" spans="1:33" ht="18.75">
      <c r="A11" s="3082">
        <v>7</v>
      </c>
      <c r="B11" s="3184" t="s">
        <v>1685</v>
      </c>
      <c r="C11" s="3182" t="s">
        <v>1686</v>
      </c>
      <c r="D11" s="3182" t="s">
        <v>1686</v>
      </c>
      <c r="E11" s="3084" t="s">
        <v>1188</v>
      </c>
      <c r="F11" s="3084" t="s">
        <v>1631</v>
      </c>
      <c r="G11" s="3080" t="s">
        <v>1240</v>
      </c>
      <c r="H11" s="3084" t="s">
        <v>1420</v>
      </c>
      <c r="I11" s="3085"/>
      <c r="J11" s="3085"/>
      <c r="K11" s="3081">
        <v>5</v>
      </c>
      <c r="L11" s="3080">
        <v>2</v>
      </c>
      <c r="M11" s="3086">
        <v>36000</v>
      </c>
      <c r="N11" s="3087">
        <f t="shared" si="4"/>
        <v>72000</v>
      </c>
      <c r="O11" s="3080">
        <f t="shared" si="5"/>
        <v>1</v>
      </c>
      <c r="P11" s="3086">
        <v>20000</v>
      </c>
      <c r="Q11" s="3088">
        <f t="shared" si="0"/>
        <v>20000</v>
      </c>
      <c r="R11" s="3089">
        <f t="shared" si="1"/>
        <v>92000</v>
      </c>
      <c r="S11" s="3080">
        <f t="shared" si="6"/>
        <v>5</v>
      </c>
      <c r="T11" s="3086">
        <v>36000</v>
      </c>
      <c r="U11" s="3088">
        <f t="shared" si="7"/>
        <v>180000</v>
      </c>
      <c r="V11" s="3080">
        <v>5</v>
      </c>
      <c r="W11" s="3086">
        <v>20000</v>
      </c>
      <c r="X11" s="3088">
        <f t="shared" si="2"/>
        <v>100000</v>
      </c>
      <c r="Y11" s="3089">
        <f t="shared" si="3"/>
        <v>280000</v>
      </c>
      <c r="Z11" s="3090">
        <f>52*2*5/100</f>
        <v>5.2</v>
      </c>
      <c r="AA11" s="3091">
        <v>5900</v>
      </c>
      <c r="AB11" s="3087">
        <f t="shared" si="8"/>
        <v>30680</v>
      </c>
      <c r="AC11" s="3092"/>
      <c r="AD11" s="3092"/>
      <c r="AE11" s="3093">
        <f t="shared" si="9"/>
        <v>30680</v>
      </c>
      <c r="AF11" s="3094">
        <f t="shared" si="10"/>
        <v>402680</v>
      </c>
      <c r="AG11" s="3095"/>
    </row>
    <row r="12" spans="1:33" ht="18.75">
      <c r="A12" s="3082">
        <v>8</v>
      </c>
      <c r="B12" s="3181" t="s">
        <v>1687</v>
      </c>
      <c r="C12" s="3182" t="s">
        <v>1688</v>
      </c>
      <c r="D12" s="3182" t="s">
        <v>1688</v>
      </c>
      <c r="E12" s="3084" t="s">
        <v>1188</v>
      </c>
      <c r="F12" s="3084" t="s">
        <v>1631</v>
      </c>
      <c r="G12" s="3080" t="s">
        <v>1240</v>
      </c>
      <c r="H12" s="3084" t="s">
        <v>1420</v>
      </c>
      <c r="I12" s="3085"/>
      <c r="J12" s="3085"/>
      <c r="K12" s="3081">
        <v>5</v>
      </c>
      <c r="L12" s="3080">
        <v>2</v>
      </c>
      <c r="M12" s="3086">
        <v>36000</v>
      </c>
      <c r="N12" s="3087">
        <f t="shared" si="4"/>
        <v>72000</v>
      </c>
      <c r="O12" s="3080">
        <f t="shared" si="5"/>
        <v>1</v>
      </c>
      <c r="P12" s="3086">
        <v>20000</v>
      </c>
      <c r="Q12" s="3088">
        <f t="shared" si="0"/>
        <v>20000</v>
      </c>
      <c r="R12" s="3089">
        <f t="shared" si="1"/>
        <v>92000</v>
      </c>
      <c r="S12" s="3080">
        <f t="shared" si="6"/>
        <v>5</v>
      </c>
      <c r="T12" s="3086">
        <v>36000</v>
      </c>
      <c r="U12" s="3088">
        <f t="shared" si="7"/>
        <v>180000</v>
      </c>
      <c r="V12" s="3080">
        <v>5</v>
      </c>
      <c r="W12" s="3086">
        <v>20000</v>
      </c>
      <c r="X12" s="3088">
        <f t="shared" si="2"/>
        <v>100000</v>
      </c>
      <c r="Y12" s="3089">
        <f t="shared" si="3"/>
        <v>280000</v>
      </c>
      <c r="Z12" s="3090">
        <f>123*2*5/100</f>
        <v>12.3</v>
      </c>
      <c r="AA12" s="3091">
        <v>5900</v>
      </c>
      <c r="AB12" s="3087">
        <f t="shared" si="8"/>
        <v>72570</v>
      </c>
      <c r="AC12" s="3092"/>
      <c r="AD12" s="3092"/>
      <c r="AE12" s="3093">
        <f t="shared" si="9"/>
        <v>72570</v>
      </c>
      <c r="AF12" s="3094">
        <f t="shared" si="10"/>
        <v>444570</v>
      </c>
      <c r="AG12" s="3095"/>
    </row>
    <row r="13" spans="1:33" ht="18.75">
      <c r="A13" s="3082">
        <v>9</v>
      </c>
      <c r="B13" s="3181" t="s">
        <v>1689</v>
      </c>
      <c r="C13" s="3182" t="s">
        <v>1690</v>
      </c>
      <c r="D13" s="3182" t="s">
        <v>1690</v>
      </c>
      <c r="E13" s="3084" t="s">
        <v>1188</v>
      </c>
      <c r="F13" s="3084" t="s">
        <v>1631</v>
      </c>
      <c r="G13" s="3080" t="s">
        <v>1240</v>
      </c>
      <c r="H13" s="3084" t="s">
        <v>1420</v>
      </c>
      <c r="I13" s="3085"/>
      <c r="J13" s="3085"/>
      <c r="K13" s="3081">
        <v>5</v>
      </c>
      <c r="L13" s="3080">
        <v>2</v>
      </c>
      <c r="M13" s="3086">
        <v>36000</v>
      </c>
      <c r="N13" s="3087">
        <f t="shared" si="4"/>
        <v>72000</v>
      </c>
      <c r="O13" s="3080">
        <f t="shared" si="5"/>
        <v>1</v>
      </c>
      <c r="P13" s="3086">
        <v>20000</v>
      </c>
      <c r="Q13" s="3088">
        <f t="shared" si="0"/>
        <v>20000</v>
      </c>
      <c r="R13" s="3089">
        <f t="shared" si="1"/>
        <v>92000</v>
      </c>
      <c r="S13" s="3080">
        <f t="shared" si="6"/>
        <v>5</v>
      </c>
      <c r="T13" s="3086">
        <v>36000</v>
      </c>
      <c r="U13" s="3088">
        <f t="shared" si="7"/>
        <v>180000</v>
      </c>
      <c r="V13" s="3080">
        <v>5</v>
      </c>
      <c r="W13" s="3086">
        <v>20000</v>
      </c>
      <c r="X13" s="3088">
        <f t="shared" si="2"/>
        <v>100000</v>
      </c>
      <c r="Y13" s="3089">
        <f t="shared" si="3"/>
        <v>280000</v>
      </c>
      <c r="Z13" s="3090">
        <f>52*2*5/100</f>
        <v>5.2</v>
      </c>
      <c r="AA13" s="3091">
        <v>5900</v>
      </c>
      <c r="AB13" s="3087">
        <f t="shared" si="8"/>
        <v>30680</v>
      </c>
      <c r="AC13" s="3092"/>
      <c r="AD13" s="3092"/>
      <c r="AE13" s="3093">
        <f t="shared" si="9"/>
        <v>30680</v>
      </c>
      <c r="AF13" s="3094">
        <f t="shared" si="10"/>
        <v>402680</v>
      </c>
      <c r="AG13" s="3095"/>
    </row>
    <row r="14" spans="1:33" ht="31.5">
      <c r="A14" s="3082">
        <v>10</v>
      </c>
      <c r="B14" s="3184" t="s">
        <v>1691</v>
      </c>
      <c r="C14" s="3182" t="s">
        <v>1692</v>
      </c>
      <c r="D14" s="3182" t="s">
        <v>1692</v>
      </c>
      <c r="E14" s="3084" t="s">
        <v>1188</v>
      </c>
      <c r="F14" s="3084" t="s">
        <v>1631</v>
      </c>
      <c r="G14" s="3080" t="s">
        <v>1240</v>
      </c>
      <c r="H14" s="3084" t="s">
        <v>1420</v>
      </c>
      <c r="I14" s="3085"/>
      <c r="J14" s="3085"/>
      <c r="K14" s="3081">
        <v>5</v>
      </c>
      <c r="L14" s="3080">
        <v>2</v>
      </c>
      <c r="M14" s="3086">
        <v>36000</v>
      </c>
      <c r="N14" s="3087">
        <f t="shared" si="4"/>
        <v>72000</v>
      </c>
      <c r="O14" s="3080">
        <f t="shared" si="5"/>
        <v>1</v>
      </c>
      <c r="P14" s="3086">
        <v>20000</v>
      </c>
      <c r="Q14" s="3088">
        <f t="shared" si="0"/>
        <v>20000</v>
      </c>
      <c r="R14" s="3089">
        <f t="shared" si="1"/>
        <v>92000</v>
      </c>
      <c r="S14" s="3080">
        <f t="shared" si="6"/>
        <v>5</v>
      </c>
      <c r="T14" s="3086">
        <v>36000</v>
      </c>
      <c r="U14" s="3088">
        <f t="shared" si="7"/>
        <v>180000</v>
      </c>
      <c r="V14" s="3080">
        <v>5</v>
      </c>
      <c r="W14" s="3086">
        <v>20000</v>
      </c>
      <c r="X14" s="3088">
        <f t="shared" si="2"/>
        <v>100000</v>
      </c>
      <c r="Y14" s="3089">
        <f t="shared" si="3"/>
        <v>280000</v>
      </c>
      <c r="Z14" s="3090">
        <f>97*2*5/100</f>
        <v>9.6999999999999993</v>
      </c>
      <c r="AA14" s="3091">
        <v>5900</v>
      </c>
      <c r="AB14" s="3087">
        <f t="shared" si="8"/>
        <v>57229.999999999993</v>
      </c>
      <c r="AC14" s="3092"/>
      <c r="AD14" s="3092"/>
      <c r="AE14" s="3093">
        <f t="shared" si="9"/>
        <v>57229.999999999993</v>
      </c>
      <c r="AF14" s="3094">
        <f t="shared" si="10"/>
        <v>429230</v>
      </c>
      <c r="AG14" s="3095"/>
    </row>
    <row r="15" spans="1:33" ht="18.75">
      <c r="A15" s="3082">
        <v>11</v>
      </c>
      <c r="B15" s="3184" t="s">
        <v>1693</v>
      </c>
      <c r="C15" s="3182" t="s">
        <v>1694</v>
      </c>
      <c r="D15" s="3182" t="s">
        <v>1694</v>
      </c>
      <c r="E15" s="3084" t="s">
        <v>1188</v>
      </c>
      <c r="F15" s="3084" t="s">
        <v>1631</v>
      </c>
      <c r="G15" s="3080" t="s">
        <v>1240</v>
      </c>
      <c r="H15" s="3084" t="s">
        <v>1420</v>
      </c>
      <c r="I15" s="3085"/>
      <c r="J15" s="3085"/>
      <c r="K15" s="3081">
        <v>5</v>
      </c>
      <c r="L15" s="3080">
        <v>2</v>
      </c>
      <c r="M15" s="3086">
        <v>36000</v>
      </c>
      <c r="N15" s="3087">
        <f t="shared" si="4"/>
        <v>72000</v>
      </c>
      <c r="O15" s="3080">
        <f t="shared" si="5"/>
        <v>1</v>
      </c>
      <c r="P15" s="3086">
        <v>20000</v>
      </c>
      <c r="Q15" s="3088">
        <f t="shared" si="0"/>
        <v>20000</v>
      </c>
      <c r="R15" s="3089">
        <f t="shared" si="1"/>
        <v>92000</v>
      </c>
      <c r="S15" s="3080">
        <f t="shared" si="6"/>
        <v>5</v>
      </c>
      <c r="T15" s="3086">
        <v>36000</v>
      </c>
      <c r="U15" s="3088">
        <f t="shared" si="7"/>
        <v>180000</v>
      </c>
      <c r="V15" s="3080">
        <v>5</v>
      </c>
      <c r="W15" s="3086">
        <v>20000</v>
      </c>
      <c r="X15" s="3088">
        <f t="shared" si="2"/>
        <v>100000</v>
      </c>
      <c r="Y15" s="3089">
        <f t="shared" si="3"/>
        <v>280000</v>
      </c>
      <c r="Z15" s="3090">
        <f>139*2*5/100</f>
        <v>13.9</v>
      </c>
      <c r="AA15" s="3091">
        <v>5900</v>
      </c>
      <c r="AB15" s="3087">
        <f t="shared" si="8"/>
        <v>82010</v>
      </c>
      <c r="AC15" s="3092"/>
      <c r="AD15" s="3092"/>
      <c r="AE15" s="3093">
        <f t="shared" si="9"/>
        <v>82010</v>
      </c>
      <c r="AF15" s="3094">
        <f t="shared" si="10"/>
        <v>454010</v>
      </c>
      <c r="AG15" s="3095"/>
    </row>
    <row r="16" spans="1:33" ht="18.75">
      <c r="A16" s="3082">
        <v>12</v>
      </c>
      <c r="B16" s="3182" t="s">
        <v>1695</v>
      </c>
      <c r="C16" s="3182" t="s">
        <v>1696</v>
      </c>
      <c r="D16" s="3182" t="s">
        <v>1696</v>
      </c>
      <c r="E16" s="3084" t="s">
        <v>1188</v>
      </c>
      <c r="F16" s="3084" t="s">
        <v>1631</v>
      </c>
      <c r="G16" s="3080" t="s">
        <v>1240</v>
      </c>
      <c r="H16" s="3084" t="s">
        <v>1420</v>
      </c>
      <c r="I16" s="3085"/>
      <c r="J16" s="3085"/>
      <c r="K16" s="3081">
        <v>5</v>
      </c>
      <c r="L16" s="3080">
        <v>2</v>
      </c>
      <c r="M16" s="3086">
        <v>36000</v>
      </c>
      <c r="N16" s="3087">
        <f t="shared" si="4"/>
        <v>72000</v>
      </c>
      <c r="O16" s="3080">
        <f t="shared" si="5"/>
        <v>1</v>
      </c>
      <c r="P16" s="3086">
        <v>20000</v>
      </c>
      <c r="Q16" s="3088">
        <f t="shared" si="0"/>
        <v>20000</v>
      </c>
      <c r="R16" s="3089">
        <f t="shared" si="1"/>
        <v>92000</v>
      </c>
      <c r="S16" s="3080">
        <f t="shared" si="6"/>
        <v>5</v>
      </c>
      <c r="T16" s="3086">
        <v>36000</v>
      </c>
      <c r="U16" s="3088">
        <f t="shared" si="7"/>
        <v>180000</v>
      </c>
      <c r="V16" s="3080">
        <v>5</v>
      </c>
      <c r="W16" s="3086">
        <v>20000</v>
      </c>
      <c r="X16" s="3088">
        <f t="shared" si="2"/>
        <v>100000</v>
      </c>
      <c r="Y16" s="3089">
        <f t="shared" si="3"/>
        <v>280000</v>
      </c>
      <c r="Z16" s="3090">
        <f>155*2*5/100</f>
        <v>15.5</v>
      </c>
      <c r="AA16" s="3091">
        <v>5900</v>
      </c>
      <c r="AB16" s="3087">
        <f t="shared" si="8"/>
        <v>91450</v>
      </c>
      <c r="AC16" s="3092"/>
      <c r="AD16" s="3092"/>
      <c r="AE16" s="3093">
        <f t="shared" si="9"/>
        <v>91450</v>
      </c>
      <c r="AF16" s="3094">
        <f t="shared" si="10"/>
        <v>463450</v>
      </c>
      <c r="AG16" s="3095"/>
    </row>
    <row r="17" spans="1:33" ht="18.75">
      <c r="A17" s="3082">
        <v>1</v>
      </c>
      <c r="B17" s="3184" t="s">
        <v>1697</v>
      </c>
      <c r="C17" s="3182" t="s">
        <v>1698</v>
      </c>
      <c r="D17" s="3182" t="s">
        <v>1698</v>
      </c>
      <c r="E17" s="3084" t="s">
        <v>1188</v>
      </c>
      <c r="F17" s="3084" t="s">
        <v>1631</v>
      </c>
      <c r="G17" s="3080" t="s">
        <v>1240</v>
      </c>
      <c r="H17" s="3084" t="s">
        <v>1420</v>
      </c>
      <c r="I17" s="3085"/>
      <c r="J17" s="3085"/>
      <c r="K17" s="3081">
        <v>5</v>
      </c>
      <c r="L17" s="3080">
        <v>2</v>
      </c>
      <c r="M17" s="3086">
        <v>36000</v>
      </c>
      <c r="N17" s="3087">
        <f>M17*L17</f>
        <v>72000</v>
      </c>
      <c r="O17" s="3080">
        <f t="shared" si="5"/>
        <v>1</v>
      </c>
      <c r="P17" s="3086">
        <v>20000</v>
      </c>
      <c r="Q17" s="3088">
        <f t="shared" si="0"/>
        <v>20000</v>
      </c>
      <c r="R17" s="3089">
        <f t="shared" si="1"/>
        <v>92000</v>
      </c>
      <c r="S17" s="3080">
        <f>+K17</f>
        <v>5</v>
      </c>
      <c r="T17" s="3086">
        <v>36000</v>
      </c>
      <c r="U17" s="3088">
        <f>T17*S17</f>
        <v>180000</v>
      </c>
      <c r="V17" s="3080">
        <v>5</v>
      </c>
      <c r="W17" s="3086">
        <v>20000</v>
      </c>
      <c r="X17" s="3088">
        <f t="shared" si="2"/>
        <v>100000</v>
      </c>
      <c r="Y17" s="3089">
        <f t="shared" si="3"/>
        <v>280000</v>
      </c>
      <c r="Z17" s="3090">
        <f>132*2*5/100</f>
        <v>13.2</v>
      </c>
      <c r="AA17" s="3091">
        <v>5900</v>
      </c>
      <c r="AB17" s="3087">
        <f>Z17*AA17</f>
        <v>77880</v>
      </c>
      <c r="AC17" s="3092"/>
      <c r="AD17" s="3092"/>
      <c r="AE17" s="3093">
        <f>AB17</f>
        <v>77880</v>
      </c>
      <c r="AF17" s="3094">
        <f>+Y17+AE17+R17</f>
        <v>449880</v>
      </c>
      <c r="AG17" s="3095"/>
    </row>
    <row r="18" spans="1:33" ht="18.75">
      <c r="A18" s="3082">
        <v>2</v>
      </c>
      <c r="B18" s="3182" t="s">
        <v>1699</v>
      </c>
      <c r="C18" s="3182" t="s">
        <v>1700</v>
      </c>
      <c r="D18" s="3182" t="s">
        <v>1700</v>
      </c>
      <c r="E18" s="3084" t="s">
        <v>1188</v>
      </c>
      <c r="F18" s="3084" t="s">
        <v>1631</v>
      </c>
      <c r="G18" s="3080" t="s">
        <v>1240</v>
      </c>
      <c r="H18" s="3084" t="s">
        <v>1420</v>
      </c>
      <c r="I18" s="3085"/>
      <c r="J18" s="3085"/>
      <c r="K18" s="3081">
        <v>5</v>
      </c>
      <c r="L18" s="3080">
        <v>2</v>
      </c>
      <c r="M18" s="3086">
        <v>36000</v>
      </c>
      <c r="N18" s="3087">
        <f t="shared" ref="N18:N26" si="12">M18*L18</f>
        <v>72000</v>
      </c>
      <c r="O18" s="3080">
        <f t="shared" si="5"/>
        <v>1</v>
      </c>
      <c r="P18" s="3086">
        <v>20000</v>
      </c>
      <c r="Q18" s="3088">
        <f t="shared" si="0"/>
        <v>20000</v>
      </c>
      <c r="R18" s="3089">
        <f t="shared" si="1"/>
        <v>92000</v>
      </c>
      <c r="S18" s="3080">
        <f t="shared" ref="S18:S26" si="13">+K18</f>
        <v>5</v>
      </c>
      <c r="T18" s="3086">
        <v>36000</v>
      </c>
      <c r="U18" s="3088">
        <f t="shared" ref="U18:U26" si="14">T18*S18</f>
        <v>180000</v>
      </c>
      <c r="V18" s="3080">
        <v>5</v>
      </c>
      <c r="W18" s="3086">
        <v>20000</v>
      </c>
      <c r="X18" s="3088">
        <f t="shared" si="2"/>
        <v>100000</v>
      </c>
      <c r="Y18" s="3089">
        <f t="shared" si="3"/>
        <v>280000</v>
      </c>
      <c r="Z18" s="3090">
        <f>195*2*5/100</f>
        <v>19.5</v>
      </c>
      <c r="AA18" s="3091">
        <v>5900</v>
      </c>
      <c r="AB18" s="3087">
        <f t="shared" ref="AB18:AB26" si="15">Z18*AA18</f>
        <v>115050</v>
      </c>
      <c r="AC18" s="3092"/>
      <c r="AD18" s="3092"/>
      <c r="AE18" s="3093">
        <f t="shared" ref="AE18:AE34" si="16">AB18</f>
        <v>115050</v>
      </c>
      <c r="AF18" s="3094">
        <f t="shared" ref="AF18:AF26" si="17">+Y18+AE18+R18</f>
        <v>487050</v>
      </c>
      <c r="AG18" s="3095"/>
    </row>
    <row r="19" spans="1:33" ht="18.75">
      <c r="A19" s="3082">
        <v>3</v>
      </c>
      <c r="B19" s="3185" t="s">
        <v>1701</v>
      </c>
      <c r="C19" s="3182" t="s">
        <v>1702</v>
      </c>
      <c r="D19" s="3182" t="s">
        <v>1702</v>
      </c>
      <c r="E19" s="3084" t="s">
        <v>1188</v>
      </c>
      <c r="F19" s="3084" t="s">
        <v>1631</v>
      </c>
      <c r="G19" s="3080" t="s">
        <v>1240</v>
      </c>
      <c r="H19" s="3084" t="s">
        <v>1420</v>
      </c>
      <c r="I19" s="3085"/>
      <c r="J19" s="3085"/>
      <c r="K19" s="3081">
        <v>5</v>
      </c>
      <c r="L19" s="3080">
        <v>2</v>
      </c>
      <c r="M19" s="3086">
        <v>36000</v>
      </c>
      <c r="N19" s="3087">
        <f t="shared" si="12"/>
        <v>72000</v>
      </c>
      <c r="O19" s="3080">
        <f t="shared" si="5"/>
        <v>1</v>
      </c>
      <c r="P19" s="3086">
        <v>20000</v>
      </c>
      <c r="Q19" s="3088">
        <f t="shared" si="0"/>
        <v>20000</v>
      </c>
      <c r="R19" s="3089">
        <f t="shared" si="1"/>
        <v>92000</v>
      </c>
      <c r="S19" s="3080">
        <f t="shared" si="13"/>
        <v>5</v>
      </c>
      <c r="T19" s="3086">
        <v>36000</v>
      </c>
      <c r="U19" s="3088">
        <f t="shared" si="14"/>
        <v>180000</v>
      </c>
      <c r="V19" s="3080">
        <v>5</v>
      </c>
      <c r="W19" s="3086">
        <v>20000</v>
      </c>
      <c r="X19" s="3088">
        <f t="shared" si="2"/>
        <v>100000</v>
      </c>
      <c r="Y19" s="3089">
        <f t="shared" si="3"/>
        <v>280000</v>
      </c>
      <c r="Z19" s="3090">
        <f>160*2*5/100</f>
        <v>16</v>
      </c>
      <c r="AA19" s="3091">
        <v>5900</v>
      </c>
      <c r="AB19" s="3087">
        <f t="shared" si="15"/>
        <v>94400</v>
      </c>
      <c r="AC19" s="3092"/>
      <c r="AD19" s="3092"/>
      <c r="AE19" s="3093">
        <f t="shared" si="16"/>
        <v>94400</v>
      </c>
      <c r="AF19" s="3094">
        <f t="shared" si="17"/>
        <v>466400</v>
      </c>
      <c r="AG19" s="3095"/>
    </row>
    <row r="20" spans="1:33" ht="47.25">
      <c r="A20" s="3082">
        <v>4</v>
      </c>
      <c r="B20" s="3181" t="s">
        <v>1703</v>
      </c>
      <c r="C20" s="3182" t="s">
        <v>1704</v>
      </c>
      <c r="D20" s="3182" t="s">
        <v>1704</v>
      </c>
      <c r="E20" s="3084" t="s">
        <v>1188</v>
      </c>
      <c r="F20" s="3084" t="s">
        <v>1631</v>
      </c>
      <c r="G20" s="3080" t="s">
        <v>1240</v>
      </c>
      <c r="H20" s="3084" t="s">
        <v>1420</v>
      </c>
      <c r="I20" s="3085"/>
      <c r="J20" s="3085"/>
      <c r="K20" s="3081">
        <v>5</v>
      </c>
      <c r="L20" s="3080">
        <v>2</v>
      </c>
      <c r="M20" s="3086">
        <v>36000</v>
      </c>
      <c r="N20" s="3087">
        <f t="shared" si="12"/>
        <v>72000</v>
      </c>
      <c r="O20" s="3080">
        <f t="shared" si="5"/>
        <v>1</v>
      </c>
      <c r="P20" s="3086">
        <v>20000</v>
      </c>
      <c r="Q20" s="3088">
        <f t="shared" si="0"/>
        <v>20000</v>
      </c>
      <c r="R20" s="3089">
        <f t="shared" si="1"/>
        <v>92000</v>
      </c>
      <c r="S20" s="3080">
        <f t="shared" si="13"/>
        <v>5</v>
      </c>
      <c r="T20" s="3086">
        <v>36000</v>
      </c>
      <c r="U20" s="3088">
        <f t="shared" si="14"/>
        <v>180000</v>
      </c>
      <c r="V20" s="3080">
        <v>5</v>
      </c>
      <c r="W20" s="3086">
        <v>20000</v>
      </c>
      <c r="X20" s="3088">
        <f t="shared" si="2"/>
        <v>100000</v>
      </c>
      <c r="Y20" s="3089">
        <f t="shared" si="3"/>
        <v>280000</v>
      </c>
      <c r="Z20" s="3090">
        <f>62*2*5/100</f>
        <v>6.2</v>
      </c>
      <c r="AA20" s="3091">
        <v>5900</v>
      </c>
      <c r="AB20" s="3087">
        <f t="shared" si="15"/>
        <v>36580</v>
      </c>
      <c r="AC20" s="3092"/>
      <c r="AD20" s="3092"/>
      <c r="AE20" s="3093">
        <f t="shared" si="16"/>
        <v>36580</v>
      </c>
      <c r="AF20" s="3094">
        <f t="shared" si="17"/>
        <v>408580</v>
      </c>
      <c r="AG20" s="3095"/>
    </row>
    <row r="21" spans="1:33" ht="31.5">
      <c r="A21" s="3082">
        <v>5</v>
      </c>
      <c r="B21" s="3181" t="s">
        <v>1705</v>
      </c>
      <c r="C21" s="3182" t="s">
        <v>1706</v>
      </c>
      <c r="D21" s="3182" t="s">
        <v>1706</v>
      </c>
      <c r="E21" s="3084" t="s">
        <v>1188</v>
      </c>
      <c r="F21" s="3084" t="s">
        <v>1631</v>
      </c>
      <c r="G21" s="3080" t="s">
        <v>1240</v>
      </c>
      <c r="H21" s="3084" t="s">
        <v>1420</v>
      </c>
      <c r="I21" s="3085"/>
      <c r="J21" s="3085"/>
      <c r="K21" s="3081">
        <v>5</v>
      </c>
      <c r="L21" s="3080">
        <v>2</v>
      </c>
      <c r="M21" s="3086">
        <v>36000</v>
      </c>
      <c r="N21" s="3087">
        <f t="shared" si="12"/>
        <v>72000</v>
      </c>
      <c r="O21" s="3080">
        <f t="shared" si="5"/>
        <v>1</v>
      </c>
      <c r="P21" s="3086">
        <v>20000</v>
      </c>
      <c r="Q21" s="3088">
        <f t="shared" si="0"/>
        <v>20000</v>
      </c>
      <c r="R21" s="3089">
        <f t="shared" si="1"/>
        <v>92000</v>
      </c>
      <c r="S21" s="3080">
        <f t="shared" si="13"/>
        <v>5</v>
      </c>
      <c r="T21" s="3086">
        <v>36000</v>
      </c>
      <c r="U21" s="3088">
        <f t="shared" si="14"/>
        <v>180000</v>
      </c>
      <c r="V21" s="3080">
        <v>5</v>
      </c>
      <c r="W21" s="3086">
        <v>20000</v>
      </c>
      <c r="X21" s="3088">
        <f t="shared" si="2"/>
        <v>100000</v>
      </c>
      <c r="Y21" s="3089">
        <f t="shared" si="3"/>
        <v>280000</v>
      </c>
      <c r="Z21" s="3090">
        <f>63*2*5/100</f>
        <v>6.3</v>
      </c>
      <c r="AA21" s="3091">
        <v>5900</v>
      </c>
      <c r="AB21" s="3087">
        <f t="shared" si="15"/>
        <v>37170</v>
      </c>
      <c r="AC21" s="3092"/>
      <c r="AD21" s="3092"/>
      <c r="AE21" s="3093">
        <f t="shared" si="16"/>
        <v>37170</v>
      </c>
      <c r="AF21" s="3094">
        <f t="shared" si="17"/>
        <v>409170</v>
      </c>
      <c r="AG21" s="3095"/>
    </row>
    <row r="22" spans="1:33" ht="18.75">
      <c r="A22" s="3082">
        <v>6</v>
      </c>
      <c r="B22" s="3181" t="s">
        <v>1707</v>
      </c>
      <c r="C22" s="3182" t="s">
        <v>1708</v>
      </c>
      <c r="D22" s="3182" t="s">
        <v>1708</v>
      </c>
      <c r="E22" s="3084" t="s">
        <v>1188</v>
      </c>
      <c r="F22" s="3084" t="s">
        <v>1631</v>
      </c>
      <c r="G22" s="3080" t="s">
        <v>1240</v>
      </c>
      <c r="H22" s="3084" t="s">
        <v>1420</v>
      </c>
      <c r="I22" s="3085"/>
      <c r="J22" s="3085"/>
      <c r="K22" s="3081">
        <v>5</v>
      </c>
      <c r="L22" s="3080">
        <v>2</v>
      </c>
      <c r="M22" s="3086">
        <v>36000</v>
      </c>
      <c r="N22" s="3087">
        <f t="shared" si="12"/>
        <v>72000</v>
      </c>
      <c r="O22" s="3080">
        <f t="shared" si="5"/>
        <v>1</v>
      </c>
      <c r="P22" s="3086">
        <v>20000</v>
      </c>
      <c r="Q22" s="3088">
        <f t="shared" si="0"/>
        <v>20000</v>
      </c>
      <c r="R22" s="3089">
        <f t="shared" si="1"/>
        <v>92000</v>
      </c>
      <c r="S22" s="3080">
        <f t="shared" si="13"/>
        <v>5</v>
      </c>
      <c r="T22" s="3086">
        <v>36000</v>
      </c>
      <c r="U22" s="3088">
        <f t="shared" si="14"/>
        <v>180000</v>
      </c>
      <c r="V22" s="3080">
        <v>5</v>
      </c>
      <c r="W22" s="3086">
        <v>20000</v>
      </c>
      <c r="X22" s="3088">
        <f t="shared" si="2"/>
        <v>100000</v>
      </c>
      <c r="Y22" s="3089">
        <f t="shared" si="3"/>
        <v>280000</v>
      </c>
      <c r="Z22" s="3090">
        <f>68*2*5/100</f>
        <v>6.8</v>
      </c>
      <c r="AA22" s="3091">
        <v>5900</v>
      </c>
      <c r="AB22" s="3087">
        <f t="shared" si="15"/>
        <v>40120</v>
      </c>
      <c r="AC22" s="3092"/>
      <c r="AD22" s="3092"/>
      <c r="AE22" s="3093">
        <f t="shared" si="16"/>
        <v>40120</v>
      </c>
      <c r="AF22" s="3094">
        <f t="shared" si="17"/>
        <v>412120</v>
      </c>
      <c r="AG22" s="3095"/>
    </row>
    <row r="23" spans="1:33" ht="31.5">
      <c r="A23" s="3082">
        <v>7</v>
      </c>
      <c r="B23" s="3181" t="s">
        <v>1709</v>
      </c>
      <c r="C23" s="3182" t="s">
        <v>1710</v>
      </c>
      <c r="D23" s="3182" t="s">
        <v>1710</v>
      </c>
      <c r="E23" s="3084" t="s">
        <v>1188</v>
      </c>
      <c r="F23" s="3084" t="s">
        <v>1631</v>
      </c>
      <c r="G23" s="3080" t="s">
        <v>1240</v>
      </c>
      <c r="H23" s="3084" t="s">
        <v>1420</v>
      </c>
      <c r="I23" s="3085"/>
      <c r="J23" s="3085"/>
      <c r="K23" s="3081">
        <v>5</v>
      </c>
      <c r="L23" s="3080">
        <v>2</v>
      </c>
      <c r="M23" s="3086">
        <v>36000</v>
      </c>
      <c r="N23" s="3087">
        <f t="shared" si="12"/>
        <v>72000</v>
      </c>
      <c r="O23" s="3080">
        <f t="shared" si="5"/>
        <v>1</v>
      </c>
      <c r="P23" s="3086">
        <v>20000</v>
      </c>
      <c r="Q23" s="3088">
        <f t="shared" si="0"/>
        <v>20000</v>
      </c>
      <c r="R23" s="3089">
        <f t="shared" si="1"/>
        <v>92000</v>
      </c>
      <c r="S23" s="3080">
        <f t="shared" si="13"/>
        <v>5</v>
      </c>
      <c r="T23" s="3086">
        <v>36000</v>
      </c>
      <c r="U23" s="3088">
        <f t="shared" si="14"/>
        <v>180000</v>
      </c>
      <c r="V23" s="3080">
        <v>5</v>
      </c>
      <c r="W23" s="3086">
        <v>20000</v>
      </c>
      <c r="X23" s="3088">
        <f t="shared" si="2"/>
        <v>100000</v>
      </c>
      <c r="Y23" s="3089">
        <f t="shared" si="3"/>
        <v>280000</v>
      </c>
      <c r="Z23" s="3090">
        <f>217*2*5/100</f>
        <v>21.7</v>
      </c>
      <c r="AA23" s="3091">
        <v>5900</v>
      </c>
      <c r="AB23" s="3087">
        <f t="shared" si="15"/>
        <v>128030</v>
      </c>
      <c r="AC23" s="3092"/>
      <c r="AD23" s="3092"/>
      <c r="AE23" s="3093">
        <f t="shared" si="16"/>
        <v>128030</v>
      </c>
      <c r="AF23" s="3094">
        <f t="shared" si="17"/>
        <v>500030</v>
      </c>
      <c r="AG23" s="3095"/>
    </row>
    <row r="24" spans="1:33" ht="31.5">
      <c r="A24" s="3082">
        <v>8</v>
      </c>
      <c r="B24" s="3181" t="s">
        <v>1711</v>
      </c>
      <c r="C24" s="3182" t="s">
        <v>1712</v>
      </c>
      <c r="D24" s="3182" t="s">
        <v>1712</v>
      </c>
      <c r="E24" s="3084" t="s">
        <v>1188</v>
      </c>
      <c r="F24" s="3084" t="s">
        <v>1631</v>
      </c>
      <c r="G24" s="3080" t="s">
        <v>1240</v>
      </c>
      <c r="H24" s="3084" t="s">
        <v>1420</v>
      </c>
      <c r="I24" s="3085"/>
      <c r="J24" s="3085"/>
      <c r="K24" s="3081">
        <v>5</v>
      </c>
      <c r="L24" s="3080">
        <v>2</v>
      </c>
      <c r="M24" s="3086">
        <v>36000</v>
      </c>
      <c r="N24" s="3087">
        <f t="shared" si="12"/>
        <v>72000</v>
      </c>
      <c r="O24" s="3080">
        <f t="shared" si="5"/>
        <v>1</v>
      </c>
      <c r="P24" s="3086">
        <v>20000</v>
      </c>
      <c r="Q24" s="3088">
        <f t="shared" si="0"/>
        <v>20000</v>
      </c>
      <c r="R24" s="3089">
        <f t="shared" si="1"/>
        <v>92000</v>
      </c>
      <c r="S24" s="3080">
        <f t="shared" si="13"/>
        <v>5</v>
      </c>
      <c r="T24" s="3086">
        <v>36000</v>
      </c>
      <c r="U24" s="3088">
        <f t="shared" si="14"/>
        <v>180000</v>
      </c>
      <c r="V24" s="3080">
        <v>5</v>
      </c>
      <c r="W24" s="3086">
        <v>20000</v>
      </c>
      <c r="X24" s="3088">
        <f t="shared" si="2"/>
        <v>100000</v>
      </c>
      <c r="Y24" s="3089">
        <f t="shared" si="3"/>
        <v>280000</v>
      </c>
      <c r="Z24" s="3090">
        <f>195*2*5/100</f>
        <v>19.5</v>
      </c>
      <c r="AA24" s="3091">
        <v>5900</v>
      </c>
      <c r="AB24" s="3087">
        <f t="shared" si="15"/>
        <v>115050</v>
      </c>
      <c r="AC24" s="3092"/>
      <c r="AD24" s="3092"/>
      <c r="AE24" s="3093">
        <f t="shared" si="16"/>
        <v>115050</v>
      </c>
      <c r="AF24" s="3094">
        <f t="shared" si="17"/>
        <v>487050</v>
      </c>
      <c r="AG24" s="3095"/>
    </row>
    <row r="25" spans="1:33" ht="18.75">
      <c r="A25" s="3082">
        <v>9</v>
      </c>
      <c r="B25" s="3181" t="s">
        <v>1713</v>
      </c>
      <c r="C25" s="3182" t="s">
        <v>1714</v>
      </c>
      <c r="D25" s="3182" t="s">
        <v>1714</v>
      </c>
      <c r="E25" s="3084" t="s">
        <v>1188</v>
      </c>
      <c r="F25" s="3084" t="s">
        <v>1631</v>
      </c>
      <c r="G25" s="3080" t="s">
        <v>1240</v>
      </c>
      <c r="H25" s="3084" t="s">
        <v>1420</v>
      </c>
      <c r="I25" s="3085"/>
      <c r="J25" s="3085"/>
      <c r="K25" s="3081">
        <v>5</v>
      </c>
      <c r="L25" s="3080">
        <v>2</v>
      </c>
      <c r="M25" s="3086">
        <v>36000</v>
      </c>
      <c r="N25" s="3087">
        <f t="shared" si="12"/>
        <v>72000</v>
      </c>
      <c r="O25" s="3080">
        <f t="shared" si="5"/>
        <v>1</v>
      </c>
      <c r="P25" s="3086">
        <v>20000</v>
      </c>
      <c r="Q25" s="3088">
        <f t="shared" si="0"/>
        <v>20000</v>
      </c>
      <c r="R25" s="3089">
        <f t="shared" si="1"/>
        <v>92000</v>
      </c>
      <c r="S25" s="3080">
        <f t="shared" si="13"/>
        <v>5</v>
      </c>
      <c r="T25" s="3086">
        <v>36000</v>
      </c>
      <c r="U25" s="3088">
        <f t="shared" si="14"/>
        <v>180000</v>
      </c>
      <c r="V25" s="3080">
        <v>5</v>
      </c>
      <c r="W25" s="3086">
        <v>20000</v>
      </c>
      <c r="X25" s="3088">
        <f t="shared" si="2"/>
        <v>100000</v>
      </c>
      <c r="Y25" s="3089">
        <f t="shared" si="3"/>
        <v>280000</v>
      </c>
      <c r="Z25" s="3090">
        <f>232*2*5/100</f>
        <v>23.2</v>
      </c>
      <c r="AA25" s="3091">
        <v>5900</v>
      </c>
      <c r="AB25" s="3087">
        <f t="shared" si="15"/>
        <v>136880</v>
      </c>
      <c r="AC25" s="3092"/>
      <c r="AD25" s="3092"/>
      <c r="AE25" s="3093">
        <f t="shared" si="16"/>
        <v>136880</v>
      </c>
      <c r="AF25" s="3094">
        <f t="shared" si="17"/>
        <v>508880</v>
      </c>
      <c r="AG25" s="3095"/>
    </row>
    <row r="26" spans="1:33" ht="18.75">
      <c r="A26" s="3082">
        <v>10</v>
      </c>
      <c r="B26" s="3186" t="s">
        <v>1715</v>
      </c>
      <c r="C26" s="3182" t="s">
        <v>1716</v>
      </c>
      <c r="D26" s="3182" t="s">
        <v>1716</v>
      </c>
      <c r="E26" s="3084" t="s">
        <v>1188</v>
      </c>
      <c r="F26" s="3084" t="s">
        <v>1631</v>
      </c>
      <c r="G26" s="3080" t="s">
        <v>1240</v>
      </c>
      <c r="H26" s="3084" t="s">
        <v>1420</v>
      </c>
      <c r="I26" s="3085"/>
      <c r="J26" s="3085"/>
      <c r="K26" s="3081">
        <v>5</v>
      </c>
      <c r="L26" s="3080">
        <v>2</v>
      </c>
      <c r="M26" s="3086">
        <v>36000</v>
      </c>
      <c r="N26" s="3087">
        <f t="shared" si="12"/>
        <v>72000</v>
      </c>
      <c r="O26" s="3080">
        <f t="shared" si="5"/>
        <v>1</v>
      </c>
      <c r="P26" s="3086">
        <v>20000</v>
      </c>
      <c r="Q26" s="3088">
        <f t="shared" si="0"/>
        <v>20000</v>
      </c>
      <c r="R26" s="3089">
        <f t="shared" si="1"/>
        <v>92000</v>
      </c>
      <c r="S26" s="3080">
        <f t="shared" si="13"/>
        <v>5</v>
      </c>
      <c r="T26" s="3086">
        <v>36000</v>
      </c>
      <c r="U26" s="3088">
        <f t="shared" si="14"/>
        <v>180000</v>
      </c>
      <c r="V26" s="3080">
        <v>5</v>
      </c>
      <c r="W26" s="3086">
        <v>20000</v>
      </c>
      <c r="X26" s="3088">
        <f t="shared" si="2"/>
        <v>100000</v>
      </c>
      <c r="Y26" s="3089">
        <f t="shared" si="3"/>
        <v>280000</v>
      </c>
      <c r="Z26" s="3090">
        <f>170*2*5/100</f>
        <v>17</v>
      </c>
      <c r="AA26" s="3091">
        <v>5900</v>
      </c>
      <c r="AB26" s="3087">
        <f t="shared" si="15"/>
        <v>100300</v>
      </c>
      <c r="AC26" s="3092"/>
      <c r="AD26" s="3092"/>
      <c r="AE26" s="3093">
        <f t="shared" si="16"/>
        <v>100300</v>
      </c>
      <c r="AF26" s="3094">
        <f t="shared" si="17"/>
        <v>472300</v>
      </c>
      <c r="AG26" s="3095"/>
    </row>
    <row r="27" spans="1:33" ht="45">
      <c r="A27" s="3111">
        <v>1</v>
      </c>
      <c r="B27" s="3187" t="s">
        <v>1622</v>
      </c>
      <c r="C27" s="3188" t="s">
        <v>1717</v>
      </c>
      <c r="D27" s="3189" t="s">
        <v>1616</v>
      </c>
      <c r="E27" s="3115" t="s">
        <v>1617</v>
      </c>
      <c r="F27" s="3116" t="s">
        <v>1618</v>
      </c>
      <c r="G27" s="3117" t="s">
        <v>1240</v>
      </c>
      <c r="H27" s="3116" t="s">
        <v>1420</v>
      </c>
      <c r="I27" s="3118"/>
      <c r="J27" s="3118"/>
      <c r="K27" s="3119">
        <v>5</v>
      </c>
      <c r="L27" s="3117">
        <v>2</v>
      </c>
      <c r="M27" s="3120">
        <v>36000</v>
      </c>
      <c r="N27" s="3121">
        <f>M27*L27</f>
        <v>72000</v>
      </c>
      <c r="O27" s="3117">
        <f t="shared" si="5"/>
        <v>1</v>
      </c>
      <c r="P27" s="3120">
        <v>20000</v>
      </c>
      <c r="Q27" s="3122">
        <f t="shared" si="0"/>
        <v>20000</v>
      </c>
      <c r="R27" s="3122">
        <f t="shared" si="1"/>
        <v>92000</v>
      </c>
      <c r="S27" s="3117">
        <f>+K27</f>
        <v>5</v>
      </c>
      <c r="T27" s="3120">
        <v>36000</v>
      </c>
      <c r="U27" s="3122">
        <f>T27*S27</f>
        <v>180000</v>
      </c>
      <c r="V27" s="3117">
        <v>5</v>
      </c>
      <c r="W27" s="3120">
        <v>20000</v>
      </c>
      <c r="X27" s="3122">
        <f t="shared" si="2"/>
        <v>100000</v>
      </c>
      <c r="Y27" s="3122">
        <f t="shared" si="3"/>
        <v>280000</v>
      </c>
      <c r="Z27" s="3153">
        <f>45*2</f>
        <v>90</v>
      </c>
      <c r="AA27" s="3152">
        <v>30000</v>
      </c>
      <c r="AB27" s="3152">
        <v>30000</v>
      </c>
      <c r="AC27" s="3154"/>
      <c r="AD27" s="3154"/>
      <c r="AE27" s="3152">
        <f t="shared" si="16"/>
        <v>30000</v>
      </c>
      <c r="AF27" s="3124">
        <f>+Y27+AE27+R27</f>
        <v>402000</v>
      </c>
      <c r="AG27" s="3125"/>
    </row>
    <row r="28" spans="1:33" ht="45">
      <c r="A28" s="3111"/>
      <c r="B28" s="3187" t="s">
        <v>1620</v>
      </c>
      <c r="C28" s="3188" t="s">
        <v>1615</v>
      </c>
      <c r="D28" s="3189" t="s">
        <v>1616</v>
      </c>
      <c r="E28" s="3115" t="s">
        <v>1617</v>
      </c>
      <c r="F28" s="3116" t="s">
        <v>1618</v>
      </c>
      <c r="G28" s="3117" t="s">
        <v>1240</v>
      </c>
      <c r="H28" s="3116" t="s">
        <v>1420</v>
      </c>
      <c r="I28" s="3118"/>
      <c r="J28" s="3118"/>
      <c r="K28" s="3119">
        <v>5</v>
      </c>
      <c r="L28" s="3117">
        <v>2</v>
      </c>
      <c r="M28" s="3120">
        <v>36000</v>
      </c>
      <c r="N28" s="3121">
        <f t="shared" ref="N28:N34" si="18">M28*L28</f>
        <v>72000</v>
      </c>
      <c r="O28" s="3117">
        <f t="shared" si="5"/>
        <v>1</v>
      </c>
      <c r="P28" s="3120">
        <v>20000</v>
      </c>
      <c r="Q28" s="3122">
        <f t="shared" si="0"/>
        <v>20000</v>
      </c>
      <c r="R28" s="3122">
        <f t="shared" si="1"/>
        <v>92000</v>
      </c>
      <c r="S28" s="3117">
        <f t="shared" ref="S28:S34" si="19">+K28</f>
        <v>5</v>
      </c>
      <c r="T28" s="3120">
        <v>36000</v>
      </c>
      <c r="U28" s="3122">
        <f t="shared" ref="U28:U34" si="20">T28*S28</f>
        <v>180000</v>
      </c>
      <c r="V28" s="3117">
        <v>5</v>
      </c>
      <c r="W28" s="3120">
        <v>20000</v>
      </c>
      <c r="X28" s="3122">
        <f t="shared" si="2"/>
        <v>100000</v>
      </c>
      <c r="Y28" s="3122">
        <f t="shared" si="3"/>
        <v>280000</v>
      </c>
      <c r="Z28" s="3153">
        <f>45*2</f>
        <v>90</v>
      </c>
      <c r="AA28" s="3152">
        <v>30000</v>
      </c>
      <c r="AB28" s="3152">
        <v>30000</v>
      </c>
      <c r="AC28" s="3154"/>
      <c r="AD28" s="3154"/>
      <c r="AE28" s="3152">
        <f t="shared" si="16"/>
        <v>30000</v>
      </c>
      <c r="AF28" s="3124">
        <f t="shared" ref="AF28:AF34" si="21">+Y28+AE28+R28</f>
        <v>402000</v>
      </c>
      <c r="AG28" s="3125"/>
    </row>
    <row r="29" spans="1:33" ht="45">
      <c r="A29" s="3111">
        <v>2</v>
      </c>
      <c r="B29" s="3187" t="s">
        <v>1619</v>
      </c>
      <c r="C29" s="3188" t="s">
        <v>1615</v>
      </c>
      <c r="D29" s="3189" t="s">
        <v>1616</v>
      </c>
      <c r="E29" s="3115" t="s">
        <v>1617</v>
      </c>
      <c r="F29" s="3116" t="s">
        <v>1618</v>
      </c>
      <c r="G29" s="3117" t="s">
        <v>1240</v>
      </c>
      <c r="H29" s="3116" t="s">
        <v>1420</v>
      </c>
      <c r="I29" s="3118"/>
      <c r="J29" s="3118"/>
      <c r="K29" s="3119">
        <v>5</v>
      </c>
      <c r="L29" s="3117">
        <v>2</v>
      </c>
      <c r="M29" s="3120">
        <v>36000</v>
      </c>
      <c r="N29" s="3121">
        <f t="shared" si="18"/>
        <v>72000</v>
      </c>
      <c r="O29" s="3117">
        <f t="shared" si="5"/>
        <v>1</v>
      </c>
      <c r="P29" s="3120">
        <v>20000</v>
      </c>
      <c r="Q29" s="3122">
        <f t="shared" si="0"/>
        <v>20000</v>
      </c>
      <c r="R29" s="3122">
        <f t="shared" si="1"/>
        <v>92000</v>
      </c>
      <c r="S29" s="3117">
        <f t="shared" si="19"/>
        <v>5</v>
      </c>
      <c r="T29" s="3120">
        <v>36000</v>
      </c>
      <c r="U29" s="3122">
        <f t="shared" si="20"/>
        <v>180000</v>
      </c>
      <c r="V29" s="3117">
        <v>5</v>
      </c>
      <c r="W29" s="3120">
        <v>20000</v>
      </c>
      <c r="X29" s="3122">
        <f t="shared" si="2"/>
        <v>100000</v>
      </c>
      <c r="Y29" s="3122">
        <f t="shared" si="3"/>
        <v>280000</v>
      </c>
      <c r="Z29" s="3153">
        <f>45*2</f>
        <v>90</v>
      </c>
      <c r="AA29" s="3152">
        <v>30000</v>
      </c>
      <c r="AB29" s="3152">
        <v>30000</v>
      </c>
      <c r="AC29" s="3154"/>
      <c r="AD29" s="3154"/>
      <c r="AE29" s="3152">
        <f t="shared" si="16"/>
        <v>30000</v>
      </c>
      <c r="AF29" s="3124">
        <f t="shared" si="21"/>
        <v>402000</v>
      </c>
      <c r="AG29" s="3125"/>
    </row>
    <row r="30" spans="1:33" ht="47.25">
      <c r="A30" s="3126">
        <v>11</v>
      </c>
      <c r="B30" s="3141" t="str">
        <f>[8]Liste_personnel!$F$6</f>
        <v>MANANDAHY PHILBERT</v>
      </c>
      <c r="C30" s="3141" t="str">
        <f>[8]Liste_personnel!$D$6</f>
        <v>CHEF CISCO</v>
      </c>
      <c r="D30" s="3190" t="s">
        <v>1616</v>
      </c>
      <c r="E30" s="3129" t="s">
        <v>1627</v>
      </c>
      <c r="F30" s="3130" t="s">
        <v>1631</v>
      </c>
      <c r="G30" s="3131" t="s">
        <v>1240</v>
      </c>
      <c r="H30" s="3130" t="s">
        <v>1420</v>
      </c>
      <c r="I30" s="3132"/>
      <c r="J30" s="3132"/>
      <c r="K30" s="3133">
        <v>5</v>
      </c>
      <c r="L30" s="3131">
        <v>2</v>
      </c>
      <c r="M30" s="3134">
        <v>36000</v>
      </c>
      <c r="N30" s="3135">
        <f t="shared" si="18"/>
        <v>72000</v>
      </c>
      <c r="O30" s="3131">
        <f t="shared" si="5"/>
        <v>1</v>
      </c>
      <c r="P30" s="3134">
        <v>20000</v>
      </c>
      <c r="Q30" s="3136">
        <f t="shared" si="0"/>
        <v>20000</v>
      </c>
      <c r="R30" s="3136">
        <f t="shared" si="1"/>
        <v>92000</v>
      </c>
      <c r="S30" s="3131">
        <f t="shared" si="19"/>
        <v>5</v>
      </c>
      <c r="T30" s="3134">
        <v>36000</v>
      </c>
      <c r="U30" s="3136">
        <f t="shared" si="20"/>
        <v>180000</v>
      </c>
      <c r="V30" s="3131">
        <v>5</v>
      </c>
      <c r="W30" s="3134">
        <v>20000</v>
      </c>
      <c r="X30" s="3136">
        <f t="shared" si="2"/>
        <v>100000</v>
      </c>
      <c r="Y30" s="3136">
        <f t="shared" si="3"/>
        <v>280000</v>
      </c>
      <c r="Z30" s="3136">
        <f>45*2*5/100</f>
        <v>4.5</v>
      </c>
      <c r="AA30" s="3135">
        <v>5900</v>
      </c>
      <c r="AB30" s="3135">
        <f t="shared" ref="AB30" si="22">Z30*AA30</f>
        <v>26550</v>
      </c>
      <c r="AC30" s="3137"/>
      <c r="AD30" s="3137"/>
      <c r="AE30" s="3135">
        <f t="shared" si="16"/>
        <v>26550</v>
      </c>
      <c r="AF30" s="3138">
        <f t="shared" si="21"/>
        <v>398550</v>
      </c>
      <c r="AG30" s="3139"/>
    </row>
    <row r="31" spans="1:33" ht="56.25">
      <c r="A31" s="3126"/>
      <c r="B31" s="3141" t="s">
        <v>1718</v>
      </c>
      <c r="C31" s="3142" t="s">
        <v>1719</v>
      </c>
      <c r="D31" s="3190" t="s">
        <v>1616</v>
      </c>
      <c r="E31" s="3129" t="s">
        <v>1627</v>
      </c>
      <c r="F31" s="3130" t="s">
        <v>1618</v>
      </c>
      <c r="G31" s="3131" t="s">
        <v>1240</v>
      </c>
      <c r="H31" s="3130" t="s">
        <v>1420</v>
      </c>
      <c r="I31" s="3132"/>
      <c r="J31" s="3132"/>
      <c r="K31" s="3133">
        <v>5</v>
      </c>
      <c r="L31" s="3131">
        <v>2</v>
      </c>
      <c r="M31" s="3134">
        <v>36000</v>
      </c>
      <c r="N31" s="3135">
        <f t="shared" si="18"/>
        <v>72000</v>
      </c>
      <c r="O31" s="3131">
        <f t="shared" si="5"/>
        <v>1</v>
      </c>
      <c r="P31" s="3134">
        <v>20000</v>
      </c>
      <c r="Q31" s="3136">
        <f t="shared" si="0"/>
        <v>20000</v>
      </c>
      <c r="R31" s="3136">
        <f t="shared" si="1"/>
        <v>92000</v>
      </c>
      <c r="S31" s="3131">
        <f t="shared" si="19"/>
        <v>5</v>
      </c>
      <c r="T31" s="3134">
        <v>36000</v>
      </c>
      <c r="U31" s="3136">
        <f t="shared" si="20"/>
        <v>180000</v>
      </c>
      <c r="V31" s="3131">
        <v>5</v>
      </c>
      <c r="W31" s="3134">
        <v>20000</v>
      </c>
      <c r="X31" s="3136">
        <f t="shared" si="2"/>
        <v>100000</v>
      </c>
      <c r="Y31" s="3136">
        <f t="shared" si="3"/>
        <v>280000</v>
      </c>
      <c r="Z31" s="3136">
        <v>90</v>
      </c>
      <c r="AA31" s="3135">
        <v>30000</v>
      </c>
      <c r="AB31" s="3135">
        <v>30000</v>
      </c>
      <c r="AC31" s="3137"/>
      <c r="AD31" s="3137"/>
      <c r="AE31" s="3135">
        <f t="shared" si="16"/>
        <v>30000</v>
      </c>
      <c r="AF31" s="3138">
        <f t="shared" si="21"/>
        <v>402000</v>
      </c>
      <c r="AG31" s="3139"/>
    </row>
    <row r="32" spans="1:33" ht="47.25">
      <c r="A32" s="3143">
        <v>4</v>
      </c>
      <c r="B32" s="3144" t="s">
        <v>1662</v>
      </c>
      <c r="C32" s="3191" t="s">
        <v>1720</v>
      </c>
      <c r="D32" s="3192" t="s">
        <v>1616</v>
      </c>
      <c r="E32" s="3146" t="s">
        <v>1642</v>
      </c>
      <c r="F32" s="3147" t="s">
        <v>1618</v>
      </c>
      <c r="G32" s="3148" t="s">
        <v>1240</v>
      </c>
      <c r="H32" s="3147" t="s">
        <v>1420</v>
      </c>
      <c r="I32" s="3149"/>
      <c r="J32" s="3149"/>
      <c r="K32" s="3150">
        <v>5</v>
      </c>
      <c r="L32" s="3148">
        <v>2</v>
      </c>
      <c r="M32" s="3151">
        <v>36000</v>
      </c>
      <c r="N32" s="3152">
        <f t="shared" si="18"/>
        <v>72000</v>
      </c>
      <c r="O32" s="3148">
        <f t="shared" si="5"/>
        <v>1</v>
      </c>
      <c r="P32" s="3151">
        <v>20000</v>
      </c>
      <c r="Q32" s="3153">
        <f>+P32*O32</f>
        <v>20000</v>
      </c>
      <c r="R32" s="3153">
        <f t="shared" si="1"/>
        <v>92000</v>
      </c>
      <c r="S32" s="3148">
        <f t="shared" si="19"/>
        <v>5</v>
      </c>
      <c r="T32" s="3151">
        <v>36000</v>
      </c>
      <c r="U32" s="3153">
        <f t="shared" si="20"/>
        <v>180000</v>
      </c>
      <c r="V32" s="3148">
        <v>5</v>
      </c>
      <c r="W32" s="3151">
        <v>20000</v>
      </c>
      <c r="X32" s="3153">
        <f t="shared" si="2"/>
        <v>100000</v>
      </c>
      <c r="Y32" s="3153">
        <f t="shared" si="3"/>
        <v>280000</v>
      </c>
      <c r="Z32" s="3153">
        <f>45*2</f>
        <v>90</v>
      </c>
      <c r="AA32" s="3152">
        <v>30000</v>
      </c>
      <c r="AB32" s="3152">
        <v>30000</v>
      </c>
      <c r="AC32" s="3154"/>
      <c r="AD32" s="3154"/>
      <c r="AE32" s="3152">
        <f t="shared" si="16"/>
        <v>30000</v>
      </c>
      <c r="AF32" s="3155">
        <f t="shared" si="21"/>
        <v>402000</v>
      </c>
      <c r="AG32" s="3156"/>
    </row>
    <row r="33" spans="1:33" ht="63">
      <c r="A33" s="3099">
        <v>9</v>
      </c>
      <c r="B33" s="3100" t="s">
        <v>1653</v>
      </c>
      <c r="C33" s="3100" t="s">
        <v>1654</v>
      </c>
      <c r="D33" s="3193" t="s">
        <v>1616</v>
      </c>
      <c r="E33" s="3101" t="s">
        <v>1721</v>
      </c>
      <c r="F33" s="3101" t="s">
        <v>1628</v>
      </c>
      <c r="G33" s="3102" t="s">
        <v>1240</v>
      </c>
      <c r="H33" s="3101" t="s">
        <v>1420</v>
      </c>
      <c r="I33" s="3103"/>
      <c r="J33" s="3103"/>
      <c r="K33" s="3104">
        <v>2</v>
      </c>
      <c r="L33" s="3102">
        <v>2</v>
      </c>
      <c r="M33" s="3105">
        <v>36000</v>
      </c>
      <c r="N33" s="3106">
        <f t="shared" si="18"/>
        <v>72000</v>
      </c>
      <c r="O33" s="3102">
        <f t="shared" si="5"/>
        <v>1</v>
      </c>
      <c r="P33" s="3105">
        <v>40000</v>
      </c>
      <c r="Q33" s="3107">
        <f t="shared" si="0"/>
        <v>40000</v>
      </c>
      <c r="R33" s="3107">
        <f t="shared" si="1"/>
        <v>112000</v>
      </c>
      <c r="S33" s="3102">
        <v>2</v>
      </c>
      <c r="T33" s="3105">
        <v>36000</v>
      </c>
      <c r="U33" s="3107">
        <f t="shared" si="20"/>
        <v>72000</v>
      </c>
      <c r="V33" s="3102">
        <v>2</v>
      </c>
      <c r="W33" s="3105">
        <v>40000</v>
      </c>
      <c r="X33" s="3107">
        <f t="shared" si="2"/>
        <v>80000</v>
      </c>
      <c r="Y33" s="3107">
        <f t="shared" si="3"/>
        <v>152000</v>
      </c>
      <c r="Z33" s="3107">
        <f>75*2</f>
        <v>150</v>
      </c>
      <c r="AA33" s="3106">
        <f>15000*2</f>
        <v>30000</v>
      </c>
      <c r="AB33" s="3106">
        <v>30000</v>
      </c>
      <c r="AC33" s="3108"/>
      <c r="AD33" s="3108"/>
      <c r="AE33" s="3106">
        <f t="shared" si="16"/>
        <v>30000</v>
      </c>
      <c r="AF33" s="3109">
        <f t="shared" si="21"/>
        <v>294000</v>
      </c>
      <c r="AG33" s="3110"/>
    </row>
    <row r="34" spans="1:33" ht="56.25">
      <c r="A34" s="3194">
        <v>3</v>
      </c>
      <c r="B34" s="3097" t="s">
        <v>1664</v>
      </c>
      <c r="C34" s="3163" t="s">
        <v>1722</v>
      </c>
      <c r="D34" s="3182" t="s">
        <v>1616</v>
      </c>
      <c r="E34" s="3195" t="s">
        <v>1723</v>
      </c>
      <c r="F34" s="3195" t="s">
        <v>1618</v>
      </c>
      <c r="G34" s="3196" t="s">
        <v>1240</v>
      </c>
      <c r="H34" s="3195" t="s">
        <v>1420</v>
      </c>
      <c r="I34" s="3197"/>
      <c r="J34" s="3197"/>
      <c r="K34" s="3198">
        <v>5</v>
      </c>
      <c r="L34" s="3196">
        <v>2</v>
      </c>
      <c r="M34" s="3199">
        <v>36000</v>
      </c>
      <c r="N34" s="3200">
        <f t="shared" si="18"/>
        <v>72000</v>
      </c>
      <c r="O34" s="3196">
        <f t="shared" si="5"/>
        <v>1</v>
      </c>
      <c r="P34" s="3199">
        <v>20000</v>
      </c>
      <c r="Q34" s="3201">
        <f>+P34*O34</f>
        <v>20000</v>
      </c>
      <c r="R34" s="3089">
        <f t="shared" si="1"/>
        <v>92000</v>
      </c>
      <c r="S34" s="3080">
        <f t="shared" si="19"/>
        <v>5</v>
      </c>
      <c r="T34" s="3086">
        <v>36000</v>
      </c>
      <c r="U34" s="3088">
        <f t="shared" si="20"/>
        <v>180000</v>
      </c>
      <c r="V34" s="3080">
        <v>5</v>
      </c>
      <c r="W34" s="3086">
        <v>20000</v>
      </c>
      <c r="X34" s="3088">
        <f t="shared" si="2"/>
        <v>100000</v>
      </c>
      <c r="Y34" s="3089">
        <f t="shared" si="3"/>
        <v>280000</v>
      </c>
      <c r="Z34" s="3153">
        <f>45*2</f>
        <v>90</v>
      </c>
      <c r="AA34" s="3152">
        <v>30000</v>
      </c>
      <c r="AB34" s="3152">
        <v>30000</v>
      </c>
      <c r="AC34" s="3154"/>
      <c r="AD34" s="3154"/>
      <c r="AE34" s="3152">
        <f t="shared" si="16"/>
        <v>30000</v>
      </c>
      <c r="AF34" s="3094">
        <f t="shared" si="21"/>
        <v>402000</v>
      </c>
      <c r="AG34" s="3095"/>
    </row>
    <row r="35" spans="1:33" ht="18.75">
      <c r="A35" s="3079"/>
      <c r="B35" s="3079"/>
      <c r="C35" s="3079"/>
      <c r="D35" s="3079"/>
      <c r="E35" s="3079"/>
      <c r="F35" s="3079"/>
      <c r="G35" s="3079"/>
      <c r="H35" s="3079"/>
      <c r="I35" s="3079"/>
      <c r="J35" s="3079"/>
      <c r="K35" s="3079"/>
      <c r="L35" s="3079"/>
      <c r="M35" s="3079"/>
      <c r="N35" s="3079"/>
      <c r="O35" s="3080"/>
      <c r="P35" s="3079"/>
      <c r="Q35" s="3079"/>
      <c r="R35" s="3165">
        <f>SUM(R5:R34)</f>
        <v>2688000</v>
      </c>
      <c r="S35" s="3166"/>
      <c r="T35" s="3166"/>
      <c r="U35" s="3166"/>
      <c r="V35" s="3166"/>
      <c r="W35" s="3166"/>
      <c r="X35" s="3166"/>
      <c r="Y35" s="3165">
        <f>SUM(Y5:Y34)</f>
        <v>8067000</v>
      </c>
      <c r="Z35" s="3079"/>
      <c r="AA35" s="3079"/>
      <c r="AB35" s="3079"/>
      <c r="AC35" s="3167"/>
      <c r="AD35" s="3167"/>
      <c r="AE35" s="3165">
        <f>SUM(AE5:AE34)</f>
        <v>1610070</v>
      </c>
      <c r="AF35" s="3168">
        <f>SUM(AF5:AF34)</f>
        <v>12365070</v>
      </c>
      <c r="AG35" s="3169"/>
    </row>
    <row r="36" spans="1:33" ht="18.75">
      <c r="A36" s="3079"/>
      <c r="B36" s="3170" t="s">
        <v>1666</v>
      </c>
      <c r="C36" s="3079"/>
      <c r="D36" s="3171"/>
      <c r="E36" s="3171"/>
      <c r="F36" s="3079"/>
      <c r="G36" s="3079"/>
      <c r="H36" s="3079"/>
      <c r="I36" s="3079"/>
      <c r="J36" s="3079"/>
      <c r="K36" s="3079"/>
      <c r="L36" s="3166"/>
      <c r="M36" s="3166"/>
      <c r="N36" s="3079"/>
      <c r="O36" s="3079"/>
      <c r="P36" s="3079"/>
      <c r="Q36" s="3079"/>
      <c r="R36" s="3079"/>
      <c r="S36" s="3166"/>
      <c r="T36" s="3079"/>
      <c r="U36" s="3079"/>
      <c r="V36" s="3079"/>
      <c r="W36" s="3079"/>
      <c r="X36" s="3079"/>
      <c r="Y36" s="3079"/>
      <c r="Z36" s="3166"/>
      <c r="AA36" s="3079"/>
      <c r="AB36" s="3079"/>
      <c r="AC36" s="3079"/>
      <c r="AD36" s="3079"/>
      <c r="AE36" s="3172"/>
      <c r="AF36" s="3173">
        <v>4688000</v>
      </c>
      <c r="AG36" s="3079"/>
    </row>
    <row r="37" spans="1:33" ht="18.75">
      <c r="A37" s="3079"/>
      <c r="B37" s="3170"/>
      <c r="C37" s="3079"/>
      <c r="D37" s="3171"/>
      <c r="E37" s="3171"/>
      <c r="F37" s="3079"/>
      <c r="G37" s="3079"/>
      <c r="H37" s="3079"/>
      <c r="I37" s="3079"/>
      <c r="J37" s="3079"/>
      <c r="K37" s="3079"/>
      <c r="L37" s="3166"/>
      <c r="M37" s="3166"/>
      <c r="N37" s="3079"/>
      <c r="O37" s="3079"/>
      <c r="P37" s="3079"/>
      <c r="Q37" s="3079"/>
      <c r="R37" s="3079"/>
      <c r="S37" s="3166"/>
      <c r="T37" s="3079"/>
      <c r="U37" s="3079"/>
      <c r="V37" s="3079"/>
      <c r="W37" s="3079"/>
      <c r="X37" s="3079"/>
      <c r="Y37" s="3079"/>
      <c r="Z37" s="3166"/>
      <c r="AA37" s="3079"/>
      <c r="AB37" s="3079"/>
      <c r="AC37" s="3079"/>
      <c r="AD37" s="3079"/>
      <c r="AE37" s="3172"/>
      <c r="AF37" s="3174">
        <f>+AF35+AF36</f>
        <v>17053070</v>
      </c>
      <c r="AG37" s="3079"/>
    </row>
    <row r="38" spans="1:33" ht="18.75">
      <c r="A38" s="3175"/>
      <c r="B38" s="3175"/>
      <c r="C38" s="3176" t="s">
        <v>1667</v>
      </c>
      <c r="D38" s="3177"/>
      <c r="E38" s="3177"/>
      <c r="F38" s="3175"/>
      <c r="G38" s="3175"/>
      <c r="H38" s="3175"/>
      <c r="I38" s="3175"/>
      <c r="J38" s="3175"/>
      <c r="K38" s="3175"/>
      <c r="L38" s="3175"/>
      <c r="M38" s="3178"/>
      <c r="N38" s="3175"/>
      <c r="O38" s="3175"/>
      <c r="P38" s="3179"/>
      <c r="Q38" s="3180"/>
      <c r="R38" s="3180"/>
      <c r="S38" s="3178"/>
      <c r="T38" s="3178"/>
      <c r="U38" s="3175"/>
      <c r="V38" s="3426" t="s">
        <v>1668</v>
      </c>
      <c r="W38" s="3426"/>
      <c r="X38" s="3426"/>
      <c r="Y38" s="3175"/>
      <c r="Z38" s="3175"/>
      <c r="AA38" s="3175"/>
      <c r="AB38" s="3175"/>
      <c r="AC38" s="3175"/>
      <c r="AD38" s="3175"/>
      <c r="AE38" s="3175"/>
      <c r="AF38" s="3173">
        <v>33068400</v>
      </c>
      <c r="AG38" s="3174">
        <f>+AF38-AF37</f>
        <v>16015330</v>
      </c>
    </row>
  </sheetData>
  <autoFilter ref="A4:AG38" xr:uid="{357E6DF7-0B70-4EBB-B4E5-BE289B1E4F89}"/>
  <mergeCells count="28">
    <mergeCell ref="Z1:AE1"/>
    <mergeCell ref="AF1:AF4"/>
    <mergeCell ref="Z2:Z4"/>
    <mergeCell ref="AA2:AA4"/>
    <mergeCell ref="AB2:AB4"/>
    <mergeCell ref="AC2:AC4"/>
    <mergeCell ref="AD2:AD4"/>
    <mergeCell ref="AE2:AE4"/>
    <mergeCell ref="S2:U3"/>
    <mergeCell ref="V2:X3"/>
    <mergeCell ref="V38:X38"/>
    <mergeCell ref="S1:X1"/>
    <mergeCell ref="Y1:Y4"/>
    <mergeCell ref="L1:R1"/>
    <mergeCell ref="A1:A4"/>
    <mergeCell ref="B1:B4"/>
    <mergeCell ref="C1:C4"/>
    <mergeCell ref="D1:D4"/>
    <mergeCell ref="E1:E4"/>
    <mergeCell ref="F1:F4"/>
    <mergeCell ref="G1:G4"/>
    <mergeCell ref="H1:H4"/>
    <mergeCell ref="I1:I4"/>
    <mergeCell ref="J1:J4"/>
    <mergeCell ref="K1:K4"/>
    <mergeCell ref="L2:N3"/>
    <mergeCell ref="O2:Q3"/>
    <mergeCell ref="R2:R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EB0EE-D4CA-48C3-902E-E933D81C9240}">
  <sheetPr>
    <tabColor rgb="FF7030A0"/>
    <pageSetUpPr fitToPage="1"/>
  </sheetPr>
  <dimension ref="A1:AG215"/>
  <sheetViews>
    <sheetView topLeftCell="A5" zoomScale="70" zoomScaleNormal="70" zoomScalePageLayoutView="110" workbookViewId="0">
      <selection activeCell="R214" sqref="R214"/>
    </sheetView>
  </sheetViews>
  <sheetFormatPr baseColWidth="10" defaultColWidth="11.42578125" defaultRowHeight="18.75"/>
  <cols>
    <col min="1" max="1" width="3.7109375" style="3079" customWidth="1"/>
    <col min="2" max="2" width="55.28515625" style="3079" customWidth="1"/>
    <col min="3" max="3" width="57.7109375" style="3079" customWidth="1"/>
    <col min="4" max="4" width="76.85546875" style="3171" bestFit="1" customWidth="1"/>
    <col min="5" max="5" width="15.85546875" style="3171" customWidth="1"/>
    <col min="6" max="6" width="13.5703125" style="3079" customWidth="1"/>
    <col min="7" max="7" width="13.42578125" style="3079" customWidth="1"/>
    <col min="8" max="8" width="25.140625" style="3079" bestFit="1" customWidth="1"/>
    <col min="9" max="9" width="8.42578125" style="3079" customWidth="1"/>
    <col min="10" max="10" width="9" style="3079" customWidth="1"/>
    <col min="11" max="11" width="8" style="3079" customWidth="1"/>
    <col min="12" max="12" width="6.42578125" style="3166" customWidth="1"/>
    <col min="13" max="13" width="9.7109375" style="3166" customWidth="1"/>
    <col min="14" max="14" width="11.140625" style="3079" customWidth="1"/>
    <col min="15" max="15" width="8.42578125" style="3079" customWidth="1"/>
    <col min="16" max="16" width="9.28515625" style="3079" customWidth="1"/>
    <col min="17" max="17" width="12.42578125" style="3079" customWidth="1"/>
    <col min="18" max="18" width="11.42578125" style="3079" customWidth="1"/>
    <col min="19" max="19" width="6.42578125" style="3166" customWidth="1"/>
    <col min="20" max="20" width="9.7109375" style="3079" customWidth="1"/>
    <col min="21" max="21" width="12.7109375" style="3079" customWidth="1"/>
    <col min="22" max="22" width="8.42578125" style="3079" customWidth="1"/>
    <col min="23" max="23" width="9.28515625" style="3079" customWidth="1"/>
    <col min="24" max="24" width="12.7109375" style="3079" customWidth="1"/>
    <col min="25" max="25" width="12.140625" style="3079" customWidth="1"/>
    <col min="26" max="26" width="9.85546875" style="3166" customWidth="1"/>
    <col min="27" max="27" width="13" style="3079" customWidth="1"/>
    <col min="28" max="28" width="12.140625" style="3079" bestFit="1" customWidth="1"/>
    <col min="29" max="29" width="14.28515625" style="3079" customWidth="1"/>
    <col min="30" max="30" width="13.5703125" style="3079" customWidth="1"/>
    <col min="31" max="31" width="12.28515625" style="3172" customWidth="1"/>
    <col min="32" max="32" width="17.140625" style="3175" customWidth="1"/>
    <col min="33" max="33" width="14.85546875" style="3079" bestFit="1" customWidth="1"/>
    <col min="34" max="16384" width="11.42578125" style="3079"/>
  </cols>
  <sheetData>
    <row r="1" spans="1:32" s="3057" customFormat="1" ht="13.5" customHeight="1">
      <c r="B1" s="3058" t="s">
        <v>1140</v>
      </c>
      <c r="C1" s="3059"/>
      <c r="D1" s="3059"/>
      <c r="E1" s="3059"/>
      <c r="F1" s="3059"/>
      <c r="AF1" s="2371"/>
    </row>
    <row r="2" spans="1:32" s="3057" customFormat="1" ht="8.25" customHeight="1">
      <c r="B2" s="3058" t="s">
        <v>1141</v>
      </c>
      <c r="D2" s="3060"/>
      <c r="E2" s="3061"/>
      <c r="AF2" s="2371"/>
    </row>
    <row r="3" spans="1:32" s="3057" customFormat="1" ht="13.5" customHeight="1">
      <c r="B3" s="3058" t="s">
        <v>1142</v>
      </c>
      <c r="C3" s="3062"/>
      <c r="D3" s="3062"/>
      <c r="E3" s="3063"/>
      <c r="AF3" s="2371"/>
    </row>
    <row r="4" spans="1:32" s="3057" customFormat="1" ht="8.25" customHeight="1">
      <c r="A4" s="3059"/>
      <c r="B4" s="3058" t="s">
        <v>1141</v>
      </c>
      <c r="D4" s="3064"/>
      <c r="E4" s="3064"/>
      <c r="F4" s="3064"/>
      <c r="G4" s="3064"/>
      <c r="H4" s="3064"/>
      <c r="I4" s="3064"/>
      <c r="AF4" s="2371"/>
    </row>
    <row r="5" spans="1:32" s="3057" customFormat="1" ht="13.5" customHeight="1">
      <c r="A5" s="3058" t="s">
        <v>1143</v>
      </c>
      <c r="B5" s="3065" t="s">
        <v>1144</v>
      </c>
      <c r="F5" s="3066"/>
      <c r="G5" s="3066"/>
      <c r="H5" s="3066"/>
      <c r="I5" s="3066"/>
      <c r="AF5" s="2371"/>
    </row>
    <row r="6" spans="1:32" s="3057" customFormat="1" ht="8.25" customHeight="1">
      <c r="A6" s="3067" t="s">
        <v>1145</v>
      </c>
      <c r="B6" s="3065" t="s">
        <v>1141</v>
      </c>
      <c r="C6" s="3068"/>
      <c r="D6" s="3068"/>
      <c r="AF6" s="2371"/>
    </row>
    <row r="7" spans="1:32" s="3057" customFormat="1" ht="13.5" customHeight="1">
      <c r="A7" s="3067"/>
      <c r="B7" s="3065" t="s">
        <v>1146</v>
      </c>
      <c r="C7" s="3068"/>
      <c r="D7" s="3068"/>
      <c r="AF7" s="2371"/>
    </row>
    <row r="8" spans="1:32" s="3057" customFormat="1" ht="3.75" customHeight="1">
      <c r="A8" s="3067"/>
      <c r="B8" s="3058" t="s">
        <v>1141</v>
      </c>
      <c r="C8" s="3068"/>
      <c r="D8" s="3068"/>
      <c r="AF8" s="2371"/>
    </row>
    <row r="9" spans="1:32" s="3057" customFormat="1" ht="17.25" hidden="1" customHeight="1">
      <c r="A9" s="3067"/>
      <c r="D9" s="3068"/>
      <c r="AB9" s="3069" t="s">
        <v>1147</v>
      </c>
      <c r="AC9" s="3070"/>
      <c r="AD9" s="1470"/>
      <c r="AE9" s="3073" t="str">
        <f>+'[9]Recap GENERALE'!$D$5</f>
        <v xml:space="preserve"> 10 au 12 Août 2021</v>
      </c>
    </row>
    <row r="10" spans="1:32" s="3057" customFormat="1" ht="15" hidden="1" customHeight="1">
      <c r="A10" s="3067"/>
      <c r="B10" s="3072" t="s">
        <v>1148</v>
      </c>
      <c r="C10" s="3073" t="str">
        <f>+'[9]Recap GENERALE'!$B$8</f>
        <v>Formation 22 DREN sur la gestion financière (PAEB/DLI)</v>
      </c>
      <c r="D10" s="3068"/>
      <c r="AB10" s="3069" t="s">
        <v>1150</v>
      </c>
      <c r="AC10" s="3074" t="s">
        <v>1151</v>
      </c>
      <c r="AD10" s="1470"/>
      <c r="AE10" s="3075" t="str">
        <f>+'[9]Recap GENERALE'!$D$6</f>
        <v>Ampefy (Soavinandriana)</v>
      </c>
    </row>
    <row r="11" spans="1:32" s="3057" customFormat="1" ht="8.25" hidden="1" customHeight="1" thickBot="1">
      <c r="A11" s="3067"/>
      <c r="B11" s="3076"/>
      <c r="C11" s="3068"/>
      <c r="D11" s="3068"/>
      <c r="AF11" s="2371"/>
    </row>
    <row r="12" spans="1:32" s="3057" customFormat="1" ht="30" hidden="1" customHeight="1" thickBot="1">
      <c r="A12" s="3420" t="s">
        <v>1152</v>
      </c>
      <c r="B12" s="3421"/>
      <c r="C12" s="3421"/>
      <c r="D12" s="3421"/>
      <c r="E12" s="3421"/>
      <c r="F12" s="3421"/>
      <c r="G12" s="3421"/>
      <c r="H12" s="3421"/>
      <c r="I12" s="3421"/>
      <c r="J12" s="3421"/>
      <c r="K12" s="3421"/>
      <c r="L12" s="3421"/>
      <c r="M12" s="3421"/>
      <c r="N12" s="3421"/>
      <c r="O12" s="3421"/>
      <c r="P12" s="3421"/>
      <c r="Q12" s="3421"/>
      <c r="R12" s="3421"/>
      <c r="S12" s="3421"/>
      <c r="T12" s="3421"/>
      <c r="U12" s="3421"/>
      <c r="V12" s="3421"/>
      <c r="W12" s="3421"/>
      <c r="X12" s="3421"/>
      <c r="Y12" s="3421"/>
      <c r="Z12" s="3421"/>
      <c r="AA12" s="3421"/>
      <c r="AB12" s="3421"/>
      <c r="AC12" s="3421"/>
      <c r="AD12" s="3421"/>
      <c r="AE12" s="3421"/>
      <c r="AF12" s="3421"/>
    </row>
    <row r="13" spans="1:32" s="3057" customFormat="1" ht="15" hidden="1" customHeight="1">
      <c r="A13" s="3067"/>
      <c r="B13" s="3076"/>
      <c r="C13" s="3068"/>
      <c r="D13" s="3068"/>
      <c r="AF13" s="2371"/>
    </row>
    <row r="14" spans="1:32" hidden="1">
      <c r="A14" s="3077"/>
      <c r="B14" s="3077"/>
      <c r="C14" s="3077"/>
      <c r="D14" s="3077"/>
      <c r="E14" s="3077"/>
      <c r="F14" s="3077"/>
      <c r="G14" s="3077"/>
      <c r="H14" s="3077"/>
      <c r="I14" s="3077"/>
      <c r="J14" s="3077"/>
      <c r="K14" s="3077"/>
      <c r="L14" s="3077"/>
      <c r="M14" s="3077"/>
      <c r="N14" s="3077"/>
      <c r="O14" s="3077"/>
      <c r="P14" s="3077"/>
      <c r="Q14" s="3077"/>
      <c r="R14" s="3077"/>
      <c r="S14" s="3077"/>
      <c r="T14" s="3077"/>
      <c r="U14" s="3077"/>
      <c r="V14" s="3077"/>
      <c r="W14" s="3077"/>
      <c r="X14" s="3077"/>
      <c r="Y14" s="3077"/>
      <c r="Z14" s="3077"/>
      <c r="AA14" s="3077"/>
      <c r="AB14" s="3077"/>
      <c r="AC14" s="3077"/>
      <c r="AD14" s="3077"/>
      <c r="AE14" s="3077"/>
      <c r="AF14" s="3078"/>
    </row>
    <row r="15" spans="1:32" ht="15.75" customHeight="1">
      <c r="A15" s="3422" t="s">
        <v>1153</v>
      </c>
      <c r="B15" s="3422" t="s">
        <v>1154</v>
      </c>
      <c r="C15" s="3422" t="s">
        <v>1155</v>
      </c>
      <c r="D15" s="3423" t="s">
        <v>1156</v>
      </c>
      <c r="E15" s="3423" t="s">
        <v>1157</v>
      </c>
      <c r="F15" s="3423" t="s">
        <v>1158</v>
      </c>
      <c r="G15" s="3423" t="s">
        <v>1159</v>
      </c>
      <c r="H15" s="3423" t="s">
        <v>1160</v>
      </c>
      <c r="I15" s="3423" t="s">
        <v>1161</v>
      </c>
      <c r="J15" s="3423" t="s">
        <v>1162</v>
      </c>
      <c r="K15" s="3424" t="s">
        <v>1163</v>
      </c>
      <c r="L15" s="3425" t="s">
        <v>1164</v>
      </c>
      <c r="M15" s="3425"/>
      <c r="N15" s="3425"/>
      <c r="O15" s="3425"/>
      <c r="P15" s="3425"/>
      <c r="Q15" s="3425"/>
      <c r="R15" s="3425"/>
      <c r="S15" s="3425" t="s">
        <v>1165</v>
      </c>
      <c r="T15" s="3425"/>
      <c r="U15" s="3425"/>
      <c r="V15" s="3425"/>
      <c r="W15" s="3425"/>
      <c r="X15" s="3425"/>
      <c r="Y15" s="3423" t="s">
        <v>1166</v>
      </c>
      <c r="Z15" s="3425" t="s">
        <v>1167</v>
      </c>
      <c r="AA15" s="3425"/>
      <c r="AB15" s="3425"/>
      <c r="AC15" s="3425"/>
      <c r="AD15" s="3425"/>
      <c r="AE15" s="3425"/>
      <c r="AF15" s="3427" t="s">
        <v>1168</v>
      </c>
    </row>
    <row r="16" spans="1:32" ht="15" customHeight="1">
      <c r="A16" s="3422"/>
      <c r="B16" s="3422"/>
      <c r="C16" s="3422"/>
      <c r="D16" s="3423"/>
      <c r="E16" s="3423"/>
      <c r="F16" s="3423"/>
      <c r="G16" s="3423"/>
      <c r="H16" s="3423"/>
      <c r="I16" s="3423"/>
      <c r="J16" s="3423"/>
      <c r="K16" s="3424"/>
      <c r="L16" s="3422" t="s">
        <v>596</v>
      </c>
      <c r="M16" s="3422"/>
      <c r="N16" s="3422"/>
      <c r="O16" s="3428" t="s">
        <v>597</v>
      </c>
      <c r="P16" s="3428"/>
      <c r="Q16" s="3428"/>
      <c r="R16" s="3429" t="s">
        <v>1169</v>
      </c>
      <c r="S16" s="3422" t="s">
        <v>596</v>
      </c>
      <c r="T16" s="3422"/>
      <c r="U16" s="3422"/>
      <c r="V16" s="3428" t="s">
        <v>597</v>
      </c>
      <c r="W16" s="3428"/>
      <c r="X16" s="3428"/>
      <c r="Y16" s="3423"/>
      <c r="Z16" s="3423" t="s">
        <v>1170</v>
      </c>
      <c r="AA16" s="3423" t="s">
        <v>1171</v>
      </c>
      <c r="AB16" s="3423" t="s">
        <v>1172</v>
      </c>
      <c r="AC16" s="3423" t="s">
        <v>1173</v>
      </c>
      <c r="AD16" s="3423" t="s">
        <v>1174</v>
      </c>
      <c r="AE16" s="3423" t="s">
        <v>1175</v>
      </c>
      <c r="AF16" s="3427"/>
    </row>
    <row r="17" spans="1:32" ht="14.45" customHeight="1">
      <c r="A17" s="3422"/>
      <c r="B17" s="3422"/>
      <c r="C17" s="3422"/>
      <c r="D17" s="3423"/>
      <c r="E17" s="3423"/>
      <c r="F17" s="3423"/>
      <c r="G17" s="3423"/>
      <c r="H17" s="3423"/>
      <c r="I17" s="3423"/>
      <c r="J17" s="3423"/>
      <c r="K17" s="3424"/>
      <c r="L17" s="3422"/>
      <c r="M17" s="3422"/>
      <c r="N17" s="3422"/>
      <c r="O17" s="3428"/>
      <c r="P17" s="3428"/>
      <c r="Q17" s="3428"/>
      <c r="R17" s="3429"/>
      <c r="S17" s="3422"/>
      <c r="T17" s="3422"/>
      <c r="U17" s="3422"/>
      <c r="V17" s="3428"/>
      <c r="W17" s="3428"/>
      <c r="X17" s="3428"/>
      <c r="Y17" s="3423"/>
      <c r="Z17" s="3423"/>
      <c r="AA17" s="3423"/>
      <c r="AB17" s="3423"/>
      <c r="AC17" s="3423"/>
      <c r="AD17" s="3423"/>
      <c r="AE17" s="3423"/>
      <c r="AF17" s="3427"/>
    </row>
    <row r="18" spans="1:32" ht="81.75" customHeight="1">
      <c r="A18" s="3422"/>
      <c r="B18" s="3422"/>
      <c r="C18" s="3422"/>
      <c r="D18" s="3423"/>
      <c r="E18" s="3423"/>
      <c r="F18" s="3423"/>
      <c r="G18" s="3423"/>
      <c r="H18" s="3423"/>
      <c r="I18" s="3423"/>
      <c r="J18" s="3423"/>
      <c r="K18" s="3424"/>
      <c r="L18" s="3080" t="s">
        <v>1176</v>
      </c>
      <c r="M18" s="3081" t="s">
        <v>1177</v>
      </c>
      <c r="N18" s="3080" t="s">
        <v>1178</v>
      </c>
      <c r="O18" s="3080" t="s">
        <v>1179</v>
      </c>
      <c r="P18" s="3081" t="s">
        <v>1177</v>
      </c>
      <c r="Q18" s="3080" t="s">
        <v>1180</v>
      </c>
      <c r="R18" s="3429"/>
      <c r="S18" s="3080" t="s">
        <v>1176</v>
      </c>
      <c r="T18" s="3081" t="s">
        <v>1177</v>
      </c>
      <c r="U18" s="3080" t="s">
        <v>1181</v>
      </c>
      <c r="V18" s="3080" t="s">
        <v>1182</v>
      </c>
      <c r="W18" s="3081" t="s">
        <v>1183</v>
      </c>
      <c r="X18" s="3080" t="s">
        <v>1184</v>
      </c>
      <c r="Y18" s="3423"/>
      <c r="Z18" s="3423"/>
      <c r="AA18" s="3423"/>
      <c r="AB18" s="3423"/>
      <c r="AC18" s="3423"/>
      <c r="AD18" s="3423"/>
      <c r="AE18" s="3423"/>
      <c r="AF18" s="3427"/>
    </row>
    <row r="19" spans="1:32" s="3095" customFormat="1" ht="30" customHeight="1">
      <c r="A19" s="3082">
        <v>1</v>
      </c>
      <c r="B19" s="3083" t="s">
        <v>1199</v>
      </c>
      <c r="C19" s="3083" t="s">
        <v>1196</v>
      </c>
      <c r="D19" s="3083" t="s">
        <v>1198</v>
      </c>
      <c r="E19" s="3084" t="s">
        <v>1188</v>
      </c>
      <c r="F19" s="3084" t="s">
        <v>1189</v>
      </c>
      <c r="G19" s="3080" t="s">
        <v>1190</v>
      </c>
      <c r="H19" s="3084" t="s">
        <v>1187</v>
      </c>
      <c r="I19" s="3085"/>
      <c r="J19" s="3085"/>
      <c r="K19" s="3081">
        <v>3</v>
      </c>
      <c r="L19" s="3080">
        <v>0</v>
      </c>
      <c r="M19" s="3086">
        <v>15000</v>
      </c>
      <c r="N19" s="3087">
        <f>M19*L19</f>
        <v>0</v>
      </c>
      <c r="O19" s="3080">
        <v>0</v>
      </c>
      <c r="P19" s="3086">
        <v>20000</v>
      </c>
      <c r="Q19" s="3088">
        <f t="shared" ref="Q19:Q102" si="0">P19*O19</f>
        <v>0</v>
      </c>
      <c r="R19" s="3089">
        <f t="shared" ref="R19:R102" si="1">N19+Q19</f>
        <v>0</v>
      </c>
      <c r="S19" s="3080">
        <f>+K19</f>
        <v>3</v>
      </c>
      <c r="T19" s="3086">
        <v>15000</v>
      </c>
      <c r="U19" s="3088">
        <f>T19*S19</f>
        <v>45000</v>
      </c>
      <c r="V19" s="3080">
        <v>0</v>
      </c>
      <c r="W19" s="3086">
        <v>20000</v>
      </c>
      <c r="X19" s="3088">
        <f t="shared" ref="X19:X102" si="2">V19*W19</f>
        <v>0</v>
      </c>
      <c r="Y19" s="3089">
        <f t="shared" ref="Y19:Y102" si="3">U19+X19</f>
        <v>45000</v>
      </c>
      <c r="Z19" s="3090">
        <v>8</v>
      </c>
      <c r="AA19" s="3091">
        <v>0</v>
      </c>
      <c r="AB19" s="3087">
        <f>Z19*AA19</f>
        <v>0</v>
      </c>
      <c r="AC19" s="3092"/>
      <c r="AD19" s="3092"/>
      <c r="AE19" s="3093">
        <f>AB19</f>
        <v>0</v>
      </c>
      <c r="AF19" s="3094">
        <f>+Y19+AE19+R19</f>
        <v>45000</v>
      </c>
    </row>
    <row r="20" spans="1:32" s="3095" customFormat="1" ht="30" customHeight="1">
      <c r="A20" s="3082">
        <v>2</v>
      </c>
      <c r="B20" s="3083" t="s">
        <v>1724</v>
      </c>
      <c r="C20" s="3083" t="s">
        <v>1194</v>
      </c>
      <c r="D20" s="3083" t="s">
        <v>1225</v>
      </c>
      <c r="E20" s="3084" t="s">
        <v>1188</v>
      </c>
      <c r="F20" s="3084" t="s">
        <v>1189</v>
      </c>
      <c r="G20" s="3080" t="s">
        <v>1190</v>
      </c>
      <c r="H20" s="3084" t="s">
        <v>1187</v>
      </c>
      <c r="I20" s="3085"/>
      <c r="J20" s="3085"/>
      <c r="K20" s="3081">
        <v>3</v>
      </c>
      <c r="L20" s="3080"/>
      <c r="M20" s="3086">
        <v>15000</v>
      </c>
      <c r="N20" s="3087">
        <f t="shared" ref="N20:N88" si="4">M20*L20</f>
        <v>0</v>
      </c>
      <c r="O20" s="3080">
        <v>0</v>
      </c>
      <c r="P20" s="3086">
        <v>20000</v>
      </c>
      <c r="Q20" s="3088">
        <f t="shared" si="0"/>
        <v>0</v>
      </c>
      <c r="R20" s="3089">
        <f t="shared" si="1"/>
        <v>0</v>
      </c>
      <c r="S20" s="3080">
        <f t="shared" ref="S20:S36" si="5">+K20</f>
        <v>3</v>
      </c>
      <c r="T20" s="3086">
        <v>15000</v>
      </c>
      <c r="U20" s="3088">
        <f t="shared" ref="U20:U83" si="6">T20*S20</f>
        <v>45000</v>
      </c>
      <c r="V20" s="3080">
        <v>0</v>
      </c>
      <c r="W20" s="3086">
        <v>20000</v>
      </c>
      <c r="X20" s="3088">
        <f t="shared" si="2"/>
        <v>0</v>
      </c>
      <c r="Y20" s="3089">
        <f t="shared" si="3"/>
        <v>45000</v>
      </c>
      <c r="Z20" s="3090">
        <v>10</v>
      </c>
      <c r="AA20" s="3091">
        <v>150</v>
      </c>
      <c r="AB20" s="3087">
        <f t="shared" ref="AB20:AB88" si="7">Z20*AA20</f>
        <v>1500</v>
      </c>
      <c r="AC20" s="3092"/>
      <c r="AD20" s="3092"/>
      <c r="AE20" s="3093">
        <f t="shared" ref="AE20:AE83" si="8">AB20</f>
        <v>1500</v>
      </c>
      <c r="AF20" s="3094">
        <f t="shared" ref="AF20:AF83" si="9">+Y20+AE20+R20</f>
        <v>46500</v>
      </c>
    </row>
    <row r="21" spans="1:32" s="3095" customFormat="1" ht="30" customHeight="1">
      <c r="A21" s="3082">
        <v>3</v>
      </c>
      <c r="B21" s="3083" t="s">
        <v>1725</v>
      </c>
      <c r="C21" s="3083" t="s">
        <v>1192</v>
      </c>
      <c r="D21" s="3083" t="s">
        <v>1232</v>
      </c>
      <c r="E21" s="3084" t="s">
        <v>1188</v>
      </c>
      <c r="F21" s="3084" t="s">
        <v>1189</v>
      </c>
      <c r="G21" s="3080" t="s">
        <v>1190</v>
      </c>
      <c r="H21" s="3084" t="s">
        <v>1187</v>
      </c>
      <c r="I21" s="3085"/>
      <c r="J21" s="3085"/>
      <c r="K21" s="3081">
        <v>3</v>
      </c>
      <c r="L21" s="3080"/>
      <c r="M21" s="3086">
        <v>15000</v>
      </c>
      <c r="N21" s="3087">
        <f t="shared" si="4"/>
        <v>0</v>
      </c>
      <c r="O21" s="3080">
        <v>0</v>
      </c>
      <c r="P21" s="3086">
        <v>20000</v>
      </c>
      <c r="Q21" s="3088">
        <f t="shared" si="0"/>
        <v>0</v>
      </c>
      <c r="R21" s="3089">
        <f t="shared" si="1"/>
        <v>0</v>
      </c>
      <c r="S21" s="3080">
        <f t="shared" si="5"/>
        <v>3</v>
      </c>
      <c r="T21" s="3086">
        <v>15000</v>
      </c>
      <c r="U21" s="3088">
        <f t="shared" si="6"/>
        <v>45000</v>
      </c>
      <c r="V21" s="3080">
        <v>0</v>
      </c>
      <c r="W21" s="3086">
        <v>20000</v>
      </c>
      <c r="X21" s="3088">
        <f t="shared" si="2"/>
        <v>0</v>
      </c>
      <c r="Y21" s="3089">
        <f t="shared" si="3"/>
        <v>45000</v>
      </c>
      <c r="Z21" s="3090">
        <v>20</v>
      </c>
      <c r="AA21" s="3091">
        <v>150</v>
      </c>
      <c r="AB21" s="3087">
        <f t="shared" si="7"/>
        <v>3000</v>
      </c>
      <c r="AC21" s="3092"/>
      <c r="AD21" s="3092"/>
      <c r="AE21" s="3093">
        <f t="shared" si="8"/>
        <v>3000</v>
      </c>
      <c r="AF21" s="3094">
        <f t="shared" si="9"/>
        <v>48000</v>
      </c>
    </row>
    <row r="22" spans="1:32" s="3095" customFormat="1" ht="30" customHeight="1">
      <c r="A22" s="3082">
        <v>4</v>
      </c>
      <c r="B22" s="3083" t="s">
        <v>1237</v>
      </c>
      <c r="C22" s="3083" t="s">
        <v>1186</v>
      </c>
      <c r="D22" s="3083" t="s">
        <v>1236</v>
      </c>
      <c r="E22" s="3084" t="s">
        <v>1188</v>
      </c>
      <c r="F22" s="3084" t="s">
        <v>1189</v>
      </c>
      <c r="G22" s="3080" t="s">
        <v>1190</v>
      </c>
      <c r="H22" s="3084" t="s">
        <v>1187</v>
      </c>
      <c r="I22" s="3085"/>
      <c r="J22" s="3085"/>
      <c r="K22" s="3081">
        <v>3</v>
      </c>
      <c r="L22" s="3080"/>
      <c r="M22" s="3086">
        <v>15000</v>
      </c>
      <c r="N22" s="3087">
        <f t="shared" si="4"/>
        <v>0</v>
      </c>
      <c r="O22" s="3080">
        <v>0</v>
      </c>
      <c r="P22" s="3086">
        <v>20000</v>
      </c>
      <c r="Q22" s="3088">
        <f t="shared" si="0"/>
        <v>0</v>
      </c>
      <c r="R22" s="3089">
        <f t="shared" si="1"/>
        <v>0</v>
      </c>
      <c r="S22" s="3080">
        <f t="shared" si="5"/>
        <v>3</v>
      </c>
      <c r="T22" s="3086">
        <v>15000</v>
      </c>
      <c r="U22" s="3088">
        <f t="shared" si="6"/>
        <v>45000</v>
      </c>
      <c r="V22" s="3080">
        <v>0</v>
      </c>
      <c r="W22" s="3086">
        <v>20000</v>
      </c>
      <c r="X22" s="3088">
        <f t="shared" si="2"/>
        <v>0</v>
      </c>
      <c r="Y22" s="3089">
        <f t="shared" si="3"/>
        <v>45000</v>
      </c>
      <c r="Z22" s="3090">
        <v>6</v>
      </c>
      <c r="AA22" s="3091">
        <v>0</v>
      </c>
      <c r="AB22" s="3087">
        <f t="shared" si="7"/>
        <v>0</v>
      </c>
      <c r="AC22" s="3092"/>
      <c r="AD22" s="3092"/>
      <c r="AE22" s="3093">
        <f t="shared" si="8"/>
        <v>0</v>
      </c>
      <c r="AF22" s="3094">
        <f t="shared" si="9"/>
        <v>45000</v>
      </c>
    </row>
    <row r="23" spans="1:32" s="3095" customFormat="1" ht="30" customHeight="1">
      <c r="A23" s="3082">
        <v>5</v>
      </c>
      <c r="B23" s="3083" t="s">
        <v>1278</v>
      </c>
      <c r="C23" s="3083" t="s">
        <v>1726</v>
      </c>
      <c r="D23" s="3083" t="s">
        <v>1280</v>
      </c>
      <c r="E23" s="3084" t="s">
        <v>1188</v>
      </c>
      <c r="F23" s="3084" t="s">
        <v>1189</v>
      </c>
      <c r="G23" s="3080" t="s">
        <v>1240</v>
      </c>
      <c r="H23" s="3084" t="s">
        <v>1187</v>
      </c>
      <c r="I23" s="3085"/>
      <c r="J23" s="3085"/>
      <c r="K23" s="3081">
        <v>3</v>
      </c>
      <c r="L23" s="3080"/>
      <c r="M23" s="3086">
        <v>36000</v>
      </c>
      <c r="N23" s="3087">
        <f t="shared" si="4"/>
        <v>0</v>
      </c>
      <c r="O23" s="3080">
        <v>0</v>
      </c>
      <c r="P23" s="3086">
        <v>20000</v>
      </c>
      <c r="Q23" s="3088">
        <f t="shared" si="0"/>
        <v>0</v>
      </c>
      <c r="R23" s="3089">
        <f t="shared" si="1"/>
        <v>0</v>
      </c>
      <c r="S23" s="3080">
        <f t="shared" si="5"/>
        <v>3</v>
      </c>
      <c r="T23" s="3086">
        <v>36000</v>
      </c>
      <c r="U23" s="3088">
        <f t="shared" si="6"/>
        <v>108000</v>
      </c>
      <c r="V23" s="3080">
        <v>0</v>
      </c>
      <c r="W23" s="3086">
        <v>20000</v>
      </c>
      <c r="X23" s="3088">
        <f t="shared" si="2"/>
        <v>0</v>
      </c>
      <c r="Y23" s="3089">
        <f t="shared" si="3"/>
        <v>108000</v>
      </c>
      <c r="Z23" s="3090">
        <v>44</v>
      </c>
      <c r="AA23" s="3091">
        <v>150</v>
      </c>
      <c r="AB23" s="3087">
        <f t="shared" si="7"/>
        <v>6600</v>
      </c>
      <c r="AC23" s="3092"/>
      <c r="AD23" s="3092"/>
      <c r="AE23" s="3093">
        <f t="shared" si="8"/>
        <v>6600</v>
      </c>
      <c r="AF23" s="3094">
        <f t="shared" si="9"/>
        <v>114600</v>
      </c>
    </row>
    <row r="24" spans="1:32" s="3095" customFormat="1" ht="30" customHeight="1">
      <c r="A24" s="3082"/>
      <c r="B24" s="3083" t="s">
        <v>1727</v>
      </c>
      <c r="C24" s="3083" t="s">
        <v>1403</v>
      </c>
      <c r="D24" s="3083" t="s">
        <v>1280</v>
      </c>
      <c r="E24" s="3084" t="s">
        <v>1188</v>
      </c>
      <c r="F24" s="3084" t="s">
        <v>1189</v>
      </c>
      <c r="G24" s="3080" t="s">
        <v>1240</v>
      </c>
      <c r="H24" s="3084" t="s">
        <v>1187</v>
      </c>
      <c r="I24" s="3085"/>
      <c r="J24" s="3085"/>
      <c r="K24" s="3081">
        <v>3</v>
      </c>
      <c r="L24" s="3080"/>
      <c r="M24" s="3086">
        <v>36000</v>
      </c>
      <c r="N24" s="3087">
        <f t="shared" si="4"/>
        <v>0</v>
      </c>
      <c r="O24" s="3080">
        <v>0</v>
      </c>
      <c r="P24" s="3086">
        <v>20000</v>
      </c>
      <c r="Q24" s="3088">
        <f t="shared" si="0"/>
        <v>0</v>
      </c>
      <c r="R24" s="3089">
        <f t="shared" si="1"/>
        <v>0</v>
      </c>
      <c r="S24" s="3080">
        <f t="shared" si="5"/>
        <v>3</v>
      </c>
      <c r="T24" s="3086">
        <v>36000</v>
      </c>
      <c r="U24" s="3088">
        <f t="shared" si="6"/>
        <v>108000</v>
      </c>
      <c r="V24" s="3080">
        <v>0</v>
      </c>
      <c r="W24" s="3086">
        <v>20000</v>
      </c>
      <c r="X24" s="3088">
        <f t="shared" si="2"/>
        <v>0</v>
      </c>
      <c r="Y24" s="3089">
        <f t="shared" si="3"/>
        <v>108000</v>
      </c>
      <c r="Z24" s="3090">
        <v>44</v>
      </c>
      <c r="AA24" s="3091">
        <v>150</v>
      </c>
      <c r="AB24" s="3087">
        <f t="shared" si="7"/>
        <v>6600</v>
      </c>
      <c r="AC24" s="3092"/>
      <c r="AD24" s="3092"/>
      <c r="AE24" s="3093">
        <f t="shared" si="8"/>
        <v>6600</v>
      </c>
      <c r="AF24" s="3094">
        <f t="shared" si="9"/>
        <v>114600</v>
      </c>
    </row>
    <row r="25" spans="1:32" s="3095" customFormat="1" ht="30" customHeight="1">
      <c r="A25" s="3082">
        <v>6</v>
      </c>
      <c r="B25" s="3083" t="s">
        <v>1284</v>
      </c>
      <c r="C25" s="3083" t="s">
        <v>1728</v>
      </c>
      <c r="D25" s="3083" t="s">
        <v>1283</v>
      </c>
      <c r="E25" s="3084" t="s">
        <v>1188</v>
      </c>
      <c r="F25" s="3084" t="s">
        <v>1189</v>
      </c>
      <c r="G25" s="3080" t="s">
        <v>1240</v>
      </c>
      <c r="H25" s="3084" t="s">
        <v>1187</v>
      </c>
      <c r="I25" s="3085"/>
      <c r="J25" s="3085"/>
      <c r="K25" s="3081">
        <v>3</v>
      </c>
      <c r="L25" s="3080"/>
      <c r="M25" s="3086">
        <v>36000</v>
      </c>
      <c r="N25" s="3087">
        <f t="shared" si="4"/>
        <v>0</v>
      </c>
      <c r="O25" s="3080">
        <v>0</v>
      </c>
      <c r="P25" s="3086">
        <v>20000</v>
      </c>
      <c r="Q25" s="3088">
        <f t="shared" si="0"/>
        <v>0</v>
      </c>
      <c r="R25" s="3089">
        <f t="shared" si="1"/>
        <v>0</v>
      </c>
      <c r="S25" s="3080">
        <f t="shared" si="5"/>
        <v>3</v>
      </c>
      <c r="T25" s="3086">
        <v>36000</v>
      </c>
      <c r="U25" s="3088">
        <f t="shared" si="6"/>
        <v>108000</v>
      </c>
      <c r="V25" s="3080">
        <v>0</v>
      </c>
      <c r="W25" s="3086">
        <v>20000</v>
      </c>
      <c r="X25" s="3088">
        <f t="shared" si="2"/>
        <v>0</v>
      </c>
      <c r="Y25" s="3089">
        <f t="shared" si="3"/>
        <v>108000</v>
      </c>
      <c r="Z25" s="3090">
        <v>40</v>
      </c>
      <c r="AA25" s="3091">
        <v>150</v>
      </c>
      <c r="AB25" s="3087">
        <f t="shared" si="7"/>
        <v>6000</v>
      </c>
      <c r="AC25" s="3092"/>
      <c r="AD25" s="3092"/>
      <c r="AE25" s="3093">
        <f t="shared" si="8"/>
        <v>6000</v>
      </c>
      <c r="AF25" s="3094">
        <f t="shared" si="9"/>
        <v>114000</v>
      </c>
    </row>
    <row r="26" spans="1:32" s="3095" customFormat="1" ht="30" customHeight="1">
      <c r="A26" s="3082"/>
      <c r="B26" s="3083" t="s">
        <v>1729</v>
      </c>
      <c r="C26" s="3083" t="s">
        <v>1403</v>
      </c>
      <c r="D26" s="3083" t="s">
        <v>1283</v>
      </c>
      <c r="E26" s="3084" t="s">
        <v>1188</v>
      </c>
      <c r="F26" s="3084" t="s">
        <v>1189</v>
      </c>
      <c r="G26" s="3080" t="s">
        <v>1240</v>
      </c>
      <c r="H26" s="3084" t="s">
        <v>1187</v>
      </c>
      <c r="I26" s="3085"/>
      <c r="J26" s="3085"/>
      <c r="K26" s="3081">
        <v>3</v>
      </c>
      <c r="L26" s="3080"/>
      <c r="M26" s="3086">
        <v>36000</v>
      </c>
      <c r="N26" s="3087">
        <f t="shared" si="4"/>
        <v>0</v>
      </c>
      <c r="O26" s="3080">
        <v>0</v>
      </c>
      <c r="P26" s="3086">
        <v>20000</v>
      </c>
      <c r="Q26" s="3088">
        <f t="shared" si="0"/>
        <v>0</v>
      </c>
      <c r="R26" s="3089">
        <f t="shared" si="1"/>
        <v>0</v>
      </c>
      <c r="S26" s="3080">
        <f t="shared" si="5"/>
        <v>3</v>
      </c>
      <c r="T26" s="3086">
        <v>36000</v>
      </c>
      <c r="U26" s="3088">
        <f t="shared" si="6"/>
        <v>108000</v>
      </c>
      <c r="V26" s="3080">
        <v>0</v>
      </c>
      <c r="W26" s="3086">
        <v>20000</v>
      </c>
      <c r="X26" s="3088">
        <f t="shared" si="2"/>
        <v>0</v>
      </c>
      <c r="Y26" s="3089">
        <f t="shared" si="3"/>
        <v>108000</v>
      </c>
      <c r="Z26" s="3090">
        <v>40</v>
      </c>
      <c r="AA26" s="3091">
        <v>150</v>
      </c>
      <c r="AB26" s="3087">
        <f t="shared" si="7"/>
        <v>6000</v>
      </c>
      <c r="AC26" s="3092"/>
      <c r="AD26" s="3092"/>
      <c r="AE26" s="3093">
        <f t="shared" si="8"/>
        <v>6000</v>
      </c>
      <c r="AF26" s="3094">
        <f t="shared" si="9"/>
        <v>114000</v>
      </c>
    </row>
    <row r="27" spans="1:32" s="3095" customFormat="1" ht="30" customHeight="1">
      <c r="A27" s="3082">
        <v>7</v>
      </c>
      <c r="B27" s="3083" t="s">
        <v>1288</v>
      </c>
      <c r="C27" s="3083" t="s">
        <v>1728</v>
      </c>
      <c r="D27" s="3083" t="s">
        <v>1290</v>
      </c>
      <c r="E27" s="3084" t="s">
        <v>1188</v>
      </c>
      <c r="F27" s="3084" t="s">
        <v>1189</v>
      </c>
      <c r="G27" s="3080" t="s">
        <v>1240</v>
      </c>
      <c r="H27" s="3084" t="s">
        <v>1187</v>
      </c>
      <c r="I27" s="3085"/>
      <c r="J27" s="3085"/>
      <c r="K27" s="3081">
        <v>3</v>
      </c>
      <c r="L27" s="3080"/>
      <c r="M27" s="3086">
        <v>36000</v>
      </c>
      <c r="N27" s="3087">
        <f t="shared" si="4"/>
        <v>0</v>
      </c>
      <c r="O27" s="3080">
        <v>0</v>
      </c>
      <c r="P27" s="3086">
        <v>20000</v>
      </c>
      <c r="Q27" s="3088">
        <f t="shared" si="0"/>
        <v>0</v>
      </c>
      <c r="R27" s="3089">
        <f t="shared" si="1"/>
        <v>0</v>
      </c>
      <c r="S27" s="3080">
        <f t="shared" si="5"/>
        <v>3</v>
      </c>
      <c r="T27" s="3086">
        <v>36000</v>
      </c>
      <c r="U27" s="3088">
        <f t="shared" si="6"/>
        <v>108000</v>
      </c>
      <c r="V27" s="3080">
        <v>0</v>
      </c>
      <c r="W27" s="3086">
        <v>20000</v>
      </c>
      <c r="X27" s="3088">
        <f t="shared" si="2"/>
        <v>0</v>
      </c>
      <c r="Y27" s="3089">
        <f t="shared" si="3"/>
        <v>108000</v>
      </c>
      <c r="Z27" s="3090">
        <v>62</v>
      </c>
      <c r="AA27" s="3091">
        <v>150</v>
      </c>
      <c r="AB27" s="3087">
        <f t="shared" si="7"/>
        <v>9300</v>
      </c>
      <c r="AC27" s="3092"/>
      <c r="AD27" s="3092"/>
      <c r="AE27" s="3093">
        <f t="shared" si="8"/>
        <v>9300</v>
      </c>
      <c r="AF27" s="3094">
        <f t="shared" si="9"/>
        <v>117300</v>
      </c>
    </row>
    <row r="28" spans="1:32" s="3095" customFormat="1" ht="30" customHeight="1">
      <c r="A28" s="3082">
        <v>8</v>
      </c>
      <c r="B28" s="3083" t="s">
        <v>1730</v>
      </c>
      <c r="C28" s="3083" t="s">
        <v>1728</v>
      </c>
      <c r="D28" s="3083" t="s">
        <v>1731</v>
      </c>
      <c r="E28" s="3084" t="s">
        <v>1188</v>
      </c>
      <c r="F28" s="3084" t="s">
        <v>1189</v>
      </c>
      <c r="G28" s="3080" t="s">
        <v>1240</v>
      </c>
      <c r="H28" s="3084" t="s">
        <v>1187</v>
      </c>
      <c r="I28" s="3085"/>
      <c r="J28" s="3085"/>
      <c r="K28" s="3081">
        <v>3</v>
      </c>
      <c r="L28" s="3080"/>
      <c r="M28" s="3086">
        <v>36000</v>
      </c>
      <c r="N28" s="3087">
        <f t="shared" si="4"/>
        <v>0</v>
      </c>
      <c r="O28" s="3080">
        <v>0</v>
      </c>
      <c r="P28" s="3086">
        <v>20000</v>
      </c>
      <c r="Q28" s="3088">
        <f t="shared" si="0"/>
        <v>0</v>
      </c>
      <c r="R28" s="3089">
        <f t="shared" si="1"/>
        <v>0</v>
      </c>
      <c r="S28" s="3080">
        <f t="shared" si="5"/>
        <v>3</v>
      </c>
      <c r="T28" s="3086">
        <v>36000</v>
      </c>
      <c r="U28" s="3088">
        <f t="shared" si="6"/>
        <v>108000</v>
      </c>
      <c r="V28" s="3080">
        <v>0</v>
      </c>
      <c r="W28" s="3086">
        <v>20000</v>
      </c>
      <c r="X28" s="3088">
        <f t="shared" si="2"/>
        <v>0</v>
      </c>
      <c r="Y28" s="3089">
        <f t="shared" si="3"/>
        <v>108000</v>
      </c>
      <c r="Z28" s="3090">
        <v>92</v>
      </c>
      <c r="AA28" s="3091">
        <v>150</v>
      </c>
      <c r="AB28" s="3087">
        <f t="shared" si="7"/>
        <v>13800</v>
      </c>
      <c r="AC28" s="3092"/>
      <c r="AD28" s="3092"/>
      <c r="AE28" s="3093">
        <f t="shared" si="8"/>
        <v>13800</v>
      </c>
      <c r="AF28" s="3094">
        <f t="shared" si="9"/>
        <v>121800</v>
      </c>
    </row>
    <row r="29" spans="1:32" s="3095" customFormat="1" ht="30" customHeight="1">
      <c r="A29" s="3082"/>
      <c r="B29" s="3083" t="s">
        <v>1732</v>
      </c>
      <c r="C29" s="3083" t="s">
        <v>1604</v>
      </c>
      <c r="D29" s="3083" t="s">
        <v>1731</v>
      </c>
      <c r="E29" s="3084" t="s">
        <v>1188</v>
      </c>
      <c r="F29" s="3084" t="s">
        <v>1189</v>
      </c>
      <c r="G29" s="3080" t="s">
        <v>1240</v>
      </c>
      <c r="H29" s="3084" t="s">
        <v>1187</v>
      </c>
      <c r="I29" s="3085"/>
      <c r="J29" s="3085"/>
      <c r="K29" s="3081">
        <v>3</v>
      </c>
      <c r="L29" s="3080"/>
      <c r="M29" s="3086">
        <v>36000</v>
      </c>
      <c r="N29" s="3087">
        <f t="shared" si="4"/>
        <v>0</v>
      </c>
      <c r="O29" s="3080">
        <v>0</v>
      </c>
      <c r="P29" s="3086">
        <v>20000</v>
      </c>
      <c r="Q29" s="3088">
        <f t="shared" si="0"/>
        <v>0</v>
      </c>
      <c r="R29" s="3089">
        <f t="shared" si="1"/>
        <v>0</v>
      </c>
      <c r="S29" s="3080">
        <f t="shared" si="5"/>
        <v>3</v>
      </c>
      <c r="T29" s="3086">
        <v>36000</v>
      </c>
      <c r="U29" s="3088">
        <f t="shared" si="6"/>
        <v>108000</v>
      </c>
      <c r="V29" s="3080">
        <v>0</v>
      </c>
      <c r="W29" s="3086">
        <v>20000</v>
      </c>
      <c r="X29" s="3088">
        <f t="shared" si="2"/>
        <v>0</v>
      </c>
      <c r="Y29" s="3089">
        <f t="shared" si="3"/>
        <v>108000</v>
      </c>
      <c r="Z29" s="3090">
        <v>92</v>
      </c>
      <c r="AA29" s="3091">
        <v>150</v>
      </c>
      <c r="AB29" s="3087">
        <f t="shared" si="7"/>
        <v>13800</v>
      </c>
      <c r="AC29" s="3092"/>
      <c r="AD29" s="3092"/>
      <c r="AE29" s="3093">
        <f t="shared" si="8"/>
        <v>13800</v>
      </c>
      <c r="AF29" s="3094">
        <f t="shared" si="9"/>
        <v>121800</v>
      </c>
    </row>
    <row r="30" spans="1:32" s="3095" customFormat="1" ht="30" customHeight="1">
      <c r="A30" s="3082">
        <v>9</v>
      </c>
      <c r="B30" s="3083" t="s">
        <v>1733</v>
      </c>
      <c r="C30" s="3083" t="s">
        <v>1728</v>
      </c>
      <c r="D30" s="3083" t="s">
        <v>1734</v>
      </c>
      <c r="E30" s="3084" t="s">
        <v>1188</v>
      </c>
      <c r="F30" s="3084" t="s">
        <v>1189</v>
      </c>
      <c r="G30" s="3080" t="s">
        <v>1240</v>
      </c>
      <c r="H30" s="3084" t="s">
        <v>1187</v>
      </c>
      <c r="I30" s="3085"/>
      <c r="J30" s="3085"/>
      <c r="K30" s="3081">
        <v>3</v>
      </c>
      <c r="L30" s="3080"/>
      <c r="M30" s="3086">
        <v>36000</v>
      </c>
      <c r="N30" s="3087">
        <f t="shared" si="4"/>
        <v>0</v>
      </c>
      <c r="O30" s="3080">
        <v>0</v>
      </c>
      <c r="P30" s="3086">
        <v>20000</v>
      </c>
      <c r="Q30" s="3088">
        <f t="shared" si="0"/>
        <v>0</v>
      </c>
      <c r="R30" s="3089">
        <f t="shared" si="1"/>
        <v>0</v>
      </c>
      <c r="S30" s="3080">
        <f t="shared" si="5"/>
        <v>3</v>
      </c>
      <c r="T30" s="3086">
        <v>36000</v>
      </c>
      <c r="U30" s="3088">
        <f t="shared" si="6"/>
        <v>108000</v>
      </c>
      <c r="V30" s="3080">
        <v>0</v>
      </c>
      <c r="W30" s="3086">
        <v>20000</v>
      </c>
      <c r="X30" s="3088">
        <f t="shared" si="2"/>
        <v>0</v>
      </c>
      <c r="Y30" s="3089">
        <f t="shared" si="3"/>
        <v>108000</v>
      </c>
      <c r="Z30" s="3090">
        <v>74</v>
      </c>
      <c r="AA30" s="3091">
        <v>150</v>
      </c>
      <c r="AB30" s="3087">
        <f t="shared" si="7"/>
        <v>11100</v>
      </c>
      <c r="AC30" s="3092"/>
      <c r="AD30" s="3092"/>
      <c r="AE30" s="3093">
        <f t="shared" si="8"/>
        <v>11100</v>
      </c>
      <c r="AF30" s="3094">
        <f t="shared" si="9"/>
        <v>119100</v>
      </c>
    </row>
    <row r="31" spans="1:32" s="3095" customFormat="1" ht="30" customHeight="1">
      <c r="A31" s="3082">
        <v>10</v>
      </c>
      <c r="B31" s="3083" t="s">
        <v>1735</v>
      </c>
      <c r="C31" s="3083" t="s">
        <v>1196</v>
      </c>
      <c r="D31" s="3083" t="s">
        <v>1296</v>
      </c>
      <c r="E31" s="3084" t="s">
        <v>1188</v>
      </c>
      <c r="F31" s="3084" t="s">
        <v>1189</v>
      </c>
      <c r="G31" s="3080" t="s">
        <v>1190</v>
      </c>
      <c r="H31" s="3084" t="s">
        <v>1187</v>
      </c>
      <c r="I31" s="3085"/>
      <c r="J31" s="3085"/>
      <c r="K31" s="3081">
        <v>3</v>
      </c>
      <c r="L31" s="3080"/>
      <c r="M31" s="3086">
        <v>15000</v>
      </c>
      <c r="N31" s="3087">
        <f t="shared" si="4"/>
        <v>0</v>
      </c>
      <c r="O31" s="3080">
        <v>0</v>
      </c>
      <c r="P31" s="3086">
        <v>20000</v>
      </c>
      <c r="Q31" s="3088">
        <f t="shared" si="0"/>
        <v>0</v>
      </c>
      <c r="R31" s="3089">
        <f t="shared" si="1"/>
        <v>0</v>
      </c>
      <c r="S31" s="3080">
        <f t="shared" si="5"/>
        <v>3</v>
      </c>
      <c r="T31" s="3086">
        <v>15000</v>
      </c>
      <c r="U31" s="3088">
        <f t="shared" si="6"/>
        <v>45000</v>
      </c>
      <c r="V31" s="3080">
        <v>0</v>
      </c>
      <c r="W31" s="3086">
        <v>20000</v>
      </c>
      <c r="X31" s="3088">
        <f t="shared" si="2"/>
        <v>0</v>
      </c>
      <c r="Y31" s="3089">
        <f t="shared" si="3"/>
        <v>45000</v>
      </c>
      <c r="Z31" s="3090">
        <v>22</v>
      </c>
      <c r="AA31" s="3091">
        <v>150</v>
      </c>
      <c r="AB31" s="3087">
        <f t="shared" si="7"/>
        <v>3300</v>
      </c>
      <c r="AC31" s="3092"/>
      <c r="AD31" s="3092"/>
      <c r="AE31" s="3093">
        <f t="shared" si="8"/>
        <v>3300</v>
      </c>
      <c r="AF31" s="3094">
        <f t="shared" si="9"/>
        <v>48300</v>
      </c>
    </row>
    <row r="32" spans="1:32" s="3095" customFormat="1" ht="30" customHeight="1">
      <c r="A32" s="3082"/>
      <c r="B32" s="3083" t="s">
        <v>1736</v>
      </c>
      <c r="C32" s="3083" t="s">
        <v>1434</v>
      </c>
      <c r="D32" s="3083" t="s">
        <v>1305</v>
      </c>
      <c r="E32" s="3084" t="s">
        <v>1188</v>
      </c>
      <c r="F32" s="3084" t="s">
        <v>1189</v>
      </c>
      <c r="G32" s="3080" t="s">
        <v>1240</v>
      </c>
      <c r="H32" s="3084" t="s">
        <v>1187</v>
      </c>
      <c r="I32" s="3085"/>
      <c r="J32" s="3085"/>
      <c r="K32" s="3081">
        <v>3</v>
      </c>
      <c r="L32" s="3080"/>
      <c r="M32" s="3086">
        <v>36000</v>
      </c>
      <c r="N32" s="3087">
        <f t="shared" si="4"/>
        <v>0</v>
      </c>
      <c r="O32" s="3080">
        <v>0</v>
      </c>
      <c r="P32" s="3086">
        <v>20000</v>
      </c>
      <c r="Q32" s="3088">
        <f t="shared" si="0"/>
        <v>0</v>
      </c>
      <c r="R32" s="3089">
        <f t="shared" si="1"/>
        <v>0</v>
      </c>
      <c r="S32" s="3080">
        <f t="shared" si="5"/>
        <v>3</v>
      </c>
      <c r="T32" s="3086">
        <v>36000</v>
      </c>
      <c r="U32" s="3088">
        <f t="shared" si="6"/>
        <v>108000</v>
      </c>
      <c r="V32" s="3080">
        <v>0</v>
      </c>
      <c r="W32" s="3086">
        <v>20000</v>
      </c>
      <c r="X32" s="3088">
        <f t="shared" si="2"/>
        <v>0</v>
      </c>
      <c r="Y32" s="3089">
        <f t="shared" si="3"/>
        <v>108000</v>
      </c>
      <c r="Z32" s="3090">
        <v>72</v>
      </c>
      <c r="AA32" s="3091">
        <v>150</v>
      </c>
      <c r="AB32" s="3087">
        <f t="shared" si="7"/>
        <v>10800</v>
      </c>
      <c r="AC32" s="3092"/>
      <c r="AD32" s="3092"/>
      <c r="AE32" s="3093">
        <f t="shared" si="8"/>
        <v>10800</v>
      </c>
      <c r="AF32" s="3094">
        <f t="shared" si="9"/>
        <v>118800</v>
      </c>
    </row>
    <row r="33" spans="1:32" s="3095" customFormat="1" ht="30" customHeight="1">
      <c r="A33" s="3082"/>
      <c r="B33" s="3083" t="s">
        <v>1709</v>
      </c>
      <c r="C33" s="3083" t="s">
        <v>1604</v>
      </c>
      <c r="D33" s="3083" t="s">
        <v>1737</v>
      </c>
      <c r="E33" s="3084" t="s">
        <v>1188</v>
      </c>
      <c r="F33" s="3084" t="s">
        <v>1189</v>
      </c>
      <c r="G33" s="3080" t="s">
        <v>1240</v>
      </c>
      <c r="H33" s="3084" t="s">
        <v>1187</v>
      </c>
      <c r="I33" s="3085"/>
      <c r="J33" s="3085"/>
      <c r="K33" s="3081">
        <v>3</v>
      </c>
      <c r="L33" s="3080"/>
      <c r="M33" s="3086">
        <v>36000</v>
      </c>
      <c r="N33" s="3087">
        <f t="shared" si="4"/>
        <v>0</v>
      </c>
      <c r="O33" s="3080">
        <v>0</v>
      </c>
      <c r="P33" s="3086">
        <v>20000</v>
      </c>
      <c r="Q33" s="3088">
        <f t="shared" si="0"/>
        <v>0</v>
      </c>
      <c r="R33" s="3089">
        <f t="shared" si="1"/>
        <v>0</v>
      </c>
      <c r="S33" s="3080">
        <f t="shared" si="5"/>
        <v>3</v>
      </c>
      <c r="T33" s="3086">
        <v>36000</v>
      </c>
      <c r="U33" s="3088">
        <f t="shared" si="6"/>
        <v>108000</v>
      </c>
      <c r="V33" s="3080">
        <v>0</v>
      </c>
      <c r="W33" s="3086">
        <v>20000</v>
      </c>
      <c r="X33" s="3088">
        <f t="shared" si="2"/>
        <v>0</v>
      </c>
      <c r="Y33" s="3089">
        <f t="shared" si="3"/>
        <v>108000</v>
      </c>
      <c r="Z33" s="3090">
        <v>56</v>
      </c>
      <c r="AA33" s="3091">
        <v>150</v>
      </c>
      <c r="AB33" s="3087">
        <f t="shared" si="7"/>
        <v>8400</v>
      </c>
      <c r="AC33" s="3092"/>
      <c r="AD33" s="3092"/>
      <c r="AE33" s="3093">
        <f t="shared" si="8"/>
        <v>8400</v>
      </c>
      <c r="AF33" s="3094">
        <f t="shared" si="9"/>
        <v>116400</v>
      </c>
    </row>
    <row r="34" spans="1:32" s="3095" customFormat="1" ht="30" customHeight="1">
      <c r="A34" s="3082">
        <v>11</v>
      </c>
      <c r="B34" s="3083" t="s">
        <v>1738</v>
      </c>
      <c r="C34" s="3083" t="s">
        <v>1728</v>
      </c>
      <c r="D34" s="3083" t="s">
        <v>1739</v>
      </c>
      <c r="E34" s="3084" t="s">
        <v>1188</v>
      </c>
      <c r="F34" s="3084" t="s">
        <v>1189</v>
      </c>
      <c r="G34" s="3080" t="s">
        <v>1190</v>
      </c>
      <c r="H34" s="3084" t="s">
        <v>1187</v>
      </c>
      <c r="I34" s="3085"/>
      <c r="J34" s="3085"/>
      <c r="K34" s="3081">
        <v>3</v>
      </c>
      <c r="L34" s="3080"/>
      <c r="M34" s="3086">
        <v>15000</v>
      </c>
      <c r="N34" s="3087">
        <f t="shared" si="4"/>
        <v>0</v>
      </c>
      <c r="O34" s="3080">
        <v>0</v>
      </c>
      <c r="P34" s="3086">
        <v>20000</v>
      </c>
      <c r="Q34" s="3088">
        <f t="shared" si="0"/>
        <v>0</v>
      </c>
      <c r="R34" s="3089">
        <f t="shared" si="1"/>
        <v>0</v>
      </c>
      <c r="S34" s="3080">
        <f t="shared" si="5"/>
        <v>3</v>
      </c>
      <c r="T34" s="3086">
        <v>15000</v>
      </c>
      <c r="U34" s="3088">
        <f t="shared" si="6"/>
        <v>45000</v>
      </c>
      <c r="V34" s="3080">
        <v>0</v>
      </c>
      <c r="W34" s="3086">
        <v>20000</v>
      </c>
      <c r="X34" s="3088">
        <f t="shared" si="2"/>
        <v>0</v>
      </c>
      <c r="Y34" s="3089">
        <f t="shared" si="3"/>
        <v>45000</v>
      </c>
      <c r="Z34" s="3090">
        <v>18</v>
      </c>
      <c r="AA34" s="3091">
        <v>150</v>
      </c>
      <c r="AB34" s="3087">
        <f t="shared" si="7"/>
        <v>2700</v>
      </c>
      <c r="AC34" s="3092"/>
      <c r="AD34" s="3092"/>
      <c r="AE34" s="3093">
        <f t="shared" si="8"/>
        <v>2700</v>
      </c>
      <c r="AF34" s="3094">
        <f t="shared" si="9"/>
        <v>47700</v>
      </c>
    </row>
    <row r="35" spans="1:32" s="3095" customFormat="1" ht="30" customHeight="1">
      <c r="A35" s="3082"/>
      <c r="B35" s="3083" t="s">
        <v>1740</v>
      </c>
      <c r="C35" s="3083" t="s">
        <v>1434</v>
      </c>
      <c r="D35" s="3083" t="s">
        <v>1739</v>
      </c>
      <c r="E35" s="3084" t="s">
        <v>1188</v>
      </c>
      <c r="F35" s="3084" t="s">
        <v>1189</v>
      </c>
      <c r="G35" s="3080" t="s">
        <v>1190</v>
      </c>
      <c r="H35" s="3084" t="s">
        <v>1187</v>
      </c>
      <c r="I35" s="3085"/>
      <c r="J35" s="3085"/>
      <c r="K35" s="3081">
        <v>3</v>
      </c>
      <c r="L35" s="3080"/>
      <c r="M35" s="3086">
        <v>15000</v>
      </c>
      <c r="N35" s="3087">
        <f t="shared" si="4"/>
        <v>0</v>
      </c>
      <c r="O35" s="3080">
        <v>0</v>
      </c>
      <c r="P35" s="3086">
        <v>20000</v>
      </c>
      <c r="Q35" s="3088">
        <f t="shared" si="0"/>
        <v>0</v>
      </c>
      <c r="R35" s="3089">
        <f t="shared" si="1"/>
        <v>0</v>
      </c>
      <c r="S35" s="3080">
        <f t="shared" si="5"/>
        <v>3</v>
      </c>
      <c r="T35" s="3086">
        <v>15000</v>
      </c>
      <c r="U35" s="3088">
        <f t="shared" si="6"/>
        <v>45000</v>
      </c>
      <c r="V35" s="3080">
        <v>0</v>
      </c>
      <c r="W35" s="3086">
        <v>20000</v>
      </c>
      <c r="X35" s="3088">
        <f t="shared" si="2"/>
        <v>0</v>
      </c>
      <c r="Y35" s="3089">
        <f t="shared" si="3"/>
        <v>45000</v>
      </c>
      <c r="Z35" s="3090">
        <v>18</v>
      </c>
      <c r="AA35" s="3091">
        <v>150</v>
      </c>
      <c r="AB35" s="3087">
        <f t="shared" si="7"/>
        <v>2700</v>
      </c>
      <c r="AC35" s="3092"/>
      <c r="AD35" s="3092"/>
      <c r="AE35" s="3093">
        <f t="shared" si="8"/>
        <v>2700</v>
      </c>
      <c r="AF35" s="3094">
        <f t="shared" si="9"/>
        <v>47700</v>
      </c>
    </row>
    <row r="36" spans="1:32" s="3095" customFormat="1" ht="30" customHeight="1">
      <c r="A36" s="3082">
        <v>12</v>
      </c>
      <c r="B36" s="3083" t="s">
        <v>1327</v>
      </c>
      <c r="C36" s="3083" t="s">
        <v>1741</v>
      </c>
      <c r="D36" s="3083" t="s">
        <v>1329</v>
      </c>
      <c r="E36" s="3084" t="s">
        <v>1188</v>
      </c>
      <c r="F36" s="3084" t="s">
        <v>1189</v>
      </c>
      <c r="G36" s="3080" t="s">
        <v>1240</v>
      </c>
      <c r="H36" s="3084" t="s">
        <v>1187</v>
      </c>
      <c r="I36" s="3085"/>
      <c r="J36" s="3085"/>
      <c r="K36" s="3081">
        <v>3</v>
      </c>
      <c r="L36" s="3080"/>
      <c r="M36" s="3086">
        <v>36000</v>
      </c>
      <c r="N36" s="3087">
        <f t="shared" si="4"/>
        <v>0</v>
      </c>
      <c r="O36" s="3080">
        <v>0</v>
      </c>
      <c r="P36" s="3086">
        <v>20000</v>
      </c>
      <c r="Q36" s="3088">
        <f t="shared" si="0"/>
        <v>0</v>
      </c>
      <c r="R36" s="3089">
        <f t="shared" si="1"/>
        <v>0</v>
      </c>
      <c r="S36" s="3080">
        <f t="shared" si="5"/>
        <v>3</v>
      </c>
      <c r="T36" s="3086">
        <v>36000</v>
      </c>
      <c r="U36" s="3088">
        <f t="shared" si="6"/>
        <v>108000</v>
      </c>
      <c r="V36" s="3080">
        <v>0</v>
      </c>
      <c r="W36" s="3086">
        <v>20000</v>
      </c>
      <c r="X36" s="3088">
        <f t="shared" si="2"/>
        <v>0</v>
      </c>
      <c r="Y36" s="3089">
        <f t="shared" si="3"/>
        <v>108000</v>
      </c>
      <c r="Z36" s="3090">
        <v>40</v>
      </c>
      <c r="AA36" s="3091">
        <v>150</v>
      </c>
      <c r="AB36" s="3087">
        <f t="shared" si="7"/>
        <v>6000</v>
      </c>
      <c r="AC36" s="3092"/>
      <c r="AD36" s="3092"/>
      <c r="AE36" s="3093">
        <f t="shared" si="8"/>
        <v>6000</v>
      </c>
      <c r="AF36" s="3094">
        <f t="shared" si="9"/>
        <v>114000</v>
      </c>
    </row>
    <row r="37" spans="1:32" s="3095" customFormat="1" ht="30" customHeight="1">
      <c r="A37" s="3082">
        <v>1</v>
      </c>
      <c r="B37" s="3083" t="s">
        <v>1330</v>
      </c>
      <c r="C37" s="3083" t="s">
        <v>1726</v>
      </c>
      <c r="D37" s="3083" t="s">
        <v>1331</v>
      </c>
      <c r="E37" s="3084" t="s">
        <v>1188</v>
      </c>
      <c r="F37" s="3084" t="s">
        <v>1189</v>
      </c>
      <c r="G37" s="3080" t="s">
        <v>1240</v>
      </c>
      <c r="H37" s="3084" t="s">
        <v>1187</v>
      </c>
      <c r="I37" s="3085"/>
      <c r="J37" s="3085"/>
      <c r="K37" s="3081">
        <v>3</v>
      </c>
      <c r="L37" s="3080"/>
      <c r="M37" s="3086">
        <v>36000</v>
      </c>
      <c r="N37" s="3087">
        <f t="shared" si="4"/>
        <v>0</v>
      </c>
      <c r="O37" s="3080">
        <v>0</v>
      </c>
      <c r="P37" s="3086">
        <v>20000</v>
      </c>
      <c r="Q37" s="3088">
        <f t="shared" si="0"/>
        <v>0</v>
      </c>
      <c r="R37" s="3089">
        <f t="shared" si="1"/>
        <v>0</v>
      </c>
      <c r="S37" s="3080">
        <f>+K37</f>
        <v>3</v>
      </c>
      <c r="T37" s="3086">
        <v>36000</v>
      </c>
      <c r="U37" s="3088">
        <f t="shared" si="6"/>
        <v>108000</v>
      </c>
      <c r="V37" s="3080">
        <v>0</v>
      </c>
      <c r="W37" s="3086">
        <v>20000</v>
      </c>
      <c r="X37" s="3088">
        <f t="shared" si="2"/>
        <v>0</v>
      </c>
      <c r="Y37" s="3089">
        <f t="shared" si="3"/>
        <v>108000</v>
      </c>
      <c r="Z37" s="3090">
        <v>58</v>
      </c>
      <c r="AA37" s="3091">
        <v>150</v>
      </c>
      <c r="AB37" s="3087">
        <f t="shared" si="7"/>
        <v>8700</v>
      </c>
      <c r="AC37" s="3092"/>
      <c r="AD37" s="3092"/>
      <c r="AE37" s="3093">
        <f t="shared" si="8"/>
        <v>8700</v>
      </c>
      <c r="AF37" s="3094">
        <f t="shared" si="9"/>
        <v>116700</v>
      </c>
    </row>
    <row r="38" spans="1:32" s="3095" customFormat="1" ht="30" customHeight="1">
      <c r="A38" s="3082">
        <v>2</v>
      </c>
      <c r="B38" s="3083" t="s">
        <v>1332</v>
      </c>
      <c r="C38" s="3083" t="s">
        <v>1186</v>
      </c>
      <c r="D38" s="3083" t="s">
        <v>1334</v>
      </c>
      <c r="E38" s="3084" t="s">
        <v>1188</v>
      </c>
      <c r="F38" s="3084" t="s">
        <v>1189</v>
      </c>
      <c r="G38" s="3080" t="s">
        <v>1240</v>
      </c>
      <c r="H38" s="3084" t="s">
        <v>1187</v>
      </c>
      <c r="I38" s="3085"/>
      <c r="J38" s="3085"/>
      <c r="K38" s="3081">
        <v>3</v>
      </c>
      <c r="L38" s="3080"/>
      <c r="M38" s="3086">
        <v>36000</v>
      </c>
      <c r="N38" s="3087">
        <f t="shared" si="4"/>
        <v>0</v>
      </c>
      <c r="O38" s="3080">
        <v>0</v>
      </c>
      <c r="P38" s="3086">
        <v>20000</v>
      </c>
      <c r="Q38" s="3088">
        <f t="shared" si="0"/>
        <v>0</v>
      </c>
      <c r="R38" s="3089">
        <f t="shared" si="1"/>
        <v>0</v>
      </c>
      <c r="S38" s="3080">
        <f t="shared" ref="S38:S52" si="10">+K38</f>
        <v>3</v>
      </c>
      <c r="T38" s="3086">
        <v>36000</v>
      </c>
      <c r="U38" s="3088">
        <f t="shared" si="6"/>
        <v>108000</v>
      </c>
      <c r="V38" s="3080">
        <v>0</v>
      </c>
      <c r="W38" s="3086">
        <v>20000</v>
      </c>
      <c r="X38" s="3088">
        <f t="shared" si="2"/>
        <v>0</v>
      </c>
      <c r="Y38" s="3089">
        <f t="shared" si="3"/>
        <v>108000</v>
      </c>
      <c r="Z38" s="3090">
        <v>36</v>
      </c>
      <c r="AA38" s="3091">
        <v>150</v>
      </c>
      <c r="AB38" s="3087">
        <f t="shared" si="7"/>
        <v>5400</v>
      </c>
      <c r="AC38" s="3092"/>
      <c r="AD38" s="3092"/>
      <c r="AE38" s="3093">
        <f t="shared" si="8"/>
        <v>5400</v>
      </c>
      <c r="AF38" s="3094">
        <f t="shared" si="9"/>
        <v>113400</v>
      </c>
    </row>
    <row r="39" spans="1:32" s="3095" customFormat="1" ht="30" customHeight="1">
      <c r="A39" s="3082"/>
      <c r="B39" s="3083" t="s">
        <v>1742</v>
      </c>
      <c r="C39" s="3083" t="s">
        <v>1196</v>
      </c>
      <c r="D39" s="3083" t="s">
        <v>1334</v>
      </c>
      <c r="E39" s="3084" t="s">
        <v>1188</v>
      </c>
      <c r="F39" s="3084" t="s">
        <v>1189</v>
      </c>
      <c r="G39" s="3080" t="s">
        <v>1240</v>
      </c>
      <c r="H39" s="3084" t="s">
        <v>1187</v>
      </c>
      <c r="I39" s="3085"/>
      <c r="J39" s="3085"/>
      <c r="K39" s="3081">
        <v>3</v>
      </c>
      <c r="L39" s="3080"/>
      <c r="M39" s="3086">
        <v>36000</v>
      </c>
      <c r="N39" s="3087">
        <f t="shared" si="4"/>
        <v>0</v>
      </c>
      <c r="O39" s="3080">
        <v>0</v>
      </c>
      <c r="P39" s="3086">
        <v>20000</v>
      </c>
      <c r="Q39" s="3088">
        <f t="shared" si="0"/>
        <v>0</v>
      </c>
      <c r="R39" s="3089">
        <f t="shared" si="1"/>
        <v>0</v>
      </c>
      <c r="S39" s="3080">
        <f t="shared" si="10"/>
        <v>3</v>
      </c>
      <c r="T39" s="3086">
        <v>36000</v>
      </c>
      <c r="U39" s="3088">
        <f t="shared" si="6"/>
        <v>108000</v>
      </c>
      <c r="V39" s="3080">
        <v>0</v>
      </c>
      <c r="W39" s="3086">
        <v>20000</v>
      </c>
      <c r="X39" s="3088">
        <f t="shared" si="2"/>
        <v>0</v>
      </c>
      <c r="Y39" s="3089">
        <f t="shared" si="3"/>
        <v>108000</v>
      </c>
      <c r="Z39" s="3090">
        <v>36</v>
      </c>
      <c r="AA39" s="3091">
        <v>150</v>
      </c>
      <c r="AB39" s="3087">
        <f t="shared" si="7"/>
        <v>5400</v>
      </c>
      <c r="AC39" s="3092"/>
      <c r="AD39" s="3092"/>
      <c r="AE39" s="3093">
        <f t="shared" si="8"/>
        <v>5400</v>
      </c>
      <c r="AF39" s="3094">
        <f t="shared" si="9"/>
        <v>113400</v>
      </c>
    </row>
    <row r="40" spans="1:32" s="3095" customFormat="1" ht="30" customHeight="1">
      <c r="A40" s="3082">
        <v>3</v>
      </c>
      <c r="B40" s="3083" t="s">
        <v>1743</v>
      </c>
      <c r="C40" s="3083" t="s">
        <v>1186</v>
      </c>
      <c r="D40" s="3083" t="s">
        <v>1274</v>
      </c>
      <c r="E40" s="3084" t="s">
        <v>1188</v>
      </c>
      <c r="F40" s="3084" t="s">
        <v>1189</v>
      </c>
      <c r="G40" s="3080" t="s">
        <v>1190</v>
      </c>
      <c r="H40" s="3084" t="s">
        <v>1187</v>
      </c>
      <c r="I40" s="3085"/>
      <c r="J40" s="3085"/>
      <c r="K40" s="3081">
        <v>3</v>
      </c>
      <c r="L40" s="3080"/>
      <c r="M40" s="3086">
        <v>15000</v>
      </c>
      <c r="N40" s="3087">
        <f t="shared" si="4"/>
        <v>0</v>
      </c>
      <c r="O40" s="3080">
        <v>0</v>
      </c>
      <c r="P40" s="3086">
        <v>20000</v>
      </c>
      <c r="Q40" s="3088">
        <f t="shared" si="0"/>
        <v>0</v>
      </c>
      <c r="R40" s="3089">
        <f t="shared" si="1"/>
        <v>0</v>
      </c>
      <c r="S40" s="3080">
        <f t="shared" si="10"/>
        <v>3</v>
      </c>
      <c r="T40" s="3086">
        <v>15000</v>
      </c>
      <c r="U40" s="3088">
        <f t="shared" si="6"/>
        <v>45000</v>
      </c>
      <c r="V40" s="3080">
        <v>0</v>
      </c>
      <c r="W40" s="3086">
        <v>20000</v>
      </c>
      <c r="X40" s="3088">
        <f t="shared" si="2"/>
        <v>0</v>
      </c>
      <c r="Y40" s="3089">
        <f t="shared" si="3"/>
        <v>45000</v>
      </c>
      <c r="Z40" s="3090">
        <v>28</v>
      </c>
      <c r="AA40" s="3091">
        <v>150</v>
      </c>
      <c r="AB40" s="3087">
        <f t="shared" si="7"/>
        <v>4200</v>
      </c>
      <c r="AC40" s="3092"/>
      <c r="AD40" s="3092"/>
      <c r="AE40" s="3093">
        <f t="shared" si="8"/>
        <v>4200</v>
      </c>
      <c r="AF40" s="3094">
        <f t="shared" si="9"/>
        <v>49200</v>
      </c>
    </row>
    <row r="41" spans="1:32" s="3095" customFormat="1" ht="30" customHeight="1">
      <c r="A41" s="3082">
        <v>4</v>
      </c>
      <c r="B41" s="3083" t="s">
        <v>1744</v>
      </c>
      <c r="C41" s="3083" t="s">
        <v>1745</v>
      </c>
      <c r="D41" s="3083" t="s">
        <v>1746</v>
      </c>
      <c r="E41" s="3084" t="s">
        <v>1188</v>
      </c>
      <c r="F41" s="3084" t="s">
        <v>1189</v>
      </c>
      <c r="G41" s="3080" t="s">
        <v>1190</v>
      </c>
      <c r="H41" s="3084" t="s">
        <v>1187</v>
      </c>
      <c r="I41" s="3085"/>
      <c r="J41" s="3085"/>
      <c r="K41" s="3081">
        <v>3</v>
      </c>
      <c r="L41" s="3080"/>
      <c r="M41" s="3086">
        <v>15000</v>
      </c>
      <c r="N41" s="3087">
        <f t="shared" si="4"/>
        <v>0</v>
      </c>
      <c r="O41" s="3080">
        <v>0</v>
      </c>
      <c r="P41" s="3086">
        <v>20000</v>
      </c>
      <c r="Q41" s="3088">
        <f t="shared" si="0"/>
        <v>0</v>
      </c>
      <c r="R41" s="3089">
        <f t="shared" si="1"/>
        <v>0</v>
      </c>
      <c r="S41" s="3080">
        <f t="shared" si="10"/>
        <v>3</v>
      </c>
      <c r="T41" s="3086">
        <v>15000</v>
      </c>
      <c r="U41" s="3088">
        <f t="shared" si="6"/>
        <v>45000</v>
      </c>
      <c r="V41" s="3080">
        <v>0</v>
      </c>
      <c r="W41" s="3086">
        <v>20000</v>
      </c>
      <c r="X41" s="3088">
        <f t="shared" si="2"/>
        <v>0</v>
      </c>
      <c r="Y41" s="3089">
        <f t="shared" si="3"/>
        <v>45000</v>
      </c>
      <c r="Z41" s="3090">
        <v>14</v>
      </c>
      <c r="AA41" s="3091">
        <v>150</v>
      </c>
      <c r="AB41" s="3087">
        <f t="shared" si="7"/>
        <v>2100</v>
      </c>
      <c r="AC41" s="3092"/>
      <c r="AD41" s="3092"/>
      <c r="AE41" s="3093">
        <f t="shared" si="8"/>
        <v>2100</v>
      </c>
      <c r="AF41" s="3094">
        <f t="shared" si="9"/>
        <v>47100</v>
      </c>
    </row>
    <row r="42" spans="1:32" s="3095" customFormat="1" ht="30" customHeight="1">
      <c r="A42" s="3082"/>
      <c r="B42" s="3083" t="s">
        <v>1747</v>
      </c>
      <c r="C42" s="3083" t="s">
        <v>1604</v>
      </c>
      <c r="D42" s="3083" t="s">
        <v>1746</v>
      </c>
      <c r="E42" s="3084" t="s">
        <v>1188</v>
      </c>
      <c r="F42" s="3084" t="s">
        <v>1189</v>
      </c>
      <c r="G42" s="3080" t="s">
        <v>1190</v>
      </c>
      <c r="H42" s="3084" t="s">
        <v>1187</v>
      </c>
      <c r="I42" s="3085"/>
      <c r="J42" s="3085"/>
      <c r="K42" s="3081">
        <v>3</v>
      </c>
      <c r="L42" s="3080"/>
      <c r="M42" s="3086">
        <v>15000</v>
      </c>
      <c r="N42" s="3087">
        <f t="shared" si="4"/>
        <v>0</v>
      </c>
      <c r="O42" s="3080">
        <v>0</v>
      </c>
      <c r="P42" s="3086">
        <v>20000</v>
      </c>
      <c r="Q42" s="3088">
        <f t="shared" si="0"/>
        <v>0</v>
      </c>
      <c r="R42" s="3089">
        <f t="shared" si="1"/>
        <v>0</v>
      </c>
      <c r="S42" s="3080">
        <f t="shared" si="10"/>
        <v>3</v>
      </c>
      <c r="T42" s="3086">
        <v>15000</v>
      </c>
      <c r="U42" s="3088">
        <f t="shared" si="6"/>
        <v>45000</v>
      </c>
      <c r="V42" s="3080">
        <v>0</v>
      </c>
      <c r="W42" s="3086">
        <v>20000</v>
      </c>
      <c r="X42" s="3088">
        <f t="shared" si="2"/>
        <v>0</v>
      </c>
      <c r="Y42" s="3089">
        <f t="shared" si="3"/>
        <v>45000</v>
      </c>
      <c r="Z42" s="3090">
        <v>14</v>
      </c>
      <c r="AA42" s="3091">
        <v>150</v>
      </c>
      <c r="AB42" s="3087">
        <f t="shared" si="7"/>
        <v>2100</v>
      </c>
      <c r="AC42" s="3092"/>
      <c r="AD42" s="3092"/>
      <c r="AE42" s="3093">
        <f t="shared" si="8"/>
        <v>2100</v>
      </c>
      <c r="AF42" s="3094">
        <f t="shared" si="9"/>
        <v>47100</v>
      </c>
    </row>
    <row r="43" spans="1:32" s="3095" customFormat="1" ht="30" customHeight="1">
      <c r="A43" s="3082">
        <v>5</v>
      </c>
      <c r="B43" s="3083" t="s">
        <v>1748</v>
      </c>
      <c r="C43" s="3083" t="s">
        <v>1728</v>
      </c>
      <c r="D43" s="3083" t="s">
        <v>1749</v>
      </c>
      <c r="E43" s="3084" t="s">
        <v>1188</v>
      </c>
      <c r="F43" s="3084" t="s">
        <v>1189</v>
      </c>
      <c r="G43" s="3080" t="s">
        <v>1240</v>
      </c>
      <c r="H43" s="3084" t="s">
        <v>1187</v>
      </c>
      <c r="I43" s="3085"/>
      <c r="J43" s="3085"/>
      <c r="K43" s="3081">
        <v>3</v>
      </c>
      <c r="L43" s="3080"/>
      <c r="M43" s="3086">
        <v>36000</v>
      </c>
      <c r="N43" s="3087">
        <f t="shared" si="4"/>
        <v>0</v>
      </c>
      <c r="O43" s="3080">
        <v>0</v>
      </c>
      <c r="P43" s="3086">
        <v>20000</v>
      </c>
      <c r="Q43" s="3088">
        <f t="shared" si="0"/>
        <v>0</v>
      </c>
      <c r="R43" s="3089">
        <f t="shared" si="1"/>
        <v>0</v>
      </c>
      <c r="S43" s="3080">
        <f t="shared" si="10"/>
        <v>3</v>
      </c>
      <c r="T43" s="3086">
        <v>36000</v>
      </c>
      <c r="U43" s="3088">
        <f t="shared" si="6"/>
        <v>108000</v>
      </c>
      <c r="V43" s="3080">
        <v>0</v>
      </c>
      <c r="W43" s="3086">
        <v>20000</v>
      </c>
      <c r="X43" s="3088">
        <f t="shared" si="2"/>
        <v>0</v>
      </c>
      <c r="Y43" s="3089">
        <f t="shared" si="3"/>
        <v>108000</v>
      </c>
      <c r="Z43" s="3090">
        <v>54</v>
      </c>
      <c r="AA43" s="3091">
        <v>150</v>
      </c>
      <c r="AB43" s="3087">
        <f t="shared" si="7"/>
        <v>8100</v>
      </c>
      <c r="AC43" s="3092"/>
      <c r="AD43" s="3092"/>
      <c r="AE43" s="3093">
        <f t="shared" si="8"/>
        <v>8100</v>
      </c>
      <c r="AF43" s="3094">
        <f t="shared" si="9"/>
        <v>116100</v>
      </c>
    </row>
    <row r="44" spans="1:32" s="3095" customFormat="1" ht="30" customHeight="1">
      <c r="A44" s="3082">
        <v>6</v>
      </c>
      <c r="B44" s="3083" t="s">
        <v>1750</v>
      </c>
      <c r="C44" s="3083" t="s">
        <v>1751</v>
      </c>
      <c r="D44" s="3083" t="s">
        <v>1339</v>
      </c>
      <c r="E44" s="3084" t="s">
        <v>1188</v>
      </c>
      <c r="F44" s="3084" t="s">
        <v>1189</v>
      </c>
      <c r="G44" s="3080" t="s">
        <v>1240</v>
      </c>
      <c r="H44" s="3084" t="s">
        <v>1187</v>
      </c>
      <c r="I44" s="3085"/>
      <c r="J44" s="3085"/>
      <c r="K44" s="3081">
        <v>3</v>
      </c>
      <c r="L44" s="3080"/>
      <c r="M44" s="3086">
        <v>36000</v>
      </c>
      <c r="N44" s="3087">
        <f t="shared" si="4"/>
        <v>0</v>
      </c>
      <c r="O44" s="3080">
        <v>0</v>
      </c>
      <c r="P44" s="3086">
        <v>20000</v>
      </c>
      <c r="Q44" s="3088">
        <f t="shared" si="0"/>
        <v>0</v>
      </c>
      <c r="R44" s="3089">
        <f t="shared" si="1"/>
        <v>0</v>
      </c>
      <c r="S44" s="3080">
        <f t="shared" si="10"/>
        <v>3</v>
      </c>
      <c r="T44" s="3086">
        <v>36000</v>
      </c>
      <c r="U44" s="3088">
        <f t="shared" si="6"/>
        <v>108000</v>
      </c>
      <c r="V44" s="3080">
        <v>0</v>
      </c>
      <c r="W44" s="3086">
        <v>20000</v>
      </c>
      <c r="X44" s="3088">
        <f t="shared" si="2"/>
        <v>0</v>
      </c>
      <c r="Y44" s="3089">
        <f t="shared" si="3"/>
        <v>108000</v>
      </c>
      <c r="Z44" s="3090">
        <v>84</v>
      </c>
      <c r="AA44" s="3091">
        <v>150</v>
      </c>
      <c r="AB44" s="3087">
        <f t="shared" si="7"/>
        <v>12600</v>
      </c>
      <c r="AC44" s="3092"/>
      <c r="AD44" s="3092"/>
      <c r="AE44" s="3093">
        <f t="shared" si="8"/>
        <v>12600</v>
      </c>
      <c r="AF44" s="3094">
        <f t="shared" si="9"/>
        <v>120600</v>
      </c>
    </row>
    <row r="45" spans="1:32" s="3095" customFormat="1" ht="30" customHeight="1">
      <c r="A45" s="3082">
        <v>7</v>
      </c>
      <c r="B45" s="3083" t="s">
        <v>1340</v>
      </c>
      <c r="C45" s="3083" t="s">
        <v>1728</v>
      </c>
      <c r="D45" s="3083" t="s">
        <v>1341</v>
      </c>
      <c r="E45" s="3084" t="s">
        <v>1188</v>
      </c>
      <c r="F45" s="3084" t="s">
        <v>1189</v>
      </c>
      <c r="G45" s="3080" t="s">
        <v>1240</v>
      </c>
      <c r="H45" s="3084" t="s">
        <v>1187</v>
      </c>
      <c r="I45" s="3085"/>
      <c r="J45" s="3085"/>
      <c r="K45" s="3081">
        <v>3</v>
      </c>
      <c r="L45" s="3080"/>
      <c r="M45" s="3086">
        <v>36000</v>
      </c>
      <c r="N45" s="3087">
        <f t="shared" si="4"/>
        <v>0</v>
      </c>
      <c r="O45" s="3080">
        <v>0</v>
      </c>
      <c r="P45" s="3086">
        <v>20000</v>
      </c>
      <c r="Q45" s="3088">
        <f t="shared" si="0"/>
        <v>0</v>
      </c>
      <c r="R45" s="3089">
        <f t="shared" si="1"/>
        <v>0</v>
      </c>
      <c r="S45" s="3080">
        <f t="shared" si="10"/>
        <v>3</v>
      </c>
      <c r="T45" s="3086">
        <v>36000</v>
      </c>
      <c r="U45" s="3088">
        <f t="shared" si="6"/>
        <v>108000</v>
      </c>
      <c r="V45" s="3080">
        <v>0</v>
      </c>
      <c r="W45" s="3086">
        <v>20000</v>
      </c>
      <c r="X45" s="3088">
        <f t="shared" si="2"/>
        <v>0</v>
      </c>
      <c r="Y45" s="3089">
        <f t="shared" si="3"/>
        <v>108000</v>
      </c>
      <c r="Z45" s="3090">
        <v>36</v>
      </c>
      <c r="AA45" s="3091">
        <v>150</v>
      </c>
      <c r="AB45" s="3087">
        <f t="shared" si="7"/>
        <v>5400</v>
      </c>
      <c r="AC45" s="3092"/>
      <c r="AD45" s="3092"/>
      <c r="AE45" s="3093">
        <f t="shared" si="8"/>
        <v>5400</v>
      </c>
      <c r="AF45" s="3094">
        <f t="shared" si="9"/>
        <v>113400</v>
      </c>
    </row>
    <row r="46" spans="1:32" s="3095" customFormat="1" ht="30" customHeight="1">
      <c r="A46" s="3082"/>
      <c r="B46" s="3083" t="s">
        <v>1752</v>
      </c>
      <c r="C46" s="3083" t="s">
        <v>1604</v>
      </c>
      <c r="D46" s="3083" t="s">
        <v>1341</v>
      </c>
      <c r="E46" s="3084" t="s">
        <v>1188</v>
      </c>
      <c r="F46" s="3084" t="s">
        <v>1189</v>
      </c>
      <c r="G46" s="3080" t="s">
        <v>1240</v>
      </c>
      <c r="H46" s="3084" t="s">
        <v>1187</v>
      </c>
      <c r="I46" s="3085"/>
      <c r="J46" s="3085"/>
      <c r="K46" s="3081">
        <v>3</v>
      </c>
      <c r="L46" s="3080"/>
      <c r="M46" s="3086">
        <v>36000</v>
      </c>
      <c r="N46" s="3087">
        <f t="shared" si="4"/>
        <v>0</v>
      </c>
      <c r="O46" s="3080">
        <v>0</v>
      </c>
      <c r="P46" s="3086">
        <v>20000</v>
      </c>
      <c r="Q46" s="3088">
        <f t="shared" si="0"/>
        <v>0</v>
      </c>
      <c r="R46" s="3089">
        <f t="shared" si="1"/>
        <v>0</v>
      </c>
      <c r="S46" s="3080">
        <f t="shared" si="10"/>
        <v>3</v>
      </c>
      <c r="T46" s="3086">
        <v>36000</v>
      </c>
      <c r="U46" s="3088">
        <f t="shared" si="6"/>
        <v>108000</v>
      </c>
      <c r="V46" s="3080">
        <v>0</v>
      </c>
      <c r="W46" s="3086">
        <v>20000</v>
      </c>
      <c r="X46" s="3088">
        <f t="shared" si="2"/>
        <v>0</v>
      </c>
      <c r="Y46" s="3089">
        <f t="shared" si="3"/>
        <v>108000</v>
      </c>
      <c r="Z46" s="3090">
        <v>36</v>
      </c>
      <c r="AA46" s="3091">
        <v>150</v>
      </c>
      <c r="AB46" s="3087">
        <f t="shared" si="7"/>
        <v>5400</v>
      </c>
      <c r="AC46" s="3092"/>
      <c r="AD46" s="3092"/>
      <c r="AE46" s="3093">
        <f t="shared" si="8"/>
        <v>5400</v>
      </c>
      <c r="AF46" s="3094">
        <f t="shared" si="9"/>
        <v>113400</v>
      </c>
    </row>
    <row r="47" spans="1:32" s="3095" customFormat="1" ht="30" customHeight="1">
      <c r="A47" s="3082">
        <v>8</v>
      </c>
      <c r="B47" s="3083" t="s">
        <v>1344</v>
      </c>
      <c r="C47" s="3083" t="s">
        <v>1345</v>
      </c>
      <c r="D47" s="3083" t="s">
        <v>1343</v>
      </c>
      <c r="E47" s="3084" t="s">
        <v>1188</v>
      </c>
      <c r="F47" s="3084" t="s">
        <v>1189</v>
      </c>
      <c r="G47" s="3080" t="s">
        <v>1240</v>
      </c>
      <c r="H47" s="3084" t="s">
        <v>1187</v>
      </c>
      <c r="I47" s="3085"/>
      <c r="J47" s="3085"/>
      <c r="K47" s="3081">
        <v>3</v>
      </c>
      <c r="L47" s="3080"/>
      <c r="M47" s="3086">
        <v>36000</v>
      </c>
      <c r="N47" s="3087">
        <f t="shared" si="4"/>
        <v>0</v>
      </c>
      <c r="O47" s="3080">
        <v>0</v>
      </c>
      <c r="P47" s="3086">
        <v>20000</v>
      </c>
      <c r="Q47" s="3088">
        <f t="shared" si="0"/>
        <v>0</v>
      </c>
      <c r="R47" s="3089">
        <f t="shared" si="1"/>
        <v>0</v>
      </c>
      <c r="S47" s="3080">
        <f t="shared" si="10"/>
        <v>3</v>
      </c>
      <c r="T47" s="3086">
        <v>36000</v>
      </c>
      <c r="U47" s="3088">
        <f t="shared" si="6"/>
        <v>108000</v>
      </c>
      <c r="V47" s="3080">
        <v>0</v>
      </c>
      <c r="W47" s="3086">
        <v>20000</v>
      </c>
      <c r="X47" s="3088">
        <f t="shared" si="2"/>
        <v>0</v>
      </c>
      <c r="Y47" s="3089">
        <f t="shared" si="3"/>
        <v>108000</v>
      </c>
      <c r="Z47" s="3090">
        <v>38</v>
      </c>
      <c r="AA47" s="3091">
        <v>150</v>
      </c>
      <c r="AB47" s="3087">
        <f t="shared" si="7"/>
        <v>5700</v>
      </c>
      <c r="AC47" s="3092"/>
      <c r="AD47" s="3092"/>
      <c r="AE47" s="3093">
        <f t="shared" si="8"/>
        <v>5700</v>
      </c>
      <c r="AF47" s="3094">
        <f t="shared" si="9"/>
        <v>113700</v>
      </c>
    </row>
    <row r="48" spans="1:32" s="3095" customFormat="1" ht="30" customHeight="1">
      <c r="A48" s="3082"/>
      <c r="B48" s="3083" t="s">
        <v>1753</v>
      </c>
      <c r="C48" s="3083" t="s">
        <v>1604</v>
      </c>
      <c r="D48" s="3083" t="s">
        <v>1343</v>
      </c>
      <c r="E48" s="3084" t="s">
        <v>1188</v>
      </c>
      <c r="F48" s="3084" t="s">
        <v>1189</v>
      </c>
      <c r="G48" s="3080" t="s">
        <v>1240</v>
      </c>
      <c r="H48" s="3084" t="s">
        <v>1187</v>
      </c>
      <c r="I48" s="3085"/>
      <c r="J48" s="3085"/>
      <c r="K48" s="3081">
        <v>3</v>
      </c>
      <c r="L48" s="3080"/>
      <c r="M48" s="3086">
        <v>36000</v>
      </c>
      <c r="N48" s="3087">
        <f t="shared" si="4"/>
        <v>0</v>
      </c>
      <c r="O48" s="3080">
        <v>0</v>
      </c>
      <c r="P48" s="3086">
        <v>20000</v>
      </c>
      <c r="Q48" s="3088">
        <f t="shared" si="0"/>
        <v>0</v>
      </c>
      <c r="R48" s="3089">
        <f t="shared" si="1"/>
        <v>0</v>
      </c>
      <c r="S48" s="3080">
        <f t="shared" si="10"/>
        <v>3</v>
      </c>
      <c r="T48" s="3086">
        <v>36000</v>
      </c>
      <c r="U48" s="3088">
        <f t="shared" si="6"/>
        <v>108000</v>
      </c>
      <c r="V48" s="3080">
        <v>0</v>
      </c>
      <c r="W48" s="3086">
        <v>20000</v>
      </c>
      <c r="X48" s="3088">
        <f t="shared" si="2"/>
        <v>0</v>
      </c>
      <c r="Y48" s="3089">
        <f t="shared" si="3"/>
        <v>108000</v>
      </c>
      <c r="Z48" s="3090">
        <v>38</v>
      </c>
      <c r="AA48" s="3091">
        <v>150</v>
      </c>
      <c r="AB48" s="3087">
        <f t="shared" si="7"/>
        <v>5700</v>
      </c>
      <c r="AC48" s="3092"/>
      <c r="AD48" s="3092"/>
      <c r="AE48" s="3093">
        <f t="shared" si="8"/>
        <v>5700</v>
      </c>
      <c r="AF48" s="3094">
        <f t="shared" si="9"/>
        <v>113700</v>
      </c>
    </row>
    <row r="49" spans="1:32" s="3095" customFormat="1" ht="30" customHeight="1">
      <c r="A49" s="3082">
        <v>9</v>
      </c>
      <c r="B49" s="3083" t="s">
        <v>1346</v>
      </c>
      <c r="C49" s="3083" t="s">
        <v>1728</v>
      </c>
      <c r="D49" s="3083" t="s">
        <v>1347</v>
      </c>
      <c r="E49" s="3084" t="s">
        <v>1188</v>
      </c>
      <c r="F49" s="3084" t="s">
        <v>1189</v>
      </c>
      <c r="G49" s="3080" t="s">
        <v>1240</v>
      </c>
      <c r="H49" s="3084" t="s">
        <v>1187</v>
      </c>
      <c r="I49" s="3085"/>
      <c r="J49" s="3085"/>
      <c r="K49" s="3081">
        <v>3</v>
      </c>
      <c r="L49" s="3080"/>
      <c r="M49" s="3086">
        <v>36000</v>
      </c>
      <c r="N49" s="3087">
        <f t="shared" si="4"/>
        <v>0</v>
      </c>
      <c r="O49" s="3080">
        <v>0</v>
      </c>
      <c r="P49" s="3086">
        <v>20000</v>
      </c>
      <c r="Q49" s="3088">
        <f t="shared" si="0"/>
        <v>0</v>
      </c>
      <c r="R49" s="3089">
        <f t="shared" si="1"/>
        <v>0</v>
      </c>
      <c r="S49" s="3080">
        <f t="shared" si="10"/>
        <v>3</v>
      </c>
      <c r="T49" s="3086">
        <v>36000</v>
      </c>
      <c r="U49" s="3088">
        <f t="shared" si="6"/>
        <v>108000</v>
      </c>
      <c r="V49" s="3080">
        <v>0</v>
      </c>
      <c r="W49" s="3086">
        <v>20000</v>
      </c>
      <c r="X49" s="3088">
        <f t="shared" si="2"/>
        <v>0</v>
      </c>
      <c r="Y49" s="3089">
        <f t="shared" si="3"/>
        <v>108000</v>
      </c>
      <c r="Z49" s="3090">
        <v>38</v>
      </c>
      <c r="AA49" s="3091">
        <v>150</v>
      </c>
      <c r="AB49" s="3087">
        <f t="shared" si="7"/>
        <v>5700</v>
      </c>
      <c r="AC49" s="3092"/>
      <c r="AD49" s="3092"/>
      <c r="AE49" s="3093">
        <f t="shared" si="8"/>
        <v>5700</v>
      </c>
      <c r="AF49" s="3094">
        <f t="shared" si="9"/>
        <v>113700</v>
      </c>
    </row>
    <row r="50" spans="1:32" s="3095" customFormat="1" ht="30" customHeight="1">
      <c r="A50" s="3082">
        <v>10</v>
      </c>
      <c r="B50" s="3083" t="s">
        <v>1754</v>
      </c>
      <c r="C50" s="3083" t="s">
        <v>1755</v>
      </c>
      <c r="D50" s="3083" t="s">
        <v>1756</v>
      </c>
      <c r="E50" s="3084" t="s">
        <v>1188</v>
      </c>
      <c r="F50" s="3084" t="s">
        <v>1189</v>
      </c>
      <c r="G50" s="3080" t="s">
        <v>1240</v>
      </c>
      <c r="H50" s="3084" t="s">
        <v>1187</v>
      </c>
      <c r="I50" s="3085"/>
      <c r="J50" s="3085"/>
      <c r="K50" s="3081">
        <v>3</v>
      </c>
      <c r="L50" s="3080"/>
      <c r="M50" s="3086">
        <v>36000</v>
      </c>
      <c r="N50" s="3087">
        <f t="shared" si="4"/>
        <v>0</v>
      </c>
      <c r="O50" s="3080">
        <v>0</v>
      </c>
      <c r="P50" s="3086">
        <v>20000</v>
      </c>
      <c r="Q50" s="3088">
        <f t="shared" si="0"/>
        <v>0</v>
      </c>
      <c r="R50" s="3089">
        <f t="shared" si="1"/>
        <v>0</v>
      </c>
      <c r="S50" s="3080">
        <f t="shared" si="10"/>
        <v>3</v>
      </c>
      <c r="T50" s="3086">
        <v>36000</v>
      </c>
      <c r="U50" s="3088">
        <f t="shared" si="6"/>
        <v>108000</v>
      </c>
      <c r="V50" s="3080">
        <v>0</v>
      </c>
      <c r="W50" s="3086">
        <v>20000</v>
      </c>
      <c r="X50" s="3088">
        <f t="shared" si="2"/>
        <v>0</v>
      </c>
      <c r="Y50" s="3089">
        <f t="shared" si="3"/>
        <v>108000</v>
      </c>
      <c r="Z50" s="3090">
        <v>68</v>
      </c>
      <c r="AA50" s="3091">
        <v>150</v>
      </c>
      <c r="AB50" s="3087">
        <f t="shared" si="7"/>
        <v>10200</v>
      </c>
      <c r="AC50" s="3092"/>
      <c r="AD50" s="3092"/>
      <c r="AE50" s="3093">
        <f t="shared" si="8"/>
        <v>10200</v>
      </c>
      <c r="AF50" s="3094">
        <f t="shared" si="9"/>
        <v>118200</v>
      </c>
    </row>
    <row r="51" spans="1:32" s="3095" customFormat="1" ht="30" customHeight="1">
      <c r="A51" s="3082">
        <v>11</v>
      </c>
      <c r="B51" s="3083" t="s">
        <v>1757</v>
      </c>
      <c r="C51" s="3083" t="s">
        <v>1751</v>
      </c>
      <c r="D51" s="3083" t="s">
        <v>1758</v>
      </c>
      <c r="E51" s="3084" t="s">
        <v>1188</v>
      </c>
      <c r="F51" s="3084" t="s">
        <v>1189</v>
      </c>
      <c r="G51" s="3080" t="s">
        <v>1240</v>
      </c>
      <c r="H51" s="3084" t="s">
        <v>1187</v>
      </c>
      <c r="I51" s="3085"/>
      <c r="J51" s="3085"/>
      <c r="K51" s="3081">
        <v>3</v>
      </c>
      <c r="L51" s="3080"/>
      <c r="M51" s="3086">
        <v>36000</v>
      </c>
      <c r="N51" s="3087">
        <f t="shared" si="4"/>
        <v>0</v>
      </c>
      <c r="O51" s="3080">
        <v>0</v>
      </c>
      <c r="P51" s="3086">
        <v>20000</v>
      </c>
      <c r="Q51" s="3088">
        <f t="shared" si="0"/>
        <v>0</v>
      </c>
      <c r="R51" s="3089">
        <f t="shared" si="1"/>
        <v>0</v>
      </c>
      <c r="S51" s="3080">
        <f t="shared" si="10"/>
        <v>3</v>
      </c>
      <c r="T51" s="3086">
        <v>36000</v>
      </c>
      <c r="U51" s="3088">
        <f t="shared" si="6"/>
        <v>108000</v>
      </c>
      <c r="V51" s="3080">
        <v>0</v>
      </c>
      <c r="W51" s="3086">
        <v>20000</v>
      </c>
      <c r="X51" s="3088">
        <f t="shared" si="2"/>
        <v>0</v>
      </c>
      <c r="Y51" s="3089">
        <f t="shared" si="3"/>
        <v>108000</v>
      </c>
      <c r="Z51" s="3090">
        <v>40</v>
      </c>
      <c r="AA51" s="3091">
        <v>150</v>
      </c>
      <c r="AB51" s="3087">
        <f t="shared" si="7"/>
        <v>6000</v>
      </c>
      <c r="AC51" s="3092"/>
      <c r="AD51" s="3092"/>
      <c r="AE51" s="3093">
        <f t="shared" si="8"/>
        <v>6000</v>
      </c>
      <c r="AF51" s="3094">
        <f t="shared" si="9"/>
        <v>114000</v>
      </c>
    </row>
    <row r="52" spans="1:32" s="3095" customFormat="1" ht="30" customHeight="1">
      <c r="A52" s="3082">
        <v>12</v>
      </c>
      <c r="B52" s="3083" t="s">
        <v>1350</v>
      </c>
      <c r="C52" s="3083" t="s">
        <v>1728</v>
      </c>
      <c r="D52" s="3083" t="s">
        <v>1351</v>
      </c>
      <c r="E52" s="3084" t="s">
        <v>1188</v>
      </c>
      <c r="F52" s="3084" t="s">
        <v>1189</v>
      </c>
      <c r="G52" s="3080" t="s">
        <v>1190</v>
      </c>
      <c r="H52" s="3084" t="s">
        <v>1187</v>
      </c>
      <c r="I52" s="3085"/>
      <c r="J52" s="3085"/>
      <c r="K52" s="3081">
        <v>3</v>
      </c>
      <c r="L52" s="3080"/>
      <c r="M52" s="3086">
        <v>15000</v>
      </c>
      <c r="N52" s="3087">
        <f t="shared" si="4"/>
        <v>0</v>
      </c>
      <c r="O52" s="3080">
        <v>0</v>
      </c>
      <c r="P52" s="3086">
        <v>20000</v>
      </c>
      <c r="Q52" s="3088">
        <f t="shared" si="0"/>
        <v>0</v>
      </c>
      <c r="R52" s="3089">
        <f t="shared" si="1"/>
        <v>0</v>
      </c>
      <c r="S52" s="3080">
        <f t="shared" si="10"/>
        <v>3</v>
      </c>
      <c r="T52" s="3086">
        <v>15000</v>
      </c>
      <c r="U52" s="3088">
        <f t="shared" si="6"/>
        <v>45000</v>
      </c>
      <c r="V52" s="3080">
        <v>0</v>
      </c>
      <c r="W52" s="3086">
        <v>20000</v>
      </c>
      <c r="X52" s="3088">
        <f t="shared" si="2"/>
        <v>0</v>
      </c>
      <c r="Y52" s="3089">
        <f t="shared" si="3"/>
        <v>45000</v>
      </c>
      <c r="Z52" s="3090">
        <v>26</v>
      </c>
      <c r="AA52" s="3091">
        <v>150</v>
      </c>
      <c r="AB52" s="3087">
        <f t="shared" si="7"/>
        <v>3900</v>
      </c>
      <c r="AC52" s="3092"/>
      <c r="AD52" s="3092"/>
      <c r="AE52" s="3093">
        <f t="shared" si="8"/>
        <v>3900</v>
      </c>
      <c r="AF52" s="3094">
        <f t="shared" si="9"/>
        <v>48900</v>
      </c>
    </row>
    <row r="53" spans="1:32" s="3095" customFormat="1" ht="30" customHeight="1">
      <c r="A53" s="3082">
        <v>1</v>
      </c>
      <c r="B53" s="3083" t="s">
        <v>1759</v>
      </c>
      <c r="C53" s="3083" t="s">
        <v>1728</v>
      </c>
      <c r="D53" s="3083" t="s">
        <v>1359</v>
      </c>
      <c r="E53" s="3084" t="s">
        <v>1188</v>
      </c>
      <c r="F53" s="3084" t="s">
        <v>1189</v>
      </c>
      <c r="G53" s="3080" t="s">
        <v>1240</v>
      </c>
      <c r="H53" s="3084" t="s">
        <v>1187</v>
      </c>
      <c r="I53" s="3085"/>
      <c r="J53" s="3085"/>
      <c r="K53" s="3081">
        <v>3</v>
      </c>
      <c r="L53" s="3080"/>
      <c r="M53" s="3086">
        <v>36000</v>
      </c>
      <c r="N53" s="3087">
        <f t="shared" si="4"/>
        <v>0</v>
      </c>
      <c r="O53" s="3080">
        <v>0</v>
      </c>
      <c r="P53" s="3086">
        <v>20000</v>
      </c>
      <c r="Q53" s="3088">
        <f t="shared" si="0"/>
        <v>0</v>
      </c>
      <c r="R53" s="3089">
        <f t="shared" si="1"/>
        <v>0</v>
      </c>
      <c r="S53" s="3080">
        <f>+K53</f>
        <v>3</v>
      </c>
      <c r="T53" s="3086">
        <v>36000</v>
      </c>
      <c r="U53" s="3088">
        <f t="shared" si="6"/>
        <v>108000</v>
      </c>
      <c r="V53" s="3080">
        <v>0</v>
      </c>
      <c r="W53" s="3086">
        <v>20000</v>
      </c>
      <c r="X53" s="3088">
        <f t="shared" si="2"/>
        <v>0</v>
      </c>
      <c r="Y53" s="3089">
        <f t="shared" si="3"/>
        <v>108000</v>
      </c>
      <c r="Z53" s="3090">
        <v>42</v>
      </c>
      <c r="AA53" s="3091">
        <v>150</v>
      </c>
      <c r="AB53" s="3087">
        <f t="shared" si="7"/>
        <v>6300</v>
      </c>
      <c r="AC53" s="3092"/>
      <c r="AD53" s="3092"/>
      <c r="AE53" s="3093">
        <f t="shared" si="8"/>
        <v>6300</v>
      </c>
      <c r="AF53" s="3094">
        <f t="shared" si="9"/>
        <v>114300</v>
      </c>
    </row>
    <row r="54" spans="1:32" s="3095" customFormat="1" ht="30" customHeight="1">
      <c r="A54" s="3082">
        <v>2</v>
      </c>
      <c r="B54" s="3083" t="s">
        <v>1760</v>
      </c>
      <c r="C54" s="3083" t="s">
        <v>1755</v>
      </c>
      <c r="D54" s="3083" t="s">
        <v>1359</v>
      </c>
      <c r="E54" s="3084" t="s">
        <v>1188</v>
      </c>
      <c r="F54" s="3084" t="s">
        <v>1189</v>
      </c>
      <c r="G54" s="3080" t="s">
        <v>1240</v>
      </c>
      <c r="H54" s="3084" t="s">
        <v>1187</v>
      </c>
      <c r="I54" s="3085"/>
      <c r="J54" s="3085"/>
      <c r="K54" s="3081">
        <v>3</v>
      </c>
      <c r="L54" s="3080"/>
      <c r="M54" s="3086">
        <v>36000</v>
      </c>
      <c r="N54" s="3087">
        <f t="shared" si="4"/>
        <v>0</v>
      </c>
      <c r="O54" s="3080">
        <v>0</v>
      </c>
      <c r="P54" s="3086">
        <v>20000</v>
      </c>
      <c r="Q54" s="3088">
        <f t="shared" si="0"/>
        <v>0</v>
      </c>
      <c r="R54" s="3089">
        <f t="shared" si="1"/>
        <v>0</v>
      </c>
      <c r="S54" s="3080">
        <f t="shared" ref="S54:S66" si="11">+K54</f>
        <v>3</v>
      </c>
      <c r="T54" s="3086">
        <v>36000</v>
      </c>
      <c r="U54" s="3088">
        <f t="shared" si="6"/>
        <v>108000</v>
      </c>
      <c r="V54" s="3080">
        <v>0</v>
      </c>
      <c r="W54" s="3086">
        <v>20000</v>
      </c>
      <c r="X54" s="3088">
        <f t="shared" si="2"/>
        <v>0</v>
      </c>
      <c r="Y54" s="3089">
        <f t="shared" si="3"/>
        <v>108000</v>
      </c>
      <c r="Z54" s="3090">
        <v>42</v>
      </c>
      <c r="AA54" s="3091">
        <v>150</v>
      </c>
      <c r="AB54" s="3087">
        <f t="shared" si="7"/>
        <v>6300</v>
      </c>
      <c r="AC54" s="3092"/>
      <c r="AD54" s="3092"/>
      <c r="AE54" s="3093">
        <f t="shared" si="8"/>
        <v>6300</v>
      </c>
      <c r="AF54" s="3094">
        <f t="shared" si="9"/>
        <v>114300</v>
      </c>
    </row>
    <row r="55" spans="1:32" s="3095" customFormat="1" ht="30" customHeight="1">
      <c r="A55" s="3082">
        <v>3</v>
      </c>
      <c r="B55" s="3083" t="s">
        <v>1761</v>
      </c>
      <c r="C55" s="3083" t="s">
        <v>1728</v>
      </c>
      <c r="D55" s="3083" t="s">
        <v>1762</v>
      </c>
      <c r="E55" s="3084" t="s">
        <v>1188</v>
      </c>
      <c r="F55" s="3084" t="s">
        <v>1189</v>
      </c>
      <c r="G55" s="3080" t="s">
        <v>1240</v>
      </c>
      <c r="H55" s="3084" t="s">
        <v>1362</v>
      </c>
      <c r="I55" s="3085"/>
      <c r="J55" s="3085"/>
      <c r="K55" s="3081">
        <v>3</v>
      </c>
      <c r="L55" s="3080"/>
      <c r="M55" s="3086">
        <v>36000</v>
      </c>
      <c r="N55" s="3087">
        <f t="shared" si="4"/>
        <v>0</v>
      </c>
      <c r="O55" s="3080">
        <v>0</v>
      </c>
      <c r="P55" s="3086">
        <v>20000</v>
      </c>
      <c r="Q55" s="3088">
        <f t="shared" si="0"/>
        <v>0</v>
      </c>
      <c r="R55" s="3089">
        <f t="shared" si="1"/>
        <v>0</v>
      </c>
      <c r="S55" s="3080">
        <f t="shared" si="11"/>
        <v>3</v>
      </c>
      <c r="T55" s="3086">
        <v>36000</v>
      </c>
      <c r="U55" s="3088">
        <f t="shared" si="6"/>
        <v>108000</v>
      </c>
      <c r="V55" s="3080">
        <v>0</v>
      </c>
      <c r="W55" s="3086">
        <v>20000</v>
      </c>
      <c r="X55" s="3088">
        <f t="shared" si="2"/>
        <v>0</v>
      </c>
      <c r="Y55" s="3089">
        <f t="shared" si="3"/>
        <v>108000</v>
      </c>
      <c r="Z55" s="3090">
        <v>138</v>
      </c>
      <c r="AA55" s="3091">
        <v>150</v>
      </c>
      <c r="AB55" s="3087">
        <f t="shared" si="7"/>
        <v>20700</v>
      </c>
      <c r="AC55" s="3092"/>
      <c r="AD55" s="3092"/>
      <c r="AE55" s="3093">
        <f t="shared" si="8"/>
        <v>20700</v>
      </c>
      <c r="AF55" s="3094">
        <f t="shared" si="9"/>
        <v>128700</v>
      </c>
    </row>
    <row r="56" spans="1:32" s="3095" customFormat="1" ht="30" customHeight="1">
      <c r="A56" s="3082">
        <v>4</v>
      </c>
      <c r="B56" s="3083" t="s">
        <v>1363</v>
      </c>
      <c r="C56" s="3083" t="s">
        <v>1726</v>
      </c>
      <c r="D56" s="3083" t="s">
        <v>1364</v>
      </c>
      <c r="E56" s="3084" t="s">
        <v>1188</v>
      </c>
      <c r="F56" s="3084" t="s">
        <v>1189</v>
      </c>
      <c r="G56" s="3080" t="s">
        <v>1240</v>
      </c>
      <c r="H56" s="3084" t="s">
        <v>1362</v>
      </c>
      <c r="I56" s="3085"/>
      <c r="J56" s="3085"/>
      <c r="K56" s="3081">
        <v>3</v>
      </c>
      <c r="L56" s="3080"/>
      <c r="M56" s="3086">
        <v>36000</v>
      </c>
      <c r="N56" s="3087">
        <f t="shared" si="4"/>
        <v>0</v>
      </c>
      <c r="O56" s="3080">
        <v>0</v>
      </c>
      <c r="P56" s="3086">
        <v>20000</v>
      </c>
      <c r="Q56" s="3088">
        <f t="shared" si="0"/>
        <v>0</v>
      </c>
      <c r="R56" s="3089">
        <f t="shared" si="1"/>
        <v>0</v>
      </c>
      <c r="S56" s="3080">
        <f t="shared" si="11"/>
        <v>3</v>
      </c>
      <c r="T56" s="3086">
        <v>36000</v>
      </c>
      <c r="U56" s="3088">
        <f t="shared" si="6"/>
        <v>108000</v>
      </c>
      <c r="V56" s="3080">
        <v>0</v>
      </c>
      <c r="W56" s="3086">
        <v>20000</v>
      </c>
      <c r="X56" s="3088">
        <f t="shared" si="2"/>
        <v>0</v>
      </c>
      <c r="Y56" s="3089">
        <f t="shared" si="3"/>
        <v>108000</v>
      </c>
      <c r="Z56" s="3090">
        <v>130</v>
      </c>
      <c r="AA56" s="3091">
        <v>150</v>
      </c>
      <c r="AB56" s="3087">
        <f t="shared" si="7"/>
        <v>19500</v>
      </c>
      <c r="AC56" s="3092"/>
      <c r="AD56" s="3092"/>
      <c r="AE56" s="3093">
        <f t="shared" si="8"/>
        <v>19500</v>
      </c>
      <c r="AF56" s="3094">
        <f t="shared" si="9"/>
        <v>127500</v>
      </c>
    </row>
    <row r="57" spans="1:32" s="3095" customFormat="1" ht="30" customHeight="1">
      <c r="A57" s="3082">
        <v>5</v>
      </c>
      <c r="B57" s="3083" t="s">
        <v>1763</v>
      </c>
      <c r="C57" s="3083" t="s">
        <v>1741</v>
      </c>
      <c r="D57" s="3083" t="s">
        <v>1764</v>
      </c>
      <c r="E57" s="3084" t="s">
        <v>1188</v>
      </c>
      <c r="F57" s="3084" t="s">
        <v>1189</v>
      </c>
      <c r="G57" s="3080" t="s">
        <v>1240</v>
      </c>
      <c r="H57" s="3084" t="s">
        <v>1362</v>
      </c>
      <c r="I57" s="3085"/>
      <c r="J57" s="3085"/>
      <c r="K57" s="3081">
        <v>3</v>
      </c>
      <c r="L57" s="3080"/>
      <c r="M57" s="3086">
        <v>36000</v>
      </c>
      <c r="N57" s="3087">
        <f t="shared" si="4"/>
        <v>0</v>
      </c>
      <c r="O57" s="3080">
        <v>0</v>
      </c>
      <c r="P57" s="3086">
        <v>20000</v>
      </c>
      <c r="Q57" s="3088">
        <f t="shared" si="0"/>
        <v>0</v>
      </c>
      <c r="R57" s="3089">
        <f t="shared" si="1"/>
        <v>0</v>
      </c>
      <c r="S57" s="3080">
        <f t="shared" si="11"/>
        <v>3</v>
      </c>
      <c r="T57" s="3086">
        <v>36000</v>
      </c>
      <c r="U57" s="3088">
        <f t="shared" si="6"/>
        <v>108000</v>
      </c>
      <c r="V57" s="3080">
        <v>0</v>
      </c>
      <c r="W57" s="3086">
        <v>20000</v>
      </c>
      <c r="X57" s="3088">
        <f t="shared" si="2"/>
        <v>0</v>
      </c>
      <c r="Y57" s="3089">
        <f t="shared" si="3"/>
        <v>108000</v>
      </c>
      <c r="Z57" s="3090">
        <v>98</v>
      </c>
      <c r="AA57" s="3091">
        <v>150</v>
      </c>
      <c r="AB57" s="3087">
        <f t="shared" si="7"/>
        <v>14700</v>
      </c>
      <c r="AC57" s="3092"/>
      <c r="AD57" s="3092"/>
      <c r="AE57" s="3093">
        <f t="shared" si="8"/>
        <v>14700</v>
      </c>
      <c r="AF57" s="3094">
        <f t="shared" si="9"/>
        <v>122700</v>
      </c>
    </row>
    <row r="58" spans="1:32" s="3095" customFormat="1" ht="30" customHeight="1">
      <c r="A58" s="3082">
        <v>6</v>
      </c>
      <c r="B58" s="3083" t="s">
        <v>1765</v>
      </c>
      <c r="C58" s="3083" t="s">
        <v>1726</v>
      </c>
      <c r="D58" s="3083" t="s">
        <v>1766</v>
      </c>
      <c r="E58" s="3084" t="s">
        <v>1188</v>
      </c>
      <c r="F58" s="3084" t="s">
        <v>1189</v>
      </c>
      <c r="G58" s="3080" t="s">
        <v>1240</v>
      </c>
      <c r="H58" s="3084" t="s">
        <v>1362</v>
      </c>
      <c r="I58" s="3085"/>
      <c r="J58" s="3085"/>
      <c r="K58" s="3081">
        <v>3</v>
      </c>
      <c r="L58" s="3080"/>
      <c r="M58" s="3086">
        <v>36000</v>
      </c>
      <c r="N58" s="3087">
        <f t="shared" si="4"/>
        <v>0</v>
      </c>
      <c r="O58" s="3080">
        <v>0</v>
      </c>
      <c r="P58" s="3086">
        <v>20000</v>
      </c>
      <c r="Q58" s="3088">
        <f t="shared" si="0"/>
        <v>0</v>
      </c>
      <c r="R58" s="3089">
        <f t="shared" si="1"/>
        <v>0</v>
      </c>
      <c r="S58" s="3080">
        <f t="shared" si="11"/>
        <v>3</v>
      </c>
      <c r="T58" s="3086">
        <v>36000</v>
      </c>
      <c r="U58" s="3088">
        <f t="shared" si="6"/>
        <v>108000</v>
      </c>
      <c r="V58" s="3080">
        <v>0</v>
      </c>
      <c r="W58" s="3086">
        <v>20000</v>
      </c>
      <c r="X58" s="3088">
        <f t="shared" si="2"/>
        <v>0</v>
      </c>
      <c r="Y58" s="3089">
        <f t="shared" si="3"/>
        <v>108000</v>
      </c>
      <c r="Z58" s="3090">
        <v>152</v>
      </c>
      <c r="AA58" s="3091">
        <v>150</v>
      </c>
      <c r="AB58" s="3087">
        <f t="shared" si="7"/>
        <v>22800</v>
      </c>
      <c r="AC58" s="3092"/>
      <c r="AD58" s="3092"/>
      <c r="AE58" s="3093">
        <f t="shared" si="8"/>
        <v>22800</v>
      </c>
      <c r="AF58" s="3094">
        <f t="shared" si="9"/>
        <v>130800</v>
      </c>
    </row>
    <row r="59" spans="1:32" s="3095" customFormat="1" ht="30" customHeight="1">
      <c r="A59" s="3082">
        <v>7</v>
      </c>
      <c r="B59" s="3083" t="s">
        <v>1365</v>
      </c>
      <c r="C59" s="3083" t="s">
        <v>1745</v>
      </c>
      <c r="D59" s="3083" t="s">
        <v>1366</v>
      </c>
      <c r="E59" s="3084" t="s">
        <v>1188</v>
      </c>
      <c r="F59" s="3084" t="s">
        <v>1189</v>
      </c>
      <c r="G59" s="3080" t="s">
        <v>1240</v>
      </c>
      <c r="H59" s="3084" t="s">
        <v>1362</v>
      </c>
      <c r="I59" s="3085"/>
      <c r="J59" s="3085"/>
      <c r="K59" s="3081">
        <v>3</v>
      </c>
      <c r="L59" s="3080"/>
      <c r="M59" s="3086">
        <v>36000</v>
      </c>
      <c r="N59" s="3087">
        <f t="shared" si="4"/>
        <v>0</v>
      </c>
      <c r="O59" s="3080">
        <v>0</v>
      </c>
      <c r="P59" s="3086">
        <v>20000</v>
      </c>
      <c r="Q59" s="3088">
        <f t="shared" si="0"/>
        <v>0</v>
      </c>
      <c r="R59" s="3089">
        <f t="shared" si="1"/>
        <v>0</v>
      </c>
      <c r="S59" s="3080">
        <f t="shared" si="11"/>
        <v>3</v>
      </c>
      <c r="T59" s="3086">
        <v>36000</v>
      </c>
      <c r="U59" s="3088">
        <f t="shared" si="6"/>
        <v>108000</v>
      </c>
      <c r="V59" s="3080">
        <v>0</v>
      </c>
      <c r="W59" s="3086">
        <v>20000</v>
      </c>
      <c r="X59" s="3088">
        <f t="shared" si="2"/>
        <v>0</v>
      </c>
      <c r="Y59" s="3089">
        <f t="shared" si="3"/>
        <v>108000</v>
      </c>
      <c r="Z59" s="3090">
        <v>152</v>
      </c>
      <c r="AA59" s="3091">
        <v>150</v>
      </c>
      <c r="AB59" s="3087">
        <f t="shared" si="7"/>
        <v>22800</v>
      </c>
      <c r="AC59" s="3092"/>
      <c r="AD59" s="3092"/>
      <c r="AE59" s="3093">
        <f t="shared" si="8"/>
        <v>22800</v>
      </c>
      <c r="AF59" s="3094">
        <f t="shared" si="9"/>
        <v>130800</v>
      </c>
    </row>
    <row r="60" spans="1:32" s="3095" customFormat="1" ht="30" customHeight="1">
      <c r="A60" s="3082">
        <v>8</v>
      </c>
      <c r="B60" s="3083" t="s">
        <v>1767</v>
      </c>
      <c r="C60" s="3083" t="s">
        <v>1768</v>
      </c>
      <c r="D60" s="3083" t="s">
        <v>1769</v>
      </c>
      <c r="E60" s="3084" t="s">
        <v>1188</v>
      </c>
      <c r="F60" s="3084" t="s">
        <v>1189</v>
      </c>
      <c r="G60" s="3080" t="s">
        <v>1240</v>
      </c>
      <c r="H60" s="3084" t="s">
        <v>1362</v>
      </c>
      <c r="I60" s="3085"/>
      <c r="J60" s="3085"/>
      <c r="K60" s="3081">
        <v>3</v>
      </c>
      <c r="L60" s="3080"/>
      <c r="M60" s="3086">
        <v>36000</v>
      </c>
      <c r="N60" s="3087">
        <f t="shared" si="4"/>
        <v>0</v>
      </c>
      <c r="O60" s="3080">
        <v>0</v>
      </c>
      <c r="P60" s="3086">
        <v>20000</v>
      </c>
      <c r="Q60" s="3088">
        <f t="shared" si="0"/>
        <v>0</v>
      </c>
      <c r="R60" s="3089">
        <f t="shared" si="1"/>
        <v>0</v>
      </c>
      <c r="S60" s="3080">
        <f t="shared" si="11"/>
        <v>3</v>
      </c>
      <c r="T60" s="3086">
        <v>36000</v>
      </c>
      <c r="U60" s="3088">
        <f t="shared" si="6"/>
        <v>108000</v>
      </c>
      <c r="V60" s="3080">
        <v>0</v>
      </c>
      <c r="W60" s="3086">
        <v>20000</v>
      </c>
      <c r="X60" s="3088">
        <f t="shared" si="2"/>
        <v>0</v>
      </c>
      <c r="Y60" s="3089">
        <f t="shared" si="3"/>
        <v>108000</v>
      </c>
      <c r="Z60" s="3090">
        <v>128</v>
      </c>
      <c r="AA60" s="3091">
        <v>150</v>
      </c>
      <c r="AB60" s="3087">
        <f t="shared" si="7"/>
        <v>19200</v>
      </c>
      <c r="AC60" s="3092"/>
      <c r="AD60" s="3092"/>
      <c r="AE60" s="3093">
        <f t="shared" si="8"/>
        <v>19200</v>
      </c>
      <c r="AF60" s="3094">
        <f t="shared" si="9"/>
        <v>127200</v>
      </c>
    </row>
    <row r="61" spans="1:32" s="3095" customFormat="1" ht="30" customHeight="1">
      <c r="A61" s="3082">
        <v>9</v>
      </c>
      <c r="B61" s="3083" t="s">
        <v>1375</v>
      </c>
      <c r="C61" s="3083" t="s">
        <v>1728</v>
      </c>
      <c r="D61" s="3083" t="s">
        <v>1334</v>
      </c>
      <c r="E61" s="3084" t="s">
        <v>1188</v>
      </c>
      <c r="F61" s="3084" t="s">
        <v>1189</v>
      </c>
      <c r="G61" s="3080" t="s">
        <v>1240</v>
      </c>
      <c r="H61" s="3084" t="s">
        <v>1362</v>
      </c>
      <c r="I61" s="3085"/>
      <c r="J61" s="3085"/>
      <c r="K61" s="3081">
        <v>3</v>
      </c>
      <c r="L61" s="3080"/>
      <c r="M61" s="3086">
        <v>36000</v>
      </c>
      <c r="N61" s="3087">
        <f t="shared" si="4"/>
        <v>0</v>
      </c>
      <c r="O61" s="3080">
        <v>0</v>
      </c>
      <c r="P61" s="3086">
        <v>20000</v>
      </c>
      <c r="Q61" s="3088">
        <f t="shared" si="0"/>
        <v>0</v>
      </c>
      <c r="R61" s="3089">
        <f t="shared" si="1"/>
        <v>0</v>
      </c>
      <c r="S61" s="3080">
        <f t="shared" si="11"/>
        <v>3</v>
      </c>
      <c r="T61" s="3086">
        <v>36000</v>
      </c>
      <c r="U61" s="3088">
        <f t="shared" si="6"/>
        <v>108000</v>
      </c>
      <c r="V61" s="3080">
        <v>0</v>
      </c>
      <c r="W61" s="3086">
        <v>20000</v>
      </c>
      <c r="X61" s="3088">
        <f t="shared" si="2"/>
        <v>0</v>
      </c>
      <c r="Y61" s="3089">
        <f t="shared" si="3"/>
        <v>108000</v>
      </c>
      <c r="Z61" s="3090">
        <v>152</v>
      </c>
      <c r="AA61" s="3091">
        <v>150</v>
      </c>
      <c r="AB61" s="3087">
        <f t="shared" si="7"/>
        <v>22800</v>
      </c>
      <c r="AC61" s="3092"/>
      <c r="AD61" s="3092"/>
      <c r="AE61" s="3093">
        <f t="shared" si="8"/>
        <v>22800</v>
      </c>
      <c r="AF61" s="3094">
        <f t="shared" si="9"/>
        <v>130800</v>
      </c>
    </row>
    <row r="62" spans="1:32" s="3095" customFormat="1" ht="30" customHeight="1">
      <c r="A62" s="3082"/>
      <c r="B62" s="3083" t="s">
        <v>1770</v>
      </c>
      <c r="C62" s="3083" t="s">
        <v>1728</v>
      </c>
      <c r="D62" s="3083" t="s">
        <v>1334</v>
      </c>
      <c r="E62" s="3084" t="s">
        <v>1188</v>
      </c>
      <c r="F62" s="3084" t="s">
        <v>1189</v>
      </c>
      <c r="G62" s="3080" t="s">
        <v>1240</v>
      </c>
      <c r="H62" s="3084" t="s">
        <v>1362</v>
      </c>
      <c r="I62" s="3085"/>
      <c r="J62" s="3085"/>
      <c r="K62" s="3081">
        <v>3</v>
      </c>
      <c r="L62" s="3080"/>
      <c r="M62" s="3086">
        <v>36000</v>
      </c>
      <c r="N62" s="3087">
        <f t="shared" si="4"/>
        <v>0</v>
      </c>
      <c r="O62" s="3080">
        <v>0</v>
      </c>
      <c r="P62" s="3086">
        <v>20000</v>
      </c>
      <c r="Q62" s="3088">
        <f t="shared" si="0"/>
        <v>0</v>
      </c>
      <c r="R62" s="3089">
        <f t="shared" si="1"/>
        <v>0</v>
      </c>
      <c r="S62" s="3080">
        <f t="shared" si="11"/>
        <v>3</v>
      </c>
      <c r="T62" s="3086">
        <v>36000</v>
      </c>
      <c r="U62" s="3088">
        <f t="shared" si="6"/>
        <v>108000</v>
      </c>
      <c r="V62" s="3080">
        <v>0</v>
      </c>
      <c r="W62" s="3086">
        <v>20000</v>
      </c>
      <c r="X62" s="3088">
        <f t="shared" si="2"/>
        <v>0</v>
      </c>
      <c r="Y62" s="3089">
        <f t="shared" si="3"/>
        <v>108000</v>
      </c>
      <c r="Z62" s="3090">
        <v>152</v>
      </c>
      <c r="AA62" s="3091">
        <v>150</v>
      </c>
      <c r="AB62" s="3087">
        <f t="shared" si="7"/>
        <v>22800</v>
      </c>
      <c r="AC62" s="3092"/>
      <c r="AD62" s="3092"/>
      <c r="AE62" s="3093">
        <f t="shared" si="8"/>
        <v>22800</v>
      </c>
      <c r="AF62" s="3094">
        <f t="shared" si="9"/>
        <v>130800</v>
      </c>
    </row>
    <row r="63" spans="1:32" s="3095" customFormat="1" ht="30" customHeight="1">
      <c r="A63" s="3082">
        <v>10</v>
      </c>
      <c r="B63" s="3083" t="s">
        <v>1378</v>
      </c>
      <c r="C63" s="3083" t="s">
        <v>1771</v>
      </c>
      <c r="D63" s="3083" t="s">
        <v>1379</v>
      </c>
      <c r="E63" s="3084" t="s">
        <v>1188</v>
      </c>
      <c r="F63" s="3084" t="s">
        <v>1189</v>
      </c>
      <c r="G63" s="3080" t="s">
        <v>1240</v>
      </c>
      <c r="H63" s="3084" t="s">
        <v>1380</v>
      </c>
      <c r="I63" s="3085"/>
      <c r="J63" s="3085"/>
      <c r="K63" s="3081">
        <v>3</v>
      </c>
      <c r="L63" s="3080"/>
      <c r="M63" s="3086">
        <v>36000</v>
      </c>
      <c r="N63" s="3087">
        <f t="shared" si="4"/>
        <v>0</v>
      </c>
      <c r="O63" s="3080">
        <v>0</v>
      </c>
      <c r="P63" s="3086">
        <v>20000</v>
      </c>
      <c r="Q63" s="3088">
        <f t="shared" si="0"/>
        <v>0</v>
      </c>
      <c r="R63" s="3089">
        <f t="shared" si="1"/>
        <v>0</v>
      </c>
      <c r="S63" s="3080">
        <f t="shared" si="11"/>
        <v>3</v>
      </c>
      <c r="T63" s="3086">
        <v>36000</v>
      </c>
      <c r="U63" s="3088">
        <f t="shared" si="6"/>
        <v>108000</v>
      </c>
      <c r="V63" s="3080">
        <v>0</v>
      </c>
      <c r="W63" s="3086">
        <v>20000</v>
      </c>
      <c r="X63" s="3088">
        <f t="shared" si="2"/>
        <v>0</v>
      </c>
      <c r="Y63" s="3089">
        <f t="shared" si="3"/>
        <v>108000</v>
      </c>
      <c r="Z63" s="3090">
        <v>58</v>
      </c>
      <c r="AA63" s="3091">
        <v>150</v>
      </c>
      <c r="AB63" s="3087">
        <f t="shared" si="7"/>
        <v>8700</v>
      </c>
      <c r="AC63" s="3092"/>
      <c r="AD63" s="3092"/>
      <c r="AE63" s="3093">
        <f t="shared" si="8"/>
        <v>8700</v>
      </c>
      <c r="AF63" s="3094">
        <f t="shared" si="9"/>
        <v>116700</v>
      </c>
    </row>
    <row r="64" spans="1:32" s="3095" customFormat="1" ht="30" customHeight="1">
      <c r="A64" s="3082">
        <v>11</v>
      </c>
      <c r="B64" s="3083" t="s">
        <v>1381</v>
      </c>
      <c r="C64" s="3083" t="s">
        <v>1745</v>
      </c>
      <c r="D64" s="3083" t="s">
        <v>1383</v>
      </c>
      <c r="E64" s="3084" t="s">
        <v>1188</v>
      </c>
      <c r="F64" s="3084" t="s">
        <v>1189</v>
      </c>
      <c r="G64" s="3080" t="s">
        <v>1240</v>
      </c>
      <c r="H64" s="3084" t="s">
        <v>1380</v>
      </c>
      <c r="I64" s="3085"/>
      <c r="J64" s="3085"/>
      <c r="K64" s="3081">
        <v>3</v>
      </c>
      <c r="L64" s="3080"/>
      <c r="M64" s="3086">
        <v>36000</v>
      </c>
      <c r="N64" s="3087">
        <f t="shared" si="4"/>
        <v>0</v>
      </c>
      <c r="O64" s="3080">
        <v>0</v>
      </c>
      <c r="P64" s="3086">
        <v>20000</v>
      </c>
      <c r="Q64" s="3088">
        <f t="shared" si="0"/>
        <v>0</v>
      </c>
      <c r="R64" s="3089">
        <f t="shared" si="1"/>
        <v>0</v>
      </c>
      <c r="S64" s="3080">
        <f t="shared" si="11"/>
        <v>3</v>
      </c>
      <c r="T64" s="3086">
        <v>36000</v>
      </c>
      <c r="U64" s="3088">
        <f t="shared" si="6"/>
        <v>108000</v>
      </c>
      <c r="V64" s="3080">
        <v>0</v>
      </c>
      <c r="W64" s="3086">
        <v>20000</v>
      </c>
      <c r="X64" s="3088">
        <f t="shared" si="2"/>
        <v>0</v>
      </c>
      <c r="Y64" s="3089">
        <f t="shared" si="3"/>
        <v>108000</v>
      </c>
      <c r="Z64" s="3090">
        <v>48</v>
      </c>
      <c r="AA64" s="3091">
        <v>150</v>
      </c>
      <c r="AB64" s="3087">
        <f t="shared" si="7"/>
        <v>7200</v>
      </c>
      <c r="AC64" s="3092"/>
      <c r="AD64" s="3092"/>
      <c r="AE64" s="3093">
        <f t="shared" si="8"/>
        <v>7200</v>
      </c>
      <c r="AF64" s="3094">
        <f t="shared" si="9"/>
        <v>115200</v>
      </c>
    </row>
    <row r="65" spans="1:32" s="3095" customFormat="1" ht="30" customHeight="1">
      <c r="A65" s="3082">
        <v>12</v>
      </c>
      <c r="B65" s="3083" t="s">
        <v>1772</v>
      </c>
      <c r="C65" s="3083" t="s">
        <v>1741</v>
      </c>
      <c r="D65" s="3083" t="s">
        <v>1773</v>
      </c>
      <c r="E65" s="3084" t="s">
        <v>1188</v>
      </c>
      <c r="F65" s="3084" t="s">
        <v>1189</v>
      </c>
      <c r="G65" s="3080" t="s">
        <v>1190</v>
      </c>
      <c r="H65" s="3084" t="s">
        <v>1380</v>
      </c>
      <c r="I65" s="3085"/>
      <c r="J65" s="3085"/>
      <c r="K65" s="3081">
        <v>3</v>
      </c>
      <c r="L65" s="3080"/>
      <c r="M65" s="3086">
        <v>36000</v>
      </c>
      <c r="N65" s="3087">
        <f t="shared" si="4"/>
        <v>0</v>
      </c>
      <c r="O65" s="3080">
        <v>0</v>
      </c>
      <c r="P65" s="3086">
        <v>20000</v>
      </c>
      <c r="Q65" s="3088">
        <f t="shared" si="0"/>
        <v>0</v>
      </c>
      <c r="R65" s="3089">
        <f t="shared" si="1"/>
        <v>0</v>
      </c>
      <c r="S65" s="3080">
        <f t="shared" si="11"/>
        <v>3</v>
      </c>
      <c r="T65" s="3086">
        <v>36000</v>
      </c>
      <c r="U65" s="3088">
        <f t="shared" si="6"/>
        <v>108000</v>
      </c>
      <c r="V65" s="3080">
        <v>0</v>
      </c>
      <c r="W65" s="3086">
        <v>20000</v>
      </c>
      <c r="X65" s="3088">
        <f t="shared" si="2"/>
        <v>0</v>
      </c>
      <c r="Y65" s="3089">
        <f t="shared" si="3"/>
        <v>108000</v>
      </c>
      <c r="Z65" s="3090">
        <v>22</v>
      </c>
      <c r="AA65" s="3091">
        <v>150</v>
      </c>
      <c r="AB65" s="3087">
        <f t="shared" si="7"/>
        <v>3300</v>
      </c>
      <c r="AC65" s="3092"/>
      <c r="AD65" s="3092"/>
      <c r="AE65" s="3093">
        <f t="shared" si="8"/>
        <v>3300</v>
      </c>
      <c r="AF65" s="3094">
        <f t="shared" si="9"/>
        <v>111300</v>
      </c>
    </row>
    <row r="66" spans="1:32" s="3095" customFormat="1" ht="30" customHeight="1">
      <c r="A66" s="3082"/>
      <c r="B66" s="3083" t="s">
        <v>1774</v>
      </c>
      <c r="C66" s="3083" t="s">
        <v>1745</v>
      </c>
      <c r="D66" s="3083" t="s">
        <v>1775</v>
      </c>
      <c r="E66" s="3084" t="s">
        <v>1188</v>
      </c>
      <c r="F66" s="3084" t="s">
        <v>1189</v>
      </c>
      <c r="G66" s="3080" t="s">
        <v>1190</v>
      </c>
      <c r="H66" s="3084" t="s">
        <v>1380</v>
      </c>
      <c r="I66" s="3085"/>
      <c r="J66" s="3085"/>
      <c r="K66" s="3081">
        <v>3</v>
      </c>
      <c r="L66" s="3080"/>
      <c r="M66" s="3086">
        <v>36000</v>
      </c>
      <c r="N66" s="3087">
        <f t="shared" si="4"/>
        <v>0</v>
      </c>
      <c r="O66" s="3080">
        <v>0</v>
      </c>
      <c r="P66" s="3086">
        <v>20000</v>
      </c>
      <c r="Q66" s="3088">
        <f t="shared" si="0"/>
        <v>0</v>
      </c>
      <c r="R66" s="3089">
        <f t="shared" si="1"/>
        <v>0</v>
      </c>
      <c r="S66" s="3080">
        <f t="shared" si="11"/>
        <v>3</v>
      </c>
      <c r="T66" s="3086">
        <v>36000</v>
      </c>
      <c r="U66" s="3088">
        <f t="shared" si="6"/>
        <v>108000</v>
      </c>
      <c r="V66" s="3080">
        <v>0</v>
      </c>
      <c r="W66" s="3086">
        <v>20000</v>
      </c>
      <c r="X66" s="3088">
        <f t="shared" si="2"/>
        <v>0</v>
      </c>
      <c r="Y66" s="3089">
        <f t="shared" si="3"/>
        <v>108000</v>
      </c>
      <c r="Z66" s="3090">
        <v>48</v>
      </c>
      <c r="AA66" s="3091">
        <v>150</v>
      </c>
      <c r="AB66" s="3087">
        <f t="shared" si="7"/>
        <v>7200</v>
      </c>
      <c r="AC66" s="3092"/>
      <c r="AD66" s="3092"/>
      <c r="AE66" s="3093">
        <f t="shared" si="8"/>
        <v>7200</v>
      </c>
      <c r="AF66" s="3094">
        <f t="shared" si="9"/>
        <v>115200</v>
      </c>
    </row>
    <row r="67" spans="1:32" s="3095" customFormat="1" ht="30" customHeight="1">
      <c r="A67" s="3082"/>
      <c r="B67" s="3083" t="s">
        <v>1776</v>
      </c>
      <c r="C67" s="3083" t="s">
        <v>1777</v>
      </c>
      <c r="D67" s="3083" t="s">
        <v>1778</v>
      </c>
      <c r="E67" s="3084" t="s">
        <v>1188</v>
      </c>
      <c r="F67" s="3084" t="s">
        <v>1189</v>
      </c>
      <c r="G67" s="3080" t="s">
        <v>1190</v>
      </c>
      <c r="H67" s="3084" t="s">
        <v>1380</v>
      </c>
      <c r="I67" s="3085"/>
      <c r="J67" s="3085"/>
      <c r="K67" s="3081">
        <v>3</v>
      </c>
      <c r="L67" s="3080"/>
      <c r="M67" s="3086">
        <v>36000</v>
      </c>
      <c r="N67" s="3087">
        <f t="shared" si="4"/>
        <v>0</v>
      </c>
      <c r="O67" s="3080">
        <v>0</v>
      </c>
      <c r="P67" s="3086">
        <v>20000</v>
      </c>
      <c r="Q67" s="3088">
        <f t="shared" si="0"/>
        <v>0</v>
      </c>
      <c r="R67" s="3089">
        <f t="shared" si="1"/>
        <v>0</v>
      </c>
      <c r="S67" s="3080">
        <v>3</v>
      </c>
      <c r="T67" s="3086">
        <v>36000</v>
      </c>
      <c r="U67" s="3088">
        <f t="shared" si="6"/>
        <v>108000</v>
      </c>
      <c r="V67" s="3080">
        <v>0</v>
      </c>
      <c r="W67" s="3086">
        <v>20000</v>
      </c>
      <c r="X67" s="3088">
        <f t="shared" si="2"/>
        <v>0</v>
      </c>
      <c r="Y67" s="3089">
        <f t="shared" si="3"/>
        <v>108000</v>
      </c>
      <c r="Z67" s="3090">
        <v>36</v>
      </c>
      <c r="AA67" s="3091">
        <v>150</v>
      </c>
      <c r="AB67" s="3087">
        <f t="shared" si="7"/>
        <v>5400</v>
      </c>
      <c r="AC67" s="3092"/>
      <c r="AD67" s="3092"/>
      <c r="AE67" s="3093">
        <f t="shared" si="8"/>
        <v>5400</v>
      </c>
      <c r="AF67" s="3094">
        <f t="shared" si="9"/>
        <v>113400</v>
      </c>
    </row>
    <row r="68" spans="1:32" s="3095" customFormat="1" ht="30" customHeight="1">
      <c r="A68" s="3082"/>
      <c r="B68" s="3083" t="s">
        <v>1389</v>
      </c>
      <c r="C68" s="3083" t="s">
        <v>1728</v>
      </c>
      <c r="D68" s="3083" t="s">
        <v>1390</v>
      </c>
      <c r="E68" s="3084" t="s">
        <v>1188</v>
      </c>
      <c r="F68" s="3084" t="s">
        <v>1189</v>
      </c>
      <c r="G68" s="3080" t="s">
        <v>1190</v>
      </c>
      <c r="H68" s="3084" t="s">
        <v>1380</v>
      </c>
      <c r="I68" s="3085"/>
      <c r="J68" s="3085"/>
      <c r="K68" s="3081">
        <v>3</v>
      </c>
      <c r="L68" s="3080"/>
      <c r="M68" s="3086">
        <v>36000</v>
      </c>
      <c r="N68" s="3087">
        <f t="shared" si="4"/>
        <v>0</v>
      </c>
      <c r="O68" s="3080">
        <v>0</v>
      </c>
      <c r="P68" s="3086">
        <v>20000</v>
      </c>
      <c r="Q68" s="3088">
        <f t="shared" si="0"/>
        <v>0</v>
      </c>
      <c r="R68" s="3089">
        <f t="shared" si="1"/>
        <v>0</v>
      </c>
      <c r="S68" s="3080">
        <v>3</v>
      </c>
      <c r="T68" s="3086">
        <v>36000</v>
      </c>
      <c r="U68" s="3088">
        <f t="shared" si="6"/>
        <v>108000</v>
      </c>
      <c r="V68" s="3080">
        <v>0</v>
      </c>
      <c r="W68" s="3086">
        <v>20000</v>
      </c>
      <c r="X68" s="3088">
        <f t="shared" si="2"/>
        <v>0</v>
      </c>
      <c r="Y68" s="3089">
        <f t="shared" si="3"/>
        <v>108000</v>
      </c>
      <c r="Z68" s="3090">
        <v>42</v>
      </c>
      <c r="AA68" s="3091">
        <v>150</v>
      </c>
      <c r="AB68" s="3087">
        <f t="shared" si="7"/>
        <v>6300</v>
      </c>
      <c r="AC68" s="3092"/>
      <c r="AD68" s="3092"/>
      <c r="AE68" s="3093">
        <f t="shared" si="8"/>
        <v>6300</v>
      </c>
      <c r="AF68" s="3094">
        <f t="shared" si="9"/>
        <v>114300</v>
      </c>
    </row>
    <row r="69" spans="1:32" s="3095" customFormat="1" ht="30" customHeight="1">
      <c r="A69" s="3082"/>
      <c r="B69" s="3083" t="s">
        <v>1779</v>
      </c>
      <c r="C69" s="3083" t="s">
        <v>1771</v>
      </c>
      <c r="D69" s="3083" t="s">
        <v>1390</v>
      </c>
      <c r="E69" s="3084" t="s">
        <v>1188</v>
      </c>
      <c r="F69" s="3084" t="s">
        <v>1189</v>
      </c>
      <c r="G69" s="3080" t="s">
        <v>1190</v>
      </c>
      <c r="H69" s="3084" t="s">
        <v>1380</v>
      </c>
      <c r="I69" s="3085"/>
      <c r="J69" s="3085"/>
      <c r="K69" s="3081">
        <v>3</v>
      </c>
      <c r="L69" s="3080"/>
      <c r="M69" s="3086">
        <v>36000</v>
      </c>
      <c r="N69" s="3087">
        <f t="shared" si="4"/>
        <v>0</v>
      </c>
      <c r="O69" s="3080">
        <v>0</v>
      </c>
      <c r="P69" s="3086">
        <v>20000</v>
      </c>
      <c r="Q69" s="3088">
        <f t="shared" si="0"/>
        <v>0</v>
      </c>
      <c r="R69" s="3089">
        <f t="shared" si="1"/>
        <v>0</v>
      </c>
      <c r="S69" s="3080">
        <v>3</v>
      </c>
      <c r="T69" s="3086">
        <v>36000</v>
      </c>
      <c r="U69" s="3088">
        <f t="shared" si="6"/>
        <v>108000</v>
      </c>
      <c r="V69" s="3080">
        <v>0</v>
      </c>
      <c r="W69" s="3086">
        <v>20000</v>
      </c>
      <c r="X69" s="3088">
        <f t="shared" si="2"/>
        <v>0</v>
      </c>
      <c r="Y69" s="3089">
        <f t="shared" si="3"/>
        <v>108000</v>
      </c>
      <c r="Z69" s="3090">
        <v>42</v>
      </c>
      <c r="AA69" s="3091">
        <v>150</v>
      </c>
      <c r="AB69" s="3087">
        <f t="shared" si="7"/>
        <v>6300</v>
      </c>
      <c r="AC69" s="3092"/>
      <c r="AD69" s="3092"/>
      <c r="AE69" s="3093">
        <f t="shared" si="8"/>
        <v>6300</v>
      </c>
      <c r="AF69" s="3094">
        <f t="shared" si="9"/>
        <v>114300</v>
      </c>
    </row>
    <row r="70" spans="1:32" s="3095" customFormat="1" ht="30" customHeight="1">
      <c r="A70" s="3082">
        <v>1</v>
      </c>
      <c r="B70" s="3083" t="s">
        <v>1780</v>
      </c>
      <c r="C70" s="3083" t="s">
        <v>1745</v>
      </c>
      <c r="D70" s="3083" t="s">
        <v>1781</v>
      </c>
      <c r="E70" s="3084" t="s">
        <v>1188</v>
      </c>
      <c r="F70" s="3084" t="s">
        <v>1189</v>
      </c>
      <c r="G70" s="3080" t="s">
        <v>1240</v>
      </c>
      <c r="H70" s="3084" t="s">
        <v>1380</v>
      </c>
      <c r="I70" s="3085"/>
      <c r="J70" s="3085"/>
      <c r="K70" s="3081">
        <v>3</v>
      </c>
      <c r="L70" s="3080"/>
      <c r="M70" s="3086">
        <v>36000</v>
      </c>
      <c r="N70" s="3087">
        <f t="shared" si="4"/>
        <v>0</v>
      </c>
      <c r="O70" s="3080">
        <v>0</v>
      </c>
      <c r="P70" s="3086">
        <v>20000</v>
      </c>
      <c r="Q70" s="3088">
        <f t="shared" si="0"/>
        <v>0</v>
      </c>
      <c r="R70" s="3089">
        <f t="shared" si="1"/>
        <v>0</v>
      </c>
      <c r="S70" s="3080">
        <f>+K70</f>
        <v>3</v>
      </c>
      <c r="T70" s="3086">
        <v>36000</v>
      </c>
      <c r="U70" s="3088">
        <f t="shared" si="6"/>
        <v>108000</v>
      </c>
      <c r="V70" s="3080">
        <v>0</v>
      </c>
      <c r="W70" s="3086">
        <v>20000</v>
      </c>
      <c r="X70" s="3088">
        <f t="shared" si="2"/>
        <v>0</v>
      </c>
      <c r="Y70" s="3089">
        <f t="shared" si="3"/>
        <v>108000</v>
      </c>
      <c r="Z70" s="3090">
        <v>62</v>
      </c>
      <c r="AA70" s="3091">
        <v>150</v>
      </c>
      <c r="AB70" s="3087">
        <f t="shared" si="7"/>
        <v>9300</v>
      </c>
      <c r="AC70" s="3092"/>
      <c r="AD70" s="3092"/>
      <c r="AE70" s="3093">
        <f t="shared" si="8"/>
        <v>9300</v>
      </c>
      <c r="AF70" s="3094">
        <f t="shared" si="9"/>
        <v>117300</v>
      </c>
    </row>
    <row r="71" spans="1:32" s="3095" customFormat="1" ht="30" customHeight="1">
      <c r="A71" s="3082">
        <v>2</v>
      </c>
      <c r="B71" s="3083" t="s">
        <v>1782</v>
      </c>
      <c r="C71" s="3083" t="s">
        <v>1745</v>
      </c>
      <c r="D71" s="3083" t="s">
        <v>1783</v>
      </c>
      <c r="E71" s="3084" t="s">
        <v>1188</v>
      </c>
      <c r="F71" s="3084" t="s">
        <v>1189</v>
      </c>
      <c r="G71" s="3080" t="s">
        <v>1240</v>
      </c>
      <c r="H71" s="3084" t="s">
        <v>1380</v>
      </c>
      <c r="I71" s="3085"/>
      <c r="J71" s="3085"/>
      <c r="K71" s="3081">
        <v>3</v>
      </c>
      <c r="L71" s="3080"/>
      <c r="M71" s="3086">
        <v>36000</v>
      </c>
      <c r="N71" s="3087">
        <f t="shared" si="4"/>
        <v>0</v>
      </c>
      <c r="O71" s="3080">
        <v>0</v>
      </c>
      <c r="P71" s="3086">
        <v>20000</v>
      </c>
      <c r="Q71" s="3088">
        <f t="shared" si="0"/>
        <v>0</v>
      </c>
      <c r="R71" s="3089">
        <f t="shared" si="1"/>
        <v>0</v>
      </c>
      <c r="S71" s="3080">
        <f t="shared" ref="S71:S86" si="12">+K71</f>
        <v>3</v>
      </c>
      <c r="T71" s="3086">
        <v>36000</v>
      </c>
      <c r="U71" s="3088">
        <f t="shared" si="6"/>
        <v>108000</v>
      </c>
      <c r="V71" s="3080">
        <v>0</v>
      </c>
      <c r="W71" s="3086">
        <v>20000</v>
      </c>
      <c r="X71" s="3088">
        <f t="shared" si="2"/>
        <v>0</v>
      </c>
      <c r="Y71" s="3089">
        <f t="shared" si="3"/>
        <v>108000</v>
      </c>
      <c r="Z71" s="3090">
        <v>58</v>
      </c>
      <c r="AA71" s="3091">
        <v>150</v>
      </c>
      <c r="AB71" s="3087">
        <f t="shared" si="7"/>
        <v>8700</v>
      </c>
      <c r="AC71" s="3092"/>
      <c r="AD71" s="3092"/>
      <c r="AE71" s="3093">
        <f t="shared" si="8"/>
        <v>8700</v>
      </c>
      <c r="AF71" s="3094">
        <f t="shared" si="9"/>
        <v>116700</v>
      </c>
    </row>
    <row r="72" spans="1:32" s="3095" customFormat="1" ht="30" customHeight="1">
      <c r="A72" s="3082">
        <v>3</v>
      </c>
      <c r="B72" s="3083" t="s">
        <v>1784</v>
      </c>
      <c r="C72" s="3083" t="s">
        <v>1745</v>
      </c>
      <c r="D72" s="3083" t="s">
        <v>1785</v>
      </c>
      <c r="E72" s="3084" t="s">
        <v>1188</v>
      </c>
      <c r="F72" s="3084" t="s">
        <v>1189</v>
      </c>
      <c r="G72" s="3080" t="s">
        <v>1240</v>
      </c>
      <c r="H72" s="3084" t="s">
        <v>1380</v>
      </c>
      <c r="I72" s="3085"/>
      <c r="J72" s="3085"/>
      <c r="K72" s="3081">
        <v>3</v>
      </c>
      <c r="L72" s="3080"/>
      <c r="M72" s="3086">
        <v>36000</v>
      </c>
      <c r="N72" s="3087">
        <f t="shared" si="4"/>
        <v>0</v>
      </c>
      <c r="O72" s="3080">
        <v>0</v>
      </c>
      <c r="P72" s="3086">
        <v>20000</v>
      </c>
      <c r="Q72" s="3088">
        <f t="shared" si="0"/>
        <v>0</v>
      </c>
      <c r="R72" s="3089">
        <f t="shared" si="1"/>
        <v>0</v>
      </c>
      <c r="S72" s="3080">
        <f t="shared" si="12"/>
        <v>3</v>
      </c>
      <c r="T72" s="3086">
        <v>36000</v>
      </c>
      <c r="U72" s="3088">
        <f t="shared" si="6"/>
        <v>108000</v>
      </c>
      <c r="V72" s="3080">
        <v>0</v>
      </c>
      <c r="W72" s="3086">
        <v>20000</v>
      </c>
      <c r="X72" s="3088">
        <f t="shared" si="2"/>
        <v>0</v>
      </c>
      <c r="Y72" s="3089">
        <f t="shared" si="3"/>
        <v>108000</v>
      </c>
      <c r="Z72" s="3090">
        <v>42</v>
      </c>
      <c r="AA72" s="3091">
        <v>150</v>
      </c>
      <c r="AB72" s="3087">
        <f t="shared" si="7"/>
        <v>6300</v>
      </c>
      <c r="AC72" s="3092"/>
      <c r="AD72" s="3092"/>
      <c r="AE72" s="3093">
        <f t="shared" si="8"/>
        <v>6300</v>
      </c>
      <c r="AF72" s="3094">
        <f t="shared" si="9"/>
        <v>114300</v>
      </c>
    </row>
    <row r="73" spans="1:32" s="3095" customFormat="1" ht="30" customHeight="1">
      <c r="A73" s="3082">
        <v>4</v>
      </c>
      <c r="B73" s="3083" t="s">
        <v>1786</v>
      </c>
      <c r="C73" s="3083" t="s">
        <v>1771</v>
      </c>
      <c r="D73" s="3083" t="s">
        <v>1787</v>
      </c>
      <c r="E73" s="3084" t="s">
        <v>1188</v>
      </c>
      <c r="F73" s="3084" t="s">
        <v>1189</v>
      </c>
      <c r="G73" s="3080" t="s">
        <v>1240</v>
      </c>
      <c r="H73" s="3084" t="s">
        <v>1380</v>
      </c>
      <c r="I73" s="3085"/>
      <c r="J73" s="3085"/>
      <c r="K73" s="3081">
        <v>3</v>
      </c>
      <c r="L73" s="3080"/>
      <c r="M73" s="3086">
        <v>36000</v>
      </c>
      <c r="N73" s="3087">
        <f t="shared" si="4"/>
        <v>0</v>
      </c>
      <c r="O73" s="3080">
        <v>0</v>
      </c>
      <c r="P73" s="3086">
        <v>20000</v>
      </c>
      <c r="Q73" s="3088">
        <f t="shared" si="0"/>
        <v>0</v>
      </c>
      <c r="R73" s="3089">
        <f t="shared" si="1"/>
        <v>0</v>
      </c>
      <c r="S73" s="3080">
        <f t="shared" si="12"/>
        <v>3</v>
      </c>
      <c r="T73" s="3086">
        <v>36000</v>
      </c>
      <c r="U73" s="3088">
        <f t="shared" si="6"/>
        <v>108000</v>
      </c>
      <c r="V73" s="3080">
        <v>0</v>
      </c>
      <c r="W73" s="3086">
        <v>20000</v>
      </c>
      <c r="X73" s="3088">
        <f t="shared" si="2"/>
        <v>0</v>
      </c>
      <c r="Y73" s="3089">
        <f t="shared" si="3"/>
        <v>108000</v>
      </c>
      <c r="Z73" s="3090">
        <v>80</v>
      </c>
      <c r="AA73" s="3091">
        <v>150</v>
      </c>
      <c r="AB73" s="3087">
        <f t="shared" si="7"/>
        <v>12000</v>
      </c>
      <c r="AC73" s="3092"/>
      <c r="AD73" s="3092"/>
      <c r="AE73" s="3093">
        <f t="shared" si="8"/>
        <v>12000</v>
      </c>
      <c r="AF73" s="3094">
        <f t="shared" si="9"/>
        <v>120000</v>
      </c>
    </row>
    <row r="74" spans="1:32" s="3095" customFormat="1" ht="30" customHeight="1">
      <c r="A74" s="3082">
        <v>5</v>
      </c>
      <c r="B74" s="3083" t="s">
        <v>1788</v>
      </c>
      <c r="C74" s="3083" t="s">
        <v>1741</v>
      </c>
      <c r="D74" s="3083" t="s">
        <v>1789</v>
      </c>
      <c r="E74" s="3084" t="s">
        <v>1188</v>
      </c>
      <c r="F74" s="3084" t="s">
        <v>1189</v>
      </c>
      <c r="G74" s="3080" t="s">
        <v>1240</v>
      </c>
      <c r="H74" s="3084" t="s">
        <v>1380</v>
      </c>
      <c r="I74" s="3085"/>
      <c r="J74" s="3085"/>
      <c r="K74" s="3081">
        <v>3</v>
      </c>
      <c r="L74" s="3080"/>
      <c r="M74" s="3086">
        <v>36000</v>
      </c>
      <c r="N74" s="3087">
        <f t="shared" si="4"/>
        <v>0</v>
      </c>
      <c r="O74" s="3080">
        <v>0</v>
      </c>
      <c r="P74" s="3086">
        <v>20000</v>
      </c>
      <c r="Q74" s="3088">
        <f t="shared" si="0"/>
        <v>0</v>
      </c>
      <c r="R74" s="3089">
        <f t="shared" si="1"/>
        <v>0</v>
      </c>
      <c r="S74" s="3080">
        <f t="shared" si="12"/>
        <v>3</v>
      </c>
      <c r="T74" s="3086">
        <v>36000</v>
      </c>
      <c r="U74" s="3088">
        <f t="shared" si="6"/>
        <v>108000</v>
      </c>
      <c r="V74" s="3080">
        <v>0</v>
      </c>
      <c r="W74" s="3086">
        <v>20000</v>
      </c>
      <c r="X74" s="3088">
        <f t="shared" si="2"/>
        <v>0</v>
      </c>
      <c r="Y74" s="3089">
        <f t="shared" si="3"/>
        <v>108000</v>
      </c>
      <c r="Z74" s="3090">
        <v>36</v>
      </c>
      <c r="AA74" s="3091">
        <v>150</v>
      </c>
      <c r="AB74" s="3087">
        <f t="shared" si="7"/>
        <v>5400</v>
      </c>
      <c r="AC74" s="3092"/>
      <c r="AD74" s="3092"/>
      <c r="AE74" s="3093">
        <f t="shared" si="8"/>
        <v>5400</v>
      </c>
      <c r="AF74" s="3094">
        <f t="shared" si="9"/>
        <v>113400</v>
      </c>
    </row>
    <row r="75" spans="1:32" s="3095" customFormat="1" ht="30" customHeight="1">
      <c r="A75" s="3082">
        <v>6</v>
      </c>
      <c r="B75" s="3083" t="s">
        <v>1790</v>
      </c>
      <c r="C75" s="3083" t="s">
        <v>1728</v>
      </c>
      <c r="D75" s="3083" t="s">
        <v>1791</v>
      </c>
      <c r="E75" s="3084" t="s">
        <v>1188</v>
      </c>
      <c r="F75" s="3084" t="s">
        <v>1189</v>
      </c>
      <c r="G75" s="3080" t="s">
        <v>1240</v>
      </c>
      <c r="H75" s="3084" t="s">
        <v>1380</v>
      </c>
      <c r="I75" s="3085"/>
      <c r="J75" s="3085"/>
      <c r="K75" s="3081">
        <v>3</v>
      </c>
      <c r="L75" s="3080"/>
      <c r="M75" s="3086">
        <v>36000</v>
      </c>
      <c r="N75" s="3087">
        <f t="shared" si="4"/>
        <v>0</v>
      </c>
      <c r="O75" s="3080">
        <v>0</v>
      </c>
      <c r="P75" s="3086">
        <v>20000</v>
      </c>
      <c r="Q75" s="3088">
        <f t="shared" si="0"/>
        <v>0</v>
      </c>
      <c r="R75" s="3089">
        <f t="shared" si="1"/>
        <v>0</v>
      </c>
      <c r="S75" s="3080">
        <f t="shared" si="12"/>
        <v>3</v>
      </c>
      <c r="T75" s="3086">
        <v>36000</v>
      </c>
      <c r="U75" s="3088">
        <f t="shared" si="6"/>
        <v>108000</v>
      </c>
      <c r="V75" s="3080">
        <v>0</v>
      </c>
      <c r="W75" s="3086">
        <v>20000</v>
      </c>
      <c r="X75" s="3088">
        <f t="shared" si="2"/>
        <v>0</v>
      </c>
      <c r="Y75" s="3089">
        <f t="shared" si="3"/>
        <v>108000</v>
      </c>
      <c r="Z75" s="3090">
        <v>40</v>
      </c>
      <c r="AA75" s="3091">
        <v>150</v>
      </c>
      <c r="AB75" s="3087">
        <f t="shared" si="7"/>
        <v>6000</v>
      </c>
      <c r="AC75" s="3092"/>
      <c r="AD75" s="3092"/>
      <c r="AE75" s="3093">
        <f t="shared" si="8"/>
        <v>6000</v>
      </c>
      <c r="AF75" s="3094">
        <f t="shared" si="9"/>
        <v>114000</v>
      </c>
    </row>
    <row r="76" spans="1:32" s="3095" customFormat="1" ht="30" customHeight="1">
      <c r="A76" s="3082">
        <v>7</v>
      </c>
      <c r="B76" s="3083" t="s">
        <v>1501</v>
      </c>
      <c r="C76" s="3083" t="s">
        <v>1771</v>
      </c>
      <c r="D76" s="3083" t="s">
        <v>1388</v>
      </c>
      <c r="E76" s="3084" t="s">
        <v>1188</v>
      </c>
      <c r="F76" s="3084" t="s">
        <v>1189</v>
      </c>
      <c r="G76" s="3080" t="s">
        <v>1240</v>
      </c>
      <c r="H76" s="3084" t="s">
        <v>1380</v>
      </c>
      <c r="I76" s="3085"/>
      <c r="J76" s="3085"/>
      <c r="K76" s="3081">
        <v>3</v>
      </c>
      <c r="L76" s="3080"/>
      <c r="M76" s="3086">
        <v>36000</v>
      </c>
      <c r="N76" s="3087">
        <f t="shared" si="4"/>
        <v>0</v>
      </c>
      <c r="O76" s="3080">
        <v>0</v>
      </c>
      <c r="P76" s="3086">
        <v>20000</v>
      </c>
      <c r="Q76" s="3088">
        <f t="shared" si="0"/>
        <v>0</v>
      </c>
      <c r="R76" s="3089">
        <f t="shared" si="1"/>
        <v>0</v>
      </c>
      <c r="S76" s="3080">
        <f t="shared" si="12"/>
        <v>3</v>
      </c>
      <c r="T76" s="3086">
        <v>36000</v>
      </c>
      <c r="U76" s="3088">
        <f t="shared" si="6"/>
        <v>108000</v>
      </c>
      <c r="V76" s="3080">
        <v>0</v>
      </c>
      <c r="W76" s="3086">
        <v>20000</v>
      </c>
      <c r="X76" s="3088">
        <f t="shared" si="2"/>
        <v>0</v>
      </c>
      <c r="Y76" s="3089">
        <f t="shared" si="3"/>
        <v>108000</v>
      </c>
      <c r="Z76" s="3090">
        <v>58</v>
      </c>
      <c r="AA76" s="3091">
        <v>150</v>
      </c>
      <c r="AB76" s="3087">
        <f t="shared" si="7"/>
        <v>8700</v>
      </c>
      <c r="AC76" s="3092"/>
      <c r="AD76" s="3092"/>
      <c r="AE76" s="3093">
        <f t="shared" si="8"/>
        <v>8700</v>
      </c>
      <c r="AF76" s="3094">
        <f t="shared" si="9"/>
        <v>116700</v>
      </c>
    </row>
    <row r="77" spans="1:32" s="3095" customFormat="1" ht="30" customHeight="1">
      <c r="A77" s="3082">
        <v>8</v>
      </c>
      <c r="B77" s="3083" t="s">
        <v>1792</v>
      </c>
      <c r="C77" s="3083" t="s">
        <v>1745</v>
      </c>
      <c r="D77" s="3083" t="s">
        <v>1793</v>
      </c>
      <c r="E77" s="3084" t="s">
        <v>1188</v>
      </c>
      <c r="F77" s="3084" t="s">
        <v>1189</v>
      </c>
      <c r="G77" s="3080" t="s">
        <v>1240</v>
      </c>
      <c r="H77" s="3084" t="s">
        <v>1380</v>
      </c>
      <c r="I77" s="3085"/>
      <c r="J77" s="3085"/>
      <c r="K77" s="3081">
        <v>3</v>
      </c>
      <c r="L77" s="3080"/>
      <c r="M77" s="3086">
        <v>36000</v>
      </c>
      <c r="N77" s="3087">
        <f t="shared" si="4"/>
        <v>0</v>
      </c>
      <c r="O77" s="3080">
        <v>0</v>
      </c>
      <c r="P77" s="3086">
        <v>20000</v>
      </c>
      <c r="Q77" s="3088">
        <f t="shared" si="0"/>
        <v>0</v>
      </c>
      <c r="R77" s="3089">
        <f t="shared" si="1"/>
        <v>0</v>
      </c>
      <c r="S77" s="3080">
        <f t="shared" si="12"/>
        <v>3</v>
      </c>
      <c r="T77" s="3086">
        <v>36000</v>
      </c>
      <c r="U77" s="3088">
        <f t="shared" si="6"/>
        <v>108000</v>
      </c>
      <c r="V77" s="3080">
        <v>0</v>
      </c>
      <c r="W77" s="3086">
        <v>20000</v>
      </c>
      <c r="X77" s="3088">
        <f t="shared" si="2"/>
        <v>0</v>
      </c>
      <c r="Y77" s="3089">
        <f t="shared" si="3"/>
        <v>108000</v>
      </c>
      <c r="Z77" s="3090">
        <v>46</v>
      </c>
      <c r="AA77" s="3091">
        <v>150</v>
      </c>
      <c r="AB77" s="3087">
        <f t="shared" si="7"/>
        <v>6900</v>
      </c>
      <c r="AC77" s="3092"/>
      <c r="AD77" s="3092"/>
      <c r="AE77" s="3093">
        <f t="shared" si="8"/>
        <v>6900</v>
      </c>
      <c r="AF77" s="3094">
        <f t="shared" si="9"/>
        <v>114900</v>
      </c>
    </row>
    <row r="78" spans="1:32" s="3095" customFormat="1" ht="30" customHeight="1">
      <c r="A78" s="3082"/>
      <c r="B78" s="3083" t="s">
        <v>1794</v>
      </c>
      <c r="C78" s="3083" t="s">
        <v>1728</v>
      </c>
      <c r="D78" s="3083" t="s">
        <v>1405</v>
      </c>
      <c r="E78" s="3084" t="s">
        <v>1188</v>
      </c>
      <c r="F78" s="3084" t="s">
        <v>1189</v>
      </c>
      <c r="G78" s="3080" t="s">
        <v>1240</v>
      </c>
      <c r="H78" s="3084" t="s">
        <v>1395</v>
      </c>
      <c r="I78" s="3085"/>
      <c r="J78" s="3085"/>
      <c r="K78" s="3081">
        <v>3</v>
      </c>
      <c r="L78" s="3080"/>
      <c r="M78" s="3086">
        <v>36000</v>
      </c>
      <c r="N78" s="3087">
        <f t="shared" si="4"/>
        <v>0</v>
      </c>
      <c r="O78" s="3080">
        <v>0</v>
      </c>
      <c r="P78" s="3086">
        <v>20000</v>
      </c>
      <c r="Q78" s="3088">
        <f t="shared" si="0"/>
        <v>0</v>
      </c>
      <c r="R78" s="3089">
        <f t="shared" si="1"/>
        <v>0</v>
      </c>
      <c r="S78" s="3080">
        <f t="shared" si="12"/>
        <v>3</v>
      </c>
      <c r="T78" s="3086">
        <v>36000</v>
      </c>
      <c r="U78" s="3088">
        <f t="shared" si="6"/>
        <v>108000</v>
      </c>
      <c r="V78" s="3080">
        <v>0</v>
      </c>
      <c r="W78" s="3086">
        <v>20000</v>
      </c>
      <c r="X78" s="3088">
        <f t="shared" si="2"/>
        <v>0</v>
      </c>
      <c r="Y78" s="3089">
        <f t="shared" si="3"/>
        <v>108000</v>
      </c>
      <c r="Z78" s="3090">
        <v>50</v>
      </c>
      <c r="AA78" s="3091">
        <v>150</v>
      </c>
      <c r="AB78" s="3087">
        <f t="shared" si="7"/>
        <v>7500</v>
      </c>
      <c r="AC78" s="3092"/>
      <c r="AD78" s="3092"/>
      <c r="AE78" s="3093">
        <f t="shared" si="8"/>
        <v>7500</v>
      </c>
      <c r="AF78" s="3094">
        <f t="shared" si="9"/>
        <v>115500</v>
      </c>
    </row>
    <row r="79" spans="1:32" s="3095" customFormat="1" ht="30" customHeight="1">
      <c r="A79" s="3082">
        <v>9</v>
      </c>
      <c r="B79" s="3083" t="s">
        <v>1795</v>
      </c>
      <c r="C79" s="3083" t="s">
        <v>1745</v>
      </c>
      <c r="D79" s="3083" t="s">
        <v>1796</v>
      </c>
      <c r="E79" s="3084" t="s">
        <v>1188</v>
      </c>
      <c r="F79" s="3084" t="s">
        <v>1189</v>
      </c>
      <c r="G79" s="3080" t="s">
        <v>1240</v>
      </c>
      <c r="H79" s="3084" t="s">
        <v>1395</v>
      </c>
      <c r="I79" s="3085"/>
      <c r="J79" s="3085"/>
      <c r="K79" s="3081">
        <v>3</v>
      </c>
      <c r="L79" s="3080"/>
      <c r="M79" s="3086">
        <v>36000</v>
      </c>
      <c r="N79" s="3087">
        <f t="shared" si="4"/>
        <v>0</v>
      </c>
      <c r="O79" s="3080">
        <v>0</v>
      </c>
      <c r="P79" s="3086">
        <v>20000</v>
      </c>
      <c r="Q79" s="3088">
        <f t="shared" si="0"/>
        <v>0</v>
      </c>
      <c r="R79" s="3089">
        <f t="shared" si="1"/>
        <v>0</v>
      </c>
      <c r="S79" s="3080">
        <f t="shared" si="12"/>
        <v>3</v>
      </c>
      <c r="T79" s="3086">
        <v>36000</v>
      </c>
      <c r="U79" s="3088">
        <f t="shared" si="6"/>
        <v>108000</v>
      </c>
      <c r="V79" s="3080">
        <v>0</v>
      </c>
      <c r="W79" s="3086">
        <v>20000</v>
      </c>
      <c r="X79" s="3088">
        <f t="shared" si="2"/>
        <v>0</v>
      </c>
      <c r="Y79" s="3089">
        <f t="shared" si="3"/>
        <v>108000</v>
      </c>
      <c r="Z79" s="3090">
        <v>50</v>
      </c>
      <c r="AA79" s="3091">
        <v>150</v>
      </c>
      <c r="AB79" s="3087">
        <f t="shared" si="7"/>
        <v>7500</v>
      </c>
      <c r="AC79" s="3092"/>
      <c r="AD79" s="3092"/>
      <c r="AE79" s="3093">
        <f t="shared" si="8"/>
        <v>7500</v>
      </c>
      <c r="AF79" s="3094">
        <f t="shared" si="9"/>
        <v>115500</v>
      </c>
    </row>
    <row r="80" spans="1:32" s="3095" customFormat="1" ht="30" customHeight="1">
      <c r="A80" s="3082">
        <v>10</v>
      </c>
      <c r="B80" s="3083" t="s">
        <v>1797</v>
      </c>
      <c r="C80" s="3083" t="s">
        <v>1755</v>
      </c>
      <c r="D80" s="3083" t="s">
        <v>1394</v>
      </c>
      <c r="E80" s="3084" t="s">
        <v>1188</v>
      </c>
      <c r="F80" s="3084" t="s">
        <v>1189</v>
      </c>
      <c r="G80" s="3080" t="s">
        <v>1240</v>
      </c>
      <c r="H80" s="3084" t="s">
        <v>1395</v>
      </c>
      <c r="I80" s="3085"/>
      <c r="J80" s="3085"/>
      <c r="K80" s="3081">
        <v>3</v>
      </c>
      <c r="L80" s="3080"/>
      <c r="M80" s="3086">
        <v>36000</v>
      </c>
      <c r="N80" s="3087">
        <f t="shared" si="4"/>
        <v>0</v>
      </c>
      <c r="O80" s="3080">
        <v>0</v>
      </c>
      <c r="P80" s="3086">
        <v>20000</v>
      </c>
      <c r="Q80" s="3088">
        <f t="shared" si="0"/>
        <v>0</v>
      </c>
      <c r="R80" s="3089">
        <f t="shared" si="1"/>
        <v>0</v>
      </c>
      <c r="S80" s="3080">
        <f t="shared" si="12"/>
        <v>3</v>
      </c>
      <c r="T80" s="3086">
        <v>36000</v>
      </c>
      <c r="U80" s="3088">
        <f t="shared" si="6"/>
        <v>108000</v>
      </c>
      <c r="V80" s="3080">
        <v>0</v>
      </c>
      <c r="W80" s="3086">
        <v>20000</v>
      </c>
      <c r="X80" s="3088">
        <f t="shared" si="2"/>
        <v>0</v>
      </c>
      <c r="Y80" s="3089">
        <f t="shared" si="3"/>
        <v>108000</v>
      </c>
      <c r="Z80" s="3090">
        <v>46</v>
      </c>
      <c r="AA80" s="3091">
        <v>150</v>
      </c>
      <c r="AB80" s="3087">
        <f t="shared" si="7"/>
        <v>6900</v>
      </c>
      <c r="AC80" s="3092"/>
      <c r="AD80" s="3092"/>
      <c r="AE80" s="3093">
        <f t="shared" si="8"/>
        <v>6900</v>
      </c>
      <c r="AF80" s="3094">
        <f t="shared" si="9"/>
        <v>114900</v>
      </c>
    </row>
    <row r="81" spans="1:32" s="3095" customFormat="1" ht="30" customHeight="1">
      <c r="A81" s="3082"/>
      <c r="B81" s="3083" t="s">
        <v>1798</v>
      </c>
      <c r="C81" s="3083" t="s">
        <v>1726</v>
      </c>
      <c r="D81" s="3083" t="s">
        <v>1394</v>
      </c>
      <c r="E81" s="3084" t="s">
        <v>1188</v>
      </c>
      <c r="F81" s="3084" t="s">
        <v>1189</v>
      </c>
      <c r="G81" s="3080" t="s">
        <v>1240</v>
      </c>
      <c r="H81" s="3084" t="s">
        <v>1395</v>
      </c>
      <c r="I81" s="3085"/>
      <c r="J81" s="3085"/>
      <c r="K81" s="3081">
        <v>3</v>
      </c>
      <c r="L81" s="3080"/>
      <c r="M81" s="3086">
        <v>36000</v>
      </c>
      <c r="N81" s="3087">
        <f t="shared" si="4"/>
        <v>0</v>
      </c>
      <c r="O81" s="3080">
        <v>0</v>
      </c>
      <c r="P81" s="3086">
        <v>20000</v>
      </c>
      <c r="Q81" s="3088">
        <f t="shared" si="0"/>
        <v>0</v>
      </c>
      <c r="R81" s="3089">
        <f t="shared" si="1"/>
        <v>0</v>
      </c>
      <c r="S81" s="3080">
        <f t="shared" si="12"/>
        <v>3</v>
      </c>
      <c r="T81" s="3086">
        <v>36000</v>
      </c>
      <c r="U81" s="3088">
        <f t="shared" si="6"/>
        <v>108000</v>
      </c>
      <c r="V81" s="3080">
        <v>0</v>
      </c>
      <c r="W81" s="3086">
        <v>20000</v>
      </c>
      <c r="X81" s="3088">
        <f t="shared" si="2"/>
        <v>0</v>
      </c>
      <c r="Y81" s="3089">
        <f t="shared" si="3"/>
        <v>108000</v>
      </c>
      <c r="Z81" s="3090">
        <v>46</v>
      </c>
      <c r="AA81" s="3091">
        <v>150</v>
      </c>
      <c r="AB81" s="3087">
        <f t="shared" si="7"/>
        <v>6900</v>
      </c>
      <c r="AC81" s="3092"/>
      <c r="AD81" s="3092"/>
      <c r="AE81" s="3093">
        <f t="shared" si="8"/>
        <v>6900</v>
      </c>
      <c r="AF81" s="3094">
        <f t="shared" si="9"/>
        <v>114900</v>
      </c>
    </row>
    <row r="82" spans="1:32" s="3095" customFormat="1" ht="30" customHeight="1">
      <c r="A82" s="3082"/>
      <c r="B82" s="3083" t="s">
        <v>1799</v>
      </c>
      <c r="C82" s="3083" t="s">
        <v>1755</v>
      </c>
      <c r="D82" s="3083" t="s">
        <v>1397</v>
      </c>
      <c r="E82" s="3084" t="s">
        <v>1188</v>
      </c>
      <c r="F82" s="3084" t="s">
        <v>1189</v>
      </c>
      <c r="G82" s="3080" t="s">
        <v>1240</v>
      </c>
      <c r="H82" s="3084" t="s">
        <v>1395</v>
      </c>
      <c r="I82" s="3085"/>
      <c r="J82" s="3085"/>
      <c r="K82" s="3081">
        <v>3</v>
      </c>
      <c r="L82" s="3080"/>
      <c r="M82" s="3086">
        <v>36000</v>
      </c>
      <c r="N82" s="3087">
        <f t="shared" si="4"/>
        <v>0</v>
      </c>
      <c r="O82" s="3080">
        <v>0</v>
      </c>
      <c r="P82" s="3086">
        <v>20000</v>
      </c>
      <c r="Q82" s="3088">
        <f t="shared" si="0"/>
        <v>0</v>
      </c>
      <c r="R82" s="3089">
        <f t="shared" si="1"/>
        <v>0</v>
      </c>
      <c r="S82" s="3080">
        <f t="shared" si="12"/>
        <v>3</v>
      </c>
      <c r="T82" s="3086">
        <v>36000</v>
      </c>
      <c r="U82" s="3088">
        <f t="shared" si="6"/>
        <v>108000</v>
      </c>
      <c r="V82" s="3080">
        <v>0</v>
      </c>
      <c r="W82" s="3086">
        <v>20000</v>
      </c>
      <c r="X82" s="3088">
        <f t="shared" si="2"/>
        <v>0</v>
      </c>
      <c r="Y82" s="3089">
        <f t="shared" si="3"/>
        <v>108000</v>
      </c>
      <c r="Z82" s="3090">
        <v>80</v>
      </c>
      <c r="AA82" s="3091">
        <v>150</v>
      </c>
      <c r="AB82" s="3087">
        <f t="shared" si="7"/>
        <v>12000</v>
      </c>
      <c r="AC82" s="3092"/>
      <c r="AD82" s="3092"/>
      <c r="AE82" s="3093">
        <f t="shared" si="8"/>
        <v>12000</v>
      </c>
      <c r="AF82" s="3094">
        <f t="shared" si="9"/>
        <v>120000</v>
      </c>
    </row>
    <row r="83" spans="1:32" s="3095" customFormat="1" ht="30" customHeight="1">
      <c r="A83" s="3082">
        <v>11</v>
      </c>
      <c r="B83" s="3083" t="s">
        <v>1402</v>
      </c>
      <c r="C83" s="3083" t="s">
        <v>1755</v>
      </c>
      <c r="D83" s="3083" t="s">
        <v>1401</v>
      </c>
      <c r="E83" s="3084" t="s">
        <v>1188</v>
      </c>
      <c r="F83" s="3084" t="s">
        <v>1189</v>
      </c>
      <c r="G83" s="3080" t="s">
        <v>1240</v>
      </c>
      <c r="H83" s="3084" t="s">
        <v>1395</v>
      </c>
      <c r="I83" s="3085"/>
      <c r="J83" s="3085"/>
      <c r="K83" s="3081">
        <v>3</v>
      </c>
      <c r="L83" s="3080"/>
      <c r="M83" s="3086">
        <v>36000</v>
      </c>
      <c r="N83" s="3087">
        <f t="shared" si="4"/>
        <v>0</v>
      </c>
      <c r="O83" s="3080">
        <v>0</v>
      </c>
      <c r="P83" s="3086">
        <v>20000</v>
      </c>
      <c r="Q83" s="3088">
        <f t="shared" si="0"/>
        <v>0</v>
      </c>
      <c r="R83" s="3089">
        <f t="shared" si="1"/>
        <v>0</v>
      </c>
      <c r="S83" s="3080">
        <f t="shared" si="12"/>
        <v>3</v>
      </c>
      <c r="T83" s="3086">
        <v>36000</v>
      </c>
      <c r="U83" s="3088">
        <f t="shared" si="6"/>
        <v>108000</v>
      </c>
      <c r="V83" s="3080">
        <v>0</v>
      </c>
      <c r="W83" s="3086">
        <v>20000</v>
      </c>
      <c r="X83" s="3088">
        <f t="shared" si="2"/>
        <v>0</v>
      </c>
      <c r="Y83" s="3089">
        <f t="shared" si="3"/>
        <v>108000</v>
      </c>
      <c r="Z83" s="3090">
        <v>48</v>
      </c>
      <c r="AA83" s="3091">
        <v>150</v>
      </c>
      <c r="AB83" s="3087">
        <f t="shared" si="7"/>
        <v>7200</v>
      </c>
      <c r="AC83" s="3092"/>
      <c r="AD83" s="3092"/>
      <c r="AE83" s="3093">
        <f t="shared" si="8"/>
        <v>7200</v>
      </c>
      <c r="AF83" s="3094">
        <f t="shared" si="9"/>
        <v>115200</v>
      </c>
    </row>
    <row r="84" spans="1:32" s="3095" customFormat="1" ht="30" customHeight="1">
      <c r="A84" s="3082"/>
      <c r="B84" s="3083" t="s">
        <v>1400</v>
      </c>
      <c r="C84" s="3083" t="s">
        <v>1745</v>
      </c>
      <c r="D84" s="3083" t="s">
        <v>1401</v>
      </c>
      <c r="E84" s="3084" t="s">
        <v>1188</v>
      </c>
      <c r="F84" s="3084" t="s">
        <v>1189</v>
      </c>
      <c r="G84" s="3080" t="s">
        <v>1240</v>
      </c>
      <c r="H84" s="3084" t="s">
        <v>1395</v>
      </c>
      <c r="I84" s="3085"/>
      <c r="J84" s="3085"/>
      <c r="K84" s="3081">
        <v>3</v>
      </c>
      <c r="L84" s="3080"/>
      <c r="M84" s="3086">
        <v>36000</v>
      </c>
      <c r="N84" s="3087"/>
      <c r="O84" s="3080">
        <v>0</v>
      </c>
      <c r="P84" s="3086">
        <v>20000</v>
      </c>
      <c r="Q84" s="3088"/>
      <c r="R84" s="3089"/>
      <c r="S84" s="3080">
        <f t="shared" si="12"/>
        <v>3</v>
      </c>
      <c r="T84" s="3086">
        <v>36000</v>
      </c>
      <c r="U84" s="3088">
        <f t="shared" ref="U84:U147" si="13">T84*S84</f>
        <v>108000</v>
      </c>
      <c r="V84" s="3080">
        <v>0</v>
      </c>
      <c r="W84" s="3086">
        <v>20000</v>
      </c>
      <c r="X84" s="3088">
        <f t="shared" si="2"/>
        <v>0</v>
      </c>
      <c r="Y84" s="3089">
        <f t="shared" si="3"/>
        <v>108000</v>
      </c>
      <c r="Z84" s="3090">
        <v>48</v>
      </c>
      <c r="AA84" s="3091">
        <v>150</v>
      </c>
      <c r="AB84" s="3087">
        <f t="shared" si="7"/>
        <v>7200</v>
      </c>
      <c r="AC84" s="3092"/>
      <c r="AD84" s="3092"/>
      <c r="AE84" s="3093">
        <f t="shared" ref="AE84:AE147" si="14">AB84</f>
        <v>7200</v>
      </c>
      <c r="AF84" s="3094">
        <f t="shared" ref="AF84:AF147" si="15">+Y84+AE84+R84</f>
        <v>115200</v>
      </c>
    </row>
    <row r="85" spans="1:32" s="3095" customFormat="1" ht="30" customHeight="1">
      <c r="A85" s="3082"/>
      <c r="B85" s="3083" t="s">
        <v>1800</v>
      </c>
      <c r="C85" s="3083" t="s">
        <v>1751</v>
      </c>
      <c r="D85" s="3083" t="s">
        <v>1408</v>
      </c>
      <c r="E85" s="3084" t="s">
        <v>1188</v>
      </c>
      <c r="F85" s="3084" t="s">
        <v>1189</v>
      </c>
      <c r="G85" s="3080" t="s">
        <v>1190</v>
      </c>
      <c r="H85" s="3084" t="s">
        <v>1362</v>
      </c>
      <c r="I85" s="3085"/>
      <c r="J85" s="3085"/>
      <c r="K85" s="3081">
        <v>3</v>
      </c>
      <c r="L85" s="3080"/>
      <c r="M85" s="3086">
        <v>15000</v>
      </c>
      <c r="N85" s="3087"/>
      <c r="O85" s="3080">
        <v>0</v>
      </c>
      <c r="P85" s="3086">
        <v>20000</v>
      </c>
      <c r="Q85" s="3088"/>
      <c r="R85" s="3089"/>
      <c r="S85" s="3080">
        <f t="shared" si="12"/>
        <v>3</v>
      </c>
      <c r="T85" s="3086">
        <v>15000</v>
      </c>
      <c r="U85" s="3088">
        <f t="shared" si="13"/>
        <v>45000</v>
      </c>
      <c r="V85" s="3080">
        <v>0</v>
      </c>
      <c r="W85" s="3086">
        <v>20000</v>
      </c>
      <c r="X85" s="3088">
        <f t="shared" si="2"/>
        <v>0</v>
      </c>
      <c r="Y85" s="3089">
        <f t="shared" si="3"/>
        <v>45000</v>
      </c>
      <c r="Z85" s="3090">
        <v>6</v>
      </c>
      <c r="AA85" s="3091">
        <v>0</v>
      </c>
      <c r="AB85" s="3087">
        <f t="shared" si="7"/>
        <v>0</v>
      </c>
      <c r="AC85" s="3092"/>
      <c r="AD85" s="3092"/>
      <c r="AE85" s="3093">
        <f t="shared" si="14"/>
        <v>0</v>
      </c>
      <c r="AF85" s="3094">
        <f t="shared" si="15"/>
        <v>45000</v>
      </c>
    </row>
    <row r="86" spans="1:32" s="3095" customFormat="1" ht="30" customHeight="1">
      <c r="A86" s="3082">
        <v>12</v>
      </c>
      <c r="B86" s="3083" t="s">
        <v>1801</v>
      </c>
      <c r="C86" s="3083" t="s">
        <v>1755</v>
      </c>
      <c r="D86" s="3083" t="s">
        <v>1802</v>
      </c>
      <c r="E86" s="3084" t="s">
        <v>1188</v>
      </c>
      <c r="F86" s="3084" t="s">
        <v>1189</v>
      </c>
      <c r="G86" s="3080" t="s">
        <v>1190</v>
      </c>
      <c r="H86" s="3084" t="s">
        <v>1362</v>
      </c>
      <c r="I86" s="3085"/>
      <c r="J86" s="3085"/>
      <c r="K86" s="3081">
        <v>3</v>
      </c>
      <c r="L86" s="3080"/>
      <c r="M86" s="3086">
        <v>15000</v>
      </c>
      <c r="N86" s="3087">
        <f t="shared" si="4"/>
        <v>0</v>
      </c>
      <c r="O86" s="3080">
        <v>0</v>
      </c>
      <c r="P86" s="3086">
        <v>20000</v>
      </c>
      <c r="Q86" s="3088">
        <f t="shared" si="0"/>
        <v>0</v>
      </c>
      <c r="R86" s="3089">
        <f t="shared" si="1"/>
        <v>0</v>
      </c>
      <c r="S86" s="3080">
        <f t="shared" si="12"/>
        <v>3</v>
      </c>
      <c r="T86" s="3086">
        <v>15000</v>
      </c>
      <c r="U86" s="3088">
        <f t="shared" si="13"/>
        <v>45000</v>
      </c>
      <c r="V86" s="3080">
        <v>0</v>
      </c>
      <c r="W86" s="3086">
        <v>20000</v>
      </c>
      <c r="X86" s="3088">
        <f t="shared" si="2"/>
        <v>0</v>
      </c>
      <c r="Y86" s="3089">
        <f t="shared" si="3"/>
        <v>45000</v>
      </c>
      <c r="Z86" s="3090">
        <v>16</v>
      </c>
      <c r="AA86" s="3091">
        <v>150</v>
      </c>
      <c r="AB86" s="3087">
        <f t="shared" si="7"/>
        <v>2400</v>
      </c>
      <c r="AC86" s="3092"/>
      <c r="AD86" s="3092"/>
      <c r="AE86" s="3093">
        <f t="shared" si="14"/>
        <v>2400</v>
      </c>
      <c r="AF86" s="3094">
        <f t="shared" si="15"/>
        <v>47400</v>
      </c>
    </row>
    <row r="87" spans="1:32" s="3095" customFormat="1" ht="30" customHeight="1">
      <c r="A87" s="3082">
        <v>1</v>
      </c>
      <c r="B87" s="3083" t="s">
        <v>1803</v>
      </c>
      <c r="C87" s="3083" t="s">
        <v>1751</v>
      </c>
      <c r="D87" s="3083" t="s">
        <v>1412</v>
      </c>
      <c r="E87" s="3084" t="s">
        <v>1188</v>
      </c>
      <c r="F87" s="3084" t="s">
        <v>1189</v>
      </c>
      <c r="G87" s="3080" t="s">
        <v>1240</v>
      </c>
      <c r="H87" s="3084" t="s">
        <v>1362</v>
      </c>
      <c r="I87" s="3085"/>
      <c r="J87" s="3085"/>
      <c r="K87" s="3081">
        <v>3</v>
      </c>
      <c r="L87" s="3080"/>
      <c r="M87" s="3086">
        <v>36000</v>
      </c>
      <c r="N87" s="3087">
        <f t="shared" si="4"/>
        <v>0</v>
      </c>
      <c r="O87" s="3080">
        <v>0</v>
      </c>
      <c r="P87" s="3086">
        <v>20000</v>
      </c>
      <c r="Q87" s="3088">
        <f t="shared" si="0"/>
        <v>0</v>
      </c>
      <c r="R87" s="3089">
        <f t="shared" si="1"/>
        <v>0</v>
      </c>
      <c r="S87" s="3080">
        <f>+K87</f>
        <v>3</v>
      </c>
      <c r="T87" s="3086">
        <v>36000</v>
      </c>
      <c r="U87" s="3088">
        <f t="shared" si="13"/>
        <v>108000</v>
      </c>
      <c r="V87" s="3080">
        <v>0</v>
      </c>
      <c r="W87" s="3086">
        <v>20000</v>
      </c>
      <c r="X87" s="3088">
        <f t="shared" si="2"/>
        <v>0</v>
      </c>
      <c r="Y87" s="3089">
        <f t="shared" si="3"/>
        <v>108000</v>
      </c>
      <c r="Z87" s="3090">
        <v>52</v>
      </c>
      <c r="AA87" s="3091">
        <v>150</v>
      </c>
      <c r="AB87" s="3087">
        <f t="shared" si="7"/>
        <v>7800</v>
      </c>
      <c r="AC87" s="3092"/>
      <c r="AD87" s="3092"/>
      <c r="AE87" s="3093">
        <f t="shared" si="14"/>
        <v>7800</v>
      </c>
      <c r="AF87" s="3094">
        <f t="shared" si="15"/>
        <v>115800</v>
      </c>
    </row>
    <row r="88" spans="1:32" s="3095" customFormat="1" ht="30" customHeight="1">
      <c r="A88" s="3082">
        <v>2</v>
      </c>
      <c r="B88" s="3083" t="s">
        <v>1804</v>
      </c>
      <c r="C88" s="3083" t="s">
        <v>1728</v>
      </c>
      <c r="D88" s="3083" t="s">
        <v>1805</v>
      </c>
      <c r="E88" s="3084" t="s">
        <v>1188</v>
      </c>
      <c r="F88" s="3084" t="s">
        <v>1189</v>
      </c>
      <c r="G88" s="3080" t="s">
        <v>1240</v>
      </c>
      <c r="H88" s="3084" t="s">
        <v>1362</v>
      </c>
      <c r="I88" s="3085"/>
      <c r="J88" s="3085"/>
      <c r="K88" s="3081">
        <v>3</v>
      </c>
      <c r="L88" s="3080"/>
      <c r="M88" s="3086">
        <v>36000</v>
      </c>
      <c r="N88" s="3087">
        <f t="shared" si="4"/>
        <v>0</v>
      </c>
      <c r="O88" s="3080">
        <v>0</v>
      </c>
      <c r="P88" s="3086">
        <v>20000</v>
      </c>
      <c r="Q88" s="3088">
        <f t="shared" si="0"/>
        <v>0</v>
      </c>
      <c r="R88" s="3089">
        <f t="shared" si="1"/>
        <v>0</v>
      </c>
      <c r="S88" s="3080">
        <f t="shared" ref="S88:S98" si="16">+K88</f>
        <v>3</v>
      </c>
      <c r="T88" s="3086">
        <v>36000</v>
      </c>
      <c r="U88" s="3088">
        <f t="shared" si="13"/>
        <v>108000</v>
      </c>
      <c r="V88" s="3080">
        <v>0</v>
      </c>
      <c r="W88" s="3086">
        <v>20000</v>
      </c>
      <c r="X88" s="3088">
        <f t="shared" si="2"/>
        <v>0</v>
      </c>
      <c r="Y88" s="3089">
        <f t="shared" si="3"/>
        <v>108000</v>
      </c>
      <c r="Z88" s="3090">
        <v>40</v>
      </c>
      <c r="AA88" s="3091">
        <v>150</v>
      </c>
      <c r="AB88" s="3087">
        <f t="shared" si="7"/>
        <v>6000</v>
      </c>
      <c r="AC88" s="3092"/>
      <c r="AD88" s="3092"/>
      <c r="AE88" s="3093">
        <f t="shared" si="14"/>
        <v>6000</v>
      </c>
      <c r="AF88" s="3094">
        <f t="shared" si="15"/>
        <v>114000</v>
      </c>
    </row>
    <row r="89" spans="1:32" s="3095" customFormat="1" ht="30" customHeight="1">
      <c r="A89" s="3082">
        <v>3</v>
      </c>
      <c r="B89" s="3083" t="s">
        <v>1806</v>
      </c>
      <c r="C89" s="3083" t="s">
        <v>1755</v>
      </c>
      <c r="D89" s="3083" t="s">
        <v>1424</v>
      </c>
      <c r="E89" s="3084" t="s">
        <v>1188</v>
      </c>
      <c r="F89" s="3084" t="s">
        <v>1189</v>
      </c>
      <c r="G89" s="3080" t="s">
        <v>1190</v>
      </c>
      <c r="H89" s="3084" t="s">
        <v>1362</v>
      </c>
      <c r="I89" s="3085"/>
      <c r="J89" s="3085"/>
      <c r="K89" s="3081">
        <v>3</v>
      </c>
      <c r="L89" s="3080"/>
      <c r="M89" s="3086">
        <v>15000</v>
      </c>
      <c r="N89" s="3087">
        <f t="shared" ref="N89:N152" si="17">M89*L89</f>
        <v>0</v>
      </c>
      <c r="O89" s="3080">
        <v>0</v>
      </c>
      <c r="P89" s="3086">
        <v>20000</v>
      </c>
      <c r="Q89" s="3088">
        <f t="shared" si="0"/>
        <v>0</v>
      </c>
      <c r="R89" s="3089">
        <f t="shared" si="1"/>
        <v>0</v>
      </c>
      <c r="S89" s="3080">
        <f t="shared" si="16"/>
        <v>3</v>
      </c>
      <c r="T89" s="3086">
        <v>15000</v>
      </c>
      <c r="U89" s="3088">
        <f t="shared" si="13"/>
        <v>45000</v>
      </c>
      <c r="V89" s="3080">
        <v>0</v>
      </c>
      <c r="W89" s="3086">
        <v>20000</v>
      </c>
      <c r="X89" s="3088">
        <f t="shared" si="2"/>
        <v>0</v>
      </c>
      <c r="Y89" s="3089">
        <f t="shared" si="3"/>
        <v>45000</v>
      </c>
      <c r="Z89" s="3090">
        <v>22</v>
      </c>
      <c r="AA89" s="3091">
        <v>150</v>
      </c>
      <c r="AB89" s="3087">
        <f t="shared" ref="AB89:AB152" si="18">Z89*AA89</f>
        <v>3300</v>
      </c>
      <c r="AC89" s="3092"/>
      <c r="AD89" s="3092"/>
      <c r="AE89" s="3093">
        <f t="shared" si="14"/>
        <v>3300</v>
      </c>
      <c r="AF89" s="3094">
        <f t="shared" si="15"/>
        <v>48300</v>
      </c>
    </row>
    <row r="90" spans="1:32" s="3095" customFormat="1" ht="30" customHeight="1">
      <c r="A90" s="3082">
        <v>4</v>
      </c>
      <c r="B90" s="3083" t="s">
        <v>1807</v>
      </c>
      <c r="C90" s="3083" t="s">
        <v>1741</v>
      </c>
      <c r="D90" s="3083" t="s">
        <v>1269</v>
      </c>
      <c r="E90" s="3084" t="s">
        <v>1188</v>
      </c>
      <c r="F90" s="3084" t="s">
        <v>1189</v>
      </c>
      <c r="G90" s="3080" t="s">
        <v>1240</v>
      </c>
      <c r="H90" s="3084" t="s">
        <v>1362</v>
      </c>
      <c r="I90" s="3085"/>
      <c r="J90" s="3085"/>
      <c r="K90" s="3081">
        <v>3</v>
      </c>
      <c r="L90" s="3080"/>
      <c r="M90" s="3086">
        <v>36000</v>
      </c>
      <c r="N90" s="3087">
        <f t="shared" si="17"/>
        <v>0</v>
      </c>
      <c r="O90" s="3080">
        <v>0</v>
      </c>
      <c r="P90" s="3086">
        <v>20000</v>
      </c>
      <c r="Q90" s="3088">
        <f t="shared" si="0"/>
        <v>0</v>
      </c>
      <c r="R90" s="3089">
        <f t="shared" si="1"/>
        <v>0</v>
      </c>
      <c r="S90" s="3080">
        <f t="shared" si="16"/>
        <v>3</v>
      </c>
      <c r="T90" s="3086">
        <v>36000</v>
      </c>
      <c r="U90" s="3088">
        <f t="shared" si="13"/>
        <v>108000</v>
      </c>
      <c r="V90" s="3080">
        <v>0</v>
      </c>
      <c r="W90" s="3086">
        <v>20000</v>
      </c>
      <c r="X90" s="3088">
        <f t="shared" si="2"/>
        <v>0</v>
      </c>
      <c r="Y90" s="3089">
        <f t="shared" si="3"/>
        <v>108000</v>
      </c>
      <c r="Z90" s="3090">
        <v>40</v>
      </c>
      <c r="AA90" s="3091">
        <v>150</v>
      </c>
      <c r="AB90" s="3087">
        <f t="shared" si="18"/>
        <v>6000</v>
      </c>
      <c r="AC90" s="3092"/>
      <c r="AD90" s="3092"/>
      <c r="AE90" s="3093">
        <f t="shared" si="14"/>
        <v>6000</v>
      </c>
      <c r="AF90" s="3094">
        <f t="shared" si="15"/>
        <v>114000</v>
      </c>
    </row>
    <row r="91" spans="1:32" s="3095" customFormat="1" ht="30" customHeight="1">
      <c r="A91" s="3082">
        <v>5</v>
      </c>
      <c r="B91" s="3083" t="s">
        <v>1429</v>
      </c>
      <c r="C91" s="3083" t="s">
        <v>1728</v>
      </c>
      <c r="D91" s="3083" t="s">
        <v>1430</v>
      </c>
      <c r="E91" s="3084" t="s">
        <v>1188</v>
      </c>
      <c r="F91" s="3084" t="s">
        <v>1189</v>
      </c>
      <c r="G91" s="3080" t="s">
        <v>1240</v>
      </c>
      <c r="H91" s="3084" t="s">
        <v>1362</v>
      </c>
      <c r="I91" s="3085"/>
      <c r="J91" s="3085"/>
      <c r="K91" s="3081">
        <v>3</v>
      </c>
      <c r="L91" s="3080"/>
      <c r="M91" s="3086">
        <v>36000</v>
      </c>
      <c r="N91" s="3087">
        <f t="shared" si="17"/>
        <v>0</v>
      </c>
      <c r="O91" s="3080">
        <v>0</v>
      </c>
      <c r="P91" s="3086">
        <v>20000</v>
      </c>
      <c r="Q91" s="3088">
        <f t="shared" si="0"/>
        <v>0</v>
      </c>
      <c r="R91" s="3089">
        <f t="shared" si="1"/>
        <v>0</v>
      </c>
      <c r="S91" s="3080">
        <f t="shared" si="16"/>
        <v>3</v>
      </c>
      <c r="T91" s="3086">
        <v>36000</v>
      </c>
      <c r="U91" s="3088">
        <f t="shared" si="13"/>
        <v>108000</v>
      </c>
      <c r="V91" s="3080">
        <v>0</v>
      </c>
      <c r="W91" s="3086">
        <v>20000</v>
      </c>
      <c r="X91" s="3088">
        <f t="shared" si="2"/>
        <v>0</v>
      </c>
      <c r="Y91" s="3089">
        <f t="shared" si="3"/>
        <v>108000</v>
      </c>
      <c r="Z91" s="3090">
        <v>31</v>
      </c>
      <c r="AA91" s="3091">
        <v>150</v>
      </c>
      <c r="AB91" s="3087">
        <f t="shared" si="18"/>
        <v>4650</v>
      </c>
      <c r="AC91" s="3092"/>
      <c r="AD91" s="3092"/>
      <c r="AE91" s="3093">
        <f t="shared" si="14"/>
        <v>4650</v>
      </c>
      <c r="AF91" s="3094">
        <f t="shared" si="15"/>
        <v>112650</v>
      </c>
    </row>
    <row r="92" spans="1:32" s="3095" customFormat="1" ht="30" customHeight="1">
      <c r="A92" s="3082">
        <v>6</v>
      </c>
      <c r="B92" s="3083" t="s">
        <v>1808</v>
      </c>
      <c r="C92" s="3083" t="s">
        <v>1728</v>
      </c>
      <c r="D92" s="3083" t="s">
        <v>1435</v>
      </c>
      <c r="E92" s="3084" t="s">
        <v>1188</v>
      </c>
      <c r="F92" s="3084" t="s">
        <v>1189</v>
      </c>
      <c r="G92" s="3080" t="s">
        <v>1240</v>
      </c>
      <c r="H92" s="3084" t="s">
        <v>1362</v>
      </c>
      <c r="I92" s="3085"/>
      <c r="J92" s="3085"/>
      <c r="K92" s="3081">
        <v>3</v>
      </c>
      <c r="L92" s="3080"/>
      <c r="M92" s="3086">
        <v>36000</v>
      </c>
      <c r="N92" s="3087">
        <f t="shared" si="17"/>
        <v>0</v>
      </c>
      <c r="O92" s="3080">
        <v>0</v>
      </c>
      <c r="P92" s="3086">
        <v>20000</v>
      </c>
      <c r="Q92" s="3088">
        <f t="shared" si="0"/>
        <v>0</v>
      </c>
      <c r="R92" s="3089">
        <f t="shared" si="1"/>
        <v>0</v>
      </c>
      <c r="S92" s="3080">
        <f t="shared" si="16"/>
        <v>3</v>
      </c>
      <c r="T92" s="3086">
        <v>36000</v>
      </c>
      <c r="U92" s="3088">
        <f t="shared" si="13"/>
        <v>108000</v>
      </c>
      <c r="V92" s="3080">
        <v>0</v>
      </c>
      <c r="W92" s="3086">
        <v>20000</v>
      </c>
      <c r="X92" s="3088">
        <f t="shared" si="2"/>
        <v>0</v>
      </c>
      <c r="Y92" s="3089">
        <f t="shared" si="3"/>
        <v>108000</v>
      </c>
      <c r="Z92" s="3090">
        <v>39</v>
      </c>
      <c r="AA92" s="3091">
        <v>150</v>
      </c>
      <c r="AB92" s="3087">
        <f t="shared" si="18"/>
        <v>5850</v>
      </c>
      <c r="AC92" s="3092"/>
      <c r="AD92" s="3092"/>
      <c r="AE92" s="3093">
        <f t="shared" si="14"/>
        <v>5850</v>
      </c>
      <c r="AF92" s="3094">
        <f t="shared" si="15"/>
        <v>113850</v>
      </c>
    </row>
    <row r="93" spans="1:32" s="3095" customFormat="1" ht="30" customHeight="1">
      <c r="A93" s="3082">
        <v>7</v>
      </c>
      <c r="B93" s="3083" t="s">
        <v>1433</v>
      </c>
      <c r="C93" s="3083" t="s">
        <v>1771</v>
      </c>
      <c r="D93" s="3083" t="s">
        <v>1435</v>
      </c>
      <c r="E93" s="3084" t="s">
        <v>1188</v>
      </c>
      <c r="F93" s="3084" t="s">
        <v>1189</v>
      </c>
      <c r="G93" s="3080" t="s">
        <v>1240</v>
      </c>
      <c r="H93" s="3084" t="s">
        <v>1362</v>
      </c>
      <c r="I93" s="3085"/>
      <c r="J93" s="3085"/>
      <c r="K93" s="3081">
        <v>3</v>
      </c>
      <c r="L93" s="3080"/>
      <c r="M93" s="3086">
        <v>36000</v>
      </c>
      <c r="N93" s="3087">
        <f t="shared" si="17"/>
        <v>0</v>
      </c>
      <c r="O93" s="3080">
        <v>0</v>
      </c>
      <c r="P93" s="3086">
        <v>20000</v>
      </c>
      <c r="Q93" s="3088">
        <f t="shared" si="0"/>
        <v>0</v>
      </c>
      <c r="R93" s="3089">
        <f t="shared" si="1"/>
        <v>0</v>
      </c>
      <c r="S93" s="3080">
        <f t="shared" si="16"/>
        <v>3</v>
      </c>
      <c r="T93" s="3086">
        <v>36000</v>
      </c>
      <c r="U93" s="3088">
        <f t="shared" si="13"/>
        <v>108000</v>
      </c>
      <c r="V93" s="3080">
        <v>0</v>
      </c>
      <c r="W93" s="3086">
        <v>20000</v>
      </c>
      <c r="X93" s="3088">
        <f t="shared" si="2"/>
        <v>0</v>
      </c>
      <c r="Y93" s="3089">
        <f t="shared" si="3"/>
        <v>108000</v>
      </c>
      <c r="Z93" s="3090">
        <v>39</v>
      </c>
      <c r="AA93" s="3091">
        <v>150</v>
      </c>
      <c r="AB93" s="3087">
        <f t="shared" si="18"/>
        <v>5850</v>
      </c>
      <c r="AC93" s="3092"/>
      <c r="AD93" s="3092"/>
      <c r="AE93" s="3093">
        <f t="shared" si="14"/>
        <v>5850</v>
      </c>
      <c r="AF93" s="3094">
        <f t="shared" si="15"/>
        <v>113850</v>
      </c>
    </row>
    <row r="94" spans="1:32" s="3095" customFormat="1" ht="30" customHeight="1">
      <c r="A94" s="3082">
        <v>8</v>
      </c>
      <c r="B94" s="3083" t="s">
        <v>1809</v>
      </c>
      <c r="C94" s="3083" t="s">
        <v>1755</v>
      </c>
      <c r="D94" s="3083" t="s">
        <v>1437</v>
      </c>
      <c r="E94" s="3084" t="s">
        <v>1188</v>
      </c>
      <c r="F94" s="3084" t="s">
        <v>1189</v>
      </c>
      <c r="G94" s="3080" t="s">
        <v>1240</v>
      </c>
      <c r="H94" s="3084" t="s">
        <v>1362</v>
      </c>
      <c r="I94" s="3085"/>
      <c r="J94" s="3085"/>
      <c r="K94" s="3081">
        <v>3</v>
      </c>
      <c r="L94" s="3080"/>
      <c r="M94" s="3086">
        <v>36000</v>
      </c>
      <c r="N94" s="3087">
        <f t="shared" si="17"/>
        <v>0</v>
      </c>
      <c r="O94" s="3080">
        <v>0</v>
      </c>
      <c r="P94" s="3086">
        <v>20000</v>
      </c>
      <c r="Q94" s="3088">
        <f t="shared" si="0"/>
        <v>0</v>
      </c>
      <c r="R94" s="3089">
        <f t="shared" si="1"/>
        <v>0</v>
      </c>
      <c r="S94" s="3080">
        <f t="shared" si="16"/>
        <v>3</v>
      </c>
      <c r="T94" s="3086">
        <v>36000</v>
      </c>
      <c r="U94" s="3088">
        <f t="shared" si="13"/>
        <v>108000</v>
      </c>
      <c r="V94" s="3080">
        <v>0</v>
      </c>
      <c r="W94" s="3086">
        <v>20000</v>
      </c>
      <c r="X94" s="3088">
        <f t="shared" si="2"/>
        <v>0</v>
      </c>
      <c r="Y94" s="3089">
        <f t="shared" si="3"/>
        <v>108000</v>
      </c>
      <c r="Z94" s="3090">
        <v>65</v>
      </c>
      <c r="AA94" s="3091">
        <v>150</v>
      </c>
      <c r="AB94" s="3087">
        <f t="shared" si="18"/>
        <v>9750</v>
      </c>
      <c r="AC94" s="3092"/>
      <c r="AD94" s="3092"/>
      <c r="AE94" s="3093">
        <f t="shared" si="14"/>
        <v>9750</v>
      </c>
      <c r="AF94" s="3094">
        <f t="shared" si="15"/>
        <v>117750</v>
      </c>
    </row>
    <row r="95" spans="1:32" s="3095" customFormat="1" ht="30" customHeight="1">
      <c r="A95" s="3082">
        <v>9</v>
      </c>
      <c r="B95" s="3083" t="s">
        <v>1810</v>
      </c>
      <c r="C95" s="3083" t="s">
        <v>1755</v>
      </c>
      <c r="D95" s="3083" t="s">
        <v>1452</v>
      </c>
      <c r="E95" s="3084" t="s">
        <v>1188</v>
      </c>
      <c r="F95" s="3084" t="s">
        <v>1189</v>
      </c>
      <c r="G95" s="3080" t="s">
        <v>1190</v>
      </c>
      <c r="H95" s="3084" t="s">
        <v>1362</v>
      </c>
      <c r="I95" s="3085"/>
      <c r="J95" s="3085"/>
      <c r="K95" s="3081">
        <v>3</v>
      </c>
      <c r="L95" s="3080"/>
      <c r="M95" s="3086">
        <v>15000</v>
      </c>
      <c r="N95" s="3087">
        <f t="shared" si="17"/>
        <v>0</v>
      </c>
      <c r="O95" s="3080">
        <v>0</v>
      </c>
      <c r="P95" s="3086">
        <v>20000</v>
      </c>
      <c r="Q95" s="3088">
        <f t="shared" si="0"/>
        <v>0</v>
      </c>
      <c r="R95" s="3089">
        <f t="shared" si="1"/>
        <v>0</v>
      </c>
      <c r="S95" s="3080">
        <f t="shared" si="16"/>
        <v>3</v>
      </c>
      <c r="T95" s="3086">
        <v>15000</v>
      </c>
      <c r="U95" s="3088">
        <f t="shared" si="13"/>
        <v>45000</v>
      </c>
      <c r="V95" s="3080">
        <v>0</v>
      </c>
      <c r="W95" s="3086">
        <v>20000</v>
      </c>
      <c r="X95" s="3088">
        <f t="shared" si="2"/>
        <v>0</v>
      </c>
      <c r="Y95" s="3089">
        <f t="shared" si="3"/>
        <v>45000</v>
      </c>
      <c r="Z95" s="3090">
        <v>27</v>
      </c>
      <c r="AA95" s="3091">
        <v>150</v>
      </c>
      <c r="AB95" s="3087">
        <f t="shared" si="18"/>
        <v>4050</v>
      </c>
      <c r="AC95" s="3092"/>
      <c r="AD95" s="3092"/>
      <c r="AE95" s="3093">
        <f t="shared" si="14"/>
        <v>4050</v>
      </c>
      <c r="AF95" s="3094">
        <f t="shared" si="15"/>
        <v>49050</v>
      </c>
    </row>
    <row r="96" spans="1:32" s="3095" customFormat="1" ht="30" customHeight="1">
      <c r="A96" s="3082">
        <v>10</v>
      </c>
      <c r="B96" s="3083" t="s">
        <v>1811</v>
      </c>
      <c r="C96" s="3083" t="s">
        <v>1777</v>
      </c>
      <c r="D96" s="3083" t="s">
        <v>1812</v>
      </c>
      <c r="E96" s="3084" t="s">
        <v>1188</v>
      </c>
      <c r="F96" s="3084" t="s">
        <v>1189</v>
      </c>
      <c r="G96" s="3080" t="s">
        <v>1240</v>
      </c>
      <c r="H96" s="3084" t="s">
        <v>1362</v>
      </c>
      <c r="I96" s="3085"/>
      <c r="J96" s="3085"/>
      <c r="K96" s="3081">
        <v>3</v>
      </c>
      <c r="L96" s="3080"/>
      <c r="M96" s="3086">
        <v>36000</v>
      </c>
      <c r="N96" s="3087">
        <f t="shared" si="17"/>
        <v>0</v>
      </c>
      <c r="O96" s="3080">
        <v>0</v>
      </c>
      <c r="P96" s="3086">
        <v>20000</v>
      </c>
      <c r="Q96" s="3088">
        <f t="shared" si="0"/>
        <v>0</v>
      </c>
      <c r="R96" s="3089">
        <f t="shared" si="1"/>
        <v>0</v>
      </c>
      <c r="S96" s="3080">
        <f t="shared" si="16"/>
        <v>3</v>
      </c>
      <c r="T96" s="3086">
        <v>36000</v>
      </c>
      <c r="U96" s="3088">
        <f t="shared" si="13"/>
        <v>108000</v>
      </c>
      <c r="V96" s="3080">
        <v>0</v>
      </c>
      <c r="W96" s="3086">
        <v>20000</v>
      </c>
      <c r="X96" s="3088">
        <f t="shared" si="2"/>
        <v>0</v>
      </c>
      <c r="Y96" s="3089">
        <f t="shared" si="3"/>
        <v>108000</v>
      </c>
      <c r="Z96" s="3090">
        <v>130</v>
      </c>
      <c r="AA96" s="3091">
        <v>150</v>
      </c>
      <c r="AB96" s="3087">
        <f t="shared" si="18"/>
        <v>19500</v>
      </c>
      <c r="AC96" s="3092"/>
      <c r="AD96" s="3092"/>
      <c r="AE96" s="3093">
        <f t="shared" si="14"/>
        <v>19500</v>
      </c>
      <c r="AF96" s="3094">
        <f t="shared" si="15"/>
        <v>127500</v>
      </c>
    </row>
    <row r="97" spans="1:32" s="3095" customFormat="1" ht="30" customHeight="1">
      <c r="A97" s="3082">
        <v>11</v>
      </c>
      <c r="B97" s="3083" t="s">
        <v>1455</v>
      </c>
      <c r="C97" s="3083" t="s">
        <v>1728</v>
      </c>
      <c r="D97" s="3083" t="s">
        <v>1456</v>
      </c>
      <c r="E97" s="3084" t="s">
        <v>1188</v>
      </c>
      <c r="F97" s="3084" t="s">
        <v>1189</v>
      </c>
      <c r="G97" s="3080" t="s">
        <v>1240</v>
      </c>
      <c r="H97" s="3084" t="s">
        <v>1362</v>
      </c>
      <c r="I97" s="3085"/>
      <c r="J97" s="3085"/>
      <c r="K97" s="3081">
        <v>3</v>
      </c>
      <c r="L97" s="3080"/>
      <c r="M97" s="3086">
        <v>36000</v>
      </c>
      <c r="N97" s="3087">
        <f t="shared" si="17"/>
        <v>0</v>
      </c>
      <c r="O97" s="3080">
        <v>0</v>
      </c>
      <c r="P97" s="3086">
        <v>20000</v>
      </c>
      <c r="Q97" s="3088">
        <f t="shared" si="0"/>
        <v>0</v>
      </c>
      <c r="R97" s="3089">
        <f t="shared" si="1"/>
        <v>0</v>
      </c>
      <c r="S97" s="3080">
        <f t="shared" si="16"/>
        <v>3</v>
      </c>
      <c r="T97" s="3086">
        <v>36000</v>
      </c>
      <c r="U97" s="3088">
        <f t="shared" si="13"/>
        <v>108000</v>
      </c>
      <c r="V97" s="3080">
        <v>0</v>
      </c>
      <c r="W97" s="3086">
        <v>20000</v>
      </c>
      <c r="X97" s="3088">
        <f t="shared" si="2"/>
        <v>0</v>
      </c>
      <c r="Y97" s="3089">
        <f t="shared" si="3"/>
        <v>108000</v>
      </c>
      <c r="Z97" s="3090">
        <v>114</v>
      </c>
      <c r="AA97" s="3091">
        <v>150</v>
      </c>
      <c r="AB97" s="3087">
        <f t="shared" si="18"/>
        <v>17100</v>
      </c>
      <c r="AC97" s="3092"/>
      <c r="AD97" s="3092"/>
      <c r="AE97" s="3093">
        <f t="shared" si="14"/>
        <v>17100</v>
      </c>
      <c r="AF97" s="3094">
        <f t="shared" si="15"/>
        <v>125100</v>
      </c>
    </row>
    <row r="98" spans="1:32" s="3095" customFormat="1" ht="30" customHeight="1">
      <c r="A98" s="3082">
        <v>12</v>
      </c>
      <c r="B98" s="3083" t="s">
        <v>1813</v>
      </c>
      <c r="C98" s="3083" t="s">
        <v>1771</v>
      </c>
      <c r="D98" s="3083" t="s">
        <v>1456</v>
      </c>
      <c r="E98" s="3084" t="s">
        <v>1188</v>
      </c>
      <c r="F98" s="3084" t="s">
        <v>1189</v>
      </c>
      <c r="G98" s="3080" t="s">
        <v>1240</v>
      </c>
      <c r="H98" s="3084" t="s">
        <v>1362</v>
      </c>
      <c r="I98" s="3085"/>
      <c r="J98" s="3085"/>
      <c r="K98" s="3081">
        <v>3</v>
      </c>
      <c r="L98" s="3080"/>
      <c r="M98" s="3086">
        <v>36000</v>
      </c>
      <c r="N98" s="3087">
        <f t="shared" si="17"/>
        <v>0</v>
      </c>
      <c r="O98" s="3080">
        <v>0</v>
      </c>
      <c r="P98" s="3086">
        <v>20000</v>
      </c>
      <c r="Q98" s="3088">
        <f t="shared" si="0"/>
        <v>0</v>
      </c>
      <c r="R98" s="3089">
        <f t="shared" si="1"/>
        <v>0</v>
      </c>
      <c r="S98" s="3080">
        <f t="shared" si="16"/>
        <v>3</v>
      </c>
      <c r="T98" s="3086">
        <v>36000</v>
      </c>
      <c r="U98" s="3088">
        <f t="shared" si="13"/>
        <v>108000</v>
      </c>
      <c r="V98" s="3080">
        <v>0</v>
      </c>
      <c r="W98" s="3086">
        <v>20000</v>
      </c>
      <c r="X98" s="3088">
        <f t="shared" si="2"/>
        <v>0</v>
      </c>
      <c r="Y98" s="3089">
        <f t="shared" si="3"/>
        <v>108000</v>
      </c>
      <c r="Z98" s="3090">
        <v>114</v>
      </c>
      <c r="AA98" s="3091">
        <v>150</v>
      </c>
      <c r="AB98" s="3087">
        <f t="shared" si="18"/>
        <v>17100</v>
      </c>
      <c r="AC98" s="3092"/>
      <c r="AD98" s="3092"/>
      <c r="AE98" s="3093">
        <f t="shared" si="14"/>
        <v>17100</v>
      </c>
      <c r="AF98" s="3094">
        <f t="shared" si="15"/>
        <v>125100</v>
      </c>
    </row>
    <row r="99" spans="1:32" s="3095" customFormat="1" ht="30" customHeight="1">
      <c r="A99" s="3082">
        <v>1</v>
      </c>
      <c r="B99" s="3083" t="s">
        <v>1814</v>
      </c>
      <c r="C99" s="3083" t="s">
        <v>1741</v>
      </c>
      <c r="D99" s="3083" t="s">
        <v>1815</v>
      </c>
      <c r="E99" s="3084" t="s">
        <v>1188</v>
      </c>
      <c r="F99" s="3084" t="s">
        <v>1189</v>
      </c>
      <c r="G99" s="3080" t="s">
        <v>1240</v>
      </c>
      <c r="H99" s="3084" t="s">
        <v>1362</v>
      </c>
      <c r="I99" s="3085"/>
      <c r="J99" s="3085"/>
      <c r="K99" s="3081">
        <v>3</v>
      </c>
      <c r="L99" s="3080"/>
      <c r="M99" s="3086">
        <v>36000</v>
      </c>
      <c r="N99" s="3087">
        <f t="shared" si="17"/>
        <v>0</v>
      </c>
      <c r="O99" s="3080">
        <v>0</v>
      </c>
      <c r="P99" s="3086">
        <v>20000</v>
      </c>
      <c r="Q99" s="3088">
        <f t="shared" si="0"/>
        <v>0</v>
      </c>
      <c r="R99" s="3089">
        <f t="shared" si="1"/>
        <v>0</v>
      </c>
      <c r="S99" s="3080">
        <f>+K99</f>
        <v>3</v>
      </c>
      <c r="T99" s="3086">
        <v>36000</v>
      </c>
      <c r="U99" s="3088">
        <f t="shared" si="13"/>
        <v>108000</v>
      </c>
      <c r="V99" s="3080">
        <v>0</v>
      </c>
      <c r="W99" s="3086">
        <v>20000</v>
      </c>
      <c r="X99" s="3088">
        <f t="shared" si="2"/>
        <v>0</v>
      </c>
      <c r="Y99" s="3089">
        <f t="shared" si="3"/>
        <v>108000</v>
      </c>
      <c r="Z99" s="3090">
        <v>108</v>
      </c>
      <c r="AA99" s="3091">
        <v>150</v>
      </c>
      <c r="AB99" s="3087">
        <f t="shared" si="18"/>
        <v>16200</v>
      </c>
      <c r="AC99" s="3092"/>
      <c r="AD99" s="3092"/>
      <c r="AE99" s="3093">
        <f t="shared" si="14"/>
        <v>16200</v>
      </c>
      <c r="AF99" s="3094">
        <f t="shared" si="15"/>
        <v>124200</v>
      </c>
    </row>
    <row r="100" spans="1:32" s="3095" customFormat="1" ht="30" customHeight="1">
      <c r="A100" s="3082">
        <v>2</v>
      </c>
      <c r="B100" s="3083" t="s">
        <v>1460</v>
      </c>
      <c r="C100" s="3083" t="s">
        <v>1745</v>
      </c>
      <c r="D100" s="3083" t="s">
        <v>1461</v>
      </c>
      <c r="E100" s="3084" t="s">
        <v>1188</v>
      </c>
      <c r="F100" s="3084" t="s">
        <v>1189</v>
      </c>
      <c r="G100" s="3080" t="s">
        <v>1240</v>
      </c>
      <c r="H100" s="3084" t="s">
        <v>1362</v>
      </c>
      <c r="I100" s="3085"/>
      <c r="J100" s="3085"/>
      <c r="K100" s="3081">
        <v>3</v>
      </c>
      <c r="L100" s="3080"/>
      <c r="M100" s="3086">
        <v>36000</v>
      </c>
      <c r="N100" s="3087">
        <f t="shared" si="17"/>
        <v>0</v>
      </c>
      <c r="O100" s="3080">
        <v>0</v>
      </c>
      <c r="P100" s="3086">
        <v>20000</v>
      </c>
      <c r="Q100" s="3088">
        <f t="shared" si="0"/>
        <v>0</v>
      </c>
      <c r="R100" s="3089">
        <f t="shared" si="1"/>
        <v>0</v>
      </c>
      <c r="S100" s="3080">
        <f t="shared" ref="S100:S110" si="19">+K100</f>
        <v>3</v>
      </c>
      <c r="T100" s="3086">
        <v>36000</v>
      </c>
      <c r="U100" s="3088">
        <f t="shared" si="13"/>
        <v>108000</v>
      </c>
      <c r="V100" s="3080">
        <v>0</v>
      </c>
      <c r="W100" s="3086">
        <v>20000</v>
      </c>
      <c r="X100" s="3088">
        <f t="shared" si="2"/>
        <v>0</v>
      </c>
      <c r="Y100" s="3089">
        <f t="shared" si="3"/>
        <v>108000</v>
      </c>
      <c r="Z100" s="3090">
        <v>102</v>
      </c>
      <c r="AA100" s="3091">
        <v>150</v>
      </c>
      <c r="AB100" s="3087">
        <f t="shared" si="18"/>
        <v>15300</v>
      </c>
      <c r="AC100" s="3092"/>
      <c r="AD100" s="3092"/>
      <c r="AE100" s="3093">
        <f t="shared" si="14"/>
        <v>15300</v>
      </c>
      <c r="AF100" s="3094">
        <f t="shared" si="15"/>
        <v>123300</v>
      </c>
    </row>
    <row r="101" spans="1:32" s="3095" customFormat="1" ht="30" customHeight="1">
      <c r="A101" s="3082">
        <v>3</v>
      </c>
      <c r="B101" s="3083" t="s">
        <v>1816</v>
      </c>
      <c r="C101" s="3083" t="s">
        <v>1777</v>
      </c>
      <c r="D101" s="3083" t="s">
        <v>1817</v>
      </c>
      <c r="E101" s="3084" t="s">
        <v>1188</v>
      </c>
      <c r="F101" s="3084" t="s">
        <v>1189</v>
      </c>
      <c r="G101" s="3080" t="s">
        <v>1240</v>
      </c>
      <c r="H101" s="3084" t="s">
        <v>1362</v>
      </c>
      <c r="I101" s="3085"/>
      <c r="J101" s="3085"/>
      <c r="K101" s="3081">
        <v>3</v>
      </c>
      <c r="L101" s="3080"/>
      <c r="M101" s="3086">
        <v>36000</v>
      </c>
      <c r="N101" s="3087">
        <f t="shared" si="17"/>
        <v>0</v>
      </c>
      <c r="O101" s="3080">
        <v>0</v>
      </c>
      <c r="P101" s="3086">
        <v>20000</v>
      </c>
      <c r="Q101" s="3088">
        <f t="shared" si="0"/>
        <v>0</v>
      </c>
      <c r="R101" s="3089">
        <f t="shared" si="1"/>
        <v>0</v>
      </c>
      <c r="S101" s="3080">
        <f t="shared" si="19"/>
        <v>3</v>
      </c>
      <c r="T101" s="3086">
        <v>36000</v>
      </c>
      <c r="U101" s="3088">
        <f t="shared" si="13"/>
        <v>108000</v>
      </c>
      <c r="V101" s="3080">
        <v>0</v>
      </c>
      <c r="W101" s="3086">
        <v>20000</v>
      </c>
      <c r="X101" s="3088">
        <f t="shared" si="2"/>
        <v>0</v>
      </c>
      <c r="Y101" s="3089">
        <f t="shared" si="3"/>
        <v>108000</v>
      </c>
      <c r="Z101" s="3090">
        <v>94</v>
      </c>
      <c r="AA101" s="3091">
        <v>150</v>
      </c>
      <c r="AB101" s="3087">
        <f t="shared" si="18"/>
        <v>14100</v>
      </c>
      <c r="AC101" s="3092"/>
      <c r="AD101" s="3092"/>
      <c r="AE101" s="3093">
        <f t="shared" si="14"/>
        <v>14100</v>
      </c>
      <c r="AF101" s="3094">
        <f t="shared" si="15"/>
        <v>122100</v>
      </c>
    </row>
    <row r="102" spans="1:32" s="3095" customFormat="1" ht="30" customHeight="1">
      <c r="A102" s="3082">
        <v>4</v>
      </c>
      <c r="B102" s="3083" t="s">
        <v>1462</v>
      </c>
      <c r="C102" s="3083" t="s">
        <v>1741</v>
      </c>
      <c r="D102" s="3083" t="s">
        <v>1463</v>
      </c>
      <c r="E102" s="3084" t="s">
        <v>1188</v>
      </c>
      <c r="F102" s="3084" t="s">
        <v>1189</v>
      </c>
      <c r="G102" s="3080" t="s">
        <v>1240</v>
      </c>
      <c r="H102" s="3084" t="s">
        <v>1362</v>
      </c>
      <c r="I102" s="3085"/>
      <c r="J102" s="3085"/>
      <c r="K102" s="3081">
        <v>3</v>
      </c>
      <c r="L102" s="3080"/>
      <c r="M102" s="3086">
        <v>36000</v>
      </c>
      <c r="N102" s="3087">
        <f t="shared" si="17"/>
        <v>0</v>
      </c>
      <c r="O102" s="3080">
        <v>0</v>
      </c>
      <c r="P102" s="3086">
        <v>20000</v>
      </c>
      <c r="Q102" s="3088">
        <f t="shared" si="0"/>
        <v>0</v>
      </c>
      <c r="R102" s="3089">
        <f t="shared" si="1"/>
        <v>0</v>
      </c>
      <c r="S102" s="3080">
        <f t="shared" si="19"/>
        <v>3</v>
      </c>
      <c r="T102" s="3086">
        <v>36000</v>
      </c>
      <c r="U102" s="3088">
        <f t="shared" si="13"/>
        <v>108000</v>
      </c>
      <c r="V102" s="3080">
        <v>0</v>
      </c>
      <c r="W102" s="3086">
        <v>20000</v>
      </c>
      <c r="X102" s="3088">
        <f t="shared" si="2"/>
        <v>0</v>
      </c>
      <c r="Y102" s="3089">
        <f t="shared" si="3"/>
        <v>108000</v>
      </c>
      <c r="Z102" s="3090">
        <v>106</v>
      </c>
      <c r="AA102" s="3091">
        <v>150</v>
      </c>
      <c r="AB102" s="3087">
        <f t="shared" si="18"/>
        <v>15900</v>
      </c>
      <c r="AC102" s="3092"/>
      <c r="AD102" s="3092"/>
      <c r="AE102" s="3093">
        <f t="shared" si="14"/>
        <v>15900</v>
      </c>
      <c r="AF102" s="3094">
        <f t="shared" si="15"/>
        <v>123900</v>
      </c>
    </row>
    <row r="103" spans="1:32" s="3095" customFormat="1" ht="30" customHeight="1">
      <c r="A103" s="3082">
        <v>5</v>
      </c>
      <c r="B103" s="3083" t="s">
        <v>1818</v>
      </c>
      <c r="C103" s="3083" t="s">
        <v>1777</v>
      </c>
      <c r="D103" s="3083" t="s">
        <v>1819</v>
      </c>
      <c r="E103" s="3084" t="s">
        <v>1188</v>
      </c>
      <c r="F103" s="3084" t="s">
        <v>1189</v>
      </c>
      <c r="G103" s="3080" t="s">
        <v>1240</v>
      </c>
      <c r="H103" s="3084" t="s">
        <v>1362</v>
      </c>
      <c r="I103" s="3085"/>
      <c r="J103" s="3085"/>
      <c r="K103" s="3081">
        <v>3</v>
      </c>
      <c r="L103" s="3080"/>
      <c r="M103" s="3086">
        <v>36000</v>
      </c>
      <c r="N103" s="3087">
        <f t="shared" si="17"/>
        <v>0</v>
      </c>
      <c r="O103" s="3080">
        <v>0</v>
      </c>
      <c r="P103" s="3086">
        <v>20000</v>
      </c>
      <c r="Q103" s="3088">
        <f t="shared" ref="Q103:Q166" si="20">P103*O103</f>
        <v>0</v>
      </c>
      <c r="R103" s="3089">
        <f t="shared" ref="R103:R166" si="21">N103+Q103</f>
        <v>0</v>
      </c>
      <c r="S103" s="3080">
        <f t="shared" si="19"/>
        <v>3</v>
      </c>
      <c r="T103" s="3086">
        <v>36000</v>
      </c>
      <c r="U103" s="3088">
        <f t="shared" si="13"/>
        <v>108000</v>
      </c>
      <c r="V103" s="3080">
        <v>0</v>
      </c>
      <c r="W103" s="3086">
        <v>20000</v>
      </c>
      <c r="X103" s="3088">
        <f t="shared" ref="X103:X166" si="22">V103*W103</f>
        <v>0</v>
      </c>
      <c r="Y103" s="3089">
        <f t="shared" ref="Y103:Y166" si="23">U103+X103</f>
        <v>108000</v>
      </c>
      <c r="Z103" s="3090">
        <v>94</v>
      </c>
      <c r="AA103" s="3091">
        <v>150</v>
      </c>
      <c r="AB103" s="3087">
        <f t="shared" si="18"/>
        <v>14100</v>
      </c>
      <c r="AC103" s="3092"/>
      <c r="AD103" s="3092"/>
      <c r="AE103" s="3093">
        <f t="shared" si="14"/>
        <v>14100</v>
      </c>
      <c r="AF103" s="3094">
        <f t="shared" si="15"/>
        <v>122100</v>
      </c>
    </row>
    <row r="104" spans="1:32" s="3095" customFormat="1" ht="30" customHeight="1">
      <c r="A104" s="3082">
        <v>6</v>
      </c>
      <c r="B104" s="3083" t="s">
        <v>1820</v>
      </c>
      <c r="C104" s="3083" t="s">
        <v>1741</v>
      </c>
      <c r="D104" s="3083" t="s">
        <v>1821</v>
      </c>
      <c r="E104" s="3084" t="s">
        <v>1188</v>
      </c>
      <c r="F104" s="3084" t="s">
        <v>1189</v>
      </c>
      <c r="G104" s="3080" t="s">
        <v>1240</v>
      </c>
      <c r="H104" s="3084" t="s">
        <v>1362</v>
      </c>
      <c r="I104" s="3085"/>
      <c r="J104" s="3085"/>
      <c r="K104" s="3081">
        <v>3</v>
      </c>
      <c r="L104" s="3080"/>
      <c r="M104" s="3086">
        <v>36000</v>
      </c>
      <c r="N104" s="3087">
        <f t="shared" si="17"/>
        <v>0</v>
      </c>
      <c r="O104" s="3080">
        <v>0</v>
      </c>
      <c r="P104" s="3086">
        <v>20000</v>
      </c>
      <c r="Q104" s="3088">
        <f t="shared" si="20"/>
        <v>0</v>
      </c>
      <c r="R104" s="3089">
        <f t="shared" si="21"/>
        <v>0</v>
      </c>
      <c r="S104" s="3080">
        <f t="shared" si="19"/>
        <v>3</v>
      </c>
      <c r="T104" s="3086">
        <v>36000</v>
      </c>
      <c r="U104" s="3088">
        <f t="shared" si="13"/>
        <v>108000</v>
      </c>
      <c r="V104" s="3080">
        <v>0</v>
      </c>
      <c r="W104" s="3086">
        <v>20000</v>
      </c>
      <c r="X104" s="3088">
        <f t="shared" si="22"/>
        <v>0</v>
      </c>
      <c r="Y104" s="3089">
        <f t="shared" si="23"/>
        <v>108000</v>
      </c>
      <c r="Z104" s="3090">
        <v>112</v>
      </c>
      <c r="AA104" s="3091">
        <v>150</v>
      </c>
      <c r="AB104" s="3087">
        <f t="shared" si="18"/>
        <v>16800</v>
      </c>
      <c r="AC104" s="3092"/>
      <c r="AD104" s="3092"/>
      <c r="AE104" s="3093">
        <f t="shared" si="14"/>
        <v>16800</v>
      </c>
      <c r="AF104" s="3094">
        <f t="shared" si="15"/>
        <v>124800</v>
      </c>
    </row>
    <row r="105" spans="1:32" s="3095" customFormat="1" ht="30" customHeight="1">
      <c r="A105" s="3082">
        <v>7</v>
      </c>
      <c r="B105" s="3083" t="s">
        <v>1464</v>
      </c>
      <c r="C105" s="3083" t="s">
        <v>1745</v>
      </c>
      <c r="D105" s="3083" t="s">
        <v>1465</v>
      </c>
      <c r="E105" s="3084" t="s">
        <v>1188</v>
      </c>
      <c r="F105" s="3084" t="s">
        <v>1189</v>
      </c>
      <c r="G105" s="3080" t="s">
        <v>1240</v>
      </c>
      <c r="H105" s="3084" t="s">
        <v>1362</v>
      </c>
      <c r="I105" s="3085"/>
      <c r="J105" s="3085"/>
      <c r="K105" s="3081">
        <v>3</v>
      </c>
      <c r="L105" s="3080"/>
      <c r="M105" s="3086">
        <v>36000</v>
      </c>
      <c r="N105" s="3087">
        <f t="shared" si="17"/>
        <v>0</v>
      </c>
      <c r="O105" s="3080">
        <v>0</v>
      </c>
      <c r="P105" s="3086">
        <v>20000</v>
      </c>
      <c r="Q105" s="3088">
        <f t="shared" si="20"/>
        <v>0</v>
      </c>
      <c r="R105" s="3089">
        <f t="shared" si="21"/>
        <v>0</v>
      </c>
      <c r="S105" s="3080">
        <f t="shared" si="19"/>
        <v>3</v>
      </c>
      <c r="T105" s="3086">
        <v>36000</v>
      </c>
      <c r="U105" s="3088">
        <f t="shared" si="13"/>
        <v>108000</v>
      </c>
      <c r="V105" s="3080">
        <v>0</v>
      </c>
      <c r="W105" s="3086">
        <v>20000</v>
      </c>
      <c r="X105" s="3088">
        <f t="shared" si="22"/>
        <v>0</v>
      </c>
      <c r="Y105" s="3089">
        <f t="shared" si="23"/>
        <v>108000</v>
      </c>
      <c r="Z105" s="3090">
        <v>90</v>
      </c>
      <c r="AA105" s="3091">
        <v>150</v>
      </c>
      <c r="AB105" s="3087">
        <f t="shared" si="18"/>
        <v>13500</v>
      </c>
      <c r="AC105" s="3092"/>
      <c r="AD105" s="3092"/>
      <c r="AE105" s="3093">
        <f t="shared" si="14"/>
        <v>13500</v>
      </c>
      <c r="AF105" s="3094">
        <f t="shared" si="15"/>
        <v>121500</v>
      </c>
    </row>
    <row r="106" spans="1:32" s="3095" customFormat="1" ht="30" customHeight="1">
      <c r="A106" s="3082">
        <v>8</v>
      </c>
      <c r="B106" s="3083" t="s">
        <v>1822</v>
      </c>
      <c r="C106" s="3083" t="s">
        <v>1777</v>
      </c>
      <c r="D106" s="3083" t="s">
        <v>1823</v>
      </c>
      <c r="E106" s="3084" t="s">
        <v>1188</v>
      </c>
      <c r="F106" s="3084" t="s">
        <v>1189</v>
      </c>
      <c r="G106" s="3080" t="s">
        <v>1240</v>
      </c>
      <c r="H106" s="3084" t="s">
        <v>1362</v>
      </c>
      <c r="I106" s="3085"/>
      <c r="J106" s="3085"/>
      <c r="K106" s="3081">
        <v>3</v>
      </c>
      <c r="L106" s="3080"/>
      <c r="M106" s="3086">
        <v>36000</v>
      </c>
      <c r="N106" s="3087">
        <f t="shared" si="17"/>
        <v>0</v>
      </c>
      <c r="O106" s="3080">
        <v>0</v>
      </c>
      <c r="P106" s="3086">
        <v>20000</v>
      </c>
      <c r="Q106" s="3088">
        <f t="shared" si="20"/>
        <v>0</v>
      </c>
      <c r="R106" s="3089">
        <f t="shared" si="21"/>
        <v>0</v>
      </c>
      <c r="S106" s="3080">
        <f t="shared" si="19"/>
        <v>3</v>
      </c>
      <c r="T106" s="3086">
        <v>36000</v>
      </c>
      <c r="U106" s="3088">
        <f t="shared" si="13"/>
        <v>108000</v>
      </c>
      <c r="V106" s="3080">
        <v>0</v>
      </c>
      <c r="W106" s="3086">
        <v>20000</v>
      </c>
      <c r="X106" s="3088">
        <f t="shared" si="22"/>
        <v>0</v>
      </c>
      <c r="Y106" s="3089">
        <f t="shared" si="23"/>
        <v>108000</v>
      </c>
      <c r="Z106" s="3090">
        <v>96</v>
      </c>
      <c r="AA106" s="3091">
        <v>150</v>
      </c>
      <c r="AB106" s="3087">
        <f t="shared" si="18"/>
        <v>14400</v>
      </c>
      <c r="AC106" s="3092"/>
      <c r="AD106" s="3092"/>
      <c r="AE106" s="3093">
        <f t="shared" si="14"/>
        <v>14400</v>
      </c>
      <c r="AF106" s="3094">
        <f t="shared" si="15"/>
        <v>122400</v>
      </c>
    </row>
    <row r="107" spans="1:32" s="3095" customFormat="1" ht="30" customHeight="1">
      <c r="A107" s="3082">
        <v>9</v>
      </c>
      <c r="B107" s="3083" t="s">
        <v>1824</v>
      </c>
      <c r="C107" s="3083" t="s">
        <v>1741</v>
      </c>
      <c r="D107" s="3083" t="s">
        <v>1825</v>
      </c>
      <c r="E107" s="3084" t="s">
        <v>1188</v>
      </c>
      <c r="F107" s="3084" t="s">
        <v>1189</v>
      </c>
      <c r="G107" s="3080" t="s">
        <v>1240</v>
      </c>
      <c r="H107" s="3084" t="s">
        <v>1362</v>
      </c>
      <c r="I107" s="3085"/>
      <c r="J107" s="3085"/>
      <c r="K107" s="3081">
        <v>3</v>
      </c>
      <c r="L107" s="3080"/>
      <c r="M107" s="3086">
        <v>36000</v>
      </c>
      <c r="N107" s="3087">
        <f t="shared" si="17"/>
        <v>0</v>
      </c>
      <c r="O107" s="3080">
        <v>0</v>
      </c>
      <c r="P107" s="3086">
        <v>20000</v>
      </c>
      <c r="Q107" s="3088">
        <f t="shared" si="20"/>
        <v>0</v>
      </c>
      <c r="R107" s="3089">
        <f t="shared" si="21"/>
        <v>0</v>
      </c>
      <c r="S107" s="3080">
        <f t="shared" si="19"/>
        <v>3</v>
      </c>
      <c r="T107" s="3086">
        <v>36000</v>
      </c>
      <c r="U107" s="3088">
        <f t="shared" si="13"/>
        <v>108000</v>
      </c>
      <c r="V107" s="3080">
        <v>0</v>
      </c>
      <c r="W107" s="3086">
        <v>20000</v>
      </c>
      <c r="X107" s="3088">
        <f t="shared" si="22"/>
        <v>0</v>
      </c>
      <c r="Y107" s="3089">
        <f t="shared" si="23"/>
        <v>108000</v>
      </c>
      <c r="Z107" s="3090">
        <v>140</v>
      </c>
      <c r="AA107" s="3091">
        <v>150</v>
      </c>
      <c r="AB107" s="3087">
        <f t="shared" si="18"/>
        <v>21000</v>
      </c>
      <c r="AC107" s="3092"/>
      <c r="AD107" s="3092"/>
      <c r="AE107" s="3093">
        <f t="shared" si="14"/>
        <v>21000</v>
      </c>
      <c r="AF107" s="3094">
        <f t="shared" si="15"/>
        <v>129000</v>
      </c>
    </row>
    <row r="108" spans="1:32" s="3095" customFormat="1" ht="30" customHeight="1">
      <c r="A108" s="3082">
        <v>10</v>
      </c>
      <c r="B108" s="3083" t="s">
        <v>1466</v>
      </c>
      <c r="C108" s="3083" t="s">
        <v>1745</v>
      </c>
      <c r="D108" s="3083" t="s">
        <v>1467</v>
      </c>
      <c r="E108" s="3084" t="s">
        <v>1188</v>
      </c>
      <c r="F108" s="3084" t="s">
        <v>1189</v>
      </c>
      <c r="G108" s="3080" t="s">
        <v>1240</v>
      </c>
      <c r="H108" s="3084" t="s">
        <v>1380</v>
      </c>
      <c r="I108" s="3085"/>
      <c r="J108" s="3085"/>
      <c r="K108" s="3081">
        <v>3</v>
      </c>
      <c r="L108" s="3080"/>
      <c r="M108" s="3086">
        <v>36000</v>
      </c>
      <c r="N108" s="3087">
        <f t="shared" si="17"/>
        <v>0</v>
      </c>
      <c r="O108" s="3080">
        <v>0</v>
      </c>
      <c r="P108" s="3086">
        <v>20000</v>
      </c>
      <c r="Q108" s="3088">
        <f t="shared" si="20"/>
        <v>0</v>
      </c>
      <c r="R108" s="3089">
        <f t="shared" si="21"/>
        <v>0</v>
      </c>
      <c r="S108" s="3080">
        <f t="shared" si="19"/>
        <v>3</v>
      </c>
      <c r="T108" s="3086">
        <v>36000</v>
      </c>
      <c r="U108" s="3088">
        <f t="shared" si="13"/>
        <v>108000</v>
      </c>
      <c r="V108" s="3080">
        <v>0</v>
      </c>
      <c r="W108" s="3086">
        <v>20000</v>
      </c>
      <c r="X108" s="3088">
        <f t="shared" si="22"/>
        <v>0</v>
      </c>
      <c r="Y108" s="3089">
        <f t="shared" si="23"/>
        <v>108000</v>
      </c>
      <c r="Z108" s="3090">
        <v>114</v>
      </c>
      <c r="AA108" s="3091">
        <v>150</v>
      </c>
      <c r="AB108" s="3087">
        <f t="shared" si="18"/>
        <v>17100</v>
      </c>
      <c r="AC108" s="3092"/>
      <c r="AD108" s="3092"/>
      <c r="AE108" s="3093">
        <f t="shared" si="14"/>
        <v>17100</v>
      </c>
      <c r="AF108" s="3094">
        <f t="shared" si="15"/>
        <v>125100</v>
      </c>
    </row>
    <row r="109" spans="1:32" s="3095" customFormat="1" ht="30" customHeight="1">
      <c r="A109" s="3082">
        <v>11</v>
      </c>
      <c r="B109" s="3083" t="s">
        <v>1826</v>
      </c>
      <c r="C109" s="3083" t="s">
        <v>1728</v>
      </c>
      <c r="D109" s="3083" t="s">
        <v>1827</v>
      </c>
      <c r="E109" s="3084" t="s">
        <v>1188</v>
      </c>
      <c r="F109" s="3084" t="s">
        <v>1189</v>
      </c>
      <c r="G109" s="3080" t="s">
        <v>1240</v>
      </c>
      <c r="H109" s="3084" t="s">
        <v>1380</v>
      </c>
      <c r="I109" s="3085"/>
      <c r="J109" s="3085"/>
      <c r="K109" s="3081">
        <v>3</v>
      </c>
      <c r="L109" s="3080"/>
      <c r="M109" s="3086">
        <v>36000</v>
      </c>
      <c r="N109" s="3087">
        <f t="shared" si="17"/>
        <v>0</v>
      </c>
      <c r="O109" s="3080">
        <v>0</v>
      </c>
      <c r="P109" s="3086">
        <v>20000</v>
      </c>
      <c r="Q109" s="3088">
        <f t="shared" si="20"/>
        <v>0</v>
      </c>
      <c r="R109" s="3089">
        <f t="shared" si="21"/>
        <v>0</v>
      </c>
      <c r="S109" s="3080">
        <f t="shared" si="19"/>
        <v>3</v>
      </c>
      <c r="T109" s="3086">
        <v>36000</v>
      </c>
      <c r="U109" s="3088">
        <f t="shared" si="13"/>
        <v>108000</v>
      </c>
      <c r="V109" s="3080">
        <v>0</v>
      </c>
      <c r="W109" s="3086">
        <v>20000</v>
      </c>
      <c r="X109" s="3088">
        <f t="shared" si="22"/>
        <v>0</v>
      </c>
      <c r="Y109" s="3089">
        <f t="shared" si="23"/>
        <v>108000</v>
      </c>
      <c r="Z109" s="3090">
        <v>144</v>
      </c>
      <c r="AA109" s="3091">
        <v>150</v>
      </c>
      <c r="AB109" s="3087">
        <f t="shared" si="18"/>
        <v>21600</v>
      </c>
      <c r="AC109" s="3092"/>
      <c r="AD109" s="3092"/>
      <c r="AE109" s="3093">
        <f t="shared" si="14"/>
        <v>21600</v>
      </c>
      <c r="AF109" s="3094">
        <f t="shared" si="15"/>
        <v>129600</v>
      </c>
    </row>
    <row r="110" spans="1:32" s="3095" customFormat="1" ht="30" customHeight="1">
      <c r="A110" s="3082">
        <v>12</v>
      </c>
      <c r="B110" s="3083" t="s">
        <v>1828</v>
      </c>
      <c r="C110" s="3083" t="s">
        <v>1777</v>
      </c>
      <c r="D110" s="3083" t="s">
        <v>1829</v>
      </c>
      <c r="E110" s="3084" t="s">
        <v>1188</v>
      </c>
      <c r="F110" s="3084" t="s">
        <v>1189</v>
      </c>
      <c r="G110" s="3080" t="s">
        <v>1240</v>
      </c>
      <c r="H110" s="3084" t="s">
        <v>1380</v>
      </c>
      <c r="I110" s="3085"/>
      <c r="J110" s="3085"/>
      <c r="K110" s="3081">
        <v>3</v>
      </c>
      <c r="L110" s="3080"/>
      <c r="M110" s="3086">
        <v>36000</v>
      </c>
      <c r="N110" s="3087">
        <f t="shared" si="17"/>
        <v>0</v>
      </c>
      <c r="O110" s="3080">
        <v>0</v>
      </c>
      <c r="P110" s="3086">
        <v>20000</v>
      </c>
      <c r="Q110" s="3088">
        <f t="shared" si="20"/>
        <v>0</v>
      </c>
      <c r="R110" s="3089">
        <f t="shared" si="21"/>
        <v>0</v>
      </c>
      <c r="S110" s="3080">
        <f t="shared" si="19"/>
        <v>3</v>
      </c>
      <c r="T110" s="3086">
        <v>36000</v>
      </c>
      <c r="U110" s="3088">
        <f t="shared" si="13"/>
        <v>108000</v>
      </c>
      <c r="V110" s="3080">
        <v>0</v>
      </c>
      <c r="W110" s="3086">
        <v>20000</v>
      </c>
      <c r="X110" s="3088">
        <f t="shared" si="22"/>
        <v>0</v>
      </c>
      <c r="Y110" s="3089">
        <f t="shared" si="23"/>
        <v>108000</v>
      </c>
      <c r="Z110" s="3090">
        <v>88</v>
      </c>
      <c r="AA110" s="3091">
        <v>150</v>
      </c>
      <c r="AB110" s="3087">
        <f t="shared" si="18"/>
        <v>13200</v>
      </c>
      <c r="AC110" s="3092"/>
      <c r="AD110" s="3092"/>
      <c r="AE110" s="3093">
        <f t="shared" si="14"/>
        <v>13200</v>
      </c>
      <c r="AF110" s="3094">
        <f t="shared" si="15"/>
        <v>121200</v>
      </c>
    </row>
    <row r="111" spans="1:32" s="3095" customFormat="1" ht="30" customHeight="1">
      <c r="A111" s="3082">
        <v>1</v>
      </c>
      <c r="B111" s="3083" t="s">
        <v>1468</v>
      </c>
      <c r="C111" s="3083" t="s">
        <v>1745</v>
      </c>
      <c r="D111" s="3083" t="s">
        <v>1469</v>
      </c>
      <c r="E111" s="3084" t="s">
        <v>1188</v>
      </c>
      <c r="F111" s="3084" t="s">
        <v>1189</v>
      </c>
      <c r="G111" s="3080" t="s">
        <v>1240</v>
      </c>
      <c r="H111" s="3084" t="s">
        <v>1380</v>
      </c>
      <c r="I111" s="3085"/>
      <c r="J111" s="3085"/>
      <c r="K111" s="3081">
        <v>3</v>
      </c>
      <c r="L111" s="3080"/>
      <c r="M111" s="3086">
        <v>36000</v>
      </c>
      <c r="N111" s="3087">
        <f t="shared" si="17"/>
        <v>0</v>
      </c>
      <c r="O111" s="3080">
        <v>0</v>
      </c>
      <c r="P111" s="3086">
        <v>20000</v>
      </c>
      <c r="Q111" s="3088">
        <f t="shared" si="20"/>
        <v>0</v>
      </c>
      <c r="R111" s="3089">
        <f t="shared" si="21"/>
        <v>0</v>
      </c>
      <c r="S111" s="3080">
        <f>+K111</f>
        <v>3</v>
      </c>
      <c r="T111" s="3086">
        <v>36000</v>
      </c>
      <c r="U111" s="3088">
        <f t="shared" si="13"/>
        <v>108000</v>
      </c>
      <c r="V111" s="3080">
        <v>0</v>
      </c>
      <c r="W111" s="3086">
        <v>20000</v>
      </c>
      <c r="X111" s="3088">
        <f t="shared" si="22"/>
        <v>0</v>
      </c>
      <c r="Y111" s="3089">
        <f t="shared" si="23"/>
        <v>108000</v>
      </c>
      <c r="Z111" s="3090">
        <v>140</v>
      </c>
      <c r="AA111" s="3091">
        <v>150</v>
      </c>
      <c r="AB111" s="3087">
        <f t="shared" si="18"/>
        <v>21000</v>
      </c>
      <c r="AC111" s="3092"/>
      <c r="AD111" s="3092"/>
      <c r="AE111" s="3093">
        <f t="shared" si="14"/>
        <v>21000</v>
      </c>
      <c r="AF111" s="3094">
        <f t="shared" si="15"/>
        <v>129000</v>
      </c>
    </row>
    <row r="112" spans="1:32" s="3095" customFormat="1" ht="30" customHeight="1">
      <c r="A112" s="3082">
        <v>2</v>
      </c>
      <c r="B112" s="3083" t="s">
        <v>1830</v>
      </c>
      <c r="C112" s="3083" t="s">
        <v>1194</v>
      </c>
      <c r="D112" s="3083" t="s">
        <v>1831</v>
      </c>
      <c r="E112" s="3084" t="s">
        <v>1188</v>
      </c>
      <c r="F112" s="3084" t="s">
        <v>1189</v>
      </c>
      <c r="G112" s="3080" t="s">
        <v>1240</v>
      </c>
      <c r="H112" s="3084" t="s">
        <v>1380</v>
      </c>
      <c r="I112" s="3085"/>
      <c r="J112" s="3085"/>
      <c r="K112" s="3081">
        <v>3</v>
      </c>
      <c r="L112" s="3080"/>
      <c r="M112" s="3086">
        <v>36000</v>
      </c>
      <c r="N112" s="3087">
        <f t="shared" si="17"/>
        <v>0</v>
      </c>
      <c r="O112" s="3080">
        <v>0</v>
      </c>
      <c r="P112" s="3086">
        <v>20000</v>
      </c>
      <c r="Q112" s="3088">
        <f t="shared" si="20"/>
        <v>0</v>
      </c>
      <c r="R112" s="3089">
        <f t="shared" si="21"/>
        <v>0</v>
      </c>
      <c r="S112" s="3080">
        <f t="shared" ref="S112:S122" si="24">+K112</f>
        <v>3</v>
      </c>
      <c r="T112" s="3086">
        <v>36000</v>
      </c>
      <c r="U112" s="3088">
        <f t="shared" si="13"/>
        <v>108000</v>
      </c>
      <c r="V112" s="3080">
        <v>0</v>
      </c>
      <c r="W112" s="3086">
        <v>20000</v>
      </c>
      <c r="X112" s="3088">
        <f t="shared" si="22"/>
        <v>0</v>
      </c>
      <c r="Y112" s="3089">
        <f t="shared" si="23"/>
        <v>108000</v>
      </c>
      <c r="Z112" s="3090">
        <v>128</v>
      </c>
      <c r="AA112" s="3091">
        <v>150</v>
      </c>
      <c r="AB112" s="3087">
        <f t="shared" si="18"/>
        <v>19200</v>
      </c>
      <c r="AC112" s="3092"/>
      <c r="AD112" s="3092"/>
      <c r="AE112" s="3093">
        <f t="shared" si="14"/>
        <v>19200</v>
      </c>
      <c r="AF112" s="3094">
        <f t="shared" si="15"/>
        <v>127200</v>
      </c>
    </row>
    <row r="113" spans="1:32" s="3095" customFormat="1" ht="30" customHeight="1">
      <c r="A113" s="3082">
        <v>3</v>
      </c>
      <c r="B113" s="3083" t="s">
        <v>1832</v>
      </c>
      <c r="C113" s="3083" t="s">
        <v>1741</v>
      </c>
      <c r="D113" s="3083" t="s">
        <v>1833</v>
      </c>
      <c r="E113" s="3084" t="s">
        <v>1188</v>
      </c>
      <c r="F113" s="3084" t="s">
        <v>1189</v>
      </c>
      <c r="G113" s="3080" t="s">
        <v>1240</v>
      </c>
      <c r="H113" s="3084" t="s">
        <v>1380</v>
      </c>
      <c r="I113" s="3085"/>
      <c r="J113" s="3085"/>
      <c r="K113" s="3081">
        <v>3</v>
      </c>
      <c r="L113" s="3080"/>
      <c r="M113" s="3086">
        <v>36000</v>
      </c>
      <c r="N113" s="3087">
        <f t="shared" si="17"/>
        <v>0</v>
      </c>
      <c r="O113" s="3080">
        <v>0</v>
      </c>
      <c r="P113" s="3086">
        <v>20000</v>
      </c>
      <c r="Q113" s="3088">
        <f t="shared" si="20"/>
        <v>0</v>
      </c>
      <c r="R113" s="3089">
        <f t="shared" si="21"/>
        <v>0</v>
      </c>
      <c r="S113" s="3080">
        <f t="shared" si="24"/>
        <v>3</v>
      </c>
      <c r="T113" s="3086">
        <v>36000</v>
      </c>
      <c r="U113" s="3088">
        <f t="shared" si="13"/>
        <v>108000</v>
      </c>
      <c r="V113" s="3080">
        <v>0</v>
      </c>
      <c r="W113" s="3086">
        <v>20000</v>
      </c>
      <c r="X113" s="3088">
        <f t="shared" si="22"/>
        <v>0</v>
      </c>
      <c r="Y113" s="3089">
        <f t="shared" si="23"/>
        <v>108000</v>
      </c>
      <c r="Z113" s="3090">
        <v>70</v>
      </c>
      <c r="AA113" s="3091">
        <v>150</v>
      </c>
      <c r="AB113" s="3087">
        <f t="shared" si="18"/>
        <v>10500</v>
      </c>
      <c r="AC113" s="3092"/>
      <c r="AD113" s="3092"/>
      <c r="AE113" s="3093">
        <f t="shared" si="14"/>
        <v>10500</v>
      </c>
      <c r="AF113" s="3094">
        <f t="shared" si="15"/>
        <v>118500</v>
      </c>
    </row>
    <row r="114" spans="1:32" s="3095" customFormat="1" ht="30" customHeight="1">
      <c r="A114" s="3082">
        <v>4</v>
      </c>
      <c r="B114" s="3083" t="s">
        <v>1470</v>
      </c>
      <c r="C114" s="3083" t="s">
        <v>1728</v>
      </c>
      <c r="D114" s="3083" t="s">
        <v>1471</v>
      </c>
      <c r="E114" s="3084" t="s">
        <v>1188</v>
      </c>
      <c r="F114" s="3084" t="s">
        <v>1189</v>
      </c>
      <c r="G114" s="3080" t="s">
        <v>1240</v>
      </c>
      <c r="H114" s="3084" t="s">
        <v>1380</v>
      </c>
      <c r="I114" s="3085"/>
      <c r="J114" s="3085"/>
      <c r="K114" s="3081">
        <v>3</v>
      </c>
      <c r="L114" s="3080"/>
      <c r="M114" s="3086">
        <v>36000</v>
      </c>
      <c r="N114" s="3087">
        <f t="shared" si="17"/>
        <v>0</v>
      </c>
      <c r="O114" s="3080">
        <v>0</v>
      </c>
      <c r="P114" s="3086">
        <v>20000</v>
      </c>
      <c r="Q114" s="3088">
        <f t="shared" si="20"/>
        <v>0</v>
      </c>
      <c r="R114" s="3089">
        <f t="shared" si="21"/>
        <v>0</v>
      </c>
      <c r="S114" s="3080">
        <f t="shared" si="24"/>
        <v>3</v>
      </c>
      <c r="T114" s="3086">
        <v>36000</v>
      </c>
      <c r="U114" s="3088">
        <f t="shared" si="13"/>
        <v>108000</v>
      </c>
      <c r="V114" s="3080">
        <v>0</v>
      </c>
      <c r="W114" s="3086">
        <v>20000</v>
      </c>
      <c r="X114" s="3088">
        <f t="shared" si="22"/>
        <v>0</v>
      </c>
      <c r="Y114" s="3089">
        <f t="shared" si="23"/>
        <v>108000</v>
      </c>
      <c r="Z114" s="3090">
        <v>80</v>
      </c>
      <c r="AA114" s="3091">
        <v>150</v>
      </c>
      <c r="AB114" s="3087">
        <f t="shared" si="18"/>
        <v>12000</v>
      </c>
      <c r="AC114" s="3092"/>
      <c r="AD114" s="3092"/>
      <c r="AE114" s="3093">
        <f t="shared" si="14"/>
        <v>12000</v>
      </c>
      <c r="AF114" s="3094">
        <f t="shared" si="15"/>
        <v>120000</v>
      </c>
    </row>
    <row r="115" spans="1:32" s="3095" customFormat="1" ht="30" customHeight="1">
      <c r="A115" s="3082">
        <v>5</v>
      </c>
      <c r="B115" s="3083" t="s">
        <v>1834</v>
      </c>
      <c r="C115" s="3083" t="s">
        <v>1771</v>
      </c>
      <c r="D115" s="3083" t="s">
        <v>1835</v>
      </c>
      <c r="E115" s="3084" t="s">
        <v>1188</v>
      </c>
      <c r="F115" s="3084" t="s">
        <v>1189</v>
      </c>
      <c r="G115" s="3080" t="s">
        <v>1240</v>
      </c>
      <c r="H115" s="3084" t="s">
        <v>1380</v>
      </c>
      <c r="I115" s="3085"/>
      <c r="J115" s="3085"/>
      <c r="K115" s="3081">
        <v>3</v>
      </c>
      <c r="L115" s="3080"/>
      <c r="M115" s="3086">
        <v>36000</v>
      </c>
      <c r="N115" s="3087">
        <f t="shared" si="17"/>
        <v>0</v>
      </c>
      <c r="O115" s="3080">
        <v>0</v>
      </c>
      <c r="P115" s="3086">
        <v>20000</v>
      </c>
      <c r="Q115" s="3088">
        <f t="shared" si="20"/>
        <v>0</v>
      </c>
      <c r="R115" s="3089">
        <f t="shared" si="21"/>
        <v>0</v>
      </c>
      <c r="S115" s="3080">
        <f t="shared" si="24"/>
        <v>3</v>
      </c>
      <c r="T115" s="3086">
        <v>36000</v>
      </c>
      <c r="U115" s="3088">
        <f t="shared" si="13"/>
        <v>108000</v>
      </c>
      <c r="V115" s="3080">
        <v>0</v>
      </c>
      <c r="W115" s="3086">
        <v>20000</v>
      </c>
      <c r="X115" s="3088">
        <f t="shared" si="22"/>
        <v>0</v>
      </c>
      <c r="Y115" s="3089">
        <f t="shared" si="23"/>
        <v>108000</v>
      </c>
      <c r="Z115" s="3090">
        <v>90</v>
      </c>
      <c r="AA115" s="3091">
        <v>150</v>
      </c>
      <c r="AB115" s="3087">
        <f t="shared" si="18"/>
        <v>13500</v>
      </c>
      <c r="AC115" s="3092"/>
      <c r="AD115" s="3092"/>
      <c r="AE115" s="3093">
        <f t="shared" si="14"/>
        <v>13500</v>
      </c>
      <c r="AF115" s="3094">
        <f t="shared" si="15"/>
        <v>121500</v>
      </c>
    </row>
    <row r="116" spans="1:32" s="3095" customFormat="1" ht="30" customHeight="1">
      <c r="A116" s="3082">
        <v>6</v>
      </c>
      <c r="B116" s="3083" t="s">
        <v>1836</v>
      </c>
      <c r="C116" s="3083" t="s">
        <v>1745</v>
      </c>
      <c r="D116" s="3083" t="s">
        <v>1837</v>
      </c>
      <c r="E116" s="3084" t="s">
        <v>1188</v>
      </c>
      <c r="F116" s="3084" t="s">
        <v>1189</v>
      </c>
      <c r="G116" s="3080" t="s">
        <v>1240</v>
      </c>
      <c r="H116" s="3084" t="s">
        <v>1380</v>
      </c>
      <c r="I116" s="3085"/>
      <c r="J116" s="3085"/>
      <c r="K116" s="3081">
        <v>3</v>
      </c>
      <c r="L116" s="3080"/>
      <c r="M116" s="3086">
        <v>36000</v>
      </c>
      <c r="N116" s="3087">
        <f t="shared" si="17"/>
        <v>0</v>
      </c>
      <c r="O116" s="3080">
        <v>0</v>
      </c>
      <c r="P116" s="3086">
        <v>20000</v>
      </c>
      <c r="Q116" s="3088">
        <f t="shared" si="20"/>
        <v>0</v>
      </c>
      <c r="R116" s="3089">
        <f t="shared" si="21"/>
        <v>0</v>
      </c>
      <c r="S116" s="3080">
        <f t="shared" si="24"/>
        <v>3</v>
      </c>
      <c r="T116" s="3086">
        <v>36000</v>
      </c>
      <c r="U116" s="3088">
        <f t="shared" si="13"/>
        <v>108000</v>
      </c>
      <c r="V116" s="3080">
        <v>0</v>
      </c>
      <c r="W116" s="3086">
        <v>20000</v>
      </c>
      <c r="X116" s="3088">
        <f t="shared" si="22"/>
        <v>0</v>
      </c>
      <c r="Y116" s="3089">
        <f t="shared" si="23"/>
        <v>108000</v>
      </c>
      <c r="Z116" s="3090">
        <v>118</v>
      </c>
      <c r="AA116" s="3091">
        <v>150</v>
      </c>
      <c r="AB116" s="3087">
        <f t="shared" si="18"/>
        <v>17700</v>
      </c>
      <c r="AC116" s="3092"/>
      <c r="AD116" s="3092"/>
      <c r="AE116" s="3093">
        <f t="shared" si="14"/>
        <v>17700</v>
      </c>
      <c r="AF116" s="3094">
        <f t="shared" si="15"/>
        <v>125700</v>
      </c>
    </row>
    <row r="117" spans="1:32" s="3095" customFormat="1" ht="30" customHeight="1">
      <c r="A117" s="3082">
        <v>7</v>
      </c>
      <c r="B117" s="3083" t="s">
        <v>1838</v>
      </c>
      <c r="C117" s="3083" t="s">
        <v>1741</v>
      </c>
      <c r="D117" s="3083" t="s">
        <v>1839</v>
      </c>
      <c r="E117" s="3084" t="s">
        <v>1188</v>
      </c>
      <c r="F117" s="3084" t="s">
        <v>1189</v>
      </c>
      <c r="G117" s="3080" t="s">
        <v>1240</v>
      </c>
      <c r="H117" s="3084" t="s">
        <v>1395</v>
      </c>
      <c r="I117" s="3085"/>
      <c r="J117" s="3085"/>
      <c r="K117" s="3081">
        <v>3</v>
      </c>
      <c r="L117" s="3080"/>
      <c r="M117" s="3086">
        <v>36000</v>
      </c>
      <c r="N117" s="3087">
        <f t="shared" si="17"/>
        <v>0</v>
      </c>
      <c r="O117" s="3080">
        <v>0</v>
      </c>
      <c r="P117" s="3086">
        <v>20000</v>
      </c>
      <c r="Q117" s="3088">
        <f t="shared" si="20"/>
        <v>0</v>
      </c>
      <c r="R117" s="3089">
        <f t="shared" si="21"/>
        <v>0</v>
      </c>
      <c r="S117" s="3080">
        <f t="shared" si="24"/>
        <v>3</v>
      </c>
      <c r="T117" s="3086">
        <v>36000</v>
      </c>
      <c r="U117" s="3088">
        <f t="shared" si="13"/>
        <v>108000</v>
      </c>
      <c r="V117" s="3080">
        <v>0</v>
      </c>
      <c r="W117" s="3086">
        <v>20000</v>
      </c>
      <c r="X117" s="3088">
        <f t="shared" si="22"/>
        <v>0</v>
      </c>
      <c r="Y117" s="3089">
        <f t="shared" si="23"/>
        <v>108000</v>
      </c>
      <c r="Z117" s="3090">
        <v>136</v>
      </c>
      <c r="AA117" s="3091">
        <v>150</v>
      </c>
      <c r="AB117" s="3087">
        <f t="shared" si="18"/>
        <v>20400</v>
      </c>
      <c r="AC117" s="3092"/>
      <c r="AD117" s="3092"/>
      <c r="AE117" s="3093">
        <f t="shared" si="14"/>
        <v>20400</v>
      </c>
      <c r="AF117" s="3094">
        <f t="shared" si="15"/>
        <v>128400</v>
      </c>
    </row>
    <row r="118" spans="1:32" s="3095" customFormat="1" ht="30" customHeight="1">
      <c r="A118" s="3082">
        <v>8</v>
      </c>
      <c r="B118" s="3083" t="s">
        <v>1840</v>
      </c>
      <c r="C118" s="3083" t="s">
        <v>1728</v>
      </c>
      <c r="D118" s="3083" t="s">
        <v>1841</v>
      </c>
      <c r="E118" s="3084" t="s">
        <v>1188</v>
      </c>
      <c r="F118" s="3084" t="s">
        <v>1189</v>
      </c>
      <c r="G118" s="3080" t="s">
        <v>1240</v>
      </c>
      <c r="H118" s="3084" t="s">
        <v>1395</v>
      </c>
      <c r="I118" s="3085"/>
      <c r="J118" s="3085"/>
      <c r="K118" s="3081">
        <v>3</v>
      </c>
      <c r="L118" s="3080"/>
      <c r="M118" s="3086">
        <v>36000</v>
      </c>
      <c r="N118" s="3087">
        <f t="shared" si="17"/>
        <v>0</v>
      </c>
      <c r="O118" s="3080">
        <v>0</v>
      </c>
      <c r="P118" s="3086">
        <v>20000</v>
      </c>
      <c r="Q118" s="3088">
        <f t="shared" si="20"/>
        <v>0</v>
      </c>
      <c r="R118" s="3089">
        <f t="shared" si="21"/>
        <v>0</v>
      </c>
      <c r="S118" s="3080">
        <f t="shared" si="24"/>
        <v>3</v>
      </c>
      <c r="T118" s="3086">
        <v>36000</v>
      </c>
      <c r="U118" s="3088">
        <f t="shared" si="13"/>
        <v>108000</v>
      </c>
      <c r="V118" s="3080">
        <v>0</v>
      </c>
      <c r="W118" s="3086">
        <v>20000</v>
      </c>
      <c r="X118" s="3088">
        <f t="shared" si="22"/>
        <v>0</v>
      </c>
      <c r="Y118" s="3089">
        <f t="shared" si="23"/>
        <v>108000</v>
      </c>
      <c r="Z118" s="3090">
        <v>132</v>
      </c>
      <c r="AA118" s="3091">
        <v>150</v>
      </c>
      <c r="AB118" s="3087">
        <f t="shared" si="18"/>
        <v>19800</v>
      </c>
      <c r="AC118" s="3092"/>
      <c r="AD118" s="3092"/>
      <c r="AE118" s="3093">
        <f t="shared" si="14"/>
        <v>19800</v>
      </c>
      <c r="AF118" s="3094">
        <f t="shared" si="15"/>
        <v>127800</v>
      </c>
    </row>
    <row r="119" spans="1:32" s="3095" customFormat="1" ht="30" customHeight="1">
      <c r="A119" s="3082">
        <v>9</v>
      </c>
      <c r="B119" s="3083" t="s">
        <v>1842</v>
      </c>
      <c r="C119" s="3083" t="s">
        <v>1728</v>
      </c>
      <c r="D119" s="3083" t="s">
        <v>1843</v>
      </c>
      <c r="E119" s="3084" t="s">
        <v>1188</v>
      </c>
      <c r="F119" s="3084" t="s">
        <v>1189</v>
      </c>
      <c r="G119" s="3080" t="s">
        <v>1240</v>
      </c>
      <c r="H119" s="3084" t="s">
        <v>1395</v>
      </c>
      <c r="I119" s="3085"/>
      <c r="J119" s="3085"/>
      <c r="K119" s="3081">
        <v>3</v>
      </c>
      <c r="L119" s="3080"/>
      <c r="M119" s="3086">
        <v>36000</v>
      </c>
      <c r="N119" s="3087">
        <f t="shared" si="17"/>
        <v>0</v>
      </c>
      <c r="O119" s="3080">
        <v>0</v>
      </c>
      <c r="P119" s="3086">
        <v>20000</v>
      </c>
      <c r="Q119" s="3088">
        <f t="shared" si="20"/>
        <v>0</v>
      </c>
      <c r="R119" s="3089">
        <f t="shared" si="21"/>
        <v>0</v>
      </c>
      <c r="S119" s="3080">
        <f t="shared" si="24"/>
        <v>3</v>
      </c>
      <c r="T119" s="3086">
        <v>36000</v>
      </c>
      <c r="U119" s="3088">
        <f t="shared" si="13"/>
        <v>108000</v>
      </c>
      <c r="V119" s="3080">
        <v>0</v>
      </c>
      <c r="W119" s="3086">
        <v>20000</v>
      </c>
      <c r="X119" s="3088">
        <f t="shared" si="22"/>
        <v>0</v>
      </c>
      <c r="Y119" s="3089">
        <f t="shared" si="23"/>
        <v>108000</v>
      </c>
      <c r="Z119" s="3090">
        <v>166</v>
      </c>
      <c r="AA119" s="3091">
        <v>150</v>
      </c>
      <c r="AB119" s="3087">
        <f t="shared" si="18"/>
        <v>24900</v>
      </c>
      <c r="AC119" s="3092"/>
      <c r="AD119" s="3092"/>
      <c r="AE119" s="3093">
        <f t="shared" si="14"/>
        <v>24900</v>
      </c>
      <c r="AF119" s="3094">
        <f t="shared" si="15"/>
        <v>132900</v>
      </c>
    </row>
    <row r="120" spans="1:32" s="3095" customFormat="1" ht="30" customHeight="1">
      <c r="A120" s="3082">
        <v>10</v>
      </c>
      <c r="B120" s="3083" t="s">
        <v>1844</v>
      </c>
      <c r="C120" s="3083" t="s">
        <v>1741</v>
      </c>
      <c r="D120" s="3083" t="s">
        <v>1845</v>
      </c>
      <c r="E120" s="3084" t="s">
        <v>1188</v>
      </c>
      <c r="F120" s="3084" t="s">
        <v>1189</v>
      </c>
      <c r="G120" s="3080" t="s">
        <v>1240</v>
      </c>
      <c r="H120" s="3084" t="s">
        <v>1395</v>
      </c>
      <c r="I120" s="3085"/>
      <c r="J120" s="3085"/>
      <c r="K120" s="3081">
        <v>3</v>
      </c>
      <c r="L120" s="3080"/>
      <c r="M120" s="3086">
        <v>36000</v>
      </c>
      <c r="N120" s="3087">
        <f t="shared" si="17"/>
        <v>0</v>
      </c>
      <c r="O120" s="3080">
        <v>0</v>
      </c>
      <c r="P120" s="3086">
        <v>20000</v>
      </c>
      <c r="Q120" s="3088">
        <f t="shared" si="20"/>
        <v>0</v>
      </c>
      <c r="R120" s="3089">
        <f t="shared" si="21"/>
        <v>0</v>
      </c>
      <c r="S120" s="3080">
        <f t="shared" si="24"/>
        <v>3</v>
      </c>
      <c r="T120" s="3086">
        <v>36000</v>
      </c>
      <c r="U120" s="3088">
        <f t="shared" si="13"/>
        <v>108000</v>
      </c>
      <c r="V120" s="3080">
        <v>0</v>
      </c>
      <c r="W120" s="3086">
        <v>20000</v>
      </c>
      <c r="X120" s="3088">
        <f t="shared" si="22"/>
        <v>0</v>
      </c>
      <c r="Y120" s="3089">
        <f t="shared" si="23"/>
        <v>108000</v>
      </c>
      <c r="Z120" s="3090">
        <v>130</v>
      </c>
      <c r="AA120" s="3091">
        <v>150</v>
      </c>
      <c r="AB120" s="3087">
        <f t="shared" si="18"/>
        <v>19500</v>
      </c>
      <c r="AC120" s="3092"/>
      <c r="AD120" s="3092"/>
      <c r="AE120" s="3093">
        <f t="shared" si="14"/>
        <v>19500</v>
      </c>
      <c r="AF120" s="3094">
        <f t="shared" si="15"/>
        <v>127500</v>
      </c>
    </row>
    <row r="121" spans="1:32" s="3095" customFormat="1" ht="30" customHeight="1">
      <c r="A121" s="3082">
        <v>11</v>
      </c>
      <c r="B121" s="3083" t="s">
        <v>1846</v>
      </c>
      <c r="C121" s="3083" t="s">
        <v>1777</v>
      </c>
      <c r="D121" s="3083" t="s">
        <v>1847</v>
      </c>
      <c r="E121" s="3084" t="s">
        <v>1188</v>
      </c>
      <c r="F121" s="3084" t="s">
        <v>1189</v>
      </c>
      <c r="G121" s="3080" t="s">
        <v>1190</v>
      </c>
      <c r="H121" s="3084" t="s">
        <v>1395</v>
      </c>
      <c r="I121" s="3085"/>
      <c r="J121" s="3085"/>
      <c r="K121" s="3081">
        <v>3</v>
      </c>
      <c r="L121" s="3080"/>
      <c r="M121" s="3086">
        <v>15000</v>
      </c>
      <c r="N121" s="3087">
        <f t="shared" si="17"/>
        <v>0</v>
      </c>
      <c r="O121" s="3080">
        <v>0</v>
      </c>
      <c r="P121" s="3086">
        <v>20000</v>
      </c>
      <c r="Q121" s="3088">
        <f t="shared" si="20"/>
        <v>0</v>
      </c>
      <c r="R121" s="3089">
        <f t="shared" si="21"/>
        <v>0</v>
      </c>
      <c r="S121" s="3080">
        <f t="shared" si="24"/>
        <v>3</v>
      </c>
      <c r="T121" s="3086">
        <v>15000</v>
      </c>
      <c r="U121" s="3088">
        <f t="shared" si="13"/>
        <v>45000</v>
      </c>
      <c r="V121" s="3080">
        <v>0</v>
      </c>
      <c r="W121" s="3086">
        <v>20000</v>
      </c>
      <c r="X121" s="3088">
        <f t="shared" si="22"/>
        <v>0</v>
      </c>
      <c r="Y121" s="3089">
        <f t="shared" si="23"/>
        <v>45000</v>
      </c>
      <c r="Z121" s="3090">
        <v>10</v>
      </c>
      <c r="AA121" s="3091">
        <v>150</v>
      </c>
      <c r="AB121" s="3087">
        <f t="shared" si="18"/>
        <v>1500</v>
      </c>
      <c r="AC121" s="3092"/>
      <c r="AD121" s="3092"/>
      <c r="AE121" s="3093">
        <f t="shared" si="14"/>
        <v>1500</v>
      </c>
      <c r="AF121" s="3094">
        <f t="shared" si="15"/>
        <v>46500</v>
      </c>
    </row>
    <row r="122" spans="1:32" s="3095" customFormat="1" ht="30" customHeight="1">
      <c r="A122" s="3082">
        <v>12</v>
      </c>
      <c r="B122" s="3083" t="s">
        <v>1474</v>
      </c>
      <c r="C122" s="3083" t="s">
        <v>1741</v>
      </c>
      <c r="D122" s="3083" t="s">
        <v>1475</v>
      </c>
      <c r="E122" s="3084" t="s">
        <v>1188</v>
      </c>
      <c r="F122" s="3084" t="s">
        <v>1189</v>
      </c>
      <c r="G122" s="3080" t="s">
        <v>1190</v>
      </c>
      <c r="H122" s="3084" t="s">
        <v>1395</v>
      </c>
      <c r="I122" s="3085"/>
      <c r="J122" s="3085"/>
      <c r="K122" s="3081">
        <v>3</v>
      </c>
      <c r="L122" s="3080"/>
      <c r="M122" s="3086">
        <v>15000</v>
      </c>
      <c r="N122" s="3087">
        <f t="shared" si="17"/>
        <v>0</v>
      </c>
      <c r="O122" s="3080">
        <v>0</v>
      </c>
      <c r="P122" s="3086">
        <v>20000</v>
      </c>
      <c r="Q122" s="3088">
        <f t="shared" si="20"/>
        <v>0</v>
      </c>
      <c r="R122" s="3089">
        <f t="shared" si="21"/>
        <v>0</v>
      </c>
      <c r="S122" s="3080">
        <f t="shared" si="24"/>
        <v>3</v>
      </c>
      <c r="T122" s="3086">
        <v>15000</v>
      </c>
      <c r="U122" s="3088">
        <f t="shared" si="13"/>
        <v>45000</v>
      </c>
      <c r="V122" s="3080">
        <v>0</v>
      </c>
      <c r="W122" s="3086">
        <v>20000</v>
      </c>
      <c r="X122" s="3088">
        <f t="shared" si="22"/>
        <v>0</v>
      </c>
      <c r="Y122" s="3089">
        <f t="shared" si="23"/>
        <v>45000</v>
      </c>
      <c r="Z122" s="3090">
        <v>18</v>
      </c>
      <c r="AA122" s="3091">
        <v>150</v>
      </c>
      <c r="AB122" s="3087">
        <f t="shared" si="18"/>
        <v>2700</v>
      </c>
      <c r="AC122" s="3092"/>
      <c r="AD122" s="3092"/>
      <c r="AE122" s="3093">
        <f t="shared" si="14"/>
        <v>2700</v>
      </c>
      <c r="AF122" s="3094">
        <f t="shared" si="15"/>
        <v>47700</v>
      </c>
    </row>
    <row r="123" spans="1:32" s="3095" customFormat="1" ht="30" customHeight="1">
      <c r="A123" s="3082">
        <v>1</v>
      </c>
      <c r="B123" s="3083" t="s">
        <v>1848</v>
      </c>
      <c r="C123" s="3083" t="s">
        <v>1755</v>
      </c>
      <c r="D123" s="3083" t="s">
        <v>1479</v>
      </c>
      <c r="E123" s="3084" t="s">
        <v>1188</v>
      </c>
      <c r="F123" s="3084" t="s">
        <v>1189</v>
      </c>
      <c r="G123" s="3080" t="s">
        <v>1240</v>
      </c>
      <c r="H123" s="3084" t="s">
        <v>1395</v>
      </c>
      <c r="I123" s="3085"/>
      <c r="J123" s="3085"/>
      <c r="K123" s="3081">
        <v>3</v>
      </c>
      <c r="L123" s="3080"/>
      <c r="M123" s="3086">
        <v>36000</v>
      </c>
      <c r="N123" s="3087">
        <f t="shared" si="17"/>
        <v>0</v>
      </c>
      <c r="O123" s="3080">
        <v>0</v>
      </c>
      <c r="P123" s="3086">
        <v>20000</v>
      </c>
      <c r="Q123" s="3088">
        <f t="shared" si="20"/>
        <v>0</v>
      </c>
      <c r="R123" s="3089">
        <f t="shared" si="21"/>
        <v>0</v>
      </c>
      <c r="S123" s="3080">
        <f>+K123</f>
        <v>3</v>
      </c>
      <c r="T123" s="3086">
        <v>36000</v>
      </c>
      <c r="U123" s="3088">
        <f t="shared" si="13"/>
        <v>108000</v>
      </c>
      <c r="V123" s="3080">
        <v>0</v>
      </c>
      <c r="W123" s="3086">
        <v>20000</v>
      </c>
      <c r="X123" s="3088">
        <f t="shared" si="22"/>
        <v>0</v>
      </c>
      <c r="Y123" s="3089">
        <f t="shared" si="23"/>
        <v>108000</v>
      </c>
      <c r="Z123" s="3090">
        <v>30</v>
      </c>
      <c r="AA123" s="3091">
        <v>150</v>
      </c>
      <c r="AB123" s="3087">
        <f t="shared" si="18"/>
        <v>4500</v>
      </c>
      <c r="AC123" s="3092"/>
      <c r="AD123" s="3092"/>
      <c r="AE123" s="3093">
        <f t="shared" si="14"/>
        <v>4500</v>
      </c>
      <c r="AF123" s="3094">
        <f t="shared" si="15"/>
        <v>112500</v>
      </c>
    </row>
    <row r="124" spans="1:32" s="3095" customFormat="1" ht="30" customHeight="1">
      <c r="A124" s="3082">
        <v>2</v>
      </c>
      <c r="B124" s="3083" t="s">
        <v>1849</v>
      </c>
      <c r="C124" s="3083" t="s">
        <v>1726</v>
      </c>
      <c r="D124" s="3083" t="s">
        <v>1850</v>
      </c>
      <c r="E124" s="3084" t="s">
        <v>1188</v>
      </c>
      <c r="F124" s="3084" t="s">
        <v>1189</v>
      </c>
      <c r="G124" s="3080" t="s">
        <v>1190</v>
      </c>
      <c r="H124" s="3084" t="s">
        <v>1395</v>
      </c>
      <c r="I124" s="3085"/>
      <c r="J124" s="3085"/>
      <c r="K124" s="3081">
        <v>3</v>
      </c>
      <c r="L124" s="3080"/>
      <c r="M124" s="3086">
        <v>15000</v>
      </c>
      <c r="N124" s="3087">
        <f t="shared" si="17"/>
        <v>0</v>
      </c>
      <c r="O124" s="3080">
        <v>0</v>
      </c>
      <c r="P124" s="3086">
        <v>20000</v>
      </c>
      <c r="Q124" s="3088">
        <f t="shared" si="20"/>
        <v>0</v>
      </c>
      <c r="R124" s="3089">
        <f t="shared" si="21"/>
        <v>0</v>
      </c>
      <c r="S124" s="3080">
        <f t="shared" ref="S124:S134" si="25">+K124</f>
        <v>3</v>
      </c>
      <c r="T124" s="3086">
        <v>15000</v>
      </c>
      <c r="U124" s="3088">
        <f t="shared" si="13"/>
        <v>45000</v>
      </c>
      <c r="V124" s="3080">
        <v>0</v>
      </c>
      <c r="W124" s="3086">
        <v>20000</v>
      </c>
      <c r="X124" s="3088">
        <f t="shared" si="22"/>
        <v>0</v>
      </c>
      <c r="Y124" s="3089">
        <f t="shared" si="23"/>
        <v>45000</v>
      </c>
      <c r="Z124" s="3090">
        <v>12</v>
      </c>
      <c r="AA124" s="3091">
        <v>150</v>
      </c>
      <c r="AB124" s="3087">
        <f t="shared" si="18"/>
        <v>1800</v>
      </c>
      <c r="AC124" s="3092"/>
      <c r="AD124" s="3092"/>
      <c r="AE124" s="3093">
        <f t="shared" si="14"/>
        <v>1800</v>
      </c>
      <c r="AF124" s="3094">
        <f t="shared" si="15"/>
        <v>46800</v>
      </c>
    </row>
    <row r="125" spans="1:32" s="3095" customFormat="1" ht="30" customHeight="1">
      <c r="A125" s="3082">
        <v>3</v>
      </c>
      <c r="B125" s="3083" t="s">
        <v>1851</v>
      </c>
      <c r="C125" s="3083" t="s">
        <v>1755</v>
      </c>
      <c r="D125" s="3083" t="s">
        <v>1850</v>
      </c>
      <c r="E125" s="3084" t="s">
        <v>1188</v>
      </c>
      <c r="F125" s="3084" t="s">
        <v>1189</v>
      </c>
      <c r="G125" s="3080" t="s">
        <v>1190</v>
      </c>
      <c r="H125" s="3084" t="s">
        <v>1395</v>
      </c>
      <c r="I125" s="3085"/>
      <c r="J125" s="3085"/>
      <c r="K125" s="3081">
        <v>3</v>
      </c>
      <c r="L125" s="3080"/>
      <c r="M125" s="3086">
        <v>15000</v>
      </c>
      <c r="N125" s="3087">
        <f t="shared" si="17"/>
        <v>0</v>
      </c>
      <c r="O125" s="3080">
        <v>0</v>
      </c>
      <c r="P125" s="3086">
        <v>20000</v>
      </c>
      <c r="Q125" s="3088">
        <f t="shared" si="20"/>
        <v>0</v>
      </c>
      <c r="R125" s="3089">
        <f t="shared" si="21"/>
        <v>0</v>
      </c>
      <c r="S125" s="3080">
        <f t="shared" si="25"/>
        <v>3</v>
      </c>
      <c r="T125" s="3086">
        <v>15000</v>
      </c>
      <c r="U125" s="3088">
        <f t="shared" si="13"/>
        <v>45000</v>
      </c>
      <c r="V125" s="3080">
        <v>0</v>
      </c>
      <c r="W125" s="3086">
        <v>20000</v>
      </c>
      <c r="X125" s="3088">
        <f t="shared" si="22"/>
        <v>0</v>
      </c>
      <c r="Y125" s="3089">
        <f t="shared" si="23"/>
        <v>45000</v>
      </c>
      <c r="Z125" s="3090">
        <v>12</v>
      </c>
      <c r="AA125" s="3091">
        <v>150</v>
      </c>
      <c r="AB125" s="3087">
        <f t="shared" si="18"/>
        <v>1800</v>
      </c>
      <c r="AC125" s="3092"/>
      <c r="AD125" s="3092"/>
      <c r="AE125" s="3093">
        <f t="shared" si="14"/>
        <v>1800</v>
      </c>
      <c r="AF125" s="3094">
        <f t="shared" si="15"/>
        <v>46800</v>
      </c>
    </row>
    <row r="126" spans="1:32" s="3095" customFormat="1" ht="30" customHeight="1">
      <c r="A126" s="3082">
        <v>4</v>
      </c>
      <c r="B126" s="3083" t="s">
        <v>1852</v>
      </c>
      <c r="C126" s="3083" t="s">
        <v>1741</v>
      </c>
      <c r="D126" s="3083" t="s">
        <v>1853</v>
      </c>
      <c r="E126" s="3084" t="s">
        <v>1188</v>
      </c>
      <c r="F126" s="3084" t="s">
        <v>1189</v>
      </c>
      <c r="G126" s="3080" t="s">
        <v>1240</v>
      </c>
      <c r="H126" s="3084" t="s">
        <v>1395</v>
      </c>
      <c r="I126" s="3085"/>
      <c r="J126" s="3085"/>
      <c r="K126" s="3081">
        <v>3</v>
      </c>
      <c r="L126" s="3080"/>
      <c r="M126" s="3086">
        <v>36000</v>
      </c>
      <c r="N126" s="3087">
        <f t="shared" si="17"/>
        <v>0</v>
      </c>
      <c r="O126" s="3080">
        <v>0</v>
      </c>
      <c r="P126" s="3086">
        <v>20000</v>
      </c>
      <c r="Q126" s="3088">
        <f t="shared" si="20"/>
        <v>0</v>
      </c>
      <c r="R126" s="3089">
        <f t="shared" si="21"/>
        <v>0</v>
      </c>
      <c r="S126" s="3080">
        <f t="shared" si="25"/>
        <v>3</v>
      </c>
      <c r="T126" s="3086">
        <v>36000</v>
      </c>
      <c r="U126" s="3088">
        <f t="shared" si="13"/>
        <v>108000</v>
      </c>
      <c r="V126" s="3080">
        <v>0</v>
      </c>
      <c r="W126" s="3086">
        <v>20000</v>
      </c>
      <c r="X126" s="3088">
        <f t="shared" si="22"/>
        <v>0</v>
      </c>
      <c r="Y126" s="3089">
        <f t="shared" si="23"/>
        <v>108000</v>
      </c>
      <c r="Z126" s="3090">
        <v>58</v>
      </c>
      <c r="AA126" s="3091">
        <v>150</v>
      </c>
      <c r="AB126" s="3087">
        <f t="shared" si="18"/>
        <v>8700</v>
      </c>
      <c r="AC126" s="3092"/>
      <c r="AD126" s="3092"/>
      <c r="AE126" s="3093">
        <f t="shared" si="14"/>
        <v>8700</v>
      </c>
      <c r="AF126" s="3094">
        <f t="shared" si="15"/>
        <v>116700</v>
      </c>
    </row>
    <row r="127" spans="1:32" s="3095" customFormat="1" ht="30" customHeight="1">
      <c r="A127" s="3082">
        <v>5</v>
      </c>
      <c r="B127" s="3083" t="s">
        <v>1487</v>
      </c>
      <c r="C127" s="3083" t="s">
        <v>1728</v>
      </c>
      <c r="D127" s="3083" t="s">
        <v>1488</v>
      </c>
      <c r="E127" s="3084" t="s">
        <v>1188</v>
      </c>
      <c r="F127" s="3084" t="s">
        <v>1189</v>
      </c>
      <c r="G127" s="3080" t="s">
        <v>1240</v>
      </c>
      <c r="H127" s="3084" t="s">
        <v>1395</v>
      </c>
      <c r="I127" s="3085"/>
      <c r="J127" s="3085"/>
      <c r="K127" s="3081">
        <v>3</v>
      </c>
      <c r="L127" s="3080"/>
      <c r="M127" s="3086">
        <v>36000</v>
      </c>
      <c r="N127" s="3087">
        <f t="shared" si="17"/>
        <v>0</v>
      </c>
      <c r="O127" s="3080">
        <v>0</v>
      </c>
      <c r="P127" s="3086">
        <v>20000</v>
      </c>
      <c r="Q127" s="3088">
        <f t="shared" si="20"/>
        <v>0</v>
      </c>
      <c r="R127" s="3089">
        <f t="shared" si="21"/>
        <v>0</v>
      </c>
      <c r="S127" s="3080">
        <f t="shared" si="25"/>
        <v>3</v>
      </c>
      <c r="T127" s="3086">
        <v>36000</v>
      </c>
      <c r="U127" s="3088">
        <f t="shared" si="13"/>
        <v>108000</v>
      </c>
      <c r="V127" s="3080">
        <v>0</v>
      </c>
      <c r="W127" s="3086">
        <v>20000</v>
      </c>
      <c r="X127" s="3088">
        <f t="shared" si="22"/>
        <v>0</v>
      </c>
      <c r="Y127" s="3089">
        <f t="shared" si="23"/>
        <v>108000</v>
      </c>
      <c r="Z127" s="3090">
        <v>42</v>
      </c>
      <c r="AA127" s="3091">
        <v>150</v>
      </c>
      <c r="AB127" s="3087">
        <f t="shared" si="18"/>
        <v>6300</v>
      </c>
      <c r="AC127" s="3092"/>
      <c r="AD127" s="3092"/>
      <c r="AE127" s="3093">
        <f t="shared" si="14"/>
        <v>6300</v>
      </c>
      <c r="AF127" s="3094">
        <f t="shared" si="15"/>
        <v>114300</v>
      </c>
    </row>
    <row r="128" spans="1:32" s="3095" customFormat="1" ht="30" customHeight="1">
      <c r="A128" s="3082">
        <v>6</v>
      </c>
      <c r="B128" s="3083" t="s">
        <v>1491</v>
      </c>
      <c r="C128" s="3083" t="s">
        <v>1741</v>
      </c>
      <c r="D128" s="3083" t="s">
        <v>1492</v>
      </c>
      <c r="E128" s="3084" t="s">
        <v>1188</v>
      </c>
      <c r="F128" s="3084" t="s">
        <v>1189</v>
      </c>
      <c r="G128" s="3080" t="s">
        <v>1240</v>
      </c>
      <c r="H128" s="3084" t="s">
        <v>1395</v>
      </c>
      <c r="I128" s="3085"/>
      <c r="J128" s="3085"/>
      <c r="K128" s="3081">
        <v>3</v>
      </c>
      <c r="L128" s="3080"/>
      <c r="M128" s="3086">
        <v>36000</v>
      </c>
      <c r="N128" s="3087">
        <f t="shared" si="17"/>
        <v>0</v>
      </c>
      <c r="O128" s="3080">
        <v>0</v>
      </c>
      <c r="P128" s="3086">
        <v>20000</v>
      </c>
      <c r="Q128" s="3088">
        <f t="shared" si="20"/>
        <v>0</v>
      </c>
      <c r="R128" s="3089">
        <f t="shared" si="21"/>
        <v>0</v>
      </c>
      <c r="S128" s="3080">
        <f t="shared" si="25"/>
        <v>3</v>
      </c>
      <c r="T128" s="3086">
        <v>36000</v>
      </c>
      <c r="U128" s="3088">
        <f t="shared" si="13"/>
        <v>108000</v>
      </c>
      <c r="V128" s="3080">
        <v>0</v>
      </c>
      <c r="W128" s="3086">
        <v>20000</v>
      </c>
      <c r="X128" s="3088">
        <f t="shared" si="22"/>
        <v>0</v>
      </c>
      <c r="Y128" s="3089">
        <f t="shared" si="23"/>
        <v>108000</v>
      </c>
      <c r="Z128" s="3090">
        <v>36</v>
      </c>
      <c r="AA128" s="3091">
        <v>150</v>
      </c>
      <c r="AB128" s="3087">
        <f t="shared" si="18"/>
        <v>5400</v>
      </c>
      <c r="AC128" s="3092"/>
      <c r="AD128" s="3092"/>
      <c r="AE128" s="3093">
        <f t="shared" si="14"/>
        <v>5400</v>
      </c>
      <c r="AF128" s="3094">
        <f t="shared" si="15"/>
        <v>113400</v>
      </c>
    </row>
    <row r="129" spans="1:32" s="3095" customFormat="1" ht="30" customHeight="1">
      <c r="A129" s="3082">
        <v>7</v>
      </c>
      <c r="B129" s="3083" t="s">
        <v>1854</v>
      </c>
      <c r="C129" s="3083" t="s">
        <v>1745</v>
      </c>
      <c r="D129" s="3083" t="s">
        <v>1494</v>
      </c>
      <c r="E129" s="3084" t="s">
        <v>1188</v>
      </c>
      <c r="F129" s="3084" t="s">
        <v>1189</v>
      </c>
      <c r="G129" s="3080" t="s">
        <v>1240</v>
      </c>
      <c r="H129" s="3084" t="s">
        <v>1380</v>
      </c>
      <c r="I129" s="3085"/>
      <c r="J129" s="3085"/>
      <c r="K129" s="3081">
        <v>3</v>
      </c>
      <c r="L129" s="3080"/>
      <c r="M129" s="3086">
        <v>36000</v>
      </c>
      <c r="N129" s="3087">
        <f t="shared" si="17"/>
        <v>0</v>
      </c>
      <c r="O129" s="3080">
        <v>0</v>
      </c>
      <c r="P129" s="3086">
        <v>20000</v>
      </c>
      <c r="Q129" s="3088">
        <f t="shared" si="20"/>
        <v>0</v>
      </c>
      <c r="R129" s="3089">
        <f t="shared" si="21"/>
        <v>0</v>
      </c>
      <c r="S129" s="3080">
        <f t="shared" si="25"/>
        <v>3</v>
      </c>
      <c r="T129" s="3086">
        <v>36000</v>
      </c>
      <c r="U129" s="3088">
        <f t="shared" si="13"/>
        <v>108000</v>
      </c>
      <c r="V129" s="3080">
        <v>0</v>
      </c>
      <c r="W129" s="3086">
        <v>20000</v>
      </c>
      <c r="X129" s="3088">
        <f t="shared" si="22"/>
        <v>0</v>
      </c>
      <c r="Y129" s="3089">
        <f t="shared" si="23"/>
        <v>108000</v>
      </c>
      <c r="Z129" s="3090">
        <v>96</v>
      </c>
      <c r="AA129" s="3091">
        <v>150</v>
      </c>
      <c r="AB129" s="3087">
        <f t="shared" si="18"/>
        <v>14400</v>
      </c>
      <c r="AC129" s="3092"/>
      <c r="AD129" s="3092"/>
      <c r="AE129" s="3093">
        <f t="shared" si="14"/>
        <v>14400</v>
      </c>
      <c r="AF129" s="3094">
        <f t="shared" si="15"/>
        <v>122400</v>
      </c>
    </row>
    <row r="130" spans="1:32" s="3095" customFormat="1" ht="30" customHeight="1">
      <c r="A130" s="3082">
        <v>8</v>
      </c>
      <c r="B130" s="3083" t="s">
        <v>1495</v>
      </c>
      <c r="C130" s="3083" t="s">
        <v>1728</v>
      </c>
      <c r="D130" s="3083" t="s">
        <v>1496</v>
      </c>
      <c r="E130" s="3084" t="s">
        <v>1188</v>
      </c>
      <c r="F130" s="3084" t="s">
        <v>1189</v>
      </c>
      <c r="G130" s="3080" t="s">
        <v>1240</v>
      </c>
      <c r="H130" s="3084" t="s">
        <v>1380</v>
      </c>
      <c r="I130" s="3085"/>
      <c r="J130" s="3085"/>
      <c r="K130" s="3081">
        <v>3</v>
      </c>
      <c r="L130" s="3080"/>
      <c r="M130" s="3086">
        <v>36000</v>
      </c>
      <c r="N130" s="3087">
        <f t="shared" si="17"/>
        <v>0</v>
      </c>
      <c r="O130" s="3080">
        <v>0</v>
      </c>
      <c r="P130" s="3086">
        <v>20000</v>
      </c>
      <c r="Q130" s="3088">
        <f t="shared" si="20"/>
        <v>0</v>
      </c>
      <c r="R130" s="3089">
        <f t="shared" si="21"/>
        <v>0</v>
      </c>
      <c r="S130" s="3080">
        <f t="shared" si="25"/>
        <v>3</v>
      </c>
      <c r="T130" s="3086">
        <v>36000</v>
      </c>
      <c r="U130" s="3088">
        <f t="shared" si="13"/>
        <v>108000</v>
      </c>
      <c r="V130" s="3080">
        <v>0</v>
      </c>
      <c r="W130" s="3086">
        <v>20000</v>
      </c>
      <c r="X130" s="3088">
        <f t="shared" si="22"/>
        <v>0</v>
      </c>
      <c r="Y130" s="3089">
        <f t="shared" si="23"/>
        <v>108000</v>
      </c>
      <c r="Z130" s="3090">
        <v>108</v>
      </c>
      <c r="AA130" s="3091">
        <v>150</v>
      </c>
      <c r="AB130" s="3087">
        <f t="shared" si="18"/>
        <v>16200</v>
      </c>
      <c r="AC130" s="3092"/>
      <c r="AD130" s="3092"/>
      <c r="AE130" s="3093">
        <f t="shared" si="14"/>
        <v>16200</v>
      </c>
      <c r="AF130" s="3094">
        <f t="shared" si="15"/>
        <v>124200</v>
      </c>
    </row>
    <row r="131" spans="1:32" s="3095" customFormat="1" ht="30" customHeight="1">
      <c r="A131" s="3082">
        <v>9</v>
      </c>
      <c r="B131" s="3083" t="s">
        <v>1855</v>
      </c>
      <c r="C131" s="3083" t="s">
        <v>1728</v>
      </c>
      <c r="D131" s="3083" t="s">
        <v>1856</v>
      </c>
      <c r="E131" s="3084" t="s">
        <v>1188</v>
      </c>
      <c r="F131" s="3084" t="s">
        <v>1189</v>
      </c>
      <c r="G131" s="3080" t="s">
        <v>1240</v>
      </c>
      <c r="H131" s="3084" t="s">
        <v>1380</v>
      </c>
      <c r="I131" s="3085"/>
      <c r="J131" s="3085"/>
      <c r="K131" s="3081">
        <v>3</v>
      </c>
      <c r="L131" s="3080"/>
      <c r="M131" s="3086">
        <v>36000</v>
      </c>
      <c r="N131" s="3087">
        <f t="shared" si="17"/>
        <v>0</v>
      </c>
      <c r="O131" s="3080">
        <v>0</v>
      </c>
      <c r="P131" s="3086">
        <v>20000</v>
      </c>
      <c r="Q131" s="3088">
        <f t="shared" si="20"/>
        <v>0</v>
      </c>
      <c r="R131" s="3089">
        <f t="shared" si="21"/>
        <v>0</v>
      </c>
      <c r="S131" s="3080">
        <f t="shared" si="25"/>
        <v>3</v>
      </c>
      <c r="T131" s="3086">
        <v>36000</v>
      </c>
      <c r="U131" s="3088">
        <f t="shared" si="13"/>
        <v>108000</v>
      </c>
      <c r="V131" s="3080">
        <v>0</v>
      </c>
      <c r="W131" s="3086">
        <v>20000</v>
      </c>
      <c r="X131" s="3088">
        <f t="shared" si="22"/>
        <v>0</v>
      </c>
      <c r="Y131" s="3089">
        <f t="shared" si="23"/>
        <v>108000</v>
      </c>
      <c r="Z131" s="3090">
        <v>66</v>
      </c>
      <c r="AA131" s="3091">
        <v>150</v>
      </c>
      <c r="AB131" s="3087">
        <f t="shared" si="18"/>
        <v>9900</v>
      </c>
      <c r="AC131" s="3092"/>
      <c r="AD131" s="3092"/>
      <c r="AE131" s="3093">
        <f t="shared" si="14"/>
        <v>9900</v>
      </c>
      <c r="AF131" s="3094">
        <f t="shared" si="15"/>
        <v>117900</v>
      </c>
    </row>
    <row r="132" spans="1:32" s="3095" customFormat="1" ht="30" customHeight="1">
      <c r="A132" s="3082">
        <v>10</v>
      </c>
      <c r="B132" s="3083" t="s">
        <v>1501</v>
      </c>
      <c r="C132" s="3083" t="s">
        <v>1728</v>
      </c>
      <c r="D132" s="3083" t="s">
        <v>1503</v>
      </c>
      <c r="E132" s="3084" t="s">
        <v>1188</v>
      </c>
      <c r="F132" s="3084" t="s">
        <v>1189</v>
      </c>
      <c r="G132" s="3080" t="s">
        <v>1240</v>
      </c>
      <c r="H132" s="3084" t="s">
        <v>1380</v>
      </c>
      <c r="I132" s="3085"/>
      <c r="J132" s="3085"/>
      <c r="K132" s="3081">
        <v>3</v>
      </c>
      <c r="L132" s="3080"/>
      <c r="M132" s="3086">
        <v>36000</v>
      </c>
      <c r="N132" s="3087">
        <f t="shared" si="17"/>
        <v>0</v>
      </c>
      <c r="O132" s="3080">
        <v>0</v>
      </c>
      <c r="P132" s="3086">
        <v>20000</v>
      </c>
      <c r="Q132" s="3088">
        <f t="shared" si="20"/>
        <v>0</v>
      </c>
      <c r="R132" s="3089">
        <f t="shared" si="21"/>
        <v>0</v>
      </c>
      <c r="S132" s="3080">
        <f t="shared" si="25"/>
        <v>3</v>
      </c>
      <c r="T132" s="3086">
        <v>36000</v>
      </c>
      <c r="U132" s="3088">
        <f t="shared" si="13"/>
        <v>108000</v>
      </c>
      <c r="V132" s="3080">
        <v>0</v>
      </c>
      <c r="W132" s="3086">
        <v>20000</v>
      </c>
      <c r="X132" s="3088">
        <f t="shared" si="22"/>
        <v>0</v>
      </c>
      <c r="Y132" s="3089">
        <f t="shared" si="23"/>
        <v>108000</v>
      </c>
      <c r="Z132" s="3090">
        <v>100</v>
      </c>
      <c r="AA132" s="3091">
        <v>150</v>
      </c>
      <c r="AB132" s="3087">
        <f t="shared" si="18"/>
        <v>15000</v>
      </c>
      <c r="AC132" s="3092"/>
      <c r="AD132" s="3092"/>
      <c r="AE132" s="3093">
        <f t="shared" si="14"/>
        <v>15000</v>
      </c>
      <c r="AF132" s="3094">
        <f t="shared" si="15"/>
        <v>123000</v>
      </c>
    </row>
    <row r="133" spans="1:32" s="3095" customFormat="1" ht="30" customHeight="1">
      <c r="A133" s="3082">
        <v>11</v>
      </c>
      <c r="B133" s="3083" t="s">
        <v>1504</v>
      </c>
      <c r="C133" s="3083" t="s">
        <v>1728</v>
      </c>
      <c r="D133" s="3083" t="s">
        <v>1505</v>
      </c>
      <c r="E133" s="3084" t="s">
        <v>1188</v>
      </c>
      <c r="F133" s="3084" t="s">
        <v>1189</v>
      </c>
      <c r="G133" s="3080" t="s">
        <v>1240</v>
      </c>
      <c r="H133" s="3084" t="s">
        <v>1380</v>
      </c>
      <c r="I133" s="3085"/>
      <c r="J133" s="3085"/>
      <c r="K133" s="3081">
        <v>3</v>
      </c>
      <c r="L133" s="3080"/>
      <c r="M133" s="3086">
        <v>36000</v>
      </c>
      <c r="N133" s="3087">
        <f t="shared" si="17"/>
        <v>0</v>
      </c>
      <c r="O133" s="3080">
        <v>0</v>
      </c>
      <c r="P133" s="3086">
        <v>20000</v>
      </c>
      <c r="Q133" s="3088">
        <f t="shared" si="20"/>
        <v>0</v>
      </c>
      <c r="R133" s="3089">
        <f t="shared" si="21"/>
        <v>0</v>
      </c>
      <c r="S133" s="3080">
        <f t="shared" si="25"/>
        <v>3</v>
      </c>
      <c r="T133" s="3086">
        <v>36000</v>
      </c>
      <c r="U133" s="3088">
        <f t="shared" si="13"/>
        <v>108000</v>
      </c>
      <c r="V133" s="3080">
        <v>0</v>
      </c>
      <c r="W133" s="3086">
        <v>20000</v>
      </c>
      <c r="X133" s="3088">
        <f t="shared" si="22"/>
        <v>0</v>
      </c>
      <c r="Y133" s="3089">
        <f t="shared" si="23"/>
        <v>108000</v>
      </c>
      <c r="Z133" s="3090">
        <v>84</v>
      </c>
      <c r="AA133" s="3091">
        <v>150</v>
      </c>
      <c r="AB133" s="3087">
        <f t="shared" si="18"/>
        <v>12600</v>
      </c>
      <c r="AC133" s="3092"/>
      <c r="AD133" s="3092"/>
      <c r="AE133" s="3093">
        <f t="shared" si="14"/>
        <v>12600</v>
      </c>
      <c r="AF133" s="3094">
        <f t="shared" si="15"/>
        <v>120600</v>
      </c>
    </row>
    <row r="134" spans="1:32" s="3095" customFormat="1" ht="30" customHeight="1">
      <c r="A134" s="3082">
        <v>12</v>
      </c>
      <c r="B134" s="3083" t="s">
        <v>1857</v>
      </c>
      <c r="C134" s="3083" t="s">
        <v>1741</v>
      </c>
      <c r="D134" s="3083" t="s">
        <v>1507</v>
      </c>
      <c r="E134" s="3084" t="s">
        <v>1188</v>
      </c>
      <c r="F134" s="3084" t="s">
        <v>1189</v>
      </c>
      <c r="G134" s="3080" t="s">
        <v>1240</v>
      </c>
      <c r="H134" s="3084" t="s">
        <v>1380</v>
      </c>
      <c r="I134" s="3085"/>
      <c r="J134" s="3085"/>
      <c r="K134" s="3081">
        <v>3</v>
      </c>
      <c r="L134" s="3080"/>
      <c r="M134" s="3086">
        <v>36000</v>
      </c>
      <c r="N134" s="3087">
        <f t="shared" si="17"/>
        <v>0</v>
      </c>
      <c r="O134" s="3080">
        <v>0</v>
      </c>
      <c r="P134" s="3086">
        <v>20000</v>
      </c>
      <c r="Q134" s="3088">
        <f t="shared" si="20"/>
        <v>0</v>
      </c>
      <c r="R134" s="3089">
        <f t="shared" si="21"/>
        <v>0</v>
      </c>
      <c r="S134" s="3080">
        <f t="shared" si="25"/>
        <v>3</v>
      </c>
      <c r="T134" s="3086">
        <v>36000</v>
      </c>
      <c r="U134" s="3088">
        <f t="shared" si="13"/>
        <v>108000</v>
      </c>
      <c r="V134" s="3080">
        <v>0</v>
      </c>
      <c r="W134" s="3086">
        <v>20000</v>
      </c>
      <c r="X134" s="3088">
        <f t="shared" si="22"/>
        <v>0</v>
      </c>
      <c r="Y134" s="3089">
        <f t="shared" si="23"/>
        <v>108000</v>
      </c>
      <c r="Z134" s="3090">
        <v>94</v>
      </c>
      <c r="AA134" s="3091">
        <v>150</v>
      </c>
      <c r="AB134" s="3087">
        <f t="shared" si="18"/>
        <v>14100</v>
      </c>
      <c r="AC134" s="3092"/>
      <c r="AD134" s="3092"/>
      <c r="AE134" s="3093">
        <f t="shared" si="14"/>
        <v>14100</v>
      </c>
      <c r="AF134" s="3094">
        <f t="shared" si="15"/>
        <v>122100</v>
      </c>
    </row>
    <row r="135" spans="1:32" s="3095" customFormat="1" ht="30" customHeight="1">
      <c r="A135" s="3082">
        <v>1</v>
      </c>
      <c r="B135" s="3083" t="s">
        <v>1508</v>
      </c>
      <c r="C135" s="3083" t="s">
        <v>1745</v>
      </c>
      <c r="D135" s="3083" t="s">
        <v>1510</v>
      </c>
      <c r="E135" s="3084" t="s">
        <v>1188</v>
      </c>
      <c r="F135" s="3084" t="s">
        <v>1189</v>
      </c>
      <c r="G135" s="3080" t="s">
        <v>1240</v>
      </c>
      <c r="H135" s="3084" t="s">
        <v>1380</v>
      </c>
      <c r="I135" s="3085"/>
      <c r="J135" s="3085"/>
      <c r="K135" s="3081">
        <v>3</v>
      </c>
      <c r="L135" s="3080"/>
      <c r="M135" s="3086">
        <v>36000</v>
      </c>
      <c r="N135" s="3087">
        <f t="shared" si="17"/>
        <v>0</v>
      </c>
      <c r="O135" s="3080">
        <v>0</v>
      </c>
      <c r="P135" s="3086">
        <v>20000</v>
      </c>
      <c r="Q135" s="3088">
        <f t="shared" si="20"/>
        <v>0</v>
      </c>
      <c r="R135" s="3089">
        <f t="shared" si="21"/>
        <v>0</v>
      </c>
      <c r="S135" s="3080">
        <f>+K135</f>
        <v>3</v>
      </c>
      <c r="T135" s="3086">
        <v>36000</v>
      </c>
      <c r="U135" s="3088">
        <f t="shared" si="13"/>
        <v>108000</v>
      </c>
      <c r="V135" s="3080">
        <v>0</v>
      </c>
      <c r="W135" s="3086">
        <v>20000</v>
      </c>
      <c r="X135" s="3088">
        <f t="shared" si="22"/>
        <v>0</v>
      </c>
      <c r="Y135" s="3089">
        <f t="shared" si="23"/>
        <v>108000</v>
      </c>
      <c r="Z135" s="3090">
        <v>88</v>
      </c>
      <c r="AA135" s="3091">
        <v>150</v>
      </c>
      <c r="AB135" s="3087">
        <f t="shared" si="18"/>
        <v>13200</v>
      </c>
      <c r="AC135" s="3092"/>
      <c r="AD135" s="3092"/>
      <c r="AE135" s="3093">
        <f t="shared" si="14"/>
        <v>13200</v>
      </c>
      <c r="AF135" s="3094">
        <f t="shared" si="15"/>
        <v>121200</v>
      </c>
    </row>
    <row r="136" spans="1:32" s="3095" customFormat="1" ht="30" customHeight="1">
      <c r="A136" s="3082">
        <v>2</v>
      </c>
      <c r="B136" s="3083" t="s">
        <v>1511</v>
      </c>
      <c r="C136" s="3083" t="s">
        <v>1777</v>
      </c>
      <c r="D136" s="3083" t="s">
        <v>1513</v>
      </c>
      <c r="E136" s="3084" t="s">
        <v>1188</v>
      </c>
      <c r="F136" s="3084" t="s">
        <v>1189</v>
      </c>
      <c r="G136" s="3080" t="s">
        <v>1240</v>
      </c>
      <c r="H136" s="3084" t="s">
        <v>1362</v>
      </c>
      <c r="I136" s="3085"/>
      <c r="J136" s="3085"/>
      <c r="K136" s="3081">
        <v>3</v>
      </c>
      <c r="L136" s="3080"/>
      <c r="M136" s="3086">
        <v>36000</v>
      </c>
      <c r="N136" s="3087">
        <f t="shared" si="17"/>
        <v>0</v>
      </c>
      <c r="O136" s="3080">
        <v>0</v>
      </c>
      <c r="P136" s="3086">
        <v>20000</v>
      </c>
      <c r="Q136" s="3088">
        <f t="shared" si="20"/>
        <v>0</v>
      </c>
      <c r="R136" s="3089">
        <f t="shared" si="21"/>
        <v>0</v>
      </c>
      <c r="S136" s="3080">
        <f t="shared" ref="S136:S146" si="26">+K136</f>
        <v>3</v>
      </c>
      <c r="T136" s="3086">
        <v>36000</v>
      </c>
      <c r="U136" s="3088">
        <f t="shared" si="13"/>
        <v>108000</v>
      </c>
      <c r="V136" s="3080">
        <v>0</v>
      </c>
      <c r="W136" s="3086">
        <v>20000</v>
      </c>
      <c r="X136" s="3088">
        <f t="shared" si="22"/>
        <v>0</v>
      </c>
      <c r="Y136" s="3089">
        <f t="shared" si="23"/>
        <v>108000</v>
      </c>
      <c r="Z136" s="3090">
        <v>294</v>
      </c>
      <c r="AA136" s="3091">
        <v>150</v>
      </c>
      <c r="AB136" s="3087">
        <f t="shared" si="18"/>
        <v>44100</v>
      </c>
      <c r="AC136" s="3092"/>
      <c r="AD136" s="3092"/>
      <c r="AE136" s="3093">
        <f t="shared" si="14"/>
        <v>44100</v>
      </c>
      <c r="AF136" s="3094">
        <f t="shared" si="15"/>
        <v>152100</v>
      </c>
    </row>
    <row r="137" spans="1:32" s="3095" customFormat="1" ht="30" customHeight="1">
      <c r="A137" s="3082">
        <v>3</v>
      </c>
      <c r="B137" s="3083" t="s">
        <v>1514</v>
      </c>
      <c r="C137" s="3083" t="s">
        <v>1745</v>
      </c>
      <c r="D137" s="3083" t="s">
        <v>1515</v>
      </c>
      <c r="E137" s="3084" t="s">
        <v>1188</v>
      </c>
      <c r="F137" s="3084" t="s">
        <v>1189</v>
      </c>
      <c r="G137" s="3080" t="s">
        <v>1240</v>
      </c>
      <c r="H137" s="3084" t="s">
        <v>1362</v>
      </c>
      <c r="I137" s="3085"/>
      <c r="J137" s="3085"/>
      <c r="K137" s="3081">
        <v>3</v>
      </c>
      <c r="L137" s="3080"/>
      <c r="M137" s="3086">
        <v>36000</v>
      </c>
      <c r="N137" s="3087">
        <f t="shared" si="17"/>
        <v>0</v>
      </c>
      <c r="O137" s="3080">
        <v>0</v>
      </c>
      <c r="P137" s="3086">
        <v>20000</v>
      </c>
      <c r="Q137" s="3088">
        <f t="shared" si="20"/>
        <v>0</v>
      </c>
      <c r="R137" s="3089">
        <f t="shared" si="21"/>
        <v>0</v>
      </c>
      <c r="S137" s="3080">
        <f t="shared" si="26"/>
        <v>3</v>
      </c>
      <c r="T137" s="3086">
        <v>36000</v>
      </c>
      <c r="U137" s="3088">
        <f t="shared" si="13"/>
        <v>108000</v>
      </c>
      <c r="V137" s="3080">
        <v>0</v>
      </c>
      <c r="W137" s="3086">
        <v>20000</v>
      </c>
      <c r="X137" s="3088">
        <f t="shared" si="22"/>
        <v>0</v>
      </c>
      <c r="Y137" s="3089">
        <f t="shared" si="23"/>
        <v>108000</v>
      </c>
      <c r="Z137" s="3090">
        <v>294</v>
      </c>
      <c r="AA137" s="3091">
        <v>150</v>
      </c>
      <c r="AB137" s="3087">
        <f t="shared" si="18"/>
        <v>44100</v>
      </c>
      <c r="AC137" s="3092"/>
      <c r="AD137" s="3092"/>
      <c r="AE137" s="3093">
        <f t="shared" si="14"/>
        <v>44100</v>
      </c>
      <c r="AF137" s="3094">
        <f t="shared" si="15"/>
        <v>152100</v>
      </c>
    </row>
    <row r="138" spans="1:32" s="3095" customFormat="1" ht="30" customHeight="1">
      <c r="A138" s="3082">
        <v>4</v>
      </c>
      <c r="B138" s="3083" t="s">
        <v>1858</v>
      </c>
      <c r="C138" s="3083" t="s">
        <v>1777</v>
      </c>
      <c r="D138" s="3083" t="s">
        <v>1859</v>
      </c>
      <c r="E138" s="3084" t="s">
        <v>1188</v>
      </c>
      <c r="F138" s="3084" t="s">
        <v>1189</v>
      </c>
      <c r="G138" s="3080" t="s">
        <v>1240</v>
      </c>
      <c r="H138" s="3084" t="s">
        <v>1362</v>
      </c>
      <c r="I138" s="3085"/>
      <c r="J138" s="3085"/>
      <c r="K138" s="3081">
        <v>3</v>
      </c>
      <c r="L138" s="3080"/>
      <c r="M138" s="3086">
        <v>36000</v>
      </c>
      <c r="N138" s="3087">
        <f t="shared" si="17"/>
        <v>0</v>
      </c>
      <c r="O138" s="3080">
        <v>0</v>
      </c>
      <c r="P138" s="3086">
        <v>20000</v>
      </c>
      <c r="Q138" s="3088">
        <f t="shared" si="20"/>
        <v>0</v>
      </c>
      <c r="R138" s="3089">
        <f t="shared" si="21"/>
        <v>0</v>
      </c>
      <c r="S138" s="3080">
        <f t="shared" si="26"/>
        <v>3</v>
      </c>
      <c r="T138" s="3086">
        <v>36000</v>
      </c>
      <c r="U138" s="3088">
        <f t="shared" si="13"/>
        <v>108000</v>
      </c>
      <c r="V138" s="3080">
        <v>0</v>
      </c>
      <c r="W138" s="3086">
        <v>20000</v>
      </c>
      <c r="X138" s="3088">
        <f t="shared" si="22"/>
        <v>0</v>
      </c>
      <c r="Y138" s="3089">
        <f t="shared" si="23"/>
        <v>108000</v>
      </c>
      <c r="Z138" s="3090">
        <v>284</v>
      </c>
      <c r="AA138" s="3091">
        <v>150</v>
      </c>
      <c r="AB138" s="3087">
        <f t="shared" si="18"/>
        <v>42600</v>
      </c>
      <c r="AC138" s="3092"/>
      <c r="AD138" s="3092"/>
      <c r="AE138" s="3093">
        <f t="shared" si="14"/>
        <v>42600</v>
      </c>
      <c r="AF138" s="3094">
        <f t="shared" si="15"/>
        <v>150600</v>
      </c>
    </row>
    <row r="139" spans="1:32" s="3095" customFormat="1" ht="30" customHeight="1">
      <c r="A139" s="3082">
        <v>5</v>
      </c>
      <c r="B139" s="3083" t="s">
        <v>1516</v>
      </c>
      <c r="C139" s="3083" t="s">
        <v>1745</v>
      </c>
      <c r="D139" s="3083" t="s">
        <v>1444</v>
      </c>
      <c r="E139" s="3084" t="s">
        <v>1188</v>
      </c>
      <c r="F139" s="3084" t="s">
        <v>1189</v>
      </c>
      <c r="G139" s="3080" t="s">
        <v>1240</v>
      </c>
      <c r="H139" s="3084" t="s">
        <v>1362</v>
      </c>
      <c r="I139" s="3085"/>
      <c r="J139" s="3085"/>
      <c r="K139" s="3081">
        <v>3</v>
      </c>
      <c r="L139" s="3080"/>
      <c r="M139" s="3086">
        <v>36000</v>
      </c>
      <c r="N139" s="3087">
        <f t="shared" si="17"/>
        <v>0</v>
      </c>
      <c r="O139" s="3080">
        <v>0</v>
      </c>
      <c r="P139" s="3086">
        <v>20000</v>
      </c>
      <c r="Q139" s="3088">
        <f t="shared" si="20"/>
        <v>0</v>
      </c>
      <c r="R139" s="3089">
        <f t="shared" si="21"/>
        <v>0</v>
      </c>
      <c r="S139" s="3080">
        <f t="shared" si="26"/>
        <v>3</v>
      </c>
      <c r="T139" s="3086">
        <v>36000</v>
      </c>
      <c r="U139" s="3088">
        <f t="shared" si="13"/>
        <v>108000</v>
      </c>
      <c r="V139" s="3080">
        <v>0</v>
      </c>
      <c r="W139" s="3086">
        <v>20000</v>
      </c>
      <c r="X139" s="3088">
        <f t="shared" si="22"/>
        <v>0</v>
      </c>
      <c r="Y139" s="3089">
        <f t="shared" si="23"/>
        <v>108000</v>
      </c>
      <c r="Z139" s="3090">
        <v>296</v>
      </c>
      <c r="AA139" s="3091">
        <v>150</v>
      </c>
      <c r="AB139" s="3087">
        <f t="shared" si="18"/>
        <v>44400</v>
      </c>
      <c r="AC139" s="3092"/>
      <c r="AD139" s="3092"/>
      <c r="AE139" s="3093">
        <f t="shared" si="14"/>
        <v>44400</v>
      </c>
      <c r="AF139" s="3094">
        <f t="shared" si="15"/>
        <v>152400</v>
      </c>
    </row>
    <row r="140" spans="1:32" s="3095" customFormat="1" ht="30" customHeight="1">
      <c r="A140" s="3082">
        <v>6</v>
      </c>
      <c r="B140" s="3083" t="s">
        <v>1521</v>
      </c>
      <c r="C140" s="3083" t="s">
        <v>1741</v>
      </c>
      <c r="D140" s="3083" t="s">
        <v>1522</v>
      </c>
      <c r="E140" s="3084" t="s">
        <v>1188</v>
      </c>
      <c r="F140" s="3084" t="s">
        <v>1189</v>
      </c>
      <c r="G140" s="3080" t="s">
        <v>1240</v>
      </c>
      <c r="H140" s="3084" t="s">
        <v>1362</v>
      </c>
      <c r="I140" s="3085"/>
      <c r="J140" s="3085"/>
      <c r="K140" s="3081">
        <v>3</v>
      </c>
      <c r="L140" s="3080"/>
      <c r="M140" s="3086">
        <v>36000</v>
      </c>
      <c r="N140" s="3087">
        <f t="shared" si="17"/>
        <v>0</v>
      </c>
      <c r="O140" s="3080">
        <v>0</v>
      </c>
      <c r="P140" s="3086">
        <v>20000</v>
      </c>
      <c r="Q140" s="3088">
        <f t="shared" si="20"/>
        <v>0</v>
      </c>
      <c r="R140" s="3089">
        <f t="shared" si="21"/>
        <v>0</v>
      </c>
      <c r="S140" s="3080">
        <f t="shared" si="26"/>
        <v>3</v>
      </c>
      <c r="T140" s="3086">
        <v>36000</v>
      </c>
      <c r="U140" s="3088">
        <f t="shared" si="13"/>
        <v>108000</v>
      </c>
      <c r="V140" s="3080">
        <v>0</v>
      </c>
      <c r="W140" s="3086">
        <v>20000</v>
      </c>
      <c r="X140" s="3088">
        <f t="shared" si="22"/>
        <v>0</v>
      </c>
      <c r="Y140" s="3089">
        <f t="shared" si="23"/>
        <v>108000</v>
      </c>
      <c r="Z140" s="3090">
        <v>266</v>
      </c>
      <c r="AA140" s="3091">
        <v>150</v>
      </c>
      <c r="AB140" s="3087">
        <f t="shared" si="18"/>
        <v>39900</v>
      </c>
      <c r="AC140" s="3092"/>
      <c r="AD140" s="3092"/>
      <c r="AE140" s="3093">
        <f t="shared" si="14"/>
        <v>39900</v>
      </c>
      <c r="AF140" s="3094">
        <f t="shared" si="15"/>
        <v>147900</v>
      </c>
    </row>
    <row r="141" spans="1:32" s="3095" customFormat="1" ht="30" customHeight="1">
      <c r="A141" s="3082">
        <v>7</v>
      </c>
      <c r="B141" s="3083" t="s">
        <v>1523</v>
      </c>
      <c r="C141" s="3083" t="s">
        <v>1728</v>
      </c>
      <c r="D141" s="3083" t="s">
        <v>1524</v>
      </c>
      <c r="E141" s="3084" t="s">
        <v>1188</v>
      </c>
      <c r="F141" s="3084" t="s">
        <v>1189</v>
      </c>
      <c r="G141" s="3080" t="s">
        <v>1240</v>
      </c>
      <c r="H141" s="3084" t="s">
        <v>1362</v>
      </c>
      <c r="I141" s="3085"/>
      <c r="J141" s="3085"/>
      <c r="K141" s="3081">
        <v>3</v>
      </c>
      <c r="L141" s="3080"/>
      <c r="M141" s="3086">
        <v>36000</v>
      </c>
      <c r="N141" s="3087">
        <f t="shared" si="17"/>
        <v>0</v>
      </c>
      <c r="O141" s="3080">
        <v>0</v>
      </c>
      <c r="P141" s="3086">
        <v>20000</v>
      </c>
      <c r="Q141" s="3088">
        <f t="shared" si="20"/>
        <v>0</v>
      </c>
      <c r="R141" s="3089">
        <f t="shared" si="21"/>
        <v>0</v>
      </c>
      <c r="S141" s="3080">
        <f t="shared" si="26"/>
        <v>3</v>
      </c>
      <c r="T141" s="3086">
        <v>36000</v>
      </c>
      <c r="U141" s="3088">
        <f t="shared" si="13"/>
        <v>108000</v>
      </c>
      <c r="V141" s="3080">
        <v>0</v>
      </c>
      <c r="W141" s="3086">
        <v>20000</v>
      </c>
      <c r="X141" s="3088">
        <f t="shared" si="22"/>
        <v>0</v>
      </c>
      <c r="Y141" s="3089">
        <f t="shared" si="23"/>
        <v>108000</v>
      </c>
      <c r="Z141" s="3090">
        <v>278</v>
      </c>
      <c r="AA141" s="3091">
        <v>150</v>
      </c>
      <c r="AB141" s="3087">
        <f t="shared" si="18"/>
        <v>41700</v>
      </c>
      <c r="AC141" s="3092"/>
      <c r="AD141" s="3092"/>
      <c r="AE141" s="3093">
        <f t="shared" si="14"/>
        <v>41700</v>
      </c>
      <c r="AF141" s="3094">
        <f t="shared" si="15"/>
        <v>149700</v>
      </c>
    </row>
    <row r="142" spans="1:32" s="3095" customFormat="1" ht="30" customHeight="1">
      <c r="A142" s="3082">
        <v>8</v>
      </c>
      <c r="B142" s="3083" t="s">
        <v>1525</v>
      </c>
      <c r="C142" s="3083" t="s">
        <v>1741</v>
      </c>
      <c r="D142" s="3083" t="s">
        <v>1526</v>
      </c>
      <c r="E142" s="3084" t="s">
        <v>1188</v>
      </c>
      <c r="F142" s="3084" t="s">
        <v>1189</v>
      </c>
      <c r="G142" s="3080" t="s">
        <v>1240</v>
      </c>
      <c r="H142" s="3084" t="s">
        <v>1362</v>
      </c>
      <c r="I142" s="3085"/>
      <c r="J142" s="3085"/>
      <c r="K142" s="3081">
        <v>3</v>
      </c>
      <c r="L142" s="3080"/>
      <c r="M142" s="3086">
        <v>36000</v>
      </c>
      <c r="N142" s="3087">
        <f t="shared" si="17"/>
        <v>0</v>
      </c>
      <c r="O142" s="3080">
        <v>0</v>
      </c>
      <c r="P142" s="3086">
        <v>20000</v>
      </c>
      <c r="Q142" s="3088">
        <f t="shared" si="20"/>
        <v>0</v>
      </c>
      <c r="R142" s="3089">
        <f t="shared" si="21"/>
        <v>0</v>
      </c>
      <c r="S142" s="3080">
        <f t="shared" si="26"/>
        <v>3</v>
      </c>
      <c r="T142" s="3086">
        <v>36000</v>
      </c>
      <c r="U142" s="3088">
        <f t="shared" si="13"/>
        <v>108000</v>
      </c>
      <c r="V142" s="3080">
        <v>0</v>
      </c>
      <c r="W142" s="3086">
        <v>20000</v>
      </c>
      <c r="X142" s="3088">
        <f t="shared" si="22"/>
        <v>0</v>
      </c>
      <c r="Y142" s="3089">
        <f t="shared" si="23"/>
        <v>108000</v>
      </c>
      <c r="Z142" s="3090">
        <v>306</v>
      </c>
      <c r="AA142" s="3091">
        <v>150</v>
      </c>
      <c r="AB142" s="3087">
        <f t="shared" si="18"/>
        <v>45900</v>
      </c>
      <c r="AC142" s="3092"/>
      <c r="AD142" s="3092"/>
      <c r="AE142" s="3093">
        <f t="shared" si="14"/>
        <v>45900</v>
      </c>
      <c r="AF142" s="3094">
        <f t="shared" si="15"/>
        <v>153900</v>
      </c>
    </row>
    <row r="143" spans="1:32" s="3095" customFormat="1" ht="30" customHeight="1">
      <c r="A143" s="3082">
        <v>9</v>
      </c>
      <c r="B143" s="3083" t="s">
        <v>1527</v>
      </c>
      <c r="C143" s="3083" t="s">
        <v>1741</v>
      </c>
      <c r="D143" s="3083" t="s">
        <v>1528</v>
      </c>
      <c r="E143" s="3084" t="s">
        <v>1188</v>
      </c>
      <c r="F143" s="3084" t="s">
        <v>1189</v>
      </c>
      <c r="G143" s="3080" t="s">
        <v>1240</v>
      </c>
      <c r="H143" s="3084" t="s">
        <v>1362</v>
      </c>
      <c r="I143" s="3085"/>
      <c r="J143" s="3085"/>
      <c r="K143" s="3081">
        <v>3</v>
      </c>
      <c r="L143" s="3080"/>
      <c r="M143" s="3086">
        <v>36000</v>
      </c>
      <c r="N143" s="3087">
        <f t="shared" si="17"/>
        <v>0</v>
      </c>
      <c r="O143" s="3080">
        <v>0</v>
      </c>
      <c r="P143" s="3086">
        <v>20000</v>
      </c>
      <c r="Q143" s="3088">
        <f t="shared" si="20"/>
        <v>0</v>
      </c>
      <c r="R143" s="3089">
        <f t="shared" si="21"/>
        <v>0</v>
      </c>
      <c r="S143" s="3080">
        <f t="shared" si="26"/>
        <v>3</v>
      </c>
      <c r="T143" s="3086">
        <v>36000</v>
      </c>
      <c r="U143" s="3088">
        <f t="shared" si="13"/>
        <v>108000</v>
      </c>
      <c r="V143" s="3080">
        <v>0</v>
      </c>
      <c r="W143" s="3086">
        <v>20000</v>
      </c>
      <c r="X143" s="3088">
        <f t="shared" si="22"/>
        <v>0</v>
      </c>
      <c r="Y143" s="3089">
        <f t="shared" si="23"/>
        <v>108000</v>
      </c>
      <c r="Z143" s="3090">
        <v>286</v>
      </c>
      <c r="AA143" s="3091">
        <v>150</v>
      </c>
      <c r="AB143" s="3087">
        <f t="shared" si="18"/>
        <v>42900</v>
      </c>
      <c r="AC143" s="3092"/>
      <c r="AD143" s="3092"/>
      <c r="AE143" s="3093">
        <f t="shared" si="14"/>
        <v>42900</v>
      </c>
      <c r="AF143" s="3094">
        <f t="shared" si="15"/>
        <v>150900</v>
      </c>
    </row>
    <row r="144" spans="1:32" s="3095" customFormat="1" ht="30" customHeight="1">
      <c r="A144" s="3082">
        <v>10</v>
      </c>
      <c r="B144" s="3083" t="s">
        <v>1860</v>
      </c>
      <c r="C144" s="3083" t="s">
        <v>1196</v>
      </c>
      <c r="D144" s="3083" t="s">
        <v>1861</v>
      </c>
      <c r="E144" s="3084" t="s">
        <v>1188</v>
      </c>
      <c r="F144" s="3084" t="s">
        <v>1189</v>
      </c>
      <c r="G144" s="3080" t="s">
        <v>1240</v>
      </c>
      <c r="H144" s="3084" t="s">
        <v>1187</v>
      </c>
      <c r="I144" s="3085"/>
      <c r="J144" s="3085"/>
      <c r="K144" s="3081">
        <v>3</v>
      </c>
      <c r="L144" s="3080"/>
      <c r="M144" s="3086">
        <v>36000</v>
      </c>
      <c r="N144" s="3087">
        <f t="shared" si="17"/>
        <v>0</v>
      </c>
      <c r="O144" s="3080">
        <v>0</v>
      </c>
      <c r="P144" s="3086">
        <v>20000</v>
      </c>
      <c r="Q144" s="3088">
        <f t="shared" si="20"/>
        <v>0</v>
      </c>
      <c r="R144" s="3089">
        <f t="shared" si="21"/>
        <v>0</v>
      </c>
      <c r="S144" s="3080">
        <f t="shared" si="26"/>
        <v>3</v>
      </c>
      <c r="T144" s="3086">
        <v>36000</v>
      </c>
      <c r="U144" s="3088">
        <f t="shared" si="13"/>
        <v>108000</v>
      </c>
      <c r="V144" s="3080">
        <v>0</v>
      </c>
      <c r="W144" s="3086">
        <v>20000</v>
      </c>
      <c r="X144" s="3088">
        <f t="shared" si="22"/>
        <v>0</v>
      </c>
      <c r="Y144" s="3089">
        <f t="shared" si="23"/>
        <v>108000</v>
      </c>
      <c r="Z144" s="3090">
        <v>56</v>
      </c>
      <c r="AA144" s="3091">
        <v>150</v>
      </c>
      <c r="AB144" s="3087">
        <f t="shared" si="18"/>
        <v>8400</v>
      </c>
      <c r="AC144" s="3092"/>
      <c r="AD144" s="3092"/>
      <c r="AE144" s="3093">
        <f t="shared" si="14"/>
        <v>8400</v>
      </c>
      <c r="AF144" s="3094">
        <f t="shared" si="15"/>
        <v>116400</v>
      </c>
    </row>
    <row r="145" spans="1:32" s="3095" customFormat="1" ht="30" customHeight="1">
      <c r="A145" s="3082">
        <v>11</v>
      </c>
      <c r="B145" s="3083" t="s">
        <v>1862</v>
      </c>
      <c r="C145" s="3083" t="s">
        <v>1186</v>
      </c>
      <c r="D145" s="3083" t="s">
        <v>1530</v>
      </c>
      <c r="E145" s="3084" t="s">
        <v>1188</v>
      </c>
      <c r="F145" s="3084" t="s">
        <v>1189</v>
      </c>
      <c r="G145" s="3080" t="s">
        <v>1240</v>
      </c>
      <c r="H145" s="3084" t="s">
        <v>1187</v>
      </c>
      <c r="I145" s="3085"/>
      <c r="J145" s="3085"/>
      <c r="K145" s="3081">
        <v>3</v>
      </c>
      <c r="L145" s="3080"/>
      <c r="M145" s="3086">
        <v>36000</v>
      </c>
      <c r="N145" s="3087">
        <f t="shared" si="17"/>
        <v>0</v>
      </c>
      <c r="O145" s="3080">
        <v>0</v>
      </c>
      <c r="P145" s="3086">
        <v>20000</v>
      </c>
      <c r="Q145" s="3088">
        <f t="shared" si="20"/>
        <v>0</v>
      </c>
      <c r="R145" s="3089">
        <f t="shared" si="21"/>
        <v>0</v>
      </c>
      <c r="S145" s="3080">
        <f t="shared" si="26"/>
        <v>3</v>
      </c>
      <c r="T145" s="3086">
        <v>36000</v>
      </c>
      <c r="U145" s="3088">
        <f t="shared" si="13"/>
        <v>108000</v>
      </c>
      <c r="V145" s="3080">
        <v>0</v>
      </c>
      <c r="W145" s="3086">
        <v>20000</v>
      </c>
      <c r="X145" s="3088">
        <f t="shared" si="22"/>
        <v>0</v>
      </c>
      <c r="Y145" s="3089">
        <f t="shared" si="23"/>
        <v>108000</v>
      </c>
      <c r="Z145" s="3090">
        <v>50</v>
      </c>
      <c r="AA145" s="3091">
        <v>150</v>
      </c>
      <c r="AB145" s="3087">
        <f t="shared" si="18"/>
        <v>7500</v>
      </c>
      <c r="AC145" s="3092"/>
      <c r="AD145" s="3092"/>
      <c r="AE145" s="3093">
        <f t="shared" si="14"/>
        <v>7500</v>
      </c>
      <c r="AF145" s="3094">
        <f t="shared" si="15"/>
        <v>115500</v>
      </c>
    </row>
    <row r="146" spans="1:32" s="3095" customFormat="1" ht="30" customHeight="1">
      <c r="A146" s="3082">
        <v>12</v>
      </c>
      <c r="B146" s="3083" t="s">
        <v>1863</v>
      </c>
      <c r="C146" s="3083" t="s">
        <v>1194</v>
      </c>
      <c r="D146" s="3083" t="s">
        <v>1864</v>
      </c>
      <c r="E146" s="3084" t="s">
        <v>1188</v>
      </c>
      <c r="F146" s="3084" t="s">
        <v>1189</v>
      </c>
      <c r="G146" s="3080" t="s">
        <v>1240</v>
      </c>
      <c r="H146" s="3084" t="s">
        <v>1187</v>
      </c>
      <c r="I146" s="3085"/>
      <c r="J146" s="3085"/>
      <c r="K146" s="3081">
        <v>3</v>
      </c>
      <c r="L146" s="3080"/>
      <c r="M146" s="3086">
        <v>36000</v>
      </c>
      <c r="N146" s="3087">
        <f t="shared" si="17"/>
        <v>0</v>
      </c>
      <c r="O146" s="3080">
        <v>0</v>
      </c>
      <c r="P146" s="3086">
        <v>20000</v>
      </c>
      <c r="Q146" s="3088">
        <f t="shared" si="20"/>
        <v>0</v>
      </c>
      <c r="R146" s="3089">
        <f t="shared" si="21"/>
        <v>0</v>
      </c>
      <c r="S146" s="3080">
        <f t="shared" si="26"/>
        <v>3</v>
      </c>
      <c r="T146" s="3086">
        <v>36000</v>
      </c>
      <c r="U146" s="3088">
        <f t="shared" si="13"/>
        <v>108000</v>
      </c>
      <c r="V146" s="3080">
        <v>0</v>
      </c>
      <c r="W146" s="3086">
        <v>20000</v>
      </c>
      <c r="X146" s="3088">
        <f t="shared" si="22"/>
        <v>0</v>
      </c>
      <c r="Y146" s="3089">
        <f t="shared" si="23"/>
        <v>108000</v>
      </c>
      <c r="Z146" s="3090">
        <v>62</v>
      </c>
      <c r="AA146" s="3091">
        <v>150</v>
      </c>
      <c r="AB146" s="3087">
        <f t="shared" si="18"/>
        <v>9300</v>
      </c>
      <c r="AC146" s="3092"/>
      <c r="AD146" s="3092"/>
      <c r="AE146" s="3093">
        <f t="shared" si="14"/>
        <v>9300</v>
      </c>
      <c r="AF146" s="3094">
        <f t="shared" si="15"/>
        <v>117300</v>
      </c>
    </row>
    <row r="147" spans="1:32" s="3095" customFormat="1" ht="30" customHeight="1">
      <c r="A147" s="3082">
        <v>1</v>
      </c>
      <c r="B147" s="3083" t="s">
        <v>1865</v>
      </c>
      <c r="C147" s="3083" t="s">
        <v>1755</v>
      </c>
      <c r="D147" s="3083" t="s">
        <v>1866</v>
      </c>
      <c r="E147" s="3084" t="s">
        <v>1188</v>
      </c>
      <c r="F147" s="3084" t="s">
        <v>1189</v>
      </c>
      <c r="G147" s="3080" t="s">
        <v>1240</v>
      </c>
      <c r="H147" s="3084" t="s">
        <v>1187</v>
      </c>
      <c r="I147" s="3085"/>
      <c r="J147" s="3085"/>
      <c r="K147" s="3081">
        <v>3</v>
      </c>
      <c r="L147" s="3080"/>
      <c r="M147" s="3086">
        <v>36000</v>
      </c>
      <c r="N147" s="3087">
        <f t="shared" si="17"/>
        <v>0</v>
      </c>
      <c r="O147" s="3080">
        <v>0</v>
      </c>
      <c r="P147" s="3086">
        <v>20000</v>
      </c>
      <c r="Q147" s="3088">
        <f t="shared" si="20"/>
        <v>0</v>
      </c>
      <c r="R147" s="3089">
        <f t="shared" si="21"/>
        <v>0</v>
      </c>
      <c r="S147" s="3080">
        <f>+K147</f>
        <v>3</v>
      </c>
      <c r="T147" s="3086">
        <v>36000</v>
      </c>
      <c r="U147" s="3088">
        <f t="shared" si="13"/>
        <v>108000</v>
      </c>
      <c r="V147" s="3080">
        <v>0</v>
      </c>
      <c r="W147" s="3086">
        <v>20000</v>
      </c>
      <c r="X147" s="3088">
        <f t="shared" si="22"/>
        <v>0</v>
      </c>
      <c r="Y147" s="3089">
        <f t="shared" si="23"/>
        <v>108000</v>
      </c>
      <c r="Z147" s="3090">
        <v>56</v>
      </c>
      <c r="AA147" s="3091">
        <v>150</v>
      </c>
      <c r="AB147" s="3087">
        <f t="shared" si="18"/>
        <v>8400</v>
      </c>
      <c r="AC147" s="3092"/>
      <c r="AD147" s="3092"/>
      <c r="AE147" s="3093">
        <f t="shared" si="14"/>
        <v>8400</v>
      </c>
      <c r="AF147" s="3094">
        <f t="shared" si="15"/>
        <v>116400</v>
      </c>
    </row>
    <row r="148" spans="1:32" s="3095" customFormat="1" ht="30" customHeight="1">
      <c r="A148" s="3082">
        <v>2</v>
      </c>
      <c r="B148" s="3083" t="s">
        <v>1867</v>
      </c>
      <c r="C148" s="3083" t="s">
        <v>1186</v>
      </c>
      <c r="D148" s="3083" t="s">
        <v>1868</v>
      </c>
      <c r="E148" s="3084" t="s">
        <v>1188</v>
      </c>
      <c r="F148" s="3084" t="s">
        <v>1189</v>
      </c>
      <c r="G148" s="3080" t="s">
        <v>1240</v>
      </c>
      <c r="H148" s="3084" t="s">
        <v>1187</v>
      </c>
      <c r="I148" s="3085"/>
      <c r="J148" s="3085"/>
      <c r="K148" s="3081">
        <v>3</v>
      </c>
      <c r="L148" s="3080"/>
      <c r="M148" s="3086">
        <v>36000</v>
      </c>
      <c r="N148" s="3087">
        <f t="shared" si="17"/>
        <v>0</v>
      </c>
      <c r="O148" s="3080">
        <v>0</v>
      </c>
      <c r="P148" s="3086">
        <v>20000</v>
      </c>
      <c r="Q148" s="3088">
        <f t="shared" si="20"/>
        <v>0</v>
      </c>
      <c r="R148" s="3089">
        <f t="shared" si="21"/>
        <v>0</v>
      </c>
      <c r="S148" s="3080">
        <f t="shared" ref="S148:S158" si="27">+K148</f>
        <v>3</v>
      </c>
      <c r="T148" s="3086">
        <v>36000</v>
      </c>
      <c r="U148" s="3088">
        <f t="shared" ref="U148:U182" si="28">T148*S148</f>
        <v>108000</v>
      </c>
      <c r="V148" s="3080">
        <v>0</v>
      </c>
      <c r="W148" s="3086">
        <v>20000</v>
      </c>
      <c r="X148" s="3088">
        <f t="shared" si="22"/>
        <v>0</v>
      </c>
      <c r="Y148" s="3089">
        <f t="shared" si="23"/>
        <v>108000</v>
      </c>
      <c r="Z148" s="3090">
        <v>64</v>
      </c>
      <c r="AA148" s="3091">
        <v>150</v>
      </c>
      <c r="AB148" s="3087">
        <f t="shared" si="18"/>
        <v>9600</v>
      </c>
      <c r="AC148" s="3092"/>
      <c r="AD148" s="3092"/>
      <c r="AE148" s="3093">
        <f t="shared" ref="AE148:AE182" si="29">AB148</f>
        <v>9600</v>
      </c>
      <c r="AF148" s="3094">
        <f t="shared" ref="AF148:AF182" si="30">+Y148+AE148+R148</f>
        <v>117600</v>
      </c>
    </row>
    <row r="149" spans="1:32" s="3095" customFormat="1" ht="30" customHeight="1">
      <c r="A149" s="3082">
        <v>3</v>
      </c>
      <c r="B149" s="3083" t="s">
        <v>1535</v>
      </c>
      <c r="C149" s="3083" t="s">
        <v>1186</v>
      </c>
      <c r="D149" s="3083" t="s">
        <v>1533</v>
      </c>
      <c r="E149" s="3084" t="s">
        <v>1188</v>
      </c>
      <c r="F149" s="3084" t="s">
        <v>1189</v>
      </c>
      <c r="G149" s="3080" t="s">
        <v>1240</v>
      </c>
      <c r="H149" s="3084" t="s">
        <v>1187</v>
      </c>
      <c r="I149" s="3085"/>
      <c r="J149" s="3085"/>
      <c r="K149" s="3081">
        <v>3</v>
      </c>
      <c r="L149" s="3080"/>
      <c r="M149" s="3086">
        <v>36000</v>
      </c>
      <c r="N149" s="3087">
        <f t="shared" si="17"/>
        <v>0</v>
      </c>
      <c r="O149" s="3080">
        <v>0</v>
      </c>
      <c r="P149" s="3086">
        <v>20000</v>
      </c>
      <c r="Q149" s="3088">
        <f t="shared" si="20"/>
        <v>0</v>
      </c>
      <c r="R149" s="3089">
        <f t="shared" si="21"/>
        <v>0</v>
      </c>
      <c r="S149" s="3080">
        <f t="shared" si="27"/>
        <v>3</v>
      </c>
      <c r="T149" s="3086">
        <v>36000</v>
      </c>
      <c r="U149" s="3088">
        <f t="shared" si="28"/>
        <v>108000</v>
      </c>
      <c r="V149" s="3080">
        <v>0</v>
      </c>
      <c r="W149" s="3086">
        <v>20000</v>
      </c>
      <c r="X149" s="3088">
        <f t="shared" si="22"/>
        <v>0</v>
      </c>
      <c r="Y149" s="3089">
        <f t="shared" si="23"/>
        <v>108000</v>
      </c>
      <c r="Z149" s="3090">
        <v>54</v>
      </c>
      <c r="AA149" s="3091">
        <v>150</v>
      </c>
      <c r="AB149" s="3087">
        <f t="shared" si="18"/>
        <v>8100</v>
      </c>
      <c r="AC149" s="3092"/>
      <c r="AD149" s="3092"/>
      <c r="AE149" s="3093">
        <f t="shared" si="29"/>
        <v>8100</v>
      </c>
      <c r="AF149" s="3094">
        <f t="shared" si="30"/>
        <v>116100</v>
      </c>
    </row>
    <row r="150" spans="1:32" s="3095" customFormat="1" ht="30" customHeight="1">
      <c r="A150" s="3082">
        <v>4</v>
      </c>
      <c r="B150" s="3083" t="s">
        <v>1534</v>
      </c>
      <c r="C150" s="3083" t="s">
        <v>1196</v>
      </c>
      <c r="D150" s="3083" t="s">
        <v>1533</v>
      </c>
      <c r="E150" s="3084" t="s">
        <v>1188</v>
      </c>
      <c r="F150" s="3084" t="s">
        <v>1189</v>
      </c>
      <c r="G150" s="3080" t="s">
        <v>1240</v>
      </c>
      <c r="H150" s="3084" t="s">
        <v>1187</v>
      </c>
      <c r="I150" s="3085"/>
      <c r="J150" s="3085"/>
      <c r="K150" s="3081">
        <v>3</v>
      </c>
      <c r="L150" s="3080"/>
      <c r="M150" s="3086">
        <v>36000</v>
      </c>
      <c r="N150" s="3087">
        <f t="shared" si="17"/>
        <v>0</v>
      </c>
      <c r="O150" s="3080">
        <v>0</v>
      </c>
      <c r="P150" s="3086">
        <v>20000</v>
      </c>
      <c r="Q150" s="3088">
        <f t="shared" si="20"/>
        <v>0</v>
      </c>
      <c r="R150" s="3089">
        <f t="shared" si="21"/>
        <v>0</v>
      </c>
      <c r="S150" s="3080">
        <f t="shared" si="27"/>
        <v>3</v>
      </c>
      <c r="T150" s="3086">
        <v>36000</v>
      </c>
      <c r="U150" s="3088">
        <f t="shared" si="28"/>
        <v>108000</v>
      </c>
      <c r="V150" s="3080">
        <v>0</v>
      </c>
      <c r="W150" s="3086">
        <v>20000</v>
      </c>
      <c r="X150" s="3088">
        <f t="shared" si="22"/>
        <v>0</v>
      </c>
      <c r="Y150" s="3089">
        <f t="shared" si="23"/>
        <v>108000</v>
      </c>
      <c r="Z150" s="3090">
        <v>54</v>
      </c>
      <c r="AA150" s="3091">
        <v>150</v>
      </c>
      <c r="AB150" s="3087">
        <f t="shared" si="18"/>
        <v>8100</v>
      </c>
      <c r="AC150" s="3092"/>
      <c r="AD150" s="3092"/>
      <c r="AE150" s="3093">
        <f t="shared" si="29"/>
        <v>8100</v>
      </c>
      <c r="AF150" s="3094">
        <f t="shared" si="30"/>
        <v>116100</v>
      </c>
    </row>
    <row r="151" spans="1:32" s="3095" customFormat="1" ht="30" customHeight="1">
      <c r="A151" s="3082">
        <v>5</v>
      </c>
      <c r="B151" s="3083" t="s">
        <v>1869</v>
      </c>
      <c r="C151" s="3083" t="s">
        <v>1755</v>
      </c>
      <c r="D151" s="3083" t="s">
        <v>1537</v>
      </c>
      <c r="E151" s="3084" t="s">
        <v>1188</v>
      </c>
      <c r="F151" s="3084" t="s">
        <v>1189</v>
      </c>
      <c r="G151" s="3080" t="s">
        <v>1240</v>
      </c>
      <c r="H151" s="3084" t="s">
        <v>1187</v>
      </c>
      <c r="I151" s="3085"/>
      <c r="J151" s="3085"/>
      <c r="K151" s="3081">
        <v>3</v>
      </c>
      <c r="L151" s="3080"/>
      <c r="M151" s="3086">
        <v>36000</v>
      </c>
      <c r="N151" s="3087">
        <f t="shared" si="17"/>
        <v>0</v>
      </c>
      <c r="O151" s="3080">
        <v>0</v>
      </c>
      <c r="P151" s="3086">
        <v>20000</v>
      </c>
      <c r="Q151" s="3088">
        <f t="shared" si="20"/>
        <v>0</v>
      </c>
      <c r="R151" s="3089">
        <f t="shared" si="21"/>
        <v>0</v>
      </c>
      <c r="S151" s="3080">
        <f t="shared" si="27"/>
        <v>3</v>
      </c>
      <c r="T151" s="3086">
        <v>36000</v>
      </c>
      <c r="U151" s="3088">
        <f t="shared" si="28"/>
        <v>108000</v>
      </c>
      <c r="V151" s="3080">
        <v>0</v>
      </c>
      <c r="W151" s="3086">
        <v>20000</v>
      </c>
      <c r="X151" s="3088">
        <f t="shared" si="22"/>
        <v>0</v>
      </c>
      <c r="Y151" s="3089">
        <f t="shared" si="23"/>
        <v>108000</v>
      </c>
      <c r="Z151" s="3090">
        <v>58</v>
      </c>
      <c r="AA151" s="3091">
        <v>150</v>
      </c>
      <c r="AB151" s="3087">
        <f t="shared" si="18"/>
        <v>8700</v>
      </c>
      <c r="AC151" s="3092"/>
      <c r="AD151" s="3092"/>
      <c r="AE151" s="3093">
        <f t="shared" si="29"/>
        <v>8700</v>
      </c>
      <c r="AF151" s="3094">
        <f t="shared" si="30"/>
        <v>116700</v>
      </c>
    </row>
    <row r="152" spans="1:32" s="3095" customFormat="1" ht="30" customHeight="1">
      <c r="A152" s="3082">
        <v>6</v>
      </c>
      <c r="B152" s="3083" t="s">
        <v>1870</v>
      </c>
      <c r="C152" s="3083" t="s">
        <v>1192</v>
      </c>
      <c r="D152" s="3083" t="s">
        <v>1871</v>
      </c>
      <c r="E152" s="3084" t="s">
        <v>1188</v>
      </c>
      <c r="F152" s="3084" t="s">
        <v>1189</v>
      </c>
      <c r="G152" s="3080" t="s">
        <v>1240</v>
      </c>
      <c r="H152" s="3084" t="s">
        <v>1187</v>
      </c>
      <c r="I152" s="3085"/>
      <c r="J152" s="3085"/>
      <c r="K152" s="3081">
        <v>3</v>
      </c>
      <c r="L152" s="3080"/>
      <c r="M152" s="3086">
        <v>36000</v>
      </c>
      <c r="N152" s="3087">
        <f t="shared" si="17"/>
        <v>0</v>
      </c>
      <c r="O152" s="3080">
        <v>0</v>
      </c>
      <c r="P152" s="3086">
        <v>20000</v>
      </c>
      <c r="Q152" s="3088">
        <f t="shared" si="20"/>
        <v>0</v>
      </c>
      <c r="R152" s="3089">
        <f t="shared" si="21"/>
        <v>0</v>
      </c>
      <c r="S152" s="3080">
        <f t="shared" si="27"/>
        <v>3</v>
      </c>
      <c r="T152" s="3086">
        <v>36000</v>
      </c>
      <c r="U152" s="3088">
        <f t="shared" si="28"/>
        <v>108000</v>
      </c>
      <c r="V152" s="3080">
        <v>0</v>
      </c>
      <c r="W152" s="3086">
        <v>20000</v>
      </c>
      <c r="X152" s="3088">
        <f t="shared" si="22"/>
        <v>0</v>
      </c>
      <c r="Y152" s="3089">
        <f t="shared" si="23"/>
        <v>108000</v>
      </c>
      <c r="Z152" s="3090">
        <v>48</v>
      </c>
      <c r="AA152" s="3091">
        <v>150</v>
      </c>
      <c r="AB152" s="3087">
        <f t="shared" si="18"/>
        <v>7200</v>
      </c>
      <c r="AC152" s="3092"/>
      <c r="AD152" s="3092"/>
      <c r="AE152" s="3093">
        <f t="shared" si="29"/>
        <v>7200</v>
      </c>
      <c r="AF152" s="3094">
        <f t="shared" si="30"/>
        <v>115200</v>
      </c>
    </row>
    <row r="153" spans="1:32" s="3095" customFormat="1" ht="30" customHeight="1">
      <c r="A153" s="3082">
        <v>7</v>
      </c>
      <c r="B153" s="3083" t="s">
        <v>1872</v>
      </c>
      <c r="C153" s="3083" t="s">
        <v>1186</v>
      </c>
      <c r="D153" s="3083" t="s">
        <v>1540</v>
      </c>
      <c r="E153" s="3084" t="s">
        <v>1188</v>
      </c>
      <c r="F153" s="3084" t="s">
        <v>1189</v>
      </c>
      <c r="G153" s="3080" t="s">
        <v>1240</v>
      </c>
      <c r="H153" s="3084" t="s">
        <v>1187</v>
      </c>
      <c r="I153" s="3085"/>
      <c r="J153" s="3085"/>
      <c r="K153" s="3081">
        <v>3</v>
      </c>
      <c r="L153" s="3080"/>
      <c r="M153" s="3086">
        <v>36000</v>
      </c>
      <c r="N153" s="3087">
        <f t="shared" ref="N153:N182" si="31">M153*L153</f>
        <v>0</v>
      </c>
      <c r="O153" s="3080">
        <v>0</v>
      </c>
      <c r="P153" s="3086">
        <v>20000</v>
      </c>
      <c r="Q153" s="3088">
        <f t="shared" si="20"/>
        <v>0</v>
      </c>
      <c r="R153" s="3089">
        <f t="shared" si="21"/>
        <v>0</v>
      </c>
      <c r="S153" s="3080">
        <f t="shared" si="27"/>
        <v>3</v>
      </c>
      <c r="T153" s="3086">
        <v>36000</v>
      </c>
      <c r="U153" s="3088">
        <f t="shared" si="28"/>
        <v>108000</v>
      </c>
      <c r="V153" s="3080">
        <v>0</v>
      </c>
      <c r="W153" s="3086">
        <v>20000</v>
      </c>
      <c r="X153" s="3088">
        <f t="shared" si="22"/>
        <v>0</v>
      </c>
      <c r="Y153" s="3089">
        <f t="shared" si="23"/>
        <v>108000</v>
      </c>
      <c r="Z153" s="3090">
        <v>48</v>
      </c>
      <c r="AA153" s="3091">
        <v>150</v>
      </c>
      <c r="AB153" s="3087">
        <f t="shared" ref="AB153:AB182" si="32">Z153*AA153</f>
        <v>7200</v>
      </c>
      <c r="AC153" s="3092"/>
      <c r="AD153" s="3092"/>
      <c r="AE153" s="3093">
        <f t="shared" si="29"/>
        <v>7200</v>
      </c>
      <c r="AF153" s="3094">
        <f t="shared" si="30"/>
        <v>115200</v>
      </c>
    </row>
    <row r="154" spans="1:32" s="3095" customFormat="1" ht="30" customHeight="1">
      <c r="A154" s="3082">
        <v>8</v>
      </c>
      <c r="B154" s="3083" t="s">
        <v>1545</v>
      </c>
      <c r="C154" s="3083" t="s">
        <v>1192</v>
      </c>
      <c r="D154" s="3083" t="s">
        <v>1543</v>
      </c>
      <c r="E154" s="3084" t="s">
        <v>1188</v>
      </c>
      <c r="F154" s="3084" t="s">
        <v>1189</v>
      </c>
      <c r="G154" s="3080" t="s">
        <v>1240</v>
      </c>
      <c r="H154" s="3084" t="s">
        <v>1187</v>
      </c>
      <c r="I154" s="3085"/>
      <c r="J154" s="3085"/>
      <c r="K154" s="3081">
        <v>3</v>
      </c>
      <c r="L154" s="3080"/>
      <c r="M154" s="3086">
        <v>36000</v>
      </c>
      <c r="N154" s="3087">
        <f t="shared" si="31"/>
        <v>0</v>
      </c>
      <c r="O154" s="3080">
        <v>0</v>
      </c>
      <c r="P154" s="3086">
        <v>20000</v>
      </c>
      <c r="Q154" s="3088">
        <f t="shared" si="20"/>
        <v>0</v>
      </c>
      <c r="R154" s="3089">
        <f t="shared" si="21"/>
        <v>0</v>
      </c>
      <c r="S154" s="3080">
        <f t="shared" si="27"/>
        <v>3</v>
      </c>
      <c r="T154" s="3086">
        <v>36000</v>
      </c>
      <c r="U154" s="3088">
        <f t="shared" si="28"/>
        <v>108000</v>
      </c>
      <c r="V154" s="3080">
        <v>0</v>
      </c>
      <c r="W154" s="3086">
        <v>20000</v>
      </c>
      <c r="X154" s="3088">
        <f t="shared" si="22"/>
        <v>0</v>
      </c>
      <c r="Y154" s="3089">
        <f t="shared" si="23"/>
        <v>108000</v>
      </c>
      <c r="Z154" s="3090">
        <v>52</v>
      </c>
      <c r="AA154" s="3091">
        <v>150</v>
      </c>
      <c r="AB154" s="3087">
        <f t="shared" si="32"/>
        <v>7800</v>
      </c>
      <c r="AC154" s="3092"/>
      <c r="AD154" s="3092"/>
      <c r="AE154" s="3093">
        <f t="shared" si="29"/>
        <v>7800</v>
      </c>
      <c r="AF154" s="3094">
        <f t="shared" si="30"/>
        <v>115800</v>
      </c>
    </row>
    <row r="155" spans="1:32" s="3095" customFormat="1" ht="30" customHeight="1">
      <c r="A155" s="3082">
        <v>9</v>
      </c>
      <c r="B155" s="3083" t="s">
        <v>1873</v>
      </c>
      <c r="C155" s="3083" t="s">
        <v>1192</v>
      </c>
      <c r="D155" s="3083" t="s">
        <v>1874</v>
      </c>
      <c r="E155" s="3084" t="s">
        <v>1188</v>
      </c>
      <c r="F155" s="3084" t="s">
        <v>1189</v>
      </c>
      <c r="G155" s="3080" t="s">
        <v>1240</v>
      </c>
      <c r="H155" s="3084" t="s">
        <v>1187</v>
      </c>
      <c r="I155" s="3085"/>
      <c r="J155" s="3085"/>
      <c r="K155" s="3081">
        <v>3</v>
      </c>
      <c r="L155" s="3080"/>
      <c r="M155" s="3086">
        <v>36000</v>
      </c>
      <c r="N155" s="3087">
        <f t="shared" si="31"/>
        <v>0</v>
      </c>
      <c r="O155" s="3080">
        <v>0</v>
      </c>
      <c r="P155" s="3086">
        <v>20000</v>
      </c>
      <c r="Q155" s="3088">
        <f t="shared" si="20"/>
        <v>0</v>
      </c>
      <c r="R155" s="3089">
        <f t="shared" si="21"/>
        <v>0</v>
      </c>
      <c r="S155" s="3080">
        <f t="shared" si="27"/>
        <v>3</v>
      </c>
      <c r="T155" s="3086">
        <v>36000</v>
      </c>
      <c r="U155" s="3088">
        <f t="shared" si="28"/>
        <v>108000</v>
      </c>
      <c r="V155" s="3080">
        <v>0</v>
      </c>
      <c r="W155" s="3086">
        <v>20000</v>
      </c>
      <c r="X155" s="3088">
        <f t="shared" si="22"/>
        <v>0</v>
      </c>
      <c r="Y155" s="3089">
        <f t="shared" si="23"/>
        <v>108000</v>
      </c>
      <c r="Z155" s="3090">
        <v>54</v>
      </c>
      <c r="AA155" s="3091">
        <v>150</v>
      </c>
      <c r="AB155" s="3087">
        <f t="shared" si="32"/>
        <v>8100</v>
      </c>
      <c r="AC155" s="3092"/>
      <c r="AD155" s="3092"/>
      <c r="AE155" s="3093">
        <f t="shared" si="29"/>
        <v>8100</v>
      </c>
      <c r="AF155" s="3094">
        <f t="shared" si="30"/>
        <v>116100</v>
      </c>
    </row>
    <row r="156" spans="1:32" s="3095" customFormat="1" ht="30" customHeight="1">
      <c r="A156" s="3082">
        <v>10</v>
      </c>
      <c r="B156" s="3083" t="s">
        <v>1546</v>
      </c>
      <c r="C156" s="3083" t="s">
        <v>1728</v>
      </c>
      <c r="D156" s="3083" t="s">
        <v>1547</v>
      </c>
      <c r="E156" s="3084" t="s">
        <v>1188</v>
      </c>
      <c r="F156" s="3084" t="s">
        <v>1189</v>
      </c>
      <c r="G156" s="3080" t="s">
        <v>1240</v>
      </c>
      <c r="H156" s="3084" t="s">
        <v>1187</v>
      </c>
      <c r="I156" s="3085"/>
      <c r="J156" s="3085"/>
      <c r="K156" s="3081">
        <v>3</v>
      </c>
      <c r="L156" s="3080"/>
      <c r="M156" s="3086">
        <v>36000</v>
      </c>
      <c r="N156" s="3087">
        <f t="shared" si="31"/>
        <v>0</v>
      </c>
      <c r="O156" s="3080">
        <v>0</v>
      </c>
      <c r="P156" s="3086">
        <v>20000</v>
      </c>
      <c r="Q156" s="3088">
        <f t="shared" si="20"/>
        <v>0</v>
      </c>
      <c r="R156" s="3089">
        <f t="shared" si="21"/>
        <v>0</v>
      </c>
      <c r="S156" s="3080">
        <f t="shared" si="27"/>
        <v>3</v>
      </c>
      <c r="T156" s="3086">
        <v>36000</v>
      </c>
      <c r="U156" s="3088">
        <f t="shared" si="28"/>
        <v>108000</v>
      </c>
      <c r="V156" s="3080">
        <v>0</v>
      </c>
      <c r="W156" s="3086">
        <v>20000</v>
      </c>
      <c r="X156" s="3088">
        <f t="shared" si="22"/>
        <v>0</v>
      </c>
      <c r="Y156" s="3089">
        <f t="shared" si="23"/>
        <v>108000</v>
      </c>
      <c r="Z156" s="3090">
        <v>36</v>
      </c>
      <c r="AA156" s="3091">
        <v>150</v>
      </c>
      <c r="AB156" s="3087">
        <f t="shared" si="32"/>
        <v>5400</v>
      </c>
      <c r="AC156" s="3092"/>
      <c r="AD156" s="3092"/>
      <c r="AE156" s="3093">
        <f t="shared" si="29"/>
        <v>5400</v>
      </c>
      <c r="AF156" s="3094">
        <f t="shared" si="30"/>
        <v>113400</v>
      </c>
    </row>
    <row r="157" spans="1:32" s="3095" customFormat="1" ht="30" customHeight="1">
      <c r="A157" s="3082">
        <v>11</v>
      </c>
      <c r="B157" s="3083" t="s">
        <v>1548</v>
      </c>
      <c r="C157" s="3083" t="s">
        <v>1741</v>
      </c>
      <c r="D157" s="3083" t="s">
        <v>1549</v>
      </c>
      <c r="E157" s="3084" t="s">
        <v>1188</v>
      </c>
      <c r="F157" s="3084" t="s">
        <v>1189</v>
      </c>
      <c r="G157" s="3080" t="s">
        <v>1240</v>
      </c>
      <c r="H157" s="3084" t="s">
        <v>1187</v>
      </c>
      <c r="I157" s="3085"/>
      <c r="J157" s="3085"/>
      <c r="K157" s="3081">
        <v>3</v>
      </c>
      <c r="L157" s="3080"/>
      <c r="M157" s="3086">
        <v>36000</v>
      </c>
      <c r="N157" s="3087">
        <f t="shared" si="31"/>
        <v>0</v>
      </c>
      <c r="O157" s="3080">
        <v>0</v>
      </c>
      <c r="P157" s="3086">
        <v>20000</v>
      </c>
      <c r="Q157" s="3088">
        <f t="shared" si="20"/>
        <v>0</v>
      </c>
      <c r="R157" s="3089">
        <f t="shared" si="21"/>
        <v>0</v>
      </c>
      <c r="S157" s="3080">
        <f t="shared" si="27"/>
        <v>3</v>
      </c>
      <c r="T157" s="3086">
        <v>36000</v>
      </c>
      <c r="U157" s="3088">
        <f t="shared" si="28"/>
        <v>108000</v>
      </c>
      <c r="V157" s="3080">
        <v>0</v>
      </c>
      <c r="W157" s="3086">
        <v>20000</v>
      </c>
      <c r="X157" s="3088">
        <f t="shared" si="22"/>
        <v>0</v>
      </c>
      <c r="Y157" s="3089">
        <f t="shared" si="23"/>
        <v>108000</v>
      </c>
      <c r="Z157" s="3090">
        <v>36</v>
      </c>
      <c r="AA157" s="3091">
        <v>150</v>
      </c>
      <c r="AB157" s="3087">
        <f t="shared" si="32"/>
        <v>5400</v>
      </c>
      <c r="AC157" s="3092"/>
      <c r="AD157" s="3092"/>
      <c r="AE157" s="3093">
        <f t="shared" si="29"/>
        <v>5400</v>
      </c>
      <c r="AF157" s="3094">
        <f t="shared" si="30"/>
        <v>113400</v>
      </c>
    </row>
    <row r="158" spans="1:32" s="3095" customFormat="1" ht="30" customHeight="1">
      <c r="A158" s="3082">
        <v>12</v>
      </c>
      <c r="B158" s="3083" t="s">
        <v>1875</v>
      </c>
      <c r="C158" s="3083" t="s">
        <v>1771</v>
      </c>
      <c r="D158" s="3083" t="s">
        <v>1876</v>
      </c>
      <c r="E158" s="3084" t="s">
        <v>1188</v>
      </c>
      <c r="F158" s="3084" t="s">
        <v>1189</v>
      </c>
      <c r="G158" s="3080" t="s">
        <v>1240</v>
      </c>
      <c r="H158" s="3084" t="s">
        <v>1187</v>
      </c>
      <c r="I158" s="3085"/>
      <c r="J158" s="3085"/>
      <c r="K158" s="3081">
        <v>3</v>
      </c>
      <c r="L158" s="3080"/>
      <c r="M158" s="3086">
        <v>36000</v>
      </c>
      <c r="N158" s="3087">
        <f t="shared" si="31"/>
        <v>0</v>
      </c>
      <c r="O158" s="3080">
        <v>0</v>
      </c>
      <c r="P158" s="3086">
        <v>20000</v>
      </c>
      <c r="Q158" s="3088">
        <f t="shared" si="20"/>
        <v>0</v>
      </c>
      <c r="R158" s="3089">
        <f t="shared" si="21"/>
        <v>0</v>
      </c>
      <c r="S158" s="3080">
        <f t="shared" si="27"/>
        <v>3</v>
      </c>
      <c r="T158" s="3086">
        <v>36000</v>
      </c>
      <c r="U158" s="3088">
        <f t="shared" si="28"/>
        <v>108000</v>
      </c>
      <c r="V158" s="3080">
        <v>0</v>
      </c>
      <c r="W158" s="3086">
        <v>20000</v>
      </c>
      <c r="X158" s="3088">
        <f t="shared" si="22"/>
        <v>0</v>
      </c>
      <c r="Y158" s="3089">
        <f t="shared" si="23"/>
        <v>108000</v>
      </c>
      <c r="Z158" s="3090">
        <v>34</v>
      </c>
      <c r="AA158" s="3091">
        <v>150</v>
      </c>
      <c r="AB158" s="3087">
        <f t="shared" si="32"/>
        <v>5100</v>
      </c>
      <c r="AC158" s="3092"/>
      <c r="AD158" s="3092"/>
      <c r="AE158" s="3093">
        <f t="shared" si="29"/>
        <v>5100</v>
      </c>
      <c r="AF158" s="3094">
        <f t="shared" si="30"/>
        <v>113100</v>
      </c>
    </row>
    <row r="159" spans="1:32" s="3095" customFormat="1" ht="30" customHeight="1">
      <c r="A159" s="3082">
        <v>1</v>
      </c>
      <c r="B159" s="3083" t="s">
        <v>1552</v>
      </c>
      <c r="C159" s="3083" t="s">
        <v>1745</v>
      </c>
      <c r="D159" s="3083" t="s">
        <v>1553</v>
      </c>
      <c r="E159" s="3084" t="s">
        <v>1188</v>
      </c>
      <c r="F159" s="3084" t="s">
        <v>1189</v>
      </c>
      <c r="G159" s="3080" t="s">
        <v>1240</v>
      </c>
      <c r="H159" s="3084" t="s">
        <v>1187</v>
      </c>
      <c r="I159" s="3085"/>
      <c r="J159" s="3085"/>
      <c r="K159" s="3081">
        <v>3</v>
      </c>
      <c r="L159" s="3080"/>
      <c r="M159" s="3086">
        <v>36000</v>
      </c>
      <c r="N159" s="3087">
        <f t="shared" si="31"/>
        <v>0</v>
      </c>
      <c r="O159" s="3080">
        <v>0</v>
      </c>
      <c r="P159" s="3086">
        <v>20000</v>
      </c>
      <c r="Q159" s="3088">
        <f t="shared" si="20"/>
        <v>0</v>
      </c>
      <c r="R159" s="3089">
        <f t="shared" si="21"/>
        <v>0</v>
      </c>
      <c r="S159" s="3080">
        <f>+K159</f>
        <v>3</v>
      </c>
      <c r="T159" s="3086">
        <v>36000</v>
      </c>
      <c r="U159" s="3088">
        <f t="shared" si="28"/>
        <v>108000</v>
      </c>
      <c r="V159" s="3080">
        <v>0</v>
      </c>
      <c r="W159" s="3086">
        <v>20000</v>
      </c>
      <c r="X159" s="3088">
        <f t="shared" si="22"/>
        <v>0</v>
      </c>
      <c r="Y159" s="3089">
        <f t="shared" si="23"/>
        <v>108000</v>
      </c>
      <c r="Z159" s="3090">
        <v>34</v>
      </c>
      <c r="AA159" s="3091">
        <v>150</v>
      </c>
      <c r="AB159" s="3087">
        <f t="shared" si="32"/>
        <v>5100</v>
      </c>
      <c r="AC159" s="3092"/>
      <c r="AD159" s="3092"/>
      <c r="AE159" s="3093">
        <f t="shared" si="29"/>
        <v>5100</v>
      </c>
      <c r="AF159" s="3094">
        <f t="shared" si="30"/>
        <v>113100</v>
      </c>
    </row>
    <row r="160" spans="1:32" s="3095" customFormat="1" ht="30" customHeight="1">
      <c r="A160" s="3082">
        <v>2</v>
      </c>
      <c r="B160" s="3083" t="s">
        <v>1877</v>
      </c>
      <c r="C160" s="3083" t="s">
        <v>1755</v>
      </c>
      <c r="D160" s="3083" t="s">
        <v>1878</v>
      </c>
      <c r="E160" s="3084" t="s">
        <v>1188</v>
      </c>
      <c r="F160" s="3084" t="s">
        <v>1189</v>
      </c>
      <c r="G160" s="3080" t="s">
        <v>1240</v>
      </c>
      <c r="H160" s="3084" t="s">
        <v>1187</v>
      </c>
      <c r="I160" s="3085"/>
      <c r="J160" s="3085"/>
      <c r="K160" s="3081">
        <v>3</v>
      </c>
      <c r="L160" s="3080"/>
      <c r="M160" s="3086">
        <v>36000</v>
      </c>
      <c r="N160" s="3087">
        <f t="shared" si="31"/>
        <v>0</v>
      </c>
      <c r="O160" s="3080">
        <v>0</v>
      </c>
      <c r="P160" s="3086">
        <v>20000</v>
      </c>
      <c r="Q160" s="3088">
        <f t="shared" si="20"/>
        <v>0</v>
      </c>
      <c r="R160" s="3089">
        <f t="shared" si="21"/>
        <v>0</v>
      </c>
      <c r="S160" s="3080">
        <f t="shared" ref="S160:S170" si="33">+K160</f>
        <v>3</v>
      </c>
      <c r="T160" s="3086">
        <v>36000</v>
      </c>
      <c r="U160" s="3088">
        <f t="shared" si="28"/>
        <v>108000</v>
      </c>
      <c r="V160" s="3080">
        <v>0</v>
      </c>
      <c r="W160" s="3086">
        <v>20000</v>
      </c>
      <c r="X160" s="3088">
        <f t="shared" si="22"/>
        <v>0</v>
      </c>
      <c r="Y160" s="3089">
        <f t="shared" si="23"/>
        <v>108000</v>
      </c>
      <c r="Z160" s="3090">
        <v>84</v>
      </c>
      <c r="AA160" s="3091">
        <v>150</v>
      </c>
      <c r="AB160" s="3087">
        <f t="shared" si="32"/>
        <v>12600</v>
      </c>
      <c r="AC160" s="3092"/>
      <c r="AD160" s="3092"/>
      <c r="AE160" s="3093">
        <f t="shared" si="29"/>
        <v>12600</v>
      </c>
      <c r="AF160" s="3094">
        <f t="shared" si="30"/>
        <v>120600</v>
      </c>
    </row>
    <row r="161" spans="1:32" s="3095" customFormat="1" ht="30" customHeight="1">
      <c r="A161" s="3082">
        <v>3</v>
      </c>
      <c r="B161" s="3083" t="s">
        <v>1879</v>
      </c>
      <c r="C161" s="3083" t="s">
        <v>1726</v>
      </c>
      <c r="D161" s="3083" t="s">
        <v>1564</v>
      </c>
      <c r="E161" s="3084" t="s">
        <v>1188</v>
      </c>
      <c r="F161" s="3084" t="s">
        <v>1189</v>
      </c>
      <c r="G161" s="3080" t="s">
        <v>1240</v>
      </c>
      <c r="H161" s="3084" t="s">
        <v>1187</v>
      </c>
      <c r="I161" s="3085"/>
      <c r="J161" s="3085"/>
      <c r="K161" s="3081">
        <v>3</v>
      </c>
      <c r="L161" s="3080"/>
      <c r="M161" s="3086">
        <v>36000</v>
      </c>
      <c r="N161" s="3087">
        <f t="shared" si="31"/>
        <v>0</v>
      </c>
      <c r="O161" s="3080">
        <v>0</v>
      </c>
      <c r="P161" s="3086">
        <v>20000</v>
      </c>
      <c r="Q161" s="3088">
        <f t="shared" si="20"/>
        <v>0</v>
      </c>
      <c r="R161" s="3089">
        <f t="shared" si="21"/>
        <v>0</v>
      </c>
      <c r="S161" s="3080">
        <f t="shared" si="33"/>
        <v>3</v>
      </c>
      <c r="T161" s="3086">
        <v>36000</v>
      </c>
      <c r="U161" s="3088">
        <f t="shared" si="28"/>
        <v>108000</v>
      </c>
      <c r="V161" s="3080">
        <v>0</v>
      </c>
      <c r="W161" s="3086">
        <v>20000</v>
      </c>
      <c r="X161" s="3088">
        <f t="shared" si="22"/>
        <v>0</v>
      </c>
      <c r="Y161" s="3089">
        <f t="shared" si="23"/>
        <v>108000</v>
      </c>
      <c r="Z161" s="3090">
        <v>40</v>
      </c>
      <c r="AA161" s="3091">
        <v>150</v>
      </c>
      <c r="AB161" s="3087">
        <f t="shared" si="32"/>
        <v>6000</v>
      </c>
      <c r="AC161" s="3092"/>
      <c r="AD161" s="3092"/>
      <c r="AE161" s="3093">
        <f t="shared" si="29"/>
        <v>6000</v>
      </c>
      <c r="AF161" s="3094">
        <f t="shared" si="30"/>
        <v>114000</v>
      </c>
    </row>
    <row r="162" spans="1:32" s="3095" customFormat="1" ht="30" customHeight="1">
      <c r="A162" s="3082">
        <v>4</v>
      </c>
      <c r="B162" s="3083" t="s">
        <v>1880</v>
      </c>
      <c r="C162" s="3083" t="s">
        <v>1741</v>
      </c>
      <c r="D162" s="3083" t="s">
        <v>1881</v>
      </c>
      <c r="E162" s="3084" t="s">
        <v>1188</v>
      </c>
      <c r="F162" s="3084" t="s">
        <v>1189</v>
      </c>
      <c r="G162" s="3080" t="s">
        <v>1240</v>
      </c>
      <c r="H162" s="3084" t="s">
        <v>1187</v>
      </c>
      <c r="I162" s="3085"/>
      <c r="J162" s="3085"/>
      <c r="K162" s="3081">
        <v>3</v>
      </c>
      <c r="L162" s="3080"/>
      <c r="M162" s="3086">
        <v>36000</v>
      </c>
      <c r="N162" s="3087">
        <f t="shared" si="31"/>
        <v>0</v>
      </c>
      <c r="O162" s="3080">
        <v>0</v>
      </c>
      <c r="P162" s="3086">
        <v>20000</v>
      </c>
      <c r="Q162" s="3088">
        <f t="shared" si="20"/>
        <v>0</v>
      </c>
      <c r="R162" s="3089">
        <f t="shared" si="21"/>
        <v>0</v>
      </c>
      <c r="S162" s="3080">
        <f t="shared" si="33"/>
        <v>3</v>
      </c>
      <c r="T162" s="3086">
        <v>36000</v>
      </c>
      <c r="U162" s="3088">
        <f t="shared" si="28"/>
        <v>108000</v>
      </c>
      <c r="V162" s="3080">
        <v>0</v>
      </c>
      <c r="W162" s="3086">
        <v>20000</v>
      </c>
      <c r="X162" s="3088">
        <f t="shared" si="22"/>
        <v>0</v>
      </c>
      <c r="Y162" s="3089">
        <f t="shared" si="23"/>
        <v>108000</v>
      </c>
      <c r="Z162" s="3090">
        <v>36</v>
      </c>
      <c r="AA162" s="3091">
        <v>150</v>
      </c>
      <c r="AB162" s="3087">
        <f t="shared" si="32"/>
        <v>5400</v>
      </c>
      <c r="AC162" s="3092"/>
      <c r="AD162" s="3092"/>
      <c r="AE162" s="3093">
        <f t="shared" si="29"/>
        <v>5400</v>
      </c>
      <c r="AF162" s="3094">
        <f t="shared" si="30"/>
        <v>113400</v>
      </c>
    </row>
    <row r="163" spans="1:32" s="3095" customFormat="1" ht="30" customHeight="1">
      <c r="A163" s="3082">
        <v>5</v>
      </c>
      <c r="B163" s="3083" t="s">
        <v>1882</v>
      </c>
      <c r="C163" s="3083" t="s">
        <v>1726</v>
      </c>
      <c r="D163" s="3083" t="s">
        <v>1883</v>
      </c>
      <c r="E163" s="3084" t="s">
        <v>1188</v>
      </c>
      <c r="F163" s="3084" t="s">
        <v>1189</v>
      </c>
      <c r="G163" s="3080" t="s">
        <v>1240</v>
      </c>
      <c r="H163" s="3084" t="s">
        <v>1380</v>
      </c>
      <c r="I163" s="3085"/>
      <c r="J163" s="3085"/>
      <c r="K163" s="3081">
        <v>3</v>
      </c>
      <c r="L163" s="3080"/>
      <c r="M163" s="3086">
        <v>36000</v>
      </c>
      <c r="N163" s="3087">
        <f t="shared" si="31"/>
        <v>0</v>
      </c>
      <c r="O163" s="3080">
        <v>0</v>
      </c>
      <c r="P163" s="3086">
        <v>20000</v>
      </c>
      <c r="Q163" s="3088">
        <f t="shared" si="20"/>
        <v>0</v>
      </c>
      <c r="R163" s="3089">
        <f t="shared" si="21"/>
        <v>0</v>
      </c>
      <c r="S163" s="3080">
        <f t="shared" si="33"/>
        <v>3</v>
      </c>
      <c r="T163" s="3086">
        <v>36000</v>
      </c>
      <c r="U163" s="3088">
        <f t="shared" si="28"/>
        <v>108000</v>
      </c>
      <c r="V163" s="3080">
        <v>0</v>
      </c>
      <c r="W163" s="3086">
        <v>20000</v>
      </c>
      <c r="X163" s="3088">
        <f t="shared" si="22"/>
        <v>0</v>
      </c>
      <c r="Y163" s="3089">
        <f t="shared" si="23"/>
        <v>108000</v>
      </c>
      <c r="Z163" s="3090">
        <v>68</v>
      </c>
      <c r="AA163" s="3091">
        <v>150</v>
      </c>
      <c r="AB163" s="3087">
        <f t="shared" si="32"/>
        <v>10200</v>
      </c>
      <c r="AC163" s="3092"/>
      <c r="AD163" s="3092"/>
      <c r="AE163" s="3093">
        <f t="shared" si="29"/>
        <v>10200</v>
      </c>
      <c r="AF163" s="3094">
        <f t="shared" si="30"/>
        <v>118200</v>
      </c>
    </row>
    <row r="164" spans="1:32" s="3095" customFormat="1" ht="30" customHeight="1">
      <c r="A164" s="3082">
        <v>6</v>
      </c>
      <c r="B164" s="3083" t="s">
        <v>1884</v>
      </c>
      <c r="C164" s="3083" t="s">
        <v>1726</v>
      </c>
      <c r="D164" s="3083" t="s">
        <v>1885</v>
      </c>
      <c r="E164" s="3084" t="s">
        <v>1188</v>
      </c>
      <c r="F164" s="3084" t="s">
        <v>1189</v>
      </c>
      <c r="G164" s="3080" t="s">
        <v>1240</v>
      </c>
      <c r="H164" s="3084" t="s">
        <v>1380</v>
      </c>
      <c r="I164" s="3085"/>
      <c r="J164" s="3085"/>
      <c r="K164" s="3081">
        <v>3</v>
      </c>
      <c r="L164" s="3080"/>
      <c r="M164" s="3086">
        <v>36000</v>
      </c>
      <c r="N164" s="3087">
        <f t="shared" si="31"/>
        <v>0</v>
      </c>
      <c r="O164" s="3080">
        <v>0</v>
      </c>
      <c r="P164" s="3086">
        <v>20000</v>
      </c>
      <c r="Q164" s="3088">
        <f t="shared" si="20"/>
        <v>0</v>
      </c>
      <c r="R164" s="3089">
        <f t="shared" si="21"/>
        <v>0</v>
      </c>
      <c r="S164" s="3080">
        <f t="shared" si="33"/>
        <v>3</v>
      </c>
      <c r="T164" s="3086">
        <v>36000</v>
      </c>
      <c r="U164" s="3088">
        <f t="shared" si="28"/>
        <v>108000</v>
      </c>
      <c r="V164" s="3080">
        <v>0</v>
      </c>
      <c r="W164" s="3086">
        <v>20000</v>
      </c>
      <c r="X164" s="3088">
        <f t="shared" si="22"/>
        <v>0</v>
      </c>
      <c r="Y164" s="3089">
        <f t="shared" si="23"/>
        <v>108000</v>
      </c>
      <c r="Z164" s="3090">
        <v>78</v>
      </c>
      <c r="AA164" s="3091">
        <v>150</v>
      </c>
      <c r="AB164" s="3087">
        <f t="shared" si="32"/>
        <v>11700</v>
      </c>
      <c r="AC164" s="3092"/>
      <c r="AD164" s="3092"/>
      <c r="AE164" s="3093">
        <f t="shared" si="29"/>
        <v>11700</v>
      </c>
      <c r="AF164" s="3094">
        <f t="shared" si="30"/>
        <v>119700</v>
      </c>
    </row>
    <row r="165" spans="1:32" s="3095" customFormat="1" ht="30" customHeight="1">
      <c r="A165" s="3082">
        <v>7</v>
      </c>
      <c r="B165" s="3083" t="s">
        <v>1886</v>
      </c>
      <c r="C165" s="3083" t="s">
        <v>1745</v>
      </c>
      <c r="D165" s="3083" t="s">
        <v>1887</v>
      </c>
      <c r="E165" s="3084" t="s">
        <v>1188</v>
      </c>
      <c r="F165" s="3084" t="s">
        <v>1189</v>
      </c>
      <c r="G165" s="3080" t="s">
        <v>1190</v>
      </c>
      <c r="H165" s="3084" t="s">
        <v>1575</v>
      </c>
      <c r="I165" s="3085"/>
      <c r="J165" s="3085"/>
      <c r="K165" s="3081">
        <v>3</v>
      </c>
      <c r="L165" s="3080"/>
      <c r="M165" s="3086">
        <v>15000</v>
      </c>
      <c r="N165" s="3087">
        <f t="shared" si="31"/>
        <v>0</v>
      </c>
      <c r="O165" s="3080">
        <v>0</v>
      </c>
      <c r="P165" s="3086">
        <v>20000</v>
      </c>
      <c r="Q165" s="3088">
        <f t="shared" si="20"/>
        <v>0</v>
      </c>
      <c r="R165" s="3089">
        <f t="shared" si="21"/>
        <v>0</v>
      </c>
      <c r="S165" s="3080">
        <f t="shared" si="33"/>
        <v>3</v>
      </c>
      <c r="T165" s="3086">
        <v>15000</v>
      </c>
      <c r="U165" s="3088">
        <f t="shared" si="28"/>
        <v>45000</v>
      </c>
      <c r="V165" s="3080">
        <v>0</v>
      </c>
      <c r="W165" s="3086">
        <v>20000</v>
      </c>
      <c r="X165" s="3088">
        <f t="shared" si="22"/>
        <v>0</v>
      </c>
      <c r="Y165" s="3089">
        <f t="shared" si="23"/>
        <v>45000</v>
      </c>
      <c r="Z165" s="3090">
        <v>26</v>
      </c>
      <c r="AA165" s="3091">
        <v>150</v>
      </c>
      <c r="AB165" s="3087">
        <f t="shared" si="32"/>
        <v>3900</v>
      </c>
      <c r="AC165" s="3092"/>
      <c r="AD165" s="3092"/>
      <c r="AE165" s="3093">
        <f t="shared" si="29"/>
        <v>3900</v>
      </c>
      <c r="AF165" s="3094">
        <f t="shared" si="30"/>
        <v>48900</v>
      </c>
    </row>
    <row r="166" spans="1:32" s="3095" customFormat="1" ht="30" customHeight="1">
      <c r="A166" s="3082">
        <v>8</v>
      </c>
      <c r="B166" s="3083" t="s">
        <v>1888</v>
      </c>
      <c r="C166" s="3083" t="s">
        <v>1777</v>
      </c>
      <c r="D166" s="3083" t="s">
        <v>1889</v>
      </c>
      <c r="E166" s="3084" t="s">
        <v>1188</v>
      </c>
      <c r="F166" s="3084" t="s">
        <v>1189</v>
      </c>
      <c r="G166" s="3080" t="s">
        <v>1240</v>
      </c>
      <c r="H166" s="3084" t="s">
        <v>1575</v>
      </c>
      <c r="I166" s="3085"/>
      <c r="J166" s="3085"/>
      <c r="K166" s="3081">
        <v>3</v>
      </c>
      <c r="L166" s="3080"/>
      <c r="M166" s="3086">
        <v>36000</v>
      </c>
      <c r="N166" s="3087">
        <f t="shared" si="31"/>
        <v>0</v>
      </c>
      <c r="O166" s="3080">
        <v>0</v>
      </c>
      <c r="P166" s="3086">
        <v>20000</v>
      </c>
      <c r="Q166" s="3088">
        <f t="shared" si="20"/>
        <v>0</v>
      </c>
      <c r="R166" s="3089">
        <f t="shared" si="21"/>
        <v>0</v>
      </c>
      <c r="S166" s="3080">
        <f t="shared" si="33"/>
        <v>3</v>
      </c>
      <c r="T166" s="3086">
        <v>36000</v>
      </c>
      <c r="U166" s="3088">
        <f t="shared" si="28"/>
        <v>108000</v>
      </c>
      <c r="V166" s="3080">
        <v>0</v>
      </c>
      <c r="W166" s="3086">
        <v>20000</v>
      </c>
      <c r="X166" s="3088">
        <f t="shared" si="22"/>
        <v>0</v>
      </c>
      <c r="Y166" s="3089">
        <f t="shared" si="23"/>
        <v>108000</v>
      </c>
      <c r="Z166" s="3090">
        <v>70</v>
      </c>
      <c r="AA166" s="3091">
        <v>150</v>
      </c>
      <c r="AB166" s="3087">
        <f t="shared" si="32"/>
        <v>10500</v>
      </c>
      <c r="AC166" s="3092"/>
      <c r="AD166" s="3092"/>
      <c r="AE166" s="3093">
        <f t="shared" si="29"/>
        <v>10500</v>
      </c>
      <c r="AF166" s="3094">
        <f t="shared" si="30"/>
        <v>118500</v>
      </c>
    </row>
    <row r="167" spans="1:32" s="3095" customFormat="1" ht="30" customHeight="1">
      <c r="A167" s="3082">
        <v>9</v>
      </c>
      <c r="B167" s="3083" t="s">
        <v>1579</v>
      </c>
      <c r="C167" s="3083" t="s">
        <v>1890</v>
      </c>
      <c r="D167" s="3083" t="s">
        <v>1578</v>
      </c>
      <c r="E167" s="3084" t="s">
        <v>1188</v>
      </c>
      <c r="F167" s="3084" t="s">
        <v>1189</v>
      </c>
      <c r="G167" s="3080" t="s">
        <v>1190</v>
      </c>
      <c r="H167" s="3084" t="s">
        <v>1575</v>
      </c>
      <c r="I167" s="3085"/>
      <c r="J167" s="3085"/>
      <c r="K167" s="3081">
        <v>3</v>
      </c>
      <c r="L167" s="3080"/>
      <c r="M167" s="3086">
        <v>15000</v>
      </c>
      <c r="N167" s="3087">
        <f t="shared" si="31"/>
        <v>0</v>
      </c>
      <c r="O167" s="3080">
        <v>0</v>
      </c>
      <c r="P167" s="3086">
        <v>20000</v>
      </c>
      <c r="Q167" s="3088">
        <f t="shared" ref="Q167:Q183" si="34">P167*O167</f>
        <v>0</v>
      </c>
      <c r="R167" s="3089">
        <f t="shared" ref="R167:R183" si="35">N167+Q167</f>
        <v>0</v>
      </c>
      <c r="S167" s="3080">
        <f t="shared" si="33"/>
        <v>3</v>
      </c>
      <c r="T167" s="3086">
        <v>15000</v>
      </c>
      <c r="U167" s="3088">
        <f t="shared" si="28"/>
        <v>45000</v>
      </c>
      <c r="V167" s="3080">
        <v>0</v>
      </c>
      <c r="W167" s="3086">
        <v>20000</v>
      </c>
      <c r="X167" s="3088">
        <f t="shared" ref="X167:X183" si="36">V167*W167</f>
        <v>0</v>
      </c>
      <c r="Y167" s="3089">
        <f t="shared" ref="Y167:Y183" si="37">U167+X167</f>
        <v>45000</v>
      </c>
      <c r="Z167" s="3090">
        <v>14</v>
      </c>
      <c r="AA167" s="3091">
        <v>150</v>
      </c>
      <c r="AB167" s="3087">
        <f t="shared" si="32"/>
        <v>2100</v>
      </c>
      <c r="AC167" s="3092"/>
      <c r="AD167" s="3092"/>
      <c r="AE167" s="3093">
        <f t="shared" si="29"/>
        <v>2100</v>
      </c>
      <c r="AF167" s="3094">
        <f t="shared" si="30"/>
        <v>47100</v>
      </c>
    </row>
    <row r="168" spans="1:32" s="3095" customFormat="1" ht="30" customHeight="1">
      <c r="A168" s="3082">
        <v>10</v>
      </c>
      <c r="B168" s="3083" t="s">
        <v>1891</v>
      </c>
      <c r="C168" s="3083" t="s">
        <v>1728</v>
      </c>
      <c r="D168" s="3083" t="s">
        <v>1585</v>
      </c>
      <c r="E168" s="3084" t="s">
        <v>1188</v>
      </c>
      <c r="F168" s="3084" t="s">
        <v>1189</v>
      </c>
      <c r="G168" s="3080" t="s">
        <v>1240</v>
      </c>
      <c r="H168" s="3084" t="s">
        <v>1575</v>
      </c>
      <c r="I168" s="3085"/>
      <c r="J168" s="3085"/>
      <c r="K168" s="3081">
        <v>3</v>
      </c>
      <c r="L168" s="3080"/>
      <c r="M168" s="3086">
        <v>36000</v>
      </c>
      <c r="N168" s="3087">
        <f t="shared" si="31"/>
        <v>0</v>
      </c>
      <c r="O168" s="3080">
        <v>0</v>
      </c>
      <c r="P168" s="3086">
        <v>20000</v>
      </c>
      <c r="Q168" s="3088">
        <f t="shared" si="34"/>
        <v>0</v>
      </c>
      <c r="R168" s="3089">
        <f t="shared" si="35"/>
        <v>0</v>
      </c>
      <c r="S168" s="3080">
        <f t="shared" si="33"/>
        <v>3</v>
      </c>
      <c r="T168" s="3086">
        <v>36000</v>
      </c>
      <c r="U168" s="3088">
        <f t="shared" si="28"/>
        <v>108000</v>
      </c>
      <c r="V168" s="3080">
        <v>0</v>
      </c>
      <c r="W168" s="3086">
        <v>20000</v>
      </c>
      <c r="X168" s="3088">
        <f t="shared" si="36"/>
        <v>0</v>
      </c>
      <c r="Y168" s="3089">
        <f t="shared" si="37"/>
        <v>108000</v>
      </c>
      <c r="Z168" s="3090">
        <v>56</v>
      </c>
      <c r="AA168" s="3091">
        <v>150</v>
      </c>
      <c r="AB168" s="3087">
        <f t="shared" si="32"/>
        <v>8400</v>
      </c>
      <c r="AC168" s="3092"/>
      <c r="AD168" s="3092"/>
      <c r="AE168" s="3093">
        <f t="shared" si="29"/>
        <v>8400</v>
      </c>
      <c r="AF168" s="3094">
        <f t="shared" si="30"/>
        <v>116400</v>
      </c>
    </row>
    <row r="169" spans="1:32" s="3095" customFormat="1" ht="30" customHeight="1">
      <c r="A169" s="3082">
        <v>11</v>
      </c>
      <c r="B169" s="3083" t="s">
        <v>1892</v>
      </c>
      <c r="C169" s="3083" t="s">
        <v>1728</v>
      </c>
      <c r="D169" s="3083" t="s">
        <v>1893</v>
      </c>
      <c r="E169" s="3084" t="s">
        <v>1188</v>
      </c>
      <c r="F169" s="3084" t="s">
        <v>1189</v>
      </c>
      <c r="G169" s="3080" t="s">
        <v>1240</v>
      </c>
      <c r="H169" s="3084" t="s">
        <v>1575</v>
      </c>
      <c r="I169" s="3085"/>
      <c r="J169" s="3085"/>
      <c r="K169" s="3081">
        <v>3</v>
      </c>
      <c r="L169" s="3080"/>
      <c r="M169" s="3086">
        <v>36000</v>
      </c>
      <c r="N169" s="3087">
        <f t="shared" si="31"/>
        <v>0</v>
      </c>
      <c r="O169" s="3080">
        <v>0</v>
      </c>
      <c r="P169" s="3086">
        <v>20000</v>
      </c>
      <c r="Q169" s="3088">
        <f t="shared" si="34"/>
        <v>0</v>
      </c>
      <c r="R169" s="3089">
        <f t="shared" si="35"/>
        <v>0</v>
      </c>
      <c r="S169" s="3080">
        <f t="shared" si="33"/>
        <v>3</v>
      </c>
      <c r="T169" s="3086">
        <v>36000</v>
      </c>
      <c r="U169" s="3088">
        <f t="shared" si="28"/>
        <v>108000</v>
      </c>
      <c r="V169" s="3080">
        <v>0</v>
      </c>
      <c r="W169" s="3086">
        <v>20000</v>
      </c>
      <c r="X169" s="3088">
        <f t="shared" si="36"/>
        <v>0</v>
      </c>
      <c r="Y169" s="3089">
        <f t="shared" si="37"/>
        <v>108000</v>
      </c>
      <c r="Z169" s="3090">
        <v>34</v>
      </c>
      <c r="AA169" s="3091">
        <v>150</v>
      </c>
      <c r="AB169" s="3087">
        <f t="shared" si="32"/>
        <v>5100</v>
      </c>
      <c r="AC169" s="3092"/>
      <c r="AD169" s="3092"/>
      <c r="AE169" s="3093">
        <f t="shared" si="29"/>
        <v>5100</v>
      </c>
      <c r="AF169" s="3094">
        <f t="shared" si="30"/>
        <v>113100</v>
      </c>
    </row>
    <row r="170" spans="1:32" s="3095" customFormat="1" ht="30" customHeight="1">
      <c r="A170" s="3082">
        <v>12</v>
      </c>
      <c r="B170" s="3083" t="s">
        <v>1894</v>
      </c>
      <c r="C170" s="3083" t="s">
        <v>1745</v>
      </c>
      <c r="D170" s="3083" t="s">
        <v>1895</v>
      </c>
      <c r="E170" s="3084" t="s">
        <v>1188</v>
      </c>
      <c r="F170" s="3084" t="s">
        <v>1189</v>
      </c>
      <c r="G170" s="3080" t="s">
        <v>1240</v>
      </c>
      <c r="H170" s="3084" t="s">
        <v>1575</v>
      </c>
      <c r="I170" s="3085"/>
      <c r="J170" s="3085"/>
      <c r="K170" s="3081">
        <v>3</v>
      </c>
      <c r="L170" s="3080"/>
      <c r="M170" s="3086">
        <v>36000</v>
      </c>
      <c r="N170" s="3087">
        <f t="shared" si="31"/>
        <v>0</v>
      </c>
      <c r="O170" s="3080">
        <v>0</v>
      </c>
      <c r="P170" s="3086">
        <v>20000</v>
      </c>
      <c r="Q170" s="3088">
        <f t="shared" si="34"/>
        <v>0</v>
      </c>
      <c r="R170" s="3089">
        <f t="shared" si="35"/>
        <v>0</v>
      </c>
      <c r="S170" s="3080">
        <f t="shared" si="33"/>
        <v>3</v>
      </c>
      <c r="T170" s="3086">
        <v>36000</v>
      </c>
      <c r="U170" s="3088">
        <f t="shared" si="28"/>
        <v>108000</v>
      </c>
      <c r="V170" s="3080">
        <v>0</v>
      </c>
      <c r="W170" s="3086">
        <v>20000</v>
      </c>
      <c r="X170" s="3088">
        <f t="shared" si="36"/>
        <v>0</v>
      </c>
      <c r="Y170" s="3089">
        <f t="shared" si="37"/>
        <v>108000</v>
      </c>
      <c r="Z170" s="3090">
        <v>42</v>
      </c>
      <c r="AA170" s="3091">
        <v>150</v>
      </c>
      <c r="AB170" s="3087">
        <f t="shared" si="32"/>
        <v>6300</v>
      </c>
      <c r="AC170" s="3092"/>
      <c r="AD170" s="3092"/>
      <c r="AE170" s="3093">
        <f t="shared" si="29"/>
        <v>6300</v>
      </c>
      <c r="AF170" s="3094">
        <f t="shared" si="30"/>
        <v>114300</v>
      </c>
    </row>
    <row r="171" spans="1:32" s="3095" customFormat="1" ht="30" customHeight="1">
      <c r="A171" s="3082">
        <v>1</v>
      </c>
      <c r="B171" s="3083" t="s">
        <v>1581</v>
      </c>
      <c r="C171" s="3083" t="s">
        <v>1745</v>
      </c>
      <c r="D171" s="3083" t="s">
        <v>1582</v>
      </c>
      <c r="E171" s="3084" t="s">
        <v>1188</v>
      </c>
      <c r="F171" s="3084" t="s">
        <v>1189</v>
      </c>
      <c r="G171" s="3080" t="s">
        <v>1240</v>
      </c>
      <c r="H171" s="3084" t="s">
        <v>1575</v>
      </c>
      <c r="I171" s="3085"/>
      <c r="J171" s="3085"/>
      <c r="K171" s="3081">
        <v>3</v>
      </c>
      <c r="L171" s="3080"/>
      <c r="M171" s="3086">
        <v>36000</v>
      </c>
      <c r="N171" s="3087">
        <f t="shared" si="31"/>
        <v>0</v>
      </c>
      <c r="O171" s="3080">
        <v>0</v>
      </c>
      <c r="P171" s="3086">
        <v>20000</v>
      </c>
      <c r="Q171" s="3088">
        <f t="shared" si="34"/>
        <v>0</v>
      </c>
      <c r="R171" s="3089">
        <f t="shared" si="35"/>
        <v>0</v>
      </c>
      <c r="S171" s="3080">
        <f>+K171</f>
        <v>3</v>
      </c>
      <c r="T171" s="3086">
        <v>36000</v>
      </c>
      <c r="U171" s="3088">
        <f t="shared" si="28"/>
        <v>108000</v>
      </c>
      <c r="V171" s="3080">
        <v>0</v>
      </c>
      <c r="W171" s="3086">
        <v>20000</v>
      </c>
      <c r="X171" s="3088">
        <f t="shared" si="36"/>
        <v>0</v>
      </c>
      <c r="Y171" s="3089">
        <f t="shared" si="37"/>
        <v>108000</v>
      </c>
      <c r="Z171" s="3090">
        <v>60</v>
      </c>
      <c r="AA171" s="3091">
        <v>150</v>
      </c>
      <c r="AB171" s="3087">
        <f t="shared" si="32"/>
        <v>9000</v>
      </c>
      <c r="AC171" s="3092"/>
      <c r="AD171" s="3092"/>
      <c r="AE171" s="3093">
        <f t="shared" si="29"/>
        <v>9000</v>
      </c>
      <c r="AF171" s="3094">
        <f t="shared" si="30"/>
        <v>117000</v>
      </c>
    </row>
    <row r="172" spans="1:32" s="3095" customFormat="1" ht="30" customHeight="1">
      <c r="A172" s="3082">
        <v>2</v>
      </c>
      <c r="B172" s="3083" t="s">
        <v>1896</v>
      </c>
      <c r="C172" s="3083" t="s">
        <v>1726</v>
      </c>
      <c r="D172" s="3083" t="s">
        <v>1897</v>
      </c>
      <c r="E172" s="3084" t="s">
        <v>1188</v>
      </c>
      <c r="F172" s="3084" t="s">
        <v>1189</v>
      </c>
      <c r="G172" s="3080" t="s">
        <v>1190</v>
      </c>
      <c r="H172" s="3084" t="s">
        <v>1575</v>
      </c>
      <c r="I172" s="3085"/>
      <c r="J172" s="3085"/>
      <c r="K172" s="3081">
        <v>3</v>
      </c>
      <c r="L172" s="3080"/>
      <c r="M172" s="3086">
        <v>15000</v>
      </c>
      <c r="N172" s="3087">
        <f t="shared" si="31"/>
        <v>0</v>
      </c>
      <c r="O172" s="3080">
        <v>0</v>
      </c>
      <c r="P172" s="3086">
        <v>20000</v>
      </c>
      <c r="Q172" s="3088">
        <f t="shared" si="34"/>
        <v>0</v>
      </c>
      <c r="R172" s="3089">
        <f t="shared" si="35"/>
        <v>0</v>
      </c>
      <c r="S172" s="3080">
        <f t="shared" ref="S172:S182" si="38">+K172</f>
        <v>3</v>
      </c>
      <c r="T172" s="3086">
        <v>15000</v>
      </c>
      <c r="U172" s="3088">
        <f t="shared" si="28"/>
        <v>45000</v>
      </c>
      <c r="V172" s="3080">
        <v>0</v>
      </c>
      <c r="W172" s="3086">
        <v>20000</v>
      </c>
      <c r="X172" s="3088">
        <f t="shared" si="36"/>
        <v>0</v>
      </c>
      <c r="Y172" s="3089">
        <f t="shared" si="37"/>
        <v>45000</v>
      </c>
      <c r="Z172" s="3090">
        <v>10</v>
      </c>
      <c r="AA172" s="3091">
        <v>150</v>
      </c>
      <c r="AB172" s="3087">
        <f t="shared" si="32"/>
        <v>1500</v>
      </c>
      <c r="AC172" s="3092"/>
      <c r="AD172" s="3092"/>
      <c r="AE172" s="3093">
        <f t="shared" si="29"/>
        <v>1500</v>
      </c>
      <c r="AF172" s="3094">
        <f t="shared" si="30"/>
        <v>46500</v>
      </c>
    </row>
    <row r="173" spans="1:32" s="3095" customFormat="1" ht="30" customHeight="1">
      <c r="A173" s="3082">
        <v>3</v>
      </c>
      <c r="B173" s="3083" t="s">
        <v>1898</v>
      </c>
      <c r="C173" s="3083" t="s">
        <v>1741</v>
      </c>
      <c r="D173" s="3083" t="s">
        <v>1899</v>
      </c>
      <c r="E173" s="3084" t="s">
        <v>1188</v>
      </c>
      <c r="F173" s="3084" t="s">
        <v>1189</v>
      </c>
      <c r="G173" s="3080" t="s">
        <v>1240</v>
      </c>
      <c r="H173" s="3084" t="s">
        <v>1575</v>
      </c>
      <c r="I173" s="3085"/>
      <c r="J173" s="3085"/>
      <c r="K173" s="3081">
        <v>3</v>
      </c>
      <c r="L173" s="3080"/>
      <c r="M173" s="3086">
        <v>36000</v>
      </c>
      <c r="N173" s="3087">
        <f t="shared" si="31"/>
        <v>0</v>
      </c>
      <c r="O173" s="3080">
        <v>0</v>
      </c>
      <c r="P173" s="3086">
        <v>20000</v>
      </c>
      <c r="Q173" s="3088">
        <f t="shared" si="34"/>
        <v>0</v>
      </c>
      <c r="R173" s="3089">
        <f t="shared" si="35"/>
        <v>0</v>
      </c>
      <c r="S173" s="3080">
        <f t="shared" si="38"/>
        <v>3</v>
      </c>
      <c r="T173" s="3086">
        <v>36000</v>
      </c>
      <c r="U173" s="3088">
        <f t="shared" si="28"/>
        <v>108000</v>
      </c>
      <c r="V173" s="3080">
        <v>0</v>
      </c>
      <c r="W173" s="3086">
        <v>20000</v>
      </c>
      <c r="X173" s="3088">
        <f t="shared" si="36"/>
        <v>0</v>
      </c>
      <c r="Y173" s="3089">
        <f t="shared" si="37"/>
        <v>108000</v>
      </c>
      <c r="Z173" s="3090">
        <v>48</v>
      </c>
      <c r="AA173" s="3091">
        <v>150</v>
      </c>
      <c r="AB173" s="3087">
        <f t="shared" si="32"/>
        <v>7200</v>
      </c>
      <c r="AC173" s="3092"/>
      <c r="AD173" s="3092"/>
      <c r="AE173" s="3093">
        <f t="shared" si="29"/>
        <v>7200</v>
      </c>
      <c r="AF173" s="3094">
        <f t="shared" si="30"/>
        <v>115200</v>
      </c>
    </row>
    <row r="174" spans="1:32" s="3095" customFormat="1" ht="30" customHeight="1">
      <c r="A174" s="3082">
        <v>4</v>
      </c>
      <c r="B174" s="3083" t="s">
        <v>1590</v>
      </c>
      <c r="C174" s="3083" t="s">
        <v>1777</v>
      </c>
      <c r="D174" s="3083" t="s">
        <v>1592</v>
      </c>
      <c r="E174" s="3084" t="s">
        <v>1188</v>
      </c>
      <c r="F174" s="3084" t="s">
        <v>1189</v>
      </c>
      <c r="G174" s="3080" t="s">
        <v>1240</v>
      </c>
      <c r="H174" s="3084" t="s">
        <v>1575</v>
      </c>
      <c r="I174" s="3085"/>
      <c r="J174" s="3085"/>
      <c r="K174" s="3081">
        <v>3</v>
      </c>
      <c r="L174" s="3080"/>
      <c r="M174" s="3086">
        <v>36000</v>
      </c>
      <c r="N174" s="3087">
        <f t="shared" si="31"/>
        <v>0</v>
      </c>
      <c r="O174" s="3080">
        <v>0</v>
      </c>
      <c r="P174" s="3086">
        <v>20000</v>
      </c>
      <c r="Q174" s="3088">
        <f t="shared" si="34"/>
        <v>0</v>
      </c>
      <c r="R174" s="3089">
        <f t="shared" si="35"/>
        <v>0</v>
      </c>
      <c r="S174" s="3080">
        <f t="shared" si="38"/>
        <v>3</v>
      </c>
      <c r="T174" s="3086">
        <v>36000</v>
      </c>
      <c r="U174" s="3088">
        <f t="shared" si="28"/>
        <v>108000</v>
      </c>
      <c r="V174" s="3080">
        <v>0</v>
      </c>
      <c r="W174" s="3086">
        <v>20000</v>
      </c>
      <c r="X174" s="3088">
        <f t="shared" si="36"/>
        <v>0</v>
      </c>
      <c r="Y174" s="3089">
        <f t="shared" si="37"/>
        <v>108000</v>
      </c>
      <c r="Z174" s="3090">
        <v>70</v>
      </c>
      <c r="AA174" s="3091">
        <v>150</v>
      </c>
      <c r="AB174" s="3087">
        <f t="shared" si="32"/>
        <v>10500</v>
      </c>
      <c r="AC174" s="3092"/>
      <c r="AD174" s="3092"/>
      <c r="AE174" s="3093">
        <f t="shared" si="29"/>
        <v>10500</v>
      </c>
      <c r="AF174" s="3094">
        <f t="shared" si="30"/>
        <v>118500</v>
      </c>
    </row>
    <row r="175" spans="1:32" s="3095" customFormat="1" ht="30" customHeight="1">
      <c r="A175" s="3082">
        <v>5</v>
      </c>
      <c r="B175" s="3083" t="s">
        <v>1900</v>
      </c>
      <c r="C175" s="3083" t="s">
        <v>1741</v>
      </c>
      <c r="D175" s="3083" t="s">
        <v>1901</v>
      </c>
      <c r="E175" s="3084" t="s">
        <v>1188</v>
      </c>
      <c r="F175" s="3084" t="s">
        <v>1189</v>
      </c>
      <c r="G175" s="3080" t="s">
        <v>1190</v>
      </c>
      <c r="H175" s="3084" t="s">
        <v>1575</v>
      </c>
      <c r="I175" s="3085"/>
      <c r="J175" s="3085"/>
      <c r="K175" s="3081">
        <v>3</v>
      </c>
      <c r="L175" s="3080"/>
      <c r="M175" s="3086">
        <v>15000</v>
      </c>
      <c r="N175" s="3087">
        <f t="shared" si="31"/>
        <v>0</v>
      </c>
      <c r="O175" s="3080">
        <v>0</v>
      </c>
      <c r="P175" s="3086">
        <v>20000</v>
      </c>
      <c r="Q175" s="3088">
        <f t="shared" si="34"/>
        <v>0</v>
      </c>
      <c r="R175" s="3089">
        <f t="shared" si="35"/>
        <v>0</v>
      </c>
      <c r="S175" s="3080">
        <f t="shared" si="38"/>
        <v>3</v>
      </c>
      <c r="T175" s="3086">
        <v>15000</v>
      </c>
      <c r="U175" s="3088">
        <f t="shared" si="28"/>
        <v>45000</v>
      </c>
      <c r="V175" s="3080">
        <v>0</v>
      </c>
      <c r="W175" s="3086">
        <v>20000</v>
      </c>
      <c r="X175" s="3088">
        <f t="shared" si="36"/>
        <v>0</v>
      </c>
      <c r="Y175" s="3089">
        <f t="shared" si="37"/>
        <v>45000</v>
      </c>
      <c r="Z175" s="3090">
        <v>16</v>
      </c>
      <c r="AA175" s="3091">
        <v>150</v>
      </c>
      <c r="AB175" s="3087">
        <f t="shared" si="32"/>
        <v>2400</v>
      </c>
      <c r="AC175" s="3092"/>
      <c r="AD175" s="3092"/>
      <c r="AE175" s="3093">
        <f t="shared" si="29"/>
        <v>2400</v>
      </c>
      <c r="AF175" s="3094">
        <f t="shared" si="30"/>
        <v>47400</v>
      </c>
    </row>
    <row r="176" spans="1:32" s="3095" customFormat="1" ht="30" customHeight="1">
      <c r="A176" s="3082">
        <v>6</v>
      </c>
      <c r="B176" s="3083" t="s">
        <v>1902</v>
      </c>
      <c r="C176" s="3083" t="s">
        <v>1728</v>
      </c>
      <c r="D176" s="3083" t="s">
        <v>1903</v>
      </c>
      <c r="E176" s="3084" t="s">
        <v>1188</v>
      </c>
      <c r="F176" s="3084" t="s">
        <v>1189</v>
      </c>
      <c r="G176" s="3080" t="s">
        <v>1190</v>
      </c>
      <c r="H176" s="3084" t="s">
        <v>1575</v>
      </c>
      <c r="I176" s="3085"/>
      <c r="J176" s="3085"/>
      <c r="K176" s="3081">
        <v>3</v>
      </c>
      <c r="L176" s="3080"/>
      <c r="M176" s="3086">
        <v>15000</v>
      </c>
      <c r="N176" s="3087">
        <f t="shared" si="31"/>
        <v>0</v>
      </c>
      <c r="O176" s="3080">
        <v>0</v>
      </c>
      <c r="P176" s="3086">
        <v>20000</v>
      </c>
      <c r="Q176" s="3088">
        <f t="shared" si="34"/>
        <v>0</v>
      </c>
      <c r="R176" s="3089">
        <f t="shared" si="35"/>
        <v>0</v>
      </c>
      <c r="S176" s="3080">
        <f t="shared" si="38"/>
        <v>3</v>
      </c>
      <c r="T176" s="3086">
        <v>15000</v>
      </c>
      <c r="U176" s="3088">
        <f t="shared" si="28"/>
        <v>45000</v>
      </c>
      <c r="V176" s="3080">
        <v>0</v>
      </c>
      <c r="W176" s="3086">
        <v>20000</v>
      </c>
      <c r="X176" s="3088">
        <f t="shared" si="36"/>
        <v>0</v>
      </c>
      <c r="Y176" s="3089">
        <f t="shared" si="37"/>
        <v>45000</v>
      </c>
      <c r="Z176" s="3090">
        <v>10</v>
      </c>
      <c r="AA176" s="3091">
        <v>150</v>
      </c>
      <c r="AB176" s="3087">
        <f t="shared" si="32"/>
        <v>1500</v>
      </c>
      <c r="AC176" s="3092"/>
      <c r="AD176" s="3092"/>
      <c r="AE176" s="3093">
        <f t="shared" si="29"/>
        <v>1500</v>
      </c>
      <c r="AF176" s="3094">
        <f t="shared" si="30"/>
        <v>46500</v>
      </c>
    </row>
    <row r="177" spans="1:33" s="3095" customFormat="1" ht="30" customHeight="1">
      <c r="A177" s="3082">
        <v>7</v>
      </c>
      <c r="B177" s="3083" t="s">
        <v>1595</v>
      </c>
      <c r="C177" s="3083" t="s">
        <v>1741</v>
      </c>
      <c r="D177" s="3083" t="s">
        <v>1596</v>
      </c>
      <c r="E177" s="3084" t="s">
        <v>1188</v>
      </c>
      <c r="F177" s="3084" t="s">
        <v>1189</v>
      </c>
      <c r="G177" s="3080" t="s">
        <v>1240</v>
      </c>
      <c r="H177" s="3084" t="s">
        <v>1575</v>
      </c>
      <c r="I177" s="3085"/>
      <c r="J177" s="3085"/>
      <c r="K177" s="3081">
        <v>3</v>
      </c>
      <c r="L177" s="3080"/>
      <c r="M177" s="3086">
        <v>36000</v>
      </c>
      <c r="N177" s="3087">
        <f t="shared" si="31"/>
        <v>0</v>
      </c>
      <c r="O177" s="3080">
        <v>0</v>
      </c>
      <c r="P177" s="3086">
        <v>20000</v>
      </c>
      <c r="Q177" s="3088">
        <f t="shared" si="34"/>
        <v>0</v>
      </c>
      <c r="R177" s="3089">
        <f t="shared" si="35"/>
        <v>0</v>
      </c>
      <c r="S177" s="3080">
        <f t="shared" si="38"/>
        <v>3</v>
      </c>
      <c r="T177" s="3086">
        <v>36000</v>
      </c>
      <c r="U177" s="3088">
        <f t="shared" si="28"/>
        <v>108000</v>
      </c>
      <c r="V177" s="3080">
        <v>0</v>
      </c>
      <c r="W177" s="3086">
        <v>20000</v>
      </c>
      <c r="X177" s="3088">
        <f t="shared" si="36"/>
        <v>0</v>
      </c>
      <c r="Y177" s="3089">
        <f t="shared" si="37"/>
        <v>108000</v>
      </c>
      <c r="Z177" s="3090">
        <v>40</v>
      </c>
      <c r="AA177" s="3091">
        <v>150</v>
      </c>
      <c r="AB177" s="3087">
        <f t="shared" si="32"/>
        <v>6000</v>
      </c>
      <c r="AC177" s="3092"/>
      <c r="AD177" s="3092"/>
      <c r="AE177" s="3093">
        <f t="shared" si="29"/>
        <v>6000</v>
      </c>
      <c r="AF177" s="3094">
        <f t="shared" si="30"/>
        <v>114000</v>
      </c>
    </row>
    <row r="178" spans="1:33" s="3095" customFormat="1" ht="30" customHeight="1">
      <c r="A178" s="3082">
        <v>8</v>
      </c>
      <c r="B178" s="3083" t="s">
        <v>1588</v>
      </c>
      <c r="C178" s="3083" t="s">
        <v>1741</v>
      </c>
      <c r="D178" s="3083" t="s">
        <v>1589</v>
      </c>
      <c r="E178" s="3084" t="s">
        <v>1188</v>
      </c>
      <c r="F178" s="3084" t="s">
        <v>1189</v>
      </c>
      <c r="G178" s="3080" t="s">
        <v>1190</v>
      </c>
      <c r="H178" s="3084" t="s">
        <v>1575</v>
      </c>
      <c r="I178" s="3085"/>
      <c r="J178" s="3085"/>
      <c r="K178" s="3081">
        <v>3</v>
      </c>
      <c r="L178" s="3080"/>
      <c r="M178" s="3086">
        <v>15000</v>
      </c>
      <c r="N178" s="3087">
        <f t="shared" si="31"/>
        <v>0</v>
      </c>
      <c r="O178" s="3080">
        <v>0</v>
      </c>
      <c r="P178" s="3086">
        <v>20000</v>
      </c>
      <c r="Q178" s="3088">
        <f t="shared" si="34"/>
        <v>0</v>
      </c>
      <c r="R178" s="3089">
        <f t="shared" si="35"/>
        <v>0</v>
      </c>
      <c r="S178" s="3080">
        <f t="shared" si="38"/>
        <v>3</v>
      </c>
      <c r="T178" s="3086">
        <v>15000</v>
      </c>
      <c r="U178" s="3088">
        <f t="shared" si="28"/>
        <v>45000</v>
      </c>
      <c r="V178" s="3080">
        <v>0</v>
      </c>
      <c r="W178" s="3086">
        <v>20000</v>
      </c>
      <c r="X178" s="3088">
        <f t="shared" si="36"/>
        <v>0</v>
      </c>
      <c r="Y178" s="3089">
        <f t="shared" si="37"/>
        <v>45000</v>
      </c>
      <c r="Z178" s="3090">
        <v>20</v>
      </c>
      <c r="AA178" s="3091">
        <v>150</v>
      </c>
      <c r="AB178" s="3087">
        <f t="shared" si="32"/>
        <v>3000</v>
      </c>
      <c r="AC178" s="3092"/>
      <c r="AD178" s="3092"/>
      <c r="AE178" s="3093">
        <f t="shared" si="29"/>
        <v>3000</v>
      </c>
      <c r="AF178" s="3094">
        <f t="shared" si="30"/>
        <v>48000</v>
      </c>
    </row>
    <row r="179" spans="1:33" s="3095" customFormat="1" ht="30" customHeight="1">
      <c r="A179" s="3082">
        <v>9</v>
      </c>
      <c r="B179" s="3083" t="s">
        <v>1603</v>
      </c>
      <c r="C179" s="3083" t="s">
        <v>1755</v>
      </c>
      <c r="D179" s="3083" t="s">
        <v>1605</v>
      </c>
      <c r="E179" s="3084" t="s">
        <v>1188</v>
      </c>
      <c r="F179" s="3084" t="s">
        <v>1189</v>
      </c>
      <c r="G179" s="3080" t="s">
        <v>1240</v>
      </c>
      <c r="H179" s="3084" t="s">
        <v>1380</v>
      </c>
      <c r="I179" s="3085"/>
      <c r="J179" s="3085"/>
      <c r="K179" s="3081">
        <v>3</v>
      </c>
      <c r="L179" s="3080"/>
      <c r="M179" s="3086">
        <v>36000</v>
      </c>
      <c r="N179" s="3087">
        <f t="shared" si="31"/>
        <v>0</v>
      </c>
      <c r="O179" s="3080">
        <v>0</v>
      </c>
      <c r="P179" s="3086">
        <v>20000</v>
      </c>
      <c r="Q179" s="3088">
        <f t="shared" si="34"/>
        <v>0</v>
      </c>
      <c r="R179" s="3089">
        <f t="shared" si="35"/>
        <v>0</v>
      </c>
      <c r="S179" s="3080">
        <f t="shared" si="38"/>
        <v>3</v>
      </c>
      <c r="T179" s="3086">
        <v>36000</v>
      </c>
      <c r="U179" s="3088">
        <f t="shared" si="28"/>
        <v>108000</v>
      </c>
      <c r="V179" s="3080">
        <v>0</v>
      </c>
      <c r="W179" s="3086">
        <v>20000</v>
      </c>
      <c r="X179" s="3088">
        <f t="shared" si="36"/>
        <v>0</v>
      </c>
      <c r="Y179" s="3089">
        <f t="shared" si="37"/>
        <v>108000</v>
      </c>
      <c r="Z179" s="3090">
        <v>40</v>
      </c>
      <c r="AA179" s="3091">
        <v>150</v>
      </c>
      <c r="AB179" s="3087">
        <f t="shared" si="32"/>
        <v>6000</v>
      </c>
      <c r="AC179" s="3092"/>
      <c r="AD179" s="3092"/>
      <c r="AE179" s="3093">
        <f t="shared" si="29"/>
        <v>6000</v>
      </c>
      <c r="AF179" s="3094">
        <f t="shared" si="30"/>
        <v>114000</v>
      </c>
      <c r="AG179" s="3095">
        <v>1</v>
      </c>
    </row>
    <row r="180" spans="1:33" s="3095" customFormat="1" ht="30" customHeight="1">
      <c r="A180" s="3082">
        <v>10</v>
      </c>
      <c r="B180" s="3083" t="s">
        <v>1904</v>
      </c>
      <c r="C180" s="3083" t="s">
        <v>1745</v>
      </c>
      <c r="D180" s="3083" t="s">
        <v>1905</v>
      </c>
      <c r="E180" s="3084" t="s">
        <v>1188</v>
      </c>
      <c r="F180" s="3084" t="s">
        <v>1189</v>
      </c>
      <c r="G180" s="3080" t="s">
        <v>1240</v>
      </c>
      <c r="H180" s="3084" t="s">
        <v>1380</v>
      </c>
      <c r="I180" s="3085"/>
      <c r="J180" s="3085"/>
      <c r="K180" s="3081">
        <v>3</v>
      </c>
      <c r="L180" s="3080"/>
      <c r="M180" s="3086">
        <v>36000</v>
      </c>
      <c r="N180" s="3087">
        <f t="shared" si="31"/>
        <v>0</v>
      </c>
      <c r="O180" s="3080">
        <v>0</v>
      </c>
      <c r="P180" s="3086">
        <v>20000</v>
      </c>
      <c r="Q180" s="3088">
        <f t="shared" si="34"/>
        <v>0</v>
      </c>
      <c r="R180" s="3089">
        <f t="shared" si="35"/>
        <v>0</v>
      </c>
      <c r="S180" s="3080">
        <f t="shared" si="38"/>
        <v>3</v>
      </c>
      <c r="T180" s="3086">
        <v>36000</v>
      </c>
      <c r="U180" s="3088">
        <f t="shared" si="28"/>
        <v>108000</v>
      </c>
      <c r="V180" s="3080">
        <v>0</v>
      </c>
      <c r="W180" s="3086">
        <v>20000</v>
      </c>
      <c r="X180" s="3088">
        <f t="shared" si="36"/>
        <v>0</v>
      </c>
      <c r="Y180" s="3089">
        <f t="shared" si="37"/>
        <v>108000</v>
      </c>
      <c r="Z180" s="3090">
        <v>56</v>
      </c>
      <c r="AA180" s="3091">
        <v>150</v>
      </c>
      <c r="AB180" s="3087">
        <f t="shared" si="32"/>
        <v>8400</v>
      </c>
      <c r="AC180" s="3092"/>
      <c r="AD180" s="3092"/>
      <c r="AE180" s="3093">
        <f t="shared" si="29"/>
        <v>8400</v>
      </c>
      <c r="AF180" s="3094">
        <f t="shared" si="30"/>
        <v>116400</v>
      </c>
      <c r="AG180" s="3095">
        <v>2</v>
      </c>
    </row>
    <row r="181" spans="1:33" s="3095" customFormat="1" ht="30" customHeight="1">
      <c r="A181" s="3082">
        <v>11</v>
      </c>
      <c r="B181" s="3083" t="s">
        <v>1906</v>
      </c>
      <c r="C181" s="3083" t="s">
        <v>1890</v>
      </c>
      <c r="D181" s="3083" t="s">
        <v>1907</v>
      </c>
      <c r="E181" s="3084" t="s">
        <v>1188</v>
      </c>
      <c r="F181" s="3084" t="s">
        <v>1189</v>
      </c>
      <c r="G181" s="3080" t="s">
        <v>1190</v>
      </c>
      <c r="H181" s="3084" t="s">
        <v>1380</v>
      </c>
      <c r="I181" s="3085"/>
      <c r="J181" s="3085"/>
      <c r="K181" s="3081">
        <v>3</v>
      </c>
      <c r="L181" s="3080"/>
      <c r="M181" s="3086">
        <v>15000</v>
      </c>
      <c r="N181" s="3087">
        <f t="shared" si="31"/>
        <v>0</v>
      </c>
      <c r="O181" s="3080">
        <v>0</v>
      </c>
      <c r="P181" s="3086">
        <v>20000</v>
      </c>
      <c r="Q181" s="3088">
        <f t="shared" si="34"/>
        <v>0</v>
      </c>
      <c r="R181" s="3089">
        <f t="shared" si="35"/>
        <v>0</v>
      </c>
      <c r="S181" s="3080">
        <f t="shared" si="38"/>
        <v>3</v>
      </c>
      <c r="T181" s="3086">
        <v>15000</v>
      </c>
      <c r="U181" s="3088">
        <f t="shared" si="28"/>
        <v>45000</v>
      </c>
      <c r="V181" s="3080">
        <v>0</v>
      </c>
      <c r="W181" s="3086">
        <v>20000</v>
      </c>
      <c r="X181" s="3088">
        <f t="shared" si="36"/>
        <v>0</v>
      </c>
      <c r="Y181" s="3089">
        <f t="shared" si="37"/>
        <v>45000</v>
      </c>
      <c r="Z181" s="3090">
        <v>18</v>
      </c>
      <c r="AA181" s="3091">
        <v>150</v>
      </c>
      <c r="AB181" s="3087">
        <f t="shared" si="32"/>
        <v>2700</v>
      </c>
      <c r="AC181" s="3092"/>
      <c r="AD181" s="3092"/>
      <c r="AE181" s="3093">
        <f t="shared" si="29"/>
        <v>2700</v>
      </c>
      <c r="AF181" s="3094">
        <f t="shared" si="30"/>
        <v>47700</v>
      </c>
      <c r="AG181" s="3095">
        <v>3</v>
      </c>
    </row>
    <row r="182" spans="1:33" s="3095" customFormat="1" ht="30" customHeight="1">
      <c r="A182" s="3082">
        <v>12</v>
      </c>
      <c r="B182" s="3083" t="s">
        <v>1609</v>
      </c>
      <c r="C182" s="3083" t="s">
        <v>1728</v>
      </c>
      <c r="D182" s="3083" t="s">
        <v>1610</v>
      </c>
      <c r="E182" s="3084" t="s">
        <v>1188</v>
      </c>
      <c r="F182" s="3084" t="s">
        <v>1189</v>
      </c>
      <c r="G182" s="3080" t="s">
        <v>1190</v>
      </c>
      <c r="H182" s="3084" t="s">
        <v>1380</v>
      </c>
      <c r="I182" s="3085"/>
      <c r="J182" s="3085"/>
      <c r="K182" s="3081">
        <v>3</v>
      </c>
      <c r="L182" s="3080"/>
      <c r="M182" s="3086">
        <v>15000</v>
      </c>
      <c r="N182" s="3087">
        <f t="shared" si="31"/>
        <v>0</v>
      </c>
      <c r="O182" s="3080">
        <v>0</v>
      </c>
      <c r="P182" s="3086">
        <v>20000</v>
      </c>
      <c r="Q182" s="3088">
        <f t="shared" si="34"/>
        <v>0</v>
      </c>
      <c r="R182" s="3089">
        <f t="shared" si="35"/>
        <v>0</v>
      </c>
      <c r="S182" s="3080">
        <f t="shared" si="38"/>
        <v>3</v>
      </c>
      <c r="T182" s="3086">
        <v>15000</v>
      </c>
      <c r="U182" s="3088">
        <f t="shared" si="28"/>
        <v>45000</v>
      </c>
      <c r="V182" s="3080">
        <v>0</v>
      </c>
      <c r="W182" s="3086">
        <v>20000</v>
      </c>
      <c r="X182" s="3088">
        <f t="shared" si="36"/>
        <v>0</v>
      </c>
      <c r="Y182" s="3089">
        <f t="shared" si="37"/>
        <v>45000</v>
      </c>
      <c r="Z182" s="3090">
        <v>10</v>
      </c>
      <c r="AA182" s="3091">
        <v>150</v>
      </c>
      <c r="AB182" s="3087">
        <f t="shared" si="32"/>
        <v>1500</v>
      </c>
      <c r="AC182" s="3092"/>
      <c r="AD182" s="3092"/>
      <c r="AE182" s="3093">
        <f t="shared" si="29"/>
        <v>1500</v>
      </c>
      <c r="AF182" s="3094">
        <f t="shared" si="30"/>
        <v>46500</v>
      </c>
      <c r="AG182" s="3095">
        <v>4</v>
      </c>
    </row>
    <row r="183" spans="1:33" s="3095" customFormat="1" ht="30" customHeight="1">
      <c r="A183" s="3099">
        <v>1</v>
      </c>
      <c r="B183" s="3100" t="s">
        <v>1908</v>
      </c>
      <c r="C183" s="3100" t="s">
        <v>1728</v>
      </c>
      <c r="D183" s="3100" t="s">
        <v>1909</v>
      </c>
      <c r="E183" s="3101" t="s">
        <v>1188</v>
      </c>
      <c r="F183" s="3101" t="s">
        <v>1189</v>
      </c>
      <c r="G183" s="3102" t="s">
        <v>1190</v>
      </c>
      <c r="H183" s="3101" t="s">
        <v>1380</v>
      </c>
      <c r="I183" s="3103"/>
      <c r="J183" s="3103"/>
      <c r="K183" s="3104">
        <v>3</v>
      </c>
      <c r="L183" s="3102"/>
      <c r="M183" s="3105">
        <v>15000</v>
      </c>
      <c r="N183" s="3106">
        <f>M183*L183</f>
        <v>0</v>
      </c>
      <c r="O183" s="3102">
        <v>0</v>
      </c>
      <c r="P183" s="3105">
        <v>20000</v>
      </c>
      <c r="Q183" s="3107">
        <f t="shared" si="34"/>
        <v>0</v>
      </c>
      <c r="R183" s="3107">
        <f t="shared" si="35"/>
        <v>0</v>
      </c>
      <c r="S183" s="3102">
        <f>+K183</f>
        <v>3</v>
      </c>
      <c r="T183" s="3105">
        <v>15000</v>
      </c>
      <c r="U183" s="3107">
        <f>T183*S183</f>
        <v>45000</v>
      </c>
      <c r="V183" s="3102">
        <v>0</v>
      </c>
      <c r="W183" s="3105">
        <v>20000</v>
      </c>
      <c r="X183" s="3107">
        <f t="shared" si="36"/>
        <v>0</v>
      </c>
      <c r="Y183" s="3107">
        <f t="shared" si="37"/>
        <v>45000</v>
      </c>
      <c r="Z183" s="3107">
        <v>14</v>
      </c>
      <c r="AA183" s="3106">
        <v>150</v>
      </c>
      <c r="AB183" s="3106">
        <f>Z183*AA183</f>
        <v>2100</v>
      </c>
      <c r="AC183" s="3108"/>
      <c r="AD183" s="3108"/>
      <c r="AE183" s="3106">
        <f>AB183</f>
        <v>2100</v>
      </c>
      <c r="AF183" s="3109">
        <f>+Y183+AE183+R183</f>
        <v>47100</v>
      </c>
      <c r="AG183" s="3095">
        <v>5</v>
      </c>
    </row>
    <row r="184" spans="1:33" s="3125" customFormat="1" ht="30" customHeight="1">
      <c r="A184" s="3111">
        <v>1</v>
      </c>
      <c r="B184" s="3112" t="s">
        <v>1621</v>
      </c>
      <c r="C184" s="3113" t="s">
        <v>1615</v>
      </c>
      <c r="D184" s="3114" t="s">
        <v>1616</v>
      </c>
      <c r="E184" s="3115" t="s">
        <v>1617</v>
      </c>
      <c r="F184" s="3116" t="s">
        <v>1189</v>
      </c>
      <c r="G184" s="3117" t="s">
        <v>1190</v>
      </c>
      <c r="H184" s="3116" t="s">
        <v>1187</v>
      </c>
      <c r="I184" s="3118"/>
      <c r="J184" s="3118"/>
      <c r="K184" s="3119">
        <v>3</v>
      </c>
      <c r="L184" s="3117">
        <v>0</v>
      </c>
      <c r="M184" s="3120">
        <v>15000</v>
      </c>
      <c r="N184" s="3121">
        <f>M184*L184</f>
        <v>0</v>
      </c>
      <c r="O184" s="3117">
        <v>0</v>
      </c>
      <c r="P184" s="3120">
        <v>20000</v>
      </c>
      <c r="Q184" s="3122">
        <f>P184*O184</f>
        <v>0</v>
      </c>
      <c r="R184" s="3122">
        <f>N184+Q184</f>
        <v>0</v>
      </c>
      <c r="S184" s="3117">
        <f>+K184</f>
        <v>3</v>
      </c>
      <c r="T184" s="3120">
        <v>15000</v>
      </c>
      <c r="U184" s="3122">
        <f>T184*S184</f>
        <v>45000</v>
      </c>
      <c r="V184" s="3117">
        <v>0</v>
      </c>
      <c r="W184" s="3120">
        <v>20000</v>
      </c>
      <c r="X184" s="3122">
        <f>V184*W184</f>
        <v>0</v>
      </c>
      <c r="Y184" s="3122">
        <f>U184+X184</f>
        <v>45000</v>
      </c>
      <c r="Z184" s="3122">
        <f>0*2</f>
        <v>0</v>
      </c>
      <c r="AA184" s="3121">
        <v>0</v>
      </c>
      <c r="AB184" s="3121">
        <v>0</v>
      </c>
      <c r="AC184" s="3123"/>
      <c r="AD184" s="3123"/>
      <c r="AE184" s="3121">
        <f>AB184</f>
        <v>0</v>
      </c>
      <c r="AF184" s="3124">
        <f>+Y184+AE184+R184</f>
        <v>45000</v>
      </c>
    </row>
    <row r="185" spans="1:33" s="3125" customFormat="1" ht="30" customHeight="1">
      <c r="A185" s="3111">
        <v>2</v>
      </c>
      <c r="B185" s="3112" t="s">
        <v>1614</v>
      </c>
      <c r="C185" s="3113" t="s">
        <v>1615</v>
      </c>
      <c r="D185" s="3114" t="s">
        <v>1616</v>
      </c>
      <c r="E185" s="3115" t="s">
        <v>1617</v>
      </c>
      <c r="F185" s="3116" t="s">
        <v>1618</v>
      </c>
      <c r="G185" s="3117" t="s">
        <v>1240</v>
      </c>
      <c r="H185" s="3116" t="s">
        <v>1362</v>
      </c>
      <c r="I185" s="3118"/>
      <c r="J185" s="3118"/>
      <c r="K185" s="3119">
        <v>3</v>
      </c>
      <c r="L185" s="3117">
        <v>2</v>
      </c>
      <c r="M185" s="3120">
        <v>36000</v>
      </c>
      <c r="N185" s="3121">
        <f>M185*L185</f>
        <v>72000</v>
      </c>
      <c r="O185" s="3117">
        <f>+L185-1</f>
        <v>1</v>
      </c>
      <c r="P185" s="3120">
        <v>20000</v>
      </c>
      <c r="Q185" s="3122">
        <f>P185*O185</f>
        <v>20000</v>
      </c>
      <c r="R185" s="3122">
        <f>N185+Q185</f>
        <v>92000</v>
      </c>
      <c r="S185" s="3117">
        <f>+K185</f>
        <v>3</v>
      </c>
      <c r="T185" s="3120">
        <v>15000</v>
      </c>
      <c r="U185" s="3122">
        <f>T185*S185</f>
        <v>45000</v>
      </c>
      <c r="V185" s="3117">
        <v>0</v>
      </c>
      <c r="W185" s="3120">
        <v>20000</v>
      </c>
      <c r="X185" s="3122">
        <f>V185*W185</f>
        <v>0</v>
      </c>
      <c r="Y185" s="3122">
        <f>U185+X185</f>
        <v>45000</v>
      </c>
      <c r="Z185" s="3122">
        <f>45*2</f>
        <v>90</v>
      </c>
      <c r="AA185" s="3121">
        <v>30000</v>
      </c>
      <c r="AB185" s="3121">
        <v>30000</v>
      </c>
      <c r="AC185" s="3123"/>
      <c r="AD185" s="3123"/>
      <c r="AE185" s="3121">
        <f>AB185</f>
        <v>30000</v>
      </c>
      <c r="AF185" s="3124">
        <f t="shared" ref="AF185:AF188" si="39">+Y185+AE185+R185</f>
        <v>167000</v>
      </c>
    </row>
    <row r="186" spans="1:33" s="3125" customFormat="1" ht="30" customHeight="1">
      <c r="A186" s="3111">
        <v>3</v>
      </c>
      <c r="B186" s="3112" t="s">
        <v>1619</v>
      </c>
      <c r="C186" s="3113" t="s">
        <v>1615</v>
      </c>
      <c r="D186" s="3114" t="s">
        <v>1616</v>
      </c>
      <c r="E186" s="3115" t="s">
        <v>1617</v>
      </c>
      <c r="F186" s="3116" t="s">
        <v>1618</v>
      </c>
      <c r="G186" s="3117" t="s">
        <v>1240</v>
      </c>
      <c r="H186" s="3116" t="s">
        <v>1395</v>
      </c>
      <c r="I186" s="3118"/>
      <c r="J186" s="3118"/>
      <c r="K186" s="3119">
        <v>3</v>
      </c>
      <c r="L186" s="3117">
        <v>2</v>
      </c>
      <c r="M186" s="3120">
        <v>36000</v>
      </c>
      <c r="N186" s="3121">
        <f>M186*L186</f>
        <v>72000</v>
      </c>
      <c r="O186" s="3117">
        <f>+L186-1</f>
        <v>1</v>
      </c>
      <c r="P186" s="3120">
        <v>20000</v>
      </c>
      <c r="Q186" s="3122">
        <f t="shared" ref="Q186:Q204" si="40">P186*O186</f>
        <v>20000</v>
      </c>
      <c r="R186" s="3122">
        <f t="shared" ref="R186:R204" si="41">N186+Q186</f>
        <v>92000</v>
      </c>
      <c r="S186" s="3117">
        <f>+K186</f>
        <v>3</v>
      </c>
      <c r="T186" s="3120">
        <v>15000</v>
      </c>
      <c r="U186" s="3122">
        <f>T186*S186</f>
        <v>45000</v>
      </c>
      <c r="V186" s="3117">
        <v>0</v>
      </c>
      <c r="W186" s="3120">
        <v>20000</v>
      </c>
      <c r="X186" s="3122">
        <f t="shared" ref="X186:X204" si="42">V186*W186</f>
        <v>0</v>
      </c>
      <c r="Y186" s="3122">
        <f t="shared" ref="Y186:Y204" si="43">U186+X186</f>
        <v>45000</v>
      </c>
      <c r="Z186" s="3122">
        <f>87*2</f>
        <v>174</v>
      </c>
      <c r="AA186" s="3121">
        <v>60000</v>
      </c>
      <c r="AB186" s="3121">
        <v>60000</v>
      </c>
      <c r="AC186" s="3123"/>
      <c r="AD186" s="3123"/>
      <c r="AE186" s="3121">
        <f t="shared" ref="AE186:AE192" si="44">AB186</f>
        <v>60000</v>
      </c>
      <c r="AF186" s="3124">
        <f t="shared" si="39"/>
        <v>197000</v>
      </c>
    </row>
    <row r="187" spans="1:33" s="3125" customFormat="1" ht="30" customHeight="1">
      <c r="A187" s="3111">
        <v>4</v>
      </c>
      <c r="B187" s="3112" t="s">
        <v>1622</v>
      </c>
      <c r="C187" s="3113" t="s">
        <v>1623</v>
      </c>
      <c r="D187" s="3114" t="s">
        <v>1616</v>
      </c>
      <c r="E187" s="3115" t="s">
        <v>1617</v>
      </c>
      <c r="F187" s="3116" t="s">
        <v>1618</v>
      </c>
      <c r="G187" s="3117" t="s">
        <v>1240</v>
      </c>
      <c r="H187" s="3116" t="s">
        <v>1575</v>
      </c>
      <c r="I187" s="3118"/>
      <c r="J187" s="3118"/>
      <c r="K187" s="3119">
        <v>3</v>
      </c>
      <c r="L187" s="3117">
        <v>2</v>
      </c>
      <c r="M187" s="3120">
        <v>36000</v>
      </c>
      <c r="N187" s="3121">
        <f>M187*L187</f>
        <v>72000</v>
      </c>
      <c r="O187" s="3117">
        <f>L187-1</f>
        <v>1</v>
      </c>
      <c r="P187" s="3120">
        <v>20000</v>
      </c>
      <c r="Q187" s="3122">
        <f>P187*O187</f>
        <v>20000</v>
      </c>
      <c r="R187" s="3122">
        <f>N187+Q187</f>
        <v>92000</v>
      </c>
      <c r="S187" s="3117">
        <f>+K187</f>
        <v>3</v>
      </c>
      <c r="T187" s="3120">
        <v>36000</v>
      </c>
      <c r="U187" s="3122">
        <f>T187*S187</f>
        <v>108000</v>
      </c>
      <c r="V187" s="3117">
        <f>S187</f>
        <v>3</v>
      </c>
      <c r="W187" s="3120">
        <v>20000</v>
      </c>
      <c r="X187" s="3122">
        <f>V187*W187</f>
        <v>60000</v>
      </c>
      <c r="Y187" s="3122">
        <f>U187+X187</f>
        <v>168000</v>
      </c>
      <c r="Z187" s="3122">
        <f>52*2</f>
        <v>104</v>
      </c>
      <c r="AA187" s="3121">
        <v>50000</v>
      </c>
      <c r="AB187" s="3121">
        <v>50000</v>
      </c>
      <c r="AC187" s="3123"/>
      <c r="AD187" s="3123"/>
      <c r="AE187" s="3121">
        <f>AB187</f>
        <v>50000</v>
      </c>
      <c r="AF187" s="3124">
        <f t="shared" si="39"/>
        <v>310000</v>
      </c>
    </row>
    <row r="188" spans="1:33" s="3125" customFormat="1" ht="30" customHeight="1">
      <c r="A188" s="3111">
        <v>5</v>
      </c>
      <c r="B188" s="3112" t="s">
        <v>1620</v>
      </c>
      <c r="C188" s="3113" t="s">
        <v>1615</v>
      </c>
      <c r="D188" s="3114" t="s">
        <v>1616</v>
      </c>
      <c r="E188" s="3115" t="s">
        <v>1617</v>
      </c>
      <c r="F188" s="3116" t="s">
        <v>1618</v>
      </c>
      <c r="G188" s="3117" t="s">
        <v>1240</v>
      </c>
      <c r="H188" s="3116" t="s">
        <v>1380</v>
      </c>
      <c r="I188" s="3118"/>
      <c r="J188" s="3118"/>
      <c r="K188" s="3119">
        <v>3</v>
      </c>
      <c r="L188" s="3117">
        <v>2</v>
      </c>
      <c r="M188" s="3120">
        <v>36000</v>
      </c>
      <c r="N188" s="3121">
        <f t="shared" ref="N188:N192" si="45">M188*L188</f>
        <v>72000</v>
      </c>
      <c r="O188" s="3117">
        <f t="shared" ref="O188:O192" si="46">L188-1</f>
        <v>1</v>
      </c>
      <c r="P188" s="3120">
        <v>20000</v>
      </c>
      <c r="Q188" s="3122">
        <f t="shared" si="40"/>
        <v>20000</v>
      </c>
      <c r="R188" s="3122">
        <f t="shared" si="41"/>
        <v>92000</v>
      </c>
      <c r="S188" s="3117">
        <f t="shared" ref="S188:S192" si="47">+K188</f>
        <v>3</v>
      </c>
      <c r="T188" s="3120">
        <v>36000</v>
      </c>
      <c r="U188" s="3122">
        <f t="shared" ref="U188:U192" si="48">T188*S188</f>
        <v>108000</v>
      </c>
      <c r="V188" s="3117">
        <f t="shared" ref="V188:V204" si="49">S188</f>
        <v>3</v>
      </c>
      <c r="W188" s="3120">
        <v>20000</v>
      </c>
      <c r="X188" s="3122">
        <f t="shared" si="42"/>
        <v>60000</v>
      </c>
      <c r="Y188" s="3122">
        <f t="shared" si="43"/>
        <v>168000</v>
      </c>
      <c r="Z188" s="3122">
        <f>169*2</f>
        <v>338</v>
      </c>
      <c r="AA188" s="3121">
        <v>50000</v>
      </c>
      <c r="AB188" s="3121">
        <v>50000</v>
      </c>
      <c r="AC188" s="3123"/>
      <c r="AD188" s="3123"/>
      <c r="AE188" s="3121">
        <f t="shared" si="44"/>
        <v>50000</v>
      </c>
      <c r="AF188" s="3124">
        <f t="shared" si="39"/>
        <v>310000</v>
      </c>
    </row>
    <row r="189" spans="1:33" s="3139" customFormat="1" ht="30" customHeight="1">
      <c r="A189" s="3126">
        <v>1</v>
      </c>
      <c r="B189" s="3141" t="s">
        <v>1633</v>
      </c>
      <c r="C189" s="3142" t="s">
        <v>1634</v>
      </c>
      <c r="D189" s="3127" t="s">
        <v>1616</v>
      </c>
      <c r="E189" s="3129" t="s">
        <v>1627</v>
      </c>
      <c r="F189" s="3130" t="s">
        <v>1631</v>
      </c>
      <c r="G189" s="3131" t="s">
        <v>1190</v>
      </c>
      <c r="H189" s="3130" t="s">
        <v>1187</v>
      </c>
      <c r="I189" s="3132"/>
      <c r="J189" s="3132"/>
      <c r="K189" s="3133">
        <v>3</v>
      </c>
      <c r="L189" s="3131">
        <v>0</v>
      </c>
      <c r="M189" s="3134">
        <v>0</v>
      </c>
      <c r="N189" s="3135">
        <f>M189*L189</f>
        <v>0</v>
      </c>
      <c r="O189" s="3131">
        <v>0</v>
      </c>
      <c r="P189" s="3134">
        <v>0</v>
      </c>
      <c r="Q189" s="3136">
        <f>P189*O189</f>
        <v>0</v>
      </c>
      <c r="R189" s="3136">
        <f>N189+Q189</f>
        <v>0</v>
      </c>
      <c r="S189" s="3131">
        <f>+K189</f>
        <v>3</v>
      </c>
      <c r="T189" s="3134">
        <v>15000</v>
      </c>
      <c r="U189" s="3136">
        <f>T189*S189</f>
        <v>45000</v>
      </c>
      <c r="V189" s="3131">
        <f>S189</f>
        <v>3</v>
      </c>
      <c r="W189" s="3134">
        <v>0</v>
      </c>
      <c r="X189" s="3136">
        <f>V189*W189</f>
        <v>0</v>
      </c>
      <c r="Y189" s="3136">
        <f>U189+X189</f>
        <v>45000</v>
      </c>
      <c r="Z189" s="3136">
        <f>0*5/100</f>
        <v>0</v>
      </c>
      <c r="AA189" s="3135">
        <v>0</v>
      </c>
      <c r="AB189" s="3135">
        <f>Z189*AA189</f>
        <v>0</v>
      </c>
      <c r="AC189" s="3137"/>
      <c r="AD189" s="3137"/>
      <c r="AE189" s="3135">
        <f>AB189</f>
        <v>0</v>
      </c>
      <c r="AF189" s="3138">
        <f>+Y189+AE189+R189</f>
        <v>45000</v>
      </c>
    </row>
    <row r="190" spans="1:33" s="3139" customFormat="1" ht="30" customHeight="1">
      <c r="A190" s="3126">
        <v>2</v>
      </c>
      <c r="B190" s="3129" t="s">
        <v>1910</v>
      </c>
      <c r="C190" s="3129" t="s">
        <v>1911</v>
      </c>
      <c r="D190" s="3127" t="s">
        <v>1616</v>
      </c>
      <c r="E190" s="3129" t="s">
        <v>1627</v>
      </c>
      <c r="F190" s="3130" t="s">
        <v>1618</v>
      </c>
      <c r="G190" s="3131" t="s">
        <v>1240</v>
      </c>
      <c r="H190" s="3130" t="s">
        <v>1362</v>
      </c>
      <c r="I190" s="3132"/>
      <c r="J190" s="3132"/>
      <c r="K190" s="3133">
        <v>3</v>
      </c>
      <c r="L190" s="3131">
        <v>2</v>
      </c>
      <c r="M190" s="3134">
        <v>36000</v>
      </c>
      <c r="N190" s="3135">
        <f t="shared" ref="N190" si="50">M190*L190</f>
        <v>72000</v>
      </c>
      <c r="O190" s="3131">
        <f t="shared" ref="O190:O191" si="51">L190-1</f>
        <v>1</v>
      </c>
      <c r="P190" s="3134">
        <v>20000</v>
      </c>
      <c r="Q190" s="3136">
        <f t="shared" ref="Q190:Q191" si="52">P190*O190</f>
        <v>20000</v>
      </c>
      <c r="R190" s="3136">
        <f t="shared" ref="R190:R191" si="53">N190+Q190</f>
        <v>92000</v>
      </c>
      <c r="S190" s="3131">
        <f t="shared" ref="S190" si="54">+K190</f>
        <v>3</v>
      </c>
      <c r="T190" s="3134">
        <v>36000</v>
      </c>
      <c r="U190" s="3136">
        <f t="shared" ref="U190" si="55">T190*S190</f>
        <v>108000</v>
      </c>
      <c r="V190" s="3131">
        <v>3</v>
      </c>
      <c r="W190" s="3134">
        <v>20000</v>
      </c>
      <c r="X190" s="3136">
        <f t="shared" ref="X190:X191" si="56">V190*W190</f>
        <v>60000</v>
      </c>
      <c r="Y190" s="3136">
        <f t="shared" ref="Y190:Y191" si="57">U190+X190</f>
        <v>168000</v>
      </c>
      <c r="Z190" s="3136">
        <f>45*2</f>
        <v>90</v>
      </c>
      <c r="AA190" s="3135">
        <v>30000</v>
      </c>
      <c r="AB190" s="3135">
        <v>30000</v>
      </c>
      <c r="AC190" s="3137"/>
      <c r="AD190" s="3137"/>
      <c r="AE190" s="3135">
        <f t="shared" ref="AE190" si="58">AB190</f>
        <v>30000</v>
      </c>
      <c r="AF190" s="3138">
        <f t="shared" ref="AF190:AF204" si="59">+Y190+AE190+R190</f>
        <v>290000</v>
      </c>
    </row>
    <row r="191" spans="1:33" s="3139" customFormat="1" ht="30" customHeight="1">
      <c r="A191" s="3126">
        <v>3</v>
      </c>
      <c r="B191" s="3129" t="s">
        <v>1912</v>
      </c>
      <c r="C191" s="3129" t="s">
        <v>1913</v>
      </c>
      <c r="D191" s="3127" t="s">
        <v>1616</v>
      </c>
      <c r="E191" s="3129" t="s">
        <v>1627</v>
      </c>
      <c r="F191" s="3130" t="s">
        <v>1618</v>
      </c>
      <c r="G191" s="3131" t="s">
        <v>1240</v>
      </c>
      <c r="H191" s="3130" t="s">
        <v>1395</v>
      </c>
      <c r="I191" s="3132"/>
      <c r="J191" s="3132"/>
      <c r="K191" s="3133">
        <v>3</v>
      </c>
      <c r="L191" s="3131">
        <v>2</v>
      </c>
      <c r="M191" s="3134">
        <v>36000</v>
      </c>
      <c r="N191" s="3135">
        <f>M191*L191</f>
        <v>72000</v>
      </c>
      <c r="O191" s="3131">
        <f t="shared" si="51"/>
        <v>1</v>
      </c>
      <c r="P191" s="3134">
        <v>20000</v>
      </c>
      <c r="Q191" s="3136">
        <f t="shared" si="52"/>
        <v>20000</v>
      </c>
      <c r="R191" s="3136">
        <f t="shared" si="53"/>
        <v>92000</v>
      </c>
      <c r="S191" s="3131">
        <f>+K191</f>
        <v>3</v>
      </c>
      <c r="T191" s="3134">
        <v>36000</v>
      </c>
      <c r="U191" s="3136">
        <f>T191*S191</f>
        <v>108000</v>
      </c>
      <c r="V191" s="3131">
        <f t="shared" ref="V191" si="60">S191</f>
        <v>3</v>
      </c>
      <c r="W191" s="3134">
        <v>20000</v>
      </c>
      <c r="X191" s="3136">
        <f t="shared" si="56"/>
        <v>60000</v>
      </c>
      <c r="Y191" s="3136">
        <f t="shared" si="57"/>
        <v>168000</v>
      </c>
      <c r="Z191" s="3136">
        <f>87*2</f>
        <v>174</v>
      </c>
      <c r="AA191" s="3135">
        <v>60000</v>
      </c>
      <c r="AB191" s="3135">
        <v>60000</v>
      </c>
      <c r="AC191" s="3137"/>
      <c r="AD191" s="3137"/>
      <c r="AE191" s="3135">
        <f>AB191</f>
        <v>60000</v>
      </c>
      <c r="AF191" s="3138">
        <f t="shared" si="59"/>
        <v>320000</v>
      </c>
    </row>
    <row r="192" spans="1:33" s="3139" customFormat="1" ht="30" customHeight="1">
      <c r="A192" s="3126">
        <v>4</v>
      </c>
      <c r="B192" s="3141" t="str">
        <f>[8]Liste_personnel!$F$6</f>
        <v>MANANDAHY PHILBERT</v>
      </c>
      <c r="C192" s="3141" t="str">
        <f>[8]Liste_personnel!$D$6</f>
        <v>CHEF CISCO</v>
      </c>
      <c r="D192" s="3141" t="s">
        <v>1616</v>
      </c>
      <c r="E192" s="3129" t="s">
        <v>1627</v>
      </c>
      <c r="F192" s="3130" t="s">
        <v>1631</v>
      </c>
      <c r="G192" s="3131" t="s">
        <v>1240</v>
      </c>
      <c r="H192" s="3130" t="s">
        <v>1575</v>
      </c>
      <c r="I192" s="3132"/>
      <c r="J192" s="3132"/>
      <c r="K192" s="3133">
        <v>3</v>
      </c>
      <c r="L192" s="3131">
        <v>2</v>
      </c>
      <c r="M192" s="3134">
        <v>36000</v>
      </c>
      <c r="N192" s="3135">
        <f t="shared" si="45"/>
        <v>72000</v>
      </c>
      <c r="O192" s="3131">
        <f t="shared" si="46"/>
        <v>1</v>
      </c>
      <c r="P192" s="3134">
        <v>20000</v>
      </c>
      <c r="Q192" s="3136">
        <f t="shared" si="40"/>
        <v>20000</v>
      </c>
      <c r="R192" s="3136">
        <f t="shared" si="41"/>
        <v>92000</v>
      </c>
      <c r="S192" s="3131">
        <f t="shared" si="47"/>
        <v>3</v>
      </c>
      <c r="T192" s="3134">
        <v>36000</v>
      </c>
      <c r="U192" s="3136">
        <f t="shared" si="48"/>
        <v>108000</v>
      </c>
      <c r="V192" s="3131">
        <f t="shared" si="49"/>
        <v>3</v>
      </c>
      <c r="W192" s="3134">
        <v>20000</v>
      </c>
      <c r="X192" s="3136">
        <f t="shared" si="42"/>
        <v>60000</v>
      </c>
      <c r="Y192" s="3136">
        <f t="shared" si="43"/>
        <v>168000</v>
      </c>
      <c r="Z192" s="3136">
        <f>52*2*5/100</f>
        <v>5.2</v>
      </c>
      <c r="AA192" s="3135">
        <v>5900</v>
      </c>
      <c r="AB192" s="3135">
        <f t="shared" ref="AB192" si="61">Z192*AA192</f>
        <v>30680</v>
      </c>
      <c r="AC192" s="3137"/>
      <c r="AD192" s="3137"/>
      <c r="AE192" s="3135">
        <f t="shared" si="44"/>
        <v>30680</v>
      </c>
      <c r="AF192" s="3138">
        <f t="shared" si="59"/>
        <v>290680</v>
      </c>
    </row>
    <row r="193" spans="1:33" s="3139" customFormat="1" ht="37.9" customHeight="1">
      <c r="A193" s="3126">
        <v>5</v>
      </c>
      <c r="B193" s="3129" t="s">
        <v>1914</v>
      </c>
      <c r="C193" s="3129" t="s">
        <v>1915</v>
      </c>
      <c r="D193" s="3127" t="s">
        <v>1616</v>
      </c>
      <c r="E193" s="3129" t="s">
        <v>1627</v>
      </c>
      <c r="F193" s="3130" t="s">
        <v>1618</v>
      </c>
      <c r="G193" s="3131" t="s">
        <v>1240</v>
      </c>
      <c r="H193" s="3130" t="s">
        <v>1380</v>
      </c>
      <c r="I193" s="3132"/>
      <c r="J193" s="3132"/>
      <c r="K193" s="3133">
        <v>3</v>
      </c>
      <c r="L193" s="3131">
        <v>2</v>
      </c>
      <c r="M193" s="3134">
        <v>36000</v>
      </c>
      <c r="N193" s="3135">
        <f>M193*L193</f>
        <v>72000</v>
      </c>
      <c r="O193" s="3131">
        <f>L193-1</f>
        <v>1</v>
      </c>
      <c r="P193" s="3134">
        <v>20000</v>
      </c>
      <c r="Q193" s="3136">
        <f t="shared" si="40"/>
        <v>20000</v>
      </c>
      <c r="R193" s="3136">
        <f t="shared" si="41"/>
        <v>92000</v>
      </c>
      <c r="S193" s="3131">
        <f>+K193</f>
        <v>3</v>
      </c>
      <c r="T193" s="3134">
        <v>36000</v>
      </c>
      <c r="U193" s="3136">
        <f>T193*S193</f>
        <v>108000</v>
      </c>
      <c r="V193" s="3131">
        <f t="shared" si="49"/>
        <v>3</v>
      </c>
      <c r="W193" s="3134">
        <v>20000</v>
      </c>
      <c r="X193" s="3136">
        <f t="shared" si="42"/>
        <v>60000</v>
      </c>
      <c r="Y193" s="3136">
        <f t="shared" si="43"/>
        <v>168000</v>
      </c>
      <c r="Z193" s="3136">
        <f>169*2</f>
        <v>338</v>
      </c>
      <c r="AA193" s="3135">
        <v>50000</v>
      </c>
      <c r="AB193" s="3135">
        <v>50000</v>
      </c>
      <c r="AC193" s="3137"/>
      <c r="AD193" s="3137"/>
      <c r="AE193" s="3135">
        <f>AB193</f>
        <v>50000</v>
      </c>
      <c r="AF193" s="3138">
        <f t="shared" si="59"/>
        <v>310000</v>
      </c>
    </row>
    <row r="194" spans="1:33" s="3156" customFormat="1" ht="30" customHeight="1">
      <c r="A194" s="3143">
        <v>1</v>
      </c>
      <c r="B194" s="3144" t="s">
        <v>1658</v>
      </c>
      <c r="C194" s="3157" t="s">
        <v>1659</v>
      </c>
      <c r="D194" s="3145" t="s">
        <v>1616</v>
      </c>
      <c r="E194" s="3146" t="s">
        <v>1642</v>
      </c>
      <c r="F194" s="3147" t="s">
        <v>1618</v>
      </c>
      <c r="G194" s="3148" t="s">
        <v>1190</v>
      </c>
      <c r="H194" s="3147" t="s">
        <v>1644</v>
      </c>
      <c r="I194" s="3149"/>
      <c r="J194" s="3149"/>
      <c r="K194" s="3150">
        <v>3</v>
      </c>
      <c r="L194" s="3148">
        <v>0</v>
      </c>
      <c r="M194" s="3151">
        <v>36000</v>
      </c>
      <c r="N194" s="3152">
        <f t="shared" ref="N194:N204" si="62">M194*L194</f>
        <v>0</v>
      </c>
      <c r="O194" s="3148">
        <v>0</v>
      </c>
      <c r="P194" s="3151">
        <v>20000</v>
      </c>
      <c r="Q194" s="3153">
        <v>0</v>
      </c>
      <c r="R194" s="3153">
        <f t="shared" si="41"/>
        <v>0</v>
      </c>
      <c r="S194" s="3148">
        <f t="shared" ref="S194:S204" si="63">+K194</f>
        <v>3</v>
      </c>
      <c r="T194" s="3151">
        <v>15000</v>
      </c>
      <c r="U194" s="3153">
        <f t="shared" ref="U194:U204" si="64">T194*S194</f>
        <v>45000</v>
      </c>
      <c r="V194" s="3148">
        <v>0</v>
      </c>
      <c r="W194" s="3151">
        <v>20000</v>
      </c>
      <c r="X194" s="3153">
        <f t="shared" si="42"/>
        <v>0</v>
      </c>
      <c r="Y194" s="3153">
        <f t="shared" si="43"/>
        <v>45000</v>
      </c>
      <c r="Z194" s="3153">
        <v>0</v>
      </c>
      <c r="AA194" s="3152"/>
      <c r="AB194" s="3152">
        <f t="shared" ref="AB194" si="65">Z194*AA194</f>
        <v>0</v>
      </c>
      <c r="AC194" s="3154"/>
      <c r="AD194" s="3154"/>
      <c r="AE194" s="3152">
        <f t="shared" ref="AE194:AE204" si="66">AB194</f>
        <v>0</v>
      </c>
      <c r="AF194" s="3155">
        <f t="shared" si="59"/>
        <v>45000</v>
      </c>
    </row>
    <row r="195" spans="1:33" s="3156" customFormat="1" ht="30" customHeight="1">
      <c r="A195" s="3143">
        <v>2</v>
      </c>
      <c r="B195" s="3144" t="s">
        <v>1649</v>
      </c>
      <c r="C195" s="3157" t="s">
        <v>1650</v>
      </c>
      <c r="D195" s="3145" t="s">
        <v>1616</v>
      </c>
      <c r="E195" s="3146" t="s">
        <v>1642</v>
      </c>
      <c r="F195" s="3147" t="s">
        <v>1618</v>
      </c>
      <c r="G195" s="3148" t="s">
        <v>1240</v>
      </c>
      <c r="H195" s="3147" t="s">
        <v>1632</v>
      </c>
      <c r="I195" s="3149"/>
      <c r="J195" s="3149"/>
      <c r="K195" s="3150">
        <v>3</v>
      </c>
      <c r="L195" s="3148">
        <v>2</v>
      </c>
      <c r="M195" s="3151">
        <v>36000</v>
      </c>
      <c r="N195" s="3152">
        <f t="shared" si="62"/>
        <v>72000</v>
      </c>
      <c r="O195" s="3148">
        <f t="shared" ref="O195:O199" si="67">L195-1</f>
        <v>1</v>
      </c>
      <c r="P195" s="3151">
        <v>20000</v>
      </c>
      <c r="Q195" s="3153">
        <f t="shared" si="40"/>
        <v>20000</v>
      </c>
      <c r="R195" s="3153">
        <f t="shared" si="41"/>
        <v>92000</v>
      </c>
      <c r="S195" s="3148">
        <f t="shared" si="63"/>
        <v>3</v>
      </c>
      <c r="T195" s="3151">
        <v>36000</v>
      </c>
      <c r="U195" s="3153">
        <f t="shared" si="64"/>
        <v>108000</v>
      </c>
      <c r="V195" s="3148">
        <f t="shared" si="49"/>
        <v>3</v>
      </c>
      <c r="W195" s="3151">
        <v>20000</v>
      </c>
      <c r="X195" s="3153">
        <f t="shared" si="42"/>
        <v>60000</v>
      </c>
      <c r="Y195" s="3153">
        <f t="shared" si="43"/>
        <v>168000</v>
      </c>
      <c r="Z195" s="3153">
        <f>45*2</f>
        <v>90</v>
      </c>
      <c r="AA195" s="3152">
        <f>15000*2</f>
        <v>30000</v>
      </c>
      <c r="AB195" s="3152">
        <v>30000</v>
      </c>
      <c r="AC195" s="3154"/>
      <c r="AD195" s="3154"/>
      <c r="AE195" s="3152">
        <f t="shared" si="66"/>
        <v>30000</v>
      </c>
      <c r="AF195" s="3155">
        <f t="shared" si="59"/>
        <v>290000</v>
      </c>
    </row>
    <row r="196" spans="1:33" s="3156" customFormat="1" ht="30" customHeight="1">
      <c r="A196" s="3143">
        <v>3</v>
      </c>
      <c r="B196" s="3144" t="s">
        <v>1647</v>
      </c>
      <c r="C196" s="3157" t="s">
        <v>1648</v>
      </c>
      <c r="D196" s="3145" t="s">
        <v>1616</v>
      </c>
      <c r="E196" s="3146" t="s">
        <v>1642</v>
      </c>
      <c r="F196" s="3147" t="s">
        <v>1618</v>
      </c>
      <c r="G196" s="3148" t="s">
        <v>1240</v>
      </c>
      <c r="H196" s="3156" t="s">
        <v>1635</v>
      </c>
      <c r="I196" s="3149"/>
      <c r="J196" s="3149"/>
      <c r="K196" s="3150">
        <v>3</v>
      </c>
      <c r="L196" s="3148">
        <v>2</v>
      </c>
      <c r="M196" s="3151">
        <v>36000</v>
      </c>
      <c r="N196" s="3152">
        <f t="shared" si="62"/>
        <v>72000</v>
      </c>
      <c r="O196" s="3148">
        <f t="shared" si="67"/>
        <v>1</v>
      </c>
      <c r="P196" s="3151">
        <v>20000</v>
      </c>
      <c r="Q196" s="3153">
        <f t="shared" si="40"/>
        <v>20000</v>
      </c>
      <c r="R196" s="3153">
        <f t="shared" si="41"/>
        <v>92000</v>
      </c>
      <c r="S196" s="3148">
        <f t="shared" si="63"/>
        <v>3</v>
      </c>
      <c r="T196" s="3151">
        <v>36000</v>
      </c>
      <c r="U196" s="3153">
        <f t="shared" si="64"/>
        <v>108000</v>
      </c>
      <c r="V196" s="3148">
        <f t="shared" si="49"/>
        <v>3</v>
      </c>
      <c r="W196" s="3151">
        <v>20000</v>
      </c>
      <c r="X196" s="3153">
        <f t="shared" si="42"/>
        <v>60000</v>
      </c>
      <c r="Y196" s="3153">
        <f t="shared" si="43"/>
        <v>168000</v>
      </c>
      <c r="Z196" s="3153">
        <f>87*2</f>
        <v>174</v>
      </c>
      <c r="AA196" s="3152">
        <f>30000*2</f>
        <v>60000</v>
      </c>
      <c r="AB196" s="3152">
        <v>60000</v>
      </c>
      <c r="AC196" s="3154"/>
      <c r="AD196" s="3154"/>
      <c r="AE196" s="3152">
        <f t="shared" si="66"/>
        <v>60000</v>
      </c>
      <c r="AF196" s="3155">
        <f t="shared" si="59"/>
        <v>320000</v>
      </c>
    </row>
    <row r="197" spans="1:33" s="3156" customFormat="1" ht="30" customHeight="1">
      <c r="A197" s="3143">
        <v>4</v>
      </c>
      <c r="B197" s="3144" t="s">
        <v>1645</v>
      </c>
      <c r="C197" s="3157" t="s">
        <v>1646</v>
      </c>
      <c r="D197" s="3145" t="s">
        <v>1616</v>
      </c>
      <c r="E197" s="3146" t="s">
        <v>1642</v>
      </c>
      <c r="F197" s="3147" t="s">
        <v>1618</v>
      </c>
      <c r="G197" s="3148" t="s">
        <v>1240</v>
      </c>
      <c r="H197" s="3147" t="s">
        <v>1636</v>
      </c>
      <c r="I197" s="3149"/>
      <c r="J197" s="3149"/>
      <c r="K197" s="3150">
        <v>3</v>
      </c>
      <c r="L197" s="3148">
        <v>2</v>
      </c>
      <c r="M197" s="3151">
        <v>36000</v>
      </c>
      <c r="N197" s="3152">
        <f t="shared" si="62"/>
        <v>72000</v>
      </c>
      <c r="O197" s="3148">
        <f t="shared" si="67"/>
        <v>1</v>
      </c>
      <c r="P197" s="3151">
        <v>20000</v>
      </c>
      <c r="Q197" s="3153">
        <f t="shared" si="40"/>
        <v>20000</v>
      </c>
      <c r="R197" s="3153">
        <f t="shared" si="41"/>
        <v>92000</v>
      </c>
      <c r="S197" s="3148">
        <f t="shared" si="63"/>
        <v>3</v>
      </c>
      <c r="T197" s="3151">
        <v>36000</v>
      </c>
      <c r="U197" s="3153">
        <f t="shared" si="64"/>
        <v>108000</v>
      </c>
      <c r="V197" s="3148">
        <f t="shared" si="49"/>
        <v>3</v>
      </c>
      <c r="W197" s="3151">
        <v>20000</v>
      </c>
      <c r="X197" s="3153">
        <f t="shared" si="42"/>
        <v>60000</v>
      </c>
      <c r="Y197" s="3153">
        <f t="shared" si="43"/>
        <v>168000</v>
      </c>
      <c r="Z197" s="3153">
        <f>52*2</f>
        <v>104</v>
      </c>
      <c r="AA197" s="3152">
        <v>50000</v>
      </c>
      <c r="AB197" s="3152">
        <v>50000</v>
      </c>
      <c r="AC197" s="3154"/>
      <c r="AD197" s="3154"/>
      <c r="AE197" s="3152">
        <f t="shared" si="66"/>
        <v>50000</v>
      </c>
      <c r="AF197" s="3155">
        <f t="shared" si="59"/>
        <v>310000</v>
      </c>
    </row>
    <row r="198" spans="1:33" s="3156" customFormat="1" ht="30" customHeight="1">
      <c r="A198" s="3143">
        <v>5</v>
      </c>
      <c r="B198" s="3144" t="s">
        <v>1916</v>
      </c>
      <c r="C198" s="3144" t="s">
        <v>1917</v>
      </c>
      <c r="D198" s="3145" t="s">
        <v>1616</v>
      </c>
      <c r="E198" s="3146" t="s">
        <v>1642</v>
      </c>
      <c r="F198" s="3147" t="s">
        <v>1618</v>
      </c>
      <c r="G198" s="3148" t="s">
        <v>1240</v>
      </c>
      <c r="H198" s="3147" t="s">
        <v>1639</v>
      </c>
      <c r="I198" s="3149"/>
      <c r="J198" s="3149"/>
      <c r="K198" s="3150">
        <v>3</v>
      </c>
      <c r="L198" s="3148">
        <v>2</v>
      </c>
      <c r="M198" s="3151">
        <v>36000</v>
      </c>
      <c r="N198" s="3152">
        <f t="shared" si="62"/>
        <v>72000</v>
      </c>
      <c r="O198" s="3148">
        <f t="shared" si="67"/>
        <v>1</v>
      </c>
      <c r="P198" s="3151">
        <v>20000</v>
      </c>
      <c r="Q198" s="3153">
        <f t="shared" si="40"/>
        <v>20000</v>
      </c>
      <c r="R198" s="3153">
        <f t="shared" si="41"/>
        <v>92000</v>
      </c>
      <c r="S198" s="3148">
        <f t="shared" si="63"/>
        <v>3</v>
      </c>
      <c r="T198" s="3151">
        <v>36000</v>
      </c>
      <c r="U198" s="3153">
        <f t="shared" si="64"/>
        <v>108000</v>
      </c>
      <c r="V198" s="3148">
        <f t="shared" si="49"/>
        <v>3</v>
      </c>
      <c r="W198" s="3151">
        <v>20000</v>
      </c>
      <c r="X198" s="3153">
        <f t="shared" si="42"/>
        <v>60000</v>
      </c>
      <c r="Y198" s="3153">
        <f t="shared" si="43"/>
        <v>168000</v>
      </c>
      <c r="Z198" s="3153">
        <f>169*2</f>
        <v>338</v>
      </c>
      <c r="AA198" s="3152">
        <f>25000*2</f>
        <v>50000</v>
      </c>
      <c r="AB198" s="3152">
        <v>50000</v>
      </c>
      <c r="AC198" s="3154"/>
      <c r="AD198" s="3154"/>
      <c r="AE198" s="3152">
        <f t="shared" si="66"/>
        <v>50000</v>
      </c>
      <c r="AF198" s="3155">
        <f t="shared" si="59"/>
        <v>310000</v>
      </c>
    </row>
    <row r="199" spans="1:33" s="3110" customFormat="1" ht="30" customHeight="1">
      <c r="A199" s="3099">
        <v>9</v>
      </c>
      <c r="B199" s="3100" t="s">
        <v>1653</v>
      </c>
      <c r="C199" s="3100" t="s">
        <v>1654</v>
      </c>
      <c r="D199" s="3158" t="s">
        <v>1616</v>
      </c>
      <c r="E199" s="3101" t="s">
        <v>1721</v>
      </c>
      <c r="F199" s="3101" t="s">
        <v>1628</v>
      </c>
      <c r="G199" s="3102" t="s">
        <v>1240</v>
      </c>
      <c r="H199" s="3101" t="s">
        <v>1918</v>
      </c>
      <c r="I199" s="3103"/>
      <c r="J199" s="3103"/>
      <c r="K199" s="3104">
        <v>2</v>
      </c>
      <c r="L199" s="3102">
        <v>2</v>
      </c>
      <c r="M199" s="3105">
        <v>36000</v>
      </c>
      <c r="N199" s="3106">
        <f t="shared" si="62"/>
        <v>72000</v>
      </c>
      <c r="O199" s="3102">
        <f t="shared" si="67"/>
        <v>1</v>
      </c>
      <c r="P199" s="3105">
        <v>40000</v>
      </c>
      <c r="Q199" s="3107">
        <f t="shared" si="40"/>
        <v>40000</v>
      </c>
      <c r="R199" s="3107">
        <f t="shared" si="41"/>
        <v>112000</v>
      </c>
      <c r="S199" s="3102">
        <f t="shared" si="63"/>
        <v>2</v>
      </c>
      <c r="T199" s="3105">
        <v>36000</v>
      </c>
      <c r="U199" s="3107">
        <f t="shared" si="64"/>
        <v>72000</v>
      </c>
      <c r="V199" s="3102">
        <f t="shared" si="49"/>
        <v>2</v>
      </c>
      <c r="W199" s="3105">
        <v>40000</v>
      </c>
      <c r="X199" s="3107">
        <f t="shared" si="42"/>
        <v>80000</v>
      </c>
      <c r="Y199" s="3107">
        <f t="shared" si="43"/>
        <v>152000</v>
      </c>
      <c r="Z199" s="3107">
        <f>75*2</f>
        <v>150</v>
      </c>
      <c r="AA199" s="3106">
        <f>15000*2</f>
        <v>30000</v>
      </c>
      <c r="AB199" s="3106">
        <v>30000</v>
      </c>
      <c r="AC199" s="3108"/>
      <c r="AD199" s="3108"/>
      <c r="AE199" s="3106">
        <f t="shared" si="66"/>
        <v>30000</v>
      </c>
      <c r="AF199" s="3109">
        <f t="shared" si="59"/>
        <v>294000</v>
      </c>
    </row>
    <row r="200" spans="1:33" s="3095" customFormat="1" ht="30" customHeight="1">
      <c r="A200" s="3082">
        <v>3</v>
      </c>
      <c r="B200" s="3161" t="s">
        <v>1637</v>
      </c>
      <c r="C200" s="3162" t="s">
        <v>1638</v>
      </c>
      <c r="D200" s="3160" t="s">
        <v>1616</v>
      </c>
      <c r="E200" s="3084" t="s">
        <v>1723</v>
      </c>
      <c r="F200" s="3084" t="s">
        <v>1628</v>
      </c>
      <c r="G200" s="3080" t="s">
        <v>1190</v>
      </c>
      <c r="H200" s="3147" t="s">
        <v>1919</v>
      </c>
      <c r="I200" s="3085"/>
      <c r="J200" s="3085"/>
      <c r="K200" s="3104">
        <v>3</v>
      </c>
      <c r="L200" s="3102">
        <v>0</v>
      </c>
      <c r="M200" s="3086">
        <v>15000</v>
      </c>
      <c r="N200" s="3087">
        <f t="shared" si="62"/>
        <v>0</v>
      </c>
      <c r="O200" s="3080">
        <v>0</v>
      </c>
      <c r="P200" s="3086">
        <v>20000</v>
      </c>
      <c r="Q200" s="3088">
        <v>0</v>
      </c>
      <c r="R200" s="3089">
        <f t="shared" si="41"/>
        <v>0</v>
      </c>
      <c r="S200" s="3080">
        <f t="shared" si="63"/>
        <v>3</v>
      </c>
      <c r="T200" s="3086">
        <v>15000</v>
      </c>
      <c r="U200" s="3088">
        <f t="shared" si="64"/>
        <v>45000</v>
      </c>
      <c r="V200" s="3080">
        <v>0</v>
      </c>
      <c r="W200" s="3086">
        <v>20000</v>
      </c>
      <c r="X200" s="3088">
        <f t="shared" si="42"/>
        <v>0</v>
      </c>
      <c r="Y200" s="3089">
        <f t="shared" si="43"/>
        <v>45000</v>
      </c>
      <c r="Z200" s="3153">
        <v>0</v>
      </c>
      <c r="AA200" s="3152"/>
      <c r="AB200" s="3152">
        <f t="shared" ref="AB200" si="68">Z200*AA200</f>
        <v>0</v>
      </c>
      <c r="AC200" s="3154"/>
      <c r="AD200" s="3154"/>
      <c r="AE200" s="3152">
        <f t="shared" si="66"/>
        <v>0</v>
      </c>
      <c r="AF200" s="3094">
        <f t="shared" si="59"/>
        <v>45000</v>
      </c>
    </row>
    <row r="201" spans="1:33" s="3095" customFormat="1" ht="30" customHeight="1">
      <c r="A201" s="3082">
        <v>6</v>
      </c>
      <c r="B201" s="3097" t="s">
        <v>1660</v>
      </c>
      <c r="C201" s="3159" t="s">
        <v>1920</v>
      </c>
      <c r="D201" s="3160" t="s">
        <v>1616</v>
      </c>
      <c r="E201" s="3084" t="s">
        <v>1723</v>
      </c>
      <c r="F201" s="3084" t="s">
        <v>1628</v>
      </c>
      <c r="G201" s="3080" t="s">
        <v>1240</v>
      </c>
      <c r="H201" s="3147" t="s">
        <v>1362</v>
      </c>
      <c r="I201" s="3085"/>
      <c r="J201" s="3085"/>
      <c r="K201" s="3104">
        <v>3</v>
      </c>
      <c r="L201" s="3102">
        <v>2</v>
      </c>
      <c r="M201" s="3086">
        <v>36000</v>
      </c>
      <c r="N201" s="3087">
        <f t="shared" si="62"/>
        <v>72000</v>
      </c>
      <c r="O201" s="3080">
        <f t="shared" ref="O201:O204" si="69">L201-1</f>
        <v>1</v>
      </c>
      <c r="P201" s="3086">
        <v>20000</v>
      </c>
      <c r="Q201" s="3088">
        <f t="shared" ref="Q201" si="70">P201*O201</f>
        <v>20000</v>
      </c>
      <c r="R201" s="3089">
        <f t="shared" si="41"/>
        <v>92000</v>
      </c>
      <c r="S201" s="3080">
        <f t="shared" si="63"/>
        <v>3</v>
      </c>
      <c r="T201" s="3086">
        <v>36000</v>
      </c>
      <c r="U201" s="3088">
        <f t="shared" si="64"/>
        <v>108000</v>
      </c>
      <c r="V201" s="3080">
        <f t="shared" ref="V201" si="71">S201</f>
        <v>3</v>
      </c>
      <c r="W201" s="3086">
        <v>20000</v>
      </c>
      <c r="X201" s="3088">
        <f t="shared" si="42"/>
        <v>60000</v>
      </c>
      <c r="Y201" s="3089">
        <f t="shared" si="43"/>
        <v>168000</v>
      </c>
      <c r="Z201" s="3153">
        <f>45*2</f>
        <v>90</v>
      </c>
      <c r="AA201" s="3152">
        <v>30000</v>
      </c>
      <c r="AB201" s="3152">
        <v>30000</v>
      </c>
      <c r="AC201" s="3154"/>
      <c r="AD201" s="3154"/>
      <c r="AE201" s="3152">
        <f t="shared" si="66"/>
        <v>30000</v>
      </c>
      <c r="AF201" s="3094">
        <f t="shared" si="59"/>
        <v>290000</v>
      </c>
    </row>
    <row r="202" spans="1:33" s="3095" customFormat="1" ht="30" customHeight="1">
      <c r="A202" s="3082">
        <v>4</v>
      </c>
      <c r="B202" s="3097" t="s">
        <v>1664</v>
      </c>
      <c r="C202" s="3163" t="s">
        <v>1665</v>
      </c>
      <c r="D202" s="3160" t="s">
        <v>1616</v>
      </c>
      <c r="E202" s="3084" t="s">
        <v>1723</v>
      </c>
      <c r="F202" s="3084" t="s">
        <v>1628</v>
      </c>
      <c r="G202" s="3080" t="s">
        <v>1240</v>
      </c>
      <c r="H202" s="3147" t="s">
        <v>1395</v>
      </c>
      <c r="I202" s="3085"/>
      <c r="J202" s="3085"/>
      <c r="K202" s="3104">
        <v>3</v>
      </c>
      <c r="L202" s="3102">
        <v>2</v>
      </c>
      <c r="M202" s="3086">
        <v>36000</v>
      </c>
      <c r="N202" s="3087">
        <f t="shared" si="62"/>
        <v>72000</v>
      </c>
      <c r="O202" s="3080">
        <f t="shared" si="69"/>
        <v>1</v>
      </c>
      <c r="P202" s="3086">
        <v>20000</v>
      </c>
      <c r="Q202" s="3088">
        <f t="shared" si="40"/>
        <v>20000</v>
      </c>
      <c r="R202" s="3089">
        <f t="shared" si="41"/>
        <v>92000</v>
      </c>
      <c r="S202" s="3080">
        <f t="shared" si="63"/>
        <v>3</v>
      </c>
      <c r="T202" s="3086">
        <v>36000</v>
      </c>
      <c r="U202" s="3088">
        <f t="shared" si="64"/>
        <v>108000</v>
      </c>
      <c r="V202" s="3080">
        <f t="shared" si="49"/>
        <v>3</v>
      </c>
      <c r="W202" s="3086">
        <v>20000</v>
      </c>
      <c r="X202" s="3088">
        <f t="shared" si="42"/>
        <v>60000</v>
      </c>
      <c r="Y202" s="3089">
        <f t="shared" si="43"/>
        <v>168000</v>
      </c>
      <c r="Z202" s="3153">
        <f>87*2</f>
        <v>174</v>
      </c>
      <c r="AA202" s="3152">
        <v>60000</v>
      </c>
      <c r="AB202" s="3152">
        <v>60000</v>
      </c>
      <c r="AC202" s="3154"/>
      <c r="AD202" s="3154"/>
      <c r="AE202" s="3152">
        <f t="shared" si="66"/>
        <v>60000</v>
      </c>
      <c r="AF202" s="3094">
        <f t="shared" si="59"/>
        <v>320000</v>
      </c>
    </row>
    <row r="203" spans="1:33" s="3095" customFormat="1" ht="30" customHeight="1">
      <c r="A203" s="3082">
        <v>5</v>
      </c>
      <c r="B203" s="3097" t="s">
        <v>1921</v>
      </c>
      <c r="C203" s="3202" t="s">
        <v>1922</v>
      </c>
      <c r="D203" s="3160" t="s">
        <v>1616</v>
      </c>
      <c r="E203" s="3084" t="s">
        <v>1723</v>
      </c>
      <c r="F203" s="3084" t="s">
        <v>1628</v>
      </c>
      <c r="G203" s="3080" t="s">
        <v>1240</v>
      </c>
      <c r="H203" s="3147" t="s">
        <v>1575</v>
      </c>
      <c r="I203" s="3085"/>
      <c r="J203" s="3085"/>
      <c r="K203" s="3104">
        <v>3</v>
      </c>
      <c r="L203" s="3102">
        <v>2</v>
      </c>
      <c r="M203" s="3086">
        <v>36000</v>
      </c>
      <c r="N203" s="3087">
        <f t="shared" si="62"/>
        <v>72000</v>
      </c>
      <c r="O203" s="3080">
        <f t="shared" si="69"/>
        <v>1</v>
      </c>
      <c r="P203" s="3086">
        <v>20000</v>
      </c>
      <c r="Q203" s="3088">
        <f t="shared" si="40"/>
        <v>20000</v>
      </c>
      <c r="R203" s="3089">
        <f t="shared" si="41"/>
        <v>92000</v>
      </c>
      <c r="S203" s="3080">
        <f t="shared" si="63"/>
        <v>3</v>
      </c>
      <c r="T203" s="3086">
        <v>36000</v>
      </c>
      <c r="U203" s="3088">
        <f t="shared" si="64"/>
        <v>108000</v>
      </c>
      <c r="V203" s="3080">
        <f t="shared" si="49"/>
        <v>3</v>
      </c>
      <c r="W203" s="3086">
        <v>20000</v>
      </c>
      <c r="X203" s="3088">
        <f t="shared" si="42"/>
        <v>60000</v>
      </c>
      <c r="Y203" s="3089">
        <f t="shared" si="43"/>
        <v>168000</v>
      </c>
      <c r="Z203" s="3153">
        <f>52*2</f>
        <v>104</v>
      </c>
      <c r="AA203" s="3152">
        <v>50000</v>
      </c>
      <c r="AB203" s="3152">
        <v>50000</v>
      </c>
      <c r="AC203" s="3154"/>
      <c r="AD203" s="3154"/>
      <c r="AE203" s="3152">
        <f t="shared" si="66"/>
        <v>50000</v>
      </c>
      <c r="AF203" s="3094">
        <f t="shared" si="59"/>
        <v>310000</v>
      </c>
    </row>
    <row r="204" spans="1:33" s="3095" customFormat="1" ht="30" customHeight="1">
      <c r="A204" s="3082">
        <v>7</v>
      </c>
      <c r="B204" s="3097" t="s">
        <v>1662</v>
      </c>
      <c r="C204" s="3159" t="s">
        <v>1663</v>
      </c>
      <c r="D204" s="3160" t="s">
        <v>1616</v>
      </c>
      <c r="E204" s="3084" t="s">
        <v>1723</v>
      </c>
      <c r="F204" s="3084" t="s">
        <v>1628</v>
      </c>
      <c r="G204" s="3080" t="s">
        <v>1240</v>
      </c>
      <c r="H204" s="3147" t="s">
        <v>1380</v>
      </c>
      <c r="I204" s="3085"/>
      <c r="J204" s="3085"/>
      <c r="K204" s="3104">
        <v>3</v>
      </c>
      <c r="L204" s="3102">
        <v>2</v>
      </c>
      <c r="M204" s="3086">
        <v>36000</v>
      </c>
      <c r="N204" s="3087">
        <f t="shared" si="62"/>
        <v>72000</v>
      </c>
      <c r="O204" s="3080">
        <f t="shared" si="69"/>
        <v>1</v>
      </c>
      <c r="P204" s="3086">
        <v>20000</v>
      </c>
      <c r="Q204" s="3088">
        <f t="shared" si="40"/>
        <v>20000</v>
      </c>
      <c r="R204" s="3089">
        <f t="shared" si="41"/>
        <v>92000</v>
      </c>
      <c r="S204" s="3080">
        <f t="shared" si="63"/>
        <v>3</v>
      </c>
      <c r="T204" s="3086">
        <v>36000</v>
      </c>
      <c r="U204" s="3088">
        <f t="shared" si="64"/>
        <v>108000</v>
      </c>
      <c r="V204" s="3080">
        <f t="shared" si="49"/>
        <v>3</v>
      </c>
      <c r="W204" s="3086">
        <v>20000</v>
      </c>
      <c r="X204" s="3088">
        <f t="shared" si="42"/>
        <v>60000</v>
      </c>
      <c r="Y204" s="3089">
        <f t="shared" si="43"/>
        <v>168000</v>
      </c>
      <c r="Z204" s="3153">
        <f>169*2</f>
        <v>338</v>
      </c>
      <c r="AA204" s="3152">
        <v>50000</v>
      </c>
      <c r="AB204" s="3152">
        <v>50000</v>
      </c>
      <c r="AC204" s="3154"/>
      <c r="AD204" s="3154"/>
      <c r="AE204" s="3152">
        <f t="shared" si="66"/>
        <v>50000</v>
      </c>
      <c r="AF204" s="3094">
        <f t="shared" si="59"/>
        <v>310000</v>
      </c>
    </row>
    <row r="205" spans="1:33" ht="24.95" customHeight="1">
      <c r="D205" s="3079"/>
      <c r="E205" s="3079"/>
      <c r="L205" s="3079"/>
      <c r="M205" s="3079"/>
      <c r="O205" s="3164" t="s">
        <v>285</v>
      </c>
      <c r="R205" s="3165">
        <f>SUM(R19:R204)</f>
        <v>1584000</v>
      </c>
      <c r="T205" s="3166"/>
      <c r="U205" s="3166"/>
      <c r="V205" s="3166"/>
      <c r="W205" s="3166"/>
      <c r="X205" s="3166"/>
      <c r="Y205" s="3165">
        <f>SUM(Y19:Y204)</f>
        <v>18830000</v>
      </c>
      <c r="Z205" s="3079"/>
      <c r="AC205" s="3167"/>
      <c r="AD205" s="3167"/>
      <c r="AE205" s="3165">
        <f>SUM(AE19:AE204)</f>
        <v>2537830</v>
      </c>
      <c r="AF205" s="3168">
        <f>SUM(AF19:AF204)</f>
        <v>22951830</v>
      </c>
      <c r="AG205" s="3169"/>
    </row>
    <row r="206" spans="1:33">
      <c r="B206" s="3170" t="s">
        <v>1666</v>
      </c>
      <c r="AF206" s="3173">
        <v>4688000</v>
      </c>
    </row>
    <row r="207" spans="1:33">
      <c r="B207" s="3170"/>
      <c r="AF207" s="3174">
        <f>+AF205+AF206</f>
        <v>27639830</v>
      </c>
    </row>
    <row r="208" spans="1:33" s="3175" customFormat="1" ht="42.75" customHeight="1">
      <c r="C208" s="3176" t="s">
        <v>1667</v>
      </c>
      <c r="D208" s="3177"/>
      <c r="E208" s="3177"/>
      <c r="M208" s="3178"/>
      <c r="P208" s="3179"/>
      <c r="Q208" s="3180"/>
      <c r="R208" s="3180"/>
      <c r="S208" s="3178"/>
      <c r="T208" s="3178"/>
      <c r="V208" s="3426" t="s">
        <v>1668</v>
      </c>
      <c r="W208" s="3426"/>
      <c r="X208" s="3426"/>
      <c r="AF208" s="3173">
        <v>33068400</v>
      </c>
      <c r="AG208" s="3174">
        <f>+AF208-AF207</f>
        <v>5428570</v>
      </c>
    </row>
    <row r="209" spans="12:31">
      <c r="L209" s="3079"/>
      <c r="S209" s="3079"/>
      <c r="T209" s="3166"/>
      <c r="X209" s="3172"/>
      <c r="Z209" s="3079"/>
      <c r="AE209" s="3079"/>
    </row>
    <row r="210" spans="12:31">
      <c r="L210" s="3079"/>
      <c r="S210" s="3079"/>
      <c r="T210" s="3166"/>
      <c r="X210" s="3172"/>
      <c r="Z210" s="3079"/>
      <c r="AE210" s="3079"/>
    </row>
    <row r="211" spans="12:31">
      <c r="L211" s="3079"/>
      <c r="S211" s="3079"/>
      <c r="T211" s="3166"/>
      <c r="X211" s="3172"/>
      <c r="Z211" s="3079"/>
      <c r="AE211" s="3079"/>
    </row>
    <row r="212" spans="12:31">
      <c r="L212" s="3079"/>
      <c r="S212" s="3079"/>
      <c r="T212" s="3166"/>
      <c r="X212" s="3172"/>
      <c r="Z212" s="3079"/>
      <c r="AE212" s="3079"/>
    </row>
    <row r="213" spans="12:31">
      <c r="L213" s="3079"/>
      <c r="S213" s="3079"/>
      <c r="T213" s="3166"/>
      <c r="X213" s="3172"/>
      <c r="Z213" s="3079"/>
      <c r="AE213" s="3079"/>
    </row>
    <row r="214" spans="12:31">
      <c r="L214" s="3079"/>
      <c r="S214" s="3079"/>
      <c r="T214" s="3166"/>
      <c r="X214" s="3172"/>
      <c r="Z214" s="3079"/>
      <c r="AE214" s="3079"/>
    </row>
    <row r="215" spans="12:31">
      <c r="L215" s="3079"/>
      <c r="S215" s="3079"/>
      <c r="T215" s="3166"/>
      <c r="X215" s="3172"/>
      <c r="Z215" s="3079"/>
      <c r="AE215" s="3079"/>
    </row>
  </sheetData>
  <autoFilter ref="A18:AG208" xr:uid="{3BE0A15D-45B3-4DDD-A181-47C6C1228133}"/>
  <mergeCells count="29">
    <mergeCell ref="V208:X208"/>
    <mergeCell ref="AF15:AF18"/>
    <mergeCell ref="L16:N17"/>
    <mergeCell ref="O16:Q17"/>
    <mergeCell ref="R16:R18"/>
    <mergeCell ref="S16:U17"/>
    <mergeCell ref="V16:X17"/>
    <mergeCell ref="Z16:Z18"/>
    <mergeCell ref="AA16:AA18"/>
    <mergeCell ref="AB16:AB18"/>
    <mergeCell ref="AC16:AC18"/>
    <mergeCell ref="Z15:AE15"/>
    <mergeCell ref="AD16:AD18"/>
    <mergeCell ref="AE16:AE18"/>
    <mergeCell ref="A12:AF12"/>
    <mergeCell ref="A15:A18"/>
    <mergeCell ref="B15:B18"/>
    <mergeCell ref="C15:C18"/>
    <mergeCell ref="D15:D18"/>
    <mergeCell ref="E15:E18"/>
    <mergeCell ref="F15:F18"/>
    <mergeCell ref="G15:G18"/>
    <mergeCell ref="H15:H18"/>
    <mergeCell ref="I15:I18"/>
    <mergeCell ref="J15:J18"/>
    <mergeCell ref="K15:K18"/>
    <mergeCell ref="L15:R15"/>
    <mergeCell ref="S15:X15"/>
    <mergeCell ref="Y15:Y18"/>
  </mergeCells>
  <pageMargins left="0.39370078740157483" right="0.39370078740157483" top="0.39370078740157483" bottom="0.39370078740157483" header="0.31496062992125984" footer="0.31496062992125984"/>
  <pageSetup paperSize="9" scale="40" fitToHeight="0" orientation="landscape" r:id="rId1"/>
  <headerFooter>
    <oddFooter>Page &amp;P de &amp;N</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59999389629810485"/>
  </sheetPr>
  <dimension ref="A1:AH676"/>
  <sheetViews>
    <sheetView zoomScale="71" zoomScaleNormal="71" workbookViewId="0">
      <selection activeCell="A656" sqref="A656:XFD667"/>
    </sheetView>
  </sheetViews>
  <sheetFormatPr baseColWidth="10" defaultColWidth="11.42578125" defaultRowHeight="15.75"/>
  <cols>
    <col min="1" max="1" width="9" style="341" bestFit="1" customWidth="1"/>
    <col min="2" max="2" width="57.28515625" style="991" customWidth="1"/>
    <col min="3" max="3" width="60.5703125" style="1095" customWidth="1"/>
    <col min="4" max="4" width="13.28515625" style="357" customWidth="1"/>
    <col min="5" max="5" width="18.7109375" style="341" customWidth="1"/>
    <col min="6" max="6" width="14.7109375" style="340" customWidth="1"/>
    <col min="7" max="7" width="16.28515625" style="340" bestFit="1" customWidth="1"/>
    <col min="8" max="8" width="39" style="340" customWidth="1"/>
    <col min="9" max="9" width="22.28515625" style="341" bestFit="1" customWidth="1"/>
    <col min="10" max="10" width="28.28515625" style="336" customWidth="1"/>
    <col min="11" max="11" width="44.7109375" style="357" hidden="1" customWidth="1"/>
    <col min="12" max="12" width="9.85546875" style="1246" hidden="1" customWidth="1"/>
    <col min="13" max="13" width="19" style="357" hidden="1" customWidth="1"/>
    <col min="14" max="14" width="33" style="341" hidden="1" customWidth="1"/>
    <col min="15" max="15" width="19.42578125" style="1018" hidden="1" customWidth="1"/>
    <col min="16" max="16" width="14.140625" style="341" hidden="1" customWidth="1"/>
    <col min="17" max="17" width="23.28515625" style="344" customWidth="1"/>
    <col min="18" max="18" width="18.85546875" style="344" customWidth="1"/>
    <col min="19" max="19" width="17.5703125" style="577" customWidth="1"/>
    <col min="20" max="20" width="19.85546875" style="577" bestFit="1" customWidth="1"/>
    <col min="21" max="24" width="20.5703125" style="577" bestFit="1" customWidth="1"/>
    <col min="25" max="25" width="18.42578125" style="577" customWidth="1"/>
    <col min="26" max="26" width="18" style="1019" customWidth="1"/>
    <col min="27" max="27" width="17.7109375" style="1019" customWidth="1"/>
    <col min="28" max="28" width="16.5703125" style="1019" bestFit="1" customWidth="1"/>
    <col min="29" max="29" width="14.28515625" style="357" bestFit="1" customWidth="1"/>
    <col min="30" max="30" width="18.28515625" style="357" customWidth="1"/>
    <col min="31" max="31" width="14.28515625" bestFit="1" customWidth="1"/>
    <col min="32" max="32" width="14.28515625" style="357" bestFit="1" customWidth="1"/>
    <col min="33" max="33" width="22.28515625" style="574" bestFit="1" customWidth="1"/>
    <col min="34" max="34" width="15.85546875" style="357" customWidth="1"/>
    <col min="35" max="16384" width="11.42578125" style="357"/>
  </cols>
  <sheetData>
    <row r="1" spans="1:33" s="238" customFormat="1">
      <c r="A1" s="1249"/>
      <c r="B1" s="235"/>
      <c r="C1" s="235"/>
      <c r="D1" s="1250"/>
      <c r="E1" s="1249"/>
      <c r="F1" s="237"/>
      <c r="G1" s="237"/>
      <c r="H1" s="237"/>
      <c r="I1" s="237"/>
      <c r="J1" s="1486"/>
      <c r="L1" s="1228"/>
      <c r="N1" s="237"/>
      <c r="O1" s="239"/>
      <c r="P1" s="237"/>
      <c r="Q1" s="241"/>
      <c r="R1" s="241"/>
      <c r="S1" s="239"/>
      <c r="T1" s="239"/>
      <c r="U1" s="239"/>
      <c r="V1" s="239"/>
      <c r="W1" s="239"/>
      <c r="X1" s="239"/>
      <c r="Y1" s="239"/>
      <c r="Z1" s="242"/>
      <c r="AA1" s="242"/>
      <c r="AB1" s="242"/>
      <c r="AG1" s="239"/>
    </row>
    <row r="2" spans="1:33" s="238" customFormat="1" ht="31.5" customHeight="1">
      <c r="A2" s="3395" t="s">
        <v>202</v>
      </c>
      <c r="B2" s="3395"/>
      <c r="C2" s="3395"/>
      <c r="D2" s="3395"/>
      <c r="E2" s="3395"/>
      <c r="F2" s="3395"/>
      <c r="G2" s="3395"/>
      <c r="H2" s="3395"/>
      <c r="I2" s="3395"/>
      <c r="J2" s="3395"/>
      <c r="K2" s="3395"/>
      <c r="L2" s="3395"/>
      <c r="M2" s="3395"/>
      <c r="N2" s="3395"/>
      <c r="O2" s="3395"/>
      <c r="P2" s="3395"/>
      <c r="Q2" s="3395"/>
      <c r="R2" s="3395"/>
      <c r="S2" s="3395"/>
      <c r="T2" s="3395"/>
      <c r="U2" s="3395"/>
      <c r="V2" s="3395"/>
      <c r="W2" s="3395"/>
      <c r="X2" s="3395"/>
      <c r="Y2" s="3395"/>
      <c r="Z2" s="3395"/>
      <c r="AA2" s="3395"/>
      <c r="AB2" s="3395"/>
      <c r="AC2" s="3395"/>
      <c r="AD2" s="3395"/>
      <c r="AE2" s="3395"/>
      <c r="AF2" s="3395"/>
      <c r="AG2" s="3395"/>
    </row>
    <row r="3" spans="1:33" s="249" customFormat="1" ht="15.75" customHeight="1">
      <c r="A3" s="1252"/>
      <c r="B3" s="244"/>
      <c r="C3" s="1020"/>
      <c r="D3" s="1251"/>
      <c r="E3" s="1252"/>
      <c r="F3" s="1252"/>
      <c r="G3" s="1252"/>
      <c r="H3" s="1251"/>
      <c r="I3" s="1252"/>
      <c r="J3" s="245"/>
      <c r="K3" s="1253"/>
      <c r="L3" s="1254"/>
      <c r="M3" s="1251"/>
      <c r="N3" s="1252"/>
      <c r="O3" s="1255"/>
      <c r="P3" s="1252"/>
      <c r="Q3" s="1257"/>
      <c r="R3" s="1257"/>
      <c r="S3" s="1251"/>
      <c r="T3" s="1251"/>
      <c r="U3" s="1251"/>
      <c r="V3" s="1251"/>
      <c r="Z3" s="250"/>
      <c r="AA3" s="250"/>
      <c r="AB3" s="250"/>
    </row>
    <row r="4" spans="1:33" s="255" customFormat="1" ht="15">
      <c r="A4" s="1258"/>
      <c r="B4" s="252"/>
      <c r="C4" s="252"/>
      <c r="D4" s="1259"/>
      <c r="E4" s="1258"/>
      <c r="F4" s="254"/>
      <c r="G4" s="254"/>
      <c r="H4" s="254"/>
      <c r="I4" s="254"/>
      <c r="J4" s="1487"/>
      <c r="L4" s="1229"/>
      <c r="N4" s="254"/>
      <c r="O4" s="256"/>
      <c r="P4" s="254"/>
      <c r="Q4" s="258"/>
      <c r="R4" s="258"/>
      <c r="S4" s="256"/>
      <c r="T4" s="256"/>
      <c r="U4" s="256"/>
      <c r="V4" s="256"/>
      <c r="W4" s="256"/>
      <c r="X4" s="256"/>
      <c r="Y4" s="256"/>
      <c r="Z4" s="259"/>
      <c r="AA4" s="259"/>
      <c r="AB4" s="259"/>
    </row>
    <row r="5" spans="1:33" s="238" customFormat="1" ht="34.5" customHeight="1">
      <c r="A5" s="1523"/>
      <c r="B5" s="1494"/>
      <c r="C5" s="1494"/>
      <c r="D5" s="1259"/>
      <c r="E5" s="1258"/>
      <c r="F5" s="3396" t="s">
        <v>208</v>
      </c>
      <c r="G5" s="3396"/>
      <c r="H5" s="1483"/>
      <c r="I5" s="3397" t="s">
        <v>210</v>
      </c>
      <c r="J5" s="3398"/>
      <c r="Q5" s="2297"/>
      <c r="R5" s="2297"/>
      <c r="S5" s="3392" t="s">
        <v>219</v>
      </c>
      <c r="T5" s="3393"/>
      <c r="U5" s="3393"/>
      <c r="V5" s="3393"/>
      <c r="W5" s="3393"/>
      <c r="X5" s="3393"/>
      <c r="Y5" s="3394"/>
      <c r="Z5" s="243"/>
      <c r="AA5" s="243"/>
      <c r="AB5" s="243"/>
    </row>
    <row r="6" spans="1:33" s="237" customFormat="1" ht="60" customHeight="1">
      <c r="A6" s="1453" t="s">
        <v>203</v>
      </c>
      <c r="B6" s="1458" t="s">
        <v>204</v>
      </c>
      <c r="C6" s="1458" t="s">
        <v>205</v>
      </c>
      <c r="D6" s="1610" t="s">
        <v>206</v>
      </c>
      <c r="E6" s="1611" t="s">
        <v>207</v>
      </c>
      <c r="F6" s="1260" t="s">
        <v>220</v>
      </c>
      <c r="G6" s="261" t="s">
        <v>221</v>
      </c>
      <c r="H6" s="1612" t="s">
        <v>209</v>
      </c>
      <c r="I6" s="262" t="s">
        <v>222</v>
      </c>
      <c r="J6" s="262" t="s">
        <v>288</v>
      </c>
      <c r="K6" s="1454" t="s">
        <v>211</v>
      </c>
      <c r="L6" s="1453" t="s">
        <v>212</v>
      </c>
      <c r="M6" s="1457" t="s">
        <v>213</v>
      </c>
      <c r="N6" s="1457" t="s">
        <v>214</v>
      </c>
      <c r="O6" s="1613" t="s">
        <v>215</v>
      </c>
      <c r="P6" s="1454" t="s">
        <v>216</v>
      </c>
      <c r="Q6" s="2802" t="s">
        <v>286</v>
      </c>
      <c r="R6" s="1485" t="s">
        <v>287</v>
      </c>
      <c r="S6" s="263" t="s">
        <v>224</v>
      </c>
      <c r="T6" s="263" t="s">
        <v>225</v>
      </c>
      <c r="U6" s="263" t="s">
        <v>226</v>
      </c>
      <c r="V6" s="263" t="s">
        <v>227</v>
      </c>
      <c r="W6" s="263" t="s">
        <v>228</v>
      </c>
      <c r="X6" s="263" t="s">
        <v>229</v>
      </c>
      <c r="Y6" s="263" t="s">
        <v>230</v>
      </c>
      <c r="Z6" s="264" t="s">
        <v>289</v>
      </c>
      <c r="AA6" s="264" t="s">
        <v>290</v>
      </c>
      <c r="AB6" s="264" t="s">
        <v>291</v>
      </c>
      <c r="AC6" s="264" t="s">
        <v>975</v>
      </c>
      <c r="AD6" s="264" t="s">
        <v>976</v>
      </c>
      <c r="AE6" s="264" t="s">
        <v>224</v>
      </c>
      <c r="AF6" s="264" t="s">
        <v>225</v>
      </c>
      <c r="AG6" s="264" t="s">
        <v>41</v>
      </c>
    </row>
    <row r="7" spans="1:33" ht="33.75" customHeight="1">
      <c r="A7" s="1815" t="s">
        <v>231</v>
      </c>
      <c r="B7" s="1816"/>
      <c r="C7" s="1816"/>
      <c r="D7" s="1815"/>
      <c r="E7" s="1815"/>
      <c r="F7" s="1815"/>
      <c r="G7" s="1815"/>
      <c r="H7" s="1815"/>
      <c r="I7" s="1815"/>
      <c r="J7" s="835"/>
      <c r="K7" s="1815"/>
      <c r="L7" s="1817"/>
      <c r="M7" s="1818"/>
      <c r="N7" s="1819"/>
      <c r="O7" s="1820"/>
      <c r="P7" s="1819"/>
      <c r="Q7" s="1822">
        <f>+Q8+Q95</f>
        <v>449060.34300000005</v>
      </c>
      <c r="R7" s="1822">
        <f>+'[2]Compil Costing PPA 3 millions'!F5</f>
        <v>449500</v>
      </c>
      <c r="S7" s="1821">
        <f t="shared" ref="S7:AF7" si="0">+S8+S95</f>
        <v>0</v>
      </c>
      <c r="T7" s="1821">
        <f t="shared" si="0"/>
        <v>90453.066333333336</v>
      </c>
      <c r="U7" s="1821">
        <f t="shared" si="0"/>
        <v>77449.332666666669</v>
      </c>
      <c r="V7" s="1821">
        <f t="shared" si="0"/>
        <v>162495.72499999998</v>
      </c>
      <c r="W7" s="1821">
        <f t="shared" si="0"/>
        <v>83069.552333333326</v>
      </c>
      <c r="X7" s="1821">
        <f t="shared" si="0"/>
        <v>11161.666666666668</v>
      </c>
      <c r="Y7" s="1821">
        <f t="shared" si="0"/>
        <v>24431</v>
      </c>
      <c r="Z7" s="1821">
        <f t="shared" si="0"/>
        <v>0</v>
      </c>
      <c r="AA7" s="1821">
        <f t="shared" si="0"/>
        <v>0</v>
      </c>
      <c r="AB7" s="1821">
        <f t="shared" si="0"/>
        <v>0</v>
      </c>
      <c r="AC7" s="1821">
        <f t="shared" si="0"/>
        <v>0</v>
      </c>
      <c r="AD7" s="1821">
        <f t="shared" si="0"/>
        <v>0</v>
      </c>
      <c r="AE7" s="1821">
        <f t="shared" si="0"/>
        <v>0</v>
      </c>
      <c r="AF7" s="1821">
        <f t="shared" si="0"/>
        <v>0</v>
      </c>
      <c r="AG7" s="1821">
        <f>+AG8+AG95</f>
        <v>449060.34299999999</v>
      </c>
    </row>
    <row r="8" spans="1:33" ht="37.5" customHeight="1">
      <c r="A8" s="1248" t="s">
        <v>232</v>
      </c>
      <c r="B8" s="278"/>
      <c r="C8" s="278"/>
      <c r="D8" s="1248"/>
      <c r="E8" s="1248"/>
      <c r="F8" s="1248"/>
      <c r="G8" s="1248"/>
      <c r="H8" s="1248"/>
      <c r="I8" s="1248"/>
      <c r="J8" s="273"/>
      <c r="K8" s="1248"/>
      <c r="L8" s="1269"/>
      <c r="M8" s="1270"/>
      <c r="N8" s="1268"/>
      <c r="O8" s="1271"/>
      <c r="P8" s="1268"/>
      <c r="Q8" s="1273">
        <f>Q9</f>
        <v>134501.66666666669</v>
      </c>
      <c r="R8" s="1273">
        <f>R9</f>
        <v>0</v>
      </c>
      <c r="S8" s="1272">
        <f t="shared" ref="S8:AF8" si="1">S9</f>
        <v>0</v>
      </c>
      <c r="T8" s="1272">
        <f t="shared" si="1"/>
        <v>12036.666666666666</v>
      </c>
      <c r="U8" s="1272">
        <f t="shared" si="1"/>
        <v>30715.333333333332</v>
      </c>
      <c r="V8" s="1272">
        <f t="shared" si="1"/>
        <v>50562</v>
      </c>
      <c r="W8" s="1272">
        <f t="shared" si="1"/>
        <v>37168</v>
      </c>
      <c r="X8" s="1272">
        <f t="shared" si="1"/>
        <v>4019.666666666667</v>
      </c>
      <c r="Y8" s="1272">
        <f t="shared" si="1"/>
        <v>0</v>
      </c>
      <c r="Z8" s="1272">
        <f t="shared" si="1"/>
        <v>0</v>
      </c>
      <c r="AA8" s="1272">
        <f t="shared" si="1"/>
        <v>0</v>
      </c>
      <c r="AB8" s="1272">
        <f t="shared" si="1"/>
        <v>0</v>
      </c>
      <c r="AC8" s="1272">
        <f t="shared" si="1"/>
        <v>0</v>
      </c>
      <c r="AD8" s="1272">
        <f t="shared" si="1"/>
        <v>0</v>
      </c>
      <c r="AE8" s="1272">
        <f t="shared" si="1"/>
        <v>0</v>
      </c>
      <c r="AF8" s="1272">
        <f t="shared" si="1"/>
        <v>0</v>
      </c>
      <c r="AG8" s="1272">
        <f>AG9</f>
        <v>134501.66666666666</v>
      </c>
    </row>
    <row r="9" spans="1:33" ht="31.5">
      <c r="A9" s="1275">
        <v>111</v>
      </c>
      <c r="B9" s="1465" t="s">
        <v>619</v>
      </c>
      <c r="C9" s="1496" t="s">
        <v>1103</v>
      </c>
      <c r="D9" s="1276"/>
      <c r="E9" s="1276"/>
      <c r="F9" s="1276"/>
      <c r="G9" s="1276"/>
      <c r="H9" s="1276"/>
      <c r="I9" s="1276"/>
      <c r="J9" s="283"/>
      <c r="K9" s="1278"/>
      <c r="L9" s="1279"/>
      <c r="M9" s="1280"/>
      <c r="N9" s="1277"/>
      <c r="O9" s="1281"/>
      <c r="P9" s="1277"/>
      <c r="Q9" s="547">
        <v>134501.66666666669</v>
      </c>
      <c r="R9" s="287"/>
      <c r="S9" s="1282">
        <f t="shared" ref="S9:AF9" si="2">SUM(S11:S94)</f>
        <v>0</v>
      </c>
      <c r="T9" s="1282">
        <f>SUM(T11:T94)</f>
        <v>12036.666666666666</v>
      </c>
      <c r="U9" s="1282">
        <f>SUM(U11:U94)</f>
        <v>30715.333333333332</v>
      </c>
      <c r="V9" s="1282">
        <f t="shared" si="2"/>
        <v>50562</v>
      </c>
      <c r="W9" s="1282">
        <f t="shared" si="2"/>
        <v>37168</v>
      </c>
      <c r="X9" s="1282">
        <f t="shared" si="2"/>
        <v>4019.666666666667</v>
      </c>
      <c r="Y9" s="1282">
        <f t="shared" si="2"/>
        <v>0</v>
      </c>
      <c r="Z9" s="1282">
        <f t="shared" si="2"/>
        <v>0</v>
      </c>
      <c r="AA9" s="1282">
        <f t="shared" si="2"/>
        <v>0</v>
      </c>
      <c r="AB9" s="1282">
        <f t="shared" si="2"/>
        <v>0</v>
      </c>
      <c r="AC9" s="1282">
        <f t="shared" si="2"/>
        <v>0</v>
      </c>
      <c r="AD9" s="1282">
        <f t="shared" si="2"/>
        <v>0</v>
      </c>
      <c r="AE9" s="1282">
        <f t="shared" si="2"/>
        <v>0</v>
      </c>
      <c r="AF9" s="1282">
        <f t="shared" si="2"/>
        <v>0</v>
      </c>
      <c r="AG9" s="1282">
        <f>SUM(S9:AF9)</f>
        <v>134501.66666666666</v>
      </c>
    </row>
    <row r="10" spans="1:33" ht="78.75" hidden="1">
      <c r="A10" s="2745">
        <v>1111</v>
      </c>
      <c r="B10" s="2746" t="s">
        <v>620</v>
      </c>
      <c r="C10" s="2747" t="s">
        <v>621</v>
      </c>
      <c r="D10" s="2732"/>
      <c r="E10" s="2749">
        <v>5</v>
      </c>
      <c r="F10" s="2750">
        <v>43206</v>
      </c>
      <c r="G10" s="2750">
        <f t="shared" ref="G10:G73" si="3">F10+E10-1</f>
        <v>43210</v>
      </c>
      <c r="H10" s="2751" t="s">
        <v>622</v>
      </c>
      <c r="I10" s="2749" t="s">
        <v>170</v>
      </c>
      <c r="J10" s="2752" t="s">
        <v>623</v>
      </c>
      <c r="K10" s="1705"/>
      <c r="L10" s="2735"/>
      <c r="M10" s="2736"/>
      <c r="N10" s="2737"/>
      <c r="O10" s="2738"/>
      <c r="P10" s="2737"/>
      <c r="Q10" s="2803"/>
      <c r="R10" s="1133"/>
      <c r="S10" s="1343"/>
      <c r="T10" s="1343"/>
      <c r="U10" s="1343"/>
      <c r="V10" s="1343"/>
      <c r="W10" s="1343"/>
      <c r="X10" s="2733"/>
      <c r="Y10" s="1343"/>
      <c r="Z10" s="1343"/>
      <c r="AA10" s="1343"/>
      <c r="AB10" s="1343"/>
      <c r="AC10" s="1343"/>
      <c r="AD10" s="1343"/>
      <c r="AE10" s="1343"/>
      <c r="AF10" s="1343"/>
      <c r="AG10" s="1343"/>
    </row>
    <row r="11" spans="1:33" ht="116.25" hidden="1" customHeight="1">
      <c r="A11" s="2745">
        <v>1111</v>
      </c>
      <c r="B11" s="2744" t="s">
        <v>620</v>
      </c>
      <c r="C11" s="1073" t="s">
        <v>621</v>
      </c>
      <c r="D11" s="1292"/>
      <c r="E11" s="1293">
        <v>5</v>
      </c>
      <c r="F11" s="1294">
        <v>43206</v>
      </c>
      <c r="G11" s="1294">
        <f t="shared" si="3"/>
        <v>43210</v>
      </c>
      <c r="H11" s="1292" t="s">
        <v>622</v>
      </c>
      <c r="I11" s="1293" t="s">
        <v>170</v>
      </c>
      <c r="J11" s="643" t="s">
        <v>623</v>
      </c>
      <c r="K11" s="1292" t="s">
        <v>624</v>
      </c>
      <c r="L11" s="1231">
        <v>23174</v>
      </c>
      <c r="M11" s="1292"/>
      <c r="N11" s="1292"/>
      <c r="O11" s="647">
        <v>84</v>
      </c>
      <c r="P11" s="1292">
        <v>1</v>
      </c>
      <c r="Q11" s="2381">
        <f>O11*P11</f>
        <v>84</v>
      </c>
      <c r="R11" s="956"/>
      <c r="S11" s="954"/>
      <c r="T11" s="1823">
        <v>84</v>
      </c>
      <c r="U11" s="954"/>
      <c r="V11" s="954"/>
      <c r="W11" s="954"/>
      <c r="X11" s="1166"/>
      <c r="Y11" s="1144"/>
      <c r="Z11" s="1124"/>
      <c r="AA11" s="1124"/>
      <c r="AB11" s="1124"/>
      <c r="AC11" s="1124"/>
      <c r="AD11" s="1124"/>
      <c r="AE11" s="1124"/>
      <c r="AF11" s="1124"/>
      <c r="AG11" s="1282">
        <f t="shared" ref="AG11:AG78" si="4">SUM(S11:AF11)</f>
        <v>84</v>
      </c>
    </row>
    <row r="12" spans="1:33" ht="116.25" hidden="1" customHeight="1">
      <c r="A12" s="2745">
        <v>1111</v>
      </c>
      <c r="B12" s="2744" t="s">
        <v>620</v>
      </c>
      <c r="C12" s="1073" t="s">
        <v>621</v>
      </c>
      <c r="D12" s="1292"/>
      <c r="E12" s="1293">
        <v>5</v>
      </c>
      <c r="F12" s="1294">
        <v>43206</v>
      </c>
      <c r="G12" s="1294">
        <f t="shared" si="3"/>
        <v>43210</v>
      </c>
      <c r="H12" s="1292" t="s">
        <v>622</v>
      </c>
      <c r="I12" s="1293" t="s">
        <v>170</v>
      </c>
      <c r="J12" s="643" t="s">
        <v>623</v>
      </c>
      <c r="K12" s="1292" t="s">
        <v>626</v>
      </c>
      <c r="L12" s="1231">
        <v>23174</v>
      </c>
      <c r="M12" s="1292"/>
      <c r="N12" s="1292"/>
      <c r="O12" s="647">
        <v>93.333333333333343</v>
      </c>
      <c r="P12" s="1292">
        <v>1</v>
      </c>
      <c r="Q12" s="2381">
        <f t="shared" ref="Q12:Q79" si="5">O12*P12</f>
        <v>93.333333333333343</v>
      </c>
      <c r="R12" s="956"/>
      <c r="S12" s="954"/>
      <c r="T12" s="1823">
        <v>93.333333333333343</v>
      </c>
      <c r="U12" s="954"/>
      <c r="V12" s="954"/>
      <c r="W12" s="954"/>
      <c r="X12" s="1166"/>
      <c r="Y12" s="1144"/>
      <c r="Z12" s="1124"/>
      <c r="AA12" s="1124"/>
      <c r="AB12" s="1124"/>
      <c r="AC12" s="1124"/>
      <c r="AD12" s="1124"/>
      <c r="AE12" s="1124"/>
      <c r="AF12" s="1124"/>
      <c r="AG12" s="1282">
        <f t="shared" si="4"/>
        <v>93.333333333333343</v>
      </c>
    </row>
    <row r="13" spans="1:33" ht="116.25" hidden="1" customHeight="1">
      <c r="A13" s="2745">
        <v>1111</v>
      </c>
      <c r="B13" s="2744" t="s">
        <v>620</v>
      </c>
      <c r="C13" s="1073" t="s">
        <v>621</v>
      </c>
      <c r="D13" s="1292"/>
      <c r="E13" s="1293">
        <v>5</v>
      </c>
      <c r="F13" s="1294">
        <v>43206</v>
      </c>
      <c r="G13" s="1294">
        <f t="shared" si="3"/>
        <v>43210</v>
      </c>
      <c r="H13" s="1292" t="s">
        <v>622</v>
      </c>
      <c r="I13" s="1293" t="s">
        <v>170</v>
      </c>
      <c r="J13" s="643" t="s">
        <v>623</v>
      </c>
      <c r="K13" s="1292" t="s">
        <v>627</v>
      </c>
      <c r="L13" s="1231">
        <v>23174</v>
      </c>
      <c r="M13" s="1292"/>
      <c r="N13" s="1292"/>
      <c r="O13" s="647">
        <v>70</v>
      </c>
      <c r="P13" s="1292">
        <v>1</v>
      </c>
      <c r="Q13" s="2381">
        <f t="shared" si="5"/>
        <v>70</v>
      </c>
      <c r="R13" s="956"/>
      <c r="S13" s="954"/>
      <c r="T13" s="1823">
        <v>70</v>
      </c>
      <c r="U13" s="954"/>
      <c r="V13" s="954"/>
      <c r="W13" s="954"/>
      <c r="X13" s="1166"/>
      <c r="Y13" s="1144"/>
      <c r="Z13" s="1124"/>
      <c r="AA13" s="1124"/>
      <c r="AB13" s="1124"/>
      <c r="AC13" s="1124"/>
      <c r="AD13" s="1124"/>
      <c r="AE13" s="1124"/>
      <c r="AF13" s="1124"/>
      <c r="AG13" s="1282">
        <f t="shared" si="4"/>
        <v>70</v>
      </c>
    </row>
    <row r="14" spans="1:33" ht="116.25" hidden="1" customHeight="1">
      <c r="A14" s="2745">
        <v>1111</v>
      </c>
      <c r="B14" s="2744" t="s">
        <v>620</v>
      </c>
      <c r="C14" s="1073" t="s">
        <v>621</v>
      </c>
      <c r="D14" s="1292"/>
      <c r="E14" s="1293">
        <v>5</v>
      </c>
      <c r="F14" s="1294">
        <v>43206</v>
      </c>
      <c r="G14" s="1294">
        <f t="shared" si="3"/>
        <v>43210</v>
      </c>
      <c r="H14" s="1292" t="s">
        <v>622</v>
      </c>
      <c r="I14" s="1293" t="s">
        <v>170</v>
      </c>
      <c r="J14" s="643" t="s">
        <v>623</v>
      </c>
      <c r="K14" s="1292" t="s">
        <v>628</v>
      </c>
      <c r="L14" s="1231">
        <v>23174</v>
      </c>
      <c r="M14" s="1292"/>
      <c r="N14" s="1292"/>
      <c r="O14" s="647">
        <v>46.666666666666671</v>
      </c>
      <c r="P14" s="1292">
        <v>1</v>
      </c>
      <c r="Q14" s="2381">
        <f t="shared" si="5"/>
        <v>46.666666666666671</v>
      </c>
      <c r="R14" s="956"/>
      <c r="S14" s="954"/>
      <c r="T14" s="1823">
        <v>46.666666666666671</v>
      </c>
      <c r="U14" s="954"/>
      <c r="V14" s="954"/>
      <c r="W14" s="954"/>
      <c r="X14" s="1166"/>
      <c r="Y14" s="1144"/>
      <c r="Z14" s="1124"/>
      <c r="AA14" s="1124"/>
      <c r="AB14" s="1124"/>
      <c r="AC14" s="1124"/>
      <c r="AD14" s="1124"/>
      <c r="AE14" s="1124"/>
      <c r="AF14" s="1124"/>
      <c r="AG14" s="1282">
        <f t="shared" si="4"/>
        <v>46.666666666666671</v>
      </c>
    </row>
    <row r="15" spans="1:33" ht="116.25" hidden="1" customHeight="1">
      <c r="A15" s="2745">
        <v>1111</v>
      </c>
      <c r="B15" s="2744" t="s">
        <v>620</v>
      </c>
      <c r="C15" s="1073" t="s">
        <v>621</v>
      </c>
      <c r="D15" s="1292"/>
      <c r="E15" s="1293">
        <v>5</v>
      </c>
      <c r="F15" s="1294">
        <v>43206</v>
      </c>
      <c r="G15" s="1294">
        <f t="shared" si="3"/>
        <v>43210</v>
      </c>
      <c r="H15" s="1292" t="s">
        <v>622</v>
      </c>
      <c r="I15" s="1293" t="s">
        <v>170</v>
      </c>
      <c r="J15" s="643" t="s">
        <v>623</v>
      </c>
      <c r="K15" s="1292" t="s">
        <v>629</v>
      </c>
      <c r="L15" s="1231">
        <v>23174</v>
      </c>
      <c r="M15" s="1292"/>
      <c r="N15" s="1292"/>
      <c r="O15" s="647">
        <v>336</v>
      </c>
      <c r="P15" s="1292">
        <v>1</v>
      </c>
      <c r="Q15" s="2381">
        <f t="shared" si="5"/>
        <v>336</v>
      </c>
      <c r="R15" s="956"/>
      <c r="S15" s="954"/>
      <c r="T15" s="1823">
        <v>336</v>
      </c>
      <c r="U15" s="954"/>
      <c r="V15" s="954"/>
      <c r="W15" s="954"/>
      <c r="X15" s="1166"/>
      <c r="Y15" s="1144"/>
      <c r="Z15" s="1124"/>
      <c r="AA15" s="1124"/>
      <c r="AB15" s="1124"/>
      <c r="AC15" s="1124"/>
      <c r="AD15" s="1124"/>
      <c r="AE15" s="1124"/>
      <c r="AF15" s="1124"/>
      <c r="AG15" s="1282">
        <f t="shared" si="4"/>
        <v>336</v>
      </c>
    </row>
    <row r="16" spans="1:33" ht="116.25" hidden="1" customHeight="1">
      <c r="A16" s="2745">
        <v>1111</v>
      </c>
      <c r="B16" s="2744" t="s">
        <v>620</v>
      </c>
      <c r="C16" s="1073" t="s">
        <v>621</v>
      </c>
      <c r="D16" s="1292"/>
      <c r="E16" s="1293">
        <v>5</v>
      </c>
      <c r="F16" s="1294">
        <v>43206</v>
      </c>
      <c r="G16" s="1294">
        <f t="shared" si="3"/>
        <v>43210</v>
      </c>
      <c r="H16" s="1292" t="s">
        <v>622</v>
      </c>
      <c r="I16" s="1293" t="s">
        <v>170</v>
      </c>
      <c r="J16" s="643" t="s">
        <v>623</v>
      </c>
      <c r="K16" s="1292" t="s">
        <v>630</v>
      </c>
      <c r="L16" s="1231">
        <v>23174</v>
      </c>
      <c r="M16" s="1292"/>
      <c r="N16" s="1292"/>
      <c r="O16" s="647">
        <v>373.33333333333337</v>
      </c>
      <c r="P16" s="1292">
        <v>1</v>
      </c>
      <c r="Q16" s="2381">
        <f t="shared" si="5"/>
        <v>373.33333333333337</v>
      </c>
      <c r="R16" s="956"/>
      <c r="S16" s="954"/>
      <c r="T16" s="1823">
        <v>373.33333333333337</v>
      </c>
      <c r="U16" s="954"/>
      <c r="V16" s="954"/>
      <c r="W16" s="954"/>
      <c r="X16" s="1166"/>
      <c r="Y16" s="1144"/>
      <c r="Z16" s="1124"/>
      <c r="AA16" s="1124"/>
      <c r="AB16" s="1124"/>
      <c r="AC16" s="1124"/>
      <c r="AD16" s="1124"/>
      <c r="AE16" s="1124"/>
      <c r="AF16" s="1124"/>
      <c r="AG16" s="1282">
        <f t="shared" si="4"/>
        <v>373.33333333333337</v>
      </c>
    </row>
    <row r="17" spans="1:33" ht="116.25" hidden="1" customHeight="1">
      <c r="A17" s="2745">
        <v>1111</v>
      </c>
      <c r="B17" s="2744" t="s">
        <v>620</v>
      </c>
      <c r="C17" s="1073" t="s">
        <v>621</v>
      </c>
      <c r="D17" s="1292"/>
      <c r="E17" s="1293">
        <v>5</v>
      </c>
      <c r="F17" s="1294">
        <v>43206</v>
      </c>
      <c r="G17" s="1294">
        <f t="shared" si="3"/>
        <v>43210</v>
      </c>
      <c r="H17" s="1292" t="s">
        <v>622</v>
      </c>
      <c r="I17" s="1293" t="s">
        <v>170</v>
      </c>
      <c r="J17" s="643" t="s">
        <v>623</v>
      </c>
      <c r="K17" s="1292" t="s">
        <v>631</v>
      </c>
      <c r="L17" s="1231">
        <v>23174</v>
      </c>
      <c r="M17" s="1292"/>
      <c r="N17" s="1292"/>
      <c r="O17" s="647">
        <v>107</v>
      </c>
      <c r="P17" s="1292">
        <v>1</v>
      </c>
      <c r="Q17" s="2381">
        <f t="shared" si="5"/>
        <v>107</v>
      </c>
      <c r="R17" s="956"/>
      <c r="S17" s="954"/>
      <c r="T17" s="1823">
        <v>107</v>
      </c>
      <c r="U17" s="954"/>
      <c r="V17" s="954"/>
      <c r="W17" s="954"/>
      <c r="X17" s="1166"/>
      <c r="Y17" s="1144"/>
      <c r="Z17" s="1124"/>
      <c r="AA17" s="1124"/>
      <c r="AB17" s="1124"/>
      <c r="AC17" s="1124"/>
      <c r="AD17" s="1124"/>
      <c r="AE17" s="1124"/>
      <c r="AF17" s="1124"/>
      <c r="AG17" s="1282">
        <f t="shared" si="4"/>
        <v>107</v>
      </c>
    </row>
    <row r="18" spans="1:33" ht="116.25" hidden="1" customHeight="1">
      <c r="A18" s="2745">
        <v>1111</v>
      </c>
      <c r="B18" s="2744" t="s">
        <v>620</v>
      </c>
      <c r="C18" s="1073" t="s">
        <v>621</v>
      </c>
      <c r="D18" s="1292"/>
      <c r="E18" s="1293">
        <v>5</v>
      </c>
      <c r="F18" s="1294">
        <v>43206</v>
      </c>
      <c r="G18" s="1294">
        <f t="shared" si="3"/>
        <v>43210</v>
      </c>
      <c r="H18" s="1292" t="s">
        <v>622</v>
      </c>
      <c r="I18" s="1293" t="s">
        <v>170</v>
      </c>
      <c r="J18" s="643" t="s">
        <v>623</v>
      </c>
      <c r="K18" s="1292" t="s">
        <v>633</v>
      </c>
      <c r="L18" s="1231">
        <v>23174</v>
      </c>
      <c r="M18" s="1292"/>
      <c r="N18" s="1292"/>
      <c r="O18" s="647">
        <v>91</v>
      </c>
      <c r="P18" s="1292">
        <v>1</v>
      </c>
      <c r="Q18" s="2381">
        <f t="shared" si="5"/>
        <v>91</v>
      </c>
      <c r="R18" s="956"/>
      <c r="S18" s="954"/>
      <c r="T18" s="1823">
        <v>91</v>
      </c>
      <c r="U18" s="954"/>
      <c r="V18" s="954"/>
      <c r="W18" s="954"/>
      <c r="X18" s="1166"/>
      <c r="Y18" s="1144"/>
      <c r="Z18" s="1124"/>
      <c r="AA18" s="1124"/>
      <c r="AB18" s="1124"/>
      <c r="AC18" s="1124"/>
      <c r="AD18" s="1124"/>
      <c r="AE18" s="1124"/>
      <c r="AF18" s="1124"/>
      <c r="AG18" s="1282">
        <f t="shared" si="4"/>
        <v>91</v>
      </c>
    </row>
    <row r="19" spans="1:33" ht="116.25" hidden="1" customHeight="1">
      <c r="A19" s="2745">
        <v>1111</v>
      </c>
      <c r="B19" s="2744" t="s">
        <v>620</v>
      </c>
      <c r="C19" s="1073" t="s">
        <v>621</v>
      </c>
      <c r="D19" s="1292"/>
      <c r="E19" s="1293">
        <v>5</v>
      </c>
      <c r="F19" s="1294">
        <v>43206</v>
      </c>
      <c r="G19" s="1294">
        <f t="shared" si="3"/>
        <v>43210</v>
      </c>
      <c r="H19" s="1292" t="s">
        <v>622</v>
      </c>
      <c r="I19" s="1293" t="s">
        <v>170</v>
      </c>
      <c r="J19" s="643" t="s">
        <v>623</v>
      </c>
      <c r="K19" s="1292" t="s">
        <v>635</v>
      </c>
      <c r="L19" s="1231">
        <v>23174</v>
      </c>
      <c r="M19" s="1292"/>
      <c r="N19" s="1292"/>
      <c r="O19" s="647">
        <v>1092</v>
      </c>
      <c r="P19" s="1292">
        <v>1</v>
      </c>
      <c r="Q19" s="2381">
        <f t="shared" si="5"/>
        <v>1092</v>
      </c>
      <c r="R19" s="956"/>
      <c r="S19" s="954"/>
      <c r="T19" s="1823">
        <v>1092</v>
      </c>
      <c r="U19" s="954"/>
      <c r="V19" s="954"/>
      <c r="W19" s="954"/>
      <c r="X19" s="1166"/>
      <c r="Y19" s="1144"/>
      <c r="Z19" s="1124"/>
      <c r="AA19" s="1124"/>
      <c r="AB19" s="1124"/>
      <c r="AC19" s="1124"/>
      <c r="AD19" s="1124"/>
      <c r="AE19" s="1124"/>
      <c r="AF19" s="1124"/>
      <c r="AG19" s="1282">
        <f t="shared" si="4"/>
        <v>1092</v>
      </c>
    </row>
    <row r="20" spans="1:33" ht="116.25" hidden="1" customHeight="1">
      <c r="A20" s="2745">
        <v>1111</v>
      </c>
      <c r="B20" s="2744" t="s">
        <v>620</v>
      </c>
      <c r="C20" s="1073" t="s">
        <v>621</v>
      </c>
      <c r="D20" s="1292"/>
      <c r="E20" s="1293">
        <v>5</v>
      </c>
      <c r="F20" s="1294">
        <v>43206</v>
      </c>
      <c r="G20" s="1294">
        <f t="shared" si="3"/>
        <v>43210</v>
      </c>
      <c r="H20" s="1292" t="s">
        <v>622</v>
      </c>
      <c r="I20" s="1293" t="s">
        <v>170</v>
      </c>
      <c r="J20" s="643" t="s">
        <v>623</v>
      </c>
      <c r="K20" s="1292" t="s">
        <v>636</v>
      </c>
      <c r="L20" s="1231">
        <v>23174</v>
      </c>
      <c r="M20" s="1292"/>
      <c r="N20" s="1292"/>
      <c r="O20" s="647">
        <v>1213</v>
      </c>
      <c r="P20" s="1292">
        <v>1</v>
      </c>
      <c r="Q20" s="2381">
        <f t="shared" si="5"/>
        <v>1213</v>
      </c>
      <c r="R20" s="956"/>
      <c r="S20" s="954"/>
      <c r="T20" s="1823">
        <v>1213</v>
      </c>
      <c r="U20" s="954"/>
      <c r="V20" s="954"/>
      <c r="W20" s="954"/>
      <c r="X20" s="1166"/>
      <c r="Y20" s="1144"/>
      <c r="Z20" s="1124"/>
      <c r="AA20" s="1124"/>
      <c r="AB20" s="1124"/>
      <c r="AC20" s="1124"/>
      <c r="AD20" s="1124"/>
      <c r="AE20" s="1124"/>
      <c r="AF20" s="1124"/>
      <c r="AG20" s="1282">
        <f t="shared" si="4"/>
        <v>1213</v>
      </c>
    </row>
    <row r="21" spans="1:33" ht="116.25" hidden="1" customHeight="1">
      <c r="A21" s="2745">
        <v>1111</v>
      </c>
      <c r="B21" s="2744" t="s">
        <v>620</v>
      </c>
      <c r="C21" s="1073" t="s">
        <v>621</v>
      </c>
      <c r="D21" s="1292"/>
      <c r="E21" s="1293">
        <v>5</v>
      </c>
      <c r="F21" s="1294">
        <v>43206</v>
      </c>
      <c r="G21" s="1294">
        <f t="shared" si="3"/>
        <v>43210</v>
      </c>
      <c r="H21" s="1292" t="s">
        <v>622</v>
      </c>
      <c r="I21" s="1293" t="s">
        <v>170</v>
      </c>
      <c r="J21" s="643" t="s">
        <v>623</v>
      </c>
      <c r="K21" s="1292" t="s">
        <v>637</v>
      </c>
      <c r="L21" s="1231">
        <v>23174</v>
      </c>
      <c r="M21" s="1292"/>
      <c r="N21" s="1292"/>
      <c r="O21" s="647">
        <v>173</v>
      </c>
      <c r="P21" s="1292">
        <v>1</v>
      </c>
      <c r="Q21" s="2381">
        <f t="shared" si="5"/>
        <v>173</v>
      </c>
      <c r="R21" s="956"/>
      <c r="S21" s="954"/>
      <c r="T21" s="1823">
        <v>173</v>
      </c>
      <c r="U21" s="954"/>
      <c r="V21" s="954"/>
      <c r="W21" s="954"/>
      <c r="X21" s="1166"/>
      <c r="Y21" s="1144"/>
      <c r="Z21" s="1124"/>
      <c r="AA21" s="1124"/>
      <c r="AB21" s="1124"/>
      <c r="AC21" s="1124"/>
      <c r="AD21" s="1124"/>
      <c r="AE21" s="1124"/>
      <c r="AF21" s="1124"/>
      <c r="AG21" s="1282">
        <f t="shared" si="4"/>
        <v>173</v>
      </c>
    </row>
    <row r="22" spans="1:33" ht="116.25" hidden="1" customHeight="1">
      <c r="A22" s="2745">
        <v>1111</v>
      </c>
      <c r="B22" s="2744" t="s">
        <v>620</v>
      </c>
      <c r="C22" s="1073" t="s">
        <v>621</v>
      </c>
      <c r="D22" s="1292"/>
      <c r="E22" s="1293">
        <v>5</v>
      </c>
      <c r="F22" s="1294">
        <v>43206</v>
      </c>
      <c r="G22" s="1294">
        <f t="shared" si="3"/>
        <v>43210</v>
      </c>
      <c r="H22" s="1292" t="s">
        <v>622</v>
      </c>
      <c r="I22" s="1293" t="s">
        <v>170</v>
      </c>
      <c r="J22" s="643" t="s">
        <v>623</v>
      </c>
      <c r="K22" s="1292" t="s">
        <v>638</v>
      </c>
      <c r="L22" s="1231">
        <v>23173</v>
      </c>
      <c r="M22" s="1292"/>
      <c r="N22" s="1292"/>
      <c r="O22" s="647">
        <v>300</v>
      </c>
      <c r="P22" s="1292">
        <v>1</v>
      </c>
      <c r="Q22" s="2381">
        <f t="shared" si="5"/>
        <v>300</v>
      </c>
      <c r="R22" s="956"/>
      <c r="S22" s="954"/>
      <c r="T22" s="1823">
        <v>300</v>
      </c>
      <c r="U22" s="954"/>
      <c r="V22" s="954"/>
      <c r="W22" s="954"/>
      <c r="X22" s="1166"/>
      <c r="Y22" s="1144"/>
      <c r="Z22" s="1124"/>
      <c r="AA22" s="1124"/>
      <c r="AB22" s="1124"/>
      <c r="AC22" s="1124"/>
      <c r="AD22" s="1124"/>
      <c r="AE22" s="1124"/>
      <c r="AF22" s="1124"/>
      <c r="AG22" s="1282">
        <f t="shared" si="4"/>
        <v>300</v>
      </c>
    </row>
    <row r="23" spans="1:33" ht="116.25" hidden="1" customHeight="1">
      <c r="A23" s="2745">
        <v>1112</v>
      </c>
      <c r="B23" s="2748" t="s">
        <v>640</v>
      </c>
      <c r="C23" s="2747" t="s">
        <v>641</v>
      </c>
      <c r="D23" s="1705"/>
      <c r="E23" s="2749">
        <v>5</v>
      </c>
      <c r="F23" s="2750">
        <v>43220</v>
      </c>
      <c r="G23" s="2750">
        <f t="shared" si="3"/>
        <v>43224</v>
      </c>
      <c r="H23" s="2751" t="s">
        <v>622</v>
      </c>
      <c r="I23" s="2749" t="s">
        <v>170</v>
      </c>
      <c r="J23" s="2752" t="s">
        <v>642</v>
      </c>
      <c r="K23" s="1705"/>
      <c r="L23" s="2740"/>
      <c r="M23" s="1705"/>
      <c r="N23" s="1705"/>
      <c r="O23" s="2741"/>
      <c r="P23" s="1705"/>
      <c r="Q23" s="2804"/>
      <c r="R23" s="2742"/>
      <c r="S23" s="1144"/>
      <c r="T23" s="1566"/>
      <c r="U23" s="1144"/>
      <c r="V23" s="1144"/>
      <c r="W23" s="1144"/>
      <c r="X23" s="2743"/>
      <c r="Y23" s="1144"/>
      <c r="Z23" s="1124"/>
      <c r="AA23" s="1124"/>
      <c r="AB23" s="1124"/>
      <c r="AC23" s="1124"/>
      <c r="AD23" s="1124"/>
      <c r="AE23" s="1124"/>
      <c r="AF23" s="1124"/>
      <c r="AG23" s="1343"/>
    </row>
    <row r="24" spans="1:33" ht="116.25" hidden="1" customHeight="1">
      <c r="A24" s="796">
        <v>1112</v>
      </c>
      <c r="B24" s="793" t="s">
        <v>640</v>
      </c>
      <c r="C24" s="1073" t="s">
        <v>641</v>
      </c>
      <c r="D24" s="1292"/>
      <c r="E24" s="1293">
        <v>5</v>
      </c>
      <c r="F24" s="1294">
        <v>43220</v>
      </c>
      <c r="G24" s="1294">
        <f t="shared" si="3"/>
        <v>43224</v>
      </c>
      <c r="H24" s="1292" t="s">
        <v>622</v>
      </c>
      <c r="I24" s="1293" t="s">
        <v>170</v>
      </c>
      <c r="J24" s="643" t="s">
        <v>642</v>
      </c>
      <c r="K24" s="1292" t="s">
        <v>643</v>
      </c>
      <c r="L24" s="1231">
        <v>23174</v>
      </c>
      <c r="M24" s="1292"/>
      <c r="N24" s="1292"/>
      <c r="O24" s="647">
        <v>60</v>
      </c>
      <c r="P24" s="1292">
        <v>1</v>
      </c>
      <c r="Q24" s="2381">
        <f t="shared" si="5"/>
        <v>60</v>
      </c>
      <c r="R24" s="956"/>
      <c r="S24" s="954"/>
      <c r="T24" s="1823">
        <v>60</v>
      </c>
      <c r="U24" s="805"/>
      <c r="V24" s="954"/>
      <c r="W24" s="954"/>
      <c r="X24" s="1166"/>
      <c r="Y24" s="1144"/>
      <c r="Z24" s="1124"/>
      <c r="AA24" s="1124"/>
      <c r="AB24" s="1124"/>
      <c r="AC24" s="1124"/>
      <c r="AD24" s="1124"/>
      <c r="AE24" s="1124"/>
      <c r="AF24" s="1124"/>
      <c r="AG24" s="1282">
        <f t="shared" si="4"/>
        <v>60</v>
      </c>
    </row>
    <row r="25" spans="1:33" ht="116.25" hidden="1" customHeight="1">
      <c r="A25" s="796">
        <v>1112</v>
      </c>
      <c r="B25" s="793" t="s">
        <v>640</v>
      </c>
      <c r="C25" s="1073" t="s">
        <v>641</v>
      </c>
      <c r="D25" s="1292"/>
      <c r="E25" s="1293">
        <v>5</v>
      </c>
      <c r="F25" s="1294">
        <v>43220</v>
      </c>
      <c r="G25" s="1294">
        <f t="shared" si="3"/>
        <v>43224</v>
      </c>
      <c r="H25" s="1292" t="s">
        <v>622</v>
      </c>
      <c r="I25" s="1293" t="s">
        <v>170</v>
      </c>
      <c r="J25" s="643" t="s">
        <v>642</v>
      </c>
      <c r="K25" s="1292" t="s">
        <v>644</v>
      </c>
      <c r="L25" s="1231">
        <v>23174</v>
      </c>
      <c r="M25" s="1292"/>
      <c r="N25" s="1292"/>
      <c r="O25" s="647">
        <v>66.666666666666671</v>
      </c>
      <c r="P25" s="1292">
        <v>1</v>
      </c>
      <c r="Q25" s="2381">
        <f t="shared" si="5"/>
        <v>66.666666666666671</v>
      </c>
      <c r="R25" s="956"/>
      <c r="S25" s="954"/>
      <c r="T25" s="1823">
        <v>66.666666666666671</v>
      </c>
      <c r="U25" s="805"/>
      <c r="V25" s="954"/>
      <c r="W25" s="954"/>
      <c r="X25" s="1166"/>
      <c r="Y25" s="1144"/>
      <c r="Z25" s="1124"/>
      <c r="AA25" s="1124"/>
      <c r="AB25" s="1124"/>
      <c r="AC25" s="1124"/>
      <c r="AD25" s="1124"/>
      <c r="AE25" s="1124"/>
      <c r="AF25" s="1124"/>
      <c r="AG25" s="1282">
        <f t="shared" si="4"/>
        <v>66.666666666666671</v>
      </c>
    </row>
    <row r="26" spans="1:33" ht="116.25" hidden="1" customHeight="1">
      <c r="A26" s="796">
        <v>1112</v>
      </c>
      <c r="B26" s="793" t="s">
        <v>640</v>
      </c>
      <c r="C26" s="1073" t="s">
        <v>641</v>
      </c>
      <c r="D26" s="1292"/>
      <c r="E26" s="1293">
        <v>5</v>
      </c>
      <c r="F26" s="1294">
        <v>43220</v>
      </c>
      <c r="G26" s="1294">
        <f t="shared" si="3"/>
        <v>43224</v>
      </c>
      <c r="H26" s="1292" t="s">
        <v>622</v>
      </c>
      <c r="I26" s="1293" t="s">
        <v>170</v>
      </c>
      <c r="J26" s="643" t="s">
        <v>642</v>
      </c>
      <c r="K26" s="1292" t="s">
        <v>645</v>
      </c>
      <c r="L26" s="1231">
        <v>23174</v>
      </c>
      <c r="M26" s="1292"/>
      <c r="N26" s="1292"/>
      <c r="O26" s="647">
        <v>50</v>
      </c>
      <c r="P26" s="1292">
        <v>1</v>
      </c>
      <c r="Q26" s="2381">
        <f t="shared" si="5"/>
        <v>50</v>
      </c>
      <c r="R26" s="956"/>
      <c r="S26" s="954"/>
      <c r="T26" s="1823">
        <v>50</v>
      </c>
      <c r="U26" s="805"/>
      <c r="V26" s="954"/>
      <c r="W26" s="954"/>
      <c r="X26" s="1166"/>
      <c r="Y26" s="1144"/>
      <c r="Z26" s="1124"/>
      <c r="AA26" s="1124"/>
      <c r="AB26" s="1124"/>
      <c r="AC26" s="1124"/>
      <c r="AD26" s="1124"/>
      <c r="AE26" s="1124"/>
      <c r="AF26" s="1124"/>
      <c r="AG26" s="1282">
        <f t="shared" si="4"/>
        <v>50</v>
      </c>
    </row>
    <row r="27" spans="1:33" ht="116.25" hidden="1" customHeight="1">
      <c r="A27" s="796">
        <v>1112</v>
      </c>
      <c r="B27" s="793" t="s">
        <v>640</v>
      </c>
      <c r="C27" s="1073" t="s">
        <v>641</v>
      </c>
      <c r="D27" s="1292"/>
      <c r="E27" s="1293">
        <v>5</v>
      </c>
      <c r="F27" s="1294">
        <v>43220</v>
      </c>
      <c r="G27" s="1294">
        <f t="shared" si="3"/>
        <v>43224</v>
      </c>
      <c r="H27" s="1292" t="s">
        <v>622</v>
      </c>
      <c r="I27" s="1293" t="s">
        <v>170</v>
      </c>
      <c r="J27" s="643" t="s">
        <v>642</v>
      </c>
      <c r="K27" s="1292" t="s">
        <v>646</v>
      </c>
      <c r="L27" s="1231">
        <v>23174</v>
      </c>
      <c r="M27" s="1292"/>
      <c r="N27" s="1292"/>
      <c r="O27" s="647">
        <v>33.333333333333336</v>
      </c>
      <c r="P27" s="1292">
        <v>1</v>
      </c>
      <c r="Q27" s="2381">
        <f t="shared" si="5"/>
        <v>33.333333333333336</v>
      </c>
      <c r="R27" s="956"/>
      <c r="S27" s="954"/>
      <c r="T27" s="1823">
        <v>33.333333333333336</v>
      </c>
      <c r="U27" s="805"/>
      <c r="V27" s="954"/>
      <c r="W27" s="954"/>
      <c r="X27" s="1166"/>
      <c r="Y27" s="1144"/>
      <c r="Z27" s="1124"/>
      <c r="AA27" s="1124"/>
      <c r="AB27" s="1124"/>
      <c r="AC27" s="1124"/>
      <c r="AD27" s="1124"/>
      <c r="AE27" s="1124"/>
      <c r="AF27" s="1124"/>
      <c r="AG27" s="1282">
        <f t="shared" si="4"/>
        <v>33.333333333333336</v>
      </c>
    </row>
    <row r="28" spans="1:33" ht="116.25" hidden="1" customHeight="1">
      <c r="A28" s="796">
        <v>1112</v>
      </c>
      <c r="B28" s="793" t="s">
        <v>640</v>
      </c>
      <c r="C28" s="1073" t="s">
        <v>641</v>
      </c>
      <c r="D28" s="1292"/>
      <c r="E28" s="1293">
        <v>5</v>
      </c>
      <c r="F28" s="1294">
        <v>43220</v>
      </c>
      <c r="G28" s="1294">
        <f t="shared" si="3"/>
        <v>43224</v>
      </c>
      <c r="H28" s="1292" t="s">
        <v>622</v>
      </c>
      <c r="I28" s="1293" t="s">
        <v>170</v>
      </c>
      <c r="J28" s="643" t="s">
        <v>642</v>
      </c>
      <c r="K28" s="1292" t="s">
        <v>647</v>
      </c>
      <c r="L28" s="1231">
        <v>23174</v>
      </c>
      <c r="M28" s="1292"/>
      <c r="N28" s="1292"/>
      <c r="O28" s="647">
        <v>588</v>
      </c>
      <c r="P28" s="1292">
        <v>1</v>
      </c>
      <c r="Q28" s="2381">
        <f t="shared" si="5"/>
        <v>588</v>
      </c>
      <c r="R28" s="956"/>
      <c r="S28" s="954"/>
      <c r="T28" s="805"/>
      <c r="U28" s="1823">
        <v>588</v>
      </c>
      <c r="V28" s="954"/>
      <c r="W28" s="954"/>
      <c r="X28" s="1166"/>
      <c r="Y28" s="1144"/>
      <c r="Z28" s="1124"/>
      <c r="AA28" s="1124"/>
      <c r="AB28" s="1124"/>
      <c r="AC28" s="1124"/>
      <c r="AD28" s="1124"/>
      <c r="AE28" s="1124"/>
      <c r="AF28" s="1124"/>
      <c r="AG28" s="1282">
        <f t="shared" si="4"/>
        <v>588</v>
      </c>
    </row>
    <row r="29" spans="1:33" ht="116.25" hidden="1" customHeight="1">
      <c r="A29" s="796">
        <v>1112</v>
      </c>
      <c r="B29" s="793" t="s">
        <v>640</v>
      </c>
      <c r="C29" s="1073" t="s">
        <v>641</v>
      </c>
      <c r="D29" s="1292"/>
      <c r="E29" s="1293">
        <v>5</v>
      </c>
      <c r="F29" s="1294">
        <v>43220</v>
      </c>
      <c r="G29" s="1294">
        <f t="shared" si="3"/>
        <v>43224</v>
      </c>
      <c r="H29" s="1292" t="s">
        <v>622</v>
      </c>
      <c r="I29" s="1293" t="s">
        <v>170</v>
      </c>
      <c r="J29" s="643" t="s">
        <v>642</v>
      </c>
      <c r="K29" s="1292" t="s">
        <v>648</v>
      </c>
      <c r="L29" s="1231">
        <v>23174</v>
      </c>
      <c r="M29" s="1292"/>
      <c r="N29" s="1292"/>
      <c r="O29" s="647">
        <v>653.33333333333337</v>
      </c>
      <c r="P29" s="1292">
        <v>1</v>
      </c>
      <c r="Q29" s="2381">
        <f t="shared" si="5"/>
        <v>653.33333333333337</v>
      </c>
      <c r="R29" s="956"/>
      <c r="S29" s="954"/>
      <c r="T29" s="805"/>
      <c r="U29" s="1823">
        <v>653.33333333333337</v>
      </c>
      <c r="V29" s="954"/>
      <c r="W29" s="954"/>
      <c r="X29" s="1166"/>
      <c r="Y29" s="1144"/>
      <c r="Z29" s="1124"/>
      <c r="AA29" s="1124"/>
      <c r="AB29" s="1124"/>
      <c r="AC29" s="1124"/>
      <c r="AD29" s="1124"/>
      <c r="AE29" s="1124"/>
      <c r="AF29" s="1124"/>
      <c r="AG29" s="1282">
        <f t="shared" si="4"/>
        <v>653.33333333333337</v>
      </c>
    </row>
    <row r="30" spans="1:33" ht="116.25" hidden="1" customHeight="1">
      <c r="A30" s="796">
        <v>1112</v>
      </c>
      <c r="B30" s="793" t="s">
        <v>640</v>
      </c>
      <c r="C30" s="1073" t="s">
        <v>641</v>
      </c>
      <c r="D30" s="1292"/>
      <c r="E30" s="1293">
        <v>5</v>
      </c>
      <c r="F30" s="1294">
        <v>43220</v>
      </c>
      <c r="G30" s="1294">
        <f t="shared" si="3"/>
        <v>43224</v>
      </c>
      <c r="H30" s="1292" t="s">
        <v>622</v>
      </c>
      <c r="I30" s="1293" t="s">
        <v>170</v>
      </c>
      <c r="J30" s="643" t="s">
        <v>642</v>
      </c>
      <c r="K30" s="1292" t="s">
        <v>649</v>
      </c>
      <c r="L30" s="1231">
        <v>23174</v>
      </c>
      <c r="M30" s="1292"/>
      <c r="N30" s="1292"/>
      <c r="O30" s="647">
        <v>490</v>
      </c>
      <c r="P30" s="1292">
        <v>1</v>
      </c>
      <c r="Q30" s="2381">
        <f t="shared" si="5"/>
        <v>490</v>
      </c>
      <c r="R30" s="956"/>
      <c r="S30" s="954"/>
      <c r="T30" s="805"/>
      <c r="U30" s="1823">
        <v>490</v>
      </c>
      <c r="V30" s="954"/>
      <c r="W30" s="954"/>
      <c r="X30" s="1166"/>
      <c r="Y30" s="1144"/>
      <c r="Z30" s="1124"/>
      <c r="AA30" s="1124"/>
      <c r="AB30" s="1124"/>
      <c r="AC30" s="1124"/>
      <c r="AD30" s="1124"/>
      <c r="AE30" s="1124"/>
      <c r="AF30" s="1124"/>
      <c r="AG30" s="1282">
        <f t="shared" si="4"/>
        <v>490</v>
      </c>
    </row>
    <row r="31" spans="1:33" ht="116.25" hidden="1" customHeight="1">
      <c r="A31" s="796">
        <v>1112</v>
      </c>
      <c r="B31" s="793" t="s">
        <v>640</v>
      </c>
      <c r="C31" s="1073" t="s">
        <v>641</v>
      </c>
      <c r="D31" s="1292"/>
      <c r="E31" s="1293">
        <v>5</v>
      </c>
      <c r="F31" s="1294">
        <v>43220</v>
      </c>
      <c r="G31" s="1294">
        <f t="shared" si="3"/>
        <v>43224</v>
      </c>
      <c r="H31" s="1292" t="s">
        <v>622</v>
      </c>
      <c r="I31" s="1293" t="s">
        <v>170</v>
      </c>
      <c r="J31" s="643" t="s">
        <v>642</v>
      </c>
      <c r="K31" s="1292" t="s">
        <v>650</v>
      </c>
      <c r="L31" s="1231">
        <v>23174</v>
      </c>
      <c r="M31" s="1292"/>
      <c r="N31" s="1292"/>
      <c r="O31" s="647">
        <v>326.66666666666669</v>
      </c>
      <c r="P31" s="1292">
        <v>1</v>
      </c>
      <c r="Q31" s="2381">
        <f t="shared" si="5"/>
        <v>326.66666666666669</v>
      </c>
      <c r="R31" s="956"/>
      <c r="S31" s="954"/>
      <c r="T31" s="805"/>
      <c r="U31" s="1823">
        <v>326.66666666666669</v>
      </c>
      <c r="V31" s="954"/>
      <c r="W31" s="954"/>
      <c r="X31" s="1166"/>
      <c r="Y31" s="1144"/>
      <c r="Z31" s="1124"/>
      <c r="AA31" s="1124"/>
      <c r="AB31" s="1124"/>
      <c r="AC31" s="1124"/>
      <c r="AD31" s="1124"/>
      <c r="AE31" s="1124"/>
      <c r="AF31" s="1124"/>
      <c r="AG31" s="1282">
        <f t="shared" si="4"/>
        <v>326.66666666666669</v>
      </c>
    </row>
    <row r="32" spans="1:33" ht="116.25" hidden="1" customHeight="1">
      <c r="A32" s="796">
        <v>1112</v>
      </c>
      <c r="B32" s="793" t="s">
        <v>640</v>
      </c>
      <c r="C32" s="1073" t="s">
        <v>641</v>
      </c>
      <c r="D32" s="1292"/>
      <c r="E32" s="1293">
        <v>5</v>
      </c>
      <c r="F32" s="1294">
        <v>43220</v>
      </c>
      <c r="G32" s="1294">
        <f t="shared" si="3"/>
        <v>43224</v>
      </c>
      <c r="H32" s="1292" t="s">
        <v>622</v>
      </c>
      <c r="I32" s="1293" t="s">
        <v>170</v>
      </c>
      <c r="J32" s="643" t="s">
        <v>642</v>
      </c>
      <c r="K32" s="1292" t="s">
        <v>651</v>
      </c>
      <c r="L32" s="1231">
        <v>23174</v>
      </c>
      <c r="M32" s="1292"/>
      <c r="N32" s="1292"/>
      <c r="O32" s="647">
        <v>6347</v>
      </c>
      <c r="P32" s="1292">
        <v>1</v>
      </c>
      <c r="Q32" s="2381">
        <f t="shared" si="5"/>
        <v>6347</v>
      </c>
      <c r="R32" s="956"/>
      <c r="S32" s="954"/>
      <c r="T32" s="1823">
        <v>6347</v>
      </c>
      <c r="U32" s="805"/>
      <c r="V32" s="954"/>
      <c r="W32" s="954"/>
      <c r="X32" s="1166"/>
      <c r="Y32" s="1144"/>
      <c r="Z32" s="1124"/>
      <c r="AA32" s="1124"/>
      <c r="AB32" s="1124"/>
      <c r="AC32" s="1124"/>
      <c r="AD32" s="1124"/>
      <c r="AE32" s="1124"/>
      <c r="AF32" s="1124"/>
      <c r="AG32" s="1282">
        <f t="shared" si="4"/>
        <v>6347</v>
      </c>
    </row>
    <row r="33" spans="1:33" ht="116.25" hidden="1" customHeight="1">
      <c r="A33" s="796">
        <v>1112</v>
      </c>
      <c r="B33" s="793" t="s">
        <v>640</v>
      </c>
      <c r="C33" s="1073" t="s">
        <v>641</v>
      </c>
      <c r="D33" s="1292"/>
      <c r="E33" s="1293">
        <v>5</v>
      </c>
      <c r="F33" s="1294">
        <v>43220</v>
      </c>
      <c r="G33" s="1294">
        <f t="shared" si="3"/>
        <v>43224</v>
      </c>
      <c r="H33" s="1292" t="s">
        <v>622</v>
      </c>
      <c r="I33" s="1293" t="s">
        <v>170</v>
      </c>
      <c r="J33" s="643" t="s">
        <v>642</v>
      </c>
      <c r="K33" s="1292" t="s">
        <v>652</v>
      </c>
      <c r="L33" s="1231">
        <v>23174</v>
      </c>
      <c r="M33" s="1292"/>
      <c r="N33" s="1292"/>
      <c r="O33" s="647">
        <v>924</v>
      </c>
      <c r="P33" s="1292">
        <v>1</v>
      </c>
      <c r="Q33" s="2381">
        <f t="shared" si="5"/>
        <v>924</v>
      </c>
      <c r="R33" s="956"/>
      <c r="S33" s="954"/>
      <c r="T33" s="805"/>
      <c r="U33" s="1823">
        <v>924</v>
      </c>
      <c r="V33" s="954"/>
      <c r="W33" s="954"/>
      <c r="X33" s="1166"/>
      <c r="Y33" s="1144"/>
      <c r="Z33" s="1124"/>
      <c r="AA33" s="1124"/>
      <c r="AB33" s="1124"/>
      <c r="AC33" s="1124"/>
      <c r="AD33" s="1124"/>
      <c r="AE33" s="1124"/>
      <c r="AF33" s="1124"/>
      <c r="AG33" s="1282">
        <f t="shared" si="4"/>
        <v>924</v>
      </c>
    </row>
    <row r="34" spans="1:33" ht="116.25" hidden="1" customHeight="1">
      <c r="A34" s="796">
        <v>1112</v>
      </c>
      <c r="B34" s="793" t="s">
        <v>640</v>
      </c>
      <c r="C34" s="1073" t="s">
        <v>641</v>
      </c>
      <c r="D34" s="1292"/>
      <c r="E34" s="1293">
        <v>5</v>
      </c>
      <c r="F34" s="1294">
        <v>43220</v>
      </c>
      <c r="G34" s="1294">
        <f t="shared" si="3"/>
        <v>43224</v>
      </c>
      <c r="H34" s="1292" t="s">
        <v>622</v>
      </c>
      <c r="I34" s="1293" t="s">
        <v>170</v>
      </c>
      <c r="J34" s="643" t="s">
        <v>642</v>
      </c>
      <c r="K34" s="1292" t="s">
        <v>653</v>
      </c>
      <c r="L34" s="1231">
        <v>23174</v>
      </c>
      <c r="M34" s="1292"/>
      <c r="N34" s="1292"/>
      <c r="O34" s="647">
        <v>1026.6666666666665</v>
      </c>
      <c r="P34" s="1292">
        <v>1</v>
      </c>
      <c r="Q34" s="2381">
        <f t="shared" si="5"/>
        <v>1026.6666666666665</v>
      </c>
      <c r="R34" s="956"/>
      <c r="S34" s="954"/>
      <c r="T34" s="805"/>
      <c r="U34" s="1823">
        <v>1026.6666666666665</v>
      </c>
      <c r="V34" s="954"/>
      <c r="W34" s="954"/>
      <c r="X34" s="1166"/>
      <c r="Y34" s="1144"/>
      <c r="Z34" s="1124"/>
      <c r="AA34" s="1124"/>
      <c r="AB34" s="1124"/>
      <c r="AC34" s="1124"/>
      <c r="AD34" s="1124"/>
      <c r="AE34" s="1124"/>
      <c r="AF34" s="1124"/>
      <c r="AG34" s="1282">
        <f t="shared" si="4"/>
        <v>1026.6666666666665</v>
      </c>
    </row>
    <row r="35" spans="1:33" ht="116.25" hidden="1" customHeight="1">
      <c r="A35" s="796">
        <v>1112</v>
      </c>
      <c r="B35" s="793" t="s">
        <v>640</v>
      </c>
      <c r="C35" s="1073" t="s">
        <v>641</v>
      </c>
      <c r="D35" s="1292"/>
      <c r="E35" s="1293">
        <v>5</v>
      </c>
      <c r="F35" s="1294">
        <v>43220</v>
      </c>
      <c r="G35" s="1294">
        <f t="shared" si="3"/>
        <v>43224</v>
      </c>
      <c r="H35" s="1292" t="s">
        <v>622</v>
      </c>
      <c r="I35" s="1293"/>
      <c r="J35" s="643"/>
      <c r="K35" s="1292" t="s">
        <v>654</v>
      </c>
      <c r="L35" s="1231">
        <v>23174</v>
      </c>
      <c r="M35" s="1292"/>
      <c r="N35" s="1292"/>
      <c r="O35" s="647">
        <v>770</v>
      </c>
      <c r="P35" s="1292">
        <v>1</v>
      </c>
      <c r="Q35" s="2381">
        <f t="shared" si="5"/>
        <v>770</v>
      </c>
      <c r="R35" s="956"/>
      <c r="S35" s="954"/>
      <c r="T35" s="805"/>
      <c r="U35" s="1823">
        <v>770</v>
      </c>
      <c r="V35" s="954"/>
      <c r="W35" s="954"/>
      <c r="X35" s="1166"/>
      <c r="Y35" s="1144"/>
      <c r="Z35" s="1124"/>
      <c r="AA35" s="1124"/>
      <c r="AB35" s="1124"/>
      <c r="AC35" s="1124"/>
      <c r="AD35" s="1124"/>
      <c r="AE35" s="1124"/>
      <c r="AF35" s="1124"/>
      <c r="AG35" s="1282">
        <f t="shared" si="4"/>
        <v>770</v>
      </c>
    </row>
    <row r="36" spans="1:33" ht="116.25" hidden="1" customHeight="1">
      <c r="A36" s="796">
        <v>1112</v>
      </c>
      <c r="B36" s="793" t="s">
        <v>640</v>
      </c>
      <c r="C36" s="1073" t="s">
        <v>641</v>
      </c>
      <c r="D36" s="1292"/>
      <c r="E36" s="1293">
        <v>5</v>
      </c>
      <c r="F36" s="1294">
        <v>43220</v>
      </c>
      <c r="G36" s="1294">
        <f t="shared" si="3"/>
        <v>43224</v>
      </c>
      <c r="H36" s="1292" t="s">
        <v>622</v>
      </c>
      <c r="I36" s="1293"/>
      <c r="J36" s="643"/>
      <c r="K36" s="1292" t="s">
        <v>655</v>
      </c>
      <c r="L36" s="1231">
        <v>23174</v>
      </c>
      <c r="M36" s="1292"/>
      <c r="N36" s="1292"/>
      <c r="O36" s="647">
        <v>513</v>
      </c>
      <c r="P36" s="1292">
        <v>1</v>
      </c>
      <c r="Q36" s="2381">
        <f t="shared" si="5"/>
        <v>513</v>
      </c>
      <c r="R36" s="956"/>
      <c r="S36" s="954"/>
      <c r="T36" s="805"/>
      <c r="U36" s="1823">
        <v>513</v>
      </c>
      <c r="V36" s="954"/>
      <c r="W36" s="954"/>
      <c r="X36" s="1166"/>
      <c r="Y36" s="1144"/>
      <c r="Z36" s="1124"/>
      <c r="AA36" s="1124"/>
      <c r="AB36" s="1124"/>
      <c r="AC36" s="1124"/>
      <c r="AD36" s="1124"/>
      <c r="AE36" s="1124"/>
      <c r="AF36" s="1124"/>
      <c r="AG36" s="1282">
        <f t="shared" si="4"/>
        <v>513</v>
      </c>
    </row>
    <row r="37" spans="1:33" ht="116.25" hidden="1" customHeight="1">
      <c r="A37" s="796">
        <v>1112</v>
      </c>
      <c r="B37" s="793" t="s">
        <v>640</v>
      </c>
      <c r="C37" s="1073" t="s">
        <v>641</v>
      </c>
      <c r="D37" s="1292"/>
      <c r="E37" s="1293">
        <v>5</v>
      </c>
      <c r="F37" s="1294">
        <v>43220</v>
      </c>
      <c r="G37" s="1294">
        <f t="shared" si="3"/>
        <v>43224</v>
      </c>
      <c r="H37" s="1292" t="s">
        <v>622</v>
      </c>
      <c r="I37" s="1293" t="s">
        <v>170</v>
      </c>
      <c r="J37" s="643" t="s">
        <v>642</v>
      </c>
      <c r="K37" s="1292" t="s">
        <v>656</v>
      </c>
      <c r="L37" s="1231">
        <v>23174</v>
      </c>
      <c r="M37" s="1292"/>
      <c r="N37" s="1292"/>
      <c r="O37" s="647">
        <v>1764</v>
      </c>
      <c r="P37" s="1292">
        <v>1</v>
      </c>
      <c r="Q37" s="2381">
        <f t="shared" si="5"/>
        <v>1764</v>
      </c>
      <c r="R37" s="956"/>
      <c r="S37" s="954"/>
      <c r="T37" s="805"/>
      <c r="U37" s="1823">
        <v>1764</v>
      </c>
      <c r="V37" s="954"/>
      <c r="W37" s="954"/>
      <c r="X37" s="1166"/>
      <c r="Y37" s="1144"/>
      <c r="Z37" s="1124"/>
      <c r="AA37" s="1124"/>
      <c r="AB37" s="1124"/>
      <c r="AC37" s="1124"/>
      <c r="AD37" s="1124"/>
      <c r="AE37" s="1124"/>
      <c r="AF37" s="1124"/>
      <c r="AG37" s="1282">
        <f t="shared" si="4"/>
        <v>1764</v>
      </c>
    </row>
    <row r="38" spans="1:33" ht="116.25" hidden="1" customHeight="1">
      <c r="A38" s="796">
        <v>1112</v>
      </c>
      <c r="B38" s="793" t="s">
        <v>640</v>
      </c>
      <c r="C38" s="1073" t="s">
        <v>641</v>
      </c>
      <c r="D38" s="1292"/>
      <c r="E38" s="1293">
        <v>5</v>
      </c>
      <c r="F38" s="1294">
        <v>43220</v>
      </c>
      <c r="G38" s="1294">
        <f t="shared" si="3"/>
        <v>43224</v>
      </c>
      <c r="H38" s="1292" t="s">
        <v>622</v>
      </c>
      <c r="I38" s="1293" t="s">
        <v>170</v>
      </c>
      <c r="J38" s="643" t="s">
        <v>642</v>
      </c>
      <c r="K38" s="1292" t="s">
        <v>657</v>
      </c>
      <c r="L38" s="1231">
        <v>23174</v>
      </c>
      <c r="M38" s="1292"/>
      <c r="N38" s="1292"/>
      <c r="O38" s="647">
        <v>1960</v>
      </c>
      <c r="P38" s="1292">
        <v>1</v>
      </c>
      <c r="Q38" s="2381">
        <f t="shared" si="5"/>
        <v>1960</v>
      </c>
      <c r="R38" s="956"/>
      <c r="S38" s="954"/>
      <c r="T38" s="805"/>
      <c r="U38" s="1823">
        <v>1960</v>
      </c>
      <c r="V38" s="954"/>
      <c r="W38" s="954"/>
      <c r="X38" s="1166"/>
      <c r="Y38" s="1144"/>
      <c r="Z38" s="1124"/>
      <c r="AA38" s="1124"/>
      <c r="AB38" s="1124"/>
      <c r="AC38" s="1124"/>
      <c r="AD38" s="1124"/>
      <c r="AE38" s="1124"/>
      <c r="AF38" s="1124"/>
      <c r="AG38" s="1282">
        <f t="shared" si="4"/>
        <v>1960</v>
      </c>
    </row>
    <row r="39" spans="1:33" ht="116.25" hidden="1" customHeight="1">
      <c r="A39" s="796">
        <v>1112</v>
      </c>
      <c r="B39" s="793" t="s">
        <v>640</v>
      </c>
      <c r="C39" s="1073" t="s">
        <v>641</v>
      </c>
      <c r="D39" s="1292"/>
      <c r="E39" s="1293">
        <v>5</v>
      </c>
      <c r="F39" s="1294">
        <v>43220</v>
      </c>
      <c r="G39" s="1294">
        <f t="shared" si="3"/>
        <v>43224</v>
      </c>
      <c r="H39" s="1292" t="s">
        <v>622</v>
      </c>
      <c r="I39" s="1293"/>
      <c r="J39" s="643"/>
      <c r="K39" s="1292" t="s">
        <v>658</v>
      </c>
      <c r="L39" s="1231">
        <v>23174</v>
      </c>
      <c r="M39" s="1292"/>
      <c r="N39" s="1292"/>
      <c r="O39" s="647">
        <v>1960</v>
      </c>
      <c r="P39" s="1292">
        <v>1</v>
      </c>
      <c r="Q39" s="2381">
        <f t="shared" si="5"/>
        <v>1960</v>
      </c>
      <c r="R39" s="956"/>
      <c r="S39" s="954"/>
      <c r="T39" s="805"/>
      <c r="U39" s="1823">
        <v>1960</v>
      </c>
      <c r="V39" s="954"/>
      <c r="W39" s="954"/>
      <c r="X39" s="1166"/>
      <c r="Y39" s="1144"/>
      <c r="Z39" s="1124"/>
      <c r="AA39" s="1124"/>
      <c r="AB39" s="1124"/>
      <c r="AC39" s="1124"/>
      <c r="AD39" s="1124"/>
      <c r="AE39" s="1124"/>
      <c r="AF39" s="1124"/>
      <c r="AG39" s="1282">
        <f t="shared" si="4"/>
        <v>1960</v>
      </c>
    </row>
    <row r="40" spans="1:33" ht="116.25" hidden="1" customHeight="1">
      <c r="A40" s="796">
        <v>1112</v>
      </c>
      <c r="B40" s="793" t="s">
        <v>640</v>
      </c>
      <c r="C40" s="1073" t="s">
        <v>641</v>
      </c>
      <c r="D40" s="1292"/>
      <c r="E40" s="1293">
        <v>5</v>
      </c>
      <c r="F40" s="1294">
        <v>43220</v>
      </c>
      <c r="G40" s="1294">
        <f t="shared" si="3"/>
        <v>43224</v>
      </c>
      <c r="H40" s="1292" t="s">
        <v>622</v>
      </c>
      <c r="I40" s="1293" t="s">
        <v>170</v>
      </c>
      <c r="J40" s="643" t="s">
        <v>642</v>
      </c>
      <c r="K40" s="1292" t="s">
        <v>659</v>
      </c>
      <c r="L40" s="1231">
        <v>23174</v>
      </c>
      <c r="M40" s="1292"/>
      <c r="N40" s="1292"/>
      <c r="O40" s="647">
        <v>84</v>
      </c>
      <c r="P40" s="1292">
        <v>1</v>
      </c>
      <c r="Q40" s="2381">
        <f t="shared" si="5"/>
        <v>84</v>
      </c>
      <c r="R40" s="956"/>
      <c r="S40" s="954"/>
      <c r="T40" s="1823">
        <v>84</v>
      </c>
      <c r="U40" s="805"/>
      <c r="V40" s="954"/>
      <c r="W40" s="954"/>
      <c r="X40" s="1166"/>
      <c r="Y40" s="1144"/>
      <c r="Z40" s="1124"/>
      <c r="AA40" s="1124"/>
      <c r="AB40" s="1124"/>
      <c r="AC40" s="1124"/>
      <c r="AD40" s="1124"/>
      <c r="AE40" s="1124"/>
      <c r="AF40" s="1124"/>
      <c r="AG40" s="1282">
        <f t="shared" si="4"/>
        <v>84</v>
      </c>
    </row>
    <row r="41" spans="1:33" ht="116.25" hidden="1" customHeight="1">
      <c r="A41" s="796">
        <v>1112</v>
      </c>
      <c r="B41" s="793" t="s">
        <v>640</v>
      </c>
      <c r="C41" s="1073" t="s">
        <v>641</v>
      </c>
      <c r="D41" s="1292"/>
      <c r="E41" s="1293">
        <v>5</v>
      </c>
      <c r="F41" s="1294">
        <v>43220</v>
      </c>
      <c r="G41" s="1294">
        <f t="shared" si="3"/>
        <v>43224</v>
      </c>
      <c r="H41" s="1292" t="s">
        <v>622</v>
      </c>
      <c r="I41" s="1293" t="s">
        <v>170</v>
      </c>
      <c r="J41" s="643" t="s">
        <v>642</v>
      </c>
      <c r="K41" s="1292" t="s">
        <v>660</v>
      </c>
      <c r="L41" s="1231">
        <v>23174</v>
      </c>
      <c r="M41" s="1292"/>
      <c r="N41" s="1292"/>
      <c r="O41" s="647">
        <v>93.333333333333343</v>
      </c>
      <c r="P41" s="1292">
        <v>1</v>
      </c>
      <c r="Q41" s="2381">
        <f t="shared" si="5"/>
        <v>93.333333333333343</v>
      </c>
      <c r="R41" s="956"/>
      <c r="S41" s="954"/>
      <c r="T41" s="1823">
        <v>93.333333333333343</v>
      </c>
      <c r="U41" s="805"/>
      <c r="V41" s="954"/>
      <c r="W41" s="954"/>
      <c r="X41" s="1166"/>
      <c r="Y41" s="1144"/>
      <c r="Z41" s="1124"/>
      <c r="AA41" s="1124"/>
      <c r="AB41" s="1124"/>
      <c r="AC41" s="1124"/>
      <c r="AD41" s="1124"/>
      <c r="AE41" s="1124"/>
      <c r="AF41" s="1124"/>
      <c r="AG41" s="1282">
        <f t="shared" si="4"/>
        <v>93.333333333333343</v>
      </c>
    </row>
    <row r="42" spans="1:33" ht="116.25" hidden="1" customHeight="1">
      <c r="A42" s="796">
        <v>1112</v>
      </c>
      <c r="B42" s="793" t="s">
        <v>640</v>
      </c>
      <c r="C42" s="1073" t="s">
        <v>641</v>
      </c>
      <c r="D42" s="1292"/>
      <c r="E42" s="1293">
        <v>5</v>
      </c>
      <c r="F42" s="1294">
        <v>43220</v>
      </c>
      <c r="G42" s="1294">
        <f t="shared" si="3"/>
        <v>43224</v>
      </c>
      <c r="H42" s="1292" t="s">
        <v>622</v>
      </c>
      <c r="I42" s="1293" t="s">
        <v>170</v>
      </c>
      <c r="J42" s="643" t="s">
        <v>642</v>
      </c>
      <c r="K42" s="1292" t="s">
        <v>661</v>
      </c>
      <c r="L42" s="1231">
        <v>23174</v>
      </c>
      <c r="M42" s="1292"/>
      <c r="N42" s="1292"/>
      <c r="O42" s="647">
        <v>70</v>
      </c>
      <c r="P42" s="1292">
        <v>1</v>
      </c>
      <c r="Q42" s="2381">
        <f t="shared" si="5"/>
        <v>70</v>
      </c>
      <c r="R42" s="956"/>
      <c r="S42" s="954"/>
      <c r="T42" s="1823">
        <v>70</v>
      </c>
      <c r="U42" s="805"/>
      <c r="V42" s="954"/>
      <c r="W42" s="954"/>
      <c r="X42" s="1166"/>
      <c r="Y42" s="1144"/>
      <c r="Z42" s="1124"/>
      <c r="AA42" s="1124"/>
      <c r="AB42" s="1124"/>
      <c r="AC42" s="1124"/>
      <c r="AD42" s="1124"/>
      <c r="AE42" s="1124"/>
      <c r="AF42" s="1124"/>
      <c r="AG42" s="1282">
        <f t="shared" si="4"/>
        <v>70</v>
      </c>
    </row>
    <row r="43" spans="1:33" ht="116.25" hidden="1" customHeight="1">
      <c r="A43" s="796">
        <v>1112</v>
      </c>
      <c r="B43" s="793" t="s">
        <v>640</v>
      </c>
      <c r="C43" s="1073" t="s">
        <v>641</v>
      </c>
      <c r="D43" s="1292"/>
      <c r="E43" s="1293">
        <v>5</v>
      </c>
      <c r="F43" s="1294">
        <v>43220</v>
      </c>
      <c r="G43" s="1294">
        <f t="shared" si="3"/>
        <v>43224</v>
      </c>
      <c r="H43" s="1292" t="s">
        <v>622</v>
      </c>
      <c r="I43" s="1293" t="s">
        <v>170</v>
      </c>
      <c r="J43" s="643" t="s">
        <v>642</v>
      </c>
      <c r="K43" s="1292" t="s">
        <v>662</v>
      </c>
      <c r="L43" s="1231">
        <v>23174</v>
      </c>
      <c r="M43" s="1292"/>
      <c r="N43" s="1292"/>
      <c r="O43" s="647">
        <v>46.666666666666671</v>
      </c>
      <c r="P43" s="1292">
        <v>1</v>
      </c>
      <c r="Q43" s="2381">
        <f t="shared" si="5"/>
        <v>46.666666666666671</v>
      </c>
      <c r="R43" s="956"/>
      <c r="S43" s="954"/>
      <c r="T43" s="1823">
        <v>46.666666666666671</v>
      </c>
      <c r="U43" s="805"/>
      <c r="V43" s="954"/>
      <c r="W43" s="954"/>
      <c r="X43" s="1166"/>
      <c r="Y43" s="1144"/>
      <c r="Z43" s="1124"/>
      <c r="AA43" s="1124"/>
      <c r="AB43" s="1124"/>
      <c r="AC43" s="1124"/>
      <c r="AD43" s="1124"/>
      <c r="AE43" s="1124"/>
      <c r="AF43" s="1124"/>
      <c r="AG43" s="1282">
        <f t="shared" si="4"/>
        <v>46.666666666666671</v>
      </c>
    </row>
    <row r="44" spans="1:33" ht="116.25" hidden="1" customHeight="1">
      <c r="A44" s="796">
        <v>1112</v>
      </c>
      <c r="B44" s="793" t="s">
        <v>640</v>
      </c>
      <c r="C44" s="1073" t="s">
        <v>641</v>
      </c>
      <c r="D44" s="1292"/>
      <c r="E44" s="1293">
        <v>5</v>
      </c>
      <c r="F44" s="1294">
        <v>43220</v>
      </c>
      <c r="G44" s="1294">
        <f t="shared" si="3"/>
        <v>43224</v>
      </c>
      <c r="H44" s="1292" t="s">
        <v>622</v>
      </c>
      <c r="I44" s="1293" t="s">
        <v>170</v>
      </c>
      <c r="J44" s="643" t="s">
        <v>642</v>
      </c>
      <c r="K44" s="1292" t="s">
        <v>663</v>
      </c>
      <c r="L44" s="1231">
        <v>23174</v>
      </c>
      <c r="M44" s="1292"/>
      <c r="N44" s="1292"/>
      <c r="O44" s="647">
        <v>1176</v>
      </c>
      <c r="P44" s="1292">
        <v>1</v>
      </c>
      <c r="Q44" s="2381">
        <f t="shared" si="5"/>
        <v>1176</v>
      </c>
      <c r="R44" s="956"/>
      <c r="S44" s="954"/>
      <c r="T44" s="805"/>
      <c r="U44" s="1823">
        <v>1176</v>
      </c>
      <c r="V44" s="954"/>
      <c r="W44" s="954"/>
      <c r="X44" s="1166"/>
      <c r="Y44" s="1144"/>
      <c r="Z44" s="1124"/>
      <c r="AA44" s="1124"/>
      <c r="AB44" s="1124"/>
      <c r="AC44" s="1124"/>
      <c r="AD44" s="1124"/>
      <c r="AE44" s="1124"/>
      <c r="AF44" s="1124"/>
      <c r="AG44" s="1282">
        <f t="shared" si="4"/>
        <v>1176</v>
      </c>
    </row>
    <row r="45" spans="1:33" ht="116.25" hidden="1" customHeight="1">
      <c r="A45" s="796">
        <v>1112</v>
      </c>
      <c r="B45" s="793" t="s">
        <v>640</v>
      </c>
      <c r="C45" s="1073" t="s">
        <v>641</v>
      </c>
      <c r="D45" s="1292"/>
      <c r="E45" s="1293">
        <v>5</v>
      </c>
      <c r="F45" s="1294">
        <v>43220</v>
      </c>
      <c r="G45" s="1294">
        <f t="shared" si="3"/>
        <v>43224</v>
      </c>
      <c r="H45" s="1292" t="s">
        <v>622</v>
      </c>
      <c r="I45" s="1293" t="s">
        <v>170</v>
      </c>
      <c r="J45" s="643" t="s">
        <v>642</v>
      </c>
      <c r="K45" s="1292" t="s">
        <v>664</v>
      </c>
      <c r="L45" s="1231">
        <v>23174</v>
      </c>
      <c r="M45" s="1292"/>
      <c r="N45" s="1292"/>
      <c r="O45" s="647">
        <v>1306.6666666666667</v>
      </c>
      <c r="P45" s="1292">
        <v>1</v>
      </c>
      <c r="Q45" s="2381">
        <f t="shared" si="5"/>
        <v>1306.6666666666667</v>
      </c>
      <c r="R45" s="956"/>
      <c r="S45" s="954"/>
      <c r="T45" s="805"/>
      <c r="U45" s="1823">
        <v>1306.6666666666667</v>
      </c>
      <c r="V45" s="954"/>
      <c r="W45" s="954"/>
      <c r="X45" s="1166"/>
      <c r="Y45" s="1144"/>
      <c r="Z45" s="1124"/>
      <c r="AA45" s="1124"/>
      <c r="AB45" s="1124"/>
      <c r="AC45" s="1124"/>
      <c r="AD45" s="1124"/>
      <c r="AE45" s="1124"/>
      <c r="AF45" s="1124"/>
      <c r="AG45" s="1282">
        <f t="shared" si="4"/>
        <v>1306.6666666666667</v>
      </c>
    </row>
    <row r="46" spans="1:33" ht="116.25" hidden="1" customHeight="1">
      <c r="A46" s="796">
        <v>1112</v>
      </c>
      <c r="B46" s="793" t="s">
        <v>640</v>
      </c>
      <c r="C46" s="1073" t="s">
        <v>641</v>
      </c>
      <c r="D46" s="1292"/>
      <c r="E46" s="1293">
        <v>5</v>
      </c>
      <c r="F46" s="1294">
        <v>43220</v>
      </c>
      <c r="G46" s="1294">
        <f t="shared" si="3"/>
        <v>43224</v>
      </c>
      <c r="H46" s="1292" t="s">
        <v>622</v>
      </c>
      <c r="I46" s="1293" t="s">
        <v>170</v>
      </c>
      <c r="J46" s="643" t="s">
        <v>642</v>
      </c>
      <c r="K46" s="1292" t="s">
        <v>665</v>
      </c>
      <c r="L46" s="1231">
        <v>23174</v>
      </c>
      <c r="M46" s="1292"/>
      <c r="N46" s="1292"/>
      <c r="O46" s="647">
        <v>373</v>
      </c>
      <c r="P46" s="1292">
        <v>1</v>
      </c>
      <c r="Q46" s="2381">
        <f t="shared" si="5"/>
        <v>373</v>
      </c>
      <c r="R46" s="956"/>
      <c r="S46" s="954"/>
      <c r="T46" s="1823">
        <v>373</v>
      </c>
      <c r="U46" s="805"/>
      <c r="V46" s="954"/>
      <c r="W46" s="954"/>
      <c r="X46" s="1166"/>
      <c r="Y46" s="1144"/>
      <c r="Z46" s="1124"/>
      <c r="AA46" s="1124"/>
      <c r="AB46" s="1124"/>
      <c r="AC46" s="1124"/>
      <c r="AD46" s="1124"/>
      <c r="AE46" s="1124"/>
      <c r="AF46" s="1124"/>
      <c r="AG46" s="1282">
        <f t="shared" si="4"/>
        <v>373</v>
      </c>
    </row>
    <row r="47" spans="1:33" ht="116.25" hidden="1" customHeight="1">
      <c r="A47" s="796">
        <v>1112</v>
      </c>
      <c r="B47" s="793" t="s">
        <v>640</v>
      </c>
      <c r="C47" s="1073" t="s">
        <v>641</v>
      </c>
      <c r="D47" s="1292"/>
      <c r="E47" s="1293">
        <v>5</v>
      </c>
      <c r="F47" s="1294">
        <v>43220</v>
      </c>
      <c r="G47" s="1294">
        <f t="shared" si="3"/>
        <v>43224</v>
      </c>
      <c r="H47" s="1292" t="s">
        <v>622</v>
      </c>
      <c r="I47" s="1293" t="s">
        <v>170</v>
      </c>
      <c r="J47" s="643" t="s">
        <v>642</v>
      </c>
      <c r="K47" s="1292" t="s">
        <v>638</v>
      </c>
      <c r="L47" s="1231">
        <v>23173</v>
      </c>
      <c r="M47" s="1292"/>
      <c r="N47" s="1292"/>
      <c r="O47" s="647">
        <v>833.33333333333337</v>
      </c>
      <c r="P47" s="1292">
        <v>1</v>
      </c>
      <c r="Q47" s="2381">
        <f t="shared" si="5"/>
        <v>833.33333333333337</v>
      </c>
      <c r="R47" s="956"/>
      <c r="S47" s="954"/>
      <c r="T47" s="1823">
        <v>833.33333333333337</v>
      </c>
      <c r="U47" s="805"/>
      <c r="V47" s="954"/>
      <c r="W47" s="954"/>
      <c r="X47" s="1166"/>
      <c r="Y47" s="1144"/>
      <c r="Z47" s="1124"/>
      <c r="AA47" s="1124"/>
      <c r="AB47" s="1124"/>
      <c r="AC47" s="1124"/>
      <c r="AD47" s="1124"/>
      <c r="AE47" s="1124"/>
      <c r="AF47" s="1124"/>
      <c r="AG47" s="1282">
        <f t="shared" si="4"/>
        <v>833.33333333333337</v>
      </c>
    </row>
    <row r="48" spans="1:33" ht="116.25" hidden="1" customHeight="1">
      <c r="A48" s="796">
        <v>1112</v>
      </c>
      <c r="B48" s="793" t="s">
        <v>640</v>
      </c>
      <c r="C48" s="1073" t="s">
        <v>666</v>
      </c>
      <c r="D48" s="1292"/>
      <c r="E48" s="1293">
        <v>1</v>
      </c>
      <c r="F48" s="1294">
        <v>43225</v>
      </c>
      <c r="G48" s="1294">
        <f t="shared" si="3"/>
        <v>43225</v>
      </c>
      <c r="H48" s="1292" t="s">
        <v>667</v>
      </c>
      <c r="I48" s="1293" t="s">
        <v>170</v>
      </c>
      <c r="J48" s="643" t="s">
        <v>642</v>
      </c>
      <c r="K48" s="1292" t="s">
        <v>668</v>
      </c>
      <c r="L48" s="1231">
        <v>23173</v>
      </c>
      <c r="M48" s="1292"/>
      <c r="N48" s="1292"/>
      <c r="O48" s="647">
        <v>333.33333333333331</v>
      </c>
      <c r="P48" s="1292">
        <v>1</v>
      </c>
      <c r="Q48" s="2381">
        <f t="shared" si="5"/>
        <v>333.33333333333331</v>
      </c>
      <c r="R48" s="956"/>
      <c r="S48" s="954"/>
      <c r="T48" s="805"/>
      <c r="U48" s="1823">
        <v>333.33333333333331</v>
      </c>
      <c r="V48" s="954"/>
      <c r="W48" s="954"/>
      <c r="X48" s="1166"/>
      <c r="Y48" s="1144"/>
      <c r="Z48" s="1124"/>
      <c r="AA48" s="1124"/>
      <c r="AB48" s="1124"/>
      <c r="AC48" s="1124"/>
      <c r="AD48" s="1124"/>
      <c r="AE48" s="1124"/>
      <c r="AF48" s="1124"/>
      <c r="AG48" s="1282">
        <f t="shared" si="4"/>
        <v>333.33333333333331</v>
      </c>
    </row>
    <row r="49" spans="1:33" ht="116.25" hidden="1" customHeight="1">
      <c r="A49" s="796">
        <v>1112</v>
      </c>
      <c r="B49" s="793" t="s">
        <v>640</v>
      </c>
      <c r="C49" s="1073" t="s">
        <v>666</v>
      </c>
      <c r="D49" s="1292"/>
      <c r="E49" s="1293">
        <v>1</v>
      </c>
      <c r="F49" s="1294">
        <v>43225</v>
      </c>
      <c r="G49" s="1294">
        <f t="shared" si="3"/>
        <v>43225</v>
      </c>
      <c r="H49" s="1292" t="s">
        <v>667</v>
      </c>
      <c r="I49" s="1293" t="s">
        <v>170</v>
      </c>
      <c r="J49" s="643" t="s">
        <v>642</v>
      </c>
      <c r="K49" s="1292" t="s">
        <v>670</v>
      </c>
      <c r="L49" s="1231">
        <v>23173</v>
      </c>
      <c r="M49" s="1292"/>
      <c r="N49" s="1292"/>
      <c r="O49" s="647">
        <v>466.66666666666669</v>
      </c>
      <c r="P49" s="1292">
        <v>1</v>
      </c>
      <c r="Q49" s="2381">
        <f t="shared" si="5"/>
        <v>466.66666666666669</v>
      </c>
      <c r="R49" s="956"/>
      <c r="S49" s="954"/>
      <c r="T49" s="805"/>
      <c r="U49" s="1823">
        <v>466.66666666666669</v>
      </c>
      <c r="V49" s="954"/>
      <c r="W49" s="954"/>
      <c r="X49" s="1166"/>
      <c r="Y49" s="1144"/>
      <c r="Z49" s="1124"/>
      <c r="AA49" s="1124"/>
      <c r="AB49" s="1124"/>
      <c r="AC49" s="1124"/>
      <c r="AD49" s="1124"/>
      <c r="AE49" s="1124"/>
      <c r="AF49" s="1124"/>
      <c r="AG49" s="1282">
        <f t="shared" si="4"/>
        <v>466.66666666666669</v>
      </c>
    </row>
    <row r="50" spans="1:33" ht="116.25" hidden="1" customHeight="1">
      <c r="A50" s="2745">
        <v>1113</v>
      </c>
      <c r="B50" s="2748" t="s">
        <v>671</v>
      </c>
      <c r="C50" s="2747" t="s">
        <v>672</v>
      </c>
      <c r="D50" s="1705"/>
      <c r="E50" s="2749">
        <v>5</v>
      </c>
      <c r="F50" s="2750">
        <v>43227</v>
      </c>
      <c r="G50" s="2750">
        <f t="shared" si="3"/>
        <v>43231</v>
      </c>
      <c r="H50" s="2751" t="s">
        <v>667</v>
      </c>
      <c r="I50" s="2749" t="s">
        <v>170</v>
      </c>
      <c r="J50" s="2752" t="s">
        <v>673</v>
      </c>
      <c r="K50" s="1705"/>
      <c r="L50" s="2740"/>
      <c r="M50" s="1705"/>
      <c r="N50" s="1705"/>
      <c r="O50" s="2741"/>
      <c r="P50" s="1705"/>
      <c r="Q50" s="2805"/>
      <c r="R50" s="2742"/>
      <c r="S50" s="1144"/>
      <c r="T50" s="1124"/>
      <c r="U50" s="1566"/>
      <c r="V50" s="1144"/>
      <c r="W50" s="1144"/>
      <c r="X50" s="2743"/>
      <c r="Y50" s="1144"/>
      <c r="Z50" s="1124"/>
      <c r="AA50" s="1124"/>
      <c r="AB50" s="1124"/>
      <c r="AC50" s="1124"/>
      <c r="AD50" s="1124"/>
      <c r="AE50" s="1124"/>
      <c r="AF50" s="1124"/>
      <c r="AG50" s="1343"/>
    </row>
    <row r="51" spans="1:33" ht="73.900000000000006" hidden="1" customHeight="1">
      <c r="A51" s="796">
        <v>1113</v>
      </c>
      <c r="B51" s="793" t="s">
        <v>671</v>
      </c>
      <c r="C51" s="1073" t="s">
        <v>672</v>
      </c>
      <c r="D51" s="1292"/>
      <c r="E51" s="1293">
        <v>5</v>
      </c>
      <c r="F51" s="1294">
        <v>43227</v>
      </c>
      <c r="G51" s="1294">
        <f t="shared" si="3"/>
        <v>43231</v>
      </c>
      <c r="H51" s="1292" t="s">
        <v>667</v>
      </c>
      <c r="I51" s="1293" t="s">
        <v>170</v>
      </c>
      <c r="J51" s="643" t="s">
        <v>673</v>
      </c>
      <c r="K51" s="1292" t="s">
        <v>674</v>
      </c>
      <c r="L51" s="1231">
        <v>23174</v>
      </c>
      <c r="M51" s="1292"/>
      <c r="N51" s="1292"/>
      <c r="O51" s="647">
        <v>588</v>
      </c>
      <c r="P51" s="1292">
        <v>1</v>
      </c>
      <c r="Q51" s="2381">
        <f t="shared" si="5"/>
        <v>588</v>
      </c>
      <c r="R51" s="956"/>
      <c r="S51" s="954"/>
      <c r="T51" s="954"/>
      <c r="U51" s="1823">
        <v>588</v>
      </c>
      <c r="V51" s="954"/>
      <c r="W51" s="954"/>
      <c r="X51" s="1166"/>
      <c r="Y51" s="1144"/>
      <c r="Z51" s="1124"/>
      <c r="AA51" s="1124"/>
      <c r="AB51" s="1124"/>
      <c r="AC51" s="1124"/>
      <c r="AD51" s="1124"/>
      <c r="AE51" s="1124"/>
      <c r="AF51" s="1124"/>
      <c r="AG51" s="1282">
        <f t="shared" si="4"/>
        <v>588</v>
      </c>
    </row>
    <row r="52" spans="1:33" ht="73.900000000000006" hidden="1" customHeight="1">
      <c r="A52" s="796">
        <v>1113</v>
      </c>
      <c r="B52" s="793" t="s">
        <v>671</v>
      </c>
      <c r="C52" s="1073" t="s">
        <v>672</v>
      </c>
      <c r="D52" s="1292"/>
      <c r="E52" s="1293">
        <v>5</v>
      </c>
      <c r="F52" s="1294">
        <v>43227</v>
      </c>
      <c r="G52" s="1294">
        <f t="shared" si="3"/>
        <v>43231</v>
      </c>
      <c r="H52" s="1292" t="s">
        <v>667</v>
      </c>
      <c r="I52" s="1293" t="s">
        <v>170</v>
      </c>
      <c r="J52" s="643" t="s">
        <v>673</v>
      </c>
      <c r="K52" s="1292" t="s">
        <v>675</v>
      </c>
      <c r="L52" s="1231">
        <v>23174</v>
      </c>
      <c r="M52" s="1292"/>
      <c r="N52" s="1292"/>
      <c r="O52" s="647">
        <v>653.33333333333337</v>
      </c>
      <c r="P52" s="1292">
        <v>1</v>
      </c>
      <c r="Q52" s="2381">
        <f t="shared" si="5"/>
        <v>653.33333333333337</v>
      </c>
      <c r="R52" s="956"/>
      <c r="S52" s="954"/>
      <c r="T52" s="954"/>
      <c r="U52" s="1823">
        <v>653.33333333333337</v>
      </c>
      <c r="V52" s="954"/>
      <c r="W52" s="954"/>
      <c r="X52" s="1166"/>
      <c r="Y52" s="1144"/>
      <c r="Z52" s="1124"/>
      <c r="AA52" s="1124"/>
      <c r="AB52" s="1124"/>
      <c r="AC52" s="1124"/>
      <c r="AD52" s="1124"/>
      <c r="AE52" s="1124"/>
      <c r="AF52" s="1124"/>
      <c r="AG52" s="1282">
        <f t="shared" si="4"/>
        <v>653.33333333333337</v>
      </c>
    </row>
    <row r="53" spans="1:33" ht="73.900000000000006" hidden="1" customHeight="1">
      <c r="A53" s="796">
        <v>1113</v>
      </c>
      <c r="B53" s="793" t="s">
        <v>671</v>
      </c>
      <c r="C53" s="1073" t="s">
        <v>672</v>
      </c>
      <c r="D53" s="1292"/>
      <c r="E53" s="1293">
        <v>5</v>
      </c>
      <c r="F53" s="1294">
        <v>43227</v>
      </c>
      <c r="G53" s="1294">
        <f t="shared" si="3"/>
        <v>43231</v>
      </c>
      <c r="H53" s="1292" t="s">
        <v>667</v>
      </c>
      <c r="I53" s="1293" t="s">
        <v>170</v>
      </c>
      <c r="J53" s="643" t="s">
        <v>673</v>
      </c>
      <c r="K53" s="1292" t="s">
        <v>676</v>
      </c>
      <c r="L53" s="1231">
        <v>23174</v>
      </c>
      <c r="M53" s="1292"/>
      <c r="N53" s="1292"/>
      <c r="O53" s="647">
        <v>653</v>
      </c>
      <c r="P53" s="1292">
        <v>1</v>
      </c>
      <c r="Q53" s="2381">
        <f t="shared" si="5"/>
        <v>653</v>
      </c>
      <c r="R53" s="956"/>
      <c r="S53" s="954"/>
      <c r="T53" s="954"/>
      <c r="U53" s="1823">
        <v>653</v>
      </c>
      <c r="V53" s="954"/>
      <c r="W53" s="954"/>
      <c r="X53" s="1166"/>
      <c r="Y53" s="1144"/>
      <c r="Z53" s="1124"/>
      <c r="AA53" s="1124"/>
      <c r="AB53" s="1124"/>
      <c r="AC53" s="1124"/>
      <c r="AD53" s="1124"/>
      <c r="AE53" s="1124"/>
      <c r="AF53" s="1124"/>
      <c r="AG53" s="1282">
        <f t="shared" si="4"/>
        <v>653</v>
      </c>
    </row>
    <row r="54" spans="1:33" ht="73.900000000000006" hidden="1" customHeight="1">
      <c r="A54" s="796">
        <v>1113</v>
      </c>
      <c r="B54" s="793" t="s">
        <v>671</v>
      </c>
      <c r="C54" s="1073" t="s">
        <v>672</v>
      </c>
      <c r="D54" s="1292"/>
      <c r="E54" s="1293">
        <v>5</v>
      </c>
      <c r="F54" s="1294">
        <v>43227</v>
      </c>
      <c r="G54" s="1294">
        <f t="shared" si="3"/>
        <v>43231</v>
      </c>
      <c r="H54" s="1292" t="s">
        <v>667</v>
      </c>
      <c r="I54" s="1293" t="s">
        <v>170</v>
      </c>
      <c r="J54" s="643" t="s">
        <v>673</v>
      </c>
      <c r="K54" s="1292" t="s">
        <v>677</v>
      </c>
      <c r="L54" s="1231">
        <v>23173</v>
      </c>
      <c r="M54" s="1292"/>
      <c r="N54" s="1292"/>
      <c r="O54" s="647">
        <v>3833</v>
      </c>
      <c r="P54" s="1292">
        <v>1</v>
      </c>
      <c r="Q54" s="2381">
        <f t="shared" si="5"/>
        <v>3833</v>
      </c>
      <c r="R54" s="956"/>
      <c r="S54" s="954"/>
      <c r="T54" s="954"/>
      <c r="U54" s="1823">
        <v>3833</v>
      </c>
      <c r="V54" s="954"/>
      <c r="W54" s="954"/>
      <c r="X54" s="1166"/>
      <c r="Y54" s="1144"/>
      <c r="Z54" s="1124"/>
      <c r="AA54" s="1124"/>
      <c r="AB54" s="1124"/>
      <c r="AC54" s="1124"/>
      <c r="AD54" s="1124"/>
      <c r="AE54" s="1124"/>
      <c r="AF54" s="1124"/>
      <c r="AG54" s="1282">
        <f t="shared" si="4"/>
        <v>3833</v>
      </c>
    </row>
    <row r="55" spans="1:33" ht="73.900000000000006" hidden="1" customHeight="1">
      <c r="A55" s="796">
        <v>1113</v>
      </c>
      <c r="B55" s="793" t="s">
        <v>671</v>
      </c>
      <c r="C55" s="1073" t="s">
        <v>672</v>
      </c>
      <c r="D55" s="1292"/>
      <c r="E55" s="1293">
        <v>5</v>
      </c>
      <c r="F55" s="1294">
        <v>43227</v>
      </c>
      <c r="G55" s="1294">
        <f t="shared" si="3"/>
        <v>43231</v>
      </c>
      <c r="H55" s="1292" t="s">
        <v>667</v>
      </c>
      <c r="I55" s="1293" t="s">
        <v>170</v>
      </c>
      <c r="J55" s="643" t="s">
        <v>673</v>
      </c>
      <c r="K55" s="1292" t="s">
        <v>678</v>
      </c>
      <c r="L55" s="1231">
        <v>23173</v>
      </c>
      <c r="M55" s="1292"/>
      <c r="N55" s="1292"/>
      <c r="O55" s="647">
        <v>766.66666666666674</v>
      </c>
      <c r="P55" s="1292">
        <v>1</v>
      </c>
      <c r="Q55" s="2381">
        <f t="shared" si="5"/>
        <v>766.66666666666674</v>
      </c>
      <c r="R55" s="956"/>
      <c r="S55" s="954"/>
      <c r="T55" s="954"/>
      <c r="U55" s="1823">
        <v>766.66666666666674</v>
      </c>
      <c r="V55" s="954"/>
      <c r="W55" s="954"/>
      <c r="X55" s="1166"/>
      <c r="Y55" s="1144"/>
      <c r="Z55" s="1124"/>
      <c r="AA55" s="1124"/>
      <c r="AB55" s="1124"/>
      <c r="AC55" s="1124"/>
      <c r="AD55" s="1124"/>
      <c r="AE55" s="1124"/>
      <c r="AF55" s="1124"/>
      <c r="AG55" s="1282">
        <f t="shared" si="4"/>
        <v>766.66666666666674</v>
      </c>
    </row>
    <row r="56" spans="1:33" ht="73.900000000000006" hidden="1" customHeight="1">
      <c r="A56" s="2754">
        <v>1114</v>
      </c>
      <c r="B56" s="2755" t="s">
        <v>679</v>
      </c>
      <c r="C56" s="2756" t="s">
        <v>680</v>
      </c>
      <c r="D56" s="2757"/>
      <c r="E56" s="2758">
        <v>5</v>
      </c>
      <c r="F56" s="2759">
        <v>43248</v>
      </c>
      <c r="G56" s="2759">
        <v>43252</v>
      </c>
      <c r="H56" s="2757" t="s">
        <v>681</v>
      </c>
      <c r="I56" s="2758" t="s">
        <v>170</v>
      </c>
      <c r="J56" s="2760" t="s">
        <v>682</v>
      </c>
      <c r="K56" s="1705"/>
      <c r="L56" s="2740"/>
      <c r="M56" s="1705"/>
      <c r="N56" s="1705"/>
      <c r="O56" s="2741"/>
      <c r="P56" s="1705"/>
      <c r="Q56" s="2805"/>
      <c r="R56" s="2742"/>
      <c r="S56" s="1144"/>
      <c r="T56" s="1144"/>
      <c r="U56" s="1566"/>
      <c r="V56" s="1144"/>
      <c r="W56" s="1144"/>
      <c r="X56" s="2743"/>
      <c r="Y56" s="1144"/>
      <c r="Z56" s="1124"/>
      <c r="AA56" s="1124"/>
      <c r="AB56" s="1124"/>
      <c r="AC56" s="1124"/>
      <c r="AD56" s="1124"/>
      <c r="AE56" s="1124"/>
      <c r="AF56" s="1124"/>
      <c r="AG56" s="1343"/>
    </row>
    <row r="57" spans="1:33" ht="73.900000000000006" hidden="1" customHeight="1">
      <c r="A57" s="796">
        <v>1114</v>
      </c>
      <c r="B57" s="793" t="s">
        <v>679</v>
      </c>
      <c r="C57" s="1073" t="s">
        <v>680</v>
      </c>
      <c r="D57" s="1292"/>
      <c r="E57" s="1293">
        <v>5</v>
      </c>
      <c r="F57" s="1294">
        <v>43248</v>
      </c>
      <c r="G57" s="1294">
        <f t="shared" si="3"/>
        <v>43252</v>
      </c>
      <c r="H57" s="1292" t="s">
        <v>681</v>
      </c>
      <c r="I57" s="1293" t="s">
        <v>170</v>
      </c>
      <c r="J57" s="643" t="s">
        <v>682</v>
      </c>
      <c r="K57" s="1292" t="s">
        <v>683</v>
      </c>
      <c r="L57" s="1231">
        <v>23174</v>
      </c>
      <c r="M57" s="1292"/>
      <c r="N57" s="1292"/>
      <c r="O57" s="647">
        <v>588</v>
      </c>
      <c r="P57" s="1292">
        <v>1</v>
      </c>
      <c r="Q57" s="2381">
        <f t="shared" si="5"/>
        <v>588</v>
      </c>
      <c r="R57" s="956"/>
      <c r="S57" s="954"/>
      <c r="T57" s="954"/>
      <c r="U57" s="1823">
        <v>588</v>
      </c>
      <c r="V57" s="805"/>
      <c r="W57" s="954"/>
      <c r="X57" s="1166"/>
      <c r="Y57" s="1144"/>
      <c r="Z57" s="1124"/>
      <c r="AA57" s="1124"/>
      <c r="AB57" s="1124"/>
      <c r="AC57" s="1124"/>
      <c r="AD57" s="1124"/>
      <c r="AE57" s="1124"/>
      <c r="AF57" s="1124"/>
      <c r="AG57" s="1282">
        <f t="shared" si="4"/>
        <v>588</v>
      </c>
    </row>
    <row r="58" spans="1:33" ht="73.900000000000006" hidden="1" customHeight="1">
      <c r="A58" s="796">
        <v>1114</v>
      </c>
      <c r="B58" s="793" t="s">
        <v>679</v>
      </c>
      <c r="C58" s="1073" t="s">
        <v>680</v>
      </c>
      <c r="D58" s="1292"/>
      <c r="E58" s="1293">
        <v>5</v>
      </c>
      <c r="F58" s="1294">
        <v>43248</v>
      </c>
      <c r="G58" s="1294">
        <f t="shared" si="3"/>
        <v>43252</v>
      </c>
      <c r="H58" s="1292" t="s">
        <v>681</v>
      </c>
      <c r="I58" s="1293" t="s">
        <v>170</v>
      </c>
      <c r="J58" s="643" t="s">
        <v>682</v>
      </c>
      <c r="K58" s="1292" t="s">
        <v>684</v>
      </c>
      <c r="L58" s="1231">
        <v>23174</v>
      </c>
      <c r="M58" s="1292"/>
      <c r="N58" s="1292"/>
      <c r="O58" s="647">
        <v>653.33333333333337</v>
      </c>
      <c r="P58" s="1292">
        <v>1</v>
      </c>
      <c r="Q58" s="2381">
        <f t="shared" si="5"/>
        <v>653.33333333333337</v>
      </c>
      <c r="R58" s="956"/>
      <c r="S58" s="954"/>
      <c r="T58" s="954"/>
      <c r="U58" s="1823">
        <v>653.33333333333337</v>
      </c>
      <c r="V58" s="805"/>
      <c r="W58" s="954"/>
      <c r="X58" s="1166"/>
      <c r="Y58" s="1144"/>
      <c r="Z58" s="1124"/>
      <c r="AA58" s="1124"/>
      <c r="AB58" s="1124"/>
      <c r="AC58" s="1124"/>
      <c r="AD58" s="1124"/>
      <c r="AE58" s="1124"/>
      <c r="AF58" s="1124"/>
      <c r="AG58" s="1282">
        <f t="shared" si="4"/>
        <v>653.33333333333337</v>
      </c>
    </row>
    <row r="59" spans="1:33" ht="73.900000000000006" hidden="1" customHeight="1">
      <c r="A59" s="796">
        <v>1114</v>
      </c>
      <c r="B59" s="793" t="s">
        <v>679</v>
      </c>
      <c r="C59" s="1073" t="s">
        <v>680</v>
      </c>
      <c r="D59" s="1292"/>
      <c r="E59" s="1293">
        <v>5</v>
      </c>
      <c r="F59" s="1294">
        <v>43248</v>
      </c>
      <c r="G59" s="1294">
        <f t="shared" si="3"/>
        <v>43252</v>
      </c>
      <c r="H59" s="1292" t="s">
        <v>681</v>
      </c>
      <c r="I59" s="1293" t="s">
        <v>170</v>
      </c>
      <c r="J59" s="643" t="s">
        <v>682</v>
      </c>
      <c r="K59" s="1292" t="s">
        <v>685</v>
      </c>
      <c r="L59" s="1231">
        <v>23174</v>
      </c>
      <c r="M59" s="1292"/>
      <c r="N59" s="1292"/>
      <c r="O59" s="647">
        <v>490</v>
      </c>
      <c r="P59" s="1292">
        <v>1</v>
      </c>
      <c r="Q59" s="2381">
        <f t="shared" si="5"/>
        <v>490</v>
      </c>
      <c r="R59" s="956"/>
      <c r="S59" s="954"/>
      <c r="T59" s="954"/>
      <c r="U59" s="1823">
        <v>490</v>
      </c>
      <c r="V59" s="805"/>
      <c r="W59" s="954"/>
      <c r="X59" s="1166"/>
      <c r="Y59" s="1144"/>
      <c r="Z59" s="1124"/>
      <c r="AA59" s="1124"/>
      <c r="AB59" s="1124"/>
      <c r="AC59" s="1124"/>
      <c r="AD59" s="1124"/>
      <c r="AE59" s="1124"/>
      <c r="AF59" s="1124"/>
      <c r="AG59" s="1282">
        <f t="shared" si="4"/>
        <v>490</v>
      </c>
    </row>
    <row r="60" spans="1:33" ht="73.900000000000006" hidden="1" customHeight="1">
      <c r="A60" s="796">
        <v>1114</v>
      </c>
      <c r="B60" s="793" t="s">
        <v>679</v>
      </c>
      <c r="C60" s="1073" t="s">
        <v>680</v>
      </c>
      <c r="D60" s="1292"/>
      <c r="E60" s="1293">
        <v>5</v>
      </c>
      <c r="F60" s="1294">
        <v>43248</v>
      </c>
      <c r="G60" s="1294">
        <f t="shared" si="3"/>
        <v>43252</v>
      </c>
      <c r="H60" s="1292" t="s">
        <v>681</v>
      </c>
      <c r="I60" s="1293" t="s">
        <v>170</v>
      </c>
      <c r="J60" s="643" t="s">
        <v>682</v>
      </c>
      <c r="K60" s="1292" t="s">
        <v>686</v>
      </c>
      <c r="L60" s="1231">
        <v>23174</v>
      </c>
      <c r="M60" s="1292"/>
      <c r="N60" s="1292"/>
      <c r="O60" s="647">
        <v>326.66666666666669</v>
      </c>
      <c r="P60" s="1292">
        <v>1</v>
      </c>
      <c r="Q60" s="2381">
        <f t="shared" si="5"/>
        <v>326.66666666666669</v>
      </c>
      <c r="R60" s="956"/>
      <c r="S60" s="954"/>
      <c r="T60" s="954"/>
      <c r="U60" s="1823">
        <v>326.66666666666669</v>
      </c>
      <c r="V60" s="805"/>
      <c r="W60" s="954"/>
      <c r="X60" s="1166"/>
      <c r="Y60" s="1144"/>
      <c r="Z60" s="1124"/>
      <c r="AA60" s="1124"/>
      <c r="AB60" s="1124"/>
      <c r="AC60" s="1124"/>
      <c r="AD60" s="1124"/>
      <c r="AE60" s="1124"/>
      <c r="AF60" s="1124"/>
      <c r="AG60" s="1282">
        <f t="shared" si="4"/>
        <v>326.66666666666669</v>
      </c>
    </row>
    <row r="61" spans="1:33" ht="73.900000000000006" hidden="1" customHeight="1">
      <c r="A61" s="796">
        <v>1114</v>
      </c>
      <c r="B61" s="793" t="s">
        <v>679</v>
      </c>
      <c r="C61" s="1073" t="s">
        <v>680</v>
      </c>
      <c r="D61" s="1292"/>
      <c r="E61" s="1293">
        <v>5</v>
      </c>
      <c r="F61" s="1294">
        <v>43248</v>
      </c>
      <c r="G61" s="1294">
        <f t="shared" si="3"/>
        <v>43252</v>
      </c>
      <c r="H61" s="1292" t="s">
        <v>681</v>
      </c>
      <c r="I61" s="1293" t="s">
        <v>170</v>
      </c>
      <c r="J61" s="643" t="s">
        <v>682</v>
      </c>
      <c r="K61" s="1292" t="s">
        <v>687</v>
      </c>
      <c r="L61" s="1231">
        <v>23174</v>
      </c>
      <c r="M61" s="1292"/>
      <c r="N61" s="1292"/>
      <c r="O61" s="647">
        <v>2221</v>
      </c>
      <c r="P61" s="1292">
        <v>1</v>
      </c>
      <c r="Q61" s="2381">
        <f t="shared" si="5"/>
        <v>2221</v>
      </c>
      <c r="R61" s="956"/>
      <c r="S61" s="954"/>
      <c r="T61" s="954"/>
      <c r="U61" s="1823">
        <v>2221</v>
      </c>
      <c r="V61" s="805"/>
      <c r="W61" s="954"/>
      <c r="X61" s="1166"/>
      <c r="Y61" s="1144"/>
      <c r="Z61" s="1124"/>
      <c r="AA61" s="1124"/>
      <c r="AB61" s="1124"/>
      <c r="AC61" s="1124"/>
      <c r="AD61" s="1124"/>
      <c r="AE61" s="1124"/>
      <c r="AF61" s="1124"/>
      <c r="AG61" s="1282">
        <f t="shared" si="4"/>
        <v>2221</v>
      </c>
    </row>
    <row r="62" spans="1:33" ht="73.900000000000006" hidden="1" customHeight="1">
      <c r="A62" s="796">
        <v>1114</v>
      </c>
      <c r="B62" s="793" t="s">
        <v>679</v>
      </c>
      <c r="C62" s="1073" t="s">
        <v>680</v>
      </c>
      <c r="D62" s="1292"/>
      <c r="E62" s="1293">
        <v>5</v>
      </c>
      <c r="F62" s="1294">
        <v>43248</v>
      </c>
      <c r="G62" s="1294">
        <f t="shared" si="3"/>
        <v>43252</v>
      </c>
      <c r="H62" s="1292" t="s">
        <v>681</v>
      </c>
      <c r="I62" s="1293" t="s">
        <v>170</v>
      </c>
      <c r="J62" s="643" t="s">
        <v>682</v>
      </c>
      <c r="K62" s="1292" t="s">
        <v>688</v>
      </c>
      <c r="L62" s="1231">
        <v>23174</v>
      </c>
      <c r="M62" s="1292"/>
      <c r="N62" s="1292"/>
      <c r="O62" s="647">
        <v>1764</v>
      </c>
      <c r="P62" s="1292">
        <v>1</v>
      </c>
      <c r="Q62" s="2381">
        <f t="shared" si="5"/>
        <v>1764</v>
      </c>
      <c r="R62" s="956"/>
      <c r="S62" s="954"/>
      <c r="T62" s="954"/>
      <c r="U62" s="1823">
        <v>1764</v>
      </c>
      <c r="V62" s="805"/>
      <c r="W62" s="954"/>
      <c r="X62" s="1166"/>
      <c r="Y62" s="1144"/>
      <c r="Z62" s="1124"/>
      <c r="AA62" s="1124"/>
      <c r="AB62" s="1124"/>
      <c r="AC62" s="1124"/>
      <c r="AD62" s="1124"/>
      <c r="AE62" s="1124"/>
      <c r="AF62" s="1124"/>
      <c r="AG62" s="1282">
        <f t="shared" si="4"/>
        <v>1764</v>
      </c>
    </row>
    <row r="63" spans="1:33" ht="73.900000000000006" hidden="1" customHeight="1">
      <c r="A63" s="796">
        <v>1114</v>
      </c>
      <c r="B63" s="793" t="s">
        <v>679</v>
      </c>
      <c r="C63" s="1073" t="s">
        <v>680</v>
      </c>
      <c r="D63" s="1292"/>
      <c r="E63" s="1293">
        <v>5</v>
      </c>
      <c r="F63" s="1294">
        <v>43248</v>
      </c>
      <c r="G63" s="1294">
        <f t="shared" si="3"/>
        <v>43252</v>
      </c>
      <c r="H63" s="1292" t="s">
        <v>681</v>
      </c>
      <c r="I63" s="1293" t="s">
        <v>170</v>
      </c>
      <c r="J63" s="643" t="s">
        <v>682</v>
      </c>
      <c r="K63" s="1292" t="s">
        <v>689</v>
      </c>
      <c r="L63" s="1231">
        <v>23174</v>
      </c>
      <c r="M63" s="1292"/>
      <c r="N63" s="1292"/>
      <c r="O63" s="647">
        <v>1960</v>
      </c>
      <c r="P63" s="1292">
        <v>1</v>
      </c>
      <c r="Q63" s="2381">
        <f t="shared" si="5"/>
        <v>1960</v>
      </c>
      <c r="R63" s="956"/>
      <c r="S63" s="954"/>
      <c r="T63" s="954"/>
      <c r="U63" s="1823">
        <v>1960</v>
      </c>
      <c r="V63" s="805"/>
      <c r="W63" s="954"/>
      <c r="X63" s="1166"/>
      <c r="Y63" s="1144"/>
      <c r="Z63" s="1124"/>
      <c r="AA63" s="1124"/>
      <c r="AB63" s="1124"/>
      <c r="AC63" s="1124"/>
      <c r="AD63" s="1124"/>
      <c r="AE63" s="1124"/>
      <c r="AF63" s="1124"/>
      <c r="AG63" s="1282">
        <f t="shared" si="4"/>
        <v>1960</v>
      </c>
    </row>
    <row r="64" spans="1:33" ht="73.900000000000006" hidden="1" customHeight="1">
      <c r="A64" s="796">
        <v>1114</v>
      </c>
      <c r="B64" s="793" t="s">
        <v>679</v>
      </c>
      <c r="C64" s="1073" t="s">
        <v>680</v>
      </c>
      <c r="D64" s="1292"/>
      <c r="E64" s="1293">
        <v>5</v>
      </c>
      <c r="F64" s="1294">
        <v>43248</v>
      </c>
      <c r="G64" s="1294">
        <f t="shared" si="3"/>
        <v>43252</v>
      </c>
      <c r="H64" s="1292" t="s">
        <v>681</v>
      </c>
      <c r="I64" s="1293" t="s">
        <v>170</v>
      </c>
      <c r="J64" s="643" t="s">
        <v>682</v>
      </c>
      <c r="K64" s="1292" t="s">
        <v>690</v>
      </c>
      <c r="L64" s="1231">
        <v>23174</v>
      </c>
      <c r="M64" s="1292"/>
      <c r="N64" s="1292"/>
      <c r="O64" s="647">
        <v>1960</v>
      </c>
      <c r="P64" s="1292">
        <v>1</v>
      </c>
      <c r="Q64" s="2381">
        <f t="shared" si="5"/>
        <v>1960</v>
      </c>
      <c r="R64" s="956"/>
      <c r="S64" s="954"/>
      <c r="T64" s="954"/>
      <c r="U64" s="1823">
        <v>1960</v>
      </c>
      <c r="V64" s="805"/>
      <c r="W64" s="954"/>
      <c r="X64" s="1166"/>
      <c r="Y64" s="1144"/>
      <c r="Z64" s="1124"/>
      <c r="AA64" s="1124"/>
      <c r="AB64" s="1124"/>
      <c r="AC64" s="1124"/>
      <c r="AD64" s="1124"/>
      <c r="AE64" s="1124"/>
      <c r="AF64" s="1124"/>
      <c r="AG64" s="1282">
        <f t="shared" si="4"/>
        <v>1960</v>
      </c>
    </row>
    <row r="65" spans="1:33" ht="73.900000000000006" hidden="1" customHeight="1">
      <c r="A65" s="796">
        <v>1114</v>
      </c>
      <c r="B65" s="793" t="s">
        <v>679</v>
      </c>
      <c r="C65" s="1073" t="s">
        <v>680</v>
      </c>
      <c r="D65" s="1292"/>
      <c r="E65" s="1293">
        <v>5</v>
      </c>
      <c r="F65" s="1294">
        <v>43248</v>
      </c>
      <c r="G65" s="1294">
        <f t="shared" si="3"/>
        <v>43252</v>
      </c>
      <c r="H65" s="1292" t="s">
        <v>681</v>
      </c>
      <c r="I65" s="1293" t="s">
        <v>170</v>
      </c>
      <c r="J65" s="643" t="s">
        <v>682</v>
      </c>
      <c r="K65" s="1292" t="s">
        <v>691</v>
      </c>
      <c r="L65" s="1231">
        <v>23174</v>
      </c>
      <c r="M65" s="1292"/>
      <c r="N65" s="1292"/>
      <c r="O65" s="647">
        <v>8484</v>
      </c>
      <c r="P65" s="1292">
        <v>1</v>
      </c>
      <c r="Q65" s="2381">
        <f t="shared" si="5"/>
        <v>8484</v>
      </c>
      <c r="R65" s="956"/>
      <c r="S65" s="954"/>
      <c r="T65" s="954"/>
      <c r="U65" s="805"/>
      <c r="V65" s="1823">
        <v>8484</v>
      </c>
      <c r="W65" s="954"/>
      <c r="X65" s="1166"/>
      <c r="Y65" s="1144"/>
      <c r="Z65" s="1124"/>
      <c r="AA65" s="1124"/>
      <c r="AB65" s="1124"/>
      <c r="AC65" s="1124"/>
      <c r="AD65" s="1124"/>
      <c r="AE65" s="1124"/>
      <c r="AF65" s="1124"/>
      <c r="AG65" s="1282">
        <f t="shared" si="4"/>
        <v>8484</v>
      </c>
    </row>
    <row r="66" spans="1:33" ht="73.900000000000006" hidden="1" customHeight="1">
      <c r="A66" s="796">
        <v>1114</v>
      </c>
      <c r="B66" s="793" t="s">
        <v>679</v>
      </c>
      <c r="C66" s="1073" t="s">
        <v>680</v>
      </c>
      <c r="D66" s="1292"/>
      <c r="E66" s="1293">
        <v>5</v>
      </c>
      <c r="F66" s="1294">
        <v>43248</v>
      </c>
      <c r="G66" s="1294">
        <f t="shared" si="3"/>
        <v>43252</v>
      </c>
      <c r="H66" s="1292" t="s">
        <v>681</v>
      </c>
      <c r="I66" s="1293" t="s">
        <v>170</v>
      </c>
      <c r="J66" s="643" t="s">
        <v>682</v>
      </c>
      <c r="K66" s="1292" t="s">
        <v>692</v>
      </c>
      <c r="L66" s="1231">
        <v>23174</v>
      </c>
      <c r="M66" s="1292"/>
      <c r="N66" s="1292"/>
      <c r="O66" s="647">
        <v>9427</v>
      </c>
      <c r="P66" s="1292">
        <v>1</v>
      </c>
      <c r="Q66" s="2381">
        <f t="shared" si="5"/>
        <v>9427</v>
      </c>
      <c r="R66" s="956"/>
      <c r="S66" s="954"/>
      <c r="T66" s="954"/>
      <c r="U66" s="805"/>
      <c r="V66" s="1823">
        <v>9427</v>
      </c>
      <c r="W66" s="954"/>
      <c r="X66" s="1166"/>
      <c r="Y66" s="1144"/>
      <c r="Z66" s="1124"/>
      <c r="AA66" s="1124"/>
      <c r="AB66" s="1124"/>
      <c r="AC66" s="1124"/>
      <c r="AD66" s="1124"/>
      <c r="AE66" s="1124"/>
      <c r="AF66" s="1124"/>
      <c r="AG66" s="1282">
        <f t="shared" si="4"/>
        <v>9427</v>
      </c>
    </row>
    <row r="67" spans="1:33" ht="73.900000000000006" hidden="1" customHeight="1">
      <c r="A67" s="796">
        <v>1114</v>
      </c>
      <c r="B67" s="793" t="s">
        <v>679</v>
      </c>
      <c r="C67" s="1073" t="s">
        <v>680</v>
      </c>
      <c r="D67" s="1292"/>
      <c r="E67" s="1293">
        <v>5</v>
      </c>
      <c r="F67" s="1294">
        <v>43248</v>
      </c>
      <c r="G67" s="1294">
        <f t="shared" si="3"/>
        <v>43252</v>
      </c>
      <c r="H67" s="1292" t="s">
        <v>681</v>
      </c>
      <c r="I67" s="1293" t="s">
        <v>170</v>
      </c>
      <c r="J67" s="643" t="s">
        <v>682</v>
      </c>
      <c r="K67" s="1292" t="s">
        <v>693</v>
      </c>
      <c r="L67" s="1231">
        <v>23174</v>
      </c>
      <c r="M67" s="1292"/>
      <c r="N67" s="1292"/>
      <c r="O67" s="647">
        <v>1347</v>
      </c>
      <c r="P67" s="1292">
        <v>1</v>
      </c>
      <c r="Q67" s="2381">
        <f t="shared" si="5"/>
        <v>1347</v>
      </c>
      <c r="R67" s="956"/>
      <c r="S67" s="954"/>
      <c r="T67" s="954"/>
      <c r="U67" s="805"/>
      <c r="V67" s="1823">
        <v>1347</v>
      </c>
      <c r="W67" s="954"/>
      <c r="X67" s="1166"/>
      <c r="Y67" s="1144"/>
      <c r="Z67" s="1124"/>
      <c r="AA67" s="1124"/>
      <c r="AB67" s="1124"/>
      <c r="AC67" s="1124"/>
      <c r="AD67" s="1124"/>
      <c r="AE67" s="1124"/>
      <c r="AF67" s="1124"/>
      <c r="AG67" s="1282">
        <f t="shared" si="4"/>
        <v>1347</v>
      </c>
    </row>
    <row r="68" spans="1:33" ht="73.900000000000006" hidden="1" customHeight="1">
      <c r="A68" s="2745">
        <v>1115</v>
      </c>
      <c r="B68" s="2748" t="s">
        <v>694</v>
      </c>
      <c r="C68" s="2747" t="s">
        <v>695</v>
      </c>
      <c r="D68" s="2751"/>
      <c r="E68" s="2749">
        <v>10</v>
      </c>
      <c r="F68" s="2750">
        <v>43257</v>
      </c>
      <c r="G68" s="2750">
        <f t="shared" si="3"/>
        <v>43266</v>
      </c>
      <c r="H68" s="2751" t="s">
        <v>681</v>
      </c>
      <c r="I68" s="2749" t="s">
        <v>170</v>
      </c>
      <c r="J68" s="2752" t="s">
        <v>696</v>
      </c>
      <c r="K68" s="1705"/>
      <c r="L68" s="2740"/>
      <c r="M68" s="1705"/>
      <c r="N68" s="1705"/>
      <c r="O68" s="2741"/>
      <c r="P68" s="1705"/>
      <c r="Q68" s="2805"/>
      <c r="R68" s="2742"/>
      <c r="S68" s="1144"/>
      <c r="T68" s="1144"/>
      <c r="U68" s="1124"/>
      <c r="V68" s="1566"/>
      <c r="W68" s="1144"/>
      <c r="X68" s="2743"/>
      <c r="Y68" s="1144"/>
      <c r="Z68" s="1124"/>
      <c r="AA68" s="1124"/>
      <c r="AB68" s="1124"/>
      <c r="AC68" s="1124"/>
      <c r="AD68" s="1124"/>
      <c r="AE68" s="1124"/>
      <c r="AF68" s="1124"/>
      <c r="AG68" s="1343"/>
    </row>
    <row r="69" spans="1:33" ht="97.5" hidden="1" customHeight="1">
      <c r="A69" s="796">
        <v>1115</v>
      </c>
      <c r="B69" s="793" t="s">
        <v>694</v>
      </c>
      <c r="C69" s="1073" t="s">
        <v>695</v>
      </c>
      <c r="D69" s="1292"/>
      <c r="E69" s="1293">
        <v>10</v>
      </c>
      <c r="F69" s="1294">
        <v>43257</v>
      </c>
      <c r="G69" s="1294">
        <f t="shared" si="3"/>
        <v>43266</v>
      </c>
      <c r="H69" s="1292" t="s">
        <v>681</v>
      </c>
      <c r="I69" s="1293" t="s">
        <v>170</v>
      </c>
      <c r="J69" s="643" t="s">
        <v>696</v>
      </c>
      <c r="K69" s="1292" t="s">
        <v>697</v>
      </c>
      <c r="L69" s="1231">
        <v>23174</v>
      </c>
      <c r="M69" s="1292"/>
      <c r="N69" s="1292"/>
      <c r="O69" s="647">
        <v>420</v>
      </c>
      <c r="P69" s="1292">
        <v>1</v>
      </c>
      <c r="Q69" s="2381">
        <f t="shared" si="5"/>
        <v>420</v>
      </c>
      <c r="R69" s="956"/>
      <c r="S69" s="954"/>
      <c r="T69" s="954"/>
      <c r="U69" s="954"/>
      <c r="V69" s="1823">
        <v>420</v>
      </c>
      <c r="W69" s="805"/>
      <c r="X69" s="1166"/>
      <c r="Y69" s="1144"/>
      <c r="Z69" s="1124"/>
      <c r="AA69" s="1124"/>
      <c r="AB69" s="1124"/>
      <c r="AC69" s="1124"/>
      <c r="AD69" s="1124"/>
      <c r="AE69" s="1124"/>
      <c r="AF69" s="1124"/>
      <c r="AG69" s="1282">
        <f t="shared" si="4"/>
        <v>420</v>
      </c>
    </row>
    <row r="70" spans="1:33" ht="97.5" hidden="1" customHeight="1">
      <c r="A70" s="796">
        <v>1115</v>
      </c>
      <c r="B70" s="793" t="s">
        <v>694</v>
      </c>
      <c r="C70" s="1073" t="s">
        <v>695</v>
      </c>
      <c r="D70" s="1292"/>
      <c r="E70" s="1293">
        <v>10</v>
      </c>
      <c r="F70" s="1294">
        <v>43257</v>
      </c>
      <c r="G70" s="1294">
        <f t="shared" si="3"/>
        <v>43266</v>
      </c>
      <c r="H70" s="1292" t="s">
        <v>681</v>
      </c>
      <c r="I70" s="1293" t="s">
        <v>170</v>
      </c>
      <c r="J70" s="643" t="s">
        <v>696</v>
      </c>
      <c r="K70" s="1292" t="s">
        <v>698</v>
      </c>
      <c r="L70" s="1231">
        <v>23174</v>
      </c>
      <c r="M70" s="1292"/>
      <c r="N70" s="1292"/>
      <c r="O70" s="647">
        <v>466.66666666666669</v>
      </c>
      <c r="P70" s="1292">
        <v>1</v>
      </c>
      <c r="Q70" s="2381">
        <f t="shared" si="5"/>
        <v>466.66666666666669</v>
      </c>
      <c r="R70" s="956"/>
      <c r="S70" s="954"/>
      <c r="T70" s="954"/>
      <c r="U70" s="954"/>
      <c r="V70" s="1823">
        <v>466.66666666666669</v>
      </c>
      <c r="W70" s="805"/>
      <c r="X70" s="1166"/>
      <c r="Y70" s="1144"/>
      <c r="Z70" s="1124"/>
      <c r="AA70" s="1124"/>
      <c r="AB70" s="1124"/>
      <c r="AC70" s="1124"/>
      <c r="AD70" s="1124"/>
      <c r="AE70" s="1124"/>
      <c r="AF70" s="1124"/>
      <c r="AG70" s="1282">
        <f t="shared" si="4"/>
        <v>466.66666666666669</v>
      </c>
    </row>
    <row r="71" spans="1:33" ht="97.5" hidden="1" customHeight="1">
      <c r="A71" s="796">
        <v>1115</v>
      </c>
      <c r="B71" s="793" t="s">
        <v>694</v>
      </c>
      <c r="C71" s="1073" t="s">
        <v>695</v>
      </c>
      <c r="D71" s="1292"/>
      <c r="E71" s="1293">
        <v>10</v>
      </c>
      <c r="F71" s="1294">
        <v>43257</v>
      </c>
      <c r="G71" s="1294">
        <f t="shared" si="3"/>
        <v>43266</v>
      </c>
      <c r="H71" s="1292" t="s">
        <v>681</v>
      </c>
      <c r="I71" s="1293" t="s">
        <v>170</v>
      </c>
      <c r="J71" s="643" t="s">
        <v>696</v>
      </c>
      <c r="K71" s="1292" t="s">
        <v>699</v>
      </c>
      <c r="L71" s="1231">
        <v>23174</v>
      </c>
      <c r="M71" s="1292"/>
      <c r="N71" s="1292"/>
      <c r="O71" s="647">
        <v>350</v>
      </c>
      <c r="P71" s="1292">
        <v>1</v>
      </c>
      <c r="Q71" s="2381">
        <f t="shared" si="5"/>
        <v>350</v>
      </c>
      <c r="R71" s="956"/>
      <c r="S71" s="954"/>
      <c r="T71" s="954"/>
      <c r="U71" s="954"/>
      <c r="V71" s="1823">
        <v>350</v>
      </c>
      <c r="W71" s="805"/>
      <c r="X71" s="1166"/>
      <c r="Y71" s="1144"/>
      <c r="Z71" s="1124"/>
      <c r="AA71" s="1124"/>
      <c r="AB71" s="1124"/>
      <c r="AC71" s="1124"/>
      <c r="AD71" s="1124"/>
      <c r="AE71" s="1124"/>
      <c r="AF71" s="1124"/>
      <c r="AG71" s="1282">
        <f t="shared" si="4"/>
        <v>350</v>
      </c>
    </row>
    <row r="72" spans="1:33" ht="97.5" hidden="1" customHeight="1">
      <c r="A72" s="796">
        <v>1115</v>
      </c>
      <c r="B72" s="793" t="s">
        <v>694</v>
      </c>
      <c r="C72" s="1073" t="s">
        <v>695</v>
      </c>
      <c r="D72" s="1292"/>
      <c r="E72" s="1293">
        <v>10</v>
      </c>
      <c r="F72" s="1294">
        <v>43257</v>
      </c>
      <c r="G72" s="1294">
        <f t="shared" si="3"/>
        <v>43266</v>
      </c>
      <c r="H72" s="1292" t="s">
        <v>681</v>
      </c>
      <c r="I72" s="1293" t="s">
        <v>170</v>
      </c>
      <c r="J72" s="643" t="s">
        <v>696</v>
      </c>
      <c r="K72" s="1292" t="s">
        <v>700</v>
      </c>
      <c r="L72" s="1231">
        <v>23174</v>
      </c>
      <c r="M72" s="1292"/>
      <c r="N72" s="1292"/>
      <c r="O72" s="647">
        <v>233.33333333333334</v>
      </c>
      <c r="P72" s="1292">
        <v>1</v>
      </c>
      <c r="Q72" s="2381">
        <f t="shared" si="5"/>
        <v>233.33333333333334</v>
      </c>
      <c r="R72" s="956"/>
      <c r="S72" s="954"/>
      <c r="T72" s="954"/>
      <c r="U72" s="954"/>
      <c r="V72" s="1823">
        <v>233.33333333333334</v>
      </c>
      <c r="W72" s="805"/>
      <c r="X72" s="1166"/>
      <c r="Y72" s="1144"/>
      <c r="Z72" s="1124"/>
      <c r="AA72" s="1124"/>
      <c r="AB72" s="1124"/>
      <c r="AC72" s="1124"/>
      <c r="AD72" s="1124"/>
      <c r="AE72" s="1124"/>
      <c r="AF72" s="1124"/>
      <c r="AG72" s="1282">
        <f t="shared" si="4"/>
        <v>233.33333333333334</v>
      </c>
    </row>
    <row r="73" spans="1:33" ht="97.5" hidden="1" customHeight="1">
      <c r="A73" s="796">
        <v>1115</v>
      </c>
      <c r="B73" s="793" t="s">
        <v>694</v>
      </c>
      <c r="C73" s="1073" t="s">
        <v>695</v>
      </c>
      <c r="D73" s="1292"/>
      <c r="E73" s="1293">
        <v>10</v>
      </c>
      <c r="F73" s="1294">
        <v>43257</v>
      </c>
      <c r="G73" s="1294">
        <f t="shared" si="3"/>
        <v>43266</v>
      </c>
      <c r="H73" s="1292" t="s">
        <v>681</v>
      </c>
      <c r="I73" s="1293" t="s">
        <v>170</v>
      </c>
      <c r="J73" s="643" t="s">
        <v>696</v>
      </c>
      <c r="K73" s="1292" t="s">
        <v>683</v>
      </c>
      <c r="L73" s="1231">
        <v>23174</v>
      </c>
      <c r="M73" s="1292"/>
      <c r="N73" s="1292"/>
      <c r="O73" s="647">
        <v>1176</v>
      </c>
      <c r="P73" s="1292">
        <v>1</v>
      </c>
      <c r="Q73" s="2381">
        <f t="shared" si="5"/>
        <v>1176</v>
      </c>
      <c r="R73" s="956"/>
      <c r="S73" s="954"/>
      <c r="T73" s="954"/>
      <c r="U73" s="954"/>
      <c r="V73" s="1823">
        <v>1176</v>
      </c>
      <c r="W73" s="805"/>
      <c r="X73" s="1166"/>
      <c r="Y73" s="1144"/>
      <c r="Z73" s="1124"/>
      <c r="AA73" s="1124"/>
      <c r="AB73" s="1124"/>
      <c r="AC73" s="1124"/>
      <c r="AD73" s="1124"/>
      <c r="AE73" s="1124"/>
      <c r="AF73" s="1124"/>
      <c r="AG73" s="1282">
        <f t="shared" si="4"/>
        <v>1176</v>
      </c>
    </row>
    <row r="74" spans="1:33" ht="97.5" hidden="1" customHeight="1">
      <c r="A74" s="796">
        <v>1115</v>
      </c>
      <c r="B74" s="793" t="s">
        <v>694</v>
      </c>
      <c r="C74" s="1073" t="s">
        <v>695</v>
      </c>
      <c r="D74" s="1292"/>
      <c r="E74" s="1293">
        <v>10</v>
      </c>
      <c r="F74" s="1294">
        <v>43257</v>
      </c>
      <c r="G74" s="1294">
        <f t="shared" ref="G74:G94" si="6">F74+E74-1</f>
        <v>43266</v>
      </c>
      <c r="H74" s="1292" t="s">
        <v>681</v>
      </c>
      <c r="I74" s="1293" t="s">
        <v>170</v>
      </c>
      <c r="J74" s="643" t="s">
        <v>696</v>
      </c>
      <c r="K74" s="1292" t="s">
        <v>684</v>
      </c>
      <c r="L74" s="1231">
        <v>23174</v>
      </c>
      <c r="M74" s="1292"/>
      <c r="N74" s="1292"/>
      <c r="O74" s="647">
        <v>1307</v>
      </c>
      <c r="P74" s="1292">
        <v>1</v>
      </c>
      <c r="Q74" s="2381">
        <f t="shared" si="5"/>
        <v>1307</v>
      </c>
      <c r="R74" s="956"/>
      <c r="S74" s="954"/>
      <c r="T74" s="954"/>
      <c r="U74" s="954"/>
      <c r="V74" s="1823">
        <v>1307</v>
      </c>
      <c r="W74" s="805"/>
      <c r="X74" s="1166"/>
      <c r="Y74" s="1144"/>
      <c r="Z74" s="1124"/>
      <c r="AA74" s="1124"/>
      <c r="AB74" s="1124"/>
      <c r="AC74" s="1124"/>
      <c r="AD74" s="1124"/>
      <c r="AE74" s="1124"/>
      <c r="AF74" s="1124"/>
      <c r="AG74" s="1282">
        <f t="shared" si="4"/>
        <v>1307</v>
      </c>
    </row>
    <row r="75" spans="1:33" ht="97.5" hidden="1" customHeight="1">
      <c r="A75" s="796">
        <v>1115</v>
      </c>
      <c r="B75" s="793" t="s">
        <v>694</v>
      </c>
      <c r="C75" s="1073" t="s">
        <v>695</v>
      </c>
      <c r="D75" s="1292"/>
      <c r="E75" s="1293">
        <v>10</v>
      </c>
      <c r="F75" s="1294">
        <v>43257</v>
      </c>
      <c r="G75" s="1294">
        <f t="shared" si="6"/>
        <v>43266</v>
      </c>
      <c r="H75" s="1292" t="s">
        <v>681</v>
      </c>
      <c r="I75" s="1293" t="s">
        <v>170</v>
      </c>
      <c r="J75" s="643" t="s">
        <v>696</v>
      </c>
      <c r="K75" s="1292" t="s">
        <v>685</v>
      </c>
      <c r="L75" s="1231">
        <v>23174</v>
      </c>
      <c r="M75" s="1292"/>
      <c r="N75" s="1292"/>
      <c r="O75" s="647">
        <v>980</v>
      </c>
      <c r="P75" s="1292">
        <v>1</v>
      </c>
      <c r="Q75" s="2381">
        <f t="shared" si="5"/>
        <v>980</v>
      </c>
      <c r="R75" s="956"/>
      <c r="S75" s="954"/>
      <c r="T75" s="954"/>
      <c r="U75" s="954"/>
      <c r="V75" s="1823">
        <v>980</v>
      </c>
      <c r="W75" s="805"/>
      <c r="X75" s="1166"/>
      <c r="Y75" s="1144"/>
      <c r="Z75" s="1124"/>
      <c r="AA75" s="1124"/>
      <c r="AB75" s="1124"/>
      <c r="AC75" s="1124"/>
      <c r="AD75" s="1124"/>
      <c r="AE75" s="1124"/>
      <c r="AF75" s="1124"/>
      <c r="AG75" s="1282">
        <f t="shared" si="4"/>
        <v>980</v>
      </c>
    </row>
    <row r="76" spans="1:33" ht="97.5" hidden="1" customHeight="1">
      <c r="A76" s="796">
        <v>1115</v>
      </c>
      <c r="B76" s="793" t="s">
        <v>694</v>
      </c>
      <c r="C76" s="1073" t="s">
        <v>695</v>
      </c>
      <c r="D76" s="1292"/>
      <c r="E76" s="1293">
        <v>10</v>
      </c>
      <c r="F76" s="1294">
        <v>43257</v>
      </c>
      <c r="G76" s="1294">
        <f t="shared" si="6"/>
        <v>43266</v>
      </c>
      <c r="H76" s="1292" t="s">
        <v>681</v>
      </c>
      <c r="I76" s="1293" t="s">
        <v>170</v>
      </c>
      <c r="J76" s="643" t="s">
        <v>696</v>
      </c>
      <c r="K76" s="1292" t="s">
        <v>686</v>
      </c>
      <c r="L76" s="1231">
        <v>23174</v>
      </c>
      <c r="M76" s="1292"/>
      <c r="N76" s="1292"/>
      <c r="O76" s="647">
        <v>653</v>
      </c>
      <c r="P76" s="1292">
        <v>1</v>
      </c>
      <c r="Q76" s="2381">
        <f t="shared" si="5"/>
        <v>653</v>
      </c>
      <c r="R76" s="956"/>
      <c r="S76" s="954"/>
      <c r="T76" s="954"/>
      <c r="U76" s="954"/>
      <c r="V76" s="1823">
        <v>653</v>
      </c>
      <c r="W76" s="805"/>
      <c r="X76" s="1166"/>
      <c r="Y76" s="1144"/>
      <c r="Z76" s="1124"/>
      <c r="AA76" s="1124"/>
      <c r="AB76" s="1124"/>
      <c r="AC76" s="1124"/>
      <c r="AD76" s="1124"/>
      <c r="AE76" s="1124"/>
      <c r="AF76" s="1124"/>
      <c r="AG76" s="1282">
        <f t="shared" si="4"/>
        <v>653</v>
      </c>
    </row>
    <row r="77" spans="1:33" ht="97.5" hidden="1" customHeight="1">
      <c r="A77" s="796">
        <v>1115</v>
      </c>
      <c r="B77" s="793" t="s">
        <v>694</v>
      </c>
      <c r="C77" s="1073" t="s">
        <v>695</v>
      </c>
      <c r="D77" s="1292"/>
      <c r="E77" s="1293">
        <v>10</v>
      </c>
      <c r="F77" s="1294">
        <v>43257</v>
      </c>
      <c r="G77" s="1294">
        <f t="shared" si="6"/>
        <v>43266</v>
      </c>
      <c r="H77" s="1292" t="s">
        <v>681</v>
      </c>
      <c r="I77" s="1293" t="s">
        <v>170</v>
      </c>
      <c r="J77" s="643" t="s">
        <v>696</v>
      </c>
      <c r="K77" s="1292" t="s">
        <v>701</v>
      </c>
      <c r="L77" s="1231">
        <v>23174</v>
      </c>
      <c r="M77" s="1292"/>
      <c r="N77" s="1292"/>
      <c r="O77" s="647">
        <v>4443</v>
      </c>
      <c r="P77" s="1292">
        <v>1</v>
      </c>
      <c r="Q77" s="2381">
        <f t="shared" si="5"/>
        <v>4443</v>
      </c>
      <c r="R77" s="956"/>
      <c r="S77" s="954"/>
      <c r="T77" s="954"/>
      <c r="U77" s="954"/>
      <c r="V77" s="1823">
        <v>4443</v>
      </c>
      <c r="W77" s="805"/>
      <c r="X77" s="1166"/>
      <c r="Y77" s="1144"/>
      <c r="Z77" s="1124"/>
      <c r="AA77" s="1124"/>
      <c r="AB77" s="1124"/>
      <c r="AC77" s="1124"/>
      <c r="AD77" s="1124"/>
      <c r="AE77" s="1124"/>
      <c r="AF77" s="1124"/>
      <c r="AG77" s="1282">
        <f t="shared" si="4"/>
        <v>4443</v>
      </c>
    </row>
    <row r="78" spans="1:33" ht="97.5" hidden="1" customHeight="1">
      <c r="A78" s="796">
        <v>1115</v>
      </c>
      <c r="B78" s="793" t="s">
        <v>694</v>
      </c>
      <c r="C78" s="1073" t="s">
        <v>695</v>
      </c>
      <c r="D78" s="1292"/>
      <c r="E78" s="1293">
        <v>10</v>
      </c>
      <c r="F78" s="1294">
        <v>43257</v>
      </c>
      <c r="G78" s="1294">
        <f t="shared" si="6"/>
        <v>43266</v>
      </c>
      <c r="H78" s="1292" t="s">
        <v>681</v>
      </c>
      <c r="I78" s="1293" t="s">
        <v>170</v>
      </c>
      <c r="J78" s="643" t="s">
        <v>696</v>
      </c>
      <c r="K78" s="1292" t="s">
        <v>702</v>
      </c>
      <c r="L78" s="1231">
        <v>23174</v>
      </c>
      <c r="M78" s="1292"/>
      <c r="N78" s="1292"/>
      <c r="O78" s="647">
        <v>3528</v>
      </c>
      <c r="P78" s="1292">
        <v>1</v>
      </c>
      <c r="Q78" s="2381">
        <f t="shared" si="5"/>
        <v>3528</v>
      </c>
      <c r="R78" s="956"/>
      <c r="S78" s="954"/>
      <c r="T78" s="954"/>
      <c r="U78" s="954"/>
      <c r="V78" s="1823">
        <v>3528</v>
      </c>
      <c r="W78" s="805"/>
      <c r="X78" s="1166"/>
      <c r="Y78" s="1144"/>
      <c r="Z78" s="1124"/>
      <c r="AA78" s="1124"/>
      <c r="AB78" s="1124"/>
      <c r="AC78" s="1124"/>
      <c r="AD78" s="1124"/>
      <c r="AE78" s="1124"/>
      <c r="AF78" s="1124"/>
      <c r="AG78" s="1282">
        <f t="shared" si="4"/>
        <v>3528</v>
      </c>
    </row>
    <row r="79" spans="1:33" ht="97.5" hidden="1" customHeight="1">
      <c r="A79" s="796">
        <v>1115</v>
      </c>
      <c r="B79" s="793" t="s">
        <v>694</v>
      </c>
      <c r="C79" s="1073" t="s">
        <v>695</v>
      </c>
      <c r="D79" s="1292"/>
      <c r="E79" s="1293">
        <v>10</v>
      </c>
      <c r="F79" s="1294">
        <v>43257</v>
      </c>
      <c r="G79" s="1294">
        <f t="shared" si="6"/>
        <v>43266</v>
      </c>
      <c r="H79" s="1292" t="s">
        <v>681</v>
      </c>
      <c r="I79" s="1293" t="s">
        <v>170</v>
      </c>
      <c r="J79" s="643" t="s">
        <v>696</v>
      </c>
      <c r="K79" s="1292" t="s">
        <v>689</v>
      </c>
      <c r="L79" s="1231">
        <v>23174</v>
      </c>
      <c r="M79" s="1292"/>
      <c r="N79" s="1292"/>
      <c r="O79" s="647">
        <v>3920</v>
      </c>
      <c r="P79" s="1292">
        <v>1</v>
      </c>
      <c r="Q79" s="2381">
        <f t="shared" si="5"/>
        <v>3920</v>
      </c>
      <c r="R79" s="956"/>
      <c r="S79" s="954"/>
      <c r="T79" s="954"/>
      <c r="U79" s="954"/>
      <c r="V79" s="1823">
        <v>3920</v>
      </c>
      <c r="W79" s="805"/>
      <c r="X79" s="1166"/>
      <c r="Y79" s="1144"/>
      <c r="Z79" s="1124"/>
      <c r="AA79" s="1124"/>
      <c r="AB79" s="1124"/>
      <c r="AC79" s="1124"/>
      <c r="AD79" s="1124"/>
      <c r="AE79" s="1124"/>
      <c r="AF79" s="1124"/>
      <c r="AG79" s="1282">
        <f t="shared" ref="AG79:AG94" si="7">SUM(S79:AF79)</f>
        <v>3920</v>
      </c>
    </row>
    <row r="80" spans="1:33" ht="97.5" hidden="1" customHeight="1">
      <c r="A80" s="796">
        <v>1115</v>
      </c>
      <c r="B80" s="793" t="s">
        <v>694</v>
      </c>
      <c r="C80" s="1073" t="s">
        <v>695</v>
      </c>
      <c r="D80" s="1292"/>
      <c r="E80" s="1293">
        <v>10</v>
      </c>
      <c r="F80" s="1294">
        <v>43257</v>
      </c>
      <c r="G80" s="1294">
        <f t="shared" si="6"/>
        <v>43266</v>
      </c>
      <c r="H80" s="1292" t="s">
        <v>681</v>
      </c>
      <c r="I80" s="1293" t="s">
        <v>170</v>
      </c>
      <c r="J80" s="643" t="s">
        <v>696</v>
      </c>
      <c r="K80" s="1292" t="s">
        <v>690</v>
      </c>
      <c r="L80" s="1231">
        <v>23174</v>
      </c>
      <c r="M80" s="1292"/>
      <c r="N80" s="1292"/>
      <c r="O80" s="647">
        <v>1960</v>
      </c>
      <c r="P80" s="1292">
        <v>1</v>
      </c>
      <c r="Q80" s="2381">
        <f t="shared" ref="Q80:Q94" si="8">O80*P80</f>
        <v>1960</v>
      </c>
      <c r="R80" s="956"/>
      <c r="S80" s="954"/>
      <c r="T80" s="954"/>
      <c r="U80" s="954"/>
      <c r="V80" s="1823">
        <v>1960</v>
      </c>
      <c r="W80" s="805"/>
      <c r="X80" s="1166"/>
      <c r="Y80" s="1144"/>
      <c r="Z80" s="1124"/>
      <c r="AA80" s="1124"/>
      <c r="AB80" s="1124"/>
      <c r="AC80" s="1124"/>
      <c r="AD80" s="1124"/>
      <c r="AE80" s="1124"/>
      <c r="AF80" s="1124"/>
      <c r="AG80" s="1282">
        <f t="shared" si="7"/>
        <v>1960</v>
      </c>
    </row>
    <row r="81" spans="1:34" ht="97.5" hidden="1" customHeight="1">
      <c r="A81" s="796">
        <v>1115</v>
      </c>
      <c r="B81" s="793" t="s">
        <v>694</v>
      </c>
      <c r="C81" s="1073" t="s">
        <v>695</v>
      </c>
      <c r="D81" s="1292"/>
      <c r="E81" s="1293">
        <v>10</v>
      </c>
      <c r="F81" s="1294">
        <v>43257</v>
      </c>
      <c r="G81" s="1294">
        <f t="shared" si="6"/>
        <v>43266</v>
      </c>
      <c r="H81" s="1292" t="s">
        <v>681</v>
      </c>
      <c r="I81" s="1293" t="s">
        <v>170</v>
      </c>
      <c r="J81" s="643" t="s">
        <v>696</v>
      </c>
      <c r="K81" s="1292" t="s">
        <v>703</v>
      </c>
      <c r="L81" s="1231">
        <v>23174</v>
      </c>
      <c r="M81" s="1292"/>
      <c r="N81" s="1292"/>
      <c r="O81" s="647">
        <v>16968</v>
      </c>
      <c r="P81" s="1292">
        <v>1</v>
      </c>
      <c r="Q81" s="2381">
        <f t="shared" si="8"/>
        <v>16968</v>
      </c>
      <c r="R81" s="956"/>
      <c r="S81" s="954"/>
      <c r="T81" s="954"/>
      <c r="U81" s="954"/>
      <c r="V81" s="805"/>
      <c r="W81" s="1823">
        <v>16968</v>
      </c>
      <c r="X81" s="1166"/>
      <c r="Y81" s="1144"/>
      <c r="Z81" s="1124"/>
      <c r="AA81" s="1124"/>
      <c r="AB81" s="1124"/>
      <c r="AC81" s="1124"/>
      <c r="AD81" s="1124"/>
      <c r="AE81" s="1124"/>
      <c r="AF81" s="1124"/>
      <c r="AG81" s="1282">
        <f t="shared" si="7"/>
        <v>16968</v>
      </c>
    </row>
    <row r="82" spans="1:34" ht="97.5" hidden="1" customHeight="1">
      <c r="A82" s="796">
        <v>1115</v>
      </c>
      <c r="B82" s="793" t="s">
        <v>694</v>
      </c>
      <c r="C82" s="1073" t="s">
        <v>695</v>
      </c>
      <c r="D82" s="1292"/>
      <c r="E82" s="1293">
        <v>10</v>
      </c>
      <c r="F82" s="1294">
        <v>43257</v>
      </c>
      <c r="G82" s="1294">
        <f t="shared" si="6"/>
        <v>43266</v>
      </c>
      <c r="H82" s="1292" t="s">
        <v>681</v>
      </c>
      <c r="I82" s="1293" t="s">
        <v>170</v>
      </c>
      <c r="J82" s="643" t="s">
        <v>696</v>
      </c>
      <c r="K82" s="1292" t="s">
        <v>692</v>
      </c>
      <c r="L82" s="1231">
        <v>23174</v>
      </c>
      <c r="M82" s="1292"/>
      <c r="N82" s="1292"/>
      <c r="O82" s="647">
        <v>18853</v>
      </c>
      <c r="P82" s="1292">
        <v>1</v>
      </c>
      <c r="Q82" s="2381">
        <f t="shared" si="8"/>
        <v>18853</v>
      </c>
      <c r="R82" s="956"/>
      <c r="S82" s="954"/>
      <c r="T82" s="954"/>
      <c r="U82" s="954"/>
      <c r="V82" s="805"/>
      <c r="W82" s="1823">
        <v>18853</v>
      </c>
      <c r="X82" s="1166"/>
      <c r="Y82" s="1144"/>
      <c r="Z82" s="1124"/>
      <c r="AA82" s="1124"/>
      <c r="AB82" s="1124"/>
      <c r="AC82" s="1124"/>
      <c r="AD82" s="1124"/>
      <c r="AE82" s="1124"/>
      <c r="AF82" s="1124"/>
      <c r="AG82" s="1282">
        <f t="shared" si="7"/>
        <v>18853</v>
      </c>
    </row>
    <row r="83" spans="1:34" ht="97.5" hidden="1" customHeight="1">
      <c r="A83" s="796">
        <v>1115</v>
      </c>
      <c r="B83" s="793" t="s">
        <v>694</v>
      </c>
      <c r="C83" s="1073" t="s">
        <v>695</v>
      </c>
      <c r="D83" s="1292"/>
      <c r="E83" s="1293">
        <v>10</v>
      </c>
      <c r="F83" s="1294">
        <v>43257</v>
      </c>
      <c r="G83" s="1294">
        <f t="shared" si="6"/>
        <v>43266</v>
      </c>
      <c r="H83" s="1292" t="s">
        <v>681</v>
      </c>
      <c r="I83" s="1293" t="s">
        <v>170</v>
      </c>
      <c r="J83" s="643" t="s">
        <v>696</v>
      </c>
      <c r="K83" s="1292" t="s">
        <v>693</v>
      </c>
      <c r="L83" s="1231">
        <v>23174</v>
      </c>
      <c r="M83" s="1292"/>
      <c r="N83" s="1292"/>
      <c r="O83" s="647">
        <v>1347</v>
      </c>
      <c r="P83" s="1292">
        <v>1</v>
      </c>
      <c r="Q83" s="2381">
        <f t="shared" si="8"/>
        <v>1347</v>
      </c>
      <c r="R83" s="956"/>
      <c r="S83" s="954"/>
      <c r="T83" s="954"/>
      <c r="U83" s="954"/>
      <c r="V83" s="805"/>
      <c r="W83" s="1823">
        <v>1347</v>
      </c>
      <c r="X83" s="1166"/>
      <c r="Y83" s="1144"/>
      <c r="Z83" s="1124"/>
      <c r="AA83" s="1124"/>
      <c r="AB83" s="1124"/>
      <c r="AC83" s="1124"/>
      <c r="AD83" s="1124"/>
      <c r="AE83" s="1124"/>
      <c r="AF83" s="1124"/>
      <c r="AG83" s="1282">
        <f t="shared" si="7"/>
        <v>1347</v>
      </c>
    </row>
    <row r="84" spans="1:34" ht="97.5" hidden="1" customHeight="1">
      <c r="A84" s="796">
        <v>1115</v>
      </c>
      <c r="B84" s="793" t="s">
        <v>694</v>
      </c>
      <c r="C84" s="1073" t="s">
        <v>695</v>
      </c>
      <c r="D84" s="1292"/>
      <c r="E84" s="1293">
        <v>10</v>
      </c>
      <c r="F84" s="1294">
        <v>43257</v>
      </c>
      <c r="G84" s="1294">
        <f t="shared" si="6"/>
        <v>43266</v>
      </c>
      <c r="H84" s="1292" t="s">
        <v>681</v>
      </c>
      <c r="I84" s="1293" t="s">
        <v>170</v>
      </c>
      <c r="J84" s="643" t="s">
        <v>696</v>
      </c>
      <c r="K84" s="1292" t="s">
        <v>704</v>
      </c>
      <c r="L84" s="1231">
        <v>23173</v>
      </c>
      <c r="M84" s="1292"/>
      <c r="N84" s="1292"/>
      <c r="O84" s="647">
        <v>1117</v>
      </c>
      <c r="P84" s="1292">
        <v>1</v>
      </c>
      <c r="Q84" s="2381">
        <f t="shared" si="8"/>
        <v>1117</v>
      </c>
      <c r="R84" s="956"/>
      <c r="S84" s="954"/>
      <c r="T84" s="954"/>
      <c r="U84" s="954"/>
      <c r="V84" s="1823">
        <v>1117</v>
      </c>
      <c r="W84" s="805"/>
      <c r="X84" s="1166"/>
      <c r="Y84" s="1144"/>
      <c r="Z84" s="1124"/>
      <c r="AA84" s="1124"/>
      <c r="AB84" s="1124"/>
      <c r="AC84" s="1124"/>
      <c r="AD84" s="1124"/>
      <c r="AE84" s="1124"/>
      <c r="AF84" s="1124"/>
      <c r="AG84" s="1282">
        <f t="shared" si="7"/>
        <v>1117</v>
      </c>
    </row>
    <row r="85" spans="1:34" ht="97.5" hidden="1" customHeight="1">
      <c r="A85" s="796">
        <v>1115</v>
      </c>
      <c r="B85" s="793" t="s">
        <v>694</v>
      </c>
      <c r="C85" s="1073" t="s">
        <v>695</v>
      </c>
      <c r="D85" s="1292"/>
      <c r="E85" s="1293">
        <v>10</v>
      </c>
      <c r="F85" s="1294">
        <v>43257</v>
      </c>
      <c r="G85" s="1294">
        <f t="shared" si="6"/>
        <v>43266</v>
      </c>
      <c r="H85" s="1292" t="s">
        <v>681</v>
      </c>
      <c r="I85" s="1293" t="s">
        <v>170</v>
      </c>
      <c r="J85" s="643" t="s">
        <v>696</v>
      </c>
      <c r="K85" s="1292" t="s">
        <v>706</v>
      </c>
      <c r="L85" s="1231">
        <v>23173</v>
      </c>
      <c r="M85" s="1292"/>
      <c r="N85" s="1292"/>
      <c r="O85" s="647">
        <v>6450</v>
      </c>
      <c r="P85" s="1292">
        <v>1</v>
      </c>
      <c r="Q85" s="2381">
        <f t="shared" si="8"/>
        <v>6450</v>
      </c>
      <c r="R85" s="956"/>
      <c r="S85" s="954"/>
      <c r="T85" s="954"/>
      <c r="U85" s="954"/>
      <c r="V85" s="1823">
        <v>6450</v>
      </c>
      <c r="W85" s="805"/>
      <c r="X85" s="1166"/>
      <c r="Y85" s="1144"/>
      <c r="Z85" s="1124"/>
      <c r="AA85" s="1124"/>
      <c r="AB85" s="1124"/>
      <c r="AC85" s="1124"/>
      <c r="AD85" s="1124"/>
      <c r="AE85" s="1124"/>
      <c r="AF85" s="1124"/>
      <c r="AG85" s="1282">
        <f t="shared" si="7"/>
        <v>6450</v>
      </c>
    </row>
    <row r="86" spans="1:34" ht="97.5" hidden="1" customHeight="1">
      <c r="A86" s="796">
        <v>1115</v>
      </c>
      <c r="B86" s="793" t="s">
        <v>694</v>
      </c>
      <c r="C86" s="1073" t="s">
        <v>695</v>
      </c>
      <c r="D86" s="1292"/>
      <c r="E86" s="1293">
        <v>10</v>
      </c>
      <c r="F86" s="1294">
        <v>43257</v>
      </c>
      <c r="G86" s="1294">
        <f t="shared" si="6"/>
        <v>43266</v>
      </c>
      <c r="H86" s="1292" t="s">
        <v>681</v>
      </c>
      <c r="I86" s="1293" t="s">
        <v>170</v>
      </c>
      <c r="J86" s="643" t="s">
        <v>696</v>
      </c>
      <c r="K86" s="1292" t="s">
        <v>638</v>
      </c>
      <c r="L86" s="1231">
        <v>23173</v>
      </c>
      <c r="M86" s="1292"/>
      <c r="N86" s="1292"/>
      <c r="O86" s="647">
        <v>4300</v>
      </c>
      <c r="P86" s="1292">
        <v>1</v>
      </c>
      <c r="Q86" s="2381">
        <f t="shared" si="8"/>
        <v>4300</v>
      </c>
      <c r="R86" s="956"/>
      <c r="S86" s="954"/>
      <c r="T86" s="954"/>
      <c r="U86" s="954"/>
      <c r="V86" s="1823">
        <v>4300</v>
      </c>
      <c r="W86" s="805"/>
      <c r="X86" s="1166"/>
      <c r="Y86" s="1144"/>
      <c r="Z86" s="1124"/>
      <c r="AA86" s="1124"/>
      <c r="AB86" s="1124"/>
      <c r="AC86" s="1124"/>
      <c r="AD86" s="1124"/>
      <c r="AE86" s="1124"/>
      <c r="AF86" s="1124"/>
      <c r="AG86" s="1282">
        <f t="shared" si="7"/>
        <v>4300</v>
      </c>
    </row>
    <row r="87" spans="1:34" ht="97.5" hidden="1" customHeight="1">
      <c r="A87" s="2745">
        <v>1116</v>
      </c>
      <c r="B87" s="2748" t="s">
        <v>707</v>
      </c>
      <c r="C87" s="2747" t="s">
        <v>708</v>
      </c>
      <c r="D87" s="2751"/>
      <c r="E87" s="2749">
        <v>1</v>
      </c>
      <c r="F87" s="2750">
        <v>43315</v>
      </c>
      <c r="G87" s="2750">
        <f t="shared" si="6"/>
        <v>43315</v>
      </c>
      <c r="H87" s="2751" t="s">
        <v>667</v>
      </c>
      <c r="I87" s="2749" t="s">
        <v>170</v>
      </c>
      <c r="J87" s="2752" t="s">
        <v>696</v>
      </c>
      <c r="K87" s="1705"/>
      <c r="L87" s="2740"/>
      <c r="M87" s="1705"/>
      <c r="N87" s="1705"/>
      <c r="O87" s="2741"/>
      <c r="P87" s="1705"/>
      <c r="Q87" s="2805"/>
      <c r="R87" s="2742"/>
      <c r="S87" s="1144"/>
      <c r="T87" s="1144"/>
      <c r="U87" s="1144"/>
      <c r="V87" s="1566"/>
      <c r="W87" s="1124"/>
      <c r="X87" s="2743"/>
      <c r="Y87" s="1144"/>
      <c r="Z87" s="1124"/>
      <c r="AA87" s="1124"/>
      <c r="AB87" s="1124"/>
      <c r="AC87" s="1124"/>
      <c r="AD87" s="1124"/>
      <c r="AE87" s="1124"/>
      <c r="AF87" s="1124"/>
      <c r="AG87" s="1343"/>
    </row>
    <row r="88" spans="1:34" ht="73.900000000000006" hidden="1" customHeight="1">
      <c r="A88" s="796">
        <v>1116</v>
      </c>
      <c r="B88" s="793" t="s">
        <v>707</v>
      </c>
      <c r="C88" s="1073" t="s">
        <v>708</v>
      </c>
      <c r="D88" s="1292"/>
      <c r="E88" s="1293">
        <v>1</v>
      </c>
      <c r="F88" s="1294">
        <v>43315</v>
      </c>
      <c r="G88" s="1294">
        <f t="shared" si="6"/>
        <v>43315</v>
      </c>
      <c r="H88" s="1292" t="s">
        <v>667</v>
      </c>
      <c r="I88" s="1293" t="s">
        <v>170</v>
      </c>
      <c r="J88" s="643" t="s">
        <v>696</v>
      </c>
      <c r="K88" s="1292" t="s">
        <v>709</v>
      </c>
      <c r="L88" s="1231">
        <v>23174</v>
      </c>
      <c r="M88" s="1292"/>
      <c r="N88" s="1292"/>
      <c r="O88" s="647">
        <v>252</v>
      </c>
      <c r="P88" s="1292">
        <v>1</v>
      </c>
      <c r="Q88" s="2381">
        <f t="shared" si="8"/>
        <v>252</v>
      </c>
      <c r="R88" s="956"/>
      <c r="S88" s="954"/>
      <c r="T88" s="954"/>
      <c r="U88" s="954"/>
      <c r="V88" s="954"/>
      <c r="W88" s="954"/>
      <c r="X88" s="1824">
        <v>252</v>
      </c>
      <c r="Y88" s="1144"/>
      <c r="Z88" s="1124"/>
      <c r="AA88" s="1124"/>
      <c r="AB88" s="1124"/>
      <c r="AC88" s="1124"/>
      <c r="AD88" s="1124"/>
      <c r="AE88" s="1124"/>
      <c r="AF88" s="1124"/>
      <c r="AG88" s="1282">
        <f t="shared" si="7"/>
        <v>252</v>
      </c>
    </row>
    <row r="89" spans="1:34" ht="73.900000000000006" hidden="1" customHeight="1">
      <c r="A89" s="796">
        <v>1116</v>
      </c>
      <c r="B89" s="793" t="s">
        <v>707</v>
      </c>
      <c r="C89" s="1073" t="s">
        <v>708</v>
      </c>
      <c r="D89" s="1292"/>
      <c r="E89" s="1293">
        <v>1</v>
      </c>
      <c r="F89" s="1294">
        <v>43315</v>
      </c>
      <c r="G89" s="1294">
        <f t="shared" si="6"/>
        <v>43315</v>
      </c>
      <c r="H89" s="1292" t="s">
        <v>667</v>
      </c>
      <c r="I89" s="1293" t="s">
        <v>170</v>
      </c>
      <c r="J89" s="643" t="s">
        <v>696</v>
      </c>
      <c r="K89" s="1292" t="s">
        <v>710</v>
      </c>
      <c r="L89" s="1231">
        <v>23174</v>
      </c>
      <c r="M89" s="1292"/>
      <c r="N89" s="1292"/>
      <c r="O89" s="647">
        <v>280</v>
      </c>
      <c r="P89" s="1292">
        <v>1</v>
      </c>
      <c r="Q89" s="2381">
        <f t="shared" si="8"/>
        <v>280</v>
      </c>
      <c r="R89" s="956"/>
      <c r="S89" s="954"/>
      <c r="T89" s="954"/>
      <c r="U89" s="954"/>
      <c r="V89" s="954"/>
      <c r="W89" s="954"/>
      <c r="X89" s="1824">
        <v>280</v>
      </c>
      <c r="Y89" s="1144"/>
      <c r="Z89" s="1124"/>
      <c r="AA89" s="1124"/>
      <c r="AB89" s="1124"/>
      <c r="AC89" s="1124"/>
      <c r="AD89" s="1124"/>
      <c r="AE89" s="1124"/>
      <c r="AF89" s="1124"/>
      <c r="AG89" s="1282">
        <f t="shared" si="7"/>
        <v>280</v>
      </c>
    </row>
    <row r="90" spans="1:34" ht="73.900000000000006" hidden="1" customHeight="1">
      <c r="A90" s="796">
        <v>1116</v>
      </c>
      <c r="B90" s="793" t="s">
        <v>707</v>
      </c>
      <c r="C90" s="1073" t="s">
        <v>708</v>
      </c>
      <c r="D90" s="1292"/>
      <c r="E90" s="1293">
        <v>1</v>
      </c>
      <c r="F90" s="1294">
        <v>43315</v>
      </c>
      <c r="G90" s="1294">
        <f t="shared" si="6"/>
        <v>43315</v>
      </c>
      <c r="H90" s="1292" t="s">
        <v>667</v>
      </c>
      <c r="I90" s="1293" t="s">
        <v>170</v>
      </c>
      <c r="J90" s="643" t="s">
        <v>696</v>
      </c>
      <c r="K90" s="1292" t="s">
        <v>711</v>
      </c>
      <c r="L90" s="1231">
        <v>23174</v>
      </c>
      <c r="M90" s="1292"/>
      <c r="N90" s="1292"/>
      <c r="O90" s="647">
        <v>210</v>
      </c>
      <c r="P90" s="1292">
        <v>1</v>
      </c>
      <c r="Q90" s="2381">
        <f t="shared" si="8"/>
        <v>210</v>
      </c>
      <c r="R90" s="956"/>
      <c r="S90" s="954"/>
      <c r="T90" s="954"/>
      <c r="U90" s="954"/>
      <c r="V90" s="954"/>
      <c r="W90" s="954"/>
      <c r="X90" s="1824">
        <v>210</v>
      </c>
      <c r="Y90" s="1144"/>
      <c r="Z90" s="1124"/>
      <c r="AA90" s="1124"/>
      <c r="AB90" s="1124"/>
      <c r="AC90" s="1124"/>
      <c r="AD90" s="1124"/>
      <c r="AE90" s="1124"/>
      <c r="AF90" s="1124"/>
      <c r="AG90" s="1282">
        <f t="shared" si="7"/>
        <v>210</v>
      </c>
    </row>
    <row r="91" spans="1:34" ht="73.900000000000006" hidden="1" customHeight="1">
      <c r="A91" s="796">
        <v>1116</v>
      </c>
      <c r="B91" s="793" t="s">
        <v>707</v>
      </c>
      <c r="C91" s="1073" t="s">
        <v>708</v>
      </c>
      <c r="D91" s="1292"/>
      <c r="E91" s="1293">
        <v>1</v>
      </c>
      <c r="F91" s="1294">
        <v>43315</v>
      </c>
      <c r="G91" s="1294">
        <f t="shared" si="6"/>
        <v>43315</v>
      </c>
      <c r="H91" s="1292" t="s">
        <v>667</v>
      </c>
      <c r="I91" s="1293" t="s">
        <v>170</v>
      </c>
      <c r="J91" s="643" t="s">
        <v>696</v>
      </c>
      <c r="K91" s="1292" t="s">
        <v>712</v>
      </c>
      <c r="L91" s="1231">
        <v>23174</v>
      </c>
      <c r="M91" s="1292"/>
      <c r="N91" s="1292"/>
      <c r="O91" s="647">
        <v>140</v>
      </c>
      <c r="P91" s="1292">
        <v>1</v>
      </c>
      <c r="Q91" s="2381">
        <f t="shared" si="8"/>
        <v>140</v>
      </c>
      <c r="R91" s="956"/>
      <c r="S91" s="954"/>
      <c r="T91" s="954"/>
      <c r="U91" s="954"/>
      <c r="V91" s="954"/>
      <c r="W91" s="954"/>
      <c r="X91" s="1824">
        <v>140</v>
      </c>
      <c r="Y91" s="1144"/>
      <c r="Z91" s="1124"/>
      <c r="AA91" s="1124"/>
      <c r="AB91" s="1124"/>
      <c r="AC91" s="1124"/>
      <c r="AD91" s="1124"/>
      <c r="AE91" s="1124"/>
      <c r="AF91" s="1124"/>
      <c r="AG91" s="1282">
        <f t="shared" si="7"/>
        <v>140</v>
      </c>
    </row>
    <row r="92" spans="1:34" ht="73.900000000000006" hidden="1" customHeight="1">
      <c r="A92" s="796">
        <v>1116</v>
      </c>
      <c r="B92" s="793" t="s">
        <v>707</v>
      </c>
      <c r="C92" s="1073" t="s">
        <v>708</v>
      </c>
      <c r="D92" s="1292"/>
      <c r="E92" s="1293">
        <v>1</v>
      </c>
      <c r="F92" s="1294">
        <v>43315</v>
      </c>
      <c r="G92" s="1294">
        <f t="shared" si="6"/>
        <v>43315</v>
      </c>
      <c r="H92" s="1292" t="s">
        <v>667</v>
      </c>
      <c r="I92" s="1293" t="s">
        <v>170</v>
      </c>
      <c r="J92" s="643" t="s">
        <v>696</v>
      </c>
      <c r="K92" s="1292" t="s">
        <v>713</v>
      </c>
      <c r="L92" s="1231">
        <v>23174</v>
      </c>
      <c r="M92" s="1292"/>
      <c r="N92" s="1292"/>
      <c r="O92" s="647">
        <v>2221</v>
      </c>
      <c r="P92" s="1292">
        <v>1</v>
      </c>
      <c r="Q92" s="2381">
        <f t="shared" si="8"/>
        <v>2221</v>
      </c>
      <c r="R92" s="956"/>
      <c r="S92" s="954"/>
      <c r="T92" s="954"/>
      <c r="U92" s="954"/>
      <c r="V92" s="954"/>
      <c r="W92" s="954"/>
      <c r="X92" s="1824">
        <v>2221</v>
      </c>
      <c r="Y92" s="1144"/>
      <c r="Z92" s="1124"/>
      <c r="AA92" s="1124"/>
      <c r="AB92" s="1124"/>
      <c r="AC92" s="1124"/>
      <c r="AD92" s="1124"/>
      <c r="AE92" s="1124"/>
      <c r="AF92" s="1124"/>
      <c r="AG92" s="1282">
        <f t="shared" si="7"/>
        <v>2221</v>
      </c>
    </row>
    <row r="93" spans="1:34" ht="73.900000000000006" hidden="1" customHeight="1">
      <c r="A93" s="796">
        <v>1116</v>
      </c>
      <c r="B93" s="793" t="s">
        <v>707</v>
      </c>
      <c r="C93" s="1073" t="s">
        <v>708</v>
      </c>
      <c r="D93" s="1292"/>
      <c r="E93" s="1293">
        <v>1</v>
      </c>
      <c r="F93" s="1294">
        <v>43315</v>
      </c>
      <c r="G93" s="1294">
        <f t="shared" si="6"/>
        <v>43315</v>
      </c>
      <c r="H93" s="1292" t="s">
        <v>667</v>
      </c>
      <c r="I93" s="1293" t="s">
        <v>170</v>
      </c>
      <c r="J93" s="643" t="s">
        <v>696</v>
      </c>
      <c r="K93" s="1292" t="s">
        <v>714</v>
      </c>
      <c r="L93" s="1231">
        <v>23173</v>
      </c>
      <c r="M93" s="1292"/>
      <c r="N93" s="1292"/>
      <c r="O93" s="647">
        <v>333.33333333333331</v>
      </c>
      <c r="P93" s="1292">
        <v>1</v>
      </c>
      <c r="Q93" s="2381">
        <f t="shared" si="8"/>
        <v>333.33333333333331</v>
      </c>
      <c r="R93" s="956"/>
      <c r="S93" s="954"/>
      <c r="T93" s="954"/>
      <c r="U93" s="954"/>
      <c r="V93" s="954"/>
      <c r="W93" s="954"/>
      <c r="X93" s="1824">
        <v>333.33333333333331</v>
      </c>
      <c r="Y93" s="1144"/>
      <c r="Z93" s="1124"/>
      <c r="AA93" s="1124"/>
      <c r="AB93" s="1124"/>
      <c r="AC93" s="1124"/>
      <c r="AD93" s="1124"/>
      <c r="AE93" s="1124"/>
      <c r="AF93" s="1124"/>
      <c r="AG93" s="1282">
        <f t="shared" si="7"/>
        <v>333.33333333333331</v>
      </c>
    </row>
    <row r="94" spans="1:34" ht="73.900000000000006" hidden="1" customHeight="1">
      <c r="A94" s="796">
        <v>1116</v>
      </c>
      <c r="B94" s="793" t="s">
        <v>707</v>
      </c>
      <c r="C94" s="1073" t="s">
        <v>708</v>
      </c>
      <c r="D94" s="1292"/>
      <c r="E94" s="1293">
        <v>1</v>
      </c>
      <c r="F94" s="1294">
        <v>43315</v>
      </c>
      <c r="G94" s="1294">
        <f t="shared" si="6"/>
        <v>43315</v>
      </c>
      <c r="H94" s="1292" t="s">
        <v>667</v>
      </c>
      <c r="I94" s="1293" t="s">
        <v>170</v>
      </c>
      <c r="J94" s="643" t="s">
        <v>696</v>
      </c>
      <c r="K94" s="1292" t="s">
        <v>670</v>
      </c>
      <c r="L94" s="1231">
        <v>23173</v>
      </c>
      <c r="M94" s="1292"/>
      <c r="N94" s="1292"/>
      <c r="O94" s="647">
        <v>583.33333333333337</v>
      </c>
      <c r="P94" s="1292">
        <v>1</v>
      </c>
      <c r="Q94" s="2381">
        <f t="shared" si="8"/>
        <v>583.33333333333337</v>
      </c>
      <c r="R94" s="956"/>
      <c r="S94" s="954"/>
      <c r="T94" s="954"/>
      <c r="U94" s="954"/>
      <c r="V94" s="954"/>
      <c r="W94" s="954"/>
      <c r="X94" s="1824">
        <v>583.33333333333337</v>
      </c>
      <c r="Y94" s="1144"/>
      <c r="Z94" s="1124"/>
      <c r="AA94" s="1124"/>
      <c r="AB94" s="1124"/>
      <c r="AC94" s="1124"/>
      <c r="AD94" s="1124"/>
      <c r="AE94" s="1124"/>
      <c r="AF94" s="1124"/>
      <c r="AG94" s="1282">
        <f t="shared" si="7"/>
        <v>583.33333333333337</v>
      </c>
    </row>
    <row r="95" spans="1:34" ht="37.5" customHeight="1">
      <c r="A95" s="1300" t="s">
        <v>234</v>
      </c>
      <c r="B95" s="786"/>
      <c r="C95" s="786"/>
      <c r="D95" s="1300"/>
      <c r="E95" s="1300"/>
      <c r="F95" s="1300"/>
      <c r="G95" s="1300"/>
      <c r="H95" s="1300"/>
      <c r="I95" s="1300"/>
      <c r="J95" s="781"/>
      <c r="K95" s="1300"/>
      <c r="L95" s="1301"/>
      <c r="M95" s="1300"/>
      <c r="N95" s="1300"/>
      <c r="O95" s="1302"/>
      <c r="P95" s="1300"/>
      <c r="Q95" s="1303">
        <f>Q96+Q166</f>
        <v>314558.67633333337</v>
      </c>
      <c r="R95" s="1303"/>
      <c r="S95" s="1302">
        <f t="shared" ref="S95:AG95" si="9">S96+S166</f>
        <v>0</v>
      </c>
      <c r="T95" s="1302">
        <f t="shared" si="9"/>
        <v>78416.399666666664</v>
      </c>
      <c r="U95" s="1302">
        <f t="shared" si="9"/>
        <v>46733.999333333333</v>
      </c>
      <c r="V95" s="1302">
        <f t="shared" si="9"/>
        <v>111933.72499999999</v>
      </c>
      <c r="W95" s="1302">
        <f t="shared" si="9"/>
        <v>45901.552333333326</v>
      </c>
      <c r="X95" s="1302">
        <f t="shared" si="9"/>
        <v>7142</v>
      </c>
      <c r="Y95" s="1302">
        <f t="shared" si="9"/>
        <v>24431</v>
      </c>
      <c r="Z95" s="1302">
        <f t="shared" si="9"/>
        <v>0</v>
      </c>
      <c r="AA95" s="1302">
        <f t="shared" si="9"/>
        <v>0</v>
      </c>
      <c r="AB95" s="1302">
        <f t="shared" si="9"/>
        <v>0</v>
      </c>
      <c r="AC95" s="1302">
        <f t="shared" si="9"/>
        <v>0</v>
      </c>
      <c r="AD95" s="1302">
        <f t="shared" si="9"/>
        <v>0</v>
      </c>
      <c r="AE95" s="1302">
        <f t="shared" si="9"/>
        <v>0</v>
      </c>
      <c r="AF95" s="1302">
        <f t="shared" si="9"/>
        <v>0</v>
      </c>
      <c r="AG95" s="1302">
        <f t="shared" si="9"/>
        <v>314558.67633333331</v>
      </c>
      <c r="AH95" s="1018"/>
    </row>
    <row r="96" spans="1:34" ht="35.25" customHeight="1">
      <c r="A96" s="1324">
        <v>121</v>
      </c>
      <c r="B96" s="1462" t="s">
        <v>715</v>
      </c>
      <c r="C96" s="1497"/>
      <c r="D96" s="1306"/>
      <c r="E96" s="1306"/>
      <c r="F96" s="1306"/>
      <c r="G96" s="1306"/>
      <c r="H96" s="1306"/>
      <c r="I96" s="1306"/>
      <c r="J96" s="636"/>
      <c r="K96" s="1296"/>
      <c r="L96" s="1298"/>
      <c r="M96" s="1296"/>
      <c r="N96" s="1296"/>
      <c r="O96" s="1299"/>
      <c r="P96" s="1296"/>
      <c r="Q96" s="2806">
        <f>SUM(Q98:Q165)</f>
        <v>163711</v>
      </c>
      <c r="R96" s="960"/>
      <c r="S96" s="1307">
        <f t="shared" ref="S96:AF96" si="10">SUM(S98:S165)</f>
        <v>0</v>
      </c>
      <c r="T96" s="1307">
        <f t="shared" si="10"/>
        <v>65000</v>
      </c>
      <c r="U96" s="1307">
        <f t="shared" si="10"/>
        <v>14002</v>
      </c>
      <c r="V96" s="1307">
        <f t="shared" si="10"/>
        <v>31374</v>
      </c>
      <c r="W96" s="1307">
        <f t="shared" si="10"/>
        <v>21762</v>
      </c>
      <c r="X96" s="1307">
        <f t="shared" si="10"/>
        <v>7142</v>
      </c>
      <c r="Y96" s="1307">
        <f t="shared" si="10"/>
        <v>24431</v>
      </c>
      <c r="Z96" s="1307">
        <f t="shared" si="10"/>
        <v>0</v>
      </c>
      <c r="AA96" s="1307">
        <f t="shared" si="10"/>
        <v>0</v>
      </c>
      <c r="AB96" s="1307">
        <f t="shared" si="10"/>
        <v>0</v>
      </c>
      <c r="AC96" s="1307">
        <f t="shared" si="10"/>
        <v>0</v>
      </c>
      <c r="AD96" s="1307">
        <f t="shared" si="10"/>
        <v>0</v>
      </c>
      <c r="AE96" s="1307">
        <f t="shared" si="10"/>
        <v>0</v>
      </c>
      <c r="AF96" s="1307">
        <f t="shared" si="10"/>
        <v>0</v>
      </c>
      <c r="AG96" s="1307">
        <f>SUM(S96:AF96)</f>
        <v>163711</v>
      </c>
      <c r="AH96" s="1614"/>
    </row>
    <row r="97" spans="1:34" ht="35.25" hidden="1" customHeight="1">
      <c r="A97" s="2764">
        <v>1211</v>
      </c>
      <c r="B97" s="2765" t="s">
        <v>716</v>
      </c>
      <c r="C97" s="2766" t="s">
        <v>717</v>
      </c>
      <c r="D97" s="2767"/>
      <c r="E97" s="2768">
        <f t="shared" ref="E97:E131" si="11">+G97-F97+1</f>
        <v>12</v>
      </c>
      <c r="F97" s="2750">
        <v>43220</v>
      </c>
      <c r="G97" s="2750">
        <v>43231</v>
      </c>
      <c r="H97" s="2769" t="s">
        <v>718</v>
      </c>
      <c r="I97" s="2768" t="s">
        <v>170</v>
      </c>
      <c r="J97" s="2770" t="s">
        <v>719</v>
      </c>
      <c r="K97" s="1432"/>
      <c r="L97" s="1433"/>
      <c r="M97" s="1432"/>
      <c r="N97" s="1432"/>
      <c r="O97" s="2761"/>
      <c r="P97" s="1432"/>
      <c r="Q97" s="2807"/>
      <c r="R97" s="2762"/>
      <c r="S97" s="1309"/>
      <c r="T97" s="1309"/>
      <c r="U97" s="1309"/>
      <c r="V97" s="1309"/>
      <c r="W97" s="1309"/>
      <c r="X97" s="2763"/>
      <c r="Y97" s="1309"/>
      <c r="Z97" s="1309"/>
      <c r="AA97" s="1309"/>
      <c r="AB97" s="1309"/>
      <c r="AC97" s="1309"/>
      <c r="AD97" s="1309"/>
      <c r="AE97" s="1309"/>
      <c r="AF97" s="1309"/>
      <c r="AG97" s="1309"/>
      <c r="AH97" s="1614"/>
    </row>
    <row r="98" spans="1:34" s="1826" customFormat="1" ht="35.25" hidden="1" customHeight="1">
      <c r="A98" s="683">
        <v>1211</v>
      </c>
      <c r="B98" s="1760" t="s">
        <v>716</v>
      </c>
      <c r="C98" s="1076" t="s">
        <v>717</v>
      </c>
      <c r="D98" s="1761"/>
      <c r="E98" s="1762">
        <f t="shared" si="11"/>
        <v>12</v>
      </c>
      <c r="F98" s="1763">
        <v>43220</v>
      </c>
      <c r="G98" s="1763">
        <v>43231</v>
      </c>
      <c r="H98" s="1764" t="s">
        <v>718</v>
      </c>
      <c r="I98" s="1762" t="s">
        <v>170</v>
      </c>
      <c r="J98" s="667" t="s">
        <v>719</v>
      </c>
      <c r="K98" s="1292" t="s">
        <v>720</v>
      </c>
      <c r="L98" s="1233">
        <v>23174</v>
      </c>
      <c r="M98" s="1761"/>
      <c r="N98" s="1761"/>
      <c r="O98" s="1765">
        <v>157</v>
      </c>
      <c r="P98" s="1761">
        <v>28</v>
      </c>
      <c r="Q98" s="2382">
        <f t="shared" ref="Q98:Q132" si="12">+O98*P98</f>
        <v>4396</v>
      </c>
      <c r="R98" s="2382"/>
      <c r="S98" s="1766"/>
      <c r="T98" s="1766"/>
      <c r="U98" s="1765">
        <v>4396</v>
      </c>
      <c r="V98" s="1766"/>
      <c r="W98" s="1766"/>
      <c r="X98" s="1767"/>
      <c r="Y98" s="1768"/>
      <c r="Z98" s="1825"/>
      <c r="AA98" s="1825"/>
      <c r="AB98" s="1825"/>
      <c r="AC98" s="1825"/>
      <c r="AD98" s="1825"/>
      <c r="AE98" s="1825"/>
      <c r="AF98" s="1825"/>
      <c r="AG98" s="1282">
        <f t="shared" ref="AG98:AG165" si="13">SUM(S98:AF98)</f>
        <v>4396</v>
      </c>
    </row>
    <row r="99" spans="1:34" s="1826" customFormat="1" ht="35.25" hidden="1" customHeight="1">
      <c r="A99" s="683">
        <v>1211</v>
      </c>
      <c r="B99" s="1760" t="s">
        <v>716</v>
      </c>
      <c r="C99" s="1076" t="s">
        <v>717</v>
      </c>
      <c r="D99" s="1761"/>
      <c r="E99" s="1762">
        <f t="shared" si="11"/>
        <v>12</v>
      </c>
      <c r="F99" s="1763">
        <f t="shared" ref="F99:F109" si="14">+F98</f>
        <v>43220</v>
      </c>
      <c r="G99" s="1763">
        <v>43231</v>
      </c>
      <c r="H99" s="1764" t="s">
        <v>718</v>
      </c>
      <c r="I99" s="1762" t="s">
        <v>170</v>
      </c>
      <c r="J99" s="667" t="s">
        <v>719</v>
      </c>
      <c r="K99" s="1769" t="s">
        <v>721</v>
      </c>
      <c r="L99" s="1233">
        <v>23174</v>
      </c>
      <c r="M99" s="1761"/>
      <c r="N99" s="1761"/>
      <c r="O99" s="1765">
        <v>162</v>
      </c>
      <c r="P99" s="1761">
        <v>28</v>
      </c>
      <c r="Q99" s="2382">
        <f t="shared" si="12"/>
        <v>4536</v>
      </c>
      <c r="R99" s="2382"/>
      <c r="S99" s="1766"/>
      <c r="T99" s="1766"/>
      <c r="U99" s="1765">
        <v>4536</v>
      </c>
      <c r="V99" s="1766"/>
      <c r="W99" s="1766"/>
      <c r="X99" s="1767"/>
      <c r="Y99" s="1768"/>
      <c r="Z99" s="1825"/>
      <c r="AA99" s="1825"/>
      <c r="AB99" s="1825"/>
      <c r="AC99" s="1825"/>
      <c r="AD99" s="1825"/>
      <c r="AE99" s="1825"/>
      <c r="AF99" s="1825"/>
      <c r="AG99" s="1282">
        <f t="shared" si="13"/>
        <v>4536</v>
      </c>
    </row>
    <row r="100" spans="1:34" s="1826" customFormat="1" ht="35.25" hidden="1" customHeight="1">
      <c r="A100" s="683">
        <v>1211</v>
      </c>
      <c r="B100" s="1760" t="s">
        <v>716</v>
      </c>
      <c r="C100" s="1076" t="s">
        <v>717</v>
      </c>
      <c r="D100" s="1761"/>
      <c r="E100" s="1762">
        <f t="shared" si="11"/>
        <v>12</v>
      </c>
      <c r="F100" s="1763">
        <f t="shared" si="14"/>
        <v>43220</v>
      </c>
      <c r="G100" s="1763">
        <v>43231</v>
      </c>
      <c r="H100" s="1764" t="s">
        <v>718</v>
      </c>
      <c r="I100" s="1762" t="s">
        <v>170</v>
      </c>
      <c r="J100" s="667" t="s">
        <v>719</v>
      </c>
      <c r="K100" s="1769" t="s">
        <v>722</v>
      </c>
      <c r="L100" s="1233">
        <v>23174</v>
      </c>
      <c r="M100" s="1761"/>
      <c r="N100" s="1761"/>
      <c r="O100" s="1765">
        <v>22</v>
      </c>
      <c r="P100" s="1761">
        <v>28</v>
      </c>
      <c r="Q100" s="2382">
        <f t="shared" si="12"/>
        <v>616</v>
      </c>
      <c r="R100" s="2382"/>
      <c r="S100" s="1766"/>
      <c r="T100" s="1766"/>
      <c r="U100" s="1765">
        <v>616</v>
      </c>
      <c r="V100" s="1766"/>
      <c r="W100" s="1766"/>
      <c r="X100" s="1767"/>
      <c r="Y100" s="1768"/>
      <c r="Z100" s="1825"/>
      <c r="AA100" s="1825"/>
      <c r="AB100" s="1825"/>
      <c r="AC100" s="1825"/>
      <c r="AD100" s="1825"/>
      <c r="AE100" s="1825"/>
      <c r="AF100" s="1825"/>
      <c r="AG100" s="1282">
        <f t="shared" si="13"/>
        <v>616</v>
      </c>
    </row>
    <row r="101" spans="1:34" s="1826" customFormat="1" ht="35.25" hidden="1" customHeight="1">
      <c r="A101" s="683">
        <v>1211</v>
      </c>
      <c r="B101" s="1760" t="s">
        <v>716</v>
      </c>
      <c r="C101" s="1076" t="s">
        <v>717</v>
      </c>
      <c r="D101" s="1761"/>
      <c r="E101" s="1762">
        <f t="shared" si="11"/>
        <v>12</v>
      </c>
      <c r="F101" s="1763">
        <f t="shared" si="14"/>
        <v>43220</v>
      </c>
      <c r="G101" s="1763">
        <v>43231</v>
      </c>
      <c r="H101" s="1764" t="s">
        <v>718</v>
      </c>
      <c r="I101" s="1762" t="s">
        <v>170</v>
      </c>
      <c r="J101" s="667" t="s">
        <v>719</v>
      </c>
      <c r="K101" s="1769" t="s">
        <v>415</v>
      </c>
      <c r="L101" s="1231">
        <v>23173</v>
      </c>
      <c r="M101" s="1761"/>
      <c r="N101" s="1761"/>
      <c r="O101" s="1765">
        <v>156</v>
      </c>
      <c r="P101" s="1761">
        <v>10</v>
      </c>
      <c r="Q101" s="2382">
        <f t="shared" si="12"/>
        <v>1560</v>
      </c>
      <c r="R101" s="2382"/>
      <c r="S101" s="1766"/>
      <c r="T101" s="1766"/>
      <c r="U101" s="1765">
        <v>1560</v>
      </c>
      <c r="V101" s="1766"/>
      <c r="W101" s="1766"/>
      <c r="X101" s="1767"/>
      <c r="Y101" s="1768"/>
      <c r="Z101" s="1825"/>
      <c r="AA101" s="1825"/>
      <c r="AB101" s="1825"/>
      <c r="AC101" s="1825"/>
      <c r="AD101" s="1825"/>
      <c r="AE101" s="1825"/>
      <c r="AF101" s="1825"/>
      <c r="AG101" s="1282">
        <f t="shared" si="13"/>
        <v>1560</v>
      </c>
    </row>
    <row r="102" spans="1:34" s="1826" customFormat="1" ht="35.25" hidden="1" customHeight="1">
      <c r="A102" s="683">
        <v>1211</v>
      </c>
      <c r="B102" s="1760" t="s">
        <v>716</v>
      </c>
      <c r="C102" s="1076" t="s">
        <v>717</v>
      </c>
      <c r="D102" s="1761"/>
      <c r="E102" s="1762">
        <f t="shared" si="11"/>
        <v>12</v>
      </c>
      <c r="F102" s="1763">
        <f t="shared" si="14"/>
        <v>43220</v>
      </c>
      <c r="G102" s="1763">
        <v>43231</v>
      </c>
      <c r="H102" s="1764" t="s">
        <v>718</v>
      </c>
      <c r="I102" s="1762" t="s">
        <v>170</v>
      </c>
      <c r="J102" s="667" t="s">
        <v>719</v>
      </c>
      <c r="K102" s="1769" t="s">
        <v>638</v>
      </c>
      <c r="L102" s="1233">
        <v>23173</v>
      </c>
      <c r="M102" s="1761"/>
      <c r="N102" s="1761"/>
      <c r="O102" s="1765">
        <v>10</v>
      </c>
      <c r="P102" s="1761">
        <v>28</v>
      </c>
      <c r="Q102" s="2382">
        <f t="shared" si="12"/>
        <v>280</v>
      </c>
      <c r="R102" s="2382"/>
      <c r="S102" s="1766"/>
      <c r="T102" s="1766"/>
      <c r="U102" s="1765">
        <v>280</v>
      </c>
      <c r="V102" s="1766"/>
      <c r="W102" s="1766"/>
      <c r="X102" s="1767"/>
      <c r="Y102" s="1768"/>
      <c r="Z102" s="1825"/>
      <c r="AA102" s="1825"/>
      <c r="AB102" s="1825"/>
      <c r="AC102" s="1825"/>
      <c r="AD102" s="1825"/>
      <c r="AE102" s="1825"/>
      <c r="AF102" s="1825"/>
      <c r="AG102" s="1282">
        <f t="shared" si="13"/>
        <v>280</v>
      </c>
    </row>
    <row r="103" spans="1:34" s="1826" customFormat="1" ht="35.25" hidden="1" customHeight="1">
      <c r="A103" s="683">
        <v>1211</v>
      </c>
      <c r="B103" s="1760" t="s">
        <v>716</v>
      </c>
      <c r="C103" s="1076" t="s">
        <v>717</v>
      </c>
      <c r="D103" s="1761"/>
      <c r="E103" s="1762">
        <f t="shared" si="11"/>
        <v>12</v>
      </c>
      <c r="F103" s="1763">
        <f t="shared" si="14"/>
        <v>43220</v>
      </c>
      <c r="G103" s="1763">
        <v>43231</v>
      </c>
      <c r="H103" s="1764" t="s">
        <v>718</v>
      </c>
      <c r="I103" s="1762" t="s">
        <v>170</v>
      </c>
      <c r="J103" s="667" t="s">
        <v>719</v>
      </c>
      <c r="K103" s="1769" t="s">
        <v>723</v>
      </c>
      <c r="L103" s="1233">
        <v>23174</v>
      </c>
      <c r="M103" s="1761"/>
      <c r="N103" s="1761"/>
      <c r="O103" s="1765">
        <v>281</v>
      </c>
      <c r="P103" s="1761">
        <v>4</v>
      </c>
      <c r="Q103" s="2382">
        <f t="shared" si="12"/>
        <v>1124</v>
      </c>
      <c r="R103" s="2382"/>
      <c r="S103" s="1766"/>
      <c r="T103" s="1766"/>
      <c r="U103" s="1765">
        <v>1124</v>
      </c>
      <c r="V103" s="1766"/>
      <c r="W103" s="1766"/>
      <c r="X103" s="1767"/>
      <c r="Y103" s="1768"/>
      <c r="Z103" s="1825"/>
      <c r="AA103" s="1825"/>
      <c r="AB103" s="1825"/>
      <c r="AC103" s="1825"/>
      <c r="AD103" s="1825"/>
      <c r="AE103" s="1825"/>
      <c r="AF103" s="1825"/>
      <c r="AG103" s="1282">
        <f t="shared" si="13"/>
        <v>1124</v>
      </c>
    </row>
    <row r="104" spans="1:34" s="1826" customFormat="1" ht="35.25" hidden="1" customHeight="1">
      <c r="A104" s="683">
        <v>1211</v>
      </c>
      <c r="B104" s="1760" t="s">
        <v>716</v>
      </c>
      <c r="C104" s="1076" t="s">
        <v>717</v>
      </c>
      <c r="D104" s="1761"/>
      <c r="E104" s="1762">
        <f t="shared" si="11"/>
        <v>12</v>
      </c>
      <c r="F104" s="1763">
        <f t="shared" si="14"/>
        <v>43220</v>
      </c>
      <c r="G104" s="1763">
        <v>43231</v>
      </c>
      <c r="H104" s="1764" t="s">
        <v>718</v>
      </c>
      <c r="I104" s="1762" t="s">
        <v>170</v>
      </c>
      <c r="J104" s="667" t="s">
        <v>719</v>
      </c>
      <c r="K104" s="1769" t="s">
        <v>724</v>
      </c>
      <c r="L104" s="1233">
        <v>23173</v>
      </c>
      <c r="M104" s="1761"/>
      <c r="N104" s="1761"/>
      <c r="O104" s="1765">
        <v>10</v>
      </c>
      <c r="P104" s="1761">
        <v>28</v>
      </c>
      <c r="Q104" s="2382">
        <f t="shared" si="12"/>
        <v>280</v>
      </c>
      <c r="R104" s="2382"/>
      <c r="S104" s="1766"/>
      <c r="T104" s="1766"/>
      <c r="U104" s="1765">
        <v>280</v>
      </c>
      <c r="V104" s="1766"/>
      <c r="W104" s="1766"/>
      <c r="X104" s="1767"/>
      <c r="Y104" s="1768"/>
      <c r="Z104" s="1825"/>
      <c r="AA104" s="1825"/>
      <c r="AB104" s="1825"/>
      <c r="AC104" s="1825"/>
      <c r="AD104" s="1825"/>
      <c r="AE104" s="1825"/>
      <c r="AF104" s="1825"/>
      <c r="AG104" s="1282">
        <f t="shared" si="13"/>
        <v>280</v>
      </c>
    </row>
    <row r="105" spans="1:34" s="1826" customFormat="1" ht="35.25" hidden="1" customHeight="1">
      <c r="A105" s="683">
        <v>1211</v>
      </c>
      <c r="B105" s="1760" t="s">
        <v>716</v>
      </c>
      <c r="C105" s="1076" t="s">
        <v>717</v>
      </c>
      <c r="D105" s="1761"/>
      <c r="E105" s="1762">
        <f t="shared" si="11"/>
        <v>12</v>
      </c>
      <c r="F105" s="1763">
        <f t="shared" si="14"/>
        <v>43220</v>
      </c>
      <c r="G105" s="1763">
        <v>43231</v>
      </c>
      <c r="H105" s="1764" t="s">
        <v>718</v>
      </c>
      <c r="I105" s="1762" t="s">
        <v>170</v>
      </c>
      <c r="J105" s="667" t="s">
        <v>719</v>
      </c>
      <c r="K105" s="1769" t="s">
        <v>725</v>
      </c>
      <c r="L105" s="1233">
        <v>23174</v>
      </c>
      <c r="M105" s="1761"/>
      <c r="N105" s="1761"/>
      <c r="O105" s="1765">
        <v>157</v>
      </c>
      <c r="P105" s="1761">
        <v>2</v>
      </c>
      <c r="Q105" s="2382">
        <f t="shared" si="12"/>
        <v>314</v>
      </c>
      <c r="R105" s="2382"/>
      <c r="S105" s="1766"/>
      <c r="T105" s="1766"/>
      <c r="U105" s="1765">
        <v>314</v>
      </c>
      <c r="V105" s="1766"/>
      <c r="W105" s="1766"/>
      <c r="X105" s="1767"/>
      <c r="Y105" s="1768"/>
      <c r="Z105" s="1825"/>
      <c r="AA105" s="1825"/>
      <c r="AB105" s="1825"/>
      <c r="AC105" s="1825"/>
      <c r="AD105" s="1825"/>
      <c r="AE105" s="1825"/>
      <c r="AF105" s="1825"/>
      <c r="AG105" s="1282">
        <f t="shared" si="13"/>
        <v>314</v>
      </c>
    </row>
    <row r="106" spans="1:34" s="1826" customFormat="1" ht="35.25" hidden="1" customHeight="1">
      <c r="A106" s="683">
        <v>1211</v>
      </c>
      <c r="B106" s="1760" t="s">
        <v>716</v>
      </c>
      <c r="C106" s="1076" t="s">
        <v>717</v>
      </c>
      <c r="D106" s="1761"/>
      <c r="E106" s="1762">
        <f t="shared" si="11"/>
        <v>12</v>
      </c>
      <c r="F106" s="1763">
        <f t="shared" si="14"/>
        <v>43220</v>
      </c>
      <c r="G106" s="1763">
        <v>43231</v>
      </c>
      <c r="H106" s="1764" t="s">
        <v>718</v>
      </c>
      <c r="I106" s="1762" t="s">
        <v>170</v>
      </c>
      <c r="J106" s="667" t="s">
        <v>719</v>
      </c>
      <c r="K106" s="1769" t="s">
        <v>726</v>
      </c>
      <c r="L106" s="1233">
        <v>23174</v>
      </c>
      <c r="M106" s="1761"/>
      <c r="N106" s="1761"/>
      <c r="O106" s="1765">
        <v>162</v>
      </c>
      <c r="P106" s="1761">
        <v>2</v>
      </c>
      <c r="Q106" s="2382">
        <f t="shared" si="12"/>
        <v>324</v>
      </c>
      <c r="R106" s="2382"/>
      <c r="S106" s="1766"/>
      <c r="T106" s="1766"/>
      <c r="U106" s="1765">
        <v>324</v>
      </c>
      <c r="V106" s="1766"/>
      <c r="W106" s="1766"/>
      <c r="X106" s="1767"/>
      <c r="Y106" s="1768"/>
      <c r="Z106" s="1825"/>
      <c r="AA106" s="1825"/>
      <c r="AB106" s="1825"/>
      <c r="AC106" s="1825"/>
      <c r="AD106" s="1825"/>
      <c r="AE106" s="1825"/>
      <c r="AF106" s="1825"/>
      <c r="AG106" s="1282">
        <f t="shared" si="13"/>
        <v>324</v>
      </c>
    </row>
    <row r="107" spans="1:34" s="1826" customFormat="1" ht="35.25" hidden="1" customHeight="1">
      <c r="A107" s="683">
        <v>1211</v>
      </c>
      <c r="B107" s="1760" t="s">
        <v>716</v>
      </c>
      <c r="C107" s="1076" t="s">
        <v>717</v>
      </c>
      <c r="D107" s="1761"/>
      <c r="E107" s="1762">
        <f t="shared" si="11"/>
        <v>12</v>
      </c>
      <c r="F107" s="1763">
        <f t="shared" si="14"/>
        <v>43220</v>
      </c>
      <c r="G107" s="1763">
        <v>43231</v>
      </c>
      <c r="H107" s="1764" t="s">
        <v>718</v>
      </c>
      <c r="I107" s="1762" t="s">
        <v>170</v>
      </c>
      <c r="J107" s="667" t="s">
        <v>719</v>
      </c>
      <c r="K107" s="1769" t="s">
        <v>727</v>
      </c>
      <c r="L107" s="1233">
        <v>23174</v>
      </c>
      <c r="M107" s="1761"/>
      <c r="N107" s="1761"/>
      <c r="O107" s="1765">
        <v>131</v>
      </c>
      <c r="P107" s="1761">
        <v>2</v>
      </c>
      <c r="Q107" s="2382">
        <f t="shared" si="12"/>
        <v>262</v>
      </c>
      <c r="R107" s="2382"/>
      <c r="S107" s="1766"/>
      <c r="T107" s="1766"/>
      <c r="U107" s="1765">
        <v>262</v>
      </c>
      <c r="V107" s="1766"/>
      <c r="W107" s="1766"/>
      <c r="X107" s="1767"/>
      <c r="Y107" s="1768"/>
      <c r="Z107" s="1825"/>
      <c r="AA107" s="1825"/>
      <c r="AB107" s="1825"/>
      <c r="AC107" s="1825"/>
      <c r="AD107" s="1825"/>
      <c r="AE107" s="1825"/>
      <c r="AF107" s="1825"/>
      <c r="AG107" s="1282">
        <f t="shared" si="13"/>
        <v>262</v>
      </c>
    </row>
    <row r="108" spans="1:34" s="1826" customFormat="1" ht="35.25" hidden="1" customHeight="1">
      <c r="A108" s="683">
        <v>1211</v>
      </c>
      <c r="B108" s="1760" t="s">
        <v>716</v>
      </c>
      <c r="C108" s="1076" t="s">
        <v>717</v>
      </c>
      <c r="D108" s="1761"/>
      <c r="E108" s="1762">
        <f t="shared" si="11"/>
        <v>12</v>
      </c>
      <c r="F108" s="1763">
        <f t="shared" si="14"/>
        <v>43220</v>
      </c>
      <c r="G108" s="1763">
        <v>43231</v>
      </c>
      <c r="H108" s="1764" t="s">
        <v>718</v>
      </c>
      <c r="I108" s="1762" t="s">
        <v>170</v>
      </c>
      <c r="J108" s="667" t="s">
        <v>719</v>
      </c>
      <c r="K108" s="1769" t="s">
        <v>728</v>
      </c>
      <c r="L108" s="1233">
        <v>23174</v>
      </c>
      <c r="M108" s="1761"/>
      <c r="N108" s="1761"/>
      <c r="O108" s="1765">
        <v>81</v>
      </c>
      <c r="P108" s="1761">
        <v>2</v>
      </c>
      <c r="Q108" s="2382">
        <f t="shared" si="12"/>
        <v>162</v>
      </c>
      <c r="R108" s="2382"/>
      <c r="S108" s="1766"/>
      <c r="T108" s="1766"/>
      <c r="U108" s="1765">
        <v>162</v>
      </c>
      <c r="V108" s="1766"/>
      <c r="W108" s="1766"/>
      <c r="X108" s="1767"/>
      <c r="Y108" s="1768"/>
      <c r="Z108" s="1825"/>
      <c r="AA108" s="1825"/>
      <c r="AB108" s="1825"/>
      <c r="AC108" s="1825"/>
      <c r="AD108" s="1825"/>
      <c r="AE108" s="1825"/>
      <c r="AF108" s="1825"/>
      <c r="AG108" s="1282">
        <f t="shared" si="13"/>
        <v>162</v>
      </c>
    </row>
    <row r="109" spans="1:34" s="1826" customFormat="1" ht="35.25" hidden="1" customHeight="1">
      <c r="A109" s="683">
        <v>1211</v>
      </c>
      <c r="B109" s="1760" t="s">
        <v>716</v>
      </c>
      <c r="C109" s="1076" t="s">
        <v>717</v>
      </c>
      <c r="D109" s="1761"/>
      <c r="E109" s="1762">
        <f t="shared" si="11"/>
        <v>12</v>
      </c>
      <c r="F109" s="1763">
        <f t="shared" si="14"/>
        <v>43220</v>
      </c>
      <c r="G109" s="1763">
        <v>43231</v>
      </c>
      <c r="H109" s="1764" t="s">
        <v>718</v>
      </c>
      <c r="I109" s="1762" t="s">
        <v>170</v>
      </c>
      <c r="J109" s="667" t="s">
        <v>719</v>
      </c>
      <c r="K109" s="1769" t="s">
        <v>729</v>
      </c>
      <c r="L109" s="1233">
        <v>23174</v>
      </c>
      <c r="M109" s="1761"/>
      <c r="N109" s="1761"/>
      <c r="O109" s="1765">
        <v>74</v>
      </c>
      <c r="P109" s="1761">
        <v>2</v>
      </c>
      <c r="Q109" s="2382">
        <f t="shared" si="12"/>
        <v>148</v>
      </c>
      <c r="R109" s="2382"/>
      <c r="S109" s="1766"/>
      <c r="T109" s="1766"/>
      <c r="U109" s="1765">
        <v>148</v>
      </c>
      <c r="V109" s="1766"/>
      <c r="W109" s="1766"/>
      <c r="X109" s="1767"/>
      <c r="Y109" s="1768"/>
      <c r="Z109" s="1825"/>
      <c r="AA109" s="1825"/>
      <c r="AB109" s="1825"/>
      <c r="AC109" s="1825"/>
      <c r="AD109" s="1825"/>
      <c r="AE109" s="1825"/>
      <c r="AF109" s="1825"/>
      <c r="AG109" s="1282">
        <f t="shared" si="13"/>
        <v>148</v>
      </c>
    </row>
    <row r="110" spans="1:34" s="1826" customFormat="1" ht="35.25" hidden="1" customHeight="1">
      <c r="A110" s="2764">
        <v>1212</v>
      </c>
      <c r="B110" s="2765" t="s">
        <v>730</v>
      </c>
      <c r="C110" s="2766" t="s">
        <v>731</v>
      </c>
      <c r="D110" s="2767"/>
      <c r="E110" s="2768">
        <f t="shared" si="11"/>
        <v>5</v>
      </c>
      <c r="F110" s="2750">
        <v>43248</v>
      </c>
      <c r="G110" s="2750">
        <f t="shared" ref="G110:G119" si="15">+F110+5-1</f>
        <v>43252</v>
      </c>
      <c r="H110" s="2769" t="s">
        <v>732</v>
      </c>
      <c r="I110" s="2768" t="s">
        <v>170</v>
      </c>
      <c r="J110" s="2770" t="s">
        <v>719</v>
      </c>
      <c r="K110" s="1769"/>
      <c r="L110" s="2773"/>
      <c r="M110" s="2771"/>
      <c r="N110" s="2771"/>
      <c r="O110" s="1739"/>
      <c r="P110" s="2771"/>
      <c r="Q110" s="2496"/>
      <c r="R110" s="2496"/>
      <c r="S110" s="1768"/>
      <c r="T110" s="1768"/>
      <c r="U110" s="1739"/>
      <c r="V110" s="1768"/>
      <c r="W110" s="1768"/>
      <c r="X110" s="2774"/>
      <c r="Y110" s="1768"/>
      <c r="Z110" s="1825"/>
      <c r="AA110" s="1825"/>
      <c r="AB110" s="1825"/>
      <c r="AC110" s="1825"/>
      <c r="AD110" s="1825"/>
      <c r="AE110" s="1825"/>
      <c r="AF110" s="1825"/>
      <c r="AG110" s="1343"/>
    </row>
    <row r="111" spans="1:34" s="1826" customFormat="1" ht="35.25" hidden="1" customHeight="1">
      <c r="A111" s="683">
        <v>1212</v>
      </c>
      <c r="B111" s="1770" t="s">
        <v>730</v>
      </c>
      <c r="C111" s="1076" t="s">
        <v>731</v>
      </c>
      <c r="D111" s="1761"/>
      <c r="E111" s="1762">
        <f t="shared" si="11"/>
        <v>5</v>
      </c>
      <c r="F111" s="1763">
        <v>43248</v>
      </c>
      <c r="G111" s="1763">
        <f t="shared" si="15"/>
        <v>43252</v>
      </c>
      <c r="H111" s="1764" t="s">
        <v>732</v>
      </c>
      <c r="I111" s="1762" t="s">
        <v>170</v>
      </c>
      <c r="J111" s="667" t="s">
        <v>719</v>
      </c>
      <c r="K111" s="1769" t="s">
        <v>733</v>
      </c>
      <c r="L111" s="1233">
        <v>23174</v>
      </c>
      <c r="M111" s="1761"/>
      <c r="N111" s="1761"/>
      <c r="O111" s="1765">
        <v>101</v>
      </c>
      <c r="P111" s="1761">
        <v>49</v>
      </c>
      <c r="Q111" s="2382">
        <f t="shared" si="12"/>
        <v>4949</v>
      </c>
      <c r="R111" s="2382"/>
      <c r="S111" s="1766"/>
      <c r="T111" s="1766"/>
      <c r="U111" s="1766"/>
      <c r="V111" s="1765">
        <v>4949</v>
      </c>
      <c r="W111" s="1766"/>
      <c r="X111" s="1767"/>
      <c r="Y111" s="1768"/>
      <c r="Z111" s="1825"/>
      <c r="AA111" s="1825"/>
      <c r="AB111" s="1825"/>
      <c r="AC111" s="1825"/>
      <c r="AD111" s="1825"/>
      <c r="AE111" s="1825"/>
      <c r="AF111" s="1825"/>
      <c r="AG111" s="1282">
        <f t="shared" si="13"/>
        <v>4949</v>
      </c>
    </row>
    <row r="112" spans="1:34" s="1826" customFormat="1" ht="35.25" hidden="1" customHeight="1">
      <c r="A112" s="683">
        <v>1212</v>
      </c>
      <c r="B112" s="1770" t="s">
        <v>730</v>
      </c>
      <c r="C112" s="1076" t="s">
        <v>731</v>
      </c>
      <c r="D112" s="1761"/>
      <c r="E112" s="1762">
        <f t="shared" si="11"/>
        <v>5</v>
      </c>
      <c r="F112" s="1763">
        <v>43248</v>
      </c>
      <c r="G112" s="1763">
        <f t="shared" si="15"/>
        <v>43252</v>
      </c>
      <c r="H112" s="1764" t="s">
        <v>732</v>
      </c>
      <c r="I112" s="1762" t="s">
        <v>170</v>
      </c>
      <c r="J112" s="667" t="s">
        <v>719</v>
      </c>
      <c r="K112" s="1769" t="s">
        <v>721</v>
      </c>
      <c r="L112" s="1233">
        <v>23174</v>
      </c>
      <c r="M112" s="1761"/>
      <c r="N112" s="1761"/>
      <c r="O112" s="1765">
        <v>100</v>
      </c>
      <c r="P112" s="1761">
        <v>49</v>
      </c>
      <c r="Q112" s="2382">
        <f t="shared" si="12"/>
        <v>4900</v>
      </c>
      <c r="R112" s="2382"/>
      <c r="S112" s="1766"/>
      <c r="T112" s="1766"/>
      <c r="U112" s="1766"/>
      <c r="V112" s="1765">
        <v>4900</v>
      </c>
      <c r="W112" s="1766"/>
      <c r="X112" s="1767"/>
      <c r="Y112" s="1768"/>
      <c r="Z112" s="1825"/>
      <c r="AA112" s="1825"/>
      <c r="AB112" s="1825"/>
      <c r="AC112" s="1825"/>
      <c r="AD112" s="1825"/>
      <c r="AE112" s="1825"/>
      <c r="AF112" s="1825"/>
      <c r="AG112" s="1282">
        <f t="shared" si="13"/>
        <v>4900</v>
      </c>
    </row>
    <row r="113" spans="1:33" s="1826" customFormat="1" ht="35.25" hidden="1" customHeight="1">
      <c r="A113" s="683">
        <v>1212</v>
      </c>
      <c r="B113" s="1770" t="s">
        <v>730</v>
      </c>
      <c r="C113" s="1076" t="s">
        <v>731</v>
      </c>
      <c r="D113" s="1761"/>
      <c r="E113" s="1762">
        <f t="shared" si="11"/>
        <v>5</v>
      </c>
      <c r="F113" s="1763">
        <v>43248</v>
      </c>
      <c r="G113" s="1763">
        <f t="shared" si="15"/>
        <v>43252</v>
      </c>
      <c r="H113" s="1764" t="s">
        <v>732</v>
      </c>
      <c r="I113" s="1762" t="s">
        <v>170</v>
      </c>
      <c r="J113" s="667" t="s">
        <v>719</v>
      </c>
      <c r="K113" s="1769" t="s">
        <v>734</v>
      </c>
      <c r="L113" s="1231">
        <v>23173</v>
      </c>
      <c r="M113" s="1761"/>
      <c r="N113" s="1761"/>
      <c r="O113" s="1765">
        <v>875</v>
      </c>
      <c r="P113" s="1761">
        <v>7</v>
      </c>
      <c r="Q113" s="2382">
        <f t="shared" si="12"/>
        <v>6125</v>
      </c>
      <c r="R113" s="2382"/>
      <c r="S113" s="1766"/>
      <c r="T113" s="1766"/>
      <c r="U113" s="1766"/>
      <c r="V113" s="1765">
        <v>6125</v>
      </c>
      <c r="W113" s="1766"/>
      <c r="X113" s="1767"/>
      <c r="Y113" s="1768"/>
      <c r="Z113" s="1825"/>
      <c r="AA113" s="1825"/>
      <c r="AB113" s="1825"/>
      <c r="AC113" s="1825"/>
      <c r="AD113" s="1825"/>
      <c r="AE113" s="1825"/>
      <c r="AF113" s="1825"/>
      <c r="AG113" s="1282">
        <f t="shared" si="13"/>
        <v>6125</v>
      </c>
    </row>
    <row r="114" spans="1:33" s="1826" customFormat="1" ht="35.25" hidden="1" customHeight="1">
      <c r="A114" s="683">
        <v>1212</v>
      </c>
      <c r="B114" s="1770" t="s">
        <v>730</v>
      </c>
      <c r="C114" s="1076" t="s">
        <v>731</v>
      </c>
      <c r="D114" s="1761"/>
      <c r="E114" s="1762">
        <f t="shared" si="11"/>
        <v>5</v>
      </c>
      <c r="F114" s="1763">
        <v>43248</v>
      </c>
      <c r="G114" s="1763">
        <f t="shared" si="15"/>
        <v>43252</v>
      </c>
      <c r="H114" s="1764" t="s">
        <v>732</v>
      </c>
      <c r="I114" s="1762" t="s">
        <v>170</v>
      </c>
      <c r="J114" s="667" t="s">
        <v>719</v>
      </c>
      <c r="K114" s="1769" t="s">
        <v>735</v>
      </c>
      <c r="L114" s="1233">
        <v>23174</v>
      </c>
      <c r="M114" s="1761"/>
      <c r="N114" s="1761"/>
      <c r="O114" s="1765">
        <v>510</v>
      </c>
      <c r="P114" s="1761">
        <v>7</v>
      </c>
      <c r="Q114" s="2382">
        <f t="shared" si="12"/>
        <v>3570</v>
      </c>
      <c r="R114" s="2382"/>
      <c r="S114" s="1766"/>
      <c r="T114" s="1766"/>
      <c r="U114" s="1766"/>
      <c r="V114" s="1765">
        <v>3570</v>
      </c>
      <c r="W114" s="1766"/>
      <c r="X114" s="1767"/>
      <c r="Y114" s="1768"/>
      <c r="Z114" s="1825"/>
      <c r="AA114" s="1825"/>
      <c r="AB114" s="1825"/>
      <c r="AC114" s="1825"/>
      <c r="AD114" s="1825"/>
      <c r="AE114" s="1825"/>
      <c r="AF114" s="1825"/>
      <c r="AG114" s="1282">
        <f t="shared" si="13"/>
        <v>3570</v>
      </c>
    </row>
    <row r="115" spans="1:33" s="1826" customFormat="1" ht="35.25" hidden="1" customHeight="1">
      <c r="A115" s="683">
        <v>1212</v>
      </c>
      <c r="B115" s="1770" t="s">
        <v>730</v>
      </c>
      <c r="C115" s="1076" t="s">
        <v>731</v>
      </c>
      <c r="D115" s="1761"/>
      <c r="E115" s="1762">
        <f t="shared" si="11"/>
        <v>5</v>
      </c>
      <c r="F115" s="1763">
        <v>43248</v>
      </c>
      <c r="G115" s="1763">
        <f t="shared" si="15"/>
        <v>43252</v>
      </c>
      <c r="H115" s="1764" t="s">
        <v>732</v>
      </c>
      <c r="I115" s="1762" t="s">
        <v>170</v>
      </c>
      <c r="J115" s="667" t="s">
        <v>719</v>
      </c>
      <c r="K115" s="1769" t="s">
        <v>725</v>
      </c>
      <c r="L115" s="1233">
        <v>23174</v>
      </c>
      <c r="M115" s="1761"/>
      <c r="N115" s="1761"/>
      <c r="O115" s="1765">
        <v>101</v>
      </c>
      <c r="P115" s="1761">
        <v>14</v>
      </c>
      <c r="Q115" s="2382">
        <f t="shared" si="12"/>
        <v>1414</v>
      </c>
      <c r="R115" s="2382"/>
      <c r="S115" s="1766"/>
      <c r="T115" s="1766"/>
      <c r="U115" s="1766"/>
      <c r="V115" s="1765">
        <v>1414</v>
      </c>
      <c r="W115" s="1766"/>
      <c r="X115" s="1767"/>
      <c r="Y115" s="1768"/>
      <c r="Z115" s="1825"/>
      <c r="AA115" s="1825"/>
      <c r="AB115" s="1825"/>
      <c r="AC115" s="1825"/>
      <c r="AD115" s="1825"/>
      <c r="AE115" s="1825"/>
      <c r="AF115" s="1825"/>
      <c r="AG115" s="1282">
        <f t="shared" si="13"/>
        <v>1414</v>
      </c>
    </row>
    <row r="116" spans="1:33" s="1826" customFormat="1" ht="35.25" hidden="1" customHeight="1">
      <c r="A116" s="683">
        <v>1212</v>
      </c>
      <c r="B116" s="1770" t="s">
        <v>730</v>
      </c>
      <c r="C116" s="1076" t="s">
        <v>731</v>
      </c>
      <c r="D116" s="1761"/>
      <c r="E116" s="1762">
        <f t="shared" si="11"/>
        <v>5</v>
      </c>
      <c r="F116" s="1763">
        <v>43248</v>
      </c>
      <c r="G116" s="1763">
        <f t="shared" si="15"/>
        <v>43252</v>
      </c>
      <c r="H116" s="1764" t="s">
        <v>732</v>
      </c>
      <c r="I116" s="1762" t="s">
        <v>170</v>
      </c>
      <c r="J116" s="667" t="s">
        <v>719</v>
      </c>
      <c r="K116" s="1769" t="s">
        <v>726</v>
      </c>
      <c r="L116" s="1233">
        <v>23174</v>
      </c>
      <c r="M116" s="1761"/>
      <c r="N116" s="1761"/>
      <c r="O116" s="1765">
        <v>100</v>
      </c>
      <c r="P116" s="1761">
        <v>14</v>
      </c>
      <c r="Q116" s="2382">
        <f t="shared" si="12"/>
        <v>1400</v>
      </c>
      <c r="R116" s="2382"/>
      <c r="S116" s="1766"/>
      <c r="T116" s="1766"/>
      <c r="U116" s="1766"/>
      <c r="V116" s="1765">
        <v>1400</v>
      </c>
      <c r="W116" s="1766"/>
      <c r="X116" s="1767"/>
      <c r="Y116" s="1768"/>
      <c r="Z116" s="1825"/>
      <c r="AA116" s="1825"/>
      <c r="AB116" s="1825"/>
      <c r="AC116" s="1825"/>
      <c r="AD116" s="1825"/>
      <c r="AE116" s="1825"/>
      <c r="AF116" s="1825"/>
      <c r="AG116" s="1282">
        <f t="shared" si="13"/>
        <v>1400</v>
      </c>
    </row>
    <row r="117" spans="1:33" s="1826" customFormat="1" ht="35.25" hidden="1" customHeight="1">
      <c r="A117" s="683">
        <v>1212</v>
      </c>
      <c r="B117" s="1770" t="s">
        <v>730</v>
      </c>
      <c r="C117" s="1076" t="s">
        <v>731</v>
      </c>
      <c r="D117" s="1761"/>
      <c r="E117" s="1762">
        <f t="shared" si="11"/>
        <v>5</v>
      </c>
      <c r="F117" s="1763">
        <v>43248</v>
      </c>
      <c r="G117" s="1763">
        <f t="shared" si="15"/>
        <v>43252</v>
      </c>
      <c r="H117" s="1764" t="s">
        <v>732</v>
      </c>
      <c r="I117" s="1762" t="s">
        <v>170</v>
      </c>
      <c r="J117" s="667" t="s">
        <v>719</v>
      </c>
      <c r="K117" s="1769" t="s">
        <v>727</v>
      </c>
      <c r="L117" s="1233">
        <v>23174</v>
      </c>
      <c r="M117" s="1761"/>
      <c r="N117" s="1761"/>
      <c r="O117" s="1765">
        <v>84</v>
      </c>
      <c r="P117" s="1761">
        <v>14</v>
      </c>
      <c r="Q117" s="2382">
        <f t="shared" si="12"/>
        <v>1176</v>
      </c>
      <c r="R117" s="2382"/>
      <c r="S117" s="1766"/>
      <c r="T117" s="1766"/>
      <c r="U117" s="1766"/>
      <c r="V117" s="1765">
        <v>1176</v>
      </c>
      <c r="W117" s="1766"/>
      <c r="X117" s="1767"/>
      <c r="Y117" s="1768"/>
      <c r="Z117" s="1825"/>
      <c r="AA117" s="1825"/>
      <c r="AB117" s="1825"/>
      <c r="AC117" s="1825"/>
      <c r="AD117" s="1825"/>
      <c r="AE117" s="1825"/>
      <c r="AF117" s="1825"/>
      <c r="AG117" s="1282">
        <f t="shared" si="13"/>
        <v>1176</v>
      </c>
    </row>
    <row r="118" spans="1:33" s="1826" customFormat="1" ht="35.25" hidden="1" customHeight="1">
      <c r="A118" s="683">
        <v>1212</v>
      </c>
      <c r="B118" s="1770" t="s">
        <v>730</v>
      </c>
      <c r="C118" s="1076" t="s">
        <v>731</v>
      </c>
      <c r="D118" s="1761"/>
      <c r="E118" s="1762">
        <f t="shared" si="11"/>
        <v>5</v>
      </c>
      <c r="F118" s="1763">
        <v>43248</v>
      </c>
      <c r="G118" s="1763">
        <f t="shared" si="15"/>
        <v>43252</v>
      </c>
      <c r="H118" s="1764" t="s">
        <v>732</v>
      </c>
      <c r="I118" s="1762" t="s">
        <v>170</v>
      </c>
      <c r="J118" s="667" t="s">
        <v>719</v>
      </c>
      <c r="K118" s="1769" t="s">
        <v>736</v>
      </c>
      <c r="L118" s="1233">
        <v>23174</v>
      </c>
      <c r="M118" s="1761"/>
      <c r="N118" s="1761"/>
      <c r="O118" s="1765">
        <v>50</v>
      </c>
      <c r="P118" s="1761">
        <v>14</v>
      </c>
      <c r="Q118" s="2382">
        <f t="shared" si="12"/>
        <v>700</v>
      </c>
      <c r="R118" s="2382"/>
      <c r="S118" s="1766"/>
      <c r="T118" s="1766"/>
      <c r="U118" s="1766"/>
      <c r="V118" s="1765">
        <v>700</v>
      </c>
      <c r="W118" s="1766"/>
      <c r="X118" s="1767"/>
      <c r="Y118" s="1768"/>
      <c r="Z118" s="1825"/>
      <c r="AA118" s="1825"/>
      <c r="AB118" s="1825"/>
      <c r="AC118" s="1825"/>
      <c r="AD118" s="1825"/>
      <c r="AE118" s="1825"/>
      <c r="AF118" s="1825"/>
      <c r="AG118" s="1282">
        <f t="shared" si="13"/>
        <v>700</v>
      </c>
    </row>
    <row r="119" spans="1:33" s="1826" customFormat="1" ht="35.25" hidden="1" customHeight="1">
      <c r="A119" s="683">
        <v>1212</v>
      </c>
      <c r="B119" s="1770" t="s">
        <v>730</v>
      </c>
      <c r="C119" s="1076" t="s">
        <v>731</v>
      </c>
      <c r="D119" s="1761"/>
      <c r="E119" s="1762">
        <f t="shared" si="11"/>
        <v>5</v>
      </c>
      <c r="F119" s="1763">
        <v>43248</v>
      </c>
      <c r="G119" s="1763">
        <f t="shared" si="15"/>
        <v>43252</v>
      </c>
      <c r="H119" s="1764" t="s">
        <v>732</v>
      </c>
      <c r="I119" s="1762" t="s">
        <v>170</v>
      </c>
      <c r="J119" s="667" t="s">
        <v>719</v>
      </c>
      <c r="K119" s="1769" t="s">
        <v>737</v>
      </c>
      <c r="L119" s="1233">
        <v>23174</v>
      </c>
      <c r="M119" s="1761"/>
      <c r="N119" s="1761"/>
      <c r="O119" s="1765">
        <v>510</v>
      </c>
      <c r="P119" s="1761">
        <v>14</v>
      </c>
      <c r="Q119" s="2382">
        <f t="shared" si="12"/>
        <v>7140</v>
      </c>
      <c r="R119" s="2382"/>
      <c r="S119" s="1766"/>
      <c r="T119" s="1766"/>
      <c r="U119" s="1766"/>
      <c r="V119" s="1765">
        <v>7140</v>
      </c>
      <c r="W119" s="1766"/>
      <c r="X119" s="1767"/>
      <c r="Y119" s="1768"/>
      <c r="Z119" s="1825"/>
      <c r="AA119" s="1825"/>
      <c r="AB119" s="1825"/>
      <c r="AC119" s="1825"/>
      <c r="AD119" s="1825"/>
      <c r="AE119" s="1825"/>
      <c r="AF119" s="1825"/>
      <c r="AG119" s="1282">
        <f t="shared" si="13"/>
        <v>7140</v>
      </c>
    </row>
    <row r="120" spans="1:33" s="1826" customFormat="1" ht="35.25" hidden="1" customHeight="1">
      <c r="A120" s="2764">
        <v>1213</v>
      </c>
      <c r="B120" s="2765" t="s">
        <v>738</v>
      </c>
      <c r="C120" s="2766" t="s">
        <v>739</v>
      </c>
      <c r="D120" s="2767"/>
      <c r="E120" s="2768">
        <f t="shared" si="11"/>
        <v>26</v>
      </c>
      <c r="F120" s="2750">
        <v>43262</v>
      </c>
      <c r="G120" s="2750">
        <v>43287</v>
      </c>
      <c r="H120" s="2769"/>
      <c r="I120" s="2768" t="s">
        <v>170</v>
      </c>
      <c r="J120" s="2770" t="s">
        <v>719</v>
      </c>
      <c r="K120" s="1769"/>
      <c r="L120" s="2773"/>
      <c r="M120" s="2771"/>
      <c r="N120" s="2771"/>
      <c r="O120" s="1739"/>
      <c r="P120" s="2771"/>
      <c r="Q120" s="2496"/>
      <c r="R120" s="2496"/>
      <c r="S120" s="1768"/>
      <c r="T120" s="1768"/>
      <c r="U120" s="1768"/>
      <c r="V120" s="1739"/>
      <c r="W120" s="1768"/>
      <c r="X120" s="2774"/>
      <c r="Y120" s="1768"/>
      <c r="Z120" s="1825"/>
      <c r="AA120" s="1825"/>
      <c r="AB120" s="1825"/>
      <c r="AC120" s="1825"/>
      <c r="AD120" s="1825"/>
      <c r="AE120" s="1825"/>
      <c r="AF120" s="1825"/>
      <c r="AG120" s="1343"/>
    </row>
    <row r="121" spans="1:33" s="1826" customFormat="1" ht="35.25" hidden="1" customHeight="1">
      <c r="A121" s="683">
        <v>1213</v>
      </c>
      <c r="B121" s="1770" t="s">
        <v>738</v>
      </c>
      <c r="C121" s="1076" t="s">
        <v>739</v>
      </c>
      <c r="D121" s="1761"/>
      <c r="E121" s="1762">
        <f t="shared" si="11"/>
        <v>26</v>
      </c>
      <c r="F121" s="1763">
        <v>43262</v>
      </c>
      <c r="G121" s="1763">
        <v>43287</v>
      </c>
      <c r="H121" s="1764"/>
      <c r="I121" s="1762" t="s">
        <v>170</v>
      </c>
      <c r="J121" s="667" t="s">
        <v>719</v>
      </c>
      <c r="K121" s="1769" t="s">
        <v>740</v>
      </c>
      <c r="L121" s="1233">
        <v>23174</v>
      </c>
      <c r="M121" s="1761"/>
      <c r="N121" s="1761"/>
      <c r="O121" s="1765">
        <v>214</v>
      </c>
      <c r="P121" s="1761">
        <v>28</v>
      </c>
      <c r="Q121" s="2382">
        <f t="shared" si="12"/>
        <v>5992</v>
      </c>
      <c r="R121" s="2382"/>
      <c r="S121" s="1766"/>
      <c r="T121" s="1766"/>
      <c r="U121" s="1766"/>
      <c r="V121" s="1766"/>
      <c r="W121" s="1765">
        <v>5992</v>
      </c>
      <c r="X121" s="1767"/>
      <c r="Y121" s="1768"/>
      <c r="Z121" s="1825"/>
      <c r="AA121" s="1825"/>
      <c r="AB121" s="1825"/>
      <c r="AC121" s="1825"/>
      <c r="AD121" s="1825"/>
      <c r="AE121" s="1825"/>
      <c r="AF121" s="1825"/>
      <c r="AG121" s="1282">
        <f t="shared" si="13"/>
        <v>5992</v>
      </c>
    </row>
    <row r="122" spans="1:33" s="1826" customFormat="1" ht="35.25" hidden="1" customHeight="1">
      <c r="A122" s="683">
        <v>1213</v>
      </c>
      <c r="B122" s="1770" t="s">
        <v>738</v>
      </c>
      <c r="C122" s="1076" t="s">
        <v>739</v>
      </c>
      <c r="D122" s="1761"/>
      <c r="E122" s="1762">
        <f t="shared" si="11"/>
        <v>26</v>
      </c>
      <c r="F122" s="1763">
        <v>43262</v>
      </c>
      <c r="G122" s="1763">
        <v>43287</v>
      </c>
      <c r="H122" s="1764"/>
      <c r="I122" s="1762" t="s">
        <v>170</v>
      </c>
      <c r="J122" s="667" t="s">
        <v>719</v>
      </c>
      <c r="K122" s="1769" t="s">
        <v>741</v>
      </c>
      <c r="L122" s="1233">
        <v>23174</v>
      </c>
      <c r="M122" s="1761"/>
      <c r="N122" s="1761"/>
      <c r="O122" s="1765">
        <v>225</v>
      </c>
      <c r="P122" s="1761">
        <v>28</v>
      </c>
      <c r="Q122" s="2382">
        <f t="shared" si="12"/>
        <v>6300</v>
      </c>
      <c r="R122" s="2382"/>
      <c r="S122" s="1766"/>
      <c r="T122" s="1766"/>
      <c r="U122" s="1766"/>
      <c r="V122" s="1766"/>
      <c r="W122" s="1765">
        <v>6300</v>
      </c>
      <c r="X122" s="1767"/>
      <c r="Y122" s="1768"/>
      <c r="Z122" s="1825"/>
      <c r="AA122" s="1825"/>
      <c r="AB122" s="1825"/>
      <c r="AC122" s="1825"/>
      <c r="AD122" s="1825"/>
      <c r="AE122" s="1825"/>
      <c r="AF122" s="1825"/>
      <c r="AG122" s="1282">
        <f t="shared" si="13"/>
        <v>6300</v>
      </c>
    </row>
    <row r="123" spans="1:33" s="1826" customFormat="1" ht="35.25" hidden="1" customHeight="1">
      <c r="A123" s="683">
        <v>1213</v>
      </c>
      <c r="B123" s="1770" t="s">
        <v>738</v>
      </c>
      <c r="C123" s="1076" t="s">
        <v>739</v>
      </c>
      <c r="D123" s="1761"/>
      <c r="E123" s="1762">
        <f t="shared" si="11"/>
        <v>26</v>
      </c>
      <c r="F123" s="1763">
        <v>43262</v>
      </c>
      <c r="G123" s="1763">
        <v>43287</v>
      </c>
      <c r="H123" s="1764"/>
      <c r="I123" s="1762" t="s">
        <v>170</v>
      </c>
      <c r="J123" s="667" t="s">
        <v>719</v>
      </c>
      <c r="K123" s="1769" t="s">
        <v>742</v>
      </c>
      <c r="L123" s="1233">
        <v>23174</v>
      </c>
      <c r="M123" s="1761"/>
      <c r="N123" s="1761"/>
      <c r="O123" s="1765">
        <v>38</v>
      </c>
      <c r="P123" s="1761">
        <v>28</v>
      </c>
      <c r="Q123" s="2382">
        <f t="shared" si="12"/>
        <v>1064</v>
      </c>
      <c r="R123" s="2382"/>
      <c r="S123" s="1766"/>
      <c r="T123" s="1766"/>
      <c r="U123" s="1766"/>
      <c r="V123" s="1766"/>
      <c r="W123" s="1765">
        <v>1064</v>
      </c>
      <c r="X123" s="1767"/>
      <c r="Y123" s="1768"/>
      <c r="Z123" s="1825"/>
      <c r="AA123" s="1825"/>
      <c r="AB123" s="1825"/>
      <c r="AC123" s="1825"/>
      <c r="AD123" s="1825"/>
      <c r="AE123" s="1825"/>
      <c r="AF123" s="1825"/>
      <c r="AG123" s="1282">
        <f t="shared" si="13"/>
        <v>1064</v>
      </c>
    </row>
    <row r="124" spans="1:33" s="1826" customFormat="1" ht="35.25" hidden="1" customHeight="1">
      <c r="A124" s="683">
        <v>1213</v>
      </c>
      <c r="B124" s="1770" t="s">
        <v>738</v>
      </c>
      <c r="C124" s="1076" t="s">
        <v>739</v>
      </c>
      <c r="D124" s="1761"/>
      <c r="E124" s="1762">
        <f t="shared" si="11"/>
        <v>26</v>
      </c>
      <c r="F124" s="1763">
        <v>43262</v>
      </c>
      <c r="G124" s="1763">
        <v>43287</v>
      </c>
      <c r="H124" s="1764"/>
      <c r="I124" s="1762" t="s">
        <v>170</v>
      </c>
      <c r="J124" s="667" t="s">
        <v>719</v>
      </c>
      <c r="K124" s="1769" t="s">
        <v>743</v>
      </c>
      <c r="L124" s="1233">
        <v>23174</v>
      </c>
      <c r="M124" s="1761"/>
      <c r="N124" s="1761"/>
      <c r="O124" s="1765">
        <v>214</v>
      </c>
      <c r="P124" s="1761">
        <v>2</v>
      </c>
      <c r="Q124" s="2382">
        <f t="shared" si="12"/>
        <v>428</v>
      </c>
      <c r="R124" s="2382"/>
      <c r="S124" s="1766"/>
      <c r="T124" s="1766"/>
      <c r="U124" s="1766"/>
      <c r="V124" s="1766"/>
      <c r="W124" s="1765">
        <v>428</v>
      </c>
      <c r="X124" s="1767"/>
      <c r="Y124" s="1768"/>
      <c r="Z124" s="1825"/>
      <c r="AA124" s="1825"/>
      <c r="AB124" s="1825"/>
      <c r="AC124" s="1825"/>
      <c r="AD124" s="1825"/>
      <c r="AE124" s="1825"/>
      <c r="AF124" s="1825"/>
      <c r="AG124" s="1282">
        <f t="shared" si="13"/>
        <v>428</v>
      </c>
    </row>
    <row r="125" spans="1:33" s="1826" customFormat="1" ht="35.25" hidden="1" customHeight="1">
      <c r="A125" s="683">
        <v>1213</v>
      </c>
      <c r="B125" s="1770" t="s">
        <v>738</v>
      </c>
      <c r="C125" s="1076" t="s">
        <v>739</v>
      </c>
      <c r="D125" s="1761"/>
      <c r="E125" s="1762">
        <f t="shared" si="11"/>
        <v>26</v>
      </c>
      <c r="F125" s="1763">
        <v>43262</v>
      </c>
      <c r="G125" s="1763">
        <v>43287</v>
      </c>
      <c r="H125" s="1764"/>
      <c r="I125" s="1762" t="s">
        <v>170</v>
      </c>
      <c r="J125" s="667" t="s">
        <v>719</v>
      </c>
      <c r="K125" s="1769" t="s">
        <v>744</v>
      </c>
      <c r="L125" s="1233">
        <v>23174</v>
      </c>
      <c r="M125" s="1761"/>
      <c r="N125" s="1761"/>
      <c r="O125" s="1765">
        <v>225</v>
      </c>
      <c r="P125" s="1761">
        <v>2</v>
      </c>
      <c r="Q125" s="2382">
        <f t="shared" si="12"/>
        <v>450</v>
      </c>
      <c r="R125" s="2382"/>
      <c r="S125" s="1766"/>
      <c r="T125" s="1766"/>
      <c r="U125" s="1766"/>
      <c r="V125" s="1766"/>
      <c r="W125" s="1765">
        <v>450</v>
      </c>
      <c r="X125" s="1767"/>
      <c r="Y125" s="1768"/>
      <c r="Z125" s="1825"/>
      <c r="AA125" s="1825"/>
      <c r="AB125" s="1825"/>
      <c r="AC125" s="1825"/>
      <c r="AD125" s="1825"/>
      <c r="AE125" s="1825"/>
      <c r="AF125" s="1825"/>
      <c r="AG125" s="1282">
        <f t="shared" si="13"/>
        <v>450</v>
      </c>
    </row>
    <row r="126" spans="1:33" s="1826" customFormat="1" ht="35.25" hidden="1" customHeight="1">
      <c r="A126" s="683">
        <v>1213</v>
      </c>
      <c r="B126" s="1770" t="s">
        <v>738</v>
      </c>
      <c r="C126" s="1076" t="s">
        <v>739</v>
      </c>
      <c r="D126" s="1761"/>
      <c r="E126" s="1762">
        <f t="shared" si="11"/>
        <v>26</v>
      </c>
      <c r="F126" s="1763">
        <v>43262</v>
      </c>
      <c r="G126" s="1763">
        <v>43287</v>
      </c>
      <c r="H126" s="1764"/>
      <c r="I126" s="1762" t="s">
        <v>170</v>
      </c>
      <c r="J126" s="667" t="s">
        <v>719</v>
      </c>
      <c r="K126" s="1769" t="s">
        <v>745</v>
      </c>
      <c r="L126" s="1233">
        <v>23174</v>
      </c>
      <c r="M126" s="1761"/>
      <c r="N126" s="1761"/>
      <c r="O126" s="1765">
        <v>255</v>
      </c>
      <c r="P126" s="1761">
        <v>2</v>
      </c>
      <c r="Q126" s="2382">
        <f t="shared" si="12"/>
        <v>510</v>
      </c>
      <c r="R126" s="2382"/>
      <c r="S126" s="1766"/>
      <c r="T126" s="1766"/>
      <c r="U126" s="1766"/>
      <c r="V126" s="1766"/>
      <c r="W126" s="1765">
        <v>510</v>
      </c>
      <c r="X126" s="1767"/>
      <c r="Y126" s="1768"/>
      <c r="Z126" s="1825"/>
      <c r="AA126" s="1825"/>
      <c r="AB126" s="1825"/>
      <c r="AC126" s="1825"/>
      <c r="AD126" s="1825"/>
      <c r="AE126" s="1825"/>
      <c r="AF126" s="1825"/>
      <c r="AG126" s="1282">
        <f t="shared" si="13"/>
        <v>510</v>
      </c>
    </row>
    <row r="127" spans="1:33" s="1826" customFormat="1" ht="35.25" hidden="1" customHeight="1">
      <c r="A127" s="683">
        <v>1213</v>
      </c>
      <c r="B127" s="1770" t="s">
        <v>738</v>
      </c>
      <c r="C127" s="1076" t="s">
        <v>739</v>
      </c>
      <c r="D127" s="1761"/>
      <c r="E127" s="1762">
        <f t="shared" si="11"/>
        <v>26</v>
      </c>
      <c r="F127" s="1763">
        <v>43262</v>
      </c>
      <c r="G127" s="1763">
        <v>43287</v>
      </c>
      <c r="H127" s="1764"/>
      <c r="I127" s="1762" t="s">
        <v>170</v>
      </c>
      <c r="J127" s="667" t="s">
        <v>719</v>
      </c>
      <c r="K127" s="1769" t="s">
        <v>727</v>
      </c>
      <c r="L127" s="1233">
        <v>23174</v>
      </c>
      <c r="M127" s="1761"/>
      <c r="N127" s="1761"/>
      <c r="O127" s="1765">
        <v>178</v>
      </c>
      <c r="P127" s="1761">
        <v>2</v>
      </c>
      <c r="Q127" s="2382">
        <f t="shared" si="12"/>
        <v>356</v>
      </c>
      <c r="R127" s="2382"/>
      <c r="S127" s="1766"/>
      <c r="T127" s="1766"/>
      <c r="U127" s="1766"/>
      <c r="V127" s="1766"/>
      <c r="W127" s="1765">
        <v>356</v>
      </c>
      <c r="X127" s="1767"/>
      <c r="Y127" s="1768"/>
      <c r="Z127" s="1825"/>
      <c r="AA127" s="1825"/>
      <c r="AB127" s="1825"/>
      <c r="AC127" s="1825"/>
      <c r="AD127" s="1825"/>
      <c r="AE127" s="1825"/>
      <c r="AF127" s="1825"/>
      <c r="AG127" s="1282">
        <f t="shared" si="13"/>
        <v>356</v>
      </c>
    </row>
    <row r="128" spans="1:33" s="1826" customFormat="1" ht="35.25" hidden="1" customHeight="1">
      <c r="A128" s="683">
        <v>1213</v>
      </c>
      <c r="B128" s="1770" t="s">
        <v>738</v>
      </c>
      <c r="C128" s="1076" t="s">
        <v>739</v>
      </c>
      <c r="D128" s="1761"/>
      <c r="E128" s="1762">
        <f t="shared" si="11"/>
        <v>26</v>
      </c>
      <c r="F128" s="1763">
        <v>43262</v>
      </c>
      <c r="G128" s="1763">
        <v>43287</v>
      </c>
      <c r="H128" s="1764"/>
      <c r="I128" s="1762" t="s">
        <v>170</v>
      </c>
      <c r="J128" s="667" t="s">
        <v>719</v>
      </c>
      <c r="K128" s="1769" t="s">
        <v>736</v>
      </c>
      <c r="L128" s="1233">
        <v>23174</v>
      </c>
      <c r="M128" s="1761"/>
      <c r="N128" s="1761"/>
      <c r="O128" s="1765">
        <v>112</v>
      </c>
      <c r="P128" s="1761">
        <v>2</v>
      </c>
      <c r="Q128" s="2382">
        <f t="shared" si="12"/>
        <v>224</v>
      </c>
      <c r="R128" s="2382"/>
      <c r="S128" s="1766"/>
      <c r="T128" s="1766"/>
      <c r="U128" s="1766"/>
      <c r="V128" s="1766"/>
      <c r="W128" s="1765">
        <v>224</v>
      </c>
      <c r="X128" s="1767"/>
      <c r="Y128" s="1768"/>
      <c r="Z128" s="1825"/>
      <c r="AA128" s="1825"/>
      <c r="AB128" s="1825"/>
      <c r="AC128" s="1825"/>
      <c r="AD128" s="1825"/>
      <c r="AE128" s="1825"/>
      <c r="AF128" s="1825"/>
      <c r="AG128" s="1282">
        <f t="shared" si="13"/>
        <v>224</v>
      </c>
    </row>
    <row r="129" spans="1:33" s="1826" customFormat="1" ht="35.25" hidden="1" customHeight="1">
      <c r="A129" s="683">
        <v>1213</v>
      </c>
      <c r="B129" s="1770" t="s">
        <v>738</v>
      </c>
      <c r="C129" s="1076" t="s">
        <v>739</v>
      </c>
      <c r="D129" s="1761"/>
      <c r="E129" s="1762">
        <f t="shared" si="11"/>
        <v>26</v>
      </c>
      <c r="F129" s="1763">
        <v>43262</v>
      </c>
      <c r="G129" s="1763">
        <v>43287</v>
      </c>
      <c r="H129" s="1764"/>
      <c r="I129" s="1762" t="s">
        <v>170</v>
      </c>
      <c r="J129" s="667" t="s">
        <v>719</v>
      </c>
      <c r="K129" s="1769" t="s">
        <v>302</v>
      </c>
      <c r="L129" s="1233">
        <v>23173</v>
      </c>
      <c r="M129" s="1761"/>
      <c r="N129" s="1761"/>
      <c r="O129" s="1765">
        <v>15</v>
      </c>
      <c r="P129" s="1761">
        <v>28</v>
      </c>
      <c r="Q129" s="2382">
        <f t="shared" si="12"/>
        <v>420</v>
      </c>
      <c r="R129" s="2382"/>
      <c r="S129" s="1766"/>
      <c r="T129" s="1766"/>
      <c r="U129" s="1766"/>
      <c r="V129" s="1766"/>
      <c r="W129" s="1765">
        <v>420</v>
      </c>
      <c r="X129" s="1767"/>
      <c r="Y129" s="1768"/>
      <c r="Z129" s="1825"/>
      <c r="AA129" s="1825"/>
      <c r="AB129" s="1825"/>
      <c r="AC129" s="1825"/>
      <c r="AD129" s="1825"/>
      <c r="AE129" s="1825"/>
      <c r="AF129" s="1825"/>
      <c r="AG129" s="1282">
        <f t="shared" si="13"/>
        <v>420</v>
      </c>
    </row>
    <row r="130" spans="1:33" s="1826" customFormat="1" ht="35.25" hidden="1" customHeight="1">
      <c r="A130" s="683">
        <v>1213</v>
      </c>
      <c r="B130" s="1770" t="s">
        <v>738</v>
      </c>
      <c r="C130" s="1076" t="s">
        <v>739</v>
      </c>
      <c r="D130" s="1761"/>
      <c r="E130" s="1762">
        <f t="shared" si="11"/>
        <v>26</v>
      </c>
      <c r="F130" s="1763">
        <v>43262</v>
      </c>
      <c r="G130" s="1763">
        <v>43287</v>
      </c>
      <c r="H130" s="1764"/>
      <c r="I130" s="1762" t="s">
        <v>170</v>
      </c>
      <c r="J130" s="667" t="s">
        <v>719</v>
      </c>
      <c r="K130" s="1771" t="s">
        <v>486</v>
      </c>
      <c r="L130" s="1231">
        <v>23173</v>
      </c>
      <c r="M130" s="1761"/>
      <c r="N130" s="1761"/>
      <c r="O130" s="1765">
        <v>156</v>
      </c>
      <c r="P130" s="1761">
        <v>15</v>
      </c>
      <c r="Q130" s="2382">
        <f t="shared" si="12"/>
        <v>2340</v>
      </c>
      <c r="R130" s="2382"/>
      <c r="S130" s="1766"/>
      <c r="T130" s="1766"/>
      <c r="U130" s="1766"/>
      <c r="V130" s="1766"/>
      <c r="W130" s="1765">
        <v>2340</v>
      </c>
      <c r="X130" s="1767"/>
      <c r="Y130" s="1768"/>
      <c r="Z130" s="1825"/>
      <c r="AA130" s="1825"/>
      <c r="AB130" s="1825"/>
      <c r="AC130" s="1825"/>
      <c r="AD130" s="1825"/>
      <c r="AE130" s="1825"/>
      <c r="AF130" s="1825"/>
      <c r="AG130" s="1282">
        <f t="shared" si="13"/>
        <v>2340</v>
      </c>
    </row>
    <row r="131" spans="1:33" s="1826" customFormat="1" ht="35.25" hidden="1" customHeight="1">
      <c r="A131" s="683">
        <v>1213</v>
      </c>
      <c r="B131" s="1770" t="s">
        <v>738</v>
      </c>
      <c r="C131" s="1076" t="s">
        <v>739</v>
      </c>
      <c r="D131" s="1761"/>
      <c r="E131" s="1762">
        <f t="shared" si="11"/>
        <v>26</v>
      </c>
      <c r="F131" s="1763">
        <v>43262</v>
      </c>
      <c r="G131" s="1763">
        <v>43287</v>
      </c>
      <c r="H131" s="1764"/>
      <c r="I131" s="1762" t="s">
        <v>170</v>
      </c>
      <c r="J131" s="667" t="s">
        <v>719</v>
      </c>
      <c r="K131" s="1738" t="s">
        <v>723</v>
      </c>
      <c r="L131" s="1233">
        <v>23174</v>
      </c>
      <c r="M131" s="1761"/>
      <c r="N131" s="1761"/>
      <c r="O131" s="1765">
        <v>281</v>
      </c>
      <c r="P131" s="1761">
        <v>2</v>
      </c>
      <c r="Q131" s="2382">
        <f t="shared" si="12"/>
        <v>562</v>
      </c>
      <c r="R131" s="2382"/>
      <c r="S131" s="1766"/>
      <c r="T131" s="1766"/>
      <c r="U131" s="1766"/>
      <c r="V131" s="1766"/>
      <c r="W131" s="1765">
        <v>562</v>
      </c>
      <c r="X131" s="1767"/>
      <c r="Y131" s="1768"/>
      <c r="Z131" s="1825"/>
      <c r="AA131" s="1825"/>
      <c r="AB131" s="1825"/>
      <c r="AC131" s="1825"/>
      <c r="AD131" s="1825"/>
      <c r="AE131" s="1825"/>
      <c r="AF131" s="1825"/>
      <c r="AG131" s="1282">
        <f t="shared" si="13"/>
        <v>562</v>
      </c>
    </row>
    <row r="132" spans="1:33" s="1826" customFormat="1" ht="35.25" hidden="1" customHeight="1">
      <c r="A132" s="683">
        <v>1213</v>
      </c>
      <c r="B132" s="1770" t="s">
        <v>738</v>
      </c>
      <c r="C132" s="1076" t="s">
        <v>739</v>
      </c>
      <c r="D132" s="1761"/>
      <c r="E132" s="1762"/>
      <c r="F132" s="1763"/>
      <c r="G132" s="1763"/>
      <c r="H132" s="1764"/>
      <c r="I132" s="1762" t="s">
        <v>170</v>
      </c>
      <c r="J132" s="667" t="s">
        <v>719</v>
      </c>
      <c r="K132" s="2265" t="s">
        <v>1013</v>
      </c>
      <c r="L132" s="1233">
        <v>23173</v>
      </c>
      <c r="M132" s="1761"/>
      <c r="N132" s="1761"/>
      <c r="O132" s="1765">
        <v>1</v>
      </c>
      <c r="P132" s="1761">
        <v>60</v>
      </c>
      <c r="Q132" s="2382">
        <f t="shared" si="12"/>
        <v>60</v>
      </c>
      <c r="R132" s="2382"/>
      <c r="S132" s="1766"/>
      <c r="T132" s="1766"/>
      <c r="U132" s="1766"/>
      <c r="V132" s="1766"/>
      <c r="W132" s="1765">
        <v>60</v>
      </c>
      <c r="X132" s="1767"/>
      <c r="Y132" s="1768"/>
      <c r="Z132" s="1825"/>
      <c r="AA132" s="1825"/>
      <c r="AB132" s="1825"/>
      <c r="AC132" s="1825"/>
      <c r="AD132" s="1825"/>
      <c r="AE132" s="1825"/>
      <c r="AF132" s="1825"/>
      <c r="AG132" s="1282">
        <f t="shared" si="13"/>
        <v>60</v>
      </c>
    </row>
    <row r="133" spans="1:33" s="1826" customFormat="1" ht="35.25" hidden="1" customHeight="1">
      <c r="A133" s="2764">
        <v>1214</v>
      </c>
      <c r="B133" s="2775" t="s">
        <v>747</v>
      </c>
      <c r="C133" s="2766" t="s">
        <v>748</v>
      </c>
      <c r="D133" s="2767"/>
      <c r="E133" s="2768">
        <f>+G133-F133+1</f>
        <v>3</v>
      </c>
      <c r="F133" s="2750">
        <v>43304</v>
      </c>
      <c r="G133" s="2750">
        <f>+F133+3-1</f>
        <v>43306</v>
      </c>
      <c r="H133" s="2769"/>
      <c r="I133" s="2768" t="s">
        <v>170</v>
      </c>
      <c r="J133" s="2770"/>
      <c r="K133" s="2265"/>
      <c r="L133" s="2773"/>
      <c r="M133" s="2771"/>
      <c r="N133" s="2771"/>
      <c r="O133" s="1739"/>
      <c r="P133" s="2771"/>
      <c r="Q133" s="2496"/>
      <c r="R133" s="2496"/>
      <c r="S133" s="1768"/>
      <c r="T133" s="1768"/>
      <c r="U133" s="1768"/>
      <c r="V133" s="1768"/>
      <c r="W133" s="1739"/>
      <c r="X133" s="2774"/>
      <c r="Y133" s="1768"/>
      <c r="Z133" s="1825"/>
      <c r="AA133" s="1825"/>
      <c r="AB133" s="1825"/>
      <c r="AC133" s="1825"/>
      <c r="AD133" s="1825"/>
      <c r="AE133" s="1825"/>
      <c r="AF133" s="1825"/>
      <c r="AG133" s="1343"/>
    </row>
    <row r="134" spans="1:33" s="1826" customFormat="1" ht="35.25" hidden="1" customHeight="1">
      <c r="A134" s="683">
        <v>1214</v>
      </c>
      <c r="B134" s="1772" t="s">
        <v>747</v>
      </c>
      <c r="C134" s="1076" t="s">
        <v>748</v>
      </c>
      <c r="D134" s="1761"/>
      <c r="E134" s="1762">
        <f>+G134-F134+1</f>
        <v>3</v>
      </c>
      <c r="F134" s="1763">
        <v>43304</v>
      </c>
      <c r="G134" s="1763">
        <f>+F134+3-1</f>
        <v>43306</v>
      </c>
      <c r="H134" s="1764"/>
      <c r="I134" s="1762" t="s">
        <v>170</v>
      </c>
      <c r="J134" s="667"/>
      <c r="K134" s="1738" t="s">
        <v>670</v>
      </c>
      <c r="L134" s="1233">
        <v>23173</v>
      </c>
      <c r="M134" s="1761"/>
      <c r="N134" s="1761"/>
      <c r="O134" s="1765">
        <v>48</v>
      </c>
      <c r="P134" s="1761">
        <v>40</v>
      </c>
      <c r="Q134" s="2382">
        <f>+O134*P134</f>
        <v>1920</v>
      </c>
      <c r="R134" s="2382"/>
      <c r="S134" s="1766"/>
      <c r="T134" s="1766"/>
      <c r="U134" s="1766"/>
      <c r="V134" s="1766"/>
      <c r="W134" s="1765">
        <v>1920</v>
      </c>
      <c r="X134" s="1767"/>
      <c r="Y134" s="1768"/>
      <c r="Z134" s="1825"/>
      <c r="AA134" s="1825"/>
      <c r="AB134" s="1825"/>
      <c r="AC134" s="1825"/>
      <c r="AD134" s="1825"/>
      <c r="AE134" s="1825"/>
      <c r="AF134" s="1825"/>
      <c r="AG134" s="1282">
        <f t="shared" si="13"/>
        <v>1920</v>
      </c>
    </row>
    <row r="135" spans="1:33" s="1826" customFormat="1" ht="35.25" hidden="1" customHeight="1">
      <c r="A135" s="683">
        <v>1214</v>
      </c>
      <c r="B135" s="1772" t="s">
        <v>747</v>
      </c>
      <c r="C135" s="1076" t="s">
        <v>748</v>
      </c>
      <c r="D135" s="1761"/>
      <c r="E135" s="1762">
        <f>+G135-F135+1</f>
        <v>3</v>
      </c>
      <c r="F135" s="1763">
        <v>43304</v>
      </c>
      <c r="G135" s="1763">
        <f>+F135+3-1</f>
        <v>43306</v>
      </c>
      <c r="H135" s="1764"/>
      <c r="I135" s="1762" t="s">
        <v>170</v>
      </c>
      <c r="J135" s="667"/>
      <c r="K135" s="1773" t="s">
        <v>638</v>
      </c>
      <c r="L135" s="1233">
        <v>23173</v>
      </c>
      <c r="M135" s="1761"/>
      <c r="N135" s="1761"/>
      <c r="O135" s="1765">
        <v>5</v>
      </c>
      <c r="P135" s="1761">
        <v>40</v>
      </c>
      <c r="Q135" s="2382">
        <f>+O135*P135</f>
        <v>200</v>
      </c>
      <c r="R135" s="2382"/>
      <c r="S135" s="1766"/>
      <c r="T135" s="1766"/>
      <c r="U135" s="1766"/>
      <c r="V135" s="1766"/>
      <c r="W135" s="1765">
        <v>200</v>
      </c>
      <c r="X135" s="1767"/>
      <c r="Y135" s="1768"/>
      <c r="Z135" s="1825"/>
      <c r="AA135" s="1825"/>
      <c r="AB135" s="1825"/>
      <c r="AC135" s="1825"/>
      <c r="AD135" s="1825"/>
      <c r="AE135" s="1825"/>
      <c r="AF135" s="1825"/>
      <c r="AG135" s="1282">
        <f t="shared" si="13"/>
        <v>200</v>
      </c>
    </row>
    <row r="136" spans="1:33" s="1826" customFormat="1" ht="35.25" hidden="1" customHeight="1">
      <c r="A136" s="683">
        <v>1214</v>
      </c>
      <c r="B136" s="1772" t="s">
        <v>747</v>
      </c>
      <c r="C136" s="1076" t="s">
        <v>748</v>
      </c>
      <c r="D136" s="1761"/>
      <c r="E136" s="1762">
        <f>+G136-F136+1</f>
        <v>3</v>
      </c>
      <c r="F136" s="1763">
        <v>43304</v>
      </c>
      <c r="G136" s="1763">
        <f>+F136+3-1</f>
        <v>43306</v>
      </c>
      <c r="H136" s="1764"/>
      <c r="I136" s="1762" t="s">
        <v>170</v>
      </c>
      <c r="J136" s="667"/>
      <c r="K136" s="1771" t="s">
        <v>486</v>
      </c>
      <c r="L136" s="1231">
        <v>23173</v>
      </c>
      <c r="M136" s="1761"/>
      <c r="N136" s="1761"/>
      <c r="O136" s="1765">
        <v>312</v>
      </c>
      <c r="P136" s="1761">
        <v>3</v>
      </c>
      <c r="Q136" s="2382">
        <f>+O136*P136</f>
        <v>936</v>
      </c>
      <c r="R136" s="2382"/>
      <c r="S136" s="1766"/>
      <c r="T136" s="1766"/>
      <c r="U136" s="1766"/>
      <c r="V136" s="1766"/>
      <c r="W136" s="1765">
        <v>936</v>
      </c>
      <c r="X136" s="1767"/>
      <c r="Y136" s="1768"/>
      <c r="Z136" s="1825"/>
      <c r="AA136" s="1825"/>
      <c r="AB136" s="1825"/>
      <c r="AC136" s="1825"/>
      <c r="AD136" s="1825"/>
      <c r="AE136" s="1825"/>
      <c r="AF136" s="1825"/>
      <c r="AG136" s="1282">
        <f t="shared" si="13"/>
        <v>936</v>
      </c>
    </row>
    <row r="137" spans="1:33" s="1826" customFormat="1" ht="35.25" hidden="1" customHeight="1">
      <c r="A137" s="2764">
        <v>1215</v>
      </c>
      <c r="B137" s="2775" t="s">
        <v>749</v>
      </c>
      <c r="C137" s="2766" t="s">
        <v>750</v>
      </c>
      <c r="D137" s="2767"/>
      <c r="E137" s="2768">
        <f t="shared" ref="E137:E165" si="16">+G137-F137+1</f>
        <v>6</v>
      </c>
      <c r="F137" s="2750">
        <v>43318</v>
      </c>
      <c r="G137" s="2750">
        <f t="shared" ref="G137:G147" si="17">F137+6-1</f>
        <v>43323</v>
      </c>
      <c r="H137" s="2769"/>
      <c r="I137" s="2768" t="s">
        <v>170</v>
      </c>
      <c r="J137" s="2772"/>
      <c r="K137" s="2776"/>
      <c r="L137" s="2740"/>
      <c r="M137" s="2771"/>
      <c r="N137" s="2771"/>
      <c r="O137" s="1739"/>
      <c r="P137" s="2771"/>
      <c r="Q137" s="2496"/>
      <c r="R137" s="2496"/>
      <c r="S137" s="1768"/>
      <c r="T137" s="1768"/>
      <c r="U137" s="1768"/>
      <c r="V137" s="1768"/>
      <c r="W137" s="1739"/>
      <c r="X137" s="2774"/>
      <c r="Y137" s="1768"/>
      <c r="Z137" s="1825"/>
      <c r="AA137" s="1825"/>
      <c r="AB137" s="1825"/>
      <c r="AC137" s="1825"/>
      <c r="AD137" s="1825"/>
      <c r="AE137" s="1825"/>
      <c r="AF137" s="1825"/>
      <c r="AG137" s="1343"/>
    </row>
    <row r="138" spans="1:33" s="1826" customFormat="1" ht="35.25" hidden="1" customHeight="1">
      <c r="A138" s="683">
        <v>1215</v>
      </c>
      <c r="B138" s="1772" t="s">
        <v>749</v>
      </c>
      <c r="C138" s="1076" t="s">
        <v>750</v>
      </c>
      <c r="D138" s="1761"/>
      <c r="E138" s="1762">
        <f t="shared" si="16"/>
        <v>6</v>
      </c>
      <c r="F138" s="1763">
        <v>43318</v>
      </c>
      <c r="G138" s="1763">
        <f t="shared" si="17"/>
        <v>43323</v>
      </c>
      <c r="H138" s="1764"/>
      <c r="I138" s="1762" t="s">
        <v>170</v>
      </c>
      <c r="J138" s="667"/>
      <c r="K138" s="1738" t="s">
        <v>751</v>
      </c>
      <c r="L138" s="1233">
        <v>23174</v>
      </c>
      <c r="M138" s="1761"/>
      <c r="N138" s="1761"/>
      <c r="O138" s="1765">
        <v>67</v>
      </c>
      <c r="P138" s="1761">
        <v>26</v>
      </c>
      <c r="Q138" s="2382">
        <f t="shared" ref="Q138:Q163" si="18">+O138*P138</f>
        <v>1742</v>
      </c>
      <c r="R138" s="2382"/>
      <c r="S138" s="1766"/>
      <c r="T138" s="1766"/>
      <c r="U138" s="1766"/>
      <c r="V138" s="1766"/>
      <c r="W138" s="1766"/>
      <c r="X138" s="1774">
        <v>1742</v>
      </c>
      <c r="Y138" s="1768"/>
      <c r="Z138" s="1825"/>
      <c r="AA138" s="1825"/>
      <c r="AB138" s="1825"/>
      <c r="AC138" s="1825"/>
      <c r="AD138" s="1825"/>
      <c r="AE138" s="1825"/>
      <c r="AF138" s="1825"/>
      <c r="AG138" s="1282">
        <f t="shared" si="13"/>
        <v>1742</v>
      </c>
    </row>
    <row r="139" spans="1:33" s="1826" customFormat="1" ht="35.25" hidden="1" customHeight="1">
      <c r="A139" s="683">
        <v>1215</v>
      </c>
      <c r="B139" s="1772" t="s">
        <v>749</v>
      </c>
      <c r="C139" s="1076" t="s">
        <v>750</v>
      </c>
      <c r="D139" s="1761"/>
      <c r="E139" s="1762">
        <f t="shared" si="16"/>
        <v>6</v>
      </c>
      <c r="F139" s="1763">
        <v>43318</v>
      </c>
      <c r="G139" s="1763">
        <f t="shared" si="17"/>
        <v>43323</v>
      </c>
      <c r="H139" s="1764"/>
      <c r="I139" s="1762" t="s">
        <v>170</v>
      </c>
      <c r="J139" s="667"/>
      <c r="K139" s="1773" t="s">
        <v>752</v>
      </c>
      <c r="L139" s="1233">
        <v>23174</v>
      </c>
      <c r="M139" s="1761"/>
      <c r="N139" s="1761"/>
      <c r="O139" s="1765">
        <v>63</v>
      </c>
      <c r="P139" s="1761">
        <v>26</v>
      </c>
      <c r="Q139" s="2382">
        <f t="shared" si="18"/>
        <v>1638</v>
      </c>
      <c r="R139" s="2382"/>
      <c r="S139" s="1766"/>
      <c r="T139" s="1766"/>
      <c r="U139" s="1766"/>
      <c r="V139" s="1766"/>
      <c r="W139" s="1766"/>
      <c r="X139" s="1774">
        <v>1638</v>
      </c>
      <c r="Y139" s="1768"/>
      <c r="Z139" s="1825"/>
      <c r="AA139" s="1825"/>
      <c r="AB139" s="1825"/>
      <c r="AC139" s="1825"/>
      <c r="AD139" s="1825"/>
      <c r="AE139" s="1825"/>
      <c r="AF139" s="1825"/>
      <c r="AG139" s="1282">
        <f t="shared" si="13"/>
        <v>1638</v>
      </c>
    </row>
    <row r="140" spans="1:33" s="1826" customFormat="1" ht="35.25" hidden="1" customHeight="1">
      <c r="A140" s="683">
        <v>1215</v>
      </c>
      <c r="B140" s="1772" t="s">
        <v>749</v>
      </c>
      <c r="C140" s="1076" t="s">
        <v>750</v>
      </c>
      <c r="D140" s="1761"/>
      <c r="E140" s="1762">
        <f t="shared" si="16"/>
        <v>6</v>
      </c>
      <c r="F140" s="1763">
        <v>43318</v>
      </c>
      <c r="G140" s="1763">
        <f t="shared" si="17"/>
        <v>43323</v>
      </c>
      <c r="H140" s="1764"/>
      <c r="I140" s="1762" t="s">
        <v>170</v>
      </c>
      <c r="J140" s="667"/>
      <c r="K140" s="1769" t="s">
        <v>753</v>
      </c>
      <c r="L140" s="1233">
        <v>23174</v>
      </c>
      <c r="M140" s="1761"/>
      <c r="N140" s="1761"/>
      <c r="O140" s="1765">
        <v>38</v>
      </c>
      <c r="P140" s="1761">
        <v>26</v>
      </c>
      <c r="Q140" s="2382">
        <f t="shared" si="18"/>
        <v>988</v>
      </c>
      <c r="R140" s="2382"/>
      <c r="S140" s="1766"/>
      <c r="T140" s="1766"/>
      <c r="U140" s="1766"/>
      <c r="V140" s="1766"/>
      <c r="W140" s="1766"/>
      <c r="X140" s="1774">
        <v>988</v>
      </c>
      <c r="Y140" s="1768"/>
      <c r="Z140" s="1825"/>
      <c r="AA140" s="1825"/>
      <c r="AB140" s="1825"/>
      <c r="AC140" s="1825"/>
      <c r="AD140" s="1825"/>
      <c r="AE140" s="1825"/>
      <c r="AF140" s="1825"/>
      <c r="AG140" s="1282">
        <f t="shared" si="13"/>
        <v>988</v>
      </c>
    </row>
    <row r="141" spans="1:33" s="1826" customFormat="1" ht="35.25" hidden="1" customHeight="1">
      <c r="A141" s="683">
        <v>1215</v>
      </c>
      <c r="B141" s="1772" t="s">
        <v>749</v>
      </c>
      <c r="C141" s="1076" t="s">
        <v>750</v>
      </c>
      <c r="D141" s="1761"/>
      <c r="E141" s="1762">
        <f t="shared" si="16"/>
        <v>6</v>
      </c>
      <c r="F141" s="1763">
        <v>43318</v>
      </c>
      <c r="G141" s="1763">
        <f t="shared" si="17"/>
        <v>43323</v>
      </c>
      <c r="H141" s="1764"/>
      <c r="I141" s="1762" t="s">
        <v>170</v>
      </c>
      <c r="J141" s="667"/>
      <c r="K141" s="1769" t="s">
        <v>743</v>
      </c>
      <c r="L141" s="1233">
        <v>23174</v>
      </c>
      <c r="M141" s="1761"/>
      <c r="N141" s="1761"/>
      <c r="O141" s="1765">
        <v>67</v>
      </c>
      <c r="P141" s="1761">
        <v>2</v>
      </c>
      <c r="Q141" s="2382">
        <f t="shared" si="18"/>
        <v>134</v>
      </c>
      <c r="R141" s="2382"/>
      <c r="S141" s="1766"/>
      <c r="T141" s="1766"/>
      <c r="U141" s="1766"/>
      <c r="V141" s="1766"/>
      <c r="W141" s="1766"/>
      <c r="X141" s="1774">
        <v>134</v>
      </c>
      <c r="Y141" s="1768"/>
      <c r="Z141" s="1825"/>
      <c r="AA141" s="1825"/>
      <c r="AB141" s="1825"/>
      <c r="AC141" s="1825"/>
      <c r="AD141" s="1825"/>
      <c r="AE141" s="1825"/>
      <c r="AF141" s="1825"/>
      <c r="AG141" s="1282">
        <f t="shared" si="13"/>
        <v>134</v>
      </c>
    </row>
    <row r="142" spans="1:33" s="1826" customFormat="1" ht="35.25" hidden="1" customHeight="1">
      <c r="A142" s="683">
        <v>1215</v>
      </c>
      <c r="B142" s="1772" t="s">
        <v>749</v>
      </c>
      <c r="C142" s="1076" t="s">
        <v>750</v>
      </c>
      <c r="D142" s="1761"/>
      <c r="E142" s="1762">
        <f t="shared" si="16"/>
        <v>6</v>
      </c>
      <c r="F142" s="1763">
        <v>43318</v>
      </c>
      <c r="G142" s="1763">
        <f t="shared" si="17"/>
        <v>43323</v>
      </c>
      <c r="H142" s="1764"/>
      <c r="I142" s="1762" t="s">
        <v>170</v>
      </c>
      <c r="J142" s="667"/>
      <c r="K142" s="1769" t="s">
        <v>754</v>
      </c>
      <c r="L142" s="1233">
        <v>23174</v>
      </c>
      <c r="M142" s="1761"/>
      <c r="N142" s="1761"/>
      <c r="O142" s="1765">
        <v>63</v>
      </c>
      <c r="P142" s="1761">
        <v>2</v>
      </c>
      <c r="Q142" s="2382">
        <f t="shared" si="18"/>
        <v>126</v>
      </c>
      <c r="R142" s="2382"/>
      <c r="S142" s="1766"/>
      <c r="T142" s="1766"/>
      <c r="U142" s="1766"/>
      <c r="V142" s="1766"/>
      <c r="W142" s="1766"/>
      <c r="X142" s="1774">
        <v>126</v>
      </c>
      <c r="Y142" s="1768"/>
      <c r="Z142" s="1825"/>
      <c r="AA142" s="1825"/>
      <c r="AB142" s="1825"/>
      <c r="AC142" s="1825"/>
      <c r="AD142" s="1825"/>
      <c r="AE142" s="1825"/>
      <c r="AF142" s="1825"/>
      <c r="AG142" s="1282">
        <f t="shared" si="13"/>
        <v>126</v>
      </c>
    </row>
    <row r="143" spans="1:33" s="1826" customFormat="1" ht="35.25" hidden="1" customHeight="1">
      <c r="A143" s="683">
        <v>1215</v>
      </c>
      <c r="B143" s="1772" t="s">
        <v>749</v>
      </c>
      <c r="C143" s="1076" t="s">
        <v>750</v>
      </c>
      <c r="D143" s="1761"/>
      <c r="E143" s="1762">
        <f t="shared" si="16"/>
        <v>6</v>
      </c>
      <c r="F143" s="1763">
        <v>43318</v>
      </c>
      <c r="G143" s="1763">
        <f t="shared" si="17"/>
        <v>43323</v>
      </c>
      <c r="H143" s="1764"/>
      <c r="I143" s="1762" t="s">
        <v>170</v>
      </c>
      <c r="J143" s="667"/>
      <c r="K143" s="1769" t="s">
        <v>729</v>
      </c>
      <c r="L143" s="1233">
        <v>23174</v>
      </c>
      <c r="M143" s="1761"/>
      <c r="N143" s="1761"/>
      <c r="O143" s="1765">
        <v>255</v>
      </c>
      <c r="P143" s="1761">
        <v>2</v>
      </c>
      <c r="Q143" s="2382">
        <f t="shared" si="18"/>
        <v>510</v>
      </c>
      <c r="R143" s="2382"/>
      <c r="S143" s="1766"/>
      <c r="T143" s="1766"/>
      <c r="U143" s="1766"/>
      <c r="V143" s="1766"/>
      <c r="W143" s="1766"/>
      <c r="X143" s="1774">
        <v>510</v>
      </c>
      <c r="Y143" s="1768"/>
      <c r="Z143" s="1825"/>
      <c r="AA143" s="1825"/>
      <c r="AB143" s="1825"/>
      <c r="AC143" s="1825"/>
      <c r="AD143" s="1825"/>
      <c r="AE143" s="1825"/>
      <c r="AF143" s="1825"/>
      <c r="AG143" s="1282">
        <f t="shared" si="13"/>
        <v>510</v>
      </c>
    </row>
    <row r="144" spans="1:33" s="1826" customFormat="1" ht="35.25" hidden="1" customHeight="1">
      <c r="A144" s="683">
        <v>1215</v>
      </c>
      <c r="B144" s="1772" t="s">
        <v>749</v>
      </c>
      <c r="C144" s="1076" t="s">
        <v>750</v>
      </c>
      <c r="D144" s="1761"/>
      <c r="E144" s="1762">
        <f t="shared" si="16"/>
        <v>6</v>
      </c>
      <c r="F144" s="1763">
        <v>43318</v>
      </c>
      <c r="G144" s="1763">
        <f t="shared" si="17"/>
        <v>43323</v>
      </c>
      <c r="H144" s="1764"/>
      <c r="I144" s="1762" t="s">
        <v>170</v>
      </c>
      <c r="J144" s="667"/>
      <c r="K144" s="1769" t="s">
        <v>302</v>
      </c>
      <c r="L144" s="1233">
        <v>23173</v>
      </c>
      <c r="M144" s="1761"/>
      <c r="N144" s="1761"/>
      <c r="O144" s="1765">
        <v>5</v>
      </c>
      <c r="P144" s="1761">
        <v>26</v>
      </c>
      <c r="Q144" s="2382">
        <f t="shared" si="18"/>
        <v>130</v>
      </c>
      <c r="R144" s="2382"/>
      <c r="S144" s="1766"/>
      <c r="T144" s="1766"/>
      <c r="U144" s="1766"/>
      <c r="V144" s="1766"/>
      <c r="W144" s="1766"/>
      <c r="X144" s="1774">
        <v>130</v>
      </c>
      <c r="Y144" s="1768"/>
      <c r="Z144" s="1825"/>
      <c r="AA144" s="1825"/>
      <c r="AB144" s="1825"/>
      <c r="AC144" s="1825"/>
      <c r="AD144" s="1825"/>
      <c r="AE144" s="1825"/>
      <c r="AF144" s="1825"/>
      <c r="AG144" s="1282">
        <f t="shared" si="13"/>
        <v>130</v>
      </c>
    </row>
    <row r="145" spans="1:33" s="1826" customFormat="1" ht="35.25" hidden="1" customHeight="1">
      <c r="A145" s="683">
        <v>1215</v>
      </c>
      <c r="B145" s="1772" t="s">
        <v>749</v>
      </c>
      <c r="C145" s="1076" t="s">
        <v>750</v>
      </c>
      <c r="D145" s="1761"/>
      <c r="E145" s="1762">
        <f t="shared" si="16"/>
        <v>6</v>
      </c>
      <c r="F145" s="1763">
        <v>43318</v>
      </c>
      <c r="G145" s="1763">
        <f t="shared" si="17"/>
        <v>43323</v>
      </c>
      <c r="H145" s="1764"/>
      <c r="I145" s="1762" t="s">
        <v>170</v>
      </c>
      <c r="J145" s="667"/>
      <c r="K145" s="1769" t="s">
        <v>486</v>
      </c>
      <c r="L145" s="1231">
        <v>23173</v>
      </c>
      <c r="M145" s="1761"/>
      <c r="N145" s="1761"/>
      <c r="O145" s="1765">
        <v>156</v>
      </c>
      <c r="P145" s="1761">
        <v>6</v>
      </c>
      <c r="Q145" s="2382">
        <f t="shared" si="18"/>
        <v>936</v>
      </c>
      <c r="R145" s="2382"/>
      <c r="S145" s="1766"/>
      <c r="T145" s="1766"/>
      <c r="U145" s="1766"/>
      <c r="V145" s="1766"/>
      <c r="W145" s="1766"/>
      <c r="X145" s="1774">
        <v>936</v>
      </c>
      <c r="Y145" s="1768"/>
      <c r="Z145" s="1825"/>
      <c r="AA145" s="1825"/>
      <c r="AB145" s="1825"/>
      <c r="AC145" s="1825"/>
      <c r="AD145" s="1825"/>
      <c r="AE145" s="1825"/>
      <c r="AF145" s="1825"/>
      <c r="AG145" s="1282">
        <f t="shared" si="13"/>
        <v>936</v>
      </c>
    </row>
    <row r="146" spans="1:33" s="1826" customFormat="1" ht="35.25" hidden="1" customHeight="1">
      <c r="A146" s="683">
        <v>1215</v>
      </c>
      <c r="B146" s="1772" t="s">
        <v>749</v>
      </c>
      <c r="C146" s="1076" t="s">
        <v>750</v>
      </c>
      <c r="D146" s="1761"/>
      <c r="E146" s="1762">
        <f t="shared" si="16"/>
        <v>6</v>
      </c>
      <c r="F146" s="1763">
        <v>43318</v>
      </c>
      <c r="G146" s="1763">
        <f t="shared" si="17"/>
        <v>43323</v>
      </c>
      <c r="H146" s="1764"/>
      <c r="I146" s="1762" t="s">
        <v>170</v>
      </c>
      <c r="J146" s="667"/>
      <c r="K146" s="1769" t="s">
        <v>723</v>
      </c>
      <c r="L146" s="1233">
        <v>23174</v>
      </c>
      <c r="M146" s="1761"/>
      <c r="N146" s="1761"/>
      <c r="O146" s="1765">
        <v>169</v>
      </c>
      <c r="P146" s="1761">
        <v>2</v>
      </c>
      <c r="Q146" s="2382">
        <f t="shared" si="18"/>
        <v>338</v>
      </c>
      <c r="R146" s="2382"/>
      <c r="S146" s="1766"/>
      <c r="T146" s="1766"/>
      <c r="U146" s="1766"/>
      <c r="V146" s="1766"/>
      <c r="W146" s="1766"/>
      <c r="X146" s="1774">
        <v>338</v>
      </c>
      <c r="Y146" s="1768"/>
      <c r="Z146" s="1825"/>
      <c r="AA146" s="1825"/>
      <c r="AB146" s="1825"/>
      <c r="AC146" s="1825"/>
      <c r="AD146" s="1825"/>
      <c r="AE146" s="1825"/>
      <c r="AF146" s="1825"/>
      <c r="AG146" s="1282">
        <f t="shared" si="13"/>
        <v>338</v>
      </c>
    </row>
    <row r="147" spans="1:33" s="1826" customFormat="1" ht="35.25" hidden="1" customHeight="1">
      <c r="A147" s="683">
        <v>1215</v>
      </c>
      <c r="B147" s="1772" t="s">
        <v>749</v>
      </c>
      <c r="C147" s="1076" t="s">
        <v>750</v>
      </c>
      <c r="D147" s="1761"/>
      <c r="E147" s="1762">
        <f t="shared" si="16"/>
        <v>6</v>
      </c>
      <c r="F147" s="1763">
        <v>43318</v>
      </c>
      <c r="G147" s="1763">
        <f t="shared" si="17"/>
        <v>43323</v>
      </c>
      <c r="H147" s="1764"/>
      <c r="I147" s="1762" t="s">
        <v>170</v>
      </c>
      <c r="J147" s="667"/>
      <c r="K147" s="1769" t="s">
        <v>755</v>
      </c>
      <c r="L147" s="1233">
        <v>23173</v>
      </c>
      <c r="M147" s="1761"/>
      <c r="N147" s="1761"/>
      <c r="O147" s="1765">
        <v>10</v>
      </c>
      <c r="P147" s="1761">
        <v>60</v>
      </c>
      <c r="Q147" s="2382">
        <f t="shared" si="18"/>
        <v>600</v>
      </c>
      <c r="R147" s="2382"/>
      <c r="S147" s="1766"/>
      <c r="T147" s="1766"/>
      <c r="U147" s="1766"/>
      <c r="V147" s="1766"/>
      <c r="W147" s="1766"/>
      <c r="X147" s="1774">
        <v>600</v>
      </c>
      <c r="Y147" s="1768"/>
      <c r="Z147" s="1825"/>
      <c r="AA147" s="1825"/>
      <c r="AB147" s="1825"/>
      <c r="AC147" s="1825"/>
      <c r="AD147" s="1825"/>
      <c r="AE147" s="1825"/>
      <c r="AF147" s="1825"/>
      <c r="AG147" s="1282">
        <f t="shared" si="13"/>
        <v>600</v>
      </c>
    </row>
    <row r="148" spans="1:33" s="1826" customFormat="1" ht="35.25" hidden="1" customHeight="1">
      <c r="A148" s="2764">
        <v>1216</v>
      </c>
      <c r="B148" s="2765" t="s">
        <v>756</v>
      </c>
      <c r="C148" s="2766" t="s">
        <v>757</v>
      </c>
      <c r="D148" s="2767"/>
      <c r="E148" s="2768">
        <f t="shared" si="16"/>
        <v>27</v>
      </c>
      <c r="F148" s="2750">
        <v>43332</v>
      </c>
      <c r="G148" s="2750">
        <v>43358</v>
      </c>
      <c r="H148" s="2769"/>
      <c r="I148" s="2768" t="s">
        <v>170</v>
      </c>
      <c r="J148" s="2772"/>
      <c r="K148" s="1769"/>
      <c r="L148" s="2773"/>
      <c r="M148" s="2771"/>
      <c r="N148" s="2771"/>
      <c r="O148" s="1739"/>
      <c r="P148" s="2771"/>
      <c r="Q148" s="2496"/>
      <c r="R148" s="2496"/>
      <c r="S148" s="1768"/>
      <c r="T148" s="1768"/>
      <c r="U148" s="1768"/>
      <c r="V148" s="1768"/>
      <c r="W148" s="1768"/>
      <c r="X148" s="2777"/>
      <c r="Y148" s="1768"/>
      <c r="Z148" s="1825"/>
      <c r="AA148" s="1825"/>
      <c r="AB148" s="1825"/>
      <c r="AC148" s="1825"/>
      <c r="AD148" s="1825"/>
      <c r="AE148" s="1825"/>
      <c r="AF148" s="1825"/>
      <c r="AG148" s="1343"/>
    </row>
    <row r="149" spans="1:33" s="1826" customFormat="1" ht="35.25" hidden="1" customHeight="1">
      <c r="A149" s="683">
        <v>1216</v>
      </c>
      <c r="B149" s="1770" t="s">
        <v>756</v>
      </c>
      <c r="C149" s="1076" t="s">
        <v>757</v>
      </c>
      <c r="D149" s="1761"/>
      <c r="E149" s="1762">
        <f t="shared" si="16"/>
        <v>27</v>
      </c>
      <c r="F149" s="1763">
        <v>43332</v>
      </c>
      <c r="G149" s="1763">
        <v>43358</v>
      </c>
      <c r="H149" s="1764"/>
      <c r="I149" s="1762" t="s">
        <v>170</v>
      </c>
      <c r="J149" s="667"/>
      <c r="K149" s="1769" t="s">
        <v>758</v>
      </c>
      <c r="L149" s="1233">
        <v>23174</v>
      </c>
      <c r="M149" s="1761"/>
      <c r="N149" s="1761"/>
      <c r="O149" s="1765">
        <v>214</v>
      </c>
      <c r="P149" s="1761">
        <v>31</v>
      </c>
      <c r="Q149" s="2382">
        <f t="shared" si="18"/>
        <v>6634</v>
      </c>
      <c r="R149" s="2382"/>
      <c r="S149" s="1766"/>
      <c r="T149" s="1766"/>
      <c r="U149" s="1766"/>
      <c r="V149" s="1766"/>
      <c r="W149" s="1766"/>
      <c r="X149" s="1767"/>
      <c r="Y149" s="1739">
        <v>6634</v>
      </c>
      <c r="Z149" s="1825"/>
      <c r="AA149" s="1825"/>
      <c r="AB149" s="1825"/>
      <c r="AC149" s="1825"/>
      <c r="AD149" s="1825"/>
      <c r="AE149" s="1825"/>
      <c r="AF149" s="1825"/>
      <c r="AG149" s="1282">
        <f t="shared" si="13"/>
        <v>6634</v>
      </c>
    </row>
    <row r="150" spans="1:33" s="1826" customFormat="1" ht="35.25" hidden="1" customHeight="1">
      <c r="A150" s="683">
        <v>1216</v>
      </c>
      <c r="B150" s="1770" t="s">
        <v>756</v>
      </c>
      <c r="C150" s="1076" t="s">
        <v>757</v>
      </c>
      <c r="D150" s="1761"/>
      <c r="E150" s="1762">
        <f t="shared" si="16"/>
        <v>27</v>
      </c>
      <c r="F150" s="1763">
        <v>43332</v>
      </c>
      <c r="G150" s="1763">
        <v>43358</v>
      </c>
      <c r="H150" s="1764"/>
      <c r="I150" s="1762" t="s">
        <v>170</v>
      </c>
      <c r="J150" s="667"/>
      <c r="K150" s="1769" t="s">
        <v>759</v>
      </c>
      <c r="L150" s="1233">
        <v>23174</v>
      </c>
      <c r="M150" s="1761"/>
      <c r="N150" s="1761"/>
      <c r="O150" s="1765">
        <v>225</v>
      </c>
      <c r="P150" s="1761">
        <v>31</v>
      </c>
      <c r="Q150" s="2382">
        <f t="shared" si="18"/>
        <v>6975</v>
      </c>
      <c r="R150" s="2382"/>
      <c r="S150" s="1766"/>
      <c r="T150" s="1766"/>
      <c r="U150" s="1766"/>
      <c r="V150" s="1766"/>
      <c r="W150" s="1766"/>
      <c r="X150" s="1767"/>
      <c r="Y150" s="1739">
        <v>6975</v>
      </c>
      <c r="Z150" s="1825"/>
      <c r="AA150" s="1825"/>
      <c r="AB150" s="1825"/>
      <c r="AC150" s="1825"/>
      <c r="AD150" s="1825"/>
      <c r="AE150" s="1825"/>
      <c r="AF150" s="1825"/>
      <c r="AG150" s="1282">
        <f t="shared" si="13"/>
        <v>6975</v>
      </c>
    </row>
    <row r="151" spans="1:33" s="1826" customFormat="1" ht="35.25" hidden="1" customHeight="1">
      <c r="A151" s="683">
        <v>1216</v>
      </c>
      <c r="B151" s="1770" t="s">
        <v>756</v>
      </c>
      <c r="C151" s="1076" t="s">
        <v>757</v>
      </c>
      <c r="D151" s="1761"/>
      <c r="E151" s="1762">
        <f t="shared" si="16"/>
        <v>27</v>
      </c>
      <c r="F151" s="1763">
        <v>43332</v>
      </c>
      <c r="G151" s="1763">
        <v>43358</v>
      </c>
      <c r="H151" s="1764"/>
      <c r="I151" s="1762" t="s">
        <v>170</v>
      </c>
      <c r="J151" s="667"/>
      <c r="K151" s="1769" t="s">
        <v>760</v>
      </c>
      <c r="L151" s="1233">
        <v>23174</v>
      </c>
      <c r="M151" s="1761"/>
      <c r="N151" s="1761"/>
      <c r="O151" s="1765">
        <v>37</v>
      </c>
      <c r="P151" s="1761">
        <v>31</v>
      </c>
      <c r="Q151" s="2382">
        <f t="shared" si="18"/>
        <v>1147</v>
      </c>
      <c r="R151" s="2382"/>
      <c r="S151" s="1766"/>
      <c r="T151" s="1766"/>
      <c r="U151" s="1766"/>
      <c r="V151" s="1766"/>
      <c r="W151" s="1766"/>
      <c r="X151" s="1767"/>
      <c r="Y151" s="1739">
        <v>1147</v>
      </c>
      <c r="Z151" s="1825"/>
      <c r="AA151" s="1825"/>
      <c r="AB151" s="1825"/>
      <c r="AC151" s="1825"/>
      <c r="AD151" s="1825"/>
      <c r="AE151" s="1825"/>
      <c r="AF151" s="1825"/>
      <c r="AG151" s="1282">
        <f t="shared" si="13"/>
        <v>1147</v>
      </c>
    </row>
    <row r="152" spans="1:33" s="1826" customFormat="1" ht="35.25" hidden="1" customHeight="1">
      <c r="A152" s="683">
        <v>1216</v>
      </c>
      <c r="B152" s="1770" t="s">
        <v>756</v>
      </c>
      <c r="C152" s="1076" t="s">
        <v>757</v>
      </c>
      <c r="D152" s="1761"/>
      <c r="E152" s="1762">
        <f t="shared" si="16"/>
        <v>27</v>
      </c>
      <c r="F152" s="1763">
        <v>43332</v>
      </c>
      <c r="G152" s="1763">
        <v>43358</v>
      </c>
      <c r="H152" s="1764"/>
      <c r="I152" s="1762" t="s">
        <v>170</v>
      </c>
      <c r="J152" s="667"/>
      <c r="K152" s="1769" t="s">
        <v>743</v>
      </c>
      <c r="L152" s="1233">
        <v>23174</v>
      </c>
      <c r="M152" s="1761"/>
      <c r="N152" s="1761"/>
      <c r="O152" s="1765">
        <v>214</v>
      </c>
      <c r="P152" s="1761">
        <v>2</v>
      </c>
      <c r="Q152" s="2382">
        <f t="shared" si="18"/>
        <v>428</v>
      </c>
      <c r="R152" s="2382"/>
      <c r="S152" s="1766"/>
      <c r="T152" s="1766"/>
      <c r="U152" s="1766"/>
      <c r="V152" s="1766"/>
      <c r="W152" s="1766"/>
      <c r="X152" s="1767"/>
      <c r="Y152" s="1739">
        <v>428</v>
      </c>
      <c r="Z152" s="1825"/>
      <c r="AA152" s="1825"/>
      <c r="AB152" s="1825"/>
      <c r="AC152" s="1825"/>
      <c r="AD152" s="1825"/>
      <c r="AE152" s="1825"/>
      <c r="AF152" s="1825"/>
      <c r="AG152" s="1282">
        <f t="shared" si="13"/>
        <v>428</v>
      </c>
    </row>
    <row r="153" spans="1:33" s="1826" customFormat="1" ht="35.25" hidden="1" customHeight="1">
      <c r="A153" s="683">
        <v>1216</v>
      </c>
      <c r="B153" s="1770" t="s">
        <v>756</v>
      </c>
      <c r="C153" s="1076" t="s">
        <v>757</v>
      </c>
      <c r="D153" s="1761"/>
      <c r="E153" s="1762">
        <f t="shared" si="16"/>
        <v>27</v>
      </c>
      <c r="F153" s="1763">
        <v>43332</v>
      </c>
      <c r="G153" s="1763">
        <v>43358</v>
      </c>
      <c r="H153" s="1764"/>
      <c r="I153" s="1762" t="s">
        <v>170</v>
      </c>
      <c r="J153" s="667"/>
      <c r="K153" s="1769" t="s">
        <v>744</v>
      </c>
      <c r="L153" s="1233">
        <v>23174</v>
      </c>
      <c r="M153" s="1761"/>
      <c r="N153" s="1761"/>
      <c r="O153" s="1765">
        <v>225</v>
      </c>
      <c r="P153" s="1761">
        <v>2</v>
      </c>
      <c r="Q153" s="2382">
        <f t="shared" si="18"/>
        <v>450</v>
      </c>
      <c r="R153" s="2382"/>
      <c r="S153" s="1766"/>
      <c r="T153" s="1766"/>
      <c r="U153" s="1766"/>
      <c r="V153" s="1766"/>
      <c r="W153" s="1766"/>
      <c r="X153" s="1767"/>
      <c r="Y153" s="1739">
        <v>450</v>
      </c>
      <c r="Z153" s="1825"/>
      <c r="AA153" s="1825"/>
      <c r="AB153" s="1825"/>
      <c r="AC153" s="1825"/>
      <c r="AD153" s="1825"/>
      <c r="AE153" s="1825"/>
      <c r="AF153" s="1825"/>
      <c r="AG153" s="1282">
        <f t="shared" si="13"/>
        <v>450</v>
      </c>
    </row>
    <row r="154" spans="1:33" s="1826" customFormat="1" ht="35.25" hidden="1" customHeight="1">
      <c r="A154" s="683">
        <v>1216</v>
      </c>
      <c r="B154" s="1770" t="s">
        <v>756</v>
      </c>
      <c r="C154" s="1076" t="s">
        <v>757</v>
      </c>
      <c r="D154" s="1761"/>
      <c r="E154" s="1762">
        <f t="shared" si="16"/>
        <v>27</v>
      </c>
      <c r="F154" s="1763">
        <v>43332</v>
      </c>
      <c r="G154" s="1763">
        <v>43358</v>
      </c>
      <c r="H154" s="1764"/>
      <c r="I154" s="1762" t="s">
        <v>170</v>
      </c>
      <c r="J154" s="667"/>
      <c r="K154" s="1769" t="s">
        <v>745</v>
      </c>
      <c r="L154" s="1233">
        <v>23174</v>
      </c>
      <c r="M154" s="1761"/>
      <c r="N154" s="1761"/>
      <c r="O154" s="1765">
        <v>255</v>
      </c>
      <c r="P154" s="1761">
        <v>2</v>
      </c>
      <c r="Q154" s="2382">
        <f t="shared" si="18"/>
        <v>510</v>
      </c>
      <c r="R154" s="2382"/>
      <c r="S154" s="1766"/>
      <c r="T154" s="1766"/>
      <c r="U154" s="1766"/>
      <c r="V154" s="1766"/>
      <c r="W154" s="1766"/>
      <c r="X154" s="1767"/>
      <c r="Y154" s="1739">
        <v>510</v>
      </c>
      <c r="Z154" s="1825"/>
      <c r="AA154" s="1825"/>
      <c r="AB154" s="1825"/>
      <c r="AC154" s="1825"/>
      <c r="AD154" s="1825"/>
      <c r="AE154" s="1825"/>
      <c r="AF154" s="1825"/>
      <c r="AG154" s="1282">
        <f t="shared" si="13"/>
        <v>510</v>
      </c>
    </row>
    <row r="155" spans="1:33" s="1826" customFormat="1" ht="35.25" hidden="1" customHeight="1">
      <c r="A155" s="683">
        <v>1216</v>
      </c>
      <c r="B155" s="1770" t="s">
        <v>756</v>
      </c>
      <c r="C155" s="1076" t="s">
        <v>757</v>
      </c>
      <c r="D155" s="1761"/>
      <c r="E155" s="1762">
        <f t="shared" si="16"/>
        <v>27</v>
      </c>
      <c r="F155" s="1763">
        <v>43332</v>
      </c>
      <c r="G155" s="1763">
        <v>43358</v>
      </c>
      <c r="H155" s="1764"/>
      <c r="I155" s="1762" t="s">
        <v>170</v>
      </c>
      <c r="J155" s="667"/>
      <c r="K155" s="1769" t="s">
        <v>727</v>
      </c>
      <c r="L155" s="1233">
        <v>23174</v>
      </c>
      <c r="M155" s="1761"/>
      <c r="N155" s="1761"/>
      <c r="O155" s="1765">
        <v>178</v>
      </c>
      <c r="P155" s="1761">
        <v>2</v>
      </c>
      <c r="Q155" s="2382">
        <f t="shared" si="18"/>
        <v>356</v>
      </c>
      <c r="R155" s="2382"/>
      <c r="S155" s="1766"/>
      <c r="T155" s="1766"/>
      <c r="U155" s="1766"/>
      <c r="V155" s="1766"/>
      <c r="W155" s="1766"/>
      <c r="X155" s="1767"/>
      <c r="Y155" s="1739">
        <v>356</v>
      </c>
      <c r="Z155" s="1825"/>
      <c r="AA155" s="1825"/>
      <c r="AB155" s="1825"/>
      <c r="AC155" s="1825"/>
      <c r="AD155" s="1825"/>
      <c r="AE155" s="1825"/>
      <c r="AF155" s="1825"/>
      <c r="AG155" s="1282">
        <f t="shared" si="13"/>
        <v>356</v>
      </c>
    </row>
    <row r="156" spans="1:33" s="1826" customFormat="1" ht="35.25" hidden="1" customHeight="1">
      <c r="A156" s="683">
        <v>1216</v>
      </c>
      <c r="B156" s="1770" t="s">
        <v>756</v>
      </c>
      <c r="C156" s="1076" t="s">
        <v>757</v>
      </c>
      <c r="D156" s="1761"/>
      <c r="E156" s="1762">
        <f t="shared" si="16"/>
        <v>27</v>
      </c>
      <c r="F156" s="1763">
        <v>43332</v>
      </c>
      <c r="G156" s="1763">
        <v>43358</v>
      </c>
      <c r="H156" s="1764"/>
      <c r="I156" s="1762" t="s">
        <v>170</v>
      </c>
      <c r="J156" s="667"/>
      <c r="K156" s="1769" t="s">
        <v>736</v>
      </c>
      <c r="L156" s="1233">
        <v>23174</v>
      </c>
      <c r="M156" s="1761"/>
      <c r="N156" s="1761"/>
      <c r="O156" s="1765">
        <v>112</v>
      </c>
      <c r="P156" s="1761">
        <v>2</v>
      </c>
      <c r="Q156" s="2382">
        <f t="shared" si="18"/>
        <v>224</v>
      </c>
      <c r="R156" s="2382"/>
      <c r="S156" s="1766"/>
      <c r="T156" s="1766"/>
      <c r="U156" s="1766"/>
      <c r="V156" s="1766"/>
      <c r="W156" s="1766"/>
      <c r="X156" s="1767"/>
      <c r="Y156" s="1739">
        <v>224</v>
      </c>
      <c r="Z156" s="1825"/>
      <c r="AA156" s="1825"/>
      <c r="AB156" s="1825"/>
      <c r="AC156" s="1825"/>
      <c r="AD156" s="1825"/>
      <c r="AE156" s="1825"/>
      <c r="AF156" s="1825"/>
      <c r="AG156" s="1282">
        <f t="shared" si="13"/>
        <v>224</v>
      </c>
    </row>
    <row r="157" spans="1:33" s="1826" customFormat="1" ht="35.25" hidden="1" customHeight="1">
      <c r="A157" s="683">
        <v>1216</v>
      </c>
      <c r="B157" s="1770" t="s">
        <v>756</v>
      </c>
      <c r="C157" s="1076" t="s">
        <v>757</v>
      </c>
      <c r="D157" s="1761"/>
      <c r="E157" s="1762">
        <f t="shared" si="16"/>
        <v>27</v>
      </c>
      <c r="F157" s="1763">
        <v>43332</v>
      </c>
      <c r="G157" s="1763">
        <v>43358</v>
      </c>
      <c r="H157" s="1764"/>
      <c r="I157" s="1762" t="s">
        <v>170</v>
      </c>
      <c r="J157" s="667"/>
      <c r="K157" s="1769" t="s">
        <v>302</v>
      </c>
      <c r="L157" s="1233">
        <v>23173</v>
      </c>
      <c r="M157" s="1761"/>
      <c r="N157" s="1761"/>
      <c r="O157" s="1765">
        <v>15</v>
      </c>
      <c r="P157" s="1761">
        <v>30</v>
      </c>
      <c r="Q157" s="2382">
        <f t="shared" si="18"/>
        <v>450</v>
      </c>
      <c r="R157" s="2382"/>
      <c r="S157" s="1766"/>
      <c r="T157" s="1766"/>
      <c r="U157" s="1766"/>
      <c r="V157" s="1766"/>
      <c r="W157" s="1766"/>
      <c r="X157" s="1767"/>
      <c r="Y157" s="1739">
        <v>450</v>
      </c>
      <c r="Z157" s="1825"/>
      <c r="AA157" s="1825"/>
      <c r="AB157" s="1825"/>
      <c r="AC157" s="1825"/>
      <c r="AD157" s="1825"/>
      <c r="AE157" s="1825"/>
      <c r="AF157" s="1825"/>
      <c r="AG157" s="1282">
        <f t="shared" si="13"/>
        <v>450</v>
      </c>
    </row>
    <row r="158" spans="1:33" s="1826" customFormat="1" ht="35.25" hidden="1" customHeight="1">
      <c r="A158" s="683">
        <v>1216</v>
      </c>
      <c r="B158" s="1770" t="s">
        <v>756</v>
      </c>
      <c r="C158" s="1076" t="s">
        <v>757</v>
      </c>
      <c r="D158" s="1761"/>
      <c r="E158" s="1762">
        <f t="shared" si="16"/>
        <v>27</v>
      </c>
      <c r="F158" s="1763">
        <v>43332</v>
      </c>
      <c r="G158" s="1763">
        <v>43358</v>
      </c>
      <c r="H158" s="1764"/>
      <c r="I158" s="1762" t="s">
        <v>170</v>
      </c>
      <c r="J158" s="667"/>
      <c r="K158" s="1769" t="s">
        <v>486</v>
      </c>
      <c r="L158" s="1231">
        <v>23173</v>
      </c>
      <c r="M158" s="1761"/>
      <c r="N158" s="1761"/>
      <c r="O158" s="1765">
        <v>156</v>
      </c>
      <c r="P158" s="1761">
        <v>15</v>
      </c>
      <c r="Q158" s="2382">
        <f t="shared" si="18"/>
        <v>2340</v>
      </c>
      <c r="R158" s="2382"/>
      <c r="S158" s="1766"/>
      <c r="T158" s="1766"/>
      <c r="U158" s="1766"/>
      <c r="V158" s="1766"/>
      <c r="W158" s="1766"/>
      <c r="X158" s="1767"/>
      <c r="Y158" s="1739">
        <v>2340</v>
      </c>
      <c r="Z158" s="1825"/>
      <c r="AA158" s="1825"/>
      <c r="AB158" s="1825"/>
      <c r="AC158" s="1825"/>
      <c r="AD158" s="1825"/>
      <c r="AE158" s="1825"/>
      <c r="AF158" s="1825"/>
      <c r="AG158" s="1282">
        <f t="shared" si="13"/>
        <v>2340</v>
      </c>
    </row>
    <row r="159" spans="1:33" s="1826" customFormat="1" ht="35.25" hidden="1" customHeight="1">
      <c r="A159" s="683">
        <v>1216</v>
      </c>
      <c r="B159" s="1770" t="s">
        <v>756</v>
      </c>
      <c r="C159" s="1076" t="s">
        <v>757</v>
      </c>
      <c r="D159" s="1761"/>
      <c r="E159" s="1762">
        <f t="shared" si="16"/>
        <v>27</v>
      </c>
      <c r="F159" s="1763">
        <v>43332</v>
      </c>
      <c r="G159" s="1763">
        <v>43358</v>
      </c>
      <c r="H159" s="1764"/>
      <c r="I159" s="1762" t="s">
        <v>170</v>
      </c>
      <c r="J159" s="667"/>
      <c r="K159" s="1769" t="s">
        <v>723</v>
      </c>
      <c r="L159" s="1233">
        <v>23174</v>
      </c>
      <c r="M159" s="1761"/>
      <c r="N159" s="1761"/>
      <c r="O159" s="1765">
        <v>281</v>
      </c>
      <c r="P159" s="1761">
        <v>2</v>
      </c>
      <c r="Q159" s="2382">
        <f t="shared" si="18"/>
        <v>562</v>
      </c>
      <c r="R159" s="2382"/>
      <c r="S159" s="1766"/>
      <c r="T159" s="1766"/>
      <c r="U159" s="1766"/>
      <c r="V159" s="1766"/>
      <c r="W159" s="1766"/>
      <c r="X159" s="1767"/>
      <c r="Y159" s="1739">
        <v>562</v>
      </c>
      <c r="Z159" s="1825"/>
      <c r="AA159" s="1825"/>
      <c r="AB159" s="1825"/>
      <c r="AC159" s="1825"/>
      <c r="AD159" s="1825"/>
      <c r="AE159" s="1825"/>
      <c r="AF159" s="1825"/>
      <c r="AG159" s="1282">
        <f t="shared" si="13"/>
        <v>562</v>
      </c>
    </row>
    <row r="160" spans="1:33" s="1826" customFormat="1" ht="35.25" hidden="1" customHeight="1">
      <c r="A160" s="683">
        <v>1216</v>
      </c>
      <c r="B160" s="1770" t="s">
        <v>756</v>
      </c>
      <c r="C160" s="1076" t="s">
        <v>757</v>
      </c>
      <c r="D160" s="1761"/>
      <c r="E160" s="1762">
        <f t="shared" si="16"/>
        <v>27</v>
      </c>
      <c r="F160" s="1763">
        <v>43332</v>
      </c>
      <c r="G160" s="1763">
        <v>43358</v>
      </c>
      <c r="H160" s="1764"/>
      <c r="I160" s="1762" t="s">
        <v>170</v>
      </c>
      <c r="J160" s="667"/>
      <c r="K160" s="1769" t="s">
        <v>761</v>
      </c>
      <c r="L160" s="1233">
        <v>23173</v>
      </c>
      <c r="M160" s="1761"/>
      <c r="N160" s="1761"/>
      <c r="O160" s="1765">
        <v>10</v>
      </c>
      <c r="P160" s="1761">
        <v>50</v>
      </c>
      <c r="Q160" s="2382">
        <f t="shared" si="18"/>
        <v>500</v>
      </c>
      <c r="R160" s="2382"/>
      <c r="S160" s="1766"/>
      <c r="T160" s="1766"/>
      <c r="U160" s="1766"/>
      <c r="V160" s="1766"/>
      <c r="W160" s="1766"/>
      <c r="X160" s="1767"/>
      <c r="Y160" s="1739">
        <v>500</v>
      </c>
      <c r="Z160" s="1825"/>
      <c r="AA160" s="1825"/>
      <c r="AB160" s="1825"/>
      <c r="AC160" s="1825"/>
      <c r="AD160" s="1825"/>
      <c r="AE160" s="1825"/>
      <c r="AF160" s="1825"/>
      <c r="AG160" s="1282">
        <f t="shared" si="13"/>
        <v>500</v>
      </c>
    </row>
    <row r="161" spans="1:33" s="1826" customFormat="1" ht="35.25" hidden="1" customHeight="1">
      <c r="A161" s="683">
        <v>1216</v>
      </c>
      <c r="B161" s="1770" t="s">
        <v>756</v>
      </c>
      <c r="C161" s="1076" t="s">
        <v>757</v>
      </c>
      <c r="D161" s="1761"/>
      <c r="E161" s="1762">
        <f t="shared" si="16"/>
        <v>27</v>
      </c>
      <c r="F161" s="1763">
        <v>43332</v>
      </c>
      <c r="G161" s="1763">
        <v>43358</v>
      </c>
      <c r="H161" s="1764"/>
      <c r="I161" s="1762" t="s">
        <v>170</v>
      </c>
      <c r="J161" s="667"/>
      <c r="K161" s="1769" t="s">
        <v>762</v>
      </c>
      <c r="L161" s="1233">
        <v>23173</v>
      </c>
      <c r="M161" s="1761"/>
      <c r="N161" s="1761"/>
      <c r="O161" s="1765">
        <v>15</v>
      </c>
      <c r="P161" s="1761">
        <v>50</v>
      </c>
      <c r="Q161" s="2382">
        <f t="shared" si="18"/>
        <v>750</v>
      </c>
      <c r="R161" s="2382"/>
      <c r="S161" s="1766"/>
      <c r="T161" s="1766"/>
      <c r="U161" s="1766"/>
      <c r="V161" s="1766"/>
      <c r="W161" s="1766"/>
      <c r="X161" s="1767"/>
      <c r="Y161" s="1739">
        <v>750</v>
      </c>
      <c r="Z161" s="1825"/>
      <c r="AA161" s="1825"/>
      <c r="AB161" s="1825"/>
      <c r="AC161" s="1825"/>
      <c r="AD161" s="1825"/>
      <c r="AE161" s="1825"/>
      <c r="AF161" s="1825"/>
      <c r="AG161" s="1282">
        <f t="shared" si="13"/>
        <v>750</v>
      </c>
    </row>
    <row r="162" spans="1:33" s="1826" customFormat="1" ht="35.25" hidden="1" customHeight="1">
      <c r="A162" s="683">
        <v>1216</v>
      </c>
      <c r="B162" s="1770" t="s">
        <v>756</v>
      </c>
      <c r="C162" s="1076" t="s">
        <v>757</v>
      </c>
      <c r="D162" s="1761"/>
      <c r="E162" s="1762">
        <f t="shared" si="16"/>
        <v>27</v>
      </c>
      <c r="F162" s="1763">
        <v>43332</v>
      </c>
      <c r="G162" s="1763">
        <v>43358</v>
      </c>
      <c r="H162" s="1764"/>
      <c r="I162" s="1762" t="s">
        <v>170</v>
      </c>
      <c r="J162" s="667"/>
      <c r="K162" s="1769" t="s">
        <v>763</v>
      </c>
      <c r="L162" s="1233">
        <v>23173</v>
      </c>
      <c r="M162" s="1761"/>
      <c r="N162" s="1761"/>
      <c r="O162" s="1765">
        <v>10</v>
      </c>
      <c r="P162" s="1761">
        <f>22+114+28+23+10+10</f>
        <v>207</v>
      </c>
      <c r="Q162" s="2382">
        <f t="shared" si="18"/>
        <v>2070</v>
      </c>
      <c r="R162" s="2382"/>
      <c r="S162" s="1766"/>
      <c r="T162" s="1766"/>
      <c r="U162" s="1766"/>
      <c r="V162" s="1766"/>
      <c r="W162" s="1766"/>
      <c r="X162" s="1767"/>
      <c r="Y162" s="1739">
        <v>2070</v>
      </c>
      <c r="Z162" s="1825"/>
      <c r="AA162" s="1825"/>
      <c r="AB162" s="1825"/>
      <c r="AC162" s="1825"/>
      <c r="AD162" s="1825"/>
      <c r="AE162" s="1825"/>
      <c r="AF162" s="1825"/>
      <c r="AG162" s="1282">
        <f t="shared" si="13"/>
        <v>2070</v>
      </c>
    </row>
    <row r="163" spans="1:33" s="1826" customFormat="1" ht="35.25" hidden="1" customHeight="1">
      <c r="A163" s="683">
        <v>1216</v>
      </c>
      <c r="B163" s="1770" t="s">
        <v>756</v>
      </c>
      <c r="C163" s="1076" t="s">
        <v>757</v>
      </c>
      <c r="D163" s="1761"/>
      <c r="E163" s="1762">
        <f t="shared" si="16"/>
        <v>27</v>
      </c>
      <c r="F163" s="1763">
        <v>43332</v>
      </c>
      <c r="G163" s="1763">
        <v>43358</v>
      </c>
      <c r="H163" s="1764"/>
      <c r="I163" s="1762" t="s">
        <v>170</v>
      </c>
      <c r="J163" s="667"/>
      <c r="K163" s="1769" t="s">
        <v>764</v>
      </c>
      <c r="L163" s="1233">
        <v>23173</v>
      </c>
      <c r="M163" s="1761"/>
      <c r="N163" s="1761"/>
      <c r="O163" s="1765">
        <v>5</v>
      </c>
      <c r="P163" s="1761">
        <v>207</v>
      </c>
      <c r="Q163" s="2382">
        <f t="shared" si="18"/>
        <v>1035</v>
      </c>
      <c r="R163" s="2382"/>
      <c r="S163" s="1766"/>
      <c r="T163" s="1766"/>
      <c r="U163" s="1766"/>
      <c r="V163" s="1766"/>
      <c r="W163" s="1766"/>
      <c r="X163" s="1767"/>
      <c r="Y163" s="1739">
        <v>1035</v>
      </c>
      <c r="Z163" s="1825"/>
      <c r="AA163" s="1825"/>
      <c r="AB163" s="1825"/>
      <c r="AC163" s="1825"/>
      <c r="AD163" s="1825"/>
      <c r="AE163" s="1825"/>
      <c r="AF163" s="1825"/>
      <c r="AG163" s="1282">
        <f t="shared" si="13"/>
        <v>1035</v>
      </c>
    </row>
    <row r="164" spans="1:33" s="1826" customFormat="1" ht="35.25" hidden="1" customHeight="1">
      <c r="A164" s="2764">
        <v>1217</v>
      </c>
      <c r="B164" s="2765" t="s">
        <v>499</v>
      </c>
      <c r="C164" s="2766" t="s">
        <v>767</v>
      </c>
      <c r="D164" s="1761"/>
      <c r="E164" s="1762">
        <f t="shared" si="16"/>
        <v>189</v>
      </c>
      <c r="F164" s="2750">
        <v>43185</v>
      </c>
      <c r="G164" s="2750">
        <v>43373</v>
      </c>
      <c r="H164" s="2769"/>
      <c r="I164" s="2768" t="s">
        <v>768</v>
      </c>
      <c r="J164" s="667"/>
      <c r="K164" s="1769"/>
      <c r="L164" s="1233">
        <v>2313</v>
      </c>
      <c r="M164" s="1761"/>
      <c r="N164" s="1761"/>
      <c r="O164" s="1765">
        <v>50000</v>
      </c>
      <c r="P164" s="1761"/>
      <c r="Q164" s="2382">
        <v>50000</v>
      </c>
      <c r="R164" s="2382"/>
      <c r="S164" s="1766"/>
      <c r="T164" s="1765">
        <v>50000</v>
      </c>
      <c r="U164" s="1766"/>
      <c r="V164" s="1766"/>
      <c r="W164" s="1766"/>
      <c r="X164" s="1767"/>
      <c r="Y164" s="1768"/>
      <c r="Z164" s="1825"/>
      <c r="AA164" s="1825"/>
      <c r="AB164" s="1825"/>
      <c r="AC164" s="1825"/>
      <c r="AD164" s="1825"/>
      <c r="AE164" s="1825"/>
      <c r="AF164" s="1825"/>
      <c r="AG164" s="1282">
        <f t="shared" si="13"/>
        <v>50000</v>
      </c>
    </row>
    <row r="165" spans="1:33" s="1826" customFormat="1" ht="35.25" hidden="1" customHeight="1">
      <c r="A165" s="2764">
        <v>1218</v>
      </c>
      <c r="B165" s="2765" t="s">
        <v>769</v>
      </c>
      <c r="C165" s="2766" t="s">
        <v>770</v>
      </c>
      <c r="D165" s="1761"/>
      <c r="E165" s="1762">
        <f t="shared" si="16"/>
        <v>189</v>
      </c>
      <c r="F165" s="2750">
        <v>43185</v>
      </c>
      <c r="G165" s="2750">
        <v>43373</v>
      </c>
      <c r="H165" s="2769"/>
      <c r="I165" s="2768" t="s">
        <v>768</v>
      </c>
      <c r="J165" s="667"/>
      <c r="K165" s="1769"/>
      <c r="L165" s="1233">
        <v>2313</v>
      </c>
      <c r="M165" s="1761"/>
      <c r="N165" s="1761"/>
      <c r="O165" s="1765">
        <v>15000</v>
      </c>
      <c r="P165" s="1761"/>
      <c r="Q165" s="2382">
        <v>15000</v>
      </c>
      <c r="R165" s="2382"/>
      <c r="S165" s="1766"/>
      <c r="T165" s="1765">
        <v>15000</v>
      </c>
      <c r="U165" s="1766"/>
      <c r="V165" s="1766"/>
      <c r="W165" s="1766"/>
      <c r="X165" s="1767"/>
      <c r="Y165" s="1768"/>
      <c r="Z165" s="1825"/>
      <c r="AA165" s="1825"/>
      <c r="AB165" s="1825"/>
      <c r="AC165" s="1825"/>
      <c r="AD165" s="1825"/>
      <c r="AE165" s="1825"/>
      <c r="AF165" s="1825"/>
      <c r="AG165" s="1282">
        <f t="shared" si="13"/>
        <v>15000</v>
      </c>
    </row>
    <row r="166" spans="1:33" ht="35.25" customHeight="1">
      <c r="A166" s="1324">
        <v>122</v>
      </c>
      <c r="B166" s="1463" t="s">
        <v>771</v>
      </c>
      <c r="C166" s="1498"/>
      <c r="D166" s="1325"/>
      <c r="E166" s="1325"/>
      <c r="F166" s="1325"/>
      <c r="G166" s="1325"/>
      <c r="H166" s="1325"/>
      <c r="I166" s="1325"/>
      <c r="J166" s="636"/>
      <c r="K166" s="1296"/>
      <c r="L166" s="1298"/>
      <c r="M166" s="1326"/>
      <c r="N166" s="1297"/>
      <c r="O166" s="1327"/>
      <c r="P166" s="1328"/>
      <c r="Q166" s="2348">
        <f>SUM(Q168:Q241)</f>
        <v>150847.67633333337</v>
      </c>
      <c r="R166" s="790"/>
      <c r="S166" s="1329">
        <f t="shared" ref="S166:AF166" si="19">SUM(S168:S241)</f>
        <v>0</v>
      </c>
      <c r="T166" s="1329">
        <f t="shared" si="19"/>
        <v>13416.399666666666</v>
      </c>
      <c r="U166" s="1329">
        <f t="shared" si="19"/>
        <v>32731.999333333333</v>
      </c>
      <c r="V166" s="1329">
        <f t="shared" si="19"/>
        <v>80559.724999999991</v>
      </c>
      <c r="W166" s="1329">
        <f t="shared" si="19"/>
        <v>24139.552333333329</v>
      </c>
      <c r="X166" s="1329">
        <f t="shared" si="19"/>
        <v>0</v>
      </c>
      <c r="Y166" s="1329">
        <f t="shared" si="19"/>
        <v>0</v>
      </c>
      <c r="Z166" s="1329">
        <f t="shared" si="19"/>
        <v>0</v>
      </c>
      <c r="AA166" s="1329">
        <f t="shared" si="19"/>
        <v>0</v>
      </c>
      <c r="AB166" s="1329">
        <f t="shared" si="19"/>
        <v>0</v>
      </c>
      <c r="AC166" s="1329">
        <f t="shared" si="19"/>
        <v>0</v>
      </c>
      <c r="AD166" s="1329">
        <f t="shared" si="19"/>
        <v>0</v>
      </c>
      <c r="AE166" s="1329">
        <f t="shared" si="19"/>
        <v>0</v>
      </c>
      <c r="AF166" s="1329">
        <f t="shared" si="19"/>
        <v>0</v>
      </c>
      <c r="AG166" s="1329">
        <f>SUM(S166:AF166)</f>
        <v>150847.67633333331</v>
      </c>
    </row>
    <row r="167" spans="1:33" ht="35.25" hidden="1" customHeight="1">
      <c r="A167" s="2745">
        <v>1221</v>
      </c>
      <c r="B167" s="2779" t="s">
        <v>772</v>
      </c>
      <c r="C167" s="2748" t="s">
        <v>773</v>
      </c>
      <c r="D167" s="2780"/>
      <c r="E167" s="2745">
        <v>10</v>
      </c>
      <c r="F167" s="2781">
        <v>43206</v>
      </c>
      <c r="G167" s="2781">
        <f>F167+E167</f>
        <v>43216</v>
      </c>
      <c r="H167" s="2780" t="s">
        <v>774</v>
      </c>
      <c r="I167" s="2745" t="s">
        <v>170</v>
      </c>
      <c r="J167" s="1129"/>
      <c r="K167" s="1432"/>
      <c r="L167" s="1433"/>
      <c r="M167" s="1430"/>
      <c r="N167" s="1431"/>
      <c r="O167" s="1434"/>
      <c r="P167" s="2778"/>
      <c r="Q167" s="2808"/>
      <c r="R167" s="1133"/>
      <c r="S167" s="2733"/>
      <c r="T167" s="2733"/>
      <c r="U167" s="1343"/>
      <c r="V167" s="1343"/>
      <c r="W167" s="1343"/>
      <c r="X167" s="2733"/>
      <c r="Y167" s="1343"/>
      <c r="Z167" s="1343"/>
      <c r="AA167" s="1343"/>
      <c r="AB167" s="1343"/>
      <c r="AC167" s="1343"/>
      <c r="AD167" s="1343"/>
      <c r="AE167" s="1343"/>
      <c r="AF167" s="1343"/>
      <c r="AG167" s="1343"/>
    </row>
    <row r="168" spans="1:33" ht="35.25" hidden="1" customHeight="1">
      <c r="A168" s="796">
        <v>1221</v>
      </c>
      <c r="B168" s="858" t="s">
        <v>772</v>
      </c>
      <c r="C168" s="1074" t="s">
        <v>773</v>
      </c>
      <c r="D168" s="805"/>
      <c r="E168" s="796">
        <v>10</v>
      </c>
      <c r="F168" s="1775">
        <v>43206</v>
      </c>
      <c r="G168" s="1775">
        <f>F168+E168</f>
        <v>43216</v>
      </c>
      <c r="H168" s="805" t="s">
        <v>774</v>
      </c>
      <c r="I168" s="796" t="s">
        <v>170</v>
      </c>
      <c r="J168" s="792"/>
      <c r="K168" s="805" t="s">
        <v>775</v>
      </c>
      <c r="L168" s="1776">
        <v>23174</v>
      </c>
      <c r="M168" s="805"/>
      <c r="N168" s="805"/>
      <c r="O168" s="954">
        <v>4536</v>
      </c>
      <c r="P168" s="805">
        <v>1</v>
      </c>
      <c r="Q168" s="1778">
        <f t="shared" ref="Q168:Q196" si="20">O168*P168</f>
        <v>4536</v>
      </c>
      <c r="R168" s="1777"/>
      <c r="S168" s="1778"/>
      <c r="T168" s="1727">
        <v>4536</v>
      </c>
      <c r="U168" s="1779"/>
      <c r="V168" s="805"/>
      <c r="W168" s="1777"/>
      <c r="X168" s="1780"/>
      <c r="Y168" s="1124"/>
      <c r="Z168" s="1124"/>
      <c r="AA168" s="1124"/>
      <c r="AB168" s="1124"/>
      <c r="AC168" s="1124"/>
      <c r="AD168" s="1124"/>
      <c r="AE168" s="1124"/>
      <c r="AF168" s="1124"/>
      <c r="AG168" s="1282">
        <f t="shared" ref="AG168:AG238" si="21">SUM(S168:AF168)</f>
        <v>4536</v>
      </c>
    </row>
    <row r="169" spans="1:33" ht="35.25" hidden="1" customHeight="1">
      <c r="A169" s="796">
        <v>1221</v>
      </c>
      <c r="B169" s="858" t="s">
        <v>772</v>
      </c>
      <c r="C169" s="1074" t="s">
        <v>773</v>
      </c>
      <c r="D169" s="805"/>
      <c r="E169" s="796">
        <v>10</v>
      </c>
      <c r="F169" s="1775">
        <v>43206</v>
      </c>
      <c r="G169" s="1775">
        <f t="shared" ref="G169:G174" si="22">F169+E169</f>
        <v>43216</v>
      </c>
      <c r="H169" s="805" t="s">
        <v>774</v>
      </c>
      <c r="I169" s="796" t="s">
        <v>170</v>
      </c>
      <c r="J169" s="792"/>
      <c r="K169" s="805" t="s">
        <v>776</v>
      </c>
      <c r="L169" s="1776">
        <v>23174</v>
      </c>
      <c r="M169" s="805"/>
      <c r="N169" s="805"/>
      <c r="O169" s="954">
        <v>1320</v>
      </c>
      <c r="P169" s="805">
        <v>1</v>
      </c>
      <c r="Q169" s="1778">
        <f t="shared" si="20"/>
        <v>1320</v>
      </c>
      <c r="R169" s="1777"/>
      <c r="S169" s="1778"/>
      <c r="T169" s="1727">
        <v>1320</v>
      </c>
      <c r="U169" s="1779"/>
      <c r="V169" s="805"/>
      <c r="W169" s="1777"/>
      <c r="X169" s="1781"/>
      <c r="Y169" s="1124"/>
      <c r="Z169" s="1124"/>
      <c r="AA169" s="1124"/>
      <c r="AB169" s="1124"/>
      <c r="AC169" s="1124"/>
      <c r="AD169" s="1124"/>
      <c r="AE169" s="1124"/>
      <c r="AF169" s="1124"/>
      <c r="AG169" s="1282">
        <f t="shared" si="21"/>
        <v>1320</v>
      </c>
    </row>
    <row r="170" spans="1:33" ht="35.25" hidden="1" customHeight="1">
      <c r="A170" s="796">
        <v>1221</v>
      </c>
      <c r="B170" s="858" t="s">
        <v>772</v>
      </c>
      <c r="C170" s="1074" t="s">
        <v>773</v>
      </c>
      <c r="D170" s="805"/>
      <c r="E170" s="796">
        <v>10</v>
      </c>
      <c r="F170" s="1775">
        <v>43206</v>
      </c>
      <c r="G170" s="1775">
        <f t="shared" si="22"/>
        <v>43216</v>
      </c>
      <c r="H170" s="805" t="s">
        <v>774</v>
      </c>
      <c r="I170" s="796" t="s">
        <v>170</v>
      </c>
      <c r="J170" s="792"/>
      <c r="K170" s="805" t="s">
        <v>777</v>
      </c>
      <c r="L170" s="1776">
        <v>23174</v>
      </c>
      <c r="M170" s="805"/>
      <c r="N170" s="805"/>
      <c r="O170" s="954">
        <v>260</v>
      </c>
      <c r="P170" s="805">
        <v>1</v>
      </c>
      <c r="Q170" s="1778">
        <f t="shared" si="20"/>
        <v>260</v>
      </c>
      <c r="R170" s="1777"/>
      <c r="S170" s="1778"/>
      <c r="T170" s="1727">
        <v>260</v>
      </c>
      <c r="U170" s="1779"/>
      <c r="V170" s="805"/>
      <c r="W170" s="1777"/>
      <c r="X170" s="1781"/>
      <c r="Y170" s="1124"/>
      <c r="Z170" s="1124"/>
      <c r="AA170" s="1124"/>
      <c r="AB170" s="1124"/>
      <c r="AC170" s="1124"/>
      <c r="AD170" s="1124"/>
      <c r="AE170" s="1124"/>
      <c r="AF170" s="1124"/>
      <c r="AG170" s="1282">
        <f t="shared" si="21"/>
        <v>260</v>
      </c>
    </row>
    <row r="171" spans="1:33" ht="35.25" hidden="1" customHeight="1">
      <c r="A171" s="796">
        <v>1221</v>
      </c>
      <c r="B171" s="858" t="s">
        <v>772</v>
      </c>
      <c r="C171" s="1074" t="s">
        <v>773</v>
      </c>
      <c r="D171" s="805"/>
      <c r="E171" s="796">
        <v>10</v>
      </c>
      <c r="F171" s="1775">
        <v>43206</v>
      </c>
      <c r="G171" s="1775">
        <f t="shared" si="22"/>
        <v>43216</v>
      </c>
      <c r="H171" s="805" t="s">
        <v>774</v>
      </c>
      <c r="I171" s="796" t="s">
        <v>170</v>
      </c>
      <c r="J171" s="792"/>
      <c r="K171" s="805" t="s">
        <v>778</v>
      </c>
      <c r="L171" s="1776">
        <v>23174</v>
      </c>
      <c r="M171" s="805"/>
      <c r="N171" s="805"/>
      <c r="O171" s="954">
        <v>4573.333333333333</v>
      </c>
      <c r="P171" s="805">
        <v>1</v>
      </c>
      <c r="Q171" s="1778">
        <f t="shared" si="20"/>
        <v>4573.333333333333</v>
      </c>
      <c r="R171" s="1777"/>
      <c r="S171" s="1778"/>
      <c r="T171" s="954">
        <v>4573.333333333333</v>
      </c>
      <c r="U171" s="1779"/>
      <c r="V171" s="805"/>
      <c r="W171" s="1777"/>
      <c r="X171" s="1781"/>
      <c r="Y171" s="1124"/>
      <c r="Z171" s="1124"/>
      <c r="AA171" s="1124"/>
      <c r="AB171" s="1124"/>
      <c r="AC171" s="1124"/>
      <c r="AD171" s="1124"/>
      <c r="AE171" s="1124"/>
      <c r="AF171" s="1124"/>
      <c r="AG171" s="1282">
        <f t="shared" si="21"/>
        <v>4573.333333333333</v>
      </c>
    </row>
    <row r="172" spans="1:33" ht="35.25" hidden="1" customHeight="1">
      <c r="A172" s="796">
        <v>1221</v>
      </c>
      <c r="B172" s="858" t="s">
        <v>772</v>
      </c>
      <c r="C172" s="1074" t="s">
        <v>773</v>
      </c>
      <c r="D172" s="805"/>
      <c r="E172" s="796">
        <v>10</v>
      </c>
      <c r="F172" s="1775">
        <v>43206</v>
      </c>
      <c r="G172" s="1775">
        <f t="shared" si="22"/>
        <v>43216</v>
      </c>
      <c r="H172" s="805" t="s">
        <v>774</v>
      </c>
      <c r="I172" s="796" t="s">
        <v>170</v>
      </c>
      <c r="J172" s="792"/>
      <c r="K172" s="805" t="s">
        <v>779</v>
      </c>
      <c r="L172" s="1776">
        <v>23174</v>
      </c>
      <c r="M172" s="805"/>
      <c r="N172" s="805"/>
      <c r="O172" s="954">
        <v>153.33333333333334</v>
      </c>
      <c r="P172" s="805">
        <v>1</v>
      </c>
      <c r="Q172" s="1778">
        <f t="shared" si="20"/>
        <v>153.33333333333334</v>
      </c>
      <c r="R172" s="1777"/>
      <c r="S172" s="1778"/>
      <c r="T172" s="1727">
        <v>153.33333333333334</v>
      </c>
      <c r="U172" s="1779"/>
      <c r="V172" s="805"/>
      <c r="W172" s="1777"/>
      <c r="X172" s="1781"/>
      <c r="Y172" s="1124"/>
      <c r="Z172" s="1124"/>
      <c r="AA172" s="1124"/>
      <c r="AB172" s="1124"/>
      <c r="AC172" s="1124"/>
      <c r="AD172" s="1124"/>
      <c r="AE172" s="1124"/>
      <c r="AF172" s="1124"/>
      <c r="AG172" s="1282">
        <f t="shared" si="21"/>
        <v>153.33333333333334</v>
      </c>
    </row>
    <row r="173" spans="1:33" ht="35.25" hidden="1" customHeight="1">
      <c r="A173" s="796">
        <v>1221</v>
      </c>
      <c r="B173" s="858" t="s">
        <v>772</v>
      </c>
      <c r="C173" s="1074" t="s">
        <v>773</v>
      </c>
      <c r="D173" s="805"/>
      <c r="E173" s="796">
        <v>10</v>
      </c>
      <c r="F173" s="1775">
        <v>43206</v>
      </c>
      <c r="G173" s="1775">
        <f t="shared" si="22"/>
        <v>43216</v>
      </c>
      <c r="H173" s="805" t="s">
        <v>774</v>
      </c>
      <c r="I173" s="796" t="s">
        <v>170</v>
      </c>
      <c r="J173" s="792"/>
      <c r="K173" s="805" t="s">
        <v>780</v>
      </c>
      <c r="L173" s="1776">
        <v>23174</v>
      </c>
      <c r="M173" s="805"/>
      <c r="N173" s="805"/>
      <c r="O173" s="954">
        <v>238</v>
      </c>
      <c r="P173" s="805">
        <v>1</v>
      </c>
      <c r="Q173" s="1778">
        <f t="shared" si="20"/>
        <v>238</v>
      </c>
      <c r="R173" s="1777"/>
      <c r="S173" s="1778"/>
      <c r="T173" s="1727">
        <v>238</v>
      </c>
      <c r="U173" s="1779"/>
      <c r="V173" s="805"/>
      <c r="W173" s="1777"/>
      <c r="X173" s="1781"/>
      <c r="Y173" s="1124"/>
      <c r="Z173" s="1124"/>
      <c r="AA173" s="1124"/>
      <c r="AB173" s="1124"/>
      <c r="AC173" s="1124"/>
      <c r="AD173" s="1124"/>
      <c r="AE173" s="1124"/>
      <c r="AF173" s="1124"/>
      <c r="AG173" s="1282">
        <f t="shared" si="21"/>
        <v>238</v>
      </c>
    </row>
    <row r="174" spans="1:33" ht="35.25" hidden="1" customHeight="1">
      <c r="A174" s="796">
        <v>1221</v>
      </c>
      <c r="B174" s="858" t="s">
        <v>772</v>
      </c>
      <c r="C174" s="1074" t="s">
        <v>773</v>
      </c>
      <c r="D174" s="805"/>
      <c r="E174" s="796">
        <v>10</v>
      </c>
      <c r="F174" s="1775">
        <v>43206</v>
      </c>
      <c r="G174" s="1775">
        <f t="shared" si="22"/>
        <v>43216</v>
      </c>
      <c r="H174" s="805" t="s">
        <v>774</v>
      </c>
      <c r="I174" s="796" t="s">
        <v>170</v>
      </c>
      <c r="J174" s="792"/>
      <c r="K174" s="805" t="s">
        <v>781</v>
      </c>
      <c r="L174" s="1776">
        <v>23174</v>
      </c>
      <c r="M174" s="805"/>
      <c r="N174" s="805"/>
      <c r="O174" s="954">
        <v>594.73333333333335</v>
      </c>
      <c r="P174" s="805">
        <v>1</v>
      </c>
      <c r="Q174" s="1778">
        <f t="shared" si="20"/>
        <v>594.73333333333335</v>
      </c>
      <c r="R174" s="1777"/>
      <c r="S174" s="1778"/>
      <c r="T174" s="1727">
        <v>594.73333333333335</v>
      </c>
      <c r="U174" s="1779"/>
      <c r="V174" s="805"/>
      <c r="W174" s="1777"/>
      <c r="X174" s="1781"/>
      <c r="Y174" s="1124"/>
      <c r="Z174" s="1124"/>
      <c r="AA174" s="1124"/>
      <c r="AB174" s="1124"/>
      <c r="AC174" s="1124"/>
      <c r="AD174" s="1124"/>
      <c r="AE174" s="1124"/>
      <c r="AF174" s="1124"/>
      <c r="AG174" s="1282">
        <f t="shared" si="21"/>
        <v>594.73333333333335</v>
      </c>
    </row>
    <row r="175" spans="1:33" ht="35.25" hidden="1" customHeight="1">
      <c r="A175" s="796">
        <v>1221</v>
      </c>
      <c r="B175" s="858" t="s">
        <v>772</v>
      </c>
      <c r="C175" s="1074" t="s">
        <v>773</v>
      </c>
      <c r="D175" s="805"/>
      <c r="E175" s="796"/>
      <c r="F175" s="1775"/>
      <c r="G175" s="1775"/>
      <c r="H175" s="805" t="s">
        <v>774</v>
      </c>
      <c r="I175" s="796" t="s">
        <v>170</v>
      </c>
      <c r="J175" s="792"/>
      <c r="K175" s="1292" t="s">
        <v>782</v>
      </c>
      <c r="L175" s="1776">
        <v>23173</v>
      </c>
      <c r="M175" s="805"/>
      <c r="N175" s="805"/>
      <c r="O175" s="954">
        <v>74.332999999999998</v>
      </c>
      <c r="P175" s="805">
        <v>1</v>
      </c>
      <c r="Q175" s="1778">
        <f t="shared" si="20"/>
        <v>74.332999999999998</v>
      </c>
      <c r="R175" s="1777"/>
      <c r="S175" s="1778"/>
      <c r="T175" s="1727">
        <v>74.332999999999998</v>
      </c>
      <c r="U175" s="1779"/>
      <c r="V175" s="805"/>
      <c r="W175" s="1777"/>
      <c r="X175" s="1781"/>
      <c r="Y175" s="1124"/>
      <c r="Z175" s="1124"/>
      <c r="AA175" s="1124"/>
      <c r="AB175" s="1124"/>
      <c r="AC175" s="1124"/>
      <c r="AD175" s="1124"/>
      <c r="AE175" s="1124"/>
      <c r="AF175" s="1124"/>
      <c r="AG175" s="1282">
        <f t="shared" si="21"/>
        <v>74.332999999999998</v>
      </c>
    </row>
    <row r="176" spans="1:33" ht="35.25" hidden="1" customHeight="1">
      <c r="A176" s="796">
        <v>1221</v>
      </c>
      <c r="B176" s="858" t="s">
        <v>772</v>
      </c>
      <c r="C176" s="1074" t="s">
        <v>773</v>
      </c>
      <c r="D176" s="805"/>
      <c r="E176" s="796"/>
      <c r="F176" s="1782"/>
      <c r="G176" s="1782"/>
      <c r="H176" s="805" t="s">
        <v>774</v>
      </c>
      <c r="I176" s="796" t="s">
        <v>170</v>
      </c>
      <c r="J176" s="792"/>
      <c r="K176" s="805" t="s">
        <v>415</v>
      </c>
      <c r="L176" s="1776">
        <v>23173</v>
      </c>
      <c r="M176" s="805"/>
      <c r="N176" s="805"/>
      <c r="O176" s="954">
        <v>1666.6666666666667</v>
      </c>
      <c r="P176" s="805">
        <v>1</v>
      </c>
      <c r="Q176" s="1778">
        <f t="shared" si="20"/>
        <v>1666.6666666666667</v>
      </c>
      <c r="R176" s="1777"/>
      <c r="S176" s="1778"/>
      <c r="T176" s="1727">
        <v>1666.6666666666667</v>
      </c>
      <c r="U176" s="1779"/>
      <c r="V176" s="805"/>
      <c r="W176" s="1777"/>
      <c r="X176" s="1781"/>
      <c r="Y176" s="1124"/>
      <c r="Z176" s="1124"/>
      <c r="AA176" s="1124"/>
      <c r="AB176" s="1124"/>
      <c r="AC176" s="1124"/>
      <c r="AD176" s="1124"/>
      <c r="AE176" s="1124"/>
      <c r="AF176" s="1124"/>
      <c r="AG176" s="1282">
        <f t="shared" si="21"/>
        <v>1666.6666666666667</v>
      </c>
    </row>
    <row r="177" spans="1:33" ht="35.25" hidden="1" customHeight="1">
      <c r="A177" s="2745">
        <v>1222</v>
      </c>
      <c r="B177" s="2748" t="s">
        <v>783</v>
      </c>
      <c r="C177" s="2779" t="s">
        <v>784</v>
      </c>
      <c r="D177" s="2780"/>
      <c r="E177" s="2745">
        <v>10</v>
      </c>
      <c r="F177" s="2781">
        <v>43227</v>
      </c>
      <c r="G177" s="2781">
        <f>F177+E177</f>
        <v>43237</v>
      </c>
      <c r="H177" s="2780" t="s">
        <v>785</v>
      </c>
      <c r="I177" s="1703"/>
      <c r="J177" s="2782"/>
      <c r="K177" s="1124"/>
      <c r="L177" s="2783"/>
      <c r="M177" s="1124"/>
      <c r="N177" s="1124"/>
      <c r="O177" s="1144"/>
      <c r="P177" s="1124"/>
      <c r="Q177" s="2714"/>
      <c r="R177" s="1199"/>
      <c r="S177" s="2714"/>
      <c r="T177" s="2743"/>
      <c r="U177" s="1743"/>
      <c r="V177" s="1124"/>
      <c r="W177" s="1199"/>
      <c r="X177" s="2784"/>
      <c r="Y177" s="1124"/>
      <c r="Z177" s="1124"/>
      <c r="AA177" s="1124"/>
      <c r="AB177" s="1124"/>
      <c r="AC177" s="1124"/>
      <c r="AD177" s="1124"/>
      <c r="AE177" s="1124"/>
      <c r="AF177" s="1124"/>
      <c r="AG177" s="1343"/>
    </row>
    <row r="178" spans="1:33" ht="35.25" hidden="1" customHeight="1">
      <c r="A178" s="796">
        <v>1222</v>
      </c>
      <c r="B178" s="793" t="s">
        <v>783</v>
      </c>
      <c r="C178" s="857" t="s">
        <v>784</v>
      </c>
      <c r="D178" s="805"/>
      <c r="E178" s="796">
        <v>10</v>
      </c>
      <c r="F178" s="1775">
        <v>43227</v>
      </c>
      <c r="G178" s="1775">
        <f>F178+E178</f>
        <v>43237</v>
      </c>
      <c r="H178" s="805" t="s">
        <v>785</v>
      </c>
      <c r="I178" s="796" t="s">
        <v>170</v>
      </c>
      <c r="J178" s="792"/>
      <c r="K178" s="805" t="s">
        <v>775</v>
      </c>
      <c r="L178" s="1776">
        <v>23174</v>
      </c>
      <c r="M178" s="805"/>
      <c r="N178" s="805"/>
      <c r="O178" s="954">
        <v>4956</v>
      </c>
      <c r="P178" s="805">
        <v>1</v>
      </c>
      <c r="Q178" s="1778">
        <f t="shared" si="20"/>
        <v>4956</v>
      </c>
      <c r="R178" s="1777"/>
      <c r="S178" s="1778"/>
      <c r="T178" s="1778"/>
      <c r="U178" s="954">
        <v>4956</v>
      </c>
      <c r="V178" s="805"/>
      <c r="W178" s="805"/>
      <c r="X178" s="1781"/>
      <c r="Y178" s="1124"/>
      <c r="Z178" s="1124"/>
      <c r="AA178" s="1124"/>
      <c r="AB178" s="1124"/>
      <c r="AC178" s="1124"/>
      <c r="AD178" s="1124"/>
      <c r="AE178" s="1124"/>
      <c r="AF178" s="1124"/>
      <c r="AG178" s="1282">
        <f t="shared" si="21"/>
        <v>4956</v>
      </c>
    </row>
    <row r="179" spans="1:33" ht="35.25" hidden="1" customHeight="1">
      <c r="A179" s="796">
        <v>1222</v>
      </c>
      <c r="B179" s="793" t="s">
        <v>783</v>
      </c>
      <c r="C179" s="857" t="s">
        <v>784</v>
      </c>
      <c r="D179" s="805"/>
      <c r="E179" s="796">
        <v>10</v>
      </c>
      <c r="F179" s="1775">
        <v>43227</v>
      </c>
      <c r="G179" s="1775">
        <f t="shared" ref="G179:G184" si="23">F179+E179</f>
        <v>43237</v>
      </c>
      <c r="H179" s="805" t="s">
        <v>785</v>
      </c>
      <c r="I179" s="796" t="s">
        <v>170</v>
      </c>
      <c r="J179" s="792"/>
      <c r="K179" s="805" t="s">
        <v>777</v>
      </c>
      <c r="L179" s="1776">
        <v>23174</v>
      </c>
      <c r="M179" s="805"/>
      <c r="N179" s="805"/>
      <c r="O179" s="954">
        <v>290</v>
      </c>
      <c r="P179" s="805">
        <v>1</v>
      </c>
      <c r="Q179" s="1778">
        <f t="shared" si="20"/>
        <v>290</v>
      </c>
      <c r="R179" s="1777"/>
      <c r="S179" s="1778"/>
      <c r="T179" s="1778"/>
      <c r="U179" s="954">
        <v>290</v>
      </c>
      <c r="V179" s="805"/>
      <c r="W179" s="805"/>
      <c r="X179" s="1781"/>
      <c r="Y179" s="1124"/>
      <c r="Z179" s="1124"/>
      <c r="AA179" s="1124"/>
      <c r="AB179" s="1124"/>
      <c r="AC179" s="1124"/>
      <c r="AD179" s="1124"/>
      <c r="AE179" s="1124"/>
      <c r="AF179" s="1124"/>
      <c r="AG179" s="1282">
        <f t="shared" si="21"/>
        <v>290</v>
      </c>
    </row>
    <row r="180" spans="1:33" ht="35.25" hidden="1" customHeight="1">
      <c r="A180" s="796">
        <v>1222</v>
      </c>
      <c r="B180" s="793" t="s">
        <v>783</v>
      </c>
      <c r="C180" s="857" t="s">
        <v>784</v>
      </c>
      <c r="D180" s="805"/>
      <c r="E180" s="796">
        <v>10</v>
      </c>
      <c r="F180" s="1775">
        <v>43227</v>
      </c>
      <c r="G180" s="1775">
        <f t="shared" si="23"/>
        <v>43237</v>
      </c>
      <c r="H180" s="805" t="s">
        <v>785</v>
      </c>
      <c r="I180" s="796" t="s">
        <v>170</v>
      </c>
      <c r="J180" s="792"/>
      <c r="K180" s="805" t="s">
        <v>776</v>
      </c>
      <c r="L180" s="1776">
        <v>23174</v>
      </c>
      <c r="M180" s="805"/>
      <c r="N180" s="805"/>
      <c r="O180" s="954">
        <v>1440</v>
      </c>
      <c r="P180" s="805">
        <v>1</v>
      </c>
      <c r="Q180" s="1778">
        <f t="shared" si="20"/>
        <v>1440</v>
      </c>
      <c r="R180" s="1777"/>
      <c r="S180" s="1778"/>
      <c r="T180" s="1778"/>
      <c r="U180" s="954">
        <v>1440</v>
      </c>
      <c r="V180" s="805"/>
      <c r="W180" s="805"/>
      <c r="X180" s="1781"/>
      <c r="Y180" s="1124"/>
      <c r="Z180" s="1124"/>
      <c r="AA180" s="1124"/>
      <c r="AB180" s="1124"/>
      <c r="AC180" s="1124"/>
      <c r="AD180" s="1124"/>
      <c r="AE180" s="1124"/>
      <c r="AF180" s="1124"/>
      <c r="AG180" s="1282">
        <f t="shared" si="21"/>
        <v>1440</v>
      </c>
    </row>
    <row r="181" spans="1:33" ht="35.25" hidden="1" customHeight="1">
      <c r="A181" s="796">
        <v>1222</v>
      </c>
      <c r="B181" s="793" t="s">
        <v>783</v>
      </c>
      <c r="C181" s="857" t="s">
        <v>784</v>
      </c>
      <c r="D181" s="805"/>
      <c r="E181" s="796">
        <v>10</v>
      </c>
      <c r="F181" s="1775">
        <v>43227</v>
      </c>
      <c r="G181" s="1775">
        <f t="shared" si="23"/>
        <v>43237</v>
      </c>
      <c r="H181" s="805" t="s">
        <v>785</v>
      </c>
      <c r="I181" s="796" t="s">
        <v>170</v>
      </c>
      <c r="J181" s="792"/>
      <c r="K181" s="805" t="s">
        <v>778</v>
      </c>
      <c r="L181" s="1776">
        <v>23174</v>
      </c>
      <c r="M181" s="805"/>
      <c r="N181" s="805"/>
      <c r="O181" s="954">
        <v>5040</v>
      </c>
      <c r="P181" s="805">
        <v>1</v>
      </c>
      <c r="Q181" s="1778">
        <f t="shared" si="20"/>
        <v>5040</v>
      </c>
      <c r="R181" s="1777"/>
      <c r="S181" s="1778"/>
      <c r="T181" s="1778"/>
      <c r="U181" s="954">
        <v>5040</v>
      </c>
      <c r="V181" s="805"/>
      <c r="W181" s="805"/>
      <c r="X181" s="1781"/>
      <c r="Y181" s="1124"/>
      <c r="Z181" s="1124"/>
      <c r="AA181" s="1124"/>
      <c r="AB181" s="1124"/>
      <c r="AC181" s="1124"/>
      <c r="AD181" s="1124"/>
      <c r="AE181" s="1124"/>
      <c r="AF181" s="1124"/>
      <c r="AG181" s="1282">
        <f t="shared" si="21"/>
        <v>5040</v>
      </c>
    </row>
    <row r="182" spans="1:33" ht="35.25" hidden="1" customHeight="1">
      <c r="A182" s="796">
        <v>1222</v>
      </c>
      <c r="B182" s="793" t="s">
        <v>783</v>
      </c>
      <c r="C182" s="857" t="s">
        <v>784</v>
      </c>
      <c r="D182" s="805"/>
      <c r="E182" s="796">
        <v>10</v>
      </c>
      <c r="F182" s="1775">
        <v>43227</v>
      </c>
      <c r="G182" s="1775">
        <f t="shared" si="23"/>
        <v>43237</v>
      </c>
      <c r="H182" s="805" t="s">
        <v>785</v>
      </c>
      <c r="I182" s="796" t="s">
        <v>170</v>
      </c>
      <c r="J182" s="792"/>
      <c r="K182" s="805" t="s">
        <v>779</v>
      </c>
      <c r="L182" s="1776">
        <v>23174</v>
      </c>
      <c r="M182" s="805"/>
      <c r="N182" s="805"/>
      <c r="O182" s="954">
        <v>173.33333333333334</v>
      </c>
      <c r="P182" s="805">
        <v>1</v>
      </c>
      <c r="Q182" s="1778">
        <f t="shared" si="20"/>
        <v>173.33333333333334</v>
      </c>
      <c r="R182" s="1777"/>
      <c r="S182" s="1778"/>
      <c r="T182" s="1778"/>
      <c r="U182" s="954">
        <v>173.33333333333334</v>
      </c>
      <c r="V182" s="805"/>
      <c r="W182" s="805"/>
      <c r="X182" s="1781"/>
      <c r="Y182" s="1124"/>
      <c r="Z182" s="1124"/>
      <c r="AA182" s="1124"/>
      <c r="AB182" s="1124"/>
      <c r="AC182" s="1124"/>
      <c r="AD182" s="1124"/>
      <c r="AE182" s="1124"/>
      <c r="AF182" s="1124"/>
      <c r="AG182" s="1282">
        <f t="shared" si="21"/>
        <v>173.33333333333334</v>
      </c>
    </row>
    <row r="183" spans="1:33" ht="35.25" hidden="1" customHeight="1">
      <c r="A183" s="796">
        <v>1222</v>
      </c>
      <c r="B183" s="793" t="s">
        <v>783</v>
      </c>
      <c r="C183" s="857" t="s">
        <v>784</v>
      </c>
      <c r="D183" s="805"/>
      <c r="E183" s="796">
        <v>10</v>
      </c>
      <c r="F183" s="1775">
        <v>43227</v>
      </c>
      <c r="G183" s="1775">
        <f t="shared" si="23"/>
        <v>43237</v>
      </c>
      <c r="H183" s="805" t="s">
        <v>785</v>
      </c>
      <c r="I183" s="796" t="s">
        <v>170</v>
      </c>
      <c r="J183" s="792"/>
      <c r="K183" s="805" t="s">
        <v>780</v>
      </c>
      <c r="L183" s="1776">
        <v>23174</v>
      </c>
      <c r="M183" s="805"/>
      <c r="N183" s="805"/>
      <c r="O183" s="954">
        <v>816</v>
      </c>
      <c r="P183" s="805">
        <v>1</v>
      </c>
      <c r="Q183" s="1778">
        <f t="shared" si="20"/>
        <v>816</v>
      </c>
      <c r="R183" s="1777"/>
      <c r="S183" s="1778"/>
      <c r="T183" s="1778"/>
      <c r="U183" s="954">
        <v>816</v>
      </c>
      <c r="V183" s="805"/>
      <c r="W183" s="805"/>
      <c r="X183" s="1781"/>
      <c r="Y183" s="1124"/>
      <c r="Z183" s="1124"/>
      <c r="AA183" s="1124"/>
      <c r="AB183" s="1124"/>
      <c r="AC183" s="1124"/>
      <c r="AD183" s="1124"/>
      <c r="AE183" s="1124"/>
      <c r="AF183" s="1124"/>
      <c r="AG183" s="1282">
        <f t="shared" si="21"/>
        <v>816</v>
      </c>
    </row>
    <row r="184" spans="1:33" ht="35.25" hidden="1" customHeight="1">
      <c r="A184" s="796">
        <v>1222</v>
      </c>
      <c r="B184" s="793" t="s">
        <v>783</v>
      </c>
      <c r="C184" s="857" t="s">
        <v>784</v>
      </c>
      <c r="D184" s="805"/>
      <c r="E184" s="796">
        <v>10</v>
      </c>
      <c r="F184" s="1775">
        <v>43227</v>
      </c>
      <c r="G184" s="1775">
        <f t="shared" si="23"/>
        <v>43237</v>
      </c>
      <c r="H184" s="805" t="s">
        <v>785</v>
      </c>
      <c r="I184" s="796" t="s">
        <v>170</v>
      </c>
      <c r="J184" s="792"/>
      <c r="K184" s="805" t="s">
        <v>781</v>
      </c>
      <c r="L184" s="1776">
        <v>23174</v>
      </c>
      <c r="M184" s="805"/>
      <c r="N184" s="805"/>
      <c r="O184" s="954">
        <v>1301.6666666666667</v>
      </c>
      <c r="P184" s="805">
        <v>1</v>
      </c>
      <c r="Q184" s="1778">
        <f t="shared" si="20"/>
        <v>1301.6666666666667</v>
      </c>
      <c r="R184" s="1777"/>
      <c r="S184" s="1778"/>
      <c r="T184" s="1778"/>
      <c r="U184" s="954">
        <v>1301.6666666666667</v>
      </c>
      <c r="V184" s="805"/>
      <c r="W184" s="805"/>
      <c r="X184" s="1781"/>
      <c r="Y184" s="1124"/>
      <c r="Z184" s="1124"/>
      <c r="AA184" s="1124"/>
      <c r="AB184" s="1124"/>
      <c r="AC184" s="1124"/>
      <c r="AD184" s="1124"/>
      <c r="AE184" s="1124"/>
      <c r="AF184" s="1124"/>
      <c r="AG184" s="1282">
        <f t="shared" si="21"/>
        <v>1301.6666666666667</v>
      </c>
    </row>
    <row r="185" spans="1:33" ht="35.25" hidden="1" customHeight="1">
      <c r="A185" s="796">
        <v>1222</v>
      </c>
      <c r="B185" s="793" t="s">
        <v>783</v>
      </c>
      <c r="C185" s="857" t="s">
        <v>784</v>
      </c>
      <c r="D185" s="805"/>
      <c r="E185" s="796"/>
      <c r="F185" s="1775"/>
      <c r="G185" s="1775"/>
      <c r="H185" s="805" t="s">
        <v>785</v>
      </c>
      <c r="I185" s="796" t="s">
        <v>170</v>
      </c>
      <c r="J185" s="792"/>
      <c r="K185" s="1292" t="s">
        <v>782</v>
      </c>
      <c r="L185" s="1776">
        <v>23173</v>
      </c>
      <c r="M185" s="805"/>
      <c r="N185" s="805"/>
      <c r="O185" s="954">
        <v>74.332999999999998</v>
      </c>
      <c r="P185" s="805">
        <v>1</v>
      </c>
      <c r="Q185" s="1778">
        <f t="shared" si="20"/>
        <v>74.332999999999998</v>
      </c>
      <c r="R185" s="1777"/>
      <c r="S185" s="1778"/>
      <c r="T185" s="1778"/>
      <c r="U185" s="954">
        <v>74.332999999999998</v>
      </c>
      <c r="V185" s="805"/>
      <c r="W185" s="805"/>
      <c r="X185" s="1781"/>
      <c r="Y185" s="1124"/>
      <c r="Z185" s="1124"/>
      <c r="AA185" s="1124"/>
      <c r="AB185" s="1124"/>
      <c r="AC185" s="1124"/>
      <c r="AD185" s="1124"/>
      <c r="AE185" s="1124"/>
      <c r="AF185" s="1124"/>
      <c r="AG185" s="1282">
        <f t="shared" si="21"/>
        <v>74.332999999999998</v>
      </c>
    </row>
    <row r="186" spans="1:33" ht="35.25" hidden="1" customHeight="1">
      <c r="A186" s="796">
        <v>1222</v>
      </c>
      <c r="B186" s="793" t="s">
        <v>783</v>
      </c>
      <c r="C186" s="857" t="s">
        <v>784</v>
      </c>
      <c r="D186" s="805"/>
      <c r="E186" s="796"/>
      <c r="F186" s="1775"/>
      <c r="G186" s="796"/>
      <c r="H186" s="805" t="s">
        <v>785</v>
      </c>
      <c r="I186" s="796" t="s">
        <v>170</v>
      </c>
      <c r="J186" s="792"/>
      <c r="K186" s="805" t="s">
        <v>415</v>
      </c>
      <c r="L186" s="1776">
        <v>23173</v>
      </c>
      <c r="M186" s="805"/>
      <c r="N186" s="805"/>
      <c r="O186" s="954">
        <v>1666.6666666666667</v>
      </c>
      <c r="P186" s="805">
        <v>1</v>
      </c>
      <c r="Q186" s="1778">
        <f t="shared" si="20"/>
        <v>1666.6666666666667</v>
      </c>
      <c r="R186" s="1777"/>
      <c r="S186" s="1778"/>
      <c r="T186" s="1778"/>
      <c r="U186" s="954">
        <v>1666.6666666666667</v>
      </c>
      <c r="V186" s="805"/>
      <c r="W186" s="805"/>
      <c r="X186" s="1781"/>
      <c r="Y186" s="1124"/>
      <c r="Z186" s="1124"/>
      <c r="AA186" s="1124"/>
      <c r="AB186" s="1124"/>
      <c r="AC186" s="1124"/>
      <c r="AD186" s="1124"/>
      <c r="AE186" s="1124"/>
      <c r="AF186" s="1124"/>
      <c r="AG186" s="1282">
        <f t="shared" si="21"/>
        <v>1666.6666666666667</v>
      </c>
    </row>
    <row r="187" spans="1:33" ht="35.25" hidden="1" customHeight="1">
      <c r="A187" s="2745">
        <v>1223</v>
      </c>
      <c r="B187" s="2748" t="s">
        <v>786</v>
      </c>
      <c r="C187" s="2779" t="s">
        <v>787</v>
      </c>
      <c r="D187" s="2780"/>
      <c r="E187" s="2745">
        <v>10</v>
      </c>
      <c r="F187" s="2781">
        <v>43262</v>
      </c>
      <c r="G187" s="2781">
        <f>F187+E187</f>
        <v>43272</v>
      </c>
      <c r="H187" s="2780" t="s">
        <v>785</v>
      </c>
      <c r="I187" s="2745" t="s">
        <v>170</v>
      </c>
      <c r="J187" s="2782"/>
      <c r="K187" s="1124"/>
      <c r="L187" s="2783"/>
      <c r="M187" s="1124"/>
      <c r="N187" s="1124"/>
      <c r="O187" s="1144"/>
      <c r="P187" s="1124"/>
      <c r="Q187" s="2714"/>
      <c r="R187" s="1199"/>
      <c r="S187" s="2714"/>
      <c r="T187" s="2714"/>
      <c r="U187" s="1144"/>
      <c r="V187" s="1124"/>
      <c r="W187" s="1124"/>
      <c r="X187" s="2784"/>
      <c r="Y187" s="1124"/>
      <c r="Z187" s="1124"/>
      <c r="AA187" s="1124"/>
      <c r="AB187" s="1124"/>
      <c r="AC187" s="1124"/>
      <c r="AD187" s="1124"/>
      <c r="AE187" s="1124"/>
      <c r="AF187" s="1124"/>
      <c r="AG187" s="1343"/>
    </row>
    <row r="188" spans="1:33" ht="35.25" hidden="1" customHeight="1">
      <c r="A188" s="796">
        <v>1223</v>
      </c>
      <c r="B188" s="793" t="s">
        <v>786</v>
      </c>
      <c r="C188" s="857" t="s">
        <v>787</v>
      </c>
      <c r="D188" s="805"/>
      <c r="E188" s="796">
        <v>10</v>
      </c>
      <c r="F188" s="1775">
        <v>43262</v>
      </c>
      <c r="G188" s="1775">
        <f>F188+E188</f>
        <v>43272</v>
      </c>
      <c r="H188" s="805" t="s">
        <v>785</v>
      </c>
      <c r="I188" s="796" t="s">
        <v>170</v>
      </c>
      <c r="J188" s="792"/>
      <c r="K188" s="805" t="s">
        <v>775</v>
      </c>
      <c r="L188" s="1776">
        <v>23174</v>
      </c>
      <c r="M188" s="805"/>
      <c r="N188" s="805"/>
      <c r="O188" s="954">
        <v>4956</v>
      </c>
      <c r="P188" s="805">
        <v>1</v>
      </c>
      <c r="Q188" s="1778">
        <f t="shared" si="20"/>
        <v>4956</v>
      </c>
      <c r="R188" s="1777"/>
      <c r="S188" s="1778"/>
      <c r="T188" s="1778"/>
      <c r="U188" s="954">
        <v>4956</v>
      </c>
      <c r="V188" s="805"/>
      <c r="W188" s="805"/>
      <c r="X188" s="1781"/>
      <c r="Y188" s="1124"/>
      <c r="Z188" s="1124"/>
      <c r="AA188" s="1124"/>
      <c r="AB188" s="1124"/>
      <c r="AC188" s="1124"/>
      <c r="AD188" s="1124"/>
      <c r="AE188" s="1124"/>
      <c r="AF188" s="1124"/>
      <c r="AG188" s="1282">
        <f t="shared" si="21"/>
        <v>4956</v>
      </c>
    </row>
    <row r="189" spans="1:33" ht="35.25" hidden="1" customHeight="1">
      <c r="A189" s="796">
        <v>1223</v>
      </c>
      <c r="B189" s="793" t="s">
        <v>786</v>
      </c>
      <c r="C189" s="857" t="s">
        <v>787</v>
      </c>
      <c r="D189" s="805"/>
      <c r="E189" s="796">
        <v>10</v>
      </c>
      <c r="F189" s="1775">
        <v>43262</v>
      </c>
      <c r="G189" s="1775">
        <f t="shared" ref="G189:G194" si="24">F189+E189</f>
        <v>43272</v>
      </c>
      <c r="H189" s="805" t="s">
        <v>785</v>
      </c>
      <c r="I189" s="796" t="s">
        <v>170</v>
      </c>
      <c r="J189" s="792"/>
      <c r="K189" s="805" t="s">
        <v>777</v>
      </c>
      <c r="L189" s="1776">
        <v>23174</v>
      </c>
      <c r="M189" s="805"/>
      <c r="N189" s="805"/>
      <c r="O189" s="954">
        <v>290</v>
      </c>
      <c r="P189" s="805">
        <v>1</v>
      </c>
      <c r="Q189" s="1778">
        <f t="shared" si="20"/>
        <v>290</v>
      </c>
      <c r="R189" s="1777"/>
      <c r="S189" s="1778"/>
      <c r="T189" s="1778"/>
      <c r="U189" s="954">
        <v>290</v>
      </c>
      <c r="V189" s="805"/>
      <c r="W189" s="805"/>
      <c r="X189" s="1781"/>
      <c r="Y189" s="1124"/>
      <c r="Z189" s="1124"/>
      <c r="AA189" s="1124"/>
      <c r="AB189" s="1124"/>
      <c r="AC189" s="1124"/>
      <c r="AD189" s="1124"/>
      <c r="AE189" s="1124"/>
      <c r="AF189" s="1124"/>
      <c r="AG189" s="1282">
        <f t="shared" si="21"/>
        <v>290</v>
      </c>
    </row>
    <row r="190" spans="1:33" ht="35.25" hidden="1" customHeight="1">
      <c r="A190" s="796">
        <v>1223</v>
      </c>
      <c r="B190" s="793" t="s">
        <v>786</v>
      </c>
      <c r="C190" s="857" t="s">
        <v>787</v>
      </c>
      <c r="D190" s="805"/>
      <c r="E190" s="796">
        <v>10</v>
      </c>
      <c r="F190" s="1775">
        <v>43262</v>
      </c>
      <c r="G190" s="1775">
        <f t="shared" si="24"/>
        <v>43272</v>
      </c>
      <c r="H190" s="805" t="s">
        <v>785</v>
      </c>
      <c r="I190" s="796" t="s">
        <v>170</v>
      </c>
      <c r="J190" s="792"/>
      <c r="K190" s="805" t="s">
        <v>776</v>
      </c>
      <c r="L190" s="1776">
        <v>23174</v>
      </c>
      <c r="M190" s="805"/>
      <c r="N190" s="805"/>
      <c r="O190" s="954">
        <v>1440</v>
      </c>
      <c r="P190" s="805">
        <v>1</v>
      </c>
      <c r="Q190" s="1778">
        <f t="shared" si="20"/>
        <v>1440</v>
      </c>
      <c r="R190" s="1777"/>
      <c r="S190" s="1778"/>
      <c r="T190" s="1778"/>
      <c r="U190" s="954">
        <v>1440</v>
      </c>
      <c r="V190" s="805"/>
      <c r="W190" s="805"/>
      <c r="X190" s="1781"/>
      <c r="Y190" s="1124"/>
      <c r="Z190" s="1124"/>
      <c r="AA190" s="1124"/>
      <c r="AB190" s="1124"/>
      <c r="AC190" s="1124"/>
      <c r="AD190" s="1124"/>
      <c r="AE190" s="1124"/>
      <c r="AF190" s="1124"/>
      <c r="AG190" s="1282">
        <f t="shared" si="21"/>
        <v>1440</v>
      </c>
    </row>
    <row r="191" spans="1:33" ht="35.25" hidden="1" customHeight="1">
      <c r="A191" s="796">
        <v>1223</v>
      </c>
      <c r="B191" s="793" t="s">
        <v>786</v>
      </c>
      <c r="C191" s="857" t="s">
        <v>787</v>
      </c>
      <c r="D191" s="805"/>
      <c r="E191" s="796">
        <v>10</v>
      </c>
      <c r="F191" s="1775">
        <v>43262</v>
      </c>
      <c r="G191" s="1775">
        <f t="shared" si="24"/>
        <v>43272</v>
      </c>
      <c r="H191" s="805" t="s">
        <v>785</v>
      </c>
      <c r="I191" s="796" t="s">
        <v>170</v>
      </c>
      <c r="J191" s="792"/>
      <c r="K191" s="805" t="s">
        <v>778</v>
      </c>
      <c r="L191" s="1776">
        <v>23174</v>
      </c>
      <c r="M191" s="805"/>
      <c r="N191" s="805"/>
      <c r="O191" s="954">
        <v>5040</v>
      </c>
      <c r="P191" s="805">
        <v>1</v>
      </c>
      <c r="Q191" s="1778">
        <f t="shared" si="20"/>
        <v>5040</v>
      </c>
      <c r="R191" s="1777"/>
      <c r="S191" s="1778"/>
      <c r="T191" s="1778"/>
      <c r="U191" s="954">
        <v>5040</v>
      </c>
      <c r="V191" s="805"/>
      <c r="W191" s="805"/>
      <c r="X191" s="1781"/>
      <c r="Y191" s="1124"/>
      <c r="Z191" s="1124"/>
      <c r="AA191" s="1124"/>
      <c r="AB191" s="1124"/>
      <c r="AC191" s="1124"/>
      <c r="AD191" s="1124"/>
      <c r="AE191" s="1124"/>
      <c r="AF191" s="1124"/>
      <c r="AG191" s="1282">
        <f t="shared" si="21"/>
        <v>5040</v>
      </c>
    </row>
    <row r="192" spans="1:33" ht="35.25" hidden="1" customHeight="1">
      <c r="A192" s="796">
        <v>1223</v>
      </c>
      <c r="B192" s="793" t="s">
        <v>786</v>
      </c>
      <c r="C192" s="857" t="s">
        <v>787</v>
      </c>
      <c r="D192" s="805"/>
      <c r="E192" s="796">
        <v>10</v>
      </c>
      <c r="F192" s="1775">
        <v>43262</v>
      </c>
      <c r="G192" s="1775">
        <f t="shared" si="24"/>
        <v>43272</v>
      </c>
      <c r="H192" s="805" t="s">
        <v>785</v>
      </c>
      <c r="I192" s="796" t="s">
        <v>170</v>
      </c>
      <c r="J192" s="792"/>
      <c r="K192" s="805" t="s">
        <v>779</v>
      </c>
      <c r="L192" s="1776">
        <v>23174</v>
      </c>
      <c r="M192" s="805"/>
      <c r="N192" s="805"/>
      <c r="O192" s="954">
        <v>173.33333333333334</v>
      </c>
      <c r="P192" s="805">
        <v>1</v>
      </c>
      <c r="Q192" s="1778">
        <f t="shared" si="20"/>
        <v>173.33333333333334</v>
      </c>
      <c r="R192" s="1777"/>
      <c r="S192" s="1778"/>
      <c r="T192" s="1778"/>
      <c r="U192" s="954">
        <v>173.33333333333334</v>
      </c>
      <c r="V192" s="805"/>
      <c r="W192" s="805"/>
      <c r="X192" s="1781"/>
      <c r="Y192" s="1124"/>
      <c r="Z192" s="1124"/>
      <c r="AA192" s="1124"/>
      <c r="AB192" s="1124"/>
      <c r="AC192" s="1124"/>
      <c r="AD192" s="1124"/>
      <c r="AE192" s="1124"/>
      <c r="AF192" s="1124"/>
      <c r="AG192" s="1282">
        <f t="shared" si="21"/>
        <v>173.33333333333334</v>
      </c>
    </row>
    <row r="193" spans="1:33" ht="35.25" hidden="1" customHeight="1">
      <c r="A193" s="796">
        <v>1223</v>
      </c>
      <c r="B193" s="793" t="s">
        <v>786</v>
      </c>
      <c r="C193" s="857" t="s">
        <v>787</v>
      </c>
      <c r="D193" s="805"/>
      <c r="E193" s="796">
        <v>10</v>
      </c>
      <c r="F193" s="1775">
        <v>43262</v>
      </c>
      <c r="G193" s="1775">
        <f t="shared" si="24"/>
        <v>43272</v>
      </c>
      <c r="H193" s="805" t="s">
        <v>785</v>
      </c>
      <c r="I193" s="796" t="s">
        <v>170</v>
      </c>
      <c r="J193" s="792"/>
      <c r="K193" s="805" t="s">
        <v>780</v>
      </c>
      <c r="L193" s="1776">
        <v>23174</v>
      </c>
      <c r="M193" s="805"/>
      <c r="N193" s="805"/>
      <c r="O193" s="954">
        <v>816</v>
      </c>
      <c r="P193" s="805">
        <v>1</v>
      </c>
      <c r="Q193" s="1778">
        <f t="shared" si="20"/>
        <v>816</v>
      </c>
      <c r="R193" s="1777"/>
      <c r="S193" s="1778"/>
      <c r="T193" s="1778"/>
      <c r="U193" s="954">
        <v>816</v>
      </c>
      <c r="V193" s="805"/>
      <c r="W193" s="805"/>
      <c r="X193" s="1781"/>
      <c r="Y193" s="1124"/>
      <c r="Z193" s="1124"/>
      <c r="AA193" s="1124"/>
      <c r="AB193" s="1124"/>
      <c r="AC193" s="1124"/>
      <c r="AD193" s="1124"/>
      <c r="AE193" s="1124"/>
      <c r="AF193" s="1124"/>
      <c r="AG193" s="1282">
        <f t="shared" si="21"/>
        <v>816</v>
      </c>
    </row>
    <row r="194" spans="1:33" ht="35.25" hidden="1" customHeight="1">
      <c r="A194" s="796">
        <v>1223</v>
      </c>
      <c r="B194" s="793" t="s">
        <v>786</v>
      </c>
      <c r="C194" s="857" t="s">
        <v>787</v>
      </c>
      <c r="D194" s="805"/>
      <c r="E194" s="796">
        <v>10</v>
      </c>
      <c r="F194" s="1775">
        <v>43262</v>
      </c>
      <c r="G194" s="1775">
        <f t="shared" si="24"/>
        <v>43272</v>
      </c>
      <c r="H194" s="805" t="s">
        <v>785</v>
      </c>
      <c r="I194" s="796" t="s">
        <v>170</v>
      </c>
      <c r="J194" s="792"/>
      <c r="K194" s="805" t="s">
        <v>781</v>
      </c>
      <c r="L194" s="1776">
        <v>23174</v>
      </c>
      <c r="M194" s="805"/>
      <c r="N194" s="805"/>
      <c r="O194" s="954">
        <v>1301.6666666666667</v>
      </c>
      <c r="P194" s="805">
        <v>1</v>
      </c>
      <c r="Q194" s="1778">
        <f t="shared" si="20"/>
        <v>1301.6666666666667</v>
      </c>
      <c r="R194" s="1777"/>
      <c r="S194" s="1778"/>
      <c r="T194" s="1778"/>
      <c r="U194" s="954">
        <v>1301.6666666666667</v>
      </c>
      <c r="V194" s="805"/>
      <c r="W194" s="805"/>
      <c r="X194" s="1781"/>
      <c r="Y194" s="1124"/>
      <c r="Z194" s="1124"/>
      <c r="AA194" s="1124"/>
      <c r="AB194" s="1124"/>
      <c r="AC194" s="1124"/>
      <c r="AD194" s="1124"/>
      <c r="AE194" s="1124"/>
      <c r="AF194" s="1124"/>
      <c r="AG194" s="1282">
        <f t="shared" si="21"/>
        <v>1301.6666666666667</v>
      </c>
    </row>
    <row r="195" spans="1:33" ht="35.25" hidden="1" customHeight="1">
      <c r="A195" s="796">
        <v>1223</v>
      </c>
      <c r="B195" s="793" t="s">
        <v>786</v>
      </c>
      <c r="C195" s="857" t="s">
        <v>787</v>
      </c>
      <c r="D195" s="805"/>
      <c r="E195" s="796"/>
      <c r="F195" s="1775"/>
      <c r="G195" s="1775"/>
      <c r="H195" s="805" t="s">
        <v>785</v>
      </c>
      <c r="I195" s="796" t="s">
        <v>170</v>
      </c>
      <c r="J195" s="792"/>
      <c r="K195" s="1292" t="s">
        <v>782</v>
      </c>
      <c r="L195" s="1776">
        <v>23173</v>
      </c>
      <c r="M195" s="805"/>
      <c r="N195" s="805"/>
      <c r="O195" s="954">
        <v>74.332999999999998</v>
      </c>
      <c r="P195" s="805">
        <v>1</v>
      </c>
      <c r="Q195" s="1778">
        <f t="shared" si="20"/>
        <v>74.332999999999998</v>
      </c>
      <c r="R195" s="1777"/>
      <c r="S195" s="1778"/>
      <c r="T195" s="1778"/>
      <c r="U195" s="954">
        <v>74.332999999999998</v>
      </c>
      <c r="V195" s="805"/>
      <c r="W195" s="805"/>
      <c r="X195" s="1781"/>
      <c r="Y195" s="1124"/>
      <c r="Z195" s="1124"/>
      <c r="AA195" s="1124"/>
      <c r="AB195" s="1124"/>
      <c r="AC195" s="1124"/>
      <c r="AD195" s="1124"/>
      <c r="AE195" s="1124"/>
      <c r="AF195" s="1124"/>
      <c r="AG195" s="1282">
        <f t="shared" si="21"/>
        <v>74.332999999999998</v>
      </c>
    </row>
    <row r="196" spans="1:33" ht="35.25" hidden="1" customHeight="1">
      <c r="A196" s="796">
        <v>1223</v>
      </c>
      <c r="B196" s="793" t="s">
        <v>786</v>
      </c>
      <c r="C196" s="857" t="s">
        <v>787</v>
      </c>
      <c r="D196" s="805"/>
      <c r="E196" s="796"/>
      <c r="F196" s="1775"/>
      <c r="G196" s="1775"/>
      <c r="H196" s="805" t="s">
        <v>785</v>
      </c>
      <c r="I196" s="796" t="s">
        <v>170</v>
      </c>
      <c r="J196" s="792"/>
      <c r="K196" s="805" t="s">
        <v>415</v>
      </c>
      <c r="L196" s="1776">
        <v>23173</v>
      </c>
      <c r="M196" s="805"/>
      <c r="N196" s="805"/>
      <c r="O196" s="954">
        <v>1666.6666666666667</v>
      </c>
      <c r="P196" s="805">
        <v>1</v>
      </c>
      <c r="Q196" s="1778">
        <f t="shared" si="20"/>
        <v>1666.6666666666667</v>
      </c>
      <c r="R196" s="1777"/>
      <c r="S196" s="1778"/>
      <c r="T196" s="1778"/>
      <c r="U196" s="954">
        <v>1666.6666666666667</v>
      </c>
      <c r="V196" s="805"/>
      <c r="W196" s="805"/>
      <c r="X196" s="1781"/>
      <c r="Y196" s="1124"/>
      <c r="Z196" s="1124"/>
      <c r="AA196" s="1124"/>
      <c r="AB196" s="1124"/>
      <c r="AC196" s="1124"/>
      <c r="AD196" s="1124"/>
      <c r="AE196" s="1124"/>
      <c r="AF196" s="1124"/>
      <c r="AG196" s="1282">
        <f t="shared" si="21"/>
        <v>1666.6666666666667</v>
      </c>
    </row>
    <row r="197" spans="1:33" ht="35.25" hidden="1" customHeight="1">
      <c r="A197" s="2745">
        <v>1224</v>
      </c>
      <c r="B197" s="2748" t="s">
        <v>788</v>
      </c>
      <c r="C197" s="2748" t="s">
        <v>789</v>
      </c>
      <c r="D197" s="2780"/>
      <c r="E197" s="2745">
        <v>1</v>
      </c>
      <c r="F197" s="2781">
        <v>43279</v>
      </c>
      <c r="G197" s="2781">
        <f>F197+E197-1</f>
        <v>43279</v>
      </c>
      <c r="H197" s="2780" t="s">
        <v>790</v>
      </c>
      <c r="I197" s="2745" t="s">
        <v>170</v>
      </c>
      <c r="J197" s="2782"/>
      <c r="K197" s="1124"/>
      <c r="L197" s="2783"/>
      <c r="M197" s="1124"/>
      <c r="N197" s="1124"/>
      <c r="O197" s="1144"/>
      <c r="P197" s="1124"/>
      <c r="Q197" s="2714"/>
      <c r="R197" s="1199"/>
      <c r="S197" s="2714"/>
      <c r="T197" s="2714"/>
      <c r="U197" s="1144"/>
      <c r="V197" s="1124"/>
      <c r="W197" s="1124"/>
      <c r="X197" s="2784"/>
      <c r="Y197" s="1124"/>
      <c r="Z197" s="1124"/>
      <c r="AA197" s="1124"/>
      <c r="AB197" s="1124"/>
      <c r="AC197" s="1124"/>
      <c r="AD197" s="1124"/>
      <c r="AE197" s="1124"/>
      <c r="AF197" s="1124"/>
      <c r="AG197" s="1343"/>
    </row>
    <row r="198" spans="1:33" ht="35.25" hidden="1" customHeight="1">
      <c r="A198" s="796">
        <v>1224</v>
      </c>
      <c r="B198" s="793" t="s">
        <v>788</v>
      </c>
      <c r="C198" s="1074" t="s">
        <v>789</v>
      </c>
      <c r="D198" s="805"/>
      <c r="E198" s="796">
        <v>1</v>
      </c>
      <c r="F198" s="1775">
        <v>43279</v>
      </c>
      <c r="G198" s="1775">
        <f>F198+E198-1</f>
        <v>43279</v>
      </c>
      <c r="H198" s="805" t="s">
        <v>790</v>
      </c>
      <c r="I198" s="796" t="s">
        <v>170</v>
      </c>
      <c r="J198" s="792"/>
      <c r="K198" s="805" t="s">
        <v>670</v>
      </c>
      <c r="L198" s="1776">
        <v>23173</v>
      </c>
      <c r="M198" s="805"/>
      <c r="N198" s="805"/>
      <c r="O198" s="954">
        <v>666.66666666666663</v>
      </c>
      <c r="P198" s="805">
        <v>1</v>
      </c>
      <c r="Q198" s="1778">
        <f>O198*P198</f>
        <v>666.66666666666663</v>
      </c>
      <c r="R198" s="1777"/>
      <c r="S198" s="1778"/>
      <c r="T198" s="1779"/>
      <c r="U198" s="954">
        <v>666.66666666666663</v>
      </c>
      <c r="V198" s="805"/>
      <c r="W198" s="805"/>
      <c r="X198" s="1781"/>
      <c r="Y198" s="1124"/>
      <c r="Z198" s="1124"/>
      <c r="AA198" s="1124"/>
      <c r="AB198" s="1124"/>
      <c r="AC198" s="1124"/>
      <c r="AD198" s="1124"/>
      <c r="AE198" s="1124"/>
      <c r="AF198" s="1124"/>
      <c r="AG198" s="1282">
        <f t="shared" si="21"/>
        <v>666.66666666666663</v>
      </c>
    </row>
    <row r="199" spans="1:33" ht="35.25" hidden="1" customHeight="1">
      <c r="A199" s="796">
        <v>1224</v>
      </c>
      <c r="B199" s="793" t="s">
        <v>788</v>
      </c>
      <c r="C199" s="1074" t="s">
        <v>789</v>
      </c>
      <c r="D199" s="805"/>
      <c r="E199" s="796">
        <v>1</v>
      </c>
      <c r="F199" s="1775">
        <v>43279</v>
      </c>
      <c r="G199" s="1775">
        <f>F199+E199-1</f>
        <v>43279</v>
      </c>
      <c r="H199" s="805" t="s">
        <v>790</v>
      </c>
      <c r="I199" s="796" t="s">
        <v>170</v>
      </c>
      <c r="J199" s="792"/>
      <c r="K199" s="805" t="s">
        <v>415</v>
      </c>
      <c r="L199" s="1776">
        <v>23173</v>
      </c>
      <c r="M199" s="805"/>
      <c r="N199" s="805"/>
      <c r="O199" s="954">
        <v>333.33333333333331</v>
      </c>
      <c r="P199" s="805">
        <v>1</v>
      </c>
      <c r="Q199" s="1778">
        <f>O199*P199</f>
        <v>333.33333333333331</v>
      </c>
      <c r="R199" s="1777"/>
      <c r="S199" s="1778"/>
      <c r="T199" s="1778"/>
      <c r="U199" s="954">
        <v>333.33333333333331</v>
      </c>
      <c r="V199" s="805"/>
      <c r="W199" s="805"/>
      <c r="X199" s="1781"/>
      <c r="Y199" s="1124"/>
      <c r="Z199" s="1124"/>
      <c r="AA199" s="1124"/>
      <c r="AB199" s="1124"/>
      <c r="AC199" s="1124"/>
      <c r="AD199" s="1124"/>
      <c r="AE199" s="1124"/>
      <c r="AF199" s="1124"/>
      <c r="AG199" s="1282">
        <f t="shared" si="21"/>
        <v>333.33333333333331</v>
      </c>
    </row>
    <row r="200" spans="1:33" ht="35.25" hidden="1" customHeight="1">
      <c r="A200" s="796">
        <v>1224</v>
      </c>
      <c r="B200" s="793" t="s">
        <v>788</v>
      </c>
      <c r="C200" s="1074" t="s">
        <v>789</v>
      </c>
      <c r="D200" s="805"/>
      <c r="E200" s="796">
        <v>1</v>
      </c>
      <c r="F200" s="1775">
        <v>43279</v>
      </c>
      <c r="G200" s="1775">
        <f>F200+E200-1</f>
        <v>43279</v>
      </c>
      <c r="H200" s="805" t="s">
        <v>790</v>
      </c>
      <c r="I200" s="796" t="s">
        <v>170</v>
      </c>
      <c r="J200" s="792"/>
      <c r="K200" s="805" t="s">
        <v>638</v>
      </c>
      <c r="L200" s="1776">
        <v>23173</v>
      </c>
      <c r="M200" s="805"/>
      <c r="N200" s="805"/>
      <c r="O200" s="954">
        <v>216</v>
      </c>
      <c r="P200" s="805">
        <v>1</v>
      </c>
      <c r="Q200" s="1778">
        <f>O200*P200</f>
        <v>216</v>
      </c>
      <c r="R200" s="1777"/>
      <c r="S200" s="1778"/>
      <c r="T200" s="1778"/>
      <c r="U200" s="954">
        <v>216</v>
      </c>
      <c r="V200" s="805"/>
      <c r="W200" s="805"/>
      <c r="X200" s="1781"/>
      <c r="Y200" s="1124"/>
      <c r="Z200" s="1124"/>
      <c r="AA200" s="1124"/>
      <c r="AB200" s="1124"/>
      <c r="AC200" s="1124"/>
      <c r="AD200" s="1124"/>
      <c r="AE200" s="1124"/>
      <c r="AF200" s="1124"/>
      <c r="AG200" s="1282">
        <f t="shared" si="21"/>
        <v>216</v>
      </c>
    </row>
    <row r="201" spans="1:33" ht="35.25" hidden="1" customHeight="1">
      <c r="A201" s="2745">
        <v>1225</v>
      </c>
      <c r="B201" s="2748" t="s">
        <v>791</v>
      </c>
      <c r="C201" s="2748" t="s">
        <v>792</v>
      </c>
      <c r="D201" s="2780"/>
      <c r="E201" s="2745"/>
      <c r="F201" s="2781">
        <v>43283</v>
      </c>
      <c r="G201" s="2745"/>
      <c r="H201" s="2780" t="s">
        <v>793</v>
      </c>
      <c r="I201" s="2745" t="s">
        <v>170</v>
      </c>
      <c r="J201" s="792"/>
      <c r="K201" s="805" t="s">
        <v>794</v>
      </c>
      <c r="L201" s="1776">
        <v>23173</v>
      </c>
      <c r="M201" s="805"/>
      <c r="N201" s="805"/>
      <c r="O201" s="954">
        <v>12705</v>
      </c>
      <c r="P201" s="805">
        <v>1</v>
      </c>
      <c r="Q201" s="1778">
        <f>O201*P201</f>
        <v>12705</v>
      </c>
      <c r="R201" s="1777"/>
      <c r="S201" s="1778"/>
      <c r="T201" s="1778"/>
      <c r="U201" s="1778"/>
      <c r="V201" s="1778">
        <v>12705</v>
      </c>
      <c r="W201" s="1778"/>
      <c r="X201" s="1783"/>
      <c r="Y201" s="1743"/>
      <c r="Z201" s="1743"/>
      <c r="AA201" s="1743"/>
      <c r="AB201" s="1743"/>
      <c r="AC201" s="1743"/>
      <c r="AD201" s="1743"/>
      <c r="AE201" s="1743"/>
      <c r="AF201" s="1743"/>
      <c r="AG201" s="1282">
        <f t="shared" si="21"/>
        <v>12705</v>
      </c>
    </row>
    <row r="202" spans="1:33" ht="35.25" hidden="1" customHeight="1">
      <c r="A202" s="2745">
        <v>1226</v>
      </c>
      <c r="B202" s="2748" t="s">
        <v>795</v>
      </c>
      <c r="C202" s="2748" t="s">
        <v>796</v>
      </c>
      <c r="D202" s="2780"/>
      <c r="E202" s="2745">
        <v>5</v>
      </c>
      <c r="F202" s="2781">
        <v>43297</v>
      </c>
      <c r="G202" s="2781">
        <f>F202+E202</f>
        <v>43302</v>
      </c>
      <c r="H202" s="2780" t="s">
        <v>785</v>
      </c>
      <c r="I202" s="2745" t="s">
        <v>170</v>
      </c>
      <c r="J202" s="2782"/>
      <c r="K202" s="1124"/>
      <c r="L202" s="2783"/>
      <c r="M202" s="1124"/>
      <c r="N202" s="1124"/>
      <c r="O202" s="1144"/>
      <c r="P202" s="1124"/>
      <c r="Q202" s="2714"/>
      <c r="R202" s="1199"/>
      <c r="S202" s="2714"/>
      <c r="T202" s="2714"/>
      <c r="U202" s="2714"/>
      <c r="V202" s="2714"/>
      <c r="W202" s="2714"/>
      <c r="X202" s="2714"/>
      <c r="Y202" s="1743"/>
      <c r="Z202" s="1743"/>
      <c r="AA202" s="1743"/>
      <c r="AB202" s="1743"/>
      <c r="AC202" s="1743"/>
      <c r="AD202" s="1743"/>
      <c r="AE202" s="1743"/>
      <c r="AF202" s="1743"/>
      <c r="AG202" s="1343"/>
    </row>
    <row r="203" spans="1:33" ht="35.25" hidden="1" customHeight="1">
      <c r="A203" s="796">
        <v>1226</v>
      </c>
      <c r="B203" s="793" t="s">
        <v>795</v>
      </c>
      <c r="C203" s="1074" t="s">
        <v>796</v>
      </c>
      <c r="D203" s="805"/>
      <c r="E203" s="796">
        <v>5</v>
      </c>
      <c r="F203" s="1775">
        <v>43297</v>
      </c>
      <c r="G203" s="1775">
        <f>F203+E203</f>
        <v>43302</v>
      </c>
      <c r="H203" s="805" t="s">
        <v>785</v>
      </c>
      <c r="I203" s="796" t="s">
        <v>170</v>
      </c>
      <c r="J203" s="792"/>
      <c r="K203" s="805" t="s">
        <v>797</v>
      </c>
      <c r="L203" s="1776">
        <v>23174</v>
      </c>
      <c r="M203" s="805"/>
      <c r="N203" s="805"/>
      <c r="O203" s="954">
        <v>1680</v>
      </c>
      <c r="P203" s="805">
        <v>1</v>
      </c>
      <c r="Q203" s="1778">
        <f t="shared" ref="Q203:Q211" si="25">O203*P203</f>
        <v>1680</v>
      </c>
      <c r="R203" s="1777"/>
      <c r="S203" s="1778"/>
      <c r="T203" s="1778"/>
      <c r="U203" s="1779"/>
      <c r="V203" s="954">
        <v>1680</v>
      </c>
      <c r="W203" s="805"/>
      <c r="X203" s="1781"/>
      <c r="Y203" s="1124"/>
      <c r="Z203" s="1124"/>
      <c r="AA203" s="1124"/>
      <c r="AB203" s="1124"/>
      <c r="AC203" s="1124"/>
      <c r="AD203" s="1124"/>
      <c r="AE203" s="1124"/>
      <c r="AF203" s="1124"/>
      <c r="AG203" s="1282">
        <f t="shared" si="21"/>
        <v>1680</v>
      </c>
    </row>
    <row r="204" spans="1:33" ht="35.25" hidden="1" customHeight="1">
      <c r="A204" s="796">
        <v>1226</v>
      </c>
      <c r="B204" s="793" t="s">
        <v>795</v>
      </c>
      <c r="C204" s="1074" t="s">
        <v>796</v>
      </c>
      <c r="D204" s="805"/>
      <c r="E204" s="796">
        <v>5</v>
      </c>
      <c r="F204" s="1775">
        <v>43297</v>
      </c>
      <c r="G204" s="1775">
        <f t="shared" ref="G204:G209" si="26">F204+E204</f>
        <v>43302</v>
      </c>
      <c r="H204" s="805" t="s">
        <v>785</v>
      </c>
      <c r="I204" s="796" t="s">
        <v>170</v>
      </c>
      <c r="J204" s="792"/>
      <c r="K204" s="805" t="s">
        <v>798</v>
      </c>
      <c r="L204" s="1776">
        <v>23174</v>
      </c>
      <c r="M204" s="805"/>
      <c r="N204" s="805"/>
      <c r="O204" s="954">
        <v>900</v>
      </c>
      <c r="P204" s="805">
        <v>1</v>
      </c>
      <c r="Q204" s="1778">
        <f t="shared" si="25"/>
        <v>900</v>
      </c>
      <c r="R204" s="1777"/>
      <c r="S204" s="1778"/>
      <c r="T204" s="1778"/>
      <c r="U204" s="1779"/>
      <c r="V204" s="954">
        <v>900</v>
      </c>
      <c r="W204" s="805"/>
      <c r="X204" s="1781"/>
      <c r="Y204" s="1124"/>
      <c r="Z204" s="1124"/>
      <c r="AA204" s="1124"/>
      <c r="AB204" s="1124"/>
      <c r="AC204" s="1124"/>
      <c r="AD204" s="1124"/>
      <c r="AE204" s="1124"/>
      <c r="AF204" s="1124"/>
      <c r="AG204" s="1282">
        <f t="shared" si="21"/>
        <v>900</v>
      </c>
    </row>
    <row r="205" spans="1:33" ht="35.25" hidden="1" customHeight="1">
      <c r="A205" s="796">
        <v>1226</v>
      </c>
      <c r="B205" s="793" t="s">
        <v>795</v>
      </c>
      <c r="C205" s="1074" t="s">
        <v>796</v>
      </c>
      <c r="D205" s="805"/>
      <c r="E205" s="796">
        <v>5</v>
      </c>
      <c r="F205" s="1775">
        <v>43297</v>
      </c>
      <c r="G205" s="1775">
        <f t="shared" si="26"/>
        <v>43302</v>
      </c>
      <c r="H205" s="805" t="s">
        <v>785</v>
      </c>
      <c r="I205" s="796" t="s">
        <v>170</v>
      </c>
      <c r="J205" s="792"/>
      <c r="K205" s="805" t="s">
        <v>799</v>
      </c>
      <c r="L205" s="1776">
        <v>23174</v>
      </c>
      <c r="M205" s="805"/>
      <c r="N205" s="805"/>
      <c r="O205" s="954">
        <v>120</v>
      </c>
      <c r="P205" s="805">
        <v>1</v>
      </c>
      <c r="Q205" s="1778">
        <f t="shared" si="25"/>
        <v>120</v>
      </c>
      <c r="R205" s="1777"/>
      <c r="S205" s="1778"/>
      <c r="T205" s="1778"/>
      <c r="U205" s="1779"/>
      <c r="V205" s="954">
        <v>120</v>
      </c>
      <c r="W205" s="805"/>
      <c r="X205" s="1781"/>
      <c r="Y205" s="1124"/>
      <c r="Z205" s="1124"/>
      <c r="AA205" s="1124"/>
      <c r="AB205" s="1124"/>
      <c r="AC205" s="1124"/>
      <c r="AD205" s="1124"/>
      <c r="AE205" s="1124"/>
      <c r="AF205" s="1124"/>
      <c r="AG205" s="1282">
        <f t="shared" si="21"/>
        <v>120</v>
      </c>
    </row>
    <row r="206" spans="1:33" ht="35.25" hidden="1" customHeight="1">
      <c r="A206" s="796">
        <v>1226</v>
      </c>
      <c r="B206" s="793" t="s">
        <v>795</v>
      </c>
      <c r="C206" s="1074" t="s">
        <v>796</v>
      </c>
      <c r="D206" s="805"/>
      <c r="E206" s="796">
        <v>5</v>
      </c>
      <c r="F206" s="1775">
        <v>43297</v>
      </c>
      <c r="G206" s="1775">
        <f t="shared" si="26"/>
        <v>43302</v>
      </c>
      <c r="H206" s="805" t="s">
        <v>785</v>
      </c>
      <c r="I206" s="796" t="s">
        <v>170</v>
      </c>
      <c r="J206" s="792"/>
      <c r="K206" s="805" t="s">
        <v>800</v>
      </c>
      <c r="L206" s="1776">
        <v>23174</v>
      </c>
      <c r="M206" s="805"/>
      <c r="N206" s="805"/>
      <c r="O206" s="954">
        <v>773.33333333333337</v>
      </c>
      <c r="P206" s="805">
        <v>1</v>
      </c>
      <c r="Q206" s="1778">
        <f t="shared" si="25"/>
        <v>773.33333333333337</v>
      </c>
      <c r="R206" s="1777"/>
      <c r="S206" s="1778"/>
      <c r="T206" s="1778"/>
      <c r="U206" s="1779"/>
      <c r="V206" s="954">
        <v>773.33333333333337</v>
      </c>
      <c r="W206" s="805"/>
      <c r="X206" s="1781"/>
      <c r="Y206" s="1124"/>
      <c r="Z206" s="1124"/>
      <c r="AA206" s="1124"/>
      <c r="AB206" s="1124"/>
      <c r="AC206" s="1124"/>
      <c r="AD206" s="1124"/>
      <c r="AE206" s="1124"/>
      <c r="AF206" s="1124"/>
      <c r="AG206" s="1282">
        <f t="shared" si="21"/>
        <v>773.33333333333337</v>
      </c>
    </row>
    <row r="207" spans="1:33" ht="35.25" hidden="1" customHeight="1">
      <c r="A207" s="796">
        <v>1226</v>
      </c>
      <c r="B207" s="793" t="s">
        <v>795</v>
      </c>
      <c r="C207" s="1074" t="s">
        <v>796</v>
      </c>
      <c r="D207" s="805"/>
      <c r="E207" s="796">
        <v>5</v>
      </c>
      <c r="F207" s="1775">
        <v>43297</v>
      </c>
      <c r="G207" s="1775">
        <f t="shared" si="26"/>
        <v>43302</v>
      </c>
      <c r="H207" s="805" t="s">
        <v>785</v>
      </c>
      <c r="I207" s="796" t="s">
        <v>170</v>
      </c>
      <c r="J207" s="792"/>
      <c r="K207" s="805" t="s">
        <v>801</v>
      </c>
      <c r="L207" s="1776">
        <v>23174</v>
      </c>
      <c r="M207" s="805"/>
      <c r="N207" s="805"/>
      <c r="O207" s="954">
        <v>106.66666666666667</v>
      </c>
      <c r="P207" s="805">
        <v>1</v>
      </c>
      <c r="Q207" s="1778">
        <f t="shared" si="25"/>
        <v>106.66666666666667</v>
      </c>
      <c r="R207" s="1777"/>
      <c r="S207" s="1778"/>
      <c r="T207" s="1778"/>
      <c r="U207" s="1779"/>
      <c r="V207" s="954">
        <v>106.66666666666667</v>
      </c>
      <c r="W207" s="805"/>
      <c r="X207" s="1781"/>
      <c r="Y207" s="1124"/>
      <c r="Z207" s="1124"/>
      <c r="AA207" s="1124"/>
      <c r="AB207" s="1124"/>
      <c r="AC207" s="1124"/>
      <c r="AD207" s="1124"/>
      <c r="AE207" s="1124"/>
      <c r="AF207" s="1124"/>
      <c r="AG207" s="1282">
        <f t="shared" si="21"/>
        <v>106.66666666666667</v>
      </c>
    </row>
    <row r="208" spans="1:33" ht="35.25" hidden="1" customHeight="1">
      <c r="A208" s="796">
        <v>1226</v>
      </c>
      <c r="B208" s="793" t="s">
        <v>795</v>
      </c>
      <c r="C208" s="1074" t="s">
        <v>796</v>
      </c>
      <c r="D208" s="805"/>
      <c r="E208" s="796">
        <v>5</v>
      </c>
      <c r="F208" s="1775">
        <v>43297</v>
      </c>
      <c r="G208" s="1775">
        <f t="shared" si="26"/>
        <v>43302</v>
      </c>
      <c r="H208" s="805" t="s">
        <v>785</v>
      </c>
      <c r="I208" s="796" t="s">
        <v>170</v>
      </c>
      <c r="J208" s="792"/>
      <c r="K208" s="805" t="s">
        <v>802</v>
      </c>
      <c r="L208" s="1776">
        <v>23174</v>
      </c>
      <c r="M208" s="805"/>
      <c r="N208" s="805"/>
      <c r="O208" s="954">
        <v>816</v>
      </c>
      <c r="P208" s="805">
        <v>1</v>
      </c>
      <c r="Q208" s="1778">
        <f t="shared" si="25"/>
        <v>816</v>
      </c>
      <c r="R208" s="1777"/>
      <c r="S208" s="1778"/>
      <c r="T208" s="1778"/>
      <c r="U208" s="1779"/>
      <c r="V208" s="954">
        <v>816</v>
      </c>
      <c r="W208" s="805"/>
      <c r="X208" s="1781"/>
      <c r="Y208" s="1124"/>
      <c r="Z208" s="1124"/>
      <c r="AA208" s="1124"/>
      <c r="AB208" s="1124"/>
      <c r="AC208" s="1124"/>
      <c r="AD208" s="1124"/>
      <c r="AE208" s="1124"/>
      <c r="AF208" s="1124"/>
      <c r="AG208" s="1282">
        <f t="shared" si="21"/>
        <v>816</v>
      </c>
    </row>
    <row r="209" spans="1:33" ht="35.25" hidden="1" customHeight="1">
      <c r="A209" s="796">
        <v>1226</v>
      </c>
      <c r="B209" s="793" t="s">
        <v>795</v>
      </c>
      <c r="C209" s="1074" t="s">
        <v>796</v>
      </c>
      <c r="D209" s="805"/>
      <c r="E209" s="796">
        <v>5</v>
      </c>
      <c r="F209" s="1775">
        <v>43297</v>
      </c>
      <c r="G209" s="1775">
        <f t="shared" si="26"/>
        <v>43302</v>
      </c>
      <c r="H209" s="805" t="s">
        <v>785</v>
      </c>
      <c r="I209" s="796" t="s">
        <v>170</v>
      </c>
      <c r="J209" s="792"/>
      <c r="K209" s="805" t="s">
        <v>803</v>
      </c>
      <c r="L209" s="1776">
        <v>23174</v>
      </c>
      <c r="M209" s="805"/>
      <c r="N209" s="805"/>
      <c r="O209" s="954">
        <v>480</v>
      </c>
      <c r="P209" s="805">
        <v>1</v>
      </c>
      <c r="Q209" s="1778">
        <f t="shared" si="25"/>
        <v>480</v>
      </c>
      <c r="R209" s="1777"/>
      <c r="S209" s="1778"/>
      <c r="T209" s="1778"/>
      <c r="U209" s="1779"/>
      <c r="V209" s="954">
        <v>480</v>
      </c>
      <c r="W209" s="805"/>
      <c r="X209" s="1781"/>
      <c r="Y209" s="1124"/>
      <c r="Z209" s="1124"/>
      <c r="AA209" s="1124"/>
      <c r="AB209" s="1124"/>
      <c r="AC209" s="1124"/>
      <c r="AD209" s="1124"/>
      <c r="AE209" s="1124"/>
      <c r="AF209" s="1124"/>
      <c r="AG209" s="1282">
        <f t="shared" si="21"/>
        <v>480</v>
      </c>
    </row>
    <row r="210" spans="1:33" ht="35.25" hidden="1" customHeight="1">
      <c r="A210" s="796">
        <v>1226</v>
      </c>
      <c r="B210" s="793" t="s">
        <v>795</v>
      </c>
      <c r="C210" s="1074" t="s">
        <v>796</v>
      </c>
      <c r="D210" s="805"/>
      <c r="E210" s="796"/>
      <c r="F210" s="1775"/>
      <c r="G210" s="1775"/>
      <c r="H210" s="805" t="s">
        <v>785</v>
      </c>
      <c r="I210" s="796" t="s">
        <v>170</v>
      </c>
      <c r="J210" s="792"/>
      <c r="K210" s="805" t="s">
        <v>415</v>
      </c>
      <c r="L210" s="1776">
        <v>23173</v>
      </c>
      <c r="M210" s="805"/>
      <c r="N210" s="805"/>
      <c r="O210" s="954">
        <v>833.33333333333337</v>
      </c>
      <c r="P210" s="805">
        <v>1</v>
      </c>
      <c r="Q210" s="1778">
        <f t="shared" si="25"/>
        <v>833.33333333333337</v>
      </c>
      <c r="R210" s="1777"/>
      <c r="S210" s="1778"/>
      <c r="T210" s="1778"/>
      <c r="U210" s="1779"/>
      <c r="V210" s="954">
        <v>833.33333333333337</v>
      </c>
      <c r="W210" s="805"/>
      <c r="X210" s="1781"/>
      <c r="Y210" s="1124"/>
      <c r="Z210" s="1124"/>
      <c r="AA210" s="1124"/>
      <c r="AB210" s="1124"/>
      <c r="AC210" s="1124"/>
      <c r="AD210" s="1124"/>
      <c r="AE210" s="1124"/>
      <c r="AF210" s="1124"/>
      <c r="AG210" s="1282">
        <f t="shared" si="21"/>
        <v>833.33333333333337</v>
      </c>
    </row>
    <row r="211" spans="1:33" ht="35.25" hidden="1" customHeight="1">
      <c r="A211" s="796">
        <v>1226</v>
      </c>
      <c r="B211" s="793" t="s">
        <v>795</v>
      </c>
      <c r="C211" s="1074" t="s">
        <v>796</v>
      </c>
      <c r="D211" s="805"/>
      <c r="E211" s="796"/>
      <c r="F211" s="1775"/>
      <c r="G211" s="1775"/>
      <c r="H211" s="805" t="s">
        <v>785</v>
      </c>
      <c r="I211" s="796" t="s">
        <v>170</v>
      </c>
      <c r="J211" s="792"/>
      <c r="K211" s="805" t="s">
        <v>804</v>
      </c>
      <c r="L211" s="1776">
        <v>23173</v>
      </c>
      <c r="M211" s="805"/>
      <c r="N211" s="805"/>
      <c r="O211" s="954">
        <v>35.833333333333336</v>
      </c>
      <c r="P211" s="805">
        <v>1</v>
      </c>
      <c r="Q211" s="1778">
        <f t="shared" si="25"/>
        <v>35.833333333333336</v>
      </c>
      <c r="R211" s="1777"/>
      <c r="S211" s="1778"/>
      <c r="T211" s="1778"/>
      <c r="U211" s="1779"/>
      <c r="V211" s="954">
        <v>35.833333333333336</v>
      </c>
      <c r="W211" s="805"/>
      <c r="X211" s="1781"/>
      <c r="Y211" s="1124"/>
      <c r="Z211" s="1124"/>
      <c r="AA211" s="1124"/>
      <c r="AB211" s="1124"/>
      <c r="AC211" s="1124"/>
      <c r="AD211" s="1124"/>
      <c r="AE211" s="1124"/>
      <c r="AF211" s="1124"/>
      <c r="AG211" s="1282">
        <f t="shared" si="21"/>
        <v>35.833333333333336</v>
      </c>
    </row>
    <row r="212" spans="1:33" ht="35.25" hidden="1" customHeight="1">
      <c r="A212" s="2745">
        <v>1227</v>
      </c>
      <c r="B212" s="2748" t="s">
        <v>805</v>
      </c>
      <c r="C212" s="2748" t="s">
        <v>806</v>
      </c>
      <c r="D212" s="2780"/>
      <c r="E212" s="2745"/>
      <c r="F212" s="2781">
        <v>43304</v>
      </c>
      <c r="G212" s="2745"/>
      <c r="H212" s="2780" t="s">
        <v>793</v>
      </c>
      <c r="I212" s="2745" t="s">
        <v>170</v>
      </c>
      <c r="J212" s="792"/>
      <c r="K212" s="805" t="s">
        <v>807</v>
      </c>
      <c r="L212" s="1776">
        <v>23173</v>
      </c>
      <c r="M212" s="805"/>
      <c r="N212" s="805"/>
      <c r="O212" s="954">
        <v>1089</v>
      </c>
      <c r="P212" s="805">
        <v>1</v>
      </c>
      <c r="Q212" s="1779">
        <f>P212*O212</f>
        <v>1089</v>
      </c>
      <c r="R212" s="1777"/>
      <c r="S212" s="1784"/>
      <c r="T212" s="1784"/>
      <c r="U212" s="1784"/>
      <c r="V212" s="1779">
        <v>1089</v>
      </c>
      <c r="W212" s="1784"/>
      <c r="X212" s="1785"/>
      <c r="Y212" s="1786"/>
      <c r="Z212" s="1786"/>
      <c r="AA212" s="1786"/>
      <c r="AB212" s="1786"/>
      <c r="AC212" s="1786"/>
      <c r="AD212" s="1786"/>
      <c r="AE212" s="1786"/>
      <c r="AF212" s="1786"/>
      <c r="AG212" s="1282">
        <f t="shared" si="21"/>
        <v>1089</v>
      </c>
    </row>
    <row r="213" spans="1:33" ht="35.25" hidden="1" customHeight="1">
      <c r="A213" s="2745">
        <v>1228</v>
      </c>
      <c r="B213" s="2748" t="s">
        <v>808</v>
      </c>
      <c r="C213" s="2748" t="s">
        <v>809</v>
      </c>
      <c r="D213" s="2780"/>
      <c r="E213" s="2745">
        <v>10</v>
      </c>
      <c r="F213" s="2781">
        <v>43318</v>
      </c>
      <c r="G213" s="2781">
        <f>F213+E213</f>
        <v>43328</v>
      </c>
      <c r="H213" s="2780" t="s">
        <v>810</v>
      </c>
      <c r="I213" s="2745" t="s">
        <v>170</v>
      </c>
      <c r="J213" s="2782"/>
      <c r="K213" s="1124"/>
      <c r="L213" s="2783"/>
      <c r="M213" s="1124"/>
      <c r="N213" s="1124"/>
      <c r="O213" s="1144"/>
      <c r="P213" s="1124"/>
      <c r="Q213" s="1743"/>
      <c r="R213" s="1199"/>
      <c r="S213" s="2785"/>
      <c r="T213" s="2785"/>
      <c r="U213" s="1786"/>
      <c r="V213" s="1743"/>
      <c r="W213" s="1786"/>
      <c r="X213" s="2785"/>
      <c r="Y213" s="1786"/>
      <c r="Z213" s="1786"/>
      <c r="AA213" s="1786"/>
      <c r="AB213" s="1786"/>
      <c r="AC213" s="1786"/>
      <c r="AD213" s="1786"/>
      <c r="AE213" s="1786"/>
      <c r="AF213" s="1786"/>
      <c r="AG213" s="1343"/>
    </row>
    <row r="214" spans="1:33" ht="35.25" hidden="1" customHeight="1">
      <c r="A214" s="796">
        <v>1228</v>
      </c>
      <c r="B214" s="793" t="s">
        <v>808</v>
      </c>
      <c r="C214" s="1074" t="s">
        <v>809</v>
      </c>
      <c r="D214" s="805"/>
      <c r="E214" s="796">
        <v>10</v>
      </c>
      <c r="F214" s="1775">
        <v>43318</v>
      </c>
      <c r="G214" s="1775">
        <f>F214+E214</f>
        <v>43328</v>
      </c>
      <c r="H214" s="805" t="s">
        <v>810</v>
      </c>
      <c r="I214" s="796" t="s">
        <v>170</v>
      </c>
      <c r="J214" s="792"/>
      <c r="K214" s="805" t="s">
        <v>811</v>
      </c>
      <c r="L214" s="1776">
        <v>23174</v>
      </c>
      <c r="M214" s="805"/>
      <c r="N214" s="805"/>
      <c r="O214" s="954">
        <v>36000</v>
      </c>
      <c r="P214" s="805">
        <v>1</v>
      </c>
      <c r="Q214" s="1779">
        <f t="shared" ref="Q214:Q231" si="27">O214*P214</f>
        <v>36000</v>
      </c>
      <c r="R214" s="1777"/>
      <c r="S214" s="1778"/>
      <c r="T214" s="1778"/>
      <c r="U214" s="1779"/>
      <c r="V214" s="954">
        <v>36000</v>
      </c>
      <c r="W214" s="805"/>
      <c r="X214" s="1781"/>
      <c r="Y214" s="1124"/>
      <c r="Z214" s="1124"/>
      <c r="AA214" s="1124"/>
      <c r="AB214" s="1124"/>
      <c r="AC214" s="1124"/>
      <c r="AD214" s="1124"/>
      <c r="AE214" s="1124"/>
      <c r="AF214" s="1124"/>
      <c r="AG214" s="1282">
        <f t="shared" si="21"/>
        <v>36000</v>
      </c>
    </row>
    <row r="215" spans="1:33" ht="35.25" hidden="1" customHeight="1">
      <c r="A215" s="796">
        <v>1228</v>
      </c>
      <c r="B215" s="793" t="s">
        <v>808</v>
      </c>
      <c r="C215" s="1074" t="s">
        <v>809</v>
      </c>
      <c r="D215" s="805"/>
      <c r="E215" s="796">
        <v>10</v>
      </c>
      <c r="F215" s="1775">
        <v>43318</v>
      </c>
      <c r="G215" s="1775">
        <f t="shared" ref="G215:G220" si="28">F215+E215</f>
        <v>43328</v>
      </c>
      <c r="H215" s="805" t="s">
        <v>810</v>
      </c>
      <c r="I215" s="796" t="s">
        <v>170</v>
      </c>
      <c r="J215" s="792"/>
      <c r="K215" s="805" t="s">
        <v>812</v>
      </c>
      <c r="L215" s="1776">
        <v>23174</v>
      </c>
      <c r="N215" s="805"/>
      <c r="O215" s="954">
        <v>7920</v>
      </c>
      <c r="P215" s="805">
        <v>1</v>
      </c>
      <c r="Q215" s="1779">
        <f t="shared" si="27"/>
        <v>7920</v>
      </c>
      <c r="R215" s="1777"/>
      <c r="S215" s="1778"/>
      <c r="T215" s="1778"/>
      <c r="U215" s="1779"/>
      <c r="V215" s="954">
        <v>7920</v>
      </c>
      <c r="W215" s="805"/>
      <c r="X215" s="1781"/>
      <c r="Y215" s="1124"/>
      <c r="Z215" s="1124"/>
      <c r="AA215" s="1124"/>
      <c r="AB215" s="1124"/>
      <c r="AC215" s="1124"/>
      <c r="AD215" s="1124"/>
      <c r="AE215" s="1124"/>
      <c r="AF215" s="1124"/>
      <c r="AG215" s="1282">
        <f t="shared" si="21"/>
        <v>7920</v>
      </c>
    </row>
    <row r="216" spans="1:33" ht="35.25" hidden="1" customHeight="1">
      <c r="A216" s="796">
        <v>1228</v>
      </c>
      <c r="B216" s="793" t="s">
        <v>808</v>
      </c>
      <c r="C216" s="1074" t="s">
        <v>809</v>
      </c>
      <c r="D216" s="805"/>
      <c r="E216" s="796">
        <v>10</v>
      </c>
      <c r="F216" s="1775">
        <v>43318</v>
      </c>
      <c r="G216" s="1775">
        <f t="shared" si="28"/>
        <v>43328</v>
      </c>
      <c r="H216" s="805" t="s">
        <v>810</v>
      </c>
      <c r="I216" s="796" t="s">
        <v>170</v>
      </c>
      <c r="J216" s="792"/>
      <c r="K216" s="805" t="s">
        <v>813</v>
      </c>
      <c r="L216" s="1776">
        <v>23174</v>
      </c>
      <c r="M216" s="805"/>
      <c r="N216" s="805"/>
      <c r="O216" s="954">
        <v>600</v>
      </c>
      <c r="P216" s="805">
        <v>1</v>
      </c>
      <c r="Q216" s="1779">
        <f t="shared" si="27"/>
        <v>600</v>
      </c>
      <c r="R216" s="1777"/>
      <c r="S216" s="1778"/>
      <c r="T216" s="1778"/>
      <c r="U216" s="1779"/>
      <c r="V216" s="954">
        <v>600</v>
      </c>
      <c r="W216" s="805"/>
      <c r="X216" s="1781"/>
      <c r="Y216" s="1124"/>
      <c r="Z216" s="1124"/>
      <c r="AA216" s="1124"/>
      <c r="AB216" s="1124"/>
      <c r="AC216" s="1124"/>
      <c r="AD216" s="1124"/>
      <c r="AE216" s="1124"/>
      <c r="AF216" s="1124"/>
      <c r="AG216" s="1282">
        <f t="shared" si="21"/>
        <v>600</v>
      </c>
    </row>
    <row r="217" spans="1:33" ht="35.25" hidden="1" customHeight="1">
      <c r="A217" s="796">
        <v>1228</v>
      </c>
      <c r="B217" s="793" t="s">
        <v>808</v>
      </c>
      <c r="C217" s="1074" t="s">
        <v>809</v>
      </c>
      <c r="D217" s="805"/>
      <c r="E217" s="796">
        <v>10</v>
      </c>
      <c r="F217" s="1775">
        <v>43318</v>
      </c>
      <c r="G217" s="1775">
        <f t="shared" si="28"/>
        <v>43328</v>
      </c>
      <c r="H217" s="805" t="s">
        <v>810</v>
      </c>
      <c r="I217" s="796" t="s">
        <v>170</v>
      </c>
      <c r="J217" s="792"/>
      <c r="K217" s="805" t="s">
        <v>814</v>
      </c>
      <c r="L217" s="1776">
        <v>23174</v>
      </c>
      <c r="M217" s="805"/>
      <c r="N217" s="805"/>
      <c r="O217" s="954">
        <v>6600</v>
      </c>
      <c r="P217" s="805">
        <v>1</v>
      </c>
      <c r="Q217" s="1779">
        <f t="shared" si="27"/>
        <v>6600</v>
      </c>
      <c r="R217" s="1777"/>
      <c r="S217" s="1778"/>
      <c r="T217" s="1778"/>
      <c r="U217" s="1779"/>
      <c r="V217" s="954">
        <v>6600</v>
      </c>
      <c r="W217" s="805"/>
      <c r="X217" s="1781"/>
      <c r="Y217" s="1124"/>
      <c r="Z217" s="1124"/>
      <c r="AA217" s="1124"/>
      <c r="AB217" s="1124"/>
      <c r="AC217" s="1124"/>
      <c r="AD217" s="1124"/>
      <c r="AE217" s="1124"/>
      <c r="AF217" s="1124"/>
      <c r="AG217" s="1282">
        <f t="shared" si="21"/>
        <v>6600</v>
      </c>
    </row>
    <row r="218" spans="1:33" ht="35.25" hidden="1" customHeight="1">
      <c r="A218" s="796">
        <v>1228</v>
      </c>
      <c r="B218" s="793" t="s">
        <v>808</v>
      </c>
      <c r="C218" s="1074" t="s">
        <v>809</v>
      </c>
      <c r="D218" s="805"/>
      <c r="E218" s="796">
        <v>10</v>
      </c>
      <c r="F218" s="1775">
        <v>43318</v>
      </c>
      <c r="G218" s="1775">
        <f t="shared" si="28"/>
        <v>43328</v>
      </c>
      <c r="H218" s="805" t="s">
        <v>810</v>
      </c>
      <c r="I218" s="796" t="s">
        <v>170</v>
      </c>
      <c r="J218" s="792"/>
      <c r="K218" s="805" t="s">
        <v>815</v>
      </c>
      <c r="L218" s="1776">
        <v>23174</v>
      </c>
      <c r="M218" s="805"/>
      <c r="N218" s="805"/>
      <c r="O218" s="954">
        <v>300</v>
      </c>
      <c r="P218" s="805">
        <v>1</v>
      </c>
      <c r="Q218" s="1779">
        <f t="shared" si="27"/>
        <v>300</v>
      </c>
      <c r="R218" s="1777"/>
      <c r="S218" s="1778"/>
      <c r="T218" s="1778"/>
      <c r="U218" s="1779"/>
      <c r="V218" s="954">
        <v>300</v>
      </c>
      <c r="W218" s="805"/>
      <c r="X218" s="1781"/>
      <c r="Y218" s="1124"/>
      <c r="Z218" s="1124"/>
      <c r="AA218" s="1124"/>
      <c r="AB218" s="1124"/>
      <c r="AC218" s="1124"/>
      <c r="AD218" s="1124"/>
      <c r="AE218" s="1124"/>
      <c r="AF218" s="1124"/>
      <c r="AG218" s="1282">
        <f t="shared" si="21"/>
        <v>300</v>
      </c>
    </row>
    <row r="219" spans="1:33" ht="35.25" hidden="1" customHeight="1">
      <c r="A219" s="796">
        <v>1228</v>
      </c>
      <c r="B219" s="793" t="s">
        <v>808</v>
      </c>
      <c r="C219" s="1074" t="s">
        <v>809</v>
      </c>
      <c r="D219" s="805"/>
      <c r="E219" s="796">
        <v>10</v>
      </c>
      <c r="F219" s="1775">
        <v>43318</v>
      </c>
      <c r="G219" s="1775">
        <f t="shared" si="28"/>
        <v>43328</v>
      </c>
      <c r="H219" s="805" t="s">
        <v>810</v>
      </c>
      <c r="I219" s="796" t="s">
        <v>170</v>
      </c>
      <c r="J219" s="792"/>
      <c r="K219" s="805" t="s">
        <v>816</v>
      </c>
      <c r="L219" s="1776">
        <v>23174</v>
      </c>
      <c r="M219" s="805"/>
      <c r="N219" s="805"/>
      <c r="O219" s="954">
        <v>2720</v>
      </c>
      <c r="P219" s="805">
        <v>1</v>
      </c>
      <c r="Q219" s="1779">
        <f t="shared" si="27"/>
        <v>2720</v>
      </c>
      <c r="R219" s="1777"/>
      <c r="S219" s="1778"/>
      <c r="T219" s="1778"/>
      <c r="U219" s="1779"/>
      <c r="V219" s="954">
        <v>2720</v>
      </c>
      <c r="W219" s="805"/>
      <c r="X219" s="1781"/>
      <c r="Y219" s="1124"/>
      <c r="Z219" s="1124"/>
      <c r="AA219" s="1124"/>
      <c r="AB219" s="1124"/>
      <c r="AC219" s="1124"/>
      <c r="AD219" s="1124"/>
      <c r="AE219" s="1124"/>
      <c r="AF219" s="1124"/>
      <c r="AG219" s="1282">
        <f t="shared" si="21"/>
        <v>2720</v>
      </c>
    </row>
    <row r="220" spans="1:33" ht="35.25" hidden="1" customHeight="1">
      <c r="A220" s="796">
        <v>1228</v>
      </c>
      <c r="B220" s="793" t="s">
        <v>808</v>
      </c>
      <c r="C220" s="1074" t="s">
        <v>809</v>
      </c>
      <c r="D220" s="805"/>
      <c r="E220" s="796">
        <v>10</v>
      </c>
      <c r="F220" s="1775">
        <v>43318</v>
      </c>
      <c r="G220" s="1775">
        <f t="shared" si="28"/>
        <v>43328</v>
      </c>
      <c r="H220" s="805" t="s">
        <v>810</v>
      </c>
      <c r="I220" s="796" t="s">
        <v>170</v>
      </c>
      <c r="J220" s="792"/>
      <c r="K220" s="805" t="s">
        <v>817</v>
      </c>
      <c r="L220" s="1776">
        <v>23174</v>
      </c>
      <c r="M220" s="805"/>
      <c r="N220" s="805"/>
      <c r="O220" s="954">
        <v>6674.9333333333334</v>
      </c>
      <c r="P220" s="805">
        <v>1</v>
      </c>
      <c r="Q220" s="1779">
        <f t="shared" si="27"/>
        <v>6674.9333333333334</v>
      </c>
      <c r="R220" s="1777"/>
      <c r="S220" s="1778"/>
      <c r="T220" s="1778"/>
      <c r="U220" s="1779"/>
      <c r="V220" s="954">
        <v>6674.9333333333334</v>
      </c>
      <c r="W220" s="805"/>
      <c r="X220" s="1781"/>
      <c r="Y220" s="1124"/>
      <c r="Z220" s="1124"/>
      <c r="AA220" s="1124"/>
      <c r="AB220" s="1124"/>
      <c r="AC220" s="1124"/>
      <c r="AD220" s="1124"/>
      <c r="AE220" s="1124"/>
      <c r="AF220" s="1124"/>
      <c r="AG220" s="1282">
        <f t="shared" si="21"/>
        <v>6674.9333333333334</v>
      </c>
    </row>
    <row r="221" spans="1:33" ht="35.25" hidden="1" customHeight="1">
      <c r="A221" s="796">
        <v>1228</v>
      </c>
      <c r="B221" s="793" t="s">
        <v>808</v>
      </c>
      <c r="C221" s="1074" t="s">
        <v>809</v>
      </c>
      <c r="D221" s="805"/>
      <c r="E221" s="796">
        <v>45</v>
      </c>
      <c r="F221" s="1775"/>
      <c r="G221" s="1775"/>
      <c r="H221" s="805" t="s">
        <v>810</v>
      </c>
      <c r="I221" s="796" t="s">
        <v>170</v>
      </c>
      <c r="J221" s="792"/>
      <c r="K221" s="805" t="s">
        <v>818</v>
      </c>
      <c r="L221" s="1776">
        <v>23173</v>
      </c>
      <c r="M221" s="805"/>
      <c r="N221" s="805"/>
      <c r="O221" s="954">
        <v>205.625</v>
      </c>
      <c r="P221" s="805">
        <v>1</v>
      </c>
      <c r="Q221" s="1779">
        <f t="shared" si="27"/>
        <v>205.625</v>
      </c>
      <c r="R221" s="1777"/>
      <c r="S221" s="1778"/>
      <c r="T221" s="1778"/>
      <c r="U221" s="1779"/>
      <c r="V221" s="954">
        <v>205.625</v>
      </c>
      <c r="W221" s="805"/>
      <c r="X221" s="1781"/>
      <c r="Y221" s="1124"/>
      <c r="Z221" s="1124"/>
      <c r="AA221" s="1124"/>
      <c r="AB221" s="1124"/>
      <c r="AC221" s="1124"/>
      <c r="AD221" s="1124"/>
      <c r="AE221" s="1124"/>
      <c r="AF221" s="1124"/>
      <c r="AG221" s="1282">
        <f t="shared" si="21"/>
        <v>205.625</v>
      </c>
    </row>
    <row r="222" spans="1:33" ht="35.25" hidden="1" customHeight="1">
      <c r="A222" s="2745">
        <v>1229</v>
      </c>
      <c r="B222" s="2748" t="s">
        <v>819</v>
      </c>
      <c r="C222" s="2779" t="s">
        <v>820</v>
      </c>
      <c r="D222" s="2780"/>
      <c r="E222" s="2745">
        <v>10</v>
      </c>
      <c r="F222" s="2781">
        <v>43339</v>
      </c>
      <c r="G222" s="2781">
        <f>F222+E222</f>
        <v>43349</v>
      </c>
      <c r="H222" s="2780" t="s">
        <v>774</v>
      </c>
      <c r="I222" s="2745" t="s">
        <v>170</v>
      </c>
      <c r="J222" s="2782"/>
      <c r="K222" s="1124"/>
      <c r="L222" s="2783"/>
      <c r="M222" s="1124"/>
      <c r="N222" s="1124"/>
      <c r="O222" s="1144"/>
      <c r="P222" s="1124"/>
      <c r="Q222" s="1743"/>
      <c r="R222" s="1199"/>
      <c r="S222" s="2714"/>
      <c r="T222" s="2714"/>
      <c r="U222" s="1743"/>
      <c r="V222" s="1144"/>
      <c r="W222" s="1124"/>
      <c r="X222" s="2784"/>
      <c r="Y222" s="1124"/>
      <c r="Z222" s="1124"/>
      <c r="AA222" s="1124"/>
      <c r="AB222" s="1124"/>
      <c r="AC222" s="1124"/>
      <c r="AD222" s="1124"/>
      <c r="AE222" s="1124"/>
      <c r="AF222" s="1124"/>
      <c r="AG222" s="1343"/>
    </row>
    <row r="223" spans="1:33" ht="35.25" hidden="1" customHeight="1">
      <c r="A223" s="796">
        <v>1229</v>
      </c>
      <c r="B223" s="793" t="s">
        <v>819</v>
      </c>
      <c r="C223" s="857" t="s">
        <v>820</v>
      </c>
      <c r="D223" s="805"/>
      <c r="E223" s="796">
        <v>10</v>
      </c>
      <c r="F223" s="1775">
        <v>43339</v>
      </c>
      <c r="G223" s="1775">
        <f>F223+E223</f>
        <v>43349</v>
      </c>
      <c r="H223" s="805" t="s">
        <v>774</v>
      </c>
      <c r="I223" s="796" t="s">
        <v>170</v>
      </c>
      <c r="J223" s="792"/>
      <c r="K223" s="805" t="s">
        <v>821</v>
      </c>
      <c r="L223" s="1776">
        <v>23174</v>
      </c>
      <c r="M223" s="805"/>
      <c r="N223" s="805"/>
      <c r="O223" s="954">
        <v>1320</v>
      </c>
      <c r="P223" s="805">
        <v>1</v>
      </c>
      <c r="Q223" s="1779">
        <f t="shared" si="27"/>
        <v>1320</v>
      </c>
      <c r="R223" s="1777"/>
      <c r="S223" s="1778"/>
      <c r="T223" s="1778"/>
      <c r="U223" s="1779"/>
      <c r="V223" s="805"/>
      <c r="W223" s="954">
        <v>1320</v>
      </c>
      <c r="X223" s="1781"/>
      <c r="Y223" s="1124"/>
      <c r="Z223" s="1124"/>
      <c r="AA223" s="1124"/>
      <c r="AB223" s="1124"/>
      <c r="AC223" s="1124"/>
      <c r="AD223" s="1124"/>
      <c r="AE223" s="1124"/>
      <c r="AF223" s="1124"/>
      <c r="AG223" s="1282">
        <f t="shared" si="21"/>
        <v>1320</v>
      </c>
    </row>
    <row r="224" spans="1:33" ht="35.25" hidden="1" customHeight="1">
      <c r="A224" s="796">
        <v>1229</v>
      </c>
      <c r="B224" s="793" t="s">
        <v>819</v>
      </c>
      <c r="C224" s="857" t="s">
        <v>820</v>
      </c>
      <c r="D224" s="805"/>
      <c r="E224" s="796">
        <v>10</v>
      </c>
      <c r="F224" s="1775">
        <v>43339</v>
      </c>
      <c r="G224" s="1775">
        <f t="shared" ref="G224:G229" si="29">F224+E224</f>
        <v>43349</v>
      </c>
      <c r="H224" s="805" t="s">
        <v>774</v>
      </c>
      <c r="I224" s="796" t="s">
        <v>170</v>
      </c>
      <c r="J224" s="792"/>
      <c r="K224" s="805" t="s">
        <v>822</v>
      </c>
      <c r="L224" s="1776">
        <v>23174</v>
      </c>
      <c r="M224" s="805"/>
      <c r="N224" s="805"/>
      <c r="O224" s="954">
        <v>5724</v>
      </c>
      <c r="P224" s="805">
        <v>1</v>
      </c>
      <c r="Q224" s="1779">
        <f t="shared" si="27"/>
        <v>5724</v>
      </c>
      <c r="R224" s="1777"/>
      <c r="S224" s="1778"/>
      <c r="T224" s="1778"/>
      <c r="U224" s="1779"/>
      <c r="V224" s="805"/>
      <c r="W224" s="954">
        <v>5724</v>
      </c>
      <c r="X224" s="1781"/>
      <c r="Y224" s="1124"/>
      <c r="Z224" s="1124"/>
      <c r="AA224" s="1124"/>
      <c r="AB224" s="1124"/>
      <c r="AC224" s="1124"/>
      <c r="AD224" s="1124"/>
      <c r="AE224" s="1124"/>
      <c r="AF224" s="1124"/>
      <c r="AG224" s="1282">
        <f t="shared" si="21"/>
        <v>5724</v>
      </c>
    </row>
    <row r="225" spans="1:33" ht="35.25" hidden="1" customHeight="1">
      <c r="A225" s="796">
        <v>1229</v>
      </c>
      <c r="B225" s="793" t="s">
        <v>819</v>
      </c>
      <c r="C225" s="857" t="s">
        <v>820</v>
      </c>
      <c r="D225" s="805"/>
      <c r="E225" s="796">
        <v>10</v>
      </c>
      <c r="F225" s="1775">
        <v>43339</v>
      </c>
      <c r="G225" s="1775">
        <f t="shared" si="29"/>
        <v>43349</v>
      </c>
      <c r="H225" s="805" t="s">
        <v>774</v>
      </c>
      <c r="I225" s="796" t="s">
        <v>170</v>
      </c>
      <c r="J225" s="792"/>
      <c r="K225" s="805" t="s">
        <v>799</v>
      </c>
      <c r="L225" s="1776">
        <v>23174</v>
      </c>
      <c r="M225" s="805"/>
      <c r="N225" s="805"/>
      <c r="O225" s="954">
        <v>260</v>
      </c>
      <c r="P225" s="805">
        <v>1</v>
      </c>
      <c r="Q225" s="1779">
        <f t="shared" si="27"/>
        <v>260</v>
      </c>
      <c r="R225" s="1777"/>
      <c r="S225" s="1778"/>
      <c r="T225" s="1778"/>
      <c r="U225" s="1779"/>
      <c r="V225" s="805"/>
      <c r="W225" s="954">
        <v>260</v>
      </c>
      <c r="X225" s="1781"/>
      <c r="Y225" s="1124"/>
      <c r="Z225" s="1124"/>
      <c r="AA225" s="1124"/>
      <c r="AB225" s="1124"/>
      <c r="AC225" s="1124"/>
      <c r="AD225" s="1124"/>
      <c r="AE225" s="1124"/>
      <c r="AF225" s="1124"/>
      <c r="AG225" s="1282">
        <f t="shared" si="21"/>
        <v>260</v>
      </c>
    </row>
    <row r="226" spans="1:33" ht="35.25" hidden="1" customHeight="1">
      <c r="A226" s="796">
        <v>1229</v>
      </c>
      <c r="B226" s="793" t="s">
        <v>819</v>
      </c>
      <c r="C226" s="857" t="s">
        <v>820</v>
      </c>
      <c r="D226" s="805"/>
      <c r="E226" s="796">
        <v>10</v>
      </c>
      <c r="F226" s="1775">
        <v>43339</v>
      </c>
      <c r="G226" s="1775">
        <f t="shared" si="29"/>
        <v>43349</v>
      </c>
      <c r="H226" s="805" t="s">
        <v>774</v>
      </c>
      <c r="I226" s="796" t="s">
        <v>170</v>
      </c>
      <c r="J226" s="792"/>
      <c r="K226" s="805" t="s">
        <v>823</v>
      </c>
      <c r="L226" s="1776">
        <v>23174</v>
      </c>
      <c r="M226" s="805"/>
      <c r="N226" s="805"/>
      <c r="O226" s="954">
        <v>5773.333333333333</v>
      </c>
      <c r="P226" s="805">
        <v>1</v>
      </c>
      <c r="Q226" s="1779">
        <f t="shared" si="27"/>
        <v>5773.333333333333</v>
      </c>
      <c r="R226" s="1777"/>
      <c r="S226" s="1778"/>
      <c r="T226" s="1778"/>
      <c r="U226" s="1779"/>
      <c r="V226" s="805"/>
      <c r="W226" s="954">
        <v>5773.333333333333</v>
      </c>
      <c r="X226" s="1781"/>
      <c r="Y226" s="1124"/>
      <c r="Z226" s="1124"/>
      <c r="AA226" s="1124"/>
      <c r="AB226" s="1124"/>
      <c r="AC226" s="1124"/>
      <c r="AD226" s="1124"/>
      <c r="AE226" s="1124"/>
      <c r="AF226" s="1124"/>
      <c r="AG226" s="1282">
        <f t="shared" si="21"/>
        <v>5773.333333333333</v>
      </c>
    </row>
    <row r="227" spans="1:33" ht="35.25" hidden="1" customHeight="1">
      <c r="A227" s="796">
        <v>1229</v>
      </c>
      <c r="B227" s="793" t="s">
        <v>819</v>
      </c>
      <c r="C227" s="857" t="s">
        <v>820</v>
      </c>
      <c r="D227" s="805"/>
      <c r="E227" s="796">
        <v>10</v>
      </c>
      <c r="F227" s="1775">
        <v>43339</v>
      </c>
      <c r="G227" s="1775">
        <f t="shared" si="29"/>
        <v>43349</v>
      </c>
      <c r="H227" s="805" t="s">
        <v>774</v>
      </c>
      <c r="I227" s="796" t="s">
        <v>170</v>
      </c>
      <c r="J227" s="792"/>
      <c r="K227" s="805" t="s">
        <v>779</v>
      </c>
      <c r="L227" s="1776">
        <v>23174</v>
      </c>
      <c r="M227" s="805"/>
      <c r="N227" s="805"/>
      <c r="O227" s="954">
        <v>153.33333333333334</v>
      </c>
      <c r="P227" s="805">
        <v>1</v>
      </c>
      <c r="Q227" s="1779">
        <f t="shared" si="27"/>
        <v>153.33333333333334</v>
      </c>
      <c r="R227" s="1777"/>
      <c r="S227" s="1778"/>
      <c r="T227" s="1778"/>
      <c r="U227" s="1779"/>
      <c r="V227" s="805"/>
      <c r="W227" s="954">
        <v>153.33333333333334</v>
      </c>
      <c r="X227" s="1781"/>
      <c r="Y227" s="1124"/>
      <c r="Z227" s="1124"/>
      <c r="AA227" s="1124"/>
      <c r="AB227" s="1124"/>
      <c r="AC227" s="1124"/>
      <c r="AD227" s="1124"/>
      <c r="AE227" s="1124"/>
      <c r="AF227" s="1124"/>
      <c r="AG227" s="1282">
        <f t="shared" si="21"/>
        <v>153.33333333333334</v>
      </c>
    </row>
    <row r="228" spans="1:33" ht="35.25" hidden="1" customHeight="1">
      <c r="A228" s="796">
        <v>1229</v>
      </c>
      <c r="B228" s="793" t="s">
        <v>819</v>
      </c>
      <c r="C228" s="857" t="s">
        <v>820</v>
      </c>
      <c r="D228" s="805"/>
      <c r="E228" s="796">
        <v>10</v>
      </c>
      <c r="F228" s="1775">
        <v>43339</v>
      </c>
      <c r="G228" s="1775">
        <f t="shared" si="29"/>
        <v>43349</v>
      </c>
      <c r="H228" s="805" t="s">
        <v>774</v>
      </c>
      <c r="I228" s="796" t="s">
        <v>170</v>
      </c>
      <c r="J228" s="792"/>
      <c r="K228" s="805" t="s">
        <v>824</v>
      </c>
      <c r="L228" s="1776">
        <v>23174</v>
      </c>
      <c r="M228" s="805"/>
      <c r="N228" s="805"/>
      <c r="O228" s="954">
        <v>238</v>
      </c>
      <c r="P228" s="805">
        <v>1</v>
      </c>
      <c r="Q228" s="1779">
        <f t="shared" si="27"/>
        <v>238</v>
      </c>
      <c r="R228" s="1777"/>
      <c r="S228" s="1778"/>
      <c r="T228" s="1778"/>
      <c r="U228" s="1779"/>
      <c r="V228" s="805"/>
      <c r="W228" s="954">
        <v>238</v>
      </c>
      <c r="X228" s="1781"/>
      <c r="Y228" s="1124"/>
      <c r="Z228" s="1124"/>
      <c r="AA228" s="1124"/>
      <c r="AB228" s="1124"/>
      <c r="AC228" s="1124"/>
      <c r="AD228" s="1124"/>
      <c r="AE228" s="1124"/>
      <c r="AF228" s="1124"/>
      <c r="AG228" s="1282">
        <f t="shared" si="21"/>
        <v>238</v>
      </c>
    </row>
    <row r="229" spans="1:33" ht="35.25" hidden="1" customHeight="1">
      <c r="A229" s="796">
        <v>1229</v>
      </c>
      <c r="B229" s="793" t="s">
        <v>819</v>
      </c>
      <c r="C229" s="857" t="s">
        <v>820</v>
      </c>
      <c r="D229" s="805"/>
      <c r="E229" s="796">
        <v>10</v>
      </c>
      <c r="F229" s="1775">
        <v>43339</v>
      </c>
      <c r="G229" s="1775">
        <f t="shared" si="29"/>
        <v>43349</v>
      </c>
      <c r="H229" s="805" t="s">
        <v>774</v>
      </c>
      <c r="I229" s="796" t="s">
        <v>170</v>
      </c>
      <c r="J229" s="792"/>
      <c r="K229" s="805" t="s">
        <v>825</v>
      </c>
      <c r="L229" s="1776">
        <v>23174</v>
      </c>
      <c r="M229" s="805"/>
      <c r="N229" s="805"/>
      <c r="O229" s="954">
        <v>501.66666666666669</v>
      </c>
      <c r="P229" s="805">
        <v>1</v>
      </c>
      <c r="Q229" s="1779">
        <f t="shared" si="27"/>
        <v>501.66666666666669</v>
      </c>
      <c r="R229" s="1777"/>
      <c r="S229" s="1778"/>
      <c r="T229" s="1778"/>
      <c r="U229" s="1779"/>
      <c r="V229" s="805"/>
      <c r="W229" s="954">
        <v>501.66666666666669</v>
      </c>
      <c r="X229" s="1781"/>
      <c r="Y229" s="1124"/>
      <c r="Z229" s="1124"/>
      <c r="AA229" s="1124"/>
      <c r="AB229" s="1124"/>
      <c r="AC229" s="1124"/>
      <c r="AD229" s="1124"/>
      <c r="AE229" s="1124"/>
      <c r="AF229" s="1124"/>
      <c r="AG229" s="1282">
        <f t="shared" si="21"/>
        <v>501.66666666666669</v>
      </c>
    </row>
    <row r="230" spans="1:33" ht="35.25" hidden="1" customHeight="1">
      <c r="A230" s="796">
        <v>1229</v>
      </c>
      <c r="B230" s="793" t="s">
        <v>819</v>
      </c>
      <c r="C230" s="857" t="s">
        <v>820</v>
      </c>
      <c r="D230" s="805"/>
      <c r="E230" s="796"/>
      <c r="F230" s="1775"/>
      <c r="G230" s="1775"/>
      <c r="H230" s="805" t="s">
        <v>774</v>
      </c>
      <c r="I230" s="796" t="s">
        <v>170</v>
      </c>
      <c r="J230" s="792"/>
      <c r="K230" s="1292" t="s">
        <v>818</v>
      </c>
      <c r="L230" s="1776">
        <v>23173</v>
      </c>
      <c r="M230" s="805"/>
      <c r="N230" s="805"/>
      <c r="O230" s="954">
        <v>534.88800000000003</v>
      </c>
      <c r="P230" s="1779">
        <v>1</v>
      </c>
      <c r="Q230" s="1779">
        <f t="shared" si="27"/>
        <v>534.88800000000003</v>
      </c>
      <c r="R230" s="1777"/>
      <c r="S230" s="1778"/>
      <c r="T230" s="1778"/>
      <c r="U230" s="1779"/>
      <c r="V230" s="805"/>
      <c r="W230" s="954">
        <v>534.88800000000003</v>
      </c>
      <c r="X230" s="1781"/>
      <c r="Y230" s="1124"/>
      <c r="Z230" s="1124"/>
      <c r="AA230" s="1124"/>
      <c r="AB230" s="1124"/>
      <c r="AC230" s="1124"/>
      <c r="AD230" s="1124"/>
      <c r="AE230" s="1124"/>
      <c r="AF230" s="1124"/>
      <c r="AG230" s="1282">
        <f t="shared" si="21"/>
        <v>534.88800000000003</v>
      </c>
    </row>
    <row r="231" spans="1:33" ht="35.25" hidden="1" customHeight="1">
      <c r="A231" s="796">
        <v>1229</v>
      </c>
      <c r="B231" s="793" t="s">
        <v>819</v>
      </c>
      <c r="C231" s="857" t="s">
        <v>820</v>
      </c>
      <c r="D231" s="805"/>
      <c r="E231" s="796"/>
      <c r="F231" s="796"/>
      <c r="G231" s="796"/>
      <c r="H231" s="805" t="s">
        <v>774</v>
      </c>
      <c r="I231" s="796" t="s">
        <v>170</v>
      </c>
      <c r="J231" s="792"/>
      <c r="K231" s="805" t="s">
        <v>415</v>
      </c>
      <c r="L231" s="1776">
        <v>23173</v>
      </c>
      <c r="M231" s="805"/>
      <c r="N231" s="805"/>
      <c r="O231" s="954">
        <v>1666.6666666666667</v>
      </c>
      <c r="P231" s="805">
        <v>1</v>
      </c>
      <c r="Q231" s="1779">
        <f t="shared" si="27"/>
        <v>1666.6666666666667</v>
      </c>
      <c r="R231" s="1777"/>
      <c r="S231" s="1778"/>
      <c r="T231" s="1778"/>
      <c r="U231" s="1779"/>
      <c r="V231" s="805"/>
      <c r="W231" s="954">
        <v>1666.6666666666667</v>
      </c>
      <c r="X231" s="1781"/>
      <c r="Y231" s="1124"/>
      <c r="Z231" s="1124"/>
      <c r="AA231" s="1124"/>
      <c r="AB231" s="1124"/>
      <c r="AC231" s="1124"/>
      <c r="AD231" s="1124"/>
      <c r="AE231" s="1124"/>
      <c r="AF231" s="1124"/>
      <c r="AG231" s="1282">
        <f t="shared" si="21"/>
        <v>1666.6666666666667</v>
      </c>
    </row>
    <row r="232" spans="1:33" ht="35.25" hidden="1" customHeight="1">
      <c r="A232" s="2745">
        <v>1230</v>
      </c>
      <c r="B232" s="2748" t="s">
        <v>826</v>
      </c>
      <c r="C232" s="2748" t="s">
        <v>827</v>
      </c>
      <c r="D232" s="2780"/>
      <c r="E232" s="2745">
        <v>5</v>
      </c>
      <c r="F232" s="2781">
        <v>43360</v>
      </c>
      <c r="G232" s="2781">
        <f>F232+E232</f>
        <v>43365</v>
      </c>
      <c r="H232" s="2780" t="s">
        <v>785</v>
      </c>
      <c r="I232" s="2745" t="s">
        <v>170</v>
      </c>
      <c r="J232" s="2782"/>
      <c r="K232" s="1124"/>
      <c r="L232" s="2783"/>
      <c r="M232" s="1124"/>
      <c r="N232" s="1124"/>
      <c r="O232" s="1144"/>
      <c r="P232" s="1124"/>
      <c r="Q232" s="1743"/>
      <c r="R232" s="1199"/>
      <c r="S232" s="2714"/>
      <c r="T232" s="2714"/>
      <c r="U232" s="1743"/>
      <c r="V232" s="1124"/>
      <c r="W232" s="1144"/>
      <c r="X232" s="2784"/>
      <c r="Y232" s="1124"/>
      <c r="Z232" s="1124"/>
      <c r="AA232" s="1124"/>
      <c r="AB232" s="1124"/>
      <c r="AC232" s="1124"/>
      <c r="AD232" s="1124"/>
      <c r="AE232" s="1124"/>
      <c r="AF232" s="1124"/>
      <c r="AG232" s="1343"/>
    </row>
    <row r="233" spans="1:33" ht="57.75" hidden="1" customHeight="1">
      <c r="A233" s="796">
        <v>1230</v>
      </c>
      <c r="B233" s="793" t="s">
        <v>826</v>
      </c>
      <c r="C233" s="1074" t="s">
        <v>827</v>
      </c>
      <c r="D233" s="805"/>
      <c r="E233" s="796">
        <v>5</v>
      </c>
      <c r="F233" s="1775">
        <v>43360</v>
      </c>
      <c r="G233" s="1775">
        <f>F233+E233</f>
        <v>43365</v>
      </c>
      <c r="H233" s="805" t="s">
        <v>785</v>
      </c>
      <c r="I233" s="796" t="s">
        <v>170</v>
      </c>
      <c r="J233" s="792"/>
      <c r="K233" s="805" t="s">
        <v>828</v>
      </c>
      <c r="L233" s="1776">
        <v>23174</v>
      </c>
      <c r="M233" s="805"/>
      <c r="N233" s="805"/>
      <c r="O233" s="954">
        <v>2520</v>
      </c>
      <c r="P233" s="805">
        <v>1</v>
      </c>
      <c r="Q233" s="1779">
        <f>O233*P233</f>
        <v>2520</v>
      </c>
      <c r="R233" s="1777"/>
      <c r="S233" s="1778"/>
      <c r="T233" s="1778"/>
      <c r="U233" s="1779"/>
      <c r="V233" s="805"/>
      <c r="W233" s="954">
        <v>2520</v>
      </c>
      <c r="X233" s="1781"/>
      <c r="Y233" s="1124"/>
      <c r="Z233" s="1124"/>
      <c r="AA233" s="1124"/>
      <c r="AB233" s="1124"/>
      <c r="AC233" s="1124"/>
      <c r="AD233" s="1124"/>
      <c r="AE233" s="1124"/>
      <c r="AF233" s="1124"/>
      <c r="AG233" s="1282">
        <f t="shared" si="21"/>
        <v>2520</v>
      </c>
    </row>
    <row r="234" spans="1:33" ht="57.75" hidden="1" customHeight="1">
      <c r="A234" s="796">
        <v>1230</v>
      </c>
      <c r="B234" s="793" t="s">
        <v>826</v>
      </c>
      <c r="C234" s="1074" t="s">
        <v>827</v>
      </c>
      <c r="D234" s="805"/>
      <c r="E234" s="796">
        <v>5</v>
      </c>
      <c r="F234" s="1775">
        <v>43360</v>
      </c>
      <c r="G234" s="1775">
        <f t="shared" ref="G234:G239" si="30">F234+E234</f>
        <v>43365</v>
      </c>
      <c r="H234" s="805" t="s">
        <v>785</v>
      </c>
      <c r="I234" s="796" t="s">
        <v>170</v>
      </c>
      <c r="J234" s="792"/>
      <c r="K234" s="805" t="s">
        <v>829</v>
      </c>
      <c r="L234" s="1776">
        <v>23174</v>
      </c>
      <c r="M234" s="805"/>
      <c r="N234" s="805"/>
      <c r="O234" s="954">
        <v>1236</v>
      </c>
      <c r="P234" s="805">
        <v>1</v>
      </c>
      <c r="Q234" s="1779">
        <f>O234*P234</f>
        <v>1236</v>
      </c>
      <c r="R234" s="1777"/>
      <c r="S234" s="1778"/>
      <c r="T234" s="1778"/>
      <c r="U234" s="1779"/>
      <c r="V234" s="805"/>
      <c r="W234" s="954">
        <v>1236</v>
      </c>
      <c r="X234" s="1781"/>
      <c r="Y234" s="1124"/>
      <c r="Z234" s="1124"/>
      <c r="AA234" s="1124"/>
      <c r="AB234" s="1124"/>
      <c r="AC234" s="1124"/>
      <c r="AD234" s="1124"/>
      <c r="AE234" s="1124"/>
      <c r="AF234" s="1124"/>
      <c r="AG234" s="1282">
        <f t="shared" si="21"/>
        <v>1236</v>
      </c>
    </row>
    <row r="235" spans="1:33" ht="57.75" hidden="1" customHeight="1">
      <c r="A235" s="796">
        <v>1230</v>
      </c>
      <c r="B235" s="793" t="s">
        <v>826</v>
      </c>
      <c r="C235" s="1074" t="s">
        <v>827</v>
      </c>
      <c r="D235" s="805"/>
      <c r="E235" s="796">
        <v>5</v>
      </c>
      <c r="F235" s="1775">
        <v>43360</v>
      </c>
      <c r="G235" s="1775">
        <f t="shared" si="30"/>
        <v>43365</v>
      </c>
      <c r="H235" s="805" t="s">
        <v>785</v>
      </c>
      <c r="I235" s="796" t="s">
        <v>170</v>
      </c>
      <c r="J235" s="792"/>
      <c r="K235" s="805" t="s">
        <v>830</v>
      </c>
      <c r="L235" s="1776">
        <v>23174</v>
      </c>
      <c r="M235" s="805"/>
      <c r="N235" s="805"/>
      <c r="O235" s="954">
        <v>260</v>
      </c>
      <c r="P235" s="805">
        <v>1</v>
      </c>
      <c r="Q235" s="1779">
        <f>O235*P235</f>
        <v>260</v>
      </c>
      <c r="R235" s="1777"/>
      <c r="S235" s="1778"/>
      <c r="T235" s="1778"/>
      <c r="U235" s="1779"/>
      <c r="V235" s="805"/>
      <c r="W235" s="954">
        <v>260</v>
      </c>
      <c r="X235" s="1781"/>
      <c r="Y235" s="1124"/>
      <c r="Z235" s="1124"/>
      <c r="AA235" s="1124"/>
      <c r="AB235" s="1124"/>
      <c r="AC235" s="1124"/>
      <c r="AD235" s="1124"/>
      <c r="AE235" s="1124"/>
      <c r="AF235" s="1124"/>
      <c r="AG235" s="1282">
        <f t="shared" si="21"/>
        <v>260</v>
      </c>
    </row>
    <row r="236" spans="1:33" ht="57.75" hidden="1" customHeight="1">
      <c r="A236" s="796">
        <v>1230</v>
      </c>
      <c r="B236" s="793" t="s">
        <v>826</v>
      </c>
      <c r="C236" s="1074" t="s">
        <v>827</v>
      </c>
      <c r="D236" s="805"/>
      <c r="E236" s="796">
        <v>5</v>
      </c>
      <c r="F236" s="1775">
        <v>43360</v>
      </c>
      <c r="G236" s="1775">
        <f t="shared" si="30"/>
        <v>43365</v>
      </c>
      <c r="H236" s="805" t="s">
        <v>785</v>
      </c>
      <c r="I236" s="796" t="s">
        <v>170</v>
      </c>
      <c r="J236" s="792"/>
      <c r="K236" s="805" t="s">
        <v>831</v>
      </c>
      <c r="L236" s="1776">
        <v>23174</v>
      </c>
      <c r="M236" s="805"/>
      <c r="N236" s="805"/>
      <c r="O236" s="954">
        <v>1173.3333333333333</v>
      </c>
      <c r="P236" s="805">
        <v>1</v>
      </c>
      <c r="Q236" s="1779">
        <f>O236*P236</f>
        <v>1173.3333333333333</v>
      </c>
      <c r="R236" s="1777"/>
      <c r="S236" s="1778"/>
      <c r="T236" s="1778"/>
      <c r="U236" s="1779"/>
      <c r="V236" s="805"/>
      <c r="W236" s="954">
        <v>1173.3333333333333</v>
      </c>
      <c r="X236" s="1781"/>
      <c r="Y236" s="1124"/>
      <c r="Z236" s="1124"/>
      <c r="AA236" s="1124"/>
      <c r="AB236" s="1124"/>
      <c r="AC236" s="1124"/>
      <c r="AD236" s="1124"/>
      <c r="AE236" s="1124"/>
      <c r="AF236" s="1124"/>
      <c r="AG236" s="1282">
        <f t="shared" si="21"/>
        <v>1173.3333333333333</v>
      </c>
    </row>
    <row r="237" spans="1:33" ht="57.75" hidden="1" customHeight="1">
      <c r="A237" s="796">
        <v>1230</v>
      </c>
      <c r="B237" s="793" t="s">
        <v>826</v>
      </c>
      <c r="C237" s="1074" t="s">
        <v>827</v>
      </c>
      <c r="D237" s="805"/>
      <c r="E237" s="796">
        <v>5</v>
      </c>
      <c r="F237" s="1775">
        <v>43360</v>
      </c>
      <c r="G237" s="1775">
        <f t="shared" si="30"/>
        <v>43365</v>
      </c>
      <c r="H237" s="805" t="s">
        <v>785</v>
      </c>
      <c r="I237" s="796" t="s">
        <v>170</v>
      </c>
      <c r="J237" s="792"/>
      <c r="K237" s="805" t="s">
        <v>832</v>
      </c>
      <c r="L237" s="1776">
        <v>23174</v>
      </c>
      <c r="M237" s="805"/>
      <c r="N237" s="805"/>
      <c r="O237" s="954">
        <v>146.66666666666666</v>
      </c>
      <c r="P237" s="805">
        <v>1</v>
      </c>
      <c r="Q237" s="1779">
        <f>P237*O237</f>
        <v>146.66666666666666</v>
      </c>
      <c r="R237" s="1777"/>
      <c r="S237" s="1778"/>
      <c r="T237" s="1778"/>
      <c r="U237" s="1779"/>
      <c r="V237" s="805"/>
      <c r="W237" s="954">
        <v>146.66666666666666</v>
      </c>
      <c r="X237" s="1781"/>
      <c r="Y237" s="1124"/>
      <c r="Z237" s="1124"/>
      <c r="AA237" s="1124"/>
      <c r="AB237" s="1124"/>
      <c r="AC237" s="1124"/>
      <c r="AD237" s="1124"/>
      <c r="AE237" s="1124"/>
      <c r="AF237" s="1124"/>
      <c r="AG237" s="1282">
        <f t="shared" si="21"/>
        <v>146.66666666666666</v>
      </c>
    </row>
    <row r="238" spans="1:33" ht="57.75" hidden="1" customHeight="1">
      <c r="A238" s="796">
        <v>1230</v>
      </c>
      <c r="B238" s="793" t="s">
        <v>826</v>
      </c>
      <c r="C238" s="1074" t="s">
        <v>827</v>
      </c>
      <c r="D238" s="805"/>
      <c r="E238" s="796">
        <v>5</v>
      </c>
      <c r="F238" s="1775">
        <v>43360</v>
      </c>
      <c r="G238" s="1775">
        <f t="shared" si="30"/>
        <v>43365</v>
      </c>
      <c r="H238" s="805" t="s">
        <v>785</v>
      </c>
      <c r="I238" s="796" t="s">
        <v>170</v>
      </c>
      <c r="J238" s="792"/>
      <c r="K238" s="805" t="s">
        <v>833</v>
      </c>
      <c r="L238" s="1776">
        <v>23174</v>
      </c>
      <c r="M238" s="805"/>
      <c r="N238" s="805"/>
      <c r="O238" s="954">
        <v>1088</v>
      </c>
      <c r="P238" s="805">
        <v>1</v>
      </c>
      <c r="Q238" s="1779">
        <f>P238*O238</f>
        <v>1088</v>
      </c>
      <c r="R238" s="1777"/>
      <c r="S238" s="1778"/>
      <c r="T238" s="1778"/>
      <c r="U238" s="1779"/>
      <c r="V238" s="805"/>
      <c r="W238" s="954">
        <v>1088</v>
      </c>
      <c r="X238" s="1781"/>
      <c r="Y238" s="1124"/>
      <c r="Z238" s="1124"/>
      <c r="AA238" s="1124"/>
      <c r="AB238" s="1124"/>
      <c r="AC238" s="1124"/>
      <c r="AD238" s="1124"/>
      <c r="AE238" s="1124"/>
      <c r="AF238" s="1124"/>
      <c r="AG238" s="1282">
        <f t="shared" si="21"/>
        <v>1088</v>
      </c>
    </row>
    <row r="239" spans="1:33" ht="57.75" hidden="1" customHeight="1">
      <c r="A239" s="796">
        <v>1230</v>
      </c>
      <c r="B239" s="793" t="s">
        <v>826</v>
      </c>
      <c r="C239" s="1074" t="s">
        <v>827</v>
      </c>
      <c r="D239" s="805"/>
      <c r="E239" s="796">
        <v>5</v>
      </c>
      <c r="F239" s="1775">
        <v>43360</v>
      </c>
      <c r="G239" s="1775">
        <f t="shared" si="30"/>
        <v>43365</v>
      </c>
      <c r="H239" s="805" t="s">
        <v>785</v>
      </c>
      <c r="I239" s="796" t="s">
        <v>170</v>
      </c>
      <c r="J239" s="792"/>
      <c r="K239" s="805" t="s">
        <v>834</v>
      </c>
      <c r="L239" s="1776">
        <v>23174</v>
      </c>
      <c r="M239" s="805"/>
      <c r="N239" s="805"/>
      <c r="O239" s="954">
        <v>680</v>
      </c>
      <c r="P239" s="805">
        <v>1</v>
      </c>
      <c r="Q239" s="1779">
        <f>O239*P239</f>
        <v>680</v>
      </c>
      <c r="R239" s="1777"/>
      <c r="S239" s="1778"/>
      <c r="T239" s="1778"/>
      <c r="U239" s="1779"/>
      <c r="V239" s="805"/>
      <c r="W239" s="954">
        <v>680</v>
      </c>
      <c r="X239" s="1781"/>
      <c r="Y239" s="1124"/>
      <c r="Z239" s="1124"/>
      <c r="AA239" s="1124"/>
      <c r="AB239" s="1124"/>
      <c r="AC239" s="1124"/>
      <c r="AD239" s="1124"/>
      <c r="AE239" s="1124"/>
      <c r="AF239" s="1124"/>
      <c r="AG239" s="1282">
        <f>SUM(S239:AF239)</f>
        <v>680</v>
      </c>
    </row>
    <row r="240" spans="1:33" ht="57.75" hidden="1" customHeight="1">
      <c r="A240" s="796">
        <v>1230</v>
      </c>
      <c r="B240" s="793" t="s">
        <v>826</v>
      </c>
      <c r="C240" s="1074" t="s">
        <v>827</v>
      </c>
      <c r="D240" s="805"/>
      <c r="E240" s="796"/>
      <c r="F240" s="1775"/>
      <c r="G240" s="1775"/>
      <c r="H240" s="805" t="s">
        <v>785</v>
      </c>
      <c r="I240" s="796" t="s">
        <v>170</v>
      </c>
      <c r="J240" s="792"/>
      <c r="K240" s="1292" t="s">
        <v>835</v>
      </c>
      <c r="L240" s="1776">
        <v>23173</v>
      </c>
      <c r="M240" s="805"/>
      <c r="N240" s="805"/>
      <c r="O240" s="954">
        <v>30.331</v>
      </c>
      <c r="P240" s="805">
        <v>1</v>
      </c>
      <c r="Q240" s="1779">
        <f>O240*P240</f>
        <v>30.331</v>
      </c>
      <c r="R240" s="1777"/>
      <c r="S240" s="1778"/>
      <c r="T240" s="1778"/>
      <c r="U240" s="1779"/>
      <c r="V240" s="805"/>
      <c r="W240" s="954">
        <v>30.331</v>
      </c>
      <c r="X240" s="1781"/>
      <c r="Y240" s="1124"/>
      <c r="Z240" s="1124"/>
      <c r="AA240" s="1124"/>
      <c r="AB240" s="1124"/>
      <c r="AC240" s="1124"/>
      <c r="AD240" s="1124"/>
      <c r="AE240" s="1124"/>
      <c r="AF240" s="1124"/>
      <c r="AG240" s="1282">
        <f>SUM(S240:AF240)</f>
        <v>30.331</v>
      </c>
    </row>
    <row r="241" spans="1:33" ht="57.75" hidden="1" customHeight="1">
      <c r="A241" s="796">
        <v>1230</v>
      </c>
      <c r="B241" s="793" t="s">
        <v>826</v>
      </c>
      <c r="C241" s="1074" t="s">
        <v>827</v>
      </c>
      <c r="D241" s="805"/>
      <c r="E241" s="796"/>
      <c r="F241" s="796"/>
      <c r="G241" s="796"/>
      <c r="H241" s="805" t="s">
        <v>785</v>
      </c>
      <c r="I241" s="796" t="s">
        <v>170</v>
      </c>
      <c r="J241" s="792"/>
      <c r="K241" s="805" t="s">
        <v>415</v>
      </c>
      <c r="L241" s="1776">
        <v>23173</v>
      </c>
      <c r="M241" s="805"/>
      <c r="N241" s="805"/>
      <c r="O241" s="954">
        <v>833.33333333333337</v>
      </c>
      <c r="P241" s="805">
        <v>1</v>
      </c>
      <c r="Q241" s="1779">
        <f>O241*P241</f>
        <v>833.33333333333337</v>
      </c>
      <c r="R241" s="1777"/>
      <c r="S241" s="1778"/>
      <c r="T241" s="1778"/>
      <c r="U241" s="1779"/>
      <c r="V241" s="805"/>
      <c r="W241" s="954">
        <v>833.33333333333337</v>
      </c>
      <c r="X241" s="1781"/>
      <c r="Y241" s="1124"/>
      <c r="Z241" s="1124"/>
      <c r="AA241" s="1124"/>
      <c r="AB241" s="1124"/>
      <c r="AC241" s="1124"/>
      <c r="AD241" s="1124"/>
      <c r="AE241" s="1124"/>
      <c r="AF241" s="1124"/>
      <c r="AG241" s="1282">
        <f>SUM(S241:AF241)</f>
        <v>833.33333333333337</v>
      </c>
    </row>
    <row r="242" spans="1:33" ht="33.75" customHeight="1">
      <c r="A242" s="1827" t="s">
        <v>235</v>
      </c>
      <c r="B242" s="1517"/>
      <c r="C242" s="1828"/>
      <c r="D242" s="1829"/>
      <c r="E242" s="1829"/>
      <c r="F242" s="1829"/>
      <c r="G242" s="1829"/>
      <c r="H242" s="1829"/>
      <c r="I242" s="1830"/>
      <c r="J242" s="835"/>
      <c r="K242" s="1815"/>
      <c r="L242" s="1817"/>
      <c r="M242" s="1818"/>
      <c r="N242" s="1819"/>
      <c r="O242" s="1820"/>
      <c r="P242" s="1819"/>
      <c r="Q242" s="1822">
        <f>Q243+Q332+Q387</f>
        <v>688782.5104266667</v>
      </c>
      <c r="R242" s="1822">
        <f>+R243+R332+R387</f>
        <v>688782.21</v>
      </c>
      <c r="S242" s="1821">
        <f t="shared" ref="S242:AG242" si="31">S243+S332+S387</f>
        <v>0</v>
      </c>
      <c r="T242" s="1821">
        <f t="shared" si="31"/>
        <v>1700</v>
      </c>
      <c r="U242" s="1821">
        <f t="shared" si="31"/>
        <v>152563.84376000002</v>
      </c>
      <c r="V242" s="1821">
        <f t="shared" si="31"/>
        <v>137838.66666666669</v>
      </c>
      <c r="W242" s="1821">
        <f t="shared" si="31"/>
        <v>64436</v>
      </c>
      <c r="X242" s="1831">
        <f t="shared" si="31"/>
        <v>109804</v>
      </c>
      <c r="Y242" s="1832">
        <f t="shared" si="31"/>
        <v>187000</v>
      </c>
      <c r="Z242" s="1833">
        <f t="shared" si="31"/>
        <v>11600</v>
      </c>
      <c r="AA242" s="1833">
        <f t="shared" si="31"/>
        <v>11640</v>
      </c>
      <c r="AB242" s="1833">
        <f t="shared" si="31"/>
        <v>500</v>
      </c>
      <c r="AC242" s="1833">
        <f t="shared" si="31"/>
        <v>500</v>
      </c>
      <c r="AD242" s="1833">
        <f t="shared" si="31"/>
        <v>10200</v>
      </c>
      <c r="AE242" s="1833">
        <f t="shared" si="31"/>
        <v>500</v>
      </c>
      <c r="AF242" s="1833">
        <f t="shared" si="31"/>
        <v>500</v>
      </c>
      <c r="AG242" s="1821">
        <f t="shared" si="31"/>
        <v>688782.5104266667</v>
      </c>
    </row>
    <row r="243" spans="1:33" ht="37.5" customHeight="1">
      <c r="A243" s="1540" t="s">
        <v>236</v>
      </c>
      <c r="B243" s="1461"/>
      <c r="C243" s="1500"/>
      <c r="D243" s="1335"/>
      <c r="E243" s="1335"/>
      <c r="F243" s="1335"/>
      <c r="G243" s="1335"/>
      <c r="H243" s="1335"/>
      <c r="I243" s="1336"/>
      <c r="J243" s="273"/>
      <c r="K243" s="1248"/>
      <c r="L243" s="1269"/>
      <c r="M243" s="1270"/>
      <c r="N243" s="1268"/>
      <c r="O243" s="1271"/>
      <c r="P243" s="1268"/>
      <c r="Q243" s="1273">
        <f>+Q244+Q254+Q267+Q289+Q311</f>
        <v>300354.41666666669</v>
      </c>
      <c r="R243" s="1273">
        <f>+'[2]Compil Costing PPA 3 millions'!F7</f>
        <v>300354.12</v>
      </c>
      <c r="S243" s="1272">
        <f>+S244+S254+S267+S289+S311</f>
        <v>0</v>
      </c>
      <c r="T243" s="1272">
        <f>+T244+T254+T267+T289+T311</f>
        <v>0</v>
      </c>
      <c r="U243" s="1272">
        <f t="shared" ref="U243:AF243" si="32">+U244+U254+U267+U289+U311</f>
        <v>79470.75</v>
      </c>
      <c r="V243" s="1272">
        <f t="shared" si="32"/>
        <v>40583.666666666672</v>
      </c>
      <c r="W243" s="1272">
        <f t="shared" si="32"/>
        <v>54436</v>
      </c>
      <c r="X243" s="1272">
        <f t="shared" si="32"/>
        <v>45624</v>
      </c>
      <c r="Y243" s="1272">
        <f t="shared" si="32"/>
        <v>77200</v>
      </c>
      <c r="Z243" s="1272">
        <f t="shared" si="32"/>
        <v>0</v>
      </c>
      <c r="AA243" s="1272">
        <f t="shared" si="32"/>
        <v>3040</v>
      </c>
      <c r="AB243" s="1272">
        <f t="shared" si="32"/>
        <v>0</v>
      </c>
      <c r="AC243" s="1272">
        <f t="shared" si="32"/>
        <v>0</v>
      </c>
      <c r="AD243" s="1272">
        <f t="shared" si="32"/>
        <v>0</v>
      </c>
      <c r="AE243" s="1272">
        <f t="shared" si="32"/>
        <v>0</v>
      </c>
      <c r="AF243" s="1272">
        <f t="shared" si="32"/>
        <v>0</v>
      </c>
      <c r="AG243" s="1272">
        <f>+AG244+AG254+AG267+AG289+AG311</f>
        <v>300354.41666666669</v>
      </c>
    </row>
    <row r="244" spans="1:33" ht="29.25" customHeight="1">
      <c r="A244" s="1275">
        <v>211</v>
      </c>
      <c r="B244" s="995" t="s">
        <v>59</v>
      </c>
      <c r="C244" s="1083"/>
      <c r="D244" s="1339"/>
      <c r="E244" s="1340"/>
      <c r="F244" s="1340"/>
      <c r="G244" s="1340"/>
      <c r="H244" s="1339"/>
      <c r="I244" s="1341"/>
      <c r="J244" s="283"/>
      <c r="K244" s="1278"/>
      <c r="L244" s="1279"/>
      <c r="M244" s="1280"/>
      <c r="N244" s="1277"/>
      <c r="O244" s="1281"/>
      <c r="P244" s="1277"/>
      <c r="Q244" s="547">
        <f>SUM(Q246:Q253)</f>
        <v>32625.75</v>
      </c>
      <c r="R244" s="287"/>
      <c r="S244" s="1282">
        <f t="shared" ref="S244:AF244" si="33">SUM(S246:S253)</f>
        <v>0</v>
      </c>
      <c r="T244" s="1282">
        <f t="shared" si="33"/>
        <v>0</v>
      </c>
      <c r="U244" s="1282">
        <f t="shared" si="33"/>
        <v>32625.75</v>
      </c>
      <c r="V244" s="1282">
        <f t="shared" si="33"/>
        <v>0</v>
      </c>
      <c r="W244" s="1282">
        <f t="shared" si="33"/>
        <v>0</v>
      </c>
      <c r="X244" s="1282">
        <f t="shared" si="33"/>
        <v>0</v>
      </c>
      <c r="Y244" s="1282">
        <f t="shared" si="33"/>
        <v>0</v>
      </c>
      <c r="Z244" s="1282">
        <f t="shared" si="33"/>
        <v>0</v>
      </c>
      <c r="AA244" s="1282">
        <f t="shared" si="33"/>
        <v>0</v>
      </c>
      <c r="AB244" s="1282">
        <f t="shared" si="33"/>
        <v>0</v>
      </c>
      <c r="AC244" s="1282">
        <f t="shared" si="33"/>
        <v>0</v>
      </c>
      <c r="AD244" s="1282">
        <f t="shared" si="33"/>
        <v>0</v>
      </c>
      <c r="AE244" s="1282">
        <f t="shared" si="33"/>
        <v>0</v>
      </c>
      <c r="AF244" s="1282">
        <f t="shared" si="33"/>
        <v>0</v>
      </c>
      <c r="AG244" s="1282">
        <f>SUM(S244:AF244)</f>
        <v>32625.75</v>
      </c>
    </row>
    <row r="245" spans="1:33" ht="29.25" hidden="1" customHeight="1">
      <c r="A245" s="2789">
        <v>2111</v>
      </c>
      <c r="B245" s="2790" t="s">
        <v>59</v>
      </c>
      <c r="C245" s="2790" t="s">
        <v>293</v>
      </c>
      <c r="D245" s="2791"/>
      <c r="E245" s="2789">
        <v>5</v>
      </c>
      <c r="F245" s="2792">
        <v>43221</v>
      </c>
      <c r="G245" s="2792">
        <f>+E245+F245</f>
        <v>43226</v>
      </c>
      <c r="H245" s="2792" t="s">
        <v>294</v>
      </c>
      <c r="I245" s="2789" t="s">
        <v>171</v>
      </c>
      <c r="J245" s="2793" t="s">
        <v>295</v>
      </c>
      <c r="K245" s="1705"/>
      <c r="L245" s="2786"/>
      <c r="M245" s="2736"/>
      <c r="N245" s="2737"/>
      <c r="O245" s="2738"/>
      <c r="P245" s="2737"/>
      <c r="Q245" s="2809"/>
      <c r="R245" s="2787"/>
      <c r="S245" s="2739"/>
      <c r="T245" s="2739"/>
      <c r="U245" s="2739"/>
      <c r="V245" s="2739"/>
      <c r="W245" s="2739"/>
      <c r="X245" s="2788"/>
      <c r="Y245" s="2739"/>
      <c r="Z245" s="2739"/>
      <c r="AA245" s="2739"/>
      <c r="AB245" s="2739"/>
      <c r="AC245" s="2739"/>
      <c r="AD245" s="2739"/>
      <c r="AE245" s="2739"/>
      <c r="AF245" s="2739"/>
      <c r="AG245" s="2739"/>
    </row>
    <row r="246" spans="1:33" ht="32.25" hidden="1" customHeight="1">
      <c r="A246" s="294">
        <v>2111</v>
      </c>
      <c r="B246" s="291" t="s">
        <v>59</v>
      </c>
      <c r="C246" s="824" t="s">
        <v>293</v>
      </c>
      <c r="D246" s="326"/>
      <c r="E246" s="294">
        <v>5</v>
      </c>
      <c r="F246" s="293">
        <v>43221</v>
      </c>
      <c r="G246" s="293">
        <f>+E246+F246</f>
        <v>43226</v>
      </c>
      <c r="H246" s="293" t="s">
        <v>294</v>
      </c>
      <c r="I246" s="294" t="s">
        <v>171</v>
      </c>
      <c r="J246" s="307" t="s">
        <v>295</v>
      </c>
      <c r="K246" s="326" t="s">
        <v>296</v>
      </c>
      <c r="L246" s="1237">
        <v>23174</v>
      </c>
      <c r="M246" s="326"/>
      <c r="N246" s="294"/>
      <c r="O246" s="354">
        <v>1800</v>
      </c>
      <c r="P246" s="294">
        <v>3</v>
      </c>
      <c r="Q246" s="299">
        <f t="shared" ref="Q246:Q253" si="34">+O246*P246</f>
        <v>5400</v>
      </c>
      <c r="R246" s="299"/>
      <c r="S246" s="355"/>
      <c r="T246" s="355"/>
      <c r="U246" s="355">
        <v>5400</v>
      </c>
      <c r="V246" s="355"/>
      <c r="W246" s="355"/>
      <c r="X246" s="1137"/>
      <c r="Y246" s="1126"/>
      <c r="Z246" s="1194"/>
      <c r="AA246" s="1194"/>
      <c r="AB246" s="1194"/>
      <c r="AC246" s="1124"/>
      <c r="AD246" s="1124"/>
      <c r="AE246" s="1152"/>
      <c r="AF246" s="1124"/>
      <c r="AG246" s="1282">
        <f t="shared" ref="AG246:AG253" si="35">SUM(S246:AF246)</f>
        <v>5400</v>
      </c>
    </row>
    <row r="247" spans="1:33" ht="32.25" hidden="1" customHeight="1">
      <c r="A247" s="294">
        <v>2111</v>
      </c>
      <c r="B247" s="291" t="s">
        <v>59</v>
      </c>
      <c r="C247" s="824" t="s">
        <v>293</v>
      </c>
      <c r="D247" s="326"/>
      <c r="E247" s="294">
        <v>5</v>
      </c>
      <c r="F247" s="293">
        <v>43221</v>
      </c>
      <c r="G247" s="293">
        <f t="shared" ref="G247:G253" si="36">+E247+F247</f>
        <v>43226</v>
      </c>
      <c r="H247" s="293" t="s">
        <v>294</v>
      </c>
      <c r="I247" s="294" t="s">
        <v>171</v>
      </c>
      <c r="J247" s="307" t="s">
        <v>295</v>
      </c>
      <c r="K247" s="326" t="s">
        <v>297</v>
      </c>
      <c r="L247" s="1237">
        <v>23174</v>
      </c>
      <c r="M247" s="326"/>
      <c r="N247" s="294"/>
      <c r="O247" s="354">
        <v>177.33333333333334</v>
      </c>
      <c r="P247" s="294">
        <v>3</v>
      </c>
      <c r="Q247" s="299">
        <f t="shared" si="34"/>
        <v>532</v>
      </c>
      <c r="R247" s="299"/>
      <c r="S247" s="355"/>
      <c r="T247" s="355"/>
      <c r="U247" s="355">
        <v>532</v>
      </c>
      <c r="V247" s="355"/>
      <c r="W247" s="355"/>
      <c r="X247" s="1137"/>
      <c r="Y247" s="1126"/>
      <c r="Z247" s="1194"/>
      <c r="AA247" s="1194"/>
      <c r="AB247" s="1194"/>
      <c r="AC247" s="1124"/>
      <c r="AD247" s="1124"/>
      <c r="AE247" s="1152"/>
      <c r="AF247" s="1124"/>
      <c r="AG247" s="1282">
        <f t="shared" si="35"/>
        <v>532</v>
      </c>
    </row>
    <row r="248" spans="1:33" ht="32.25" hidden="1" customHeight="1">
      <c r="A248" s="294">
        <v>2111</v>
      </c>
      <c r="B248" s="291" t="s">
        <v>59</v>
      </c>
      <c r="C248" s="824" t="s">
        <v>293</v>
      </c>
      <c r="D248" s="326"/>
      <c r="E248" s="294">
        <v>5</v>
      </c>
      <c r="F248" s="293">
        <v>43221</v>
      </c>
      <c r="G248" s="293">
        <f t="shared" si="36"/>
        <v>43226</v>
      </c>
      <c r="H248" s="293" t="s">
        <v>294</v>
      </c>
      <c r="I248" s="294" t="s">
        <v>171</v>
      </c>
      <c r="J248" s="307" t="s">
        <v>295</v>
      </c>
      <c r="K248" s="326" t="s">
        <v>298</v>
      </c>
      <c r="L248" s="1237">
        <v>23174</v>
      </c>
      <c r="M248" s="326"/>
      <c r="N248" s="294"/>
      <c r="O248" s="354">
        <v>224</v>
      </c>
      <c r="P248" s="294">
        <v>3</v>
      </c>
      <c r="Q248" s="299">
        <f t="shared" si="34"/>
        <v>672</v>
      </c>
      <c r="R248" s="299"/>
      <c r="S248" s="355"/>
      <c r="T248" s="355"/>
      <c r="U248" s="355">
        <v>672</v>
      </c>
      <c r="V248" s="355"/>
      <c r="W248" s="355"/>
      <c r="X248" s="1137"/>
      <c r="Y248" s="1126"/>
      <c r="Z248" s="1194"/>
      <c r="AA248" s="1194"/>
      <c r="AB248" s="1194"/>
      <c r="AC248" s="1124"/>
      <c r="AD248" s="1124"/>
      <c r="AE248" s="1152"/>
      <c r="AF248" s="1124"/>
      <c r="AG248" s="1282">
        <f t="shared" si="35"/>
        <v>672</v>
      </c>
    </row>
    <row r="249" spans="1:33" ht="32.25" hidden="1" customHeight="1">
      <c r="A249" s="294">
        <v>2111</v>
      </c>
      <c r="B249" s="291" t="s">
        <v>59</v>
      </c>
      <c r="C249" s="824" t="s">
        <v>293</v>
      </c>
      <c r="D249" s="326"/>
      <c r="E249" s="294">
        <v>5</v>
      </c>
      <c r="F249" s="293">
        <v>43221</v>
      </c>
      <c r="G249" s="293">
        <f t="shared" si="36"/>
        <v>43226</v>
      </c>
      <c r="H249" s="293" t="s">
        <v>294</v>
      </c>
      <c r="I249" s="294" t="s">
        <v>171</v>
      </c>
      <c r="J249" s="307" t="s">
        <v>295</v>
      </c>
      <c r="K249" s="326" t="s">
        <v>299</v>
      </c>
      <c r="L249" s="1237">
        <v>23174</v>
      </c>
      <c r="M249" s="326"/>
      <c r="N249" s="294"/>
      <c r="O249" s="354">
        <v>166.66666666666666</v>
      </c>
      <c r="P249" s="294">
        <v>3</v>
      </c>
      <c r="Q249" s="299">
        <f t="shared" si="34"/>
        <v>500</v>
      </c>
      <c r="R249" s="299"/>
      <c r="S249" s="355"/>
      <c r="T249" s="355"/>
      <c r="U249" s="355">
        <v>500</v>
      </c>
      <c r="V249" s="355"/>
      <c r="W249" s="355"/>
      <c r="X249" s="1137"/>
      <c r="Y249" s="1126"/>
      <c r="Z249" s="1194"/>
      <c r="AA249" s="1194"/>
      <c r="AB249" s="1194"/>
      <c r="AC249" s="1124"/>
      <c r="AD249" s="1124"/>
      <c r="AE249" s="1152"/>
      <c r="AF249" s="1124"/>
      <c r="AG249" s="1282">
        <f t="shared" si="35"/>
        <v>500</v>
      </c>
    </row>
    <row r="250" spans="1:33" ht="32.25" hidden="1" customHeight="1">
      <c r="A250" s="294">
        <v>2111</v>
      </c>
      <c r="B250" s="291" t="s">
        <v>59</v>
      </c>
      <c r="C250" s="824" t="s">
        <v>293</v>
      </c>
      <c r="D250" s="326"/>
      <c r="E250" s="294">
        <v>5</v>
      </c>
      <c r="F250" s="293">
        <v>43221</v>
      </c>
      <c r="G250" s="293">
        <f t="shared" si="36"/>
        <v>43226</v>
      </c>
      <c r="H250" s="293" t="s">
        <v>294</v>
      </c>
      <c r="I250" s="294" t="s">
        <v>171</v>
      </c>
      <c r="J250" s="307" t="s">
        <v>295</v>
      </c>
      <c r="K250" s="326" t="s">
        <v>300</v>
      </c>
      <c r="L250" s="1237">
        <v>23174</v>
      </c>
      <c r="M250" s="326"/>
      <c r="N250" s="294"/>
      <c r="O250" s="354">
        <v>426.66666666666669</v>
      </c>
      <c r="P250" s="294">
        <v>3</v>
      </c>
      <c r="Q250" s="299">
        <f t="shared" si="34"/>
        <v>1280</v>
      </c>
      <c r="R250" s="299"/>
      <c r="S250" s="355"/>
      <c r="T250" s="355"/>
      <c r="U250" s="355">
        <v>1280</v>
      </c>
      <c r="V250" s="355"/>
      <c r="W250" s="355"/>
      <c r="X250" s="1137"/>
      <c r="Y250" s="1126"/>
      <c r="Z250" s="1194"/>
      <c r="AA250" s="1194"/>
      <c r="AB250" s="1194"/>
      <c r="AC250" s="1124"/>
      <c r="AD250" s="1124"/>
      <c r="AE250" s="1152"/>
      <c r="AF250" s="1124"/>
      <c r="AG250" s="1282">
        <f t="shared" si="35"/>
        <v>1280</v>
      </c>
    </row>
    <row r="251" spans="1:33" ht="32.25" hidden="1" customHeight="1">
      <c r="A251" s="294">
        <v>2111</v>
      </c>
      <c r="B251" s="291" t="s">
        <v>59</v>
      </c>
      <c r="C251" s="824" t="s">
        <v>293</v>
      </c>
      <c r="D251" s="326"/>
      <c r="E251" s="294">
        <v>5</v>
      </c>
      <c r="F251" s="293">
        <v>43221</v>
      </c>
      <c r="G251" s="293">
        <f t="shared" si="36"/>
        <v>43226</v>
      </c>
      <c r="H251" s="293" t="s">
        <v>294</v>
      </c>
      <c r="I251" s="294" t="s">
        <v>171</v>
      </c>
      <c r="J251" s="307" t="s">
        <v>295</v>
      </c>
      <c r="K251" s="326" t="s">
        <v>301</v>
      </c>
      <c r="L251" s="1237">
        <v>23173</v>
      </c>
      <c r="M251" s="326"/>
      <c r="N251" s="294"/>
      <c r="O251" s="354">
        <v>166.66666666666666</v>
      </c>
      <c r="P251" s="294">
        <v>3</v>
      </c>
      <c r="Q251" s="299">
        <f t="shared" si="34"/>
        <v>500</v>
      </c>
      <c r="R251" s="299"/>
      <c r="S251" s="355"/>
      <c r="T251" s="355"/>
      <c r="U251" s="355">
        <v>500</v>
      </c>
      <c r="V251" s="355"/>
      <c r="W251" s="355"/>
      <c r="X251" s="1137"/>
      <c r="Y251" s="1126"/>
      <c r="Z251" s="1194"/>
      <c r="AA251" s="1194"/>
      <c r="AB251" s="1194"/>
      <c r="AC251" s="1124"/>
      <c r="AD251" s="1124"/>
      <c r="AE251" s="1152"/>
      <c r="AF251" s="1124"/>
      <c r="AG251" s="1282">
        <f t="shared" si="35"/>
        <v>500</v>
      </c>
    </row>
    <row r="252" spans="1:33" ht="32.25" hidden="1" customHeight="1">
      <c r="A252" s="294">
        <v>2111</v>
      </c>
      <c r="B252" s="291" t="s">
        <v>59</v>
      </c>
      <c r="C252" s="824" t="s">
        <v>293</v>
      </c>
      <c r="D252" s="326"/>
      <c r="E252" s="294">
        <v>5</v>
      </c>
      <c r="F252" s="293">
        <v>43221</v>
      </c>
      <c r="G252" s="293">
        <f t="shared" si="36"/>
        <v>43226</v>
      </c>
      <c r="H252" s="293" t="s">
        <v>294</v>
      </c>
      <c r="I252" s="294" t="s">
        <v>171</v>
      </c>
      <c r="J252" s="307" t="s">
        <v>295</v>
      </c>
      <c r="K252" s="326" t="s">
        <v>302</v>
      </c>
      <c r="L252" s="1237">
        <v>23173</v>
      </c>
      <c r="M252" s="326"/>
      <c r="N252" s="294"/>
      <c r="O252" s="354">
        <v>343.66666666666669</v>
      </c>
      <c r="P252" s="294">
        <v>3</v>
      </c>
      <c r="Q252" s="299">
        <f t="shared" si="34"/>
        <v>1031</v>
      </c>
      <c r="R252" s="299"/>
      <c r="S252" s="355"/>
      <c r="T252" s="355"/>
      <c r="U252" s="355">
        <v>1031</v>
      </c>
      <c r="V252" s="355"/>
      <c r="W252" s="355"/>
      <c r="X252" s="1137"/>
      <c r="Y252" s="1126"/>
      <c r="Z252" s="1194"/>
      <c r="AA252" s="1194"/>
      <c r="AB252" s="1194"/>
      <c r="AC252" s="1124"/>
      <c r="AD252" s="1124"/>
      <c r="AE252" s="1152"/>
      <c r="AF252" s="1124"/>
      <c r="AG252" s="1282">
        <f t="shared" si="35"/>
        <v>1031</v>
      </c>
    </row>
    <row r="253" spans="1:33" ht="32.25" hidden="1" customHeight="1">
      <c r="A253" s="2789">
        <v>2112</v>
      </c>
      <c r="B253" s="2790" t="s">
        <v>303</v>
      </c>
      <c r="C253" s="2790" t="s">
        <v>304</v>
      </c>
      <c r="D253" s="2791"/>
      <c r="E253" s="2789">
        <v>60</v>
      </c>
      <c r="F253" s="2792">
        <v>43221</v>
      </c>
      <c r="G253" s="2792">
        <f t="shared" si="36"/>
        <v>43281</v>
      </c>
      <c r="H253" s="2792" t="s">
        <v>294</v>
      </c>
      <c r="I253" s="2789" t="s">
        <v>171</v>
      </c>
      <c r="J253" s="2793" t="s">
        <v>295</v>
      </c>
      <c r="K253" s="326" t="s">
        <v>305</v>
      </c>
      <c r="L253" s="1237">
        <v>2461</v>
      </c>
      <c r="M253" s="326"/>
      <c r="N253" s="294"/>
      <c r="O253" s="354">
        <v>504.68333333333334</v>
      </c>
      <c r="P253" s="294">
        <v>45</v>
      </c>
      <c r="Q253" s="299">
        <f t="shared" si="34"/>
        <v>22710.75</v>
      </c>
      <c r="R253" s="299"/>
      <c r="S253" s="355"/>
      <c r="T253" s="355"/>
      <c r="U253" s="355">
        <v>22710.75</v>
      </c>
      <c r="V253" s="355"/>
      <c r="W253" s="355"/>
      <c r="X253" s="1137"/>
      <c r="Y253" s="1126"/>
      <c r="Z253" s="1194"/>
      <c r="AA253" s="1194"/>
      <c r="AB253" s="1194"/>
      <c r="AC253" s="1124"/>
      <c r="AD253" s="1124"/>
      <c r="AE253" s="1152"/>
      <c r="AF253" s="1124"/>
      <c r="AG253" s="1282">
        <f t="shared" si="35"/>
        <v>22710.75</v>
      </c>
    </row>
    <row r="254" spans="1:33" ht="29.25" customHeight="1">
      <c r="A254" s="1275">
        <v>212</v>
      </c>
      <c r="B254" s="995" t="s">
        <v>306</v>
      </c>
      <c r="C254" s="1083"/>
      <c r="D254" s="1339"/>
      <c r="E254" s="1340"/>
      <c r="F254" s="1340"/>
      <c r="G254" s="1340"/>
      <c r="H254" s="1339"/>
      <c r="I254" s="1341"/>
      <c r="J254" s="283"/>
      <c r="K254" s="1278"/>
      <c r="L254" s="1279"/>
      <c r="M254" s="1280"/>
      <c r="N254" s="1277"/>
      <c r="O254" s="1281"/>
      <c r="P254" s="1277"/>
      <c r="Q254" s="547">
        <f>SUM(Q256:Q266)</f>
        <v>39681</v>
      </c>
      <c r="R254" s="287"/>
      <c r="S254" s="1282">
        <f t="shared" ref="S254:AF254" si="37">SUM(S256:S266)</f>
        <v>0</v>
      </c>
      <c r="T254" s="1282">
        <f t="shared" si="37"/>
        <v>0</v>
      </c>
      <c r="U254" s="1282">
        <f t="shared" si="37"/>
        <v>11347.666666666666</v>
      </c>
      <c r="V254" s="1282">
        <f t="shared" si="37"/>
        <v>0</v>
      </c>
      <c r="W254" s="1282">
        <f t="shared" si="37"/>
        <v>28333.333333333336</v>
      </c>
      <c r="X254" s="1282">
        <f t="shared" si="37"/>
        <v>0</v>
      </c>
      <c r="Y254" s="1282">
        <f t="shared" si="37"/>
        <v>0</v>
      </c>
      <c r="Z254" s="1282">
        <f t="shared" si="37"/>
        <v>0</v>
      </c>
      <c r="AA254" s="1282">
        <f t="shared" si="37"/>
        <v>0</v>
      </c>
      <c r="AB254" s="1282">
        <f t="shared" si="37"/>
        <v>0</v>
      </c>
      <c r="AC254" s="1282">
        <f t="shared" si="37"/>
        <v>0</v>
      </c>
      <c r="AD254" s="1282">
        <f t="shared" si="37"/>
        <v>0</v>
      </c>
      <c r="AE254" s="1282">
        <f t="shared" si="37"/>
        <v>0</v>
      </c>
      <c r="AF254" s="1282">
        <f t="shared" si="37"/>
        <v>0</v>
      </c>
      <c r="AG254" s="1282">
        <f>SUM(S254:AF254)</f>
        <v>39681</v>
      </c>
    </row>
    <row r="255" spans="1:33" s="2799" customFormat="1" ht="29.25" hidden="1" customHeight="1">
      <c r="A255" s="2789">
        <v>2121</v>
      </c>
      <c r="B255" s="2790" t="s">
        <v>60</v>
      </c>
      <c r="C255" s="2790" t="s">
        <v>307</v>
      </c>
      <c r="D255" s="2791"/>
      <c r="E255" s="2789">
        <v>2</v>
      </c>
      <c r="F255" s="2792">
        <v>43227</v>
      </c>
      <c r="G255" s="2792">
        <f t="shared" ref="G255:G266" si="38">+E255+F255</f>
        <v>43229</v>
      </c>
      <c r="H255" s="2792" t="s">
        <v>294</v>
      </c>
      <c r="I255" s="2789" t="s">
        <v>171</v>
      </c>
      <c r="J255" s="2793" t="s">
        <v>295</v>
      </c>
      <c r="K255" s="2757"/>
      <c r="L255" s="2794"/>
      <c r="M255" s="2795"/>
      <c r="N255" s="2758"/>
      <c r="O255" s="2796"/>
      <c r="P255" s="2758"/>
      <c r="Q255" s="2803"/>
      <c r="R255" s="2797"/>
      <c r="S255" s="2753"/>
      <c r="T255" s="2753"/>
      <c r="U255" s="2753"/>
      <c r="V255" s="2753"/>
      <c r="W255" s="2753"/>
      <c r="X255" s="2798"/>
      <c r="Y255" s="2753"/>
      <c r="Z255" s="2753"/>
      <c r="AA255" s="2753"/>
      <c r="AB255" s="2753"/>
      <c r="AC255" s="2753"/>
      <c r="AD255" s="2753"/>
      <c r="AE255" s="2753"/>
      <c r="AF255" s="2753"/>
      <c r="AG255" s="2753"/>
    </row>
    <row r="256" spans="1:33" ht="32.25" hidden="1" customHeight="1">
      <c r="A256" s="294">
        <v>2121</v>
      </c>
      <c r="B256" s="291" t="s">
        <v>60</v>
      </c>
      <c r="C256" s="824" t="s">
        <v>307</v>
      </c>
      <c r="D256" s="326"/>
      <c r="E256" s="294">
        <v>2</v>
      </c>
      <c r="F256" s="293">
        <v>43227</v>
      </c>
      <c r="G256" s="293">
        <f t="shared" si="38"/>
        <v>43229</v>
      </c>
      <c r="H256" s="293" t="s">
        <v>294</v>
      </c>
      <c r="I256" s="294" t="s">
        <v>171</v>
      </c>
      <c r="J256" s="307" t="s">
        <v>295</v>
      </c>
      <c r="K256" s="326" t="s">
        <v>308</v>
      </c>
      <c r="L256" s="1237">
        <v>23173</v>
      </c>
      <c r="M256" s="326"/>
      <c r="N256" s="294"/>
      <c r="O256" s="1110">
        <v>270</v>
      </c>
      <c r="P256" s="294">
        <v>1</v>
      </c>
      <c r="Q256" s="299">
        <v>90</v>
      </c>
      <c r="R256" s="299"/>
      <c r="S256" s="355"/>
      <c r="T256" s="355"/>
      <c r="U256" s="355">
        <v>90</v>
      </c>
      <c r="V256" s="355"/>
      <c r="W256" s="355"/>
      <c r="X256" s="1137"/>
      <c r="Y256" s="1126"/>
      <c r="Z256" s="1194"/>
      <c r="AA256" s="1194"/>
      <c r="AB256" s="1194"/>
      <c r="AC256" s="1124"/>
      <c r="AD256" s="1124"/>
      <c r="AE256" s="1152"/>
      <c r="AF256" s="1124"/>
      <c r="AG256" s="1282">
        <f t="shared" ref="AG256:AG266" si="39">SUM(S256:AF256)</f>
        <v>90</v>
      </c>
    </row>
    <row r="257" spans="1:33" ht="32.25" hidden="1" customHeight="1">
      <c r="A257" s="294">
        <v>2121</v>
      </c>
      <c r="B257" s="291" t="s">
        <v>60</v>
      </c>
      <c r="C257" s="824" t="s">
        <v>307</v>
      </c>
      <c r="D257" s="326"/>
      <c r="E257" s="294">
        <v>2</v>
      </c>
      <c r="F257" s="293">
        <v>43227</v>
      </c>
      <c r="G257" s="293">
        <f t="shared" si="38"/>
        <v>43229</v>
      </c>
      <c r="H257" s="293" t="s">
        <v>294</v>
      </c>
      <c r="I257" s="294" t="s">
        <v>171</v>
      </c>
      <c r="J257" s="307" t="s">
        <v>295</v>
      </c>
      <c r="K257" s="326" t="s">
        <v>309</v>
      </c>
      <c r="L257" s="1237">
        <v>23173</v>
      </c>
      <c r="M257" s="326"/>
      <c r="N257" s="294"/>
      <c r="O257" s="1110">
        <v>1260</v>
      </c>
      <c r="P257" s="294">
        <v>1</v>
      </c>
      <c r="Q257" s="299">
        <v>420</v>
      </c>
      <c r="R257" s="299"/>
      <c r="S257" s="355"/>
      <c r="T257" s="355"/>
      <c r="U257" s="355">
        <v>420</v>
      </c>
      <c r="V257" s="355"/>
      <c r="W257" s="355"/>
      <c r="X257" s="1137"/>
      <c r="Y257" s="1126"/>
      <c r="Z257" s="1194"/>
      <c r="AA257" s="1194"/>
      <c r="AB257" s="1194"/>
      <c r="AC257" s="1124"/>
      <c r="AD257" s="1124"/>
      <c r="AE257" s="1152"/>
      <c r="AF257" s="1124"/>
      <c r="AG257" s="1282">
        <f t="shared" si="39"/>
        <v>420</v>
      </c>
    </row>
    <row r="258" spans="1:33" ht="32.25" hidden="1" customHeight="1">
      <c r="A258" s="294">
        <v>2121</v>
      </c>
      <c r="B258" s="291" t="s">
        <v>60</v>
      </c>
      <c r="C258" s="824" t="s">
        <v>307</v>
      </c>
      <c r="D258" s="326"/>
      <c r="E258" s="294">
        <v>2</v>
      </c>
      <c r="F258" s="293">
        <v>43227</v>
      </c>
      <c r="G258" s="293">
        <f t="shared" si="38"/>
        <v>43229</v>
      </c>
      <c r="H258" s="293" t="s">
        <v>294</v>
      </c>
      <c r="I258" s="294" t="s">
        <v>171</v>
      </c>
      <c r="J258" s="307" t="s">
        <v>295</v>
      </c>
      <c r="K258" s="1094" t="s">
        <v>310</v>
      </c>
      <c r="L258" s="1237">
        <v>23174</v>
      </c>
      <c r="M258" s="326"/>
      <c r="N258" s="294"/>
      <c r="O258" s="1110">
        <v>11400</v>
      </c>
      <c r="P258" s="294">
        <v>1</v>
      </c>
      <c r="Q258" s="299">
        <v>3800</v>
      </c>
      <c r="R258" s="299"/>
      <c r="S258" s="355"/>
      <c r="T258" s="355"/>
      <c r="U258" s="355">
        <v>3800</v>
      </c>
      <c r="V258" s="355"/>
      <c r="W258" s="355"/>
      <c r="X258" s="1137"/>
      <c r="Y258" s="1126"/>
      <c r="Z258" s="1194"/>
      <c r="AA258" s="1194"/>
      <c r="AB258" s="1194"/>
      <c r="AC258" s="1124"/>
      <c r="AD258" s="1124"/>
      <c r="AE258" s="1152"/>
      <c r="AF258" s="1124"/>
      <c r="AG258" s="1282">
        <f t="shared" si="39"/>
        <v>3800</v>
      </c>
    </row>
    <row r="259" spans="1:33" ht="32.25" hidden="1" customHeight="1">
      <c r="A259" s="294">
        <v>2121</v>
      </c>
      <c r="B259" s="291" t="s">
        <v>60</v>
      </c>
      <c r="C259" s="824" t="s">
        <v>307</v>
      </c>
      <c r="D259" s="326"/>
      <c r="E259" s="294">
        <v>2</v>
      </c>
      <c r="F259" s="293">
        <v>43227</v>
      </c>
      <c r="G259" s="293">
        <f t="shared" si="38"/>
        <v>43229</v>
      </c>
      <c r="H259" s="293" t="s">
        <v>294</v>
      </c>
      <c r="I259" s="294" t="s">
        <v>171</v>
      </c>
      <c r="J259" s="307" t="s">
        <v>295</v>
      </c>
      <c r="K259" s="326" t="s">
        <v>311</v>
      </c>
      <c r="L259" s="1237">
        <v>23174</v>
      </c>
      <c r="M259" s="326"/>
      <c r="N259" s="294"/>
      <c r="O259" s="1110">
        <v>1200</v>
      </c>
      <c r="P259" s="294">
        <v>1</v>
      </c>
      <c r="Q259" s="299">
        <v>400</v>
      </c>
      <c r="R259" s="299"/>
      <c r="S259" s="355"/>
      <c r="T259" s="355"/>
      <c r="U259" s="355">
        <v>400</v>
      </c>
      <c r="V259" s="355"/>
      <c r="W259" s="355"/>
      <c r="X259" s="1137"/>
      <c r="Y259" s="1126"/>
      <c r="Z259" s="1194"/>
      <c r="AA259" s="1194"/>
      <c r="AB259" s="1194"/>
      <c r="AC259" s="1124"/>
      <c r="AD259" s="1124"/>
      <c r="AE259" s="1152"/>
      <c r="AF259" s="1124"/>
      <c r="AG259" s="1282">
        <f t="shared" si="39"/>
        <v>400</v>
      </c>
    </row>
    <row r="260" spans="1:33" ht="32.25" hidden="1" customHeight="1">
      <c r="A260" s="294">
        <v>2121</v>
      </c>
      <c r="B260" s="291" t="s">
        <v>60</v>
      </c>
      <c r="C260" s="824" t="s">
        <v>307</v>
      </c>
      <c r="D260" s="326"/>
      <c r="E260" s="294">
        <v>2</v>
      </c>
      <c r="F260" s="293">
        <v>43227</v>
      </c>
      <c r="G260" s="293">
        <f t="shared" si="38"/>
        <v>43229</v>
      </c>
      <c r="H260" s="293" t="s">
        <v>294</v>
      </c>
      <c r="I260" s="294" t="s">
        <v>171</v>
      </c>
      <c r="J260" s="307" t="s">
        <v>295</v>
      </c>
      <c r="K260" s="326" t="s">
        <v>301</v>
      </c>
      <c r="L260" s="1237">
        <v>23173</v>
      </c>
      <c r="M260" s="326"/>
      <c r="N260" s="294"/>
      <c r="O260" s="1110">
        <v>900</v>
      </c>
      <c r="P260" s="294">
        <v>1</v>
      </c>
      <c r="Q260" s="299">
        <v>300</v>
      </c>
      <c r="R260" s="299"/>
      <c r="S260" s="355"/>
      <c r="T260" s="355"/>
      <c r="U260" s="355">
        <v>300</v>
      </c>
      <c r="V260" s="355"/>
      <c r="W260" s="355"/>
      <c r="X260" s="1137"/>
      <c r="Y260" s="1126"/>
      <c r="Z260" s="1194"/>
      <c r="AA260" s="1194"/>
      <c r="AB260" s="1194"/>
      <c r="AC260" s="1124"/>
      <c r="AD260" s="1124"/>
      <c r="AE260" s="1152"/>
      <c r="AF260" s="1124"/>
      <c r="AG260" s="1282">
        <f t="shared" si="39"/>
        <v>300</v>
      </c>
    </row>
    <row r="261" spans="1:33" ht="32.25" hidden="1" customHeight="1">
      <c r="A261" s="294">
        <v>2121</v>
      </c>
      <c r="B261" s="291" t="s">
        <v>60</v>
      </c>
      <c r="C261" s="824" t="s">
        <v>307</v>
      </c>
      <c r="D261" s="326"/>
      <c r="E261" s="294">
        <v>2</v>
      </c>
      <c r="F261" s="293">
        <v>43227</v>
      </c>
      <c r="G261" s="293">
        <f t="shared" si="38"/>
        <v>43229</v>
      </c>
      <c r="H261" s="293" t="s">
        <v>294</v>
      </c>
      <c r="I261" s="294" t="s">
        <v>171</v>
      </c>
      <c r="J261" s="307" t="s">
        <v>295</v>
      </c>
      <c r="K261" s="1094" t="s">
        <v>312</v>
      </c>
      <c r="L261" s="1237">
        <v>23173</v>
      </c>
      <c r="M261" s="326"/>
      <c r="N261" s="294"/>
      <c r="O261" s="1110">
        <v>300</v>
      </c>
      <c r="P261" s="294">
        <v>1</v>
      </c>
      <c r="Q261" s="299">
        <v>100</v>
      </c>
      <c r="R261" s="299"/>
      <c r="S261" s="355"/>
      <c r="T261" s="355"/>
      <c r="U261" s="355">
        <v>100</v>
      </c>
      <c r="V261" s="355"/>
      <c r="W261" s="355"/>
      <c r="X261" s="1137"/>
      <c r="Y261" s="1126"/>
      <c r="Z261" s="1194"/>
      <c r="AA261" s="1194"/>
      <c r="AB261" s="1194"/>
      <c r="AC261" s="1124"/>
      <c r="AD261" s="1124"/>
      <c r="AE261" s="1152"/>
      <c r="AF261" s="1124"/>
      <c r="AG261" s="1282">
        <f t="shared" si="39"/>
        <v>100</v>
      </c>
    </row>
    <row r="262" spans="1:33" ht="32.25" hidden="1" customHeight="1">
      <c r="A262" s="294">
        <v>2121</v>
      </c>
      <c r="B262" s="291" t="s">
        <v>60</v>
      </c>
      <c r="C262" s="824" t="s">
        <v>307</v>
      </c>
      <c r="D262" s="326"/>
      <c r="E262" s="294">
        <v>2</v>
      </c>
      <c r="F262" s="293">
        <v>43227</v>
      </c>
      <c r="G262" s="293">
        <f t="shared" si="38"/>
        <v>43229</v>
      </c>
      <c r="H262" s="293" t="s">
        <v>294</v>
      </c>
      <c r="I262" s="294" t="s">
        <v>171</v>
      </c>
      <c r="J262" s="307" t="s">
        <v>295</v>
      </c>
      <c r="K262" s="326" t="s">
        <v>302</v>
      </c>
      <c r="L262" s="1237">
        <v>23173</v>
      </c>
      <c r="M262" s="326"/>
      <c r="N262" s="294"/>
      <c r="O262" s="1110">
        <v>713</v>
      </c>
      <c r="P262" s="294">
        <v>1</v>
      </c>
      <c r="Q262" s="299">
        <v>237.66666666666666</v>
      </c>
      <c r="R262" s="299"/>
      <c r="S262" s="355"/>
      <c r="T262" s="355"/>
      <c r="U262" s="355">
        <v>237.66666666666666</v>
      </c>
      <c r="V262" s="355"/>
      <c r="W262" s="355"/>
      <c r="X262" s="1137"/>
      <c r="Y262" s="1126"/>
      <c r="Z262" s="1194"/>
      <c r="AA262" s="1194"/>
      <c r="AB262" s="1194"/>
      <c r="AC262" s="1124"/>
      <c r="AD262" s="1124"/>
      <c r="AE262" s="1152"/>
      <c r="AF262" s="1124"/>
      <c r="AG262" s="1282">
        <f t="shared" si="39"/>
        <v>237.66666666666666</v>
      </c>
    </row>
    <row r="263" spans="1:33" ht="32.25" hidden="1" customHeight="1">
      <c r="A263" s="2789">
        <v>2122</v>
      </c>
      <c r="B263" s="2790" t="s">
        <v>313</v>
      </c>
      <c r="C263" s="2800" t="s">
        <v>314</v>
      </c>
      <c r="D263" s="2791"/>
      <c r="E263" s="2789">
        <v>60</v>
      </c>
      <c r="F263" s="2792">
        <v>43221</v>
      </c>
      <c r="G263" s="2792">
        <f t="shared" si="38"/>
        <v>43281</v>
      </c>
      <c r="H263" s="2792" t="s">
        <v>294</v>
      </c>
      <c r="I263" s="2789" t="s">
        <v>171</v>
      </c>
      <c r="J263" s="2793" t="s">
        <v>295</v>
      </c>
      <c r="K263" s="326" t="s">
        <v>315</v>
      </c>
      <c r="L263" s="1237">
        <v>2313</v>
      </c>
      <c r="M263" s="326"/>
      <c r="N263" s="294"/>
      <c r="O263" s="354">
        <v>3333.3333333333335</v>
      </c>
      <c r="P263" s="294">
        <v>1</v>
      </c>
      <c r="Q263" s="299">
        <f>+O263*P263</f>
        <v>3333.3333333333335</v>
      </c>
      <c r="R263" s="299"/>
      <c r="S263" s="355"/>
      <c r="T263" s="355"/>
      <c r="U263" s="355">
        <v>3333.3333333333335</v>
      </c>
      <c r="V263" s="355"/>
      <c r="W263" s="355"/>
      <c r="X263" s="1137"/>
      <c r="Y263" s="1126"/>
      <c r="Z263" s="1194"/>
      <c r="AA263" s="1194"/>
      <c r="AB263" s="1194"/>
      <c r="AC263" s="1124"/>
      <c r="AD263" s="1124"/>
      <c r="AE263" s="1152"/>
      <c r="AF263" s="1124"/>
      <c r="AG263" s="1282">
        <f t="shared" si="39"/>
        <v>3333.3333333333335</v>
      </c>
    </row>
    <row r="264" spans="1:33" ht="32.25" hidden="1" customHeight="1">
      <c r="A264" s="2789">
        <v>2123</v>
      </c>
      <c r="B264" s="2790" t="s">
        <v>316</v>
      </c>
      <c r="C264" s="2800" t="s">
        <v>314</v>
      </c>
      <c r="D264" s="2791"/>
      <c r="E264" s="2789">
        <v>60</v>
      </c>
      <c r="F264" s="2792">
        <v>43221</v>
      </c>
      <c r="G264" s="2792">
        <f t="shared" si="38"/>
        <v>43281</v>
      </c>
      <c r="H264" s="2792" t="s">
        <v>294</v>
      </c>
      <c r="I264" s="2789" t="s">
        <v>171</v>
      </c>
      <c r="J264" s="2793" t="s">
        <v>295</v>
      </c>
      <c r="K264" s="326" t="s">
        <v>317</v>
      </c>
      <c r="L264" s="1237">
        <v>2313</v>
      </c>
      <c r="M264" s="326"/>
      <c r="N264" s="294"/>
      <c r="O264" s="354">
        <v>2666.6666666666665</v>
      </c>
      <c r="P264" s="294">
        <v>1</v>
      </c>
      <c r="Q264" s="299">
        <f>+O264*P264</f>
        <v>2666.6666666666665</v>
      </c>
      <c r="R264" s="299"/>
      <c r="S264" s="355"/>
      <c r="T264" s="355"/>
      <c r="U264" s="355">
        <v>2666.6666666666665</v>
      </c>
      <c r="V264" s="355"/>
      <c r="W264" s="355"/>
      <c r="X264" s="1137"/>
      <c r="Y264" s="1126"/>
      <c r="Z264" s="1194"/>
      <c r="AA264" s="1194"/>
      <c r="AB264" s="1194"/>
      <c r="AC264" s="1124"/>
      <c r="AD264" s="1124"/>
      <c r="AE264" s="1152"/>
      <c r="AF264" s="1124"/>
      <c r="AG264" s="1282">
        <f t="shared" si="39"/>
        <v>2666.6666666666665</v>
      </c>
    </row>
    <row r="265" spans="1:33" ht="32.25" hidden="1" customHeight="1">
      <c r="A265" s="2789">
        <v>2124</v>
      </c>
      <c r="B265" s="2790" t="s">
        <v>318</v>
      </c>
      <c r="C265" s="2800" t="s">
        <v>319</v>
      </c>
      <c r="D265" s="2791"/>
      <c r="E265" s="2789">
        <v>15</v>
      </c>
      <c r="F265" s="2792">
        <v>43283</v>
      </c>
      <c r="G265" s="2792">
        <f t="shared" si="38"/>
        <v>43298</v>
      </c>
      <c r="H265" s="2792" t="s">
        <v>294</v>
      </c>
      <c r="I265" s="2789" t="s">
        <v>171</v>
      </c>
      <c r="J265" s="307" t="s">
        <v>295</v>
      </c>
      <c r="K265" s="1787" t="s">
        <v>320</v>
      </c>
      <c r="L265" s="1237">
        <v>23173</v>
      </c>
      <c r="M265" s="326"/>
      <c r="N265" s="294"/>
      <c r="O265" s="354">
        <v>16666.666666666668</v>
      </c>
      <c r="P265" s="354">
        <v>0.5</v>
      </c>
      <c r="Q265" s="299">
        <f>+O265*P265</f>
        <v>8333.3333333333339</v>
      </c>
      <c r="R265" s="299"/>
      <c r="S265" s="355"/>
      <c r="T265" s="355"/>
      <c r="U265" s="355"/>
      <c r="V265" s="355"/>
      <c r="W265" s="355">
        <v>8333.3333333333339</v>
      </c>
      <c r="X265" s="1137"/>
      <c r="Y265" s="1126"/>
      <c r="Z265" s="1194"/>
      <c r="AA265" s="1194"/>
      <c r="AB265" s="1194"/>
      <c r="AC265" s="1124"/>
      <c r="AD265" s="1124"/>
      <c r="AE265" s="1152"/>
      <c r="AF265" s="1124"/>
      <c r="AG265" s="1282">
        <f t="shared" si="39"/>
        <v>8333.3333333333339</v>
      </c>
    </row>
    <row r="266" spans="1:33" ht="32.25" hidden="1" customHeight="1">
      <c r="A266" s="2789">
        <v>2125</v>
      </c>
      <c r="B266" s="2790" t="s">
        <v>61</v>
      </c>
      <c r="C266" s="2801" t="s">
        <v>321</v>
      </c>
      <c r="D266" s="2791"/>
      <c r="E266" s="2789">
        <v>15</v>
      </c>
      <c r="F266" s="2792">
        <v>43304</v>
      </c>
      <c r="G266" s="2792">
        <f t="shared" si="38"/>
        <v>43319</v>
      </c>
      <c r="H266" s="2792" t="s">
        <v>294</v>
      </c>
      <c r="I266" s="2789" t="s">
        <v>171</v>
      </c>
      <c r="J266" s="307" t="s">
        <v>295</v>
      </c>
      <c r="K266" s="326" t="s">
        <v>322</v>
      </c>
      <c r="L266" s="1237">
        <v>2315</v>
      </c>
      <c r="M266" s="326"/>
      <c r="N266" s="294"/>
      <c r="O266" s="354">
        <v>333.33333333333331</v>
      </c>
      <c r="P266" s="294">
        <v>60</v>
      </c>
      <c r="Q266" s="299">
        <f>+O266*P266</f>
        <v>20000</v>
      </c>
      <c r="R266" s="299"/>
      <c r="S266" s="355"/>
      <c r="T266" s="355"/>
      <c r="U266" s="355"/>
      <c r="V266" s="355"/>
      <c r="W266" s="355">
        <v>20000</v>
      </c>
      <c r="X266" s="1137"/>
      <c r="Y266" s="1126"/>
      <c r="Z266" s="1194"/>
      <c r="AA266" s="1194"/>
      <c r="AB266" s="1194"/>
      <c r="AC266" s="1124"/>
      <c r="AD266" s="1124"/>
      <c r="AE266" s="1152"/>
      <c r="AF266" s="1124"/>
      <c r="AG266" s="1282">
        <f t="shared" si="39"/>
        <v>20000</v>
      </c>
    </row>
    <row r="267" spans="1:33" ht="29.25" customHeight="1">
      <c r="A267" s="1275">
        <v>213</v>
      </c>
      <c r="B267" s="995" t="s">
        <v>323</v>
      </c>
      <c r="C267" s="1083"/>
      <c r="D267" s="1339"/>
      <c r="E267" s="1340"/>
      <c r="F267" s="1340"/>
      <c r="G267" s="1340"/>
      <c r="H267" s="1339"/>
      <c r="I267" s="1341"/>
      <c r="J267" s="283"/>
      <c r="K267" s="1278"/>
      <c r="L267" s="1279"/>
      <c r="M267" s="1280"/>
      <c r="N267" s="1277"/>
      <c r="O267" s="1281"/>
      <c r="P267" s="1277"/>
      <c r="Q267" s="547">
        <f>SUM(Q269:Q288)</f>
        <v>127504</v>
      </c>
      <c r="R267" s="287"/>
      <c r="S267" s="1282">
        <f t="shared" ref="S267:AF267" si="40">SUM(S269:S288)</f>
        <v>0</v>
      </c>
      <c r="T267" s="1282">
        <f t="shared" si="40"/>
        <v>0</v>
      </c>
      <c r="U267" s="1282">
        <f t="shared" si="40"/>
        <v>0</v>
      </c>
      <c r="V267" s="1282">
        <f t="shared" si="40"/>
        <v>0</v>
      </c>
      <c r="W267" s="1282">
        <f t="shared" si="40"/>
        <v>4680</v>
      </c>
      <c r="X267" s="1342">
        <f t="shared" si="40"/>
        <v>45624</v>
      </c>
      <c r="Y267" s="1343">
        <f t="shared" si="40"/>
        <v>77200</v>
      </c>
      <c r="Z267" s="1151">
        <f t="shared" si="40"/>
        <v>0</v>
      </c>
      <c r="AA267" s="1151">
        <f t="shared" si="40"/>
        <v>0</v>
      </c>
      <c r="AB267" s="1151">
        <f t="shared" si="40"/>
        <v>0</v>
      </c>
      <c r="AC267" s="1151">
        <f t="shared" si="40"/>
        <v>0</v>
      </c>
      <c r="AD267" s="1151">
        <f t="shared" si="40"/>
        <v>0</v>
      </c>
      <c r="AE267" s="1151">
        <f t="shared" si="40"/>
        <v>0</v>
      </c>
      <c r="AF267" s="1151">
        <f t="shared" si="40"/>
        <v>0</v>
      </c>
      <c r="AG267" s="1151">
        <f>SUM(S267:AF267)</f>
        <v>127504</v>
      </c>
    </row>
    <row r="268" spans="1:33" ht="29.25" hidden="1" customHeight="1">
      <c r="A268" s="2789">
        <v>2131</v>
      </c>
      <c r="B268" s="2790" t="s">
        <v>62</v>
      </c>
      <c r="C268" s="2800" t="s">
        <v>324</v>
      </c>
      <c r="D268" s="2791"/>
      <c r="E268" s="2789">
        <v>1</v>
      </c>
      <c r="F268" s="2792">
        <v>43318</v>
      </c>
      <c r="G268" s="2792">
        <f t="shared" ref="G268:G288" si="41">+E268+F268</f>
        <v>43319</v>
      </c>
      <c r="H268" s="2792" t="s">
        <v>294</v>
      </c>
      <c r="I268" s="2789" t="s">
        <v>171</v>
      </c>
      <c r="J268" s="2793" t="s">
        <v>295</v>
      </c>
      <c r="K268" s="1705"/>
      <c r="L268" s="2786"/>
      <c r="M268" s="2736"/>
      <c r="N268" s="2737"/>
      <c r="O268" s="2738"/>
      <c r="P268" s="2737"/>
      <c r="Q268" s="2809"/>
      <c r="R268" s="2787"/>
      <c r="S268" s="2739"/>
      <c r="T268" s="2739"/>
      <c r="U268" s="2739"/>
      <c r="V268" s="2739"/>
      <c r="W268" s="2739"/>
      <c r="X268" s="2788"/>
      <c r="Y268" s="2739"/>
      <c r="Z268" s="2832"/>
      <c r="AA268" s="2832"/>
      <c r="AB268" s="2832"/>
      <c r="AC268" s="2832"/>
      <c r="AD268" s="2832"/>
      <c r="AE268" s="2832"/>
      <c r="AF268" s="2832"/>
      <c r="AG268" s="2832"/>
    </row>
    <row r="269" spans="1:33" ht="47.25" hidden="1">
      <c r="A269" s="294">
        <v>2131</v>
      </c>
      <c r="B269" s="291" t="s">
        <v>62</v>
      </c>
      <c r="C269" s="1834" t="s">
        <v>324</v>
      </c>
      <c r="D269" s="326"/>
      <c r="E269" s="294">
        <v>1</v>
      </c>
      <c r="F269" s="293">
        <v>43318</v>
      </c>
      <c r="G269" s="293">
        <f t="shared" si="41"/>
        <v>43319</v>
      </c>
      <c r="H269" s="293" t="s">
        <v>294</v>
      </c>
      <c r="I269" s="294" t="s">
        <v>171</v>
      </c>
      <c r="J269" s="307" t="s">
        <v>295</v>
      </c>
      <c r="K269" s="1094" t="s">
        <v>296</v>
      </c>
      <c r="L269" s="1237">
        <v>23174</v>
      </c>
      <c r="M269" s="326"/>
      <c r="N269" s="294"/>
      <c r="O269" s="354">
        <v>36</v>
      </c>
      <c r="P269" s="887">
        <v>60</v>
      </c>
      <c r="Q269" s="299">
        <f t="shared" ref="Q269:Q288" si="42">+O269*P269</f>
        <v>2160</v>
      </c>
      <c r="R269" s="299"/>
      <c r="S269" s="355"/>
      <c r="T269" s="355"/>
      <c r="U269" s="355"/>
      <c r="V269" s="355"/>
      <c r="W269" s="355">
        <v>1080</v>
      </c>
      <c r="X269" s="1137">
        <v>1080</v>
      </c>
      <c r="Y269" s="1126"/>
      <c r="Z269" s="1194"/>
      <c r="AA269" s="1194"/>
      <c r="AB269" s="1194"/>
      <c r="AC269" s="1124"/>
      <c r="AD269" s="1124"/>
      <c r="AE269" s="1152"/>
      <c r="AF269" s="1124"/>
      <c r="AG269" s="1282">
        <f t="shared" ref="AG269:AG288" si="43">SUM(S269:AF269)</f>
        <v>2160</v>
      </c>
    </row>
    <row r="270" spans="1:33" ht="47.25" hidden="1">
      <c r="A270" s="294">
        <v>2131</v>
      </c>
      <c r="B270" s="291" t="s">
        <v>62</v>
      </c>
      <c r="C270" s="1834" t="s">
        <v>324</v>
      </c>
      <c r="D270" s="326"/>
      <c r="E270" s="294">
        <v>1</v>
      </c>
      <c r="F270" s="293">
        <v>43304</v>
      </c>
      <c r="G270" s="293">
        <f t="shared" si="41"/>
        <v>43305</v>
      </c>
      <c r="H270" s="293" t="s">
        <v>294</v>
      </c>
      <c r="I270" s="294" t="s">
        <v>171</v>
      </c>
      <c r="J270" s="307" t="s">
        <v>295</v>
      </c>
      <c r="K270" s="1094" t="s">
        <v>325</v>
      </c>
      <c r="L270" s="1237">
        <v>23174</v>
      </c>
      <c r="M270" s="326"/>
      <c r="N270" s="294"/>
      <c r="O270" s="354">
        <v>10</v>
      </c>
      <c r="P270" s="887">
        <v>60</v>
      </c>
      <c r="Q270" s="299">
        <f t="shared" si="42"/>
        <v>600</v>
      </c>
      <c r="R270" s="299"/>
      <c r="S270" s="355"/>
      <c r="T270" s="355"/>
      <c r="U270" s="355"/>
      <c r="V270" s="355"/>
      <c r="W270" s="355">
        <v>300</v>
      </c>
      <c r="X270" s="1137">
        <v>300</v>
      </c>
      <c r="Y270" s="1126"/>
      <c r="Z270" s="1194"/>
      <c r="AA270" s="1194"/>
      <c r="AB270" s="1194"/>
      <c r="AC270" s="1124"/>
      <c r="AD270" s="1124"/>
      <c r="AE270" s="1152"/>
      <c r="AF270" s="1124"/>
      <c r="AG270" s="1282">
        <f t="shared" si="43"/>
        <v>600</v>
      </c>
    </row>
    <row r="271" spans="1:33" ht="47.25" hidden="1">
      <c r="A271" s="294">
        <v>2131</v>
      </c>
      <c r="B271" s="291" t="s">
        <v>62</v>
      </c>
      <c r="C271" s="1834" t="s">
        <v>324</v>
      </c>
      <c r="D271" s="326"/>
      <c r="E271" s="294">
        <v>1</v>
      </c>
      <c r="F271" s="293">
        <v>43304</v>
      </c>
      <c r="G271" s="293">
        <f t="shared" si="41"/>
        <v>43305</v>
      </c>
      <c r="H271" s="293" t="s">
        <v>294</v>
      </c>
      <c r="I271" s="294" t="s">
        <v>171</v>
      </c>
      <c r="J271" s="307" t="s">
        <v>295</v>
      </c>
      <c r="K271" s="1094" t="s">
        <v>326</v>
      </c>
      <c r="L271" s="1237">
        <v>23174</v>
      </c>
      <c r="M271" s="326"/>
      <c r="N271" s="294"/>
      <c r="O271" s="354">
        <v>100</v>
      </c>
      <c r="P271" s="887">
        <v>60</v>
      </c>
      <c r="Q271" s="299">
        <f t="shared" si="42"/>
        <v>6000</v>
      </c>
      <c r="R271" s="299"/>
      <c r="S271" s="355"/>
      <c r="T271" s="355"/>
      <c r="U271" s="355"/>
      <c r="V271" s="355"/>
      <c r="W271" s="355">
        <v>3000</v>
      </c>
      <c r="X271" s="1137">
        <v>3000</v>
      </c>
      <c r="Y271" s="1126"/>
      <c r="Z271" s="1194"/>
      <c r="AA271" s="1194"/>
      <c r="AB271" s="1194"/>
      <c r="AC271" s="1124"/>
      <c r="AD271" s="1124"/>
      <c r="AE271" s="1152"/>
      <c r="AF271" s="1124"/>
      <c r="AG271" s="1282">
        <f t="shared" si="43"/>
        <v>6000</v>
      </c>
    </row>
    <row r="272" spans="1:33" ht="47.25" hidden="1">
      <c r="A272" s="294">
        <v>2131</v>
      </c>
      <c r="B272" s="291" t="s">
        <v>62</v>
      </c>
      <c r="C272" s="1834" t="s">
        <v>324</v>
      </c>
      <c r="D272" s="326"/>
      <c r="E272" s="294">
        <v>1</v>
      </c>
      <c r="F272" s="293">
        <v>43304</v>
      </c>
      <c r="G272" s="293">
        <f t="shared" si="41"/>
        <v>43305</v>
      </c>
      <c r="H272" s="293" t="s">
        <v>294</v>
      </c>
      <c r="I272" s="294" t="s">
        <v>171</v>
      </c>
      <c r="J272" s="307" t="s">
        <v>295</v>
      </c>
      <c r="K272" s="1094" t="s">
        <v>312</v>
      </c>
      <c r="L272" s="1237">
        <v>23173</v>
      </c>
      <c r="M272" s="326"/>
      <c r="N272" s="294"/>
      <c r="O272" s="354">
        <v>10</v>
      </c>
      <c r="P272" s="887">
        <v>60</v>
      </c>
      <c r="Q272" s="299">
        <f t="shared" si="42"/>
        <v>600</v>
      </c>
      <c r="R272" s="299"/>
      <c r="S272" s="355"/>
      <c r="T272" s="355"/>
      <c r="U272" s="355"/>
      <c r="V272" s="355"/>
      <c r="W272" s="355">
        <v>300</v>
      </c>
      <c r="X272" s="1137">
        <v>300</v>
      </c>
      <c r="Y272" s="1126"/>
      <c r="Z272" s="1194"/>
      <c r="AA272" s="1194"/>
      <c r="AB272" s="1194"/>
      <c r="AC272" s="1124"/>
      <c r="AD272" s="1124"/>
      <c r="AE272" s="1152"/>
      <c r="AF272" s="1124"/>
      <c r="AG272" s="1282">
        <f t="shared" si="43"/>
        <v>600</v>
      </c>
    </row>
    <row r="273" spans="1:33" ht="31.5" hidden="1">
      <c r="A273" s="2789">
        <v>2132</v>
      </c>
      <c r="B273" s="2790" t="s">
        <v>63</v>
      </c>
      <c r="C273" s="2800" t="s">
        <v>327</v>
      </c>
      <c r="D273" s="2791"/>
      <c r="E273" s="2789">
        <v>3</v>
      </c>
      <c r="F273" s="2792">
        <v>43318</v>
      </c>
      <c r="G273" s="2792">
        <f t="shared" si="41"/>
        <v>43321</v>
      </c>
      <c r="H273" s="2792" t="s">
        <v>294</v>
      </c>
      <c r="I273" s="2789" t="s">
        <v>171</v>
      </c>
      <c r="J273" s="2793" t="s">
        <v>295</v>
      </c>
      <c r="K273" s="2833"/>
      <c r="L273" s="1704"/>
      <c r="M273" s="1124"/>
      <c r="N273" s="1703"/>
      <c r="O273" s="1125"/>
      <c r="P273" s="2834"/>
      <c r="Q273" s="1127"/>
      <c r="R273" s="1127"/>
      <c r="S273" s="1126"/>
      <c r="T273" s="1126"/>
      <c r="U273" s="1126"/>
      <c r="V273" s="1126"/>
      <c r="W273" s="1126"/>
      <c r="X273" s="2835"/>
      <c r="Y273" s="1126"/>
      <c r="Z273" s="1194"/>
      <c r="AA273" s="1194"/>
      <c r="AB273" s="1194"/>
      <c r="AC273" s="1124"/>
      <c r="AD273" s="1124"/>
      <c r="AE273" s="1152"/>
      <c r="AF273" s="1124"/>
      <c r="AG273" s="1343"/>
    </row>
    <row r="274" spans="1:33" ht="32.25" hidden="1" customHeight="1">
      <c r="A274" s="294">
        <v>2132</v>
      </c>
      <c r="B274" s="291" t="s">
        <v>63</v>
      </c>
      <c r="C274" s="1834" t="s">
        <v>327</v>
      </c>
      <c r="D274" s="326"/>
      <c r="E274" s="294">
        <v>3</v>
      </c>
      <c r="F274" s="293">
        <v>43318</v>
      </c>
      <c r="G274" s="293">
        <f t="shared" si="41"/>
        <v>43321</v>
      </c>
      <c r="H274" s="293" t="s">
        <v>294</v>
      </c>
      <c r="I274" s="294" t="s">
        <v>171</v>
      </c>
      <c r="J274" s="307" t="s">
        <v>295</v>
      </c>
      <c r="K274" s="1094" t="s">
        <v>328</v>
      </c>
      <c r="L274" s="1237">
        <v>23174</v>
      </c>
      <c r="M274" s="326"/>
      <c r="N274" s="294"/>
      <c r="O274" s="354">
        <v>380</v>
      </c>
      <c r="P274" s="887">
        <v>3</v>
      </c>
      <c r="Q274" s="299">
        <f t="shared" si="42"/>
        <v>1140</v>
      </c>
      <c r="R274" s="299"/>
      <c r="S274" s="355"/>
      <c r="T274" s="355"/>
      <c r="U274" s="355"/>
      <c r="V274" s="355"/>
      <c r="W274" s="355"/>
      <c r="X274" s="1137">
        <v>1140</v>
      </c>
      <c r="Y274" s="1126"/>
      <c r="Z274" s="1194"/>
      <c r="AA274" s="1194"/>
      <c r="AB274" s="1194"/>
      <c r="AC274" s="1124"/>
      <c r="AD274" s="1124"/>
      <c r="AE274" s="1152"/>
      <c r="AF274" s="1124"/>
      <c r="AG274" s="1282">
        <f t="shared" si="43"/>
        <v>1140</v>
      </c>
    </row>
    <row r="275" spans="1:33" ht="32.25" hidden="1" customHeight="1">
      <c r="A275" s="294">
        <v>2132</v>
      </c>
      <c r="B275" s="291" t="s">
        <v>63</v>
      </c>
      <c r="C275" s="1834" t="s">
        <v>327</v>
      </c>
      <c r="D275" s="326"/>
      <c r="E275" s="294">
        <v>3</v>
      </c>
      <c r="F275" s="293">
        <v>43318</v>
      </c>
      <c r="G275" s="293">
        <f t="shared" si="41"/>
        <v>43321</v>
      </c>
      <c r="H275" s="293" t="s">
        <v>294</v>
      </c>
      <c r="I275" s="294" t="s">
        <v>171</v>
      </c>
      <c r="J275" s="307" t="s">
        <v>295</v>
      </c>
      <c r="K275" s="1094" t="s">
        <v>325</v>
      </c>
      <c r="L275" s="1237">
        <v>23174</v>
      </c>
      <c r="M275" s="326"/>
      <c r="N275" s="294"/>
      <c r="O275" s="354">
        <v>96.666666666666671</v>
      </c>
      <c r="P275" s="887">
        <v>3</v>
      </c>
      <c r="Q275" s="299">
        <f t="shared" si="42"/>
        <v>290</v>
      </c>
      <c r="R275" s="299"/>
      <c r="S275" s="355"/>
      <c r="T275" s="355"/>
      <c r="U275" s="355"/>
      <c r="V275" s="355"/>
      <c r="W275" s="355"/>
      <c r="X275" s="1137">
        <v>290</v>
      </c>
      <c r="Y275" s="1126"/>
      <c r="Z275" s="1194"/>
      <c r="AA275" s="1194"/>
      <c r="AB275" s="1194"/>
      <c r="AC275" s="1124"/>
      <c r="AD275" s="1124"/>
      <c r="AE275" s="1152"/>
      <c r="AF275" s="1124"/>
      <c r="AG275" s="1282">
        <f t="shared" si="43"/>
        <v>290</v>
      </c>
    </row>
    <row r="276" spans="1:33" ht="32.25" hidden="1" customHeight="1">
      <c r="A276" s="294">
        <v>2132</v>
      </c>
      <c r="B276" s="291" t="s">
        <v>63</v>
      </c>
      <c r="C276" s="1834" t="s">
        <v>327</v>
      </c>
      <c r="D276" s="326"/>
      <c r="E276" s="294">
        <v>3</v>
      </c>
      <c r="F276" s="293">
        <v>43318</v>
      </c>
      <c r="G276" s="293">
        <f t="shared" si="41"/>
        <v>43321</v>
      </c>
      <c r="H276" s="293" t="s">
        <v>294</v>
      </c>
      <c r="I276" s="294" t="s">
        <v>171</v>
      </c>
      <c r="J276" s="307" t="s">
        <v>295</v>
      </c>
      <c r="K276" s="1094" t="s">
        <v>329</v>
      </c>
      <c r="L276" s="1237">
        <v>23174</v>
      </c>
      <c r="M276" s="326"/>
      <c r="N276" s="294"/>
      <c r="O276" s="354">
        <v>1000</v>
      </c>
      <c r="P276" s="887">
        <v>3</v>
      </c>
      <c r="Q276" s="299">
        <f t="shared" si="42"/>
        <v>3000</v>
      </c>
      <c r="R276" s="299"/>
      <c r="S276" s="355"/>
      <c r="T276" s="355"/>
      <c r="U276" s="355"/>
      <c r="V276" s="355"/>
      <c r="W276" s="355"/>
      <c r="X276" s="1137">
        <v>3000</v>
      </c>
      <c r="Y276" s="1126"/>
      <c r="Z276" s="1194"/>
      <c r="AA276" s="1194"/>
      <c r="AB276" s="1194"/>
      <c r="AC276" s="1124"/>
      <c r="AD276" s="1124"/>
      <c r="AE276" s="1152"/>
      <c r="AF276" s="1124"/>
      <c r="AG276" s="1282">
        <f t="shared" si="43"/>
        <v>3000</v>
      </c>
    </row>
    <row r="277" spans="1:33" ht="32.25" hidden="1" customHeight="1">
      <c r="A277" s="294">
        <v>2132</v>
      </c>
      <c r="B277" s="291" t="s">
        <v>63</v>
      </c>
      <c r="C277" s="1834" t="s">
        <v>327</v>
      </c>
      <c r="D277" s="326"/>
      <c r="E277" s="294">
        <v>3</v>
      </c>
      <c r="F277" s="293">
        <v>43318</v>
      </c>
      <c r="G277" s="293">
        <f t="shared" si="41"/>
        <v>43321</v>
      </c>
      <c r="H277" s="293" t="s">
        <v>294</v>
      </c>
      <c r="I277" s="294" t="s">
        <v>171</v>
      </c>
      <c r="J277" s="307" t="s">
        <v>295</v>
      </c>
      <c r="K277" s="1094" t="s">
        <v>326</v>
      </c>
      <c r="L277" s="1237">
        <v>23174</v>
      </c>
      <c r="M277" s="294"/>
      <c r="N277" s="294"/>
      <c r="O277" s="354">
        <v>100</v>
      </c>
      <c r="P277" s="887">
        <v>3</v>
      </c>
      <c r="Q277" s="299">
        <f t="shared" si="42"/>
        <v>300</v>
      </c>
      <c r="R277" s="299"/>
      <c r="S277" s="355"/>
      <c r="T277" s="355"/>
      <c r="U277" s="355"/>
      <c r="V277" s="355"/>
      <c r="W277" s="355"/>
      <c r="X277" s="1137">
        <v>300</v>
      </c>
      <c r="Y277" s="1126"/>
      <c r="Z277" s="1194"/>
      <c r="AA277" s="1194"/>
      <c r="AB277" s="1194"/>
      <c r="AC277" s="1124"/>
      <c r="AD277" s="1124"/>
      <c r="AE277" s="1152"/>
      <c r="AF277" s="1124"/>
      <c r="AG277" s="1282">
        <f t="shared" si="43"/>
        <v>300</v>
      </c>
    </row>
    <row r="278" spans="1:33" ht="32.25" hidden="1" customHeight="1">
      <c r="A278" s="2789">
        <v>2133</v>
      </c>
      <c r="B278" s="2790" t="s">
        <v>64</v>
      </c>
      <c r="C278" s="2801" t="s">
        <v>330</v>
      </c>
      <c r="D278" s="2791"/>
      <c r="E278" s="2789">
        <v>2</v>
      </c>
      <c r="F278" s="2792">
        <v>43325</v>
      </c>
      <c r="G278" s="2792">
        <f t="shared" si="41"/>
        <v>43327</v>
      </c>
      <c r="H278" s="2792" t="s">
        <v>294</v>
      </c>
      <c r="I278" s="2789" t="s">
        <v>171</v>
      </c>
      <c r="J278" s="2793" t="s">
        <v>295</v>
      </c>
      <c r="K278" s="2833"/>
      <c r="L278" s="1704"/>
      <c r="M278" s="1703"/>
      <c r="N278" s="1703"/>
      <c r="O278" s="1125"/>
      <c r="P278" s="2834"/>
      <c r="Q278" s="1127"/>
      <c r="R278" s="1127"/>
      <c r="S278" s="1126"/>
      <c r="T278" s="1126"/>
      <c r="U278" s="1126"/>
      <c r="V278" s="1126"/>
      <c r="W278" s="1126"/>
      <c r="X278" s="2835"/>
      <c r="Y278" s="1126"/>
      <c r="Z278" s="1194"/>
      <c r="AA278" s="1194"/>
      <c r="AB278" s="1194"/>
      <c r="AC278" s="1124"/>
      <c r="AD278" s="1124"/>
      <c r="AE278" s="1152"/>
      <c r="AF278" s="1124"/>
      <c r="AG278" s="1343"/>
    </row>
    <row r="279" spans="1:33" ht="32.25" hidden="1" customHeight="1">
      <c r="A279" s="294">
        <v>2133</v>
      </c>
      <c r="B279" s="291" t="s">
        <v>64</v>
      </c>
      <c r="C279" s="1835" t="s">
        <v>330</v>
      </c>
      <c r="D279" s="326"/>
      <c r="E279" s="294">
        <v>2</v>
      </c>
      <c r="F279" s="293">
        <v>43325</v>
      </c>
      <c r="G279" s="293">
        <f t="shared" si="41"/>
        <v>43327</v>
      </c>
      <c r="H279" s="293" t="s">
        <v>294</v>
      </c>
      <c r="I279" s="294" t="s">
        <v>171</v>
      </c>
      <c r="J279" s="307" t="s">
        <v>295</v>
      </c>
      <c r="K279" s="1094" t="s">
        <v>296</v>
      </c>
      <c r="L279" s="1237">
        <v>23174</v>
      </c>
      <c r="M279" s="294"/>
      <c r="N279" s="294"/>
      <c r="O279" s="354">
        <v>900</v>
      </c>
      <c r="P279" s="887">
        <v>3</v>
      </c>
      <c r="Q279" s="299">
        <f t="shared" si="42"/>
        <v>2700</v>
      </c>
      <c r="R279" s="299"/>
      <c r="S279" s="355"/>
      <c r="T279" s="355"/>
      <c r="U279" s="355"/>
      <c r="V279" s="355"/>
      <c r="W279" s="355"/>
      <c r="X279" s="1137">
        <v>2700</v>
      </c>
      <c r="Y279" s="1126"/>
      <c r="Z279" s="1194"/>
      <c r="AA279" s="1194"/>
      <c r="AB279" s="1194"/>
      <c r="AC279" s="1124"/>
      <c r="AD279" s="1124"/>
      <c r="AE279" s="1152"/>
      <c r="AF279" s="1124"/>
      <c r="AG279" s="1282">
        <f t="shared" si="43"/>
        <v>2700</v>
      </c>
    </row>
    <row r="280" spans="1:33" ht="32.25" hidden="1" customHeight="1">
      <c r="A280" s="294">
        <v>2133</v>
      </c>
      <c r="B280" s="291" t="s">
        <v>64</v>
      </c>
      <c r="C280" s="1835" t="s">
        <v>330</v>
      </c>
      <c r="D280" s="326"/>
      <c r="E280" s="294">
        <v>2</v>
      </c>
      <c r="F280" s="293">
        <v>43325</v>
      </c>
      <c r="G280" s="293">
        <f t="shared" si="41"/>
        <v>43327</v>
      </c>
      <c r="H280" s="293" t="s">
        <v>294</v>
      </c>
      <c r="I280" s="294" t="s">
        <v>171</v>
      </c>
      <c r="J280" s="307" t="s">
        <v>295</v>
      </c>
      <c r="K280" s="1094" t="s">
        <v>297</v>
      </c>
      <c r="L280" s="1237">
        <v>23174</v>
      </c>
      <c r="M280" s="294"/>
      <c r="N280" s="294"/>
      <c r="O280" s="354">
        <v>101.33333333333333</v>
      </c>
      <c r="P280" s="887">
        <v>3</v>
      </c>
      <c r="Q280" s="299">
        <f t="shared" si="42"/>
        <v>304</v>
      </c>
      <c r="R280" s="299"/>
      <c r="S280" s="355"/>
      <c r="T280" s="355"/>
      <c r="U280" s="355"/>
      <c r="V280" s="355"/>
      <c r="W280" s="355"/>
      <c r="X280" s="1137">
        <v>304</v>
      </c>
      <c r="Y280" s="1126"/>
      <c r="Z280" s="1194"/>
      <c r="AA280" s="1194"/>
      <c r="AB280" s="1194"/>
      <c r="AC280" s="1124"/>
      <c r="AD280" s="1124"/>
      <c r="AE280" s="1152"/>
      <c r="AF280" s="1124"/>
      <c r="AG280" s="1282">
        <f t="shared" si="43"/>
        <v>304</v>
      </c>
    </row>
    <row r="281" spans="1:33" ht="32.25" hidden="1" customHeight="1">
      <c r="A281" s="294">
        <v>2133</v>
      </c>
      <c r="B281" s="291" t="s">
        <v>64</v>
      </c>
      <c r="C281" s="1835" t="s">
        <v>330</v>
      </c>
      <c r="D281" s="326"/>
      <c r="E281" s="294">
        <v>2</v>
      </c>
      <c r="F281" s="293">
        <v>43325</v>
      </c>
      <c r="G281" s="293">
        <f t="shared" si="41"/>
        <v>43327</v>
      </c>
      <c r="H281" s="293" t="s">
        <v>294</v>
      </c>
      <c r="I281" s="294" t="s">
        <v>171</v>
      </c>
      <c r="J281" s="307" t="s">
        <v>295</v>
      </c>
      <c r="K281" s="1094" t="s">
        <v>331</v>
      </c>
      <c r="L281" s="1237">
        <v>23174</v>
      </c>
      <c r="M281" s="294"/>
      <c r="N281" s="294"/>
      <c r="O281" s="354">
        <v>112</v>
      </c>
      <c r="P281" s="887">
        <v>3</v>
      </c>
      <c r="Q281" s="299">
        <f t="shared" si="42"/>
        <v>336</v>
      </c>
      <c r="R281" s="299"/>
      <c r="S281" s="355"/>
      <c r="T281" s="355"/>
      <c r="U281" s="355"/>
      <c r="V281" s="355"/>
      <c r="W281" s="355"/>
      <c r="X281" s="1137">
        <v>336</v>
      </c>
      <c r="Y281" s="1126"/>
      <c r="Z281" s="1194"/>
      <c r="AA281" s="1194"/>
      <c r="AB281" s="1194"/>
      <c r="AC281" s="1124"/>
      <c r="AD281" s="1124"/>
      <c r="AE281" s="1152"/>
      <c r="AF281" s="1124"/>
      <c r="AG281" s="1282">
        <f t="shared" si="43"/>
        <v>336</v>
      </c>
    </row>
    <row r="282" spans="1:33" ht="32.25" hidden="1" customHeight="1">
      <c r="A282" s="294">
        <v>2133</v>
      </c>
      <c r="B282" s="291" t="s">
        <v>64</v>
      </c>
      <c r="C282" s="1835" t="s">
        <v>330</v>
      </c>
      <c r="D282" s="326"/>
      <c r="E282" s="294">
        <v>2</v>
      </c>
      <c r="F282" s="293">
        <v>43325</v>
      </c>
      <c r="G282" s="293">
        <f t="shared" si="41"/>
        <v>43327</v>
      </c>
      <c r="H282" s="293" t="s">
        <v>294</v>
      </c>
      <c r="I282" s="294" t="s">
        <v>171</v>
      </c>
      <c r="J282" s="307" t="s">
        <v>295</v>
      </c>
      <c r="K282" s="1094" t="s">
        <v>332</v>
      </c>
      <c r="L282" s="1237">
        <v>23174</v>
      </c>
      <c r="M282" s="294"/>
      <c r="N282" s="294"/>
      <c r="O282" s="354">
        <v>166.66666666666666</v>
      </c>
      <c r="P282" s="887">
        <v>3</v>
      </c>
      <c r="Q282" s="299">
        <f t="shared" si="42"/>
        <v>500</v>
      </c>
      <c r="R282" s="299"/>
      <c r="S282" s="355"/>
      <c r="T282" s="355"/>
      <c r="U282" s="355"/>
      <c r="V282" s="355"/>
      <c r="W282" s="355"/>
      <c r="X282" s="1137">
        <v>500</v>
      </c>
      <c r="Y282" s="1126"/>
      <c r="Z282" s="1194"/>
      <c r="AA282" s="1194"/>
      <c r="AB282" s="1194"/>
      <c r="AC282" s="1124"/>
      <c r="AD282" s="1124"/>
      <c r="AE282" s="1152"/>
      <c r="AF282" s="1124"/>
      <c r="AG282" s="1282">
        <f t="shared" si="43"/>
        <v>500</v>
      </c>
    </row>
    <row r="283" spans="1:33" ht="32.25" hidden="1" customHeight="1">
      <c r="A283" s="294">
        <v>2133</v>
      </c>
      <c r="B283" s="291" t="s">
        <v>64</v>
      </c>
      <c r="C283" s="1835" t="s">
        <v>330</v>
      </c>
      <c r="D283" s="326"/>
      <c r="E283" s="294">
        <v>2</v>
      </c>
      <c r="F283" s="293">
        <v>43325</v>
      </c>
      <c r="G283" s="293">
        <f t="shared" si="41"/>
        <v>43327</v>
      </c>
      <c r="H283" s="293" t="s">
        <v>294</v>
      </c>
      <c r="I283" s="294" t="s">
        <v>171</v>
      </c>
      <c r="J283" s="307" t="s">
        <v>295</v>
      </c>
      <c r="K283" s="1094" t="s">
        <v>311</v>
      </c>
      <c r="L283" s="1237">
        <v>23174</v>
      </c>
      <c r="M283" s="294"/>
      <c r="N283" s="294"/>
      <c r="O283" s="354">
        <v>426.66666666666669</v>
      </c>
      <c r="P283" s="887">
        <v>3</v>
      </c>
      <c r="Q283" s="299">
        <f t="shared" si="42"/>
        <v>1280</v>
      </c>
      <c r="R283" s="299"/>
      <c r="S283" s="355"/>
      <c r="T283" s="355"/>
      <c r="U283" s="355"/>
      <c r="V283" s="355"/>
      <c r="W283" s="355"/>
      <c r="X283" s="1137">
        <v>1280</v>
      </c>
      <c r="Y283" s="1126"/>
      <c r="Z283" s="1194"/>
      <c r="AA283" s="1194"/>
      <c r="AB283" s="1194"/>
      <c r="AC283" s="1124"/>
      <c r="AD283" s="1124"/>
      <c r="AE283" s="1152"/>
      <c r="AF283" s="1124"/>
      <c r="AG283" s="1282">
        <f t="shared" si="43"/>
        <v>1280</v>
      </c>
    </row>
    <row r="284" spans="1:33" ht="32.25" hidden="1" customHeight="1">
      <c r="A284" s="294">
        <v>2133</v>
      </c>
      <c r="B284" s="291" t="s">
        <v>64</v>
      </c>
      <c r="C284" s="1835" t="s">
        <v>330</v>
      </c>
      <c r="D284" s="326"/>
      <c r="E284" s="294">
        <v>2</v>
      </c>
      <c r="F284" s="293">
        <v>43325</v>
      </c>
      <c r="G284" s="293">
        <f t="shared" si="41"/>
        <v>43327</v>
      </c>
      <c r="H284" s="293" t="s">
        <v>294</v>
      </c>
      <c r="I284" s="294" t="s">
        <v>171</v>
      </c>
      <c r="J284" s="307" t="s">
        <v>295</v>
      </c>
      <c r="K284" s="1094" t="s">
        <v>301</v>
      </c>
      <c r="L284" s="1237">
        <v>23173</v>
      </c>
      <c r="M284" s="294"/>
      <c r="N284" s="294"/>
      <c r="O284" s="354">
        <v>33.333333333333336</v>
      </c>
      <c r="P284" s="887">
        <v>3</v>
      </c>
      <c r="Q284" s="299">
        <f t="shared" si="42"/>
        <v>100</v>
      </c>
      <c r="R284" s="299"/>
      <c r="S284" s="355"/>
      <c r="T284" s="355"/>
      <c r="U284" s="355"/>
      <c r="V284" s="355"/>
      <c r="W284" s="355"/>
      <c r="X284" s="1137">
        <v>100</v>
      </c>
      <c r="Y284" s="1126"/>
      <c r="Z284" s="1194"/>
      <c r="AA284" s="1194"/>
      <c r="AB284" s="1194"/>
      <c r="AC284" s="1124"/>
      <c r="AD284" s="1124"/>
      <c r="AE284" s="1152"/>
      <c r="AF284" s="1124"/>
      <c r="AG284" s="1282">
        <f t="shared" si="43"/>
        <v>100</v>
      </c>
    </row>
    <row r="285" spans="1:33" ht="32.25" hidden="1" customHeight="1">
      <c r="A285" s="294">
        <v>2133</v>
      </c>
      <c r="B285" s="291" t="s">
        <v>64</v>
      </c>
      <c r="C285" s="1835" t="s">
        <v>330</v>
      </c>
      <c r="D285" s="326"/>
      <c r="E285" s="294">
        <v>2</v>
      </c>
      <c r="F285" s="293">
        <v>43325</v>
      </c>
      <c r="G285" s="293">
        <f t="shared" si="41"/>
        <v>43327</v>
      </c>
      <c r="H285" s="293" t="s">
        <v>294</v>
      </c>
      <c r="I285" s="294" t="s">
        <v>171</v>
      </c>
      <c r="J285" s="307" t="s">
        <v>295</v>
      </c>
      <c r="K285" s="1094" t="s">
        <v>302</v>
      </c>
      <c r="L285" s="1237">
        <v>23173</v>
      </c>
      <c r="M285" s="294"/>
      <c r="N285" s="294"/>
      <c r="O285" s="354">
        <v>237.66666666666666</v>
      </c>
      <c r="P285" s="887">
        <v>3</v>
      </c>
      <c r="Q285" s="299">
        <f t="shared" si="42"/>
        <v>713</v>
      </c>
      <c r="R285" s="299"/>
      <c r="S285" s="355"/>
      <c r="T285" s="355"/>
      <c r="U285" s="355"/>
      <c r="V285" s="355"/>
      <c r="W285" s="355"/>
      <c r="X285" s="1137">
        <v>713</v>
      </c>
      <c r="Y285" s="1126"/>
      <c r="Z285" s="1194"/>
      <c r="AA285" s="1194"/>
      <c r="AB285" s="1194"/>
      <c r="AC285" s="1124"/>
      <c r="AD285" s="1124"/>
      <c r="AE285" s="1152"/>
      <c r="AF285" s="1124"/>
      <c r="AG285" s="1282">
        <f t="shared" si="43"/>
        <v>713</v>
      </c>
    </row>
    <row r="286" spans="1:33" ht="32.25" hidden="1" customHeight="1">
      <c r="A286" s="2789">
        <v>2134</v>
      </c>
      <c r="B286" s="2790" t="s">
        <v>333</v>
      </c>
      <c r="C286" s="2800" t="s">
        <v>334</v>
      </c>
      <c r="D286" s="2791"/>
      <c r="E286" s="2789">
        <v>15</v>
      </c>
      <c r="F286" s="2792">
        <v>43304</v>
      </c>
      <c r="G286" s="2792">
        <f t="shared" si="41"/>
        <v>43319</v>
      </c>
      <c r="H286" s="2792" t="s">
        <v>294</v>
      </c>
      <c r="I286" s="2789" t="s">
        <v>171</v>
      </c>
      <c r="J286" s="2793" t="s">
        <v>295</v>
      </c>
      <c r="K286" s="2842" t="s">
        <v>335</v>
      </c>
      <c r="L286" s="1788">
        <v>2461</v>
      </c>
      <c r="M286" s="294"/>
      <c r="N286" s="294"/>
      <c r="O286" s="354">
        <v>504.68333333333334</v>
      </c>
      <c r="P286" s="887">
        <v>60</v>
      </c>
      <c r="Q286" s="299">
        <f t="shared" si="42"/>
        <v>30281</v>
      </c>
      <c r="R286" s="299"/>
      <c r="S286" s="355"/>
      <c r="T286" s="355"/>
      <c r="U286" s="355"/>
      <c r="V286" s="355"/>
      <c r="W286" s="355"/>
      <c r="X286" s="1137">
        <v>30281</v>
      </c>
      <c r="Y286" s="1126"/>
      <c r="Z286" s="1194"/>
      <c r="AA286" s="1194"/>
      <c r="AB286" s="1194"/>
      <c r="AC286" s="1124"/>
      <c r="AD286" s="1124"/>
      <c r="AE286" s="1152"/>
      <c r="AF286" s="1124"/>
      <c r="AG286" s="1282">
        <f t="shared" si="43"/>
        <v>30281</v>
      </c>
    </row>
    <row r="287" spans="1:33" ht="32.25" hidden="1" customHeight="1">
      <c r="A287" s="2789">
        <v>2135</v>
      </c>
      <c r="B287" s="2790" t="s">
        <v>65</v>
      </c>
      <c r="C287" s="2800" t="s">
        <v>336</v>
      </c>
      <c r="D287" s="2791"/>
      <c r="E287" s="2789">
        <v>30</v>
      </c>
      <c r="F287" s="2792">
        <v>43346</v>
      </c>
      <c r="G287" s="2792">
        <f t="shared" si="41"/>
        <v>43376</v>
      </c>
      <c r="H287" s="2792" t="s">
        <v>294</v>
      </c>
      <c r="I287" s="2789" t="s">
        <v>171</v>
      </c>
      <c r="J287" s="2793" t="s">
        <v>295</v>
      </c>
      <c r="K287" s="2791" t="s">
        <v>337</v>
      </c>
      <c r="L287" s="2837">
        <v>6552</v>
      </c>
      <c r="M287" s="326"/>
      <c r="N287" s="294"/>
      <c r="O287" s="354">
        <v>1166.6666666666667</v>
      </c>
      <c r="P287" s="887">
        <v>60</v>
      </c>
      <c r="Q287" s="299">
        <f t="shared" si="42"/>
        <v>70000</v>
      </c>
      <c r="R287" s="299"/>
      <c r="S287" s="355"/>
      <c r="T287" s="355"/>
      <c r="U287" s="355"/>
      <c r="V287" s="355"/>
      <c r="W287" s="355"/>
      <c r="X287" s="1137"/>
      <c r="Y287" s="1126">
        <v>70000</v>
      </c>
      <c r="Z287" s="1194"/>
      <c r="AA287" s="1194"/>
      <c r="AB287" s="1194"/>
      <c r="AC287" s="1124"/>
      <c r="AD287" s="1124"/>
      <c r="AE287" s="1152"/>
      <c r="AF287" s="1124"/>
      <c r="AG287" s="1282">
        <f t="shared" si="43"/>
        <v>70000</v>
      </c>
    </row>
    <row r="288" spans="1:33" ht="32.25" hidden="1" customHeight="1">
      <c r="A288" s="2789">
        <v>2136</v>
      </c>
      <c r="B288" s="2790" t="s">
        <v>66</v>
      </c>
      <c r="C288" s="2801" t="s">
        <v>338</v>
      </c>
      <c r="D288" s="2791"/>
      <c r="E288" s="2789">
        <v>30</v>
      </c>
      <c r="F288" s="2792">
        <v>43346</v>
      </c>
      <c r="G288" s="2792">
        <f t="shared" si="41"/>
        <v>43376</v>
      </c>
      <c r="H288" s="2792" t="s">
        <v>294</v>
      </c>
      <c r="I288" s="2789" t="s">
        <v>171</v>
      </c>
      <c r="J288" s="2793" t="s">
        <v>295</v>
      </c>
      <c r="K288" s="2791" t="s">
        <v>339</v>
      </c>
      <c r="L288" s="2838">
        <v>6565</v>
      </c>
      <c r="M288" s="326"/>
      <c r="N288" s="294"/>
      <c r="O288" s="354">
        <v>60</v>
      </c>
      <c r="P288" s="887">
        <v>120</v>
      </c>
      <c r="Q288" s="299">
        <f t="shared" si="42"/>
        <v>7200</v>
      </c>
      <c r="R288" s="299"/>
      <c r="S288" s="355"/>
      <c r="T288" s="355"/>
      <c r="U288" s="355"/>
      <c r="V288" s="355"/>
      <c r="W288" s="355"/>
      <c r="X288" s="1137"/>
      <c r="Y288" s="1126">
        <v>7200</v>
      </c>
      <c r="Z288" s="1194"/>
      <c r="AA288" s="1194"/>
      <c r="AB288" s="1194"/>
      <c r="AC288" s="1124"/>
      <c r="AD288" s="1124"/>
      <c r="AE288" s="1152"/>
      <c r="AF288" s="1124"/>
      <c r="AG288" s="1282">
        <f t="shared" si="43"/>
        <v>7200</v>
      </c>
    </row>
    <row r="289" spans="1:33" ht="29.25" customHeight="1">
      <c r="A289" s="1275">
        <v>214</v>
      </c>
      <c r="B289" s="995" t="s">
        <v>340</v>
      </c>
      <c r="C289" s="1083"/>
      <c r="D289" s="1339"/>
      <c r="E289" s="1340"/>
      <c r="F289" s="1340"/>
      <c r="G289" s="1340"/>
      <c r="H289" s="1339"/>
      <c r="I289" s="1341"/>
      <c r="J289" s="283"/>
      <c r="K289" s="1278"/>
      <c r="L289" s="1279"/>
      <c r="M289" s="1280"/>
      <c r="N289" s="1277"/>
      <c r="O289" s="1281"/>
      <c r="P289" s="1277"/>
      <c r="Q289" s="547">
        <f>SUM(Q291:Q310)</f>
        <v>47057.333333333336</v>
      </c>
      <c r="R289" s="287"/>
      <c r="S289" s="1282">
        <f t="shared" ref="S289:AF289" si="44">SUM(S291:S310)</f>
        <v>0</v>
      </c>
      <c r="T289" s="1282">
        <f t="shared" si="44"/>
        <v>0</v>
      </c>
      <c r="U289" s="1282">
        <f t="shared" si="44"/>
        <v>22594.666666666668</v>
      </c>
      <c r="V289" s="1282">
        <f t="shared" si="44"/>
        <v>0</v>
      </c>
      <c r="W289" s="1282">
        <f t="shared" si="44"/>
        <v>21422.666666666668</v>
      </c>
      <c r="X289" s="1342">
        <f t="shared" si="44"/>
        <v>0</v>
      </c>
      <c r="Y289" s="1343">
        <f t="shared" si="44"/>
        <v>0</v>
      </c>
      <c r="Z289" s="1151">
        <f t="shared" si="44"/>
        <v>0</v>
      </c>
      <c r="AA289" s="1151">
        <f t="shared" si="44"/>
        <v>3040</v>
      </c>
      <c r="AB289" s="1151">
        <f t="shared" si="44"/>
        <v>0</v>
      </c>
      <c r="AC289" s="1151">
        <f t="shared" si="44"/>
        <v>0</v>
      </c>
      <c r="AD289" s="1151">
        <f t="shared" si="44"/>
        <v>0</v>
      </c>
      <c r="AE289" s="1151">
        <f t="shared" si="44"/>
        <v>0</v>
      </c>
      <c r="AF289" s="1151">
        <f t="shared" si="44"/>
        <v>0</v>
      </c>
      <c r="AG289" s="1151">
        <f>SUM(S289:AF289)</f>
        <v>47057.333333333336</v>
      </c>
    </row>
    <row r="290" spans="1:33" ht="29.25" hidden="1" customHeight="1">
      <c r="A290" s="2789">
        <v>2141</v>
      </c>
      <c r="B290" s="2790" t="s">
        <v>341</v>
      </c>
      <c r="C290" s="2790" t="s">
        <v>342</v>
      </c>
      <c r="D290" s="2791"/>
      <c r="E290" s="2789">
        <v>5</v>
      </c>
      <c r="F290" s="2792">
        <v>43227</v>
      </c>
      <c r="G290" s="2792">
        <f t="shared" ref="G290:G310" si="45">+E290+F290</f>
        <v>43232</v>
      </c>
      <c r="H290" s="2792" t="s">
        <v>294</v>
      </c>
      <c r="I290" s="2789" t="s">
        <v>171</v>
      </c>
      <c r="J290" s="2793" t="s">
        <v>295</v>
      </c>
      <c r="K290" s="1705"/>
      <c r="L290" s="2786"/>
      <c r="M290" s="2736"/>
      <c r="N290" s="2737"/>
      <c r="O290" s="2738"/>
      <c r="P290" s="2737"/>
      <c r="Q290" s="2809"/>
      <c r="R290" s="2787"/>
      <c r="S290" s="2739"/>
      <c r="T290" s="2739"/>
      <c r="U290" s="2739"/>
      <c r="V290" s="2739"/>
      <c r="W290" s="2739"/>
      <c r="X290" s="2788"/>
      <c r="Y290" s="2739"/>
      <c r="Z290" s="2832"/>
      <c r="AA290" s="2832"/>
      <c r="AB290" s="2832"/>
      <c r="AC290" s="2832"/>
      <c r="AD290" s="2832"/>
      <c r="AE290" s="2832"/>
      <c r="AF290" s="2832"/>
      <c r="AG290" s="2832"/>
    </row>
    <row r="291" spans="1:33" ht="32.25" hidden="1" customHeight="1">
      <c r="A291" s="294">
        <v>2141</v>
      </c>
      <c r="B291" s="291" t="s">
        <v>341</v>
      </c>
      <c r="C291" s="1834" t="s">
        <v>342</v>
      </c>
      <c r="D291" s="326"/>
      <c r="E291" s="294">
        <v>5</v>
      </c>
      <c r="F291" s="293">
        <v>43227</v>
      </c>
      <c r="G291" s="293">
        <f t="shared" si="45"/>
        <v>43232</v>
      </c>
      <c r="H291" s="293" t="s">
        <v>294</v>
      </c>
      <c r="I291" s="294" t="s">
        <v>171</v>
      </c>
      <c r="J291" s="307" t="s">
        <v>295</v>
      </c>
      <c r="K291" s="936" t="s">
        <v>343</v>
      </c>
      <c r="L291" s="1237">
        <v>23173</v>
      </c>
      <c r="M291" s="294"/>
      <c r="N291" s="294"/>
      <c r="O291" s="354">
        <v>770</v>
      </c>
      <c r="P291" s="1836">
        <v>2</v>
      </c>
      <c r="Q291" s="299">
        <f t="shared" ref="Q291:Q310" si="46">+O291*P291</f>
        <v>1540</v>
      </c>
      <c r="R291" s="299"/>
      <c r="S291" s="355"/>
      <c r="T291" s="355"/>
      <c r="U291" s="355">
        <v>1540</v>
      </c>
      <c r="V291" s="355"/>
      <c r="W291" s="355"/>
      <c r="X291" s="1137"/>
      <c r="Y291" s="1126"/>
      <c r="Z291" s="1194"/>
      <c r="AA291" s="1194"/>
      <c r="AB291" s="1194"/>
      <c r="AC291" s="1124"/>
      <c r="AD291" s="1124"/>
      <c r="AE291" s="1152"/>
      <c r="AF291" s="1124"/>
      <c r="AG291" s="1282">
        <f t="shared" ref="AG291:AG310" si="47">SUM(S291:AF291)</f>
        <v>1540</v>
      </c>
    </row>
    <row r="292" spans="1:33" ht="32.25" hidden="1" customHeight="1">
      <c r="A292" s="294">
        <v>2141</v>
      </c>
      <c r="B292" s="291" t="s">
        <v>341</v>
      </c>
      <c r="C292" s="1834" t="s">
        <v>342</v>
      </c>
      <c r="D292" s="326"/>
      <c r="E292" s="294">
        <v>5</v>
      </c>
      <c r="F292" s="293">
        <v>43227</v>
      </c>
      <c r="G292" s="293">
        <f t="shared" si="45"/>
        <v>43232</v>
      </c>
      <c r="H292" s="293" t="s">
        <v>294</v>
      </c>
      <c r="I292" s="294" t="s">
        <v>171</v>
      </c>
      <c r="J292" s="307" t="s">
        <v>295</v>
      </c>
      <c r="K292" s="936" t="s">
        <v>344</v>
      </c>
      <c r="L292" s="1237">
        <v>23173</v>
      </c>
      <c r="M292" s="294"/>
      <c r="N292" s="294"/>
      <c r="O292" s="354">
        <v>165</v>
      </c>
      <c r="P292" s="1836">
        <v>2</v>
      </c>
      <c r="Q292" s="299">
        <f t="shared" si="46"/>
        <v>330</v>
      </c>
      <c r="R292" s="299"/>
      <c r="S292" s="355"/>
      <c r="T292" s="355"/>
      <c r="U292" s="355">
        <v>330</v>
      </c>
      <c r="V292" s="355"/>
      <c r="W292" s="355"/>
      <c r="X292" s="1137"/>
      <c r="Y292" s="1126"/>
      <c r="Z292" s="1194"/>
      <c r="AA292" s="1194"/>
      <c r="AB292" s="1194"/>
      <c r="AC292" s="1124"/>
      <c r="AD292" s="1124"/>
      <c r="AE292" s="1152"/>
      <c r="AF292" s="1124"/>
      <c r="AG292" s="1282">
        <f t="shared" si="47"/>
        <v>330</v>
      </c>
    </row>
    <row r="293" spans="1:33" ht="32.25" hidden="1" customHeight="1">
      <c r="A293" s="294">
        <v>2141</v>
      </c>
      <c r="B293" s="291" t="s">
        <v>341</v>
      </c>
      <c r="C293" s="1834" t="s">
        <v>342</v>
      </c>
      <c r="D293" s="326"/>
      <c r="E293" s="294">
        <v>5</v>
      </c>
      <c r="F293" s="293">
        <v>43227</v>
      </c>
      <c r="G293" s="293">
        <f t="shared" si="45"/>
        <v>43232</v>
      </c>
      <c r="H293" s="293" t="s">
        <v>294</v>
      </c>
      <c r="I293" s="294" t="s">
        <v>171</v>
      </c>
      <c r="J293" s="307" t="s">
        <v>295</v>
      </c>
      <c r="K293" s="936" t="s">
        <v>310</v>
      </c>
      <c r="L293" s="1237">
        <v>23174</v>
      </c>
      <c r="M293" s="887"/>
      <c r="N293" s="294"/>
      <c r="O293" s="354">
        <v>5320</v>
      </c>
      <c r="P293" s="1836">
        <v>2</v>
      </c>
      <c r="Q293" s="299">
        <f t="shared" si="46"/>
        <v>10640</v>
      </c>
      <c r="R293" s="299"/>
      <c r="S293" s="355"/>
      <c r="T293" s="355"/>
      <c r="U293" s="355">
        <v>10640</v>
      </c>
      <c r="V293" s="355"/>
      <c r="W293" s="355"/>
      <c r="X293" s="1137"/>
      <c r="Y293" s="1126"/>
      <c r="Z293" s="1194"/>
      <c r="AA293" s="1194"/>
      <c r="AB293" s="1194"/>
      <c r="AC293" s="1124"/>
      <c r="AD293" s="1124"/>
      <c r="AE293" s="1152"/>
      <c r="AF293" s="1124"/>
      <c r="AG293" s="1282">
        <f t="shared" si="47"/>
        <v>10640</v>
      </c>
    </row>
    <row r="294" spans="1:33" ht="32.25" hidden="1" customHeight="1">
      <c r="A294" s="294">
        <v>2141</v>
      </c>
      <c r="B294" s="291" t="s">
        <v>341</v>
      </c>
      <c r="C294" s="1834" t="s">
        <v>342</v>
      </c>
      <c r="D294" s="326"/>
      <c r="E294" s="294">
        <v>5</v>
      </c>
      <c r="F294" s="293">
        <v>43227</v>
      </c>
      <c r="G294" s="293">
        <f t="shared" si="45"/>
        <v>43232</v>
      </c>
      <c r="H294" s="293" t="s">
        <v>294</v>
      </c>
      <c r="I294" s="294" t="s">
        <v>171</v>
      </c>
      <c r="J294" s="307" t="s">
        <v>295</v>
      </c>
      <c r="K294" s="936" t="s">
        <v>345</v>
      </c>
      <c r="L294" s="1237">
        <v>23174</v>
      </c>
      <c r="M294" s="294"/>
      <c r="N294" s="294"/>
      <c r="O294" s="354">
        <v>532</v>
      </c>
      <c r="P294" s="1836">
        <v>2</v>
      </c>
      <c r="Q294" s="299">
        <f t="shared" si="46"/>
        <v>1064</v>
      </c>
      <c r="R294" s="299"/>
      <c r="S294" s="355"/>
      <c r="T294" s="355"/>
      <c r="U294" s="355">
        <v>1064</v>
      </c>
      <c r="V294" s="355"/>
      <c r="W294" s="355"/>
      <c r="X294" s="1137"/>
      <c r="Y294" s="1126"/>
      <c r="Z294" s="1194"/>
      <c r="AA294" s="1194"/>
      <c r="AB294" s="1194"/>
      <c r="AC294" s="1124"/>
      <c r="AD294" s="1124"/>
      <c r="AE294" s="1152"/>
      <c r="AF294" s="1124"/>
      <c r="AG294" s="1282">
        <f t="shared" si="47"/>
        <v>1064</v>
      </c>
    </row>
    <row r="295" spans="1:33" ht="32.25" hidden="1" customHeight="1">
      <c r="A295" s="294">
        <v>2141</v>
      </c>
      <c r="B295" s="291" t="s">
        <v>341</v>
      </c>
      <c r="C295" s="1834" t="s">
        <v>342</v>
      </c>
      <c r="D295" s="326"/>
      <c r="E295" s="294">
        <v>5</v>
      </c>
      <c r="F295" s="293">
        <v>43227</v>
      </c>
      <c r="G295" s="293">
        <f t="shared" si="45"/>
        <v>43232</v>
      </c>
      <c r="H295" s="293" t="s">
        <v>294</v>
      </c>
      <c r="I295" s="294" t="s">
        <v>171</v>
      </c>
      <c r="J295" s="307" t="s">
        <v>295</v>
      </c>
      <c r="K295" s="936" t="s">
        <v>300</v>
      </c>
      <c r="L295" s="1237">
        <v>23174</v>
      </c>
      <c r="M295" s="294"/>
      <c r="N295" s="294"/>
      <c r="O295" s="354">
        <v>1000</v>
      </c>
      <c r="P295" s="1836">
        <v>2</v>
      </c>
      <c r="Q295" s="299">
        <f t="shared" si="46"/>
        <v>2000</v>
      </c>
      <c r="R295" s="299"/>
      <c r="S295" s="355"/>
      <c r="T295" s="355"/>
      <c r="U295" s="355">
        <v>2000</v>
      </c>
      <c r="V295" s="355"/>
      <c r="W295" s="355"/>
      <c r="X295" s="1137"/>
      <c r="Y295" s="1126"/>
      <c r="Z295" s="1194"/>
      <c r="AA295" s="1194"/>
      <c r="AB295" s="1194"/>
      <c r="AC295" s="1124"/>
      <c r="AD295" s="1124"/>
      <c r="AE295" s="1152"/>
      <c r="AF295" s="1124"/>
      <c r="AG295" s="1282">
        <f t="shared" si="47"/>
        <v>2000</v>
      </c>
    </row>
    <row r="296" spans="1:33" ht="32.25" hidden="1" customHeight="1">
      <c r="A296" s="294">
        <v>2141</v>
      </c>
      <c r="B296" s="291" t="s">
        <v>341</v>
      </c>
      <c r="C296" s="1834" t="s">
        <v>342</v>
      </c>
      <c r="D296" s="326"/>
      <c r="E296" s="294">
        <v>5</v>
      </c>
      <c r="F296" s="293">
        <v>43227</v>
      </c>
      <c r="G296" s="293">
        <f t="shared" si="45"/>
        <v>43232</v>
      </c>
      <c r="H296" s="293" t="s">
        <v>294</v>
      </c>
      <c r="I296" s="294" t="s">
        <v>171</v>
      </c>
      <c r="J296" s="307" t="s">
        <v>295</v>
      </c>
      <c r="K296" s="936" t="s">
        <v>346</v>
      </c>
      <c r="L296" s="1237">
        <v>23174</v>
      </c>
      <c r="M296" s="887"/>
      <c r="N296" s="294"/>
      <c r="O296" s="354">
        <v>1000</v>
      </c>
      <c r="P296" s="1836">
        <v>2</v>
      </c>
      <c r="Q296" s="299">
        <f t="shared" si="46"/>
        <v>2000</v>
      </c>
      <c r="R296" s="299"/>
      <c r="S296" s="355"/>
      <c r="T296" s="355"/>
      <c r="U296" s="355">
        <v>2000</v>
      </c>
      <c r="V296" s="355"/>
      <c r="W296" s="355"/>
      <c r="X296" s="1137"/>
      <c r="Y296" s="1126"/>
      <c r="Z296" s="1194"/>
      <c r="AA296" s="1194"/>
      <c r="AB296" s="1194"/>
      <c r="AC296" s="1124"/>
      <c r="AD296" s="1124"/>
      <c r="AE296" s="1152"/>
      <c r="AF296" s="1124"/>
      <c r="AG296" s="1282">
        <f t="shared" si="47"/>
        <v>2000</v>
      </c>
    </row>
    <row r="297" spans="1:33" ht="32.25" hidden="1" customHeight="1">
      <c r="A297" s="294">
        <v>2141</v>
      </c>
      <c r="B297" s="291" t="s">
        <v>341</v>
      </c>
      <c r="C297" s="1834" t="s">
        <v>342</v>
      </c>
      <c r="D297" s="326"/>
      <c r="E297" s="294">
        <v>5</v>
      </c>
      <c r="F297" s="293">
        <v>43227</v>
      </c>
      <c r="G297" s="293">
        <f t="shared" si="45"/>
        <v>43232</v>
      </c>
      <c r="H297" s="293" t="s">
        <v>294</v>
      </c>
      <c r="I297" s="294" t="s">
        <v>171</v>
      </c>
      <c r="J297" s="307" t="s">
        <v>295</v>
      </c>
      <c r="K297" s="936" t="s">
        <v>301</v>
      </c>
      <c r="L297" s="1237">
        <v>23173</v>
      </c>
      <c r="M297" s="294"/>
      <c r="N297" s="294"/>
      <c r="O297" s="354">
        <v>500</v>
      </c>
      <c r="P297" s="1836">
        <v>2</v>
      </c>
      <c r="Q297" s="299">
        <f t="shared" si="46"/>
        <v>1000</v>
      </c>
      <c r="R297" s="299"/>
      <c r="S297" s="355"/>
      <c r="T297" s="355"/>
      <c r="U297" s="355">
        <v>1000</v>
      </c>
      <c r="V297" s="355"/>
      <c r="W297" s="355"/>
      <c r="X297" s="1137"/>
      <c r="Y297" s="1126"/>
      <c r="Z297" s="1194"/>
      <c r="AA297" s="1194"/>
      <c r="AB297" s="1194"/>
      <c r="AC297" s="1124"/>
      <c r="AD297" s="1124"/>
      <c r="AE297" s="1152"/>
      <c r="AF297" s="1124"/>
      <c r="AG297" s="1282">
        <f t="shared" si="47"/>
        <v>1000</v>
      </c>
    </row>
    <row r="298" spans="1:33" ht="32.25" hidden="1" customHeight="1">
      <c r="A298" s="294">
        <v>2141</v>
      </c>
      <c r="B298" s="291" t="s">
        <v>341</v>
      </c>
      <c r="C298" s="1834" t="s">
        <v>342</v>
      </c>
      <c r="D298" s="326"/>
      <c r="E298" s="294">
        <v>5</v>
      </c>
      <c r="F298" s="293">
        <v>43227</v>
      </c>
      <c r="G298" s="293">
        <f t="shared" si="45"/>
        <v>43232</v>
      </c>
      <c r="H298" s="293" t="s">
        <v>294</v>
      </c>
      <c r="I298" s="294" t="s">
        <v>171</v>
      </c>
      <c r="J298" s="307" t="s">
        <v>295</v>
      </c>
      <c r="K298" s="936" t="s">
        <v>302</v>
      </c>
      <c r="L298" s="1237">
        <v>23173</v>
      </c>
      <c r="M298" s="326"/>
      <c r="N298" s="294"/>
      <c r="O298" s="354">
        <v>677</v>
      </c>
      <c r="P298" s="1836">
        <v>2</v>
      </c>
      <c r="Q298" s="299">
        <f t="shared" si="46"/>
        <v>1354</v>
      </c>
      <c r="R298" s="299"/>
      <c r="S298" s="355"/>
      <c r="T298" s="355"/>
      <c r="U298" s="355">
        <v>1354</v>
      </c>
      <c r="V298" s="355"/>
      <c r="W298" s="355"/>
      <c r="X298" s="1137"/>
      <c r="Y298" s="1126"/>
      <c r="Z298" s="1194"/>
      <c r="AA298" s="1194"/>
      <c r="AB298" s="1194"/>
      <c r="AC298" s="1124"/>
      <c r="AD298" s="1124"/>
      <c r="AE298" s="1152"/>
      <c r="AF298" s="1124"/>
      <c r="AG298" s="1282">
        <f t="shared" si="47"/>
        <v>1354</v>
      </c>
    </row>
    <row r="299" spans="1:33" ht="32.25" hidden="1" customHeight="1">
      <c r="A299" s="294">
        <v>2141</v>
      </c>
      <c r="B299" s="291" t="s">
        <v>341</v>
      </c>
      <c r="C299" s="1834" t="s">
        <v>314</v>
      </c>
      <c r="D299" s="326"/>
      <c r="E299" s="294">
        <v>5</v>
      </c>
      <c r="F299" s="293">
        <v>43227</v>
      </c>
      <c r="G299" s="293">
        <f t="shared" si="45"/>
        <v>43232</v>
      </c>
      <c r="H299" s="293" t="s">
        <v>294</v>
      </c>
      <c r="I299" s="294" t="s">
        <v>171</v>
      </c>
      <c r="J299" s="307" t="s">
        <v>295</v>
      </c>
      <c r="K299" s="326" t="s">
        <v>315</v>
      </c>
      <c r="L299" s="1237">
        <v>2313</v>
      </c>
      <c r="M299" s="326"/>
      <c r="N299" s="294"/>
      <c r="O299" s="354">
        <v>2666.6666666666665</v>
      </c>
      <c r="P299" s="294">
        <v>1</v>
      </c>
      <c r="Q299" s="299">
        <f t="shared" si="46"/>
        <v>2666.6666666666665</v>
      </c>
      <c r="R299" s="299"/>
      <c r="S299" s="355"/>
      <c r="T299" s="355"/>
      <c r="U299" s="355">
        <v>2666.6666666666665</v>
      </c>
      <c r="V299" s="355"/>
      <c r="W299" s="355"/>
      <c r="X299" s="1137"/>
      <c r="Y299" s="1126"/>
      <c r="Z299" s="1194"/>
      <c r="AA299" s="1194"/>
      <c r="AB299" s="1194"/>
      <c r="AC299" s="1124"/>
      <c r="AD299" s="1124"/>
      <c r="AE299" s="1152"/>
      <c r="AF299" s="1124"/>
      <c r="AG299" s="1282">
        <f t="shared" si="47"/>
        <v>2666.6666666666665</v>
      </c>
    </row>
    <row r="300" spans="1:33" ht="32.25" hidden="1" customHeight="1">
      <c r="A300" s="2789">
        <v>2142</v>
      </c>
      <c r="B300" s="2790" t="s">
        <v>347</v>
      </c>
      <c r="C300" s="2801" t="s">
        <v>348</v>
      </c>
      <c r="D300" s="2791"/>
      <c r="E300" s="2789">
        <v>10</v>
      </c>
      <c r="F300" s="2792">
        <v>43283</v>
      </c>
      <c r="G300" s="2792">
        <f t="shared" si="45"/>
        <v>43293</v>
      </c>
      <c r="H300" s="2792" t="s">
        <v>294</v>
      </c>
      <c r="I300" s="2789" t="s">
        <v>171</v>
      </c>
      <c r="J300" s="2793" t="s">
        <v>295</v>
      </c>
      <c r="K300" s="1124"/>
      <c r="L300" s="1704"/>
      <c r="M300" s="1124"/>
      <c r="N300" s="1703"/>
      <c r="O300" s="1125"/>
      <c r="P300" s="1703"/>
      <c r="Q300" s="1127"/>
      <c r="R300" s="1127"/>
      <c r="S300" s="1126"/>
      <c r="T300" s="1126"/>
      <c r="U300" s="1126"/>
      <c r="V300" s="1126"/>
      <c r="W300" s="1126"/>
      <c r="X300" s="2835"/>
      <c r="Y300" s="1126"/>
      <c r="Z300" s="1194"/>
      <c r="AA300" s="1194"/>
      <c r="AB300" s="1194"/>
      <c r="AC300" s="1124"/>
      <c r="AD300" s="1124"/>
      <c r="AE300" s="1152"/>
      <c r="AF300" s="1124"/>
      <c r="AG300" s="1343"/>
    </row>
    <row r="301" spans="1:33" ht="32.25" hidden="1" customHeight="1">
      <c r="A301" s="294">
        <v>2142</v>
      </c>
      <c r="B301" s="291" t="s">
        <v>347</v>
      </c>
      <c r="C301" s="1835" t="s">
        <v>348</v>
      </c>
      <c r="D301" s="326"/>
      <c r="E301" s="294">
        <v>10</v>
      </c>
      <c r="F301" s="293">
        <v>43283</v>
      </c>
      <c r="G301" s="293">
        <f t="shared" si="45"/>
        <v>43293</v>
      </c>
      <c r="H301" s="293" t="s">
        <v>294</v>
      </c>
      <c r="I301" s="294" t="s">
        <v>171</v>
      </c>
      <c r="J301" s="307" t="s">
        <v>295</v>
      </c>
      <c r="K301" s="1837" t="s">
        <v>301</v>
      </c>
      <c r="L301" s="1237">
        <v>23173</v>
      </c>
      <c r="M301" s="326"/>
      <c r="N301" s="294"/>
      <c r="O301" s="354">
        <v>166.66666666666666</v>
      </c>
      <c r="P301" s="294">
        <v>4</v>
      </c>
      <c r="Q301" s="299">
        <f t="shared" si="46"/>
        <v>666.66666666666663</v>
      </c>
      <c r="R301" s="299"/>
      <c r="S301" s="355"/>
      <c r="T301" s="355"/>
      <c r="U301" s="355"/>
      <c r="V301" s="355"/>
      <c r="W301" s="355">
        <v>666.66666666666663</v>
      </c>
      <c r="X301" s="1137"/>
      <c r="Y301" s="1126"/>
      <c r="Z301" s="1194"/>
      <c r="AA301" s="1194"/>
      <c r="AB301" s="1194"/>
      <c r="AC301" s="1124"/>
      <c r="AD301" s="1124"/>
      <c r="AE301" s="1152"/>
      <c r="AF301" s="1124"/>
      <c r="AG301" s="1282">
        <f t="shared" si="47"/>
        <v>666.66666666666663</v>
      </c>
    </row>
    <row r="302" spans="1:33" ht="32.25" hidden="1" customHeight="1">
      <c r="A302" s="294">
        <v>2142</v>
      </c>
      <c r="B302" s="291" t="s">
        <v>347</v>
      </c>
      <c r="C302" s="1835" t="s">
        <v>348</v>
      </c>
      <c r="D302" s="326"/>
      <c r="E302" s="294">
        <v>10</v>
      </c>
      <c r="F302" s="293">
        <v>43283</v>
      </c>
      <c r="G302" s="293">
        <f t="shared" si="45"/>
        <v>43293</v>
      </c>
      <c r="H302" s="293" t="s">
        <v>294</v>
      </c>
      <c r="I302" s="294" t="s">
        <v>171</v>
      </c>
      <c r="J302" s="307" t="s">
        <v>295</v>
      </c>
      <c r="K302" s="1837" t="s">
        <v>302</v>
      </c>
      <c r="L302" s="1237">
        <v>23173</v>
      </c>
      <c r="M302" s="326"/>
      <c r="N302" s="294"/>
      <c r="O302" s="354">
        <v>870.33333333333337</v>
      </c>
      <c r="P302" s="294">
        <v>4</v>
      </c>
      <c r="Q302" s="299">
        <f t="shared" si="46"/>
        <v>3481.3333333333335</v>
      </c>
      <c r="R302" s="299"/>
      <c r="S302" s="355"/>
      <c r="T302" s="355"/>
      <c r="U302" s="355"/>
      <c r="V302" s="355"/>
      <c r="W302" s="355">
        <v>3481.3333333333335</v>
      </c>
      <c r="X302" s="1137"/>
      <c r="Y302" s="1126"/>
      <c r="Z302" s="1194"/>
      <c r="AA302" s="1194"/>
      <c r="AB302" s="1194"/>
      <c r="AC302" s="1124"/>
      <c r="AD302" s="1124"/>
      <c r="AE302" s="1152"/>
      <c r="AF302" s="1124"/>
      <c r="AG302" s="1282">
        <f t="shared" si="47"/>
        <v>3481.3333333333335</v>
      </c>
    </row>
    <row r="303" spans="1:33" ht="32.25" hidden="1" customHeight="1">
      <c r="A303" s="294">
        <v>2142</v>
      </c>
      <c r="B303" s="291" t="s">
        <v>347</v>
      </c>
      <c r="C303" s="1835" t="s">
        <v>348</v>
      </c>
      <c r="D303" s="326"/>
      <c r="E303" s="294">
        <v>10</v>
      </c>
      <c r="F303" s="293">
        <v>43283</v>
      </c>
      <c r="G303" s="293">
        <f t="shared" si="45"/>
        <v>43293</v>
      </c>
      <c r="H303" s="293" t="s">
        <v>294</v>
      </c>
      <c r="I303" s="294" t="s">
        <v>171</v>
      </c>
      <c r="J303" s="307" t="s">
        <v>295</v>
      </c>
      <c r="K303" s="1837" t="s">
        <v>296</v>
      </c>
      <c r="L303" s="1237">
        <v>23174</v>
      </c>
      <c r="M303" s="326"/>
      <c r="N303" s="294"/>
      <c r="O303" s="354">
        <v>3000</v>
      </c>
      <c r="P303" s="294">
        <v>4</v>
      </c>
      <c r="Q303" s="299">
        <f t="shared" si="46"/>
        <v>12000</v>
      </c>
      <c r="R303" s="299"/>
      <c r="S303" s="355"/>
      <c r="T303" s="355"/>
      <c r="U303" s="355"/>
      <c r="V303" s="355"/>
      <c r="W303" s="355">
        <v>12000</v>
      </c>
      <c r="X303" s="1137"/>
      <c r="Y303" s="1126"/>
      <c r="Z303" s="1194"/>
      <c r="AA303" s="1194"/>
      <c r="AB303" s="1194"/>
      <c r="AC303" s="1124"/>
      <c r="AD303" s="1124"/>
      <c r="AE303" s="1152"/>
      <c r="AF303" s="1124"/>
      <c r="AG303" s="1282">
        <f t="shared" si="47"/>
        <v>12000</v>
      </c>
    </row>
    <row r="304" spans="1:33" ht="32.25" hidden="1" customHeight="1">
      <c r="A304" s="294">
        <v>2142</v>
      </c>
      <c r="B304" s="291" t="s">
        <v>347</v>
      </c>
      <c r="C304" s="1835" t="s">
        <v>348</v>
      </c>
      <c r="D304" s="326"/>
      <c r="E304" s="294">
        <v>10</v>
      </c>
      <c r="F304" s="293">
        <v>43283</v>
      </c>
      <c r="G304" s="293">
        <f t="shared" si="45"/>
        <v>43293</v>
      </c>
      <c r="H304" s="293" t="s">
        <v>294</v>
      </c>
      <c r="I304" s="294" t="s">
        <v>171</v>
      </c>
      <c r="J304" s="307" t="s">
        <v>295</v>
      </c>
      <c r="K304" s="1837" t="s">
        <v>349</v>
      </c>
      <c r="L304" s="1237">
        <v>23174</v>
      </c>
      <c r="M304" s="326"/>
      <c r="N304" s="294"/>
      <c r="O304" s="354">
        <v>304</v>
      </c>
      <c r="P304" s="294">
        <v>4</v>
      </c>
      <c r="Q304" s="299">
        <f t="shared" si="46"/>
        <v>1216</v>
      </c>
      <c r="R304" s="299"/>
      <c r="S304" s="355"/>
      <c r="T304" s="355"/>
      <c r="U304" s="355"/>
      <c r="V304" s="355"/>
      <c r="W304" s="355">
        <v>1216</v>
      </c>
      <c r="X304" s="1137"/>
      <c r="Y304" s="1126"/>
      <c r="Z304" s="1194"/>
      <c r="AA304" s="1194"/>
      <c r="AB304" s="1194"/>
      <c r="AC304" s="1124"/>
      <c r="AD304" s="1124"/>
      <c r="AE304" s="1152"/>
      <c r="AF304" s="1124"/>
      <c r="AG304" s="1282">
        <f t="shared" si="47"/>
        <v>1216</v>
      </c>
    </row>
    <row r="305" spans="1:33" ht="32.25" hidden="1" customHeight="1">
      <c r="A305" s="294">
        <v>2142</v>
      </c>
      <c r="B305" s="291" t="s">
        <v>347</v>
      </c>
      <c r="C305" s="1835" t="s">
        <v>348</v>
      </c>
      <c r="D305" s="326"/>
      <c r="E305" s="294">
        <v>10</v>
      </c>
      <c r="F305" s="293">
        <v>43283</v>
      </c>
      <c r="G305" s="293">
        <f t="shared" si="45"/>
        <v>43293</v>
      </c>
      <c r="H305" s="293" t="s">
        <v>294</v>
      </c>
      <c r="I305" s="294" t="s">
        <v>171</v>
      </c>
      <c r="J305" s="307" t="s">
        <v>295</v>
      </c>
      <c r="K305" s="1837" t="s">
        <v>298</v>
      </c>
      <c r="L305" s="1237">
        <v>23174</v>
      </c>
      <c r="M305" s="326"/>
      <c r="N305" s="294"/>
      <c r="O305" s="354">
        <v>448</v>
      </c>
      <c r="P305" s="294">
        <v>4</v>
      </c>
      <c r="Q305" s="299">
        <f t="shared" si="46"/>
        <v>1792</v>
      </c>
      <c r="R305" s="299"/>
      <c r="S305" s="355"/>
      <c r="T305" s="355"/>
      <c r="U305" s="355"/>
      <c r="V305" s="355"/>
      <c r="W305" s="355">
        <v>1792</v>
      </c>
      <c r="X305" s="1137"/>
      <c r="Y305" s="1126"/>
      <c r="Z305" s="1194"/>
      <c r="AA305" s="1194"/>
      <c r="AB305" s="1194"/>
      <c r="AC305" s="1124"/>
      <c r="AD305" s="1124"/>
      <c r="AE305" s="1152"/>
      <c r="AF305" s="1124"/>
      <c r="AG305" s="1282">
        <f t="shared" si="47"/>
        <v>1792</v>
      </c>
    </row>
    <row r="306" spans="1:33" ht="32.25" hidden="1" customHeight="1">
      <c r="A306" s="294">
        <v>2142</v>
      </c>
      <c r="B306" s="291" t="s">
        <v>347</v>
      </c>
      <c r="C306" s="1835" t="s">
        <v>348</v>
      </c>
      <c r="D306" s="326"/>
      <c r="E306" s="294">
        <v>10</v>
      </c>
      <c r="F306" s="293">
        <v>43283</v>
      </c>
      <c r="G306" s="293">
        <f t="shared" si="45"/>
        <v>43293</v>
      </c>
      <c r="H306" s="293" t="s">
        <v>294</v>
      </c>
      <c r="I306" s="294" t="s">
        <v>171</v>
      </c>
      <c r="J306" s="307" t="s">
        <v>295</v>
      </c>
      <c r="K306" s="1837" t="s">
        <v>350</v>
      </c>
      <c r="L306" s="1237">
        <v>23174</v>
      </c>
      <c r="M306" s="326"/>
      <c r="N306" s="294"/>
      <c r="O306" s="354">
        <v>166.66666666666666</v>
      </c>
      <c r="P306" s="294">
        <v>4</v>
      </c>
      <c r="Q306" s="299">
        <f t="shared" si="46"/>
        <v>666.66666666666663</v>
      </c>
      <c r="R306" s="299"/>
      <c r="S306" s="355"/>
      <c r="T306" s="355"/>
      <c r="U306" s="355"/>
      <c r="V306" s="355"/>
      <c r="W306" s="355">
        <v>666.66666666666663</v>
      </c>
      <c r="X306" s="1137"/>
      <c r="Y306" s="1126"/>
      <c r="Z306" s="1194"/>
      <c r="AA306" s="1194"/>
      <c r="AB306" s="1194"/>
      <c r="AC306" s="1124"/>
      <c r="AD306" s="1124"/>
      <c r="AE306" s="1152"/>
      <c r="AF306" s="1124"/>
      <c r="AG306" s="1282">
        <f t="shared" si="47"/>
        <v>666.66666666666663</v>
      </c>
    </row>
    <row r="307" spans="1:33" ht="32.25" hidden="1" customHeight="1">
      <c r="A307" s="294">
        <v>2142</v>
      </c>
      <c r="B307" s="291" t="s">
        <v>347</v>
      </c>
      <c r="C307" s="1835" t="s">
        <v>348</v>
      </c>
      <c r="D307" s="326"/>
      <c r="E307" s="294">
        <v>10</v>
      </c>
      <c r="F307" s="293">
        <v>43283</v>
      </c>
      <c r="G307" s="293">
        <f t="shared" si="45"/>
        <v>43293</v>
      </c>
      <c r="H307" s="293" t="s">
        <v>294</v>
      </c>
      <c r="I307" s="294" t="s">
        <v>171</v>
      </c>
      <c r="J307" s="307" t="s">
        <v>295</v>
      </c>
      <c r="K307" s="1837" t="s">
        <v>300</v>
      </c>
      <c r="L307" s="1237">
        <v>23174</v>
      </c>
      <c r="M307" s="326"/>
      <c r="N307" s="294"/>
      <c r="O307" s="354">
        <v>400</v>
      </c>
      <c r="P307" s="294">
        <v>4</v>
      </c>
      <c r="Q307" s="299">
        <f t="shared" si="46"/>
        <v>1600</v>
      </c>
      <c r="R307" s="299"/>
      <c r="S307" s="355"/>
      <c r="T307" s="355"/>
      <c r="U307" s="355"/>
      <c r="V307" s="355"/>
      <c r="W307" s="355">
        <v>1600</v>
      </c>
      <c r="X307" s="1137"/>
      <c r="Y307" s="1126"/>
      <c r="Z307" s="1194"/>
      <c r="AA307" s="1194"/>
      <c r="AB307" s="1194"/>
      <c r="AC307" s="1124"/>
      <c r="AD307" s="1124"/>
      <c r="AE307" s="1152"/>
      <c r="AF307" s="1124"/>
      <c r="AG307" s="1282">
        <f t="shared" si="47"/>
        <v>1600</v>
      </c>
    </row>
    <row r="308" spans="1:33" ht="32.25" hidden="1" customHeight="1">
      <c r="A308" s="2789">
        <v>2143</v>
      </c>
      <c r="B308" s="2790" t="s">
        <v>69</v>
      </c>
      <c r="C308" s="2801" t="s">
        <v>351</v>
      </c>
      <c r="D308" s="2791"/>
      <c r="E308" s="2789">
        <v>1</v>
      </c>
      <c r="F308" s="2792">
        <v>43409</v>
      </c>
      <c r="G308" s="2792">
        <f t="shared" si="45"/>
        <v>43410</v>
      </c>
      <c r="H308" s="2792" t="s">
        <v>294</v>
      </c>
      <c r="I308" s="2789" t="s">
        <v>171</v>
      </c>
      <c r="J308" s="2793" t="s">
        <v>295</v>
      </c>
      <c r="K308" s="2843"/>
      <c r="L308" s="1704"/>
      <c r="M308" s="1124"/>
      <c r="N308" s="1703"/>
      <c r="O308" s="1125"/>
      <c r="P308" s="1703"/>
      <c r="Q308" s="1127"/>
      <c r="R308" s="1127"/>
      <c r="S308" s="1126"/>
      <c r="T308" s="1126"/>
      <c r="U308" s="1126"/>
      <c r="V308" s="1126"/>
      <c r="W308" s="1126"/>
      <c r="X308" s="2835"/>
      <c r="Y308" s="1126"/>
      <c r="Z308" s="1194"/>
      <c r="AA308" s="1194"/>
      <c r="AB308" s="1194"/>
      <c r="AC308" s="1124"/>
      <c r="AD308" s="1124"/>
      <c r="AE308" s="1152"/>
      <c r="AF308" s="1124"/>
      <c r="AG308" s="1343"/>
    </row>
    <row r="309" spans="1:33" ht="32.25" hidden="1" customHeight="1">
      <c r="A309" s="294">
        <v>2143</v>
      </c>
      <c r="B309" s="291" t="s">
        <v>69</v>
      </c>
      <c r="C309" s="1835" t="s">
        <v>351</v>
      </c>
      <c r="D309" s="326"/>
      <c r="E309" s="294">
        <v>1</v>
      </c>
      <c r="F309" s="293">
        <v>43409</v>
      </c>
      <c r="G309" s="293">
        <f t="shared" si="45"/>
        <v>43410</v>
      </c>
      <c r="H309" s="293" t="s">
        <v>294</v>
      </c>
      <c r="I309" s="294" t="s">
        <v>171</v>
      </c>
      <c r="J309" s="307" t="s">
        <v>295</v>
      </c>
      <c r="K309" s="326" t="s">
        <v>296</v>
      </c>
      <c r="L309" s="1237">
        <v>23174</v>
      </c>
      <c r="M309" s="326"/>
      <c r="N309" s="294"/>
      <c r="O309" s="1557">
        <v>24</v>
      </c>
      <c r="P309" s="887">
        <v>60</v>
      </c>
      <c r="Q309" s="299">
        <f t="shared" si="46"/>
        <v>1440</v>
      </c>
      <c r="R309" s="299"/>
      <c r="S309" s="355"/>
      <c r="T309" s="355"/>
      <c r="U309" s="355"/>
      <c r="V309" s="355"/>
      <c r="W309" s="355"/>
      <c r="X309" s="1137"/>
      <c r="Y309" s="1126"/>
      <c r="Z309" s="1194"/>
      <c r="AA309" s="1126">
        <v>1440</v>
      </c>
      <c r="AB309" s="1194"/>
      <c r="AC309" s="1124"/>
      <c r="AD309" s="1124"/>
      <c r="AE309" s="1152"/>
      <c r="AF309" s="1124"/>
      <c r="AG309" s="1282">
        <f t="shared" si="47"/>
        <v>1440</v>
      </c>
    </row>
    <row r="310" spans="1:33" ht="32.25" hidden="1" customHeight="1">
      <c r="A310" s="294">
        <v>2143</v>
      </c>
      <c r="B310" s="291" t="s">
        <v>69</v>
      </c>
      <c r="C310" s="1835" t="s">
        <v>351</v>
      </c>
      <c r="D310" s="326"/>
      <c r="E310" s="294">
        <v>1</v>
      </c>
      <c r="F310" s="293">
        <v>43409</v>
      </c>
      <c r="G310" s="293">
        <f t="shared" si="45"/>
        <v>43410</v>
      </c>
      <c r="H310" s="293" t="s">
        <v>294</v>
      </c>
      <c r="I310" s="294" t="s">
        <v>171</v>
      </c>
      <c r="J310" s="307" t="s">
        <v>295</v>
      </c>
      <c r="K310" s="326" t="s">
        <v>352</v>
      </c>
      <c r="L310" s="1237">
        <v>23174</v>
      </c>
      <c r="M310" s="326"/>
      <c r="N310" s="294"/>
      <c r="O310" s="1557">
        <v>26.666666666666668</v>
      </c>
      <c r="P310" s="887">
        <v>60</v>
      </c>
      <c r="Q310" s="299">
        <f t="shared" si="46"/>
        <v>1600</v>
      </c>
      <c r="R310" s="299"/>
      <c r="S310" s="355"/>
      <c r="T310" s="355"/>
      <c r="U310" s="355"/>
      <c r="V310" s="355"/>
      <c r="W310" s="355"/>
      <c r="X310" s="1137"/>
      <c r="Y310" s="1126"/>
      <c r="Z310" s="1194"/>
      <c r="AA310" s="1126">
        <v>1600</v>
      </c>
      <c r="AB310" s="1194"/>
      <c r="AC310" s="1124"/>
      <c r="AD310" s="1124"/>
      <c r="AE310" s="1152"/>
      <c r="AF310" s="1124"/>
      <c r="AG310" s="1282">
        <f t="shared" si="47"/>
        <v>1600</v>
      </c>
    </row>
    <row r="311" spans="1:33" ht="29.25" customHeight="1">
      <c r="A311" s="1275">
        <v>215</v>
      </c>
      <c r="B311" s="995" t="s">
        <v>353</v>
      </c>
      <c r="C311" s="1083"/>
      <c r="D311" s="1339"/>
      <c r="E311" s="1340"/>
      <c r="F311" s="1340"/>
      <c r="G311" s="1340"/>
      <c r="H311" s="1339"/>
      <c r="I311" s="1341"/>
      <c r="J311" s="283"/>
      <c r="K311" s="1278"/>
      <c r="L311" s="1279"/>
      <c r="M311" s="1280"/>
      <c r="N311" s="1277"/>
      <c r="O311" s="1281"/>
      <c r="P311" s="1277"/>
      <c r="Q311" s="547">
        <f>SUM(Q313:Q331)</f>
        <v>53486.333333333343</v>
      </c>
      <c r="R311" s="287"/>
      <c r="S311" s="1282">
        <f t="shared" ref="S311:AF311" si="48">SUM(S313:S331)</f>
        <v>0</v>
      </c>
      <c r="T311" s="1282">
        <f t="shared" si="48"/>
        <v>0</v>
      </c>
      <c r="U311" s="1282">
        <f t="shared" si="48"/>
        <v>12902.666666666664</v>
      </c>
      <c r="V311" s="1282">
        <f t="shared" si="48"/>
        <v>40583.666666666672</v>
      </c>
      <c r="W311" s="1282">
        <f t="shared" si="48"/>
        <v>0</v>
      </c>
      <c r="X311" s="1342">
        <f t="shared" si="48"/>
        <v>0</v>
      </c>
      <c r="Y311" s="1343">
        <f t="shared" si="48"/>
        <v>0</v>
      </c>
      <c r="Z311" s="1151">
        <f t="shared" si="48"/>
        <v>0</v>
      </c>
      <c r="AA311" s="1151">
        <f t="shared" si="48"/>
        <v>0</v>
      </c>
      <c r="AB311" s="1151">
        <f t="shared" si="48"/>
        <v>0</v>
      </c>
      <c r="AC311" s="1151">
        <f t="shared" si="48"/>
        <v>0</v>
      </c>
      <c r="AD311" s="1151">
        <f t="shared" si="48"/>
        <v>0</v>
      </c>
      <c r="AE311" s="1151">
        <f t="shared" si="48"/>
        <v>0</v>
      </c>
      <c r="AF311" s="1151">
        <f t="shared" si="48"/>
        <v>0</v>
      </c>
      <c r="AG311" s="1151">
        <f>SUM(S311:AF311)</f>
        <v>53486.333333333336</v>
      </c>
    </row>
    <row r="312" spans="1:33" ht="29.25" hidden="1" customHeight="1">
      <c r="A312" s="2789">
        <v>2151</v>
      </c>
      <c r="B312" s="2790" t="s">
        <v>70</v>
      </c>
      <c r="C312" s="2800" t="s">
        <v>307</v>
      </c>
      <c r="D312" s="2791"/>
      <c r="E312" s="2789">
        <v>2</v>
      </c>
      <c r="F312" s="2792">
        <v>43269</v>
      </c>
      <c r="G312" s="2792">
        <f t="shared" ref="G312:G331" si="49">+E312+F312</f>
        <v>43271</v>
      </c>
      <c r="H312" s="2792" t="s">
        <v>294</v>
      </c>
      <c r="I312" s="2789" t="s">
        <v>171</v>
      </c>
      <c r="J312" s="2793" t="s">
        <v>295</v>
      </c>
      <c r="K312" s="1432"/>
      <c r="L312" s="1433"/>
      <c r="M312" s="1430"/>
      <c r="N312" s="1431"/>
      <c r="O312" s="1434"/>
      <c r="P312" s="1431"/>
      <c r="Q312" s="2355"/>
      <c r="R312" s="1133"/>
      <c r="S312" s="1343"/>
      <c r="T312" s="1343"/>
      <c r="U312" s="1343"/>
      <c r="V312" s="1343"/>
      <c r="W312" s="1343"/>
      <c r="X312" s="2733"/>
      <c r="Y312" s="1343"/>
      <c r="Z312" s="1151"/>
      <c r="AA312" s="1151"/>
      <c r="AB312" s="1151"/>
      <c r="AC312" s="1151"/>
      <c r="AD312" s="1151"/>
      <c r="AE312" s="1151"/>
      <c r="AF312" s="1151"/>
      <c r="AG312" s="1151"/>
    </row>
    <row r="313" spans="1:33" ht="32.25" hidden="1" customHeight="1">
      <c r="A313" s="294">
        <v>2151</v>
      </c>
      <c r="B313" s="291" t="s">
        <v>70</v>
      </c>
      <c r="C313" s="1834" t="s">
        <v>307</v>
      </c>
      <c r="D313" s="326"/>
      <c r="E313" s="294">
        <v>2</v>
      </c>
      <c r="F313" s="293">
        <v>43269</v>
      </c>
      <c r="G313" s="293">
        <f t="shared" si="49"/>
        <v>43271</v>
      </c>
      <c r="H313" s="293" t="s">
        <v>294</v>
      </c>
      <c r="I313" s="294" t="s">
        <v>171</v>
      </c>
      <c r="J313" s="307" t="s">
        <v>295</v>
      </c>
      <c r="K313" s="326" t="s">
        <v>309</v>
      </c>
      <c r="L313" s="1237">
        <v>23173</v>
      </c>
      <c r="M313" s="294"/>
      <c r="N313" s="294"/>
      <c r="O313" s="354">
        <v>205.33333333333334</v>
      </c>
      <c r="P313" s="887">
        <v>3</v>
      </c>
      <c r="Q313" s="299">
        <f t="shared" ref="Q313:Q331" si="50">+O313*P313</f>
        <v>616</v>
      </c>
      <c r="R313" s="299"/>
      <c r="S313" s="355"/>
      <c r="T313" s="355"/>
      <c r="U313" s="355"/>
      <c r="V313" s="355">
        <v>616</v>
      </c>
      <c r="W313" s="355"/>
      <c r="X313" s="1137"/>
      <c r="Y313" s="1126"/>
      <c r="Z313" s="1194"/>
      <c r="AA313" s="1194"/>
      <c r="AB313" s="1194"/>
      <c r="AC313" s="1124"/>
      <c r="AD313" s="1124"/>
      <c r="AE313" s="1152"/>
      <c r="AF313" s="1124"/>
      <c r="AG313" s="1282">
        <f t="shared" ref="AG313:AG331" si="51">SUM(S313:AF313)</f>
        <v>616</v>
      </c>
    </row>
    <row r="314" spans="1:33" ht="32.25" hidden="1" customHeight="1">
      <c r="A314" s="294">
        <v>2151</v>
      </c>
      <c r="B314" s="291" t="s">
        <v>70</v>
      </c>
      <c r="C314" s="1834" t="s">
        <v>307</v>
      </c>
      <c r="D314" s="326"/>
      <c r="E314" s="294">
        <v>2</v>
      </c>
      <c r="F314" s="293">
        <v>43269</v>
      </c>
      <c r="G314" s="293">
        <f t="shared" si="49"/>
        <v>43271</v>
      </c>
      <c r="H314" s="293" t="s">
        <v>294</v>
      </c>
      <c r="I314" s="294" t="s">
        <v>171</v>
      </c>
      <c r="J314" s="307" t="s">
        <v>295</v>
      </c>
      <c r="K314" s="326" t="s">
        <v>308</v>
      </c>
      <c r="L314" s="1237">
        <v>23173</v>
      </c>
      <c r="M314" s="326"/>
      <c r="N314" s="294"/>
      <c r="O314" s="354">
        <v>44</v>
      </c>
      <c r="P314" s="887">
        <v>3</v>
      </c>
      <c r="Q314" s="299">
        <f t="shared" si="50"/>
        <v>132</v>
      </c>
      <c r="R314" s="299"/>
      <c r="S314" s="355"/>
      <c r="T314" s="355"/>
      <c r="U314" s="355"/>
      <c r="V314" s="355">
        <v>132</v>
      </c>
      <c r="W314" s="355"/>
      <c r="X314" s="1137"/>
      <c r="Y314" s="1126"/>
      <c r="Z314" s="1194"/>
      <c r="AA314" s="1194"/>
      <c r="AB314" s="1194"/>
      <c r="AC314" s="1124"/>
      <c r="AD314" s="1124"/>
      <c r="AE314" s="1152"/>
      <c r="AF314" s="1124"/>
      <c r="AG314" s="1282">
        <f t="shared" si="51"/>
        <v>132</v>
      </c>
    </row>
    <row r="315" spans="1:33" ht="32.25" hidden="1" customHeight="1">
      <c r="A315" s="294">
        <v>2151</v>
      </c>
      <c r="B315" s="291" t="s">
        <v>70</v>
      </c>
      <c r="C315" s="1834" t="s">
        <v>307</v>
      </c>
      <c r="D315" s="326"/>
      <c r="E315" s="294">
        <v>2</v>
      </c>
      <c r="F315" s="293">
        <v>43269</v>
      </c>
      <c r="G315" s="293">
        <f t="shared" si="49"/>
        <v>43271</v>
      </c>
      <c r="H315" s="293" t="s">
        <v>294</v>
      </c>
      <c r="I315" s="294" t="s">
        <v>171</v>
      </c>
      <c r="J315" s="307" t="s">
        <v>295</v>
      </c>
      <c r="K315" s="326" t="s">
        <v>296</v>
      </c>
      <c r="L315" s="1237">
        <v>23174</v>
      </c>
      <c r="M315" s="326"/>
      <c r="N315" s="294"/>
      <c r="O315" s="354">
        <v>480</v>
      </c>
      <c r="P315" s="887">
        <v>3</v>
      </c>
      <c r="Q315" s="299">
        <f t="shared" si="50"/>
        <v>1440</v>
      </c>
      <c r="R315" s="299"/>
      <c r="S315" s="355"/>
      <c r="T315" s="355"/>
      <c r="U315" s="355"/>
      <c r="V315" s="355">
        <v>1440</v>
      </c>
      <c r="W315" s="355"/>
      <c r="X315" s="1137"/>
      <c r="Y315" s="1126"/>
      <c r="Z315" s="1194"/>
      <c r="AA315" s="1194"/>
      <c r="AB315" s="1194"/>
      <c r="AC315" s="1124"/>
      <c r="AD315" s="1124"/>
      <c r="AE315" s="1152"/>
      <c r="AF315" s="1124"/>
      <c r="AG315" s="1282">
        <f t="shared" si="51"/>
        <v>1440</v>
      </c>
    </row>
    <row r="316" spans="1:33" ht="32.25" hidden="1" customHeight="1">
      <c r="A316" s="294">
        <v>2151</v>
      </c>
      <c r="B316" s="291" t="s">
        <v>70</v>
      </c>
      <c r="C316" s="1834" t="s">
        <v>307</v>
      </c>
      <c r="D316" s="326"/>
      <c r="E316" s="294">
        <v>2</v>
      </c>
      <c r="F316" s="293">
        <v>43269</v>
      </c>
      <c r="G316" s="293">
        <f t="shared" si="49"/>
        <v>43271</v>
      </c>
      <c r="H316" s="293" t="s">
        <v>294</v>
      </c>
      <c r="I316" s="294" t="s">
        <v>171</v>
      </c>
      <c r="J316" s="307" t="s">
        <v>295</v>
      </c>
      <c r="K316" s="326" t="s">
        <v>354</v>
      </c>
      <c r="L316" s="1237">
        <v>23174</v>
      </c>
      <c r="M316" s="326"/>
      <c r="N316" s="294"/>
      <c r="O316" s="354">
        <v>202.66666666666666</v>
      </c>
      <c r="P316" s="887">
        <v>3</v>
      </c>
      <c r="Q316" s="299">
        <f t="shared" si="50"/>
        <v>608</v>
      </c>
      <c r="R316" s="299"/>
      <c r="S316" s="355"/>
      <c r="T316" s="355"/>
      <c r="U316" s="355"/>
      <c r="V316" s="355">
        <v>608</v>
      </c>
      <c r="W316" s="355"/>
      <c r="X316" s="1137"/>
      <c r="Y316" s="1126"/>
      <c r="Z316" s="1194"/>
      <c r="AA316" s="1194"/>
      <c r="AB316" s="1194"/>
      <c r="AC316" s="1124"/>
      <c r="AD316" s="1124"/>
      <c r="AE316" s="1152"/>
      <c r="AF316" s="1124"/>
      <c r="AG316" s="1282">
        <f t="shared" si="51"/>
        <v>608</v>
      </c>
    </row>
    <row r="317" spans="1:33" ht="32.25" hidden="1" customHeight="1">
      <c r="A317" s="294">
        <v>2151</v>
      </c>
      <c r="B317" s="291" t="s">
        <v>70</v>
      </c>
      <c r="C317" s="1834" t="s">
        <v>307</v>
      </c>
      <c r="D317" s="326"/>
      <c r="E317" s="294">
        <v>2</v>
      </c>
      <c r="F317" s="293">
        <v>43269</v>
      </c>
      <c r="G317" s="293">
        <f t="shared" si="49"/>
        <v>43271</v>
      </c>
      <c r="H317" s="293" t="s">
        <v>294</v>
      </c>
      <c r="I317" s="294" t="s">
        <v>171</v>
      </c>
      <c r="J317" s="307" t="s">
        <v>295</v>
      </c>
      <c r="K317" s="326" t="s">
        <v>355</v>
      </c>
      <c r="L317" s="1237">
        <v>23174</v>
      </c>
      <c r="M317" s="326"/>
      <c r="N317" s="294"/>
      <c r="O317" s="354">
        <v>333.33333333333331</v>
      </c>
      <c r="P317" s="887">
        <v>3</v>
      </c>
      <c r="Q317" s="299">
        <f t="shared" si="50"/>
        <v>1000</v>
      </c>
      <c r="R317" s="299"/>
      <c r="S317" s="355"/>
      <c r="T317" s="355"/>
      <c r="U317" s="355"/>
      <c r="V317" s="355">
        <v>1000</v>
      </c>
      <c r="W317" s="355"/>
      <c r="X317" s="1137"/>
      <c r="Y317" s="1126"/>
      <c r="Z317" s="1194"/>
      <c r="AA317" s="1194"/>
      <c r="AB317" s="1194"/>
      <c r="AC317" s="1124"/>
      <c r="AD317" s="1124"/>
      <c r="AE317" s="1152"/>
      <c r="AF317" s="1124"/>
      <c r="AG317" s="1282">
        <f t="shared" si="51"/>
        <v>1000</v>
      </c>
    </row>
    <row r="318" spans="1:33" ht="32.25" hidden="1" customHeight="1">
      <c r="A318" s="294">
        <v>2151</v>
      </c>
      <c r="B318" s="291" t="s">
        <v>70</v>
      </c>
      <c r="C318" s="1834" t="s">
        <v>307</v>
      </c>
      <c r="D318" s="326"/>
      <c r="E318" s="294">
        <v>2</v>
      </c>
      <c r="F318" s="293">
        <v>43269</v>
      </c>
      <c r="G318" s="293">
        <f t="shared" si="49"/>
        <v>43271</v>
      </c>
      <c r="H318" s="293" t="s">
        <v>294</v>
      </c>
      <c r="I318" s="294" t="s">
        <v>171</v>
      </c>
      <c r="J318" s="307" t="s">
        <v>295</v>
      </c>
      <c r="K318" s="326" t="s">
        <v>356</v>
      </c>
      <c r="L318" s="1237">
        <v>23174</v>
      </c>
      <c r="M318" s="326"/>
      <c r="N318" s="294"/>
      <c r="O318" s="354">
        <v>133.33333333333334</v>
      </c>
      <c r="P318" s="887">
        <v>3</v>
      </c>
      <c r="Q318" s="299">
        <f t="shared" si="50"/>
        <v>400</v>
      </c>
      <c r="R318" s="299"/>
      <c r="S318" s="355"/>
      <c r="T318" s="355"/>
      <c r="U318" s="355"/>
      <c r="V318" s="355">
        <v>400</v>
      </c>
      <c r="W318" s="355"/>
      <c r="X318" s="1137"/>
      <c r="Y318" s="1126"/>
      <c r="Z318" s="1194"/>
      <c r="AA318" s="1194"/>
      <c r="AB318" s="1194"/>
      <c r="AC318" s="1124"/>
      <c r="AD318" s="1124"/>
      <c r="AE318" s="1152"/>
      <c r="AF318" s="1124"/>
      <c r="AG318" s="1282">
        <f t="shared" si="51"/>
        <v>400</v>
      </c>
    </row>
    <row r="319" spans="1:33" ht="32.25" hidden="1" customHeight="1">
      <c r="A319" s="294">
        <v>2151</v>
      </c>
      <c r="B319" s="291" t="s">
        <v>70</v>
      </c>
      <c r="C319" s="1834" t="s">
        <v>307</v>
      </c>
      <c r="D319" s="326"/>
      <c r="E319" s="294">
        <v>2</v>
      </c>
      <c r="F319" s="293">
        <v>43269</v>
      </c>
      <c r="G319" s="293">
        <f t="shared" si="49"/>
        <v>43271</v>
      </c>
      <c r="H319" s="293" t="s">
        <v>294</v>
      </c>
      <c r="I319" s="294" t="s">
        <v>171</v>
      </c>
      <c r="J319" s="307" t="s">
        <v>295</v>
      </c>
      <c r="K319" s="326" t="s">
        <v>301</v>
      </c>
      <c r="L319" s="1237">
        <v>23173</v>
      </c>
      <c r="M319" s="326"/>
      <c r="N319" s="294"/>
      <c r="O319" s="354">
        <v>200</v>
      </c>
      <c r="P319" s="887">
        <v>3</v>
      </c>
      <c r="Q319" s="299">
        <f t="shared" si="50"/>
        <v>600</v>
      </c>
      <c r="R319" s="299"/>
      <c r="S319" s="355"/>
      <c r="T319" s="355"/>
      <c r="U319" s="355"/>
      <c r="V319" s="355">
        <v>600</v>
      </c>
      <c r="W319" s="355"/>
      <c r="X319" s="1137"/>
      <c r="Y319" s="1126"/>
      <c r="Z319" s="1194"/>
      <c r="AA319" s="1194"/>
      <c r="AB319" s="1194"/>
      <c r="AC319" s="1124"/>
      <c r="AD319" s="1124"/>
      <c r="AE319" s="1152"/>
      <c r="AF319" s="1124"/>
      <c r="AG319" s="1282">
        <f t="shared" si="51"/>
        <v>600</v>
      </c>
    </row>
    <row r="320" spans="1:33" ht="32.25" hidden="1" customHeight="1">
      <c r="A320" s="294">
        <v>2151</v>
      </c>
      <c r="B320" s="291" t="s">
        <v>70</v>
      </c>
      <c r="C320" s="1834" t="s">
        <v>307</v>
      </c>
      <c r="D320" s="326"/>
      <c r="E320" s="294">
        <v>2</v>
      </c>
      <c r="F320" s="293">
        <v>43269</v>
      </c>
      <c r="G320" s="293">
        <f t="shared" si="49"/>
        <v>43271</v>
      </c>
      <c r="H320" s="293" t="s">
        <v>294</v>
      </c>
      <c r="I320" s="294" t="s">
        <v>171</v>
      </c>
      <c r="J320" s="307" t="s">
        <v>295</v>
      </c>
      <c r="K320" s="326" t="s">
        <v>302</v>
      </c>
      <c r="L320" s="1237">
        <v>23173</v>
      </c>
      <c r="M320" s="326"/>
      <c r="N320" s="294"/>
      <c r="O320" s="354">
        <v>207</v>
      </c>
      <c r="P320" s="887">
        <v>3</v>
      </c>
      <c r="Q320" s="299">
        <f t="shared" si="50"/>
        <v>621</v>
      </c>
      <c r="R320" s="299"/>
      <c r="S320" s="355"/>
      <c r="T320" s="355"/>
      <c r="U320" s="355"/>
      <c r="V320" s="355">
        <v>621</v>
      </c>
      <c r="W320" s="355"/>
      <c r="X320" s="1137"/>
      <c r="Y320" s="1126"/>
      <c r="Z320" s="1194"/>
      <c r="AA320" s="1194"/>
      <c r="AB320" s="1194"/>
      <c r="AC320" s="1124"/>
      <c r="AD320" s="1124"/>
      <c r="AE320" s="1152"/>
      <c r="AF320" s="1124"/>
      <c r="AG320" s="1282">
        <f t="shared" si="51"/>
        <v>621</v>
      </c>
    </row>
    <row r="321" spans="1:33" ht="32.25" hidden="1" customHeight="1">
      <c r="A321" s="2789">
        <v>2152</v>
      </c>
      <c r="B321" s="2790" t="s">
        <v>71</v>
      </c>
      <c r="C321" s="2801" t="s">
        <v>307</v>
      </c>
      <c r="D321" s="2791"/>
      <c r="E321" s="2789">
        <v>5</v>
      </c>
      <c r="F321" s="2792">
        <v>43234</v>
      </c>
      <c r="G321" s="2792">
        <f t="shared" si="49"/>
        <v>43239</v>
      </c>
      <c r="H321" s="2792" t="s">
        <v>294</v>
      </c>
      <c r="I321" s="2789" t="s">
        <v>171</v>
      </c>
      <c r="J321" s="2793" t="s">
        <v>295</v>
      </c>
      <c r="K321" s="1124"/>
      <c r="L321" s="1704"/>
      <c r="M321" s="1124"/>
      <c r="N321" s="1703"/>
      <c r="O321" s="1125"/>
      <c r="P321" s="2834"/>
      <c r="Q321" s="1127"/>
      <c r="R321" s="1127"/>
      <c r="S321" s="1126"/>
      <c r="T321" s="1126"/>
      <c r="U321" s="1126"/>
      <c r="V321" s="1126"/>
      <c r="W321" s="1126"/>
      <c r="X321" s="2835"/>
      <c r="Y321" s="1126"/>
      <c r="Z321" s="1194"/>
      <c r="AA321" s="1194"/>
      <c r="AB321" s="1194"/>
      <c r="AC321" s="1124"/>
      <c r="AD321" s="1124"/>
      <c r="AE321" s="1152"/>
      <c r="AF321" s="1124"/>
      <c r="AG321" s="1343"/>
    </row>
    <row r="322" spans="1:33" ht="32.25" hidden="1" customHeight="1">
      <c r="A322" s="294">
        <v>2152</v>
      </c>
      <c r="B322" s="291" t="s">
        <v>71</v>
      </c>
      <c r="C322" s="1835" t="s">
        <v>307</v>
      </c>
      <c r="D322" s="326"/>
      <c r="E322" s="294">
        <v>5</v>
      </c>
      <c r="F322" s="293">
        <v>43234</v>
      </c>
      <c r="G322" s="293">
        <f t="shared" si="49"/>
        <v>43239</v>
      </c>
      <c r="H322" s="293" t="s">
        <v>294</v>
      </c>
      <c r="I322" s="294" t="s">
        <v>171</v>
      </c>
      <c r="J322" s="307" t="s">
        <v>295</v>
      </c>
      <c r="K322" s="326" t="s">
        <v>309</v>
      </c>
      <c r="L322" s="1237">
        <v>23173</v>
      </c>
      <c r="M322" s="326"/>
      <c r="N322" s="294"/>
      <c r="O322" s="354">
        <v>933.33333333333337</v>
      </c>
      <c r="P322" s="294">
        <v>1</v>
      </c>
      <c r="Q322" s="299">
        <f t="shared" si="50"/>
        <v>933.33333333333337</v>
      </c>
      <c r="R322" s="299"/>
      <c r="S322" s="355"/>
      <c r="T322" s="355"/>
      <c r="U322" s="355">
        <v>933.33333333333337</v>
      </c>
      <c r="V322" s="355"/>
      <c r="W322" s="355"/>
      <c r="X322" s="1137"/>
      <c r="Y322" s="1126"/>
      <c r="Z322" s="1194"/>
      <c r="AA322" s="1194"/>
      <c r="AB322" s="1194"/>
      <c r="AC322" s="1124"/>
      <c r="AD322" s="1124"/>
      <c r="AE322" s="1152"/>
      <c r="AF322" s="1124"/>
      <c r="AG322" s="1282">
        <f t="shared" si="51"/>
        <v>933.33333333333337</v>
      </c>
    </row>
    <row r="323" spans="1:33" ht="32.25" hidden="1" customHeight="1">
      <c r="A323" s="294">
        <v>2152</v>
      </c>
      <c r="B323" s="291" t="s">
        <v>71</v>
      </c>
      <c r="C323" s="1835" t="s">
        <v>307</v>
      </c>
      <c r="D323" s="326"/>
      <c r="E323" s="294">
        <v>5</v>
      </c>
      <c r="F323" s="293">
        <v>43234</v>
      </c>
      <c r="G323" s="293">
        <f t="shared" si="49"/>
        <v>43239</v>
      </c>
      <c r="H323" s="293" t="s">
        <v>294</v>
      </c>
      <c r="I323" s="294" t="s">
        <v>171</v>
      </c>
      <c r="J323" s="307" t="s">
        <v>295</v>
      </c>
      <c r="K323" s="326" t="s">
        <v>308</v>
      </c>
      <c r="L323" s="1237">
        <v>23173</v>
      </c>
      <c r="M323" s="326"/>
      <c r="N323" s="294"/>
      <c r="O323" s="354">
        <v>200</v>
      </c>
      <c r="P323" s="294">
        <v>1</v>
      </c>
      <c r="Q323" s="299">
        <f t="shared" si="50"/>
        <v>200</v>
      </c>
      <c r="R323" s="299"/>
      <c r="S323" s="355"/>
      <c r="T323" s="355"/>
      <c r="U323" s="355">
        <v>200</v>
      </c>
      <c r="V323" s="355"/>
      <c r="W323" s="355"/>
      <c r="X323" s="1137"/>
      <c r="Y323" s="1126"/>
      <c r="Z323" s="1194"/>
      <c r="AA323" s="1194"/>
      <c r="AB323" s="1194"/>
      <c r="AC323" s="1124"/>
      <c r="AD323" s="1124"/>
      <c r="AE323" s="1152"/>
      <c r="AF323" s="1124"/>
      <c r="AG323" s="1282">
        <f t="shared" si="51"/>
        <v>200</v>
      </c>
    </row>
    <row r="324" spans="1:33" ht="32.25" hidden="1" customHeight="1">
      <c r="A324" s="294">
        <v>2152</v>
      </c>
      <c r="B324" s="291" t="s">
        <v>71</v>
      </c>
      <c r="C324" s="1835" t="s">
        <v>307</v>
      </c>
      <c r="D324" s="326"/>
      <c r="E324" s="294">
        <v>5</v>
      </c>
      <c r="F324" s="293">
        <v>43234</v>
      </c>
      <c r="G324" s="293">
        <f t="shared" si="49"/>
        <v>43239</v>
      </c>
      <c r="H324" s="293" t="s">
        <v>294</v>
      </c>
      <c r="I324" s="294" t="s">
        <v>171</v>
      </c>
      <c r="J324" s="307" t="s">
        <v>295</v>
      </c>
      <c r="K324" s="936" t="s">
        <v>357</v>
      </c>
      <c r="L324" s="1237">
        <v>23174</v>
      </c>
      <c r="M324" s="326"/>
      <c r="N324" s="294"/>
      <c r="O324" s="354">
        <v>7093.333333333333</v>
      </c>
      <c r="P324" s="294">
        <v>1</v>
      </c>
      <c r="Q324" s="299">
        <f t="shared" si="50"/>
        <v>7093.333333333333</v>
      </c>
      <c r="R324" s="299"/>
      <c r="S324" s="355"/>
      <c r="T324" s="355"/>
      <c r="U324" s="355">
        <v>7093.333333333333</v>
      </c>
      <c r="V324" s="355"/>
      <c r="W324" s="355"/>
      <c r="X324" s="1137"/>
      <c r="Y324" s="1126"/>
      <c r="Z324" s="1194"/>
      <c r="AA324" s="1194"/>
      <c r="AB324" s="1194"/>
      <c r="AC324" s="1124"/>
      <c r="AD324" s="1124"/>
      <c r="AE324" s="1152"/>
      <c r="AF324" s="1124"/>
      <c r="AG324" s="1282">
        <f t="shared" si="51"/>
        <v>7093.333333333333</v>
      </c>
    </row>
    <row r="325" spans="1:33" ht="32.25" hidden="1" customHeight="1">
      <c r="A325" s="294">
        <v>2152</v>
      </c>
      <c r="B325" s="291" t="s">
        <v>71</v>
      </c>
      <c r="C325" s="1835" t="s">
        <v>307</v>
      </c>
      <c r="D325" s="326"/>
      <c r="E325" s="294">
        <v>5</v>
      </c>
      <c r="F325" s="293">
        <v>43234</v>
      </c>
      <c r="G325" s="293">
        <f t="shared" si="49"/>
        <v>43239</v>
      </c>
      <c r="H325" s="293" t="s">
        <v>294</v>
      </c>
      <c r="I325" s="294" t="s">
        <v>171</v>
      </c>
      <c r="J325" s="307" t="s">
        <v>295</v>
      </c>
      <c r="K325" s="936" t="s">
        <v>346</v>
      </c>
      <c r="L325" s="1237">
        <v>23174</v>
      </c>
      <c r="M325" s="326"/>
      <c r="N325" s="294"/>
      <c r="O325" s="354">
        <v>2666.6666666666665</v>
      </c>
      <c r="P325" s="294">
        <v>1</v>
      </c>
      <c r="Q325" s="299">
        <f t="shared" si="50"/>
        <v>2666.6666666666665</v>
      </c>
      <c r="R325" s="299"/>
      <c r="S325" s="355"/>
      <c r="T325" s="355"/>
      <c r="U325" s="355">
        <v>2666.6666666666665</v>
      </c>
      <c r="V325" s="355"/>
      <c r="W325" s="355"/>
      <c r="X325" s="1137"/>
      <c r="Y325" s="1126"/>
      <c r="Z325" s="1194"/>
      <c r="AA325" s="1194"/>
      <c r="AB325" s="1194"/>
      <c r="AC325" s="1124"/>
      <c r="AD325" s="1124"/>
      <c r="AE325" s="1152"/>
      <c r="AF325" s="1124"/>
      <c r="AG325" s="1282">
        <f t="shared" si="51"/>
        <v>2666.6666666666665</v>
      </c>
    </row>
    <row r="326" spans="1:33" ht="32.25" hidden="1" customHeight="1">
      <c r="A326" s="294">
        <v>2152</v>
      </c>
      <c r="B326" s="291" t="s">
        <v>71</v>
      </c>
      <c r="C326" s="1835" t="s">
        <v>307</v>
      </c>
      <c r="D326" s="326"/>
      <c r="E326" s="294">
        <v>5</v>
      </c>
      <c r="F326" s="293">
        <v>43234</v>
      </c>
      <c r="G326" s="293">
        <f t="shared" si="49"/>
        <v>43239</v>
      </c>
      <c r="H326" s="293" t="s">
        <v>294</v>
      </c>
      <c r="I326" s="294" t="s">
        <v>171</v>
      </c>
      <c r="J326" s="307" t="s">
        <v>295</v>
      </c>
      <c r="K326" s="1838" t="s">
        <v>358</v>
      </c>
      <c r="L326" s="1237">
        <v>23174</v>
      </c>
      <c r="M326" s="326"/>
      <c r="N326" s="294"/>
      <c r="O326" s="354">
        <v>1066.6666666666667</v>
      </c>
      <c r="P326" s="294">
        <v>1</v>
      </c>
      <c r="Q326" s="299">
        <f t="shared" si="50"/>
        <v>1066.6666666666667</v>
      </c>
      <c r="R326" s="299"/>
      <c r="S326" s="355"/>
      <c r="T326" s="355"/>
      <c r="U326" s="355">
        <v>1066.6666666666667</v>
      </c>
      <c r="V326" s="355"/>
      <c r="W326" s="355"/>
      <c r="X326" s="1137"/>
      <c r="Y326" s="1126"/>
      <c r="Z326" s="1194"/>
      <c r="AA326" s="1194"/>
      <c r="AB326" s="1194"/>
      <c r="AC326" s="1124"/>
      <c r="AD326" s="1124"/>
      <c r="AE326" s="1152"/>
      <c r="AF326" s="1124"/>
      <c r="AG326" s="1282">
        <f t="shared" si="51"/>
        <v>1066.6666666666667</v>
      </c>
    </row>
    <row r="327" spans="1:33" ht="32.25" hidden="1" customHeight="1">
      <c r="A327" s="294">
        <v>2152</v>
      </c>
      <c r="B327" s="291" t="s">
        <v>71</v>
      </c>
      <c r="C327" s="1835" t="s">
        <v>307</v>
      </c>
      <c r="D327" s="326"/>
      <c r="E327" s="294">
        <v>5</v>
      </c>
      <c r="F327" s="293">
        <v>43234</v>
      </c>
      <c r="G327" s="293">
        <f t="shared" si="49"/>
        <v>43239</v>
      </c>
      <c r="H327" s="293" t="s">
        <v>294</v>
      </c>
      <c r="I327" s="294" t="s">
        <v>171</v>
      </c>
      <c r="J327" s="307" t="s">
        <v>295</v>
      </c>
      <c r="K327" s="936" t="s">
        <v>301</v>
      </c>
      <c r="L327" s="1237">
        <v>23173</v>
      </c>
      <c r="M327" s="326"/>
      <c r="N327" s="294"/>
      <c r="O327" s="354">
        <v>666.66666666666663</v>
      </c>
      <c r="P327" s="294">
        <v>1</v>
      </c>
      <c r="Q327" s="299">
        <f t="shared" si="50"/>
        <v>666.66666666666663</v>
      </c>
      <c r="R327" s="299"/>
      <c r="S327" s="355"/>
      <c r="T327" s="355"/>
      <c r="U327" s="355">
        <v>666.66666666666663</v>
      </c>
      <c r="V327" s="355"/>
      <c r="W327" s="355"/>
      <c r="X327" s="1137"/>
      <c r="Y327" s="1126"/>
      <c r="Z327" s="1194"/>
      <c r="AA327" s="1194"/>
      <c r="AB327" s="1194"/>
      <c r="AC327" s="1124"/>
      <c r="AD327" s="1124"/>
      <c r="AE327" s="1152"/>
      <c r="AF327" s="1124"/>
      <c r="AG327" s="1282">
        <f t="shared" si="51"/>
        <v>666.66666666666663</v>
      </c>
    </row>
    <row r="328" spans="1:33" ht="32.25" hidden="1" customHeight="1">
      <c r="A328" s="294">
        <v>2152</v>
      </c>
      <c r="B328" s="291" t="s">
        <v>71</v>
      </c>
      <c r="C328" s="1835" t="s">
        <v>307</v>
      </c>
      <c r="D328" s="326"/>
      <c r="E328" s="294">
        <v>5</v>
      </c>
      <c r="F328" s="293">
        <v>43234</v>
      </c>
      <c r="G328" s="293">
        <f t="shared" si="49"/>
        <v>43239</v>
      </c>
      <c r="H328" s="293" t="s">
        <v>294</v>
      </c>
      <c r="I328" s="294" t="s">
        <v>171</v>
      </c>
      <c r="J328" s="307" t="s">
        <v>295</v>
      </c>
      <c r="K328" s="936" t="s">
        <v>302</v>
      </c>
      <c r="L328" s="1237">
        <v>23173</v>
      </c>
      <c r="M328" s="326"/>
      <c r="N328" s="294"/>
      <c r="O328" s="354">
        <v>276</v>
      </c>
      <c r="P328" s="294">
        <v>1</v>
      </c>
      <c r="Q328" s="299">
        <f t="shared" si="50"/>
        <v>276</v>
      </c>
      <c r="R328" s="299"/>
      <c r="S328" s="355"/>
      <c r="T328" s="355"/>
      <c r="U328" s="355">
        <v>276</v>
      </c>
      <c r="V328" s="355"/>
      <c r="W328" s="355"/>
      <c r="X328" s="1137"/>
      <c r="Y328" s="1126"/>
      <c r="Z328" s="1194"/>
      <c r="AA328" s="1194"/>
      <c r="AB328" s="1194"/>
      <c r="AC328" s="1124"/>
      <c r="AD328" s="1124"/>
      <c r="AE328" s="1152"/>
      <c r="AF328" s="1124"/>
      <c r="AG328" s="1282">
        <f t="shared" si="51"/>
        <v>276</v>
      </c>
    </row>
    <row r="329" spans="1:33" ht="32.25" hidden="1" customHeight="1">
      <c r="A329" s="2789">
        <v>2153</v>
      </c>
      <c r="B329" s="2790" t="s">
        <v>72</v>
      </c>
      <c r="C329" s="2790" t="s">
        <v>359</v>
      </c>
      <c r="D329" s="2791"/>
      <c r="E329" s="2789">
        <v>30</v>
      </c>
      <c r="F329" s="2792">
        <v>43255</v>
      </c>
      <c r="G329" s="2792">
        <f t="shared" si="49"/>
        <v>43285</v>
      </c>
      <c r="H329" s="2792" t="s">
        <v>294</v>
      </c>
      <c r="I329" s="2789" t="s">
        <v>171</v>
      </c>
      <c r="J329" s="2793" t="s">
        <v>295</v>
      </c>
      <c r="K329" s="326" t="s">
        <v>360</v>
      </c>
      <c r="L329" s="1237">
        <v>23172</v>
      </c>
      <c r="M329" s="326"/>
      <c r="N329" s="294"/>
      <c r="O329" s="354">
        <v>133333.33333333334</v>
      </c>
      <c r="P329" s="294">
        <v>0.2</v>
      </c>
      <c r="Q329" s="299">
        <f t="shared" si="50"/>
        <v>26666.666666666672</v>
      </c>
      <c r="R329" s="299"/>
      <c r="S329" s="355"/>
      <c r="T329" s="355"/>
      <c r="U329" s="355"/>
      <c r="V329" s="355">
        <v>26666.666666666672</v>
      </c>
      <c r="W329" s="355"/>
      <c r="X329" s="1137"/>
      <c r="Y329" s="1126"/>
      <c r="Z329" s="1194"/>
      <c r="AA329" s="1194"/>
      <c r="AB329" s="1194"/>
      <c r="AC329" s="1124"/>
      <c r="AD329" s="1124"/>
      <c r="AE329" s="1152"/>
      <c r="AF329" s="1124"/>
      <c r="AG329" s="1282">
        <f t="shared" si="51"/>
        <v>26666.666666666672</v>
      </c>
    </row>
    <row r="330" spans="1:33" ht="32.25" hidden="1" customHeight="1">
      <c r="A330" s="2789">
        <v>2154</v>
      </c>
      <c r="B330" s="2790" t="s">
        <v>73</v>
      </c>
      <c r="C330" s="2790" t="s">
        <v>361</v>
      </c>
      <c r="D330" s="2791"/>
      <c r="E330" s="2789">
        <v>30</v>
      </c>
      <c r="F330" s="2792">
        <v>43255</v>
      </c>
      <c r="G330" s="2792">
        <f t="shared" si="49"/>
        <v>43285</v>
      </c>
      <c r="H330" s="2792" t="s">
        <v>294</v>
      </c>
      <c r="I330" s="2789" t="s">
        <v>171</v>
      </c>
      <c r="J330" s="2793" t="s">
        <v>295</v>
      </c>
      <c r="K330" s="326" t="s">
        <v>360</v>
      </c>
      <c r="L330" s="1237">
        <v>23172</v>
      </c>
      <c r="M330" s="326"/>
      <c r="N330" s="294"/>
      <c r="O330" s="354">
        <v>2000</v>
      </c>
      <c r="P330" s="294">
        <v>3</v>
      </c>
      <c r="Q330" s="299">
        <f t="shared" si="50"/>
        <v>6000</v>
      </c>
      <c r="R330" s="299"/>
      <c r="S330" s="355"/>
      <c r="T330" s="355"/>
      <c r="U330" s="355"/>
      <c r="V330" s="355">
        <v>6000</v>
      </c>
      <c r="W330" s="355"/>
      <c r="X330" s="1137"/>
      <c r="Y330" s="1126"/>
      <c r="Z330" s="1194"/>
      <c r="AA330" s="1194"/>
      <c r="AB330" s="1194"/>
      <c r="AC330" s="1124"/>
      <c r="AD330" s="1124"/>
      <c r="AE330" s="1152"/>
      <c r="AF330" s="1124"/>
      <c r="AG330" s="1282">
        <f t="shared" si="51"/>
        <v>6000</v>
      </c>
    </row>
    <row r="331" spans="1:33" ht="32.25" hidden="1" customHeight="1">
      <c r="A331" s="2789">
        <v>2155</v>
      </c>
      <c r="B331" s="2790" t="s">
        <v>74</v>
      </c>
      <c r="C331" s="2800" t="s">
        <v>362</v>
      </c>
      <c r="D331" s="2791"/>
      <c r="E331" s="2789">
        <v>30</v>
      </c>
      <c r="F331" s="2792">
        <v>43255</v>
      </c>
      <c r="G331" s="2792">
        <f t="shared" si="49"/>
        <v>43285</v>
      </c>
      <c r="H331" s="2792" t="s">
        <v>294</v>
      </c>
      <c r="I331" s="2789" t="s">
        <v>171</v>
      </c>
      <c r="J331" s="2793" t="s">
        <v>295</v>
      </c>
      <c r="K331" s="326" t="s">
        <v>360</v>
      </c>
      <c r="L331" s="1237">
        <v>23172</v>
      </c>
      <c r="M331" s="326"/>
      <c r="N331" s="294"/>
      <c r="O331" s="354">
        <v>833.33333333333337</v>
      </c>
      <c r="P331" s="294">
        <v>3</v>
      </c>
      <c r="Q331" s="299">
        <f t="shared" si="50"/>
        <v>2500</v>
      </c>
      <c r="R331" s="299"/>
      <c r="S331" s="355"/>
      <c r="T331" s="355"/>
      <c r="U331" s="355"/>
      <c r="V331" s="355">
        <v>2500</v>
      </c>
      <c r="W331" s="355"/>
      <c r="X331" s="1137"/>
      <c r="Y331" s="1126"/>
      <c r="Z331" s="1194"/>
      <c r="AA331" s="1194"/>
      <c r="AB331" s="1194"/>
      <c r="AC331" s="1124"/>
      <c r="AD331" s="1124"/>
      <c r="AE331" s="1152"/>
      <c r="AF331" s="1124"/>
      <c r="AG331" s="1282">
        <f t="shared" si="51"/>
        <v>2500</v>
      </c>
    </row>
    <row r="332" spans="1:33" ht="37.5" customHeight="1">
      <c r="A332" s="1248" t="s">
        <v>237</v>
      </c>
      <c r="B332" s="274"/>
      <c r="C332" s="278"/>
      <c r="D332" s="1270"/>
      <c r="E332" s="1270"/>
      <c r="F332" s="1270"/>
      <c r="G332" s="1270"/>
      <c r="H332" s="1270"/>
      <c r="I332" s="1270"/>
      <c r="J332" s="273"/>
      <c r="K332" s="1248"/>
      <c r="L332" s="1269"/>
      <c r="M332" s="1270"/>
      <c r="N332" s="1268"/>
      <c r="O332" s="1271"/>
      <c r="P332" s="1268"/>
      <c r="Q332" s="1273">
        <f>Q333+Q347+Q363+Q383</f>
        <v>300000</v>
      </c>
      <c r="R332" s="1273">
        <f>+'[2]Compil Costing PPA 3 millions'!F8</f>
        <v>300000</v>
      </c>
      <c r="S332" s="1272">
        <f t="shared" ref="S332:AG332" si="52">S333+S347+S363+S383</f>
        <v>0</v>
      </c>
      <c r="T332" s="1272">
        <f t="shared" si="52"/>
        <v>1700</v>
      </c>
      <c r="U332" s="1272">
        <f t="shared" si="52"/>
        <v>17480</v>
      </c>
      <c r="V332" s="1272">
        <f t="shared" si="52"/>
        <v>64440</v>
      </c>
      <c r="W332" s="1272">
        <f t="shared" si="52"/>
        <v>10000</v>
      </c>
      <c r="X332" s="1337">
        <f t="shared" si="52"/>
        <v>64180</v>
      </c>
      <c r="Y332" s="1338">
        <f t="shared" si="52"/>
        <v>109800</v>
      </c>
      <c r="Z332" s="1071">
        <f t="shared" si="52"/>
        <v>11600</v>
      </c>
      <c r="AA332" s="1071">
        <f t="shared" si="52"/>
        <v>8600</v>
      </c>
      <c r="AB332" s="1071">
        <f t="shared" si="52"/>
        <v>500</v>
      </c>
      <c r="AC332" s="1071">
        <f t="shared" si="52"/>
        <v>500</v>
      </c>
      <c r="AD332" s="1071">
        <f t="shared" si="52"/>
        <v>10200</v>
      </c>
      <c r="AE332" s="1071">
        <f t="shared" si="52"/>
        <v>500</v>
      </c>
      <c r="AF332" s="1071">
        <f t="shared" si="52"/>
        <v>500</v>
      </c>
      <c r="AG332" s="1272">
        <f t="shared" si="52"/>
        <v>300000</v>
      </c>
    </row>
    <row r="333" spans="1:33" s="280" customFormat="1" ht="27.75" customHeight="1">
      <c r="A333" s="1324">
        <v>221</v>
      </c>
      <c r="B333" s="806" t="s">
        <v>238</v>
      </c>
      <c r="C333" s="1502"/>
      <c r="D333" s="1345"/>
      <c r="E333" s="1345"/>
      <c r="F333" s="1345"/>
      <c r="G333" s="1345"/>
      <c r="H333" s="1345"/>
      <c r="I333" s="1345"/>
      <c r="J333" s="635"/>
      <c r="K333" s="1296"/>
      <c r="L333" s="1347"/>
      <c r="M333" s="1348"/>
      <c r="N333" s="1297"/>
      <c r="O333" s="1349"/>
      <c r="P333" s="1346"/>
      <c r="Q333" s="2810">
        <f>SUM(Q335:Q346)</f>
        <v>42960</v>
      </c>
      <c r="R333" s="790"/>
      <c r="S333" s="1350">
        <f t="shared" ref="S333:AF333" si="53">SUM(S335:S346)</f>
        <v>0</v>
      </c>
      <c r="T333" s="1350">
        <f t="shared" si="53"/>
        <v>240</v>
      </c>
      <c r="U333" s="1350">
        <f t="shared" si="53"/>
        <v>0</v>
      </c>
      <c r="V333" s="1350">
        <f t="shared" si="53"/>
        <v>740</v>
      </c>
      <c r="W333" s="1350">
        <f t="shared" si="53"/>
        <v>0</v>
      </c>
      <c r="X333" s="1351">
        <f t="shared" si="53"/>
        <v>12480</v>
      </c>
      <c r="Y333" s="1352">
        <f t="shared" si="53"/>
        <v>10300</v>
      </c>
      <c r="Z333" s="1195">
        <f t="shared" si="53"/>
        <v>11100</v>
      </c>
      <c r="AA333" s="1195">
        <f t="shared" si="53"/>
        <v>8100</v>
      </c>
      <c r="AB333" s="1195">
        <f t="shared" si="53"/>
        <v>0</v>
      </c>
      <c r="AC333" s="1195">
        <f t="shared" si="53"/>
        <v>0</v>
      </c>
      <c r="AD333" s="1195">
        <f t="shared" si="53"/>
        <v>0</v>
      </c>
      <c r="AE333" s="1195">
        <f t="shared" si="53"/>
        <v>0</v>
      </c>
      <c r="AF333" s="1195">
        <f t="shared" si="53"/>
        <v>0</v>
      </c>
      <c r="AG333" s="1350">
        <f>SUM(S333:AF333)</f>
        <v>42960</v>
      </c>
    </row>
    <row r="334" spans="1:33" s="280" customFormat="1" ht="32.25" hidden="1" customHeight="1">
      <c r="A334" s="2745">
        <v>2211</v>
      </c>
      <c r="B334" s="2748" t="s">
        <v>845</v>
      </c>
      <c r="C334" s="2748" t="s">
        <v>846</v>
      </c>
      <c r="D334" s="2845"/>
      <c r="E334" s="2745">
        <v>15</v>
      </c>
      <c r="F334" s="2852">
        <v>43199</v>
      </c>
      <c r="G334" s="2852">
        <f>+F334+E334</f>
        <v>43214</v>
      </c>
      <c r="H334" s="2852" t="s">
        <v>368</v>
      </c>
      <c r="I334" s="2745" t="s">
        <v>169</v>
      </c>
      <c r="J334" s="2853" t="s">
        <v>174</v>
      </c>
      <c r="K334" s="1432"/>
      <c r="L334" s="2846"/>
      <c r="M334" s="2847"/>
      <c r="N334" s="1431"/>
      <c r="O334" s="2848"/>
      <c r="P334" s="2849"/>
      <c r="Q334" s="2850"/>
      <c r="R334" s="1133"/>
      <c r="S334" s="1352"/>
      <c r="T334" s="1352"/>
      <c r="U334" s="1352"/>
      <c r="V334" s="1352"/>
      <c r="W334" s="1352"/>
      <c r="X334" s="2851"/>
      <c r="Y334" s="1352"/>
      <c r="Z334" s="1195"/>
      <c r="AA334" s="1195"/>
      <c r="AB334" s="1195"/>
      <c r="AC334" s="1195"/>
      <c r="AD334" s="1195"/>
      <c r="AE334" s="1195"/>
      <c r="AF334" s="1195"/>
      <c r="AG334" s="1352"/>
    </row>
    <row r="335" spans="1:33" s="280" customFormat="1" hidden="1">
      <c r="A335" s="796">
        <v>2211</v>
      </c>
      <c r="B335" s="808" t="s">
        <v>845</v>
      </c>
      <c r="C335" s="793" t="s">
        <v>846</v>
      </c>
      <c r="D335" s="797"/>
      <c r="E335" s="796">
        <v>15</v>
      </c>
      <c r="F335" s="795">
        <v>43199</v>
      </c>
      <c r="G335" s="795">
        <f>+F335+E335</f>
        <v>43214</v>
      </c>
      <c r="H335" s="795" t="s">
        <v>368</v>
      </c>
      <c r="I335" s="796" t="s">
        <v>169</v>
      </c>
      <c r="J335" s="794" t="s">
        <v>174</v>
      </c>
      <c r="K335" s="805" t="s">
        <v>847</v>
      </c>
      <c r="L335" s="1240">
        <v>23173</v>
      </c>
      <c r="M335" s="780"/>
      <c r="N335" s="796" t="s">
        <v>366</v>
      </c>
      <c r="O335" s="1107">
        <v>80</v>
      </c>
      <c r="P335" s="796">
        <v>3</v>
      </c>
      <c r="Q335" s="800">
        <f>+P335*O335</f>
        <v>240</v>
      </c>
      <c r="R335" s="800"/>
      <c r="S335" s="799"/>
      <c r="T335" s="1107">
        <v>240</v>
      </c>
      <c r="U335" s="799"/>
      <c r="V335" s="799"/>
      <c r="W335" s="799"/>
      <c r="X335" s="1179"/>
      <c r="Y335" s="1154"/>
      <c r="Z335" s="1165"/>
      <c r="AA335" s="1165"/>
      <c r="AB335" s="1165"/>
      <c r="AC335" s="1152"/>
      <c r="AD335" s="1152"/>
      <c r="AE335" s="1152"/>
      <c r="AF335" s="1152"/>
      <c r="AG335" s="1282">
        <f t="shared" ref="AG335:AG346" si="54">SUM(S335:AF335)</f>
        <v>240</v>
      </c>
    </row>
    <row r="336" spans="1:33" s="280" customFormat="1" hidden="1">
      <c r="A336" s="796">
        <v>2211</v>
      </c>
      <c r="B336" s="808" t="s">
        <v>845</v>
      </c>
      <c r="C336" s="1503" t="s">
        <v>848</v>
      </c>
      <c r="D336" s="797" t="s">
        <v>849</v>
      </c>
      <c r="E336" s="796">
        <v>150</v>
      </c>
      <c r="F336" s="795">
        <f>+G335</f>
        <v>43214</v>
      </c>
      <c r="G336" s="795">
        <f>+G335+E336</f>
        <v>43364</v>
      </c>
      <c r="H336" s="795" t="s">
        <v>368</v>
      </c>
      <c r="I336" s="796" t="s">
        <v>174</v>
      </c>
      <c r="J336" s="794" t="s">
        <v>169</v>
      </c>
      <c r="K336" s="1543" t="s">
        <v>365</v>
      </c>
      <c r="L336" s="1240">
        <v>2313</v>
      </c>
      <c r="M336" s="780"/>
      <c r="N336" s="796" t="s">
        <v>366</v>
      </c>
      <c r="O336" s="1107">
        <v>27000</v>
      </c>
      <c r="P336" s="796">
        <v>1</v>
      </c>
      <c r="Q336" s="800">
        <f>+O336*P336</f>
        <v>27000</v>
      </c>
      <c r="R336" s="800"/>
      <c r="S336" s="799"/>
      <c r="T336" s="799"/>
      <c r="U336" s="799"/>
      <c r="V336" s="799"/>
      <c r="W336" s="315"/>
      <c r="X336" s="1137">
        <v>5400</v>
      </c>
      <c r="Y336" s="1126">
        <v>5400</v>
      </c>
      <c r="Z336" s="1126">
        <v>8100</v>
      </c>
      <c r="AA336" s="1165">
        <v>8100</v>
      </c>
      <c r="AB336" s="1165"/>
      <c r="AC336" s="1152"/>
      <c r="AD336" s="1152"/>
      <c r="AE336" s="1152"/>
      <c r="AF336" s="1152"/>
      <c r="AG336" s="1282">
        <f t="shared" si="54"/>
        <v>27000</v>
      </c>
    </row>
    <row r="337" spans="1:33" s="280" customFormat="1" ht="31.5" hidden="1" customHeight="1">
      <c r="A337" s="2745">
        <v>2212</v>
      </c>
      <c r="B337" s="2857" t="s">
        <v>850</v>
      </c>
      <c r="C337" s="2748" t="s">
        <v>846</v>
      </c>
      <c r="D337" s="2858"/>
      <c r="E337" s="2745">
        <v>20</v>
      </c>
      <c r="F337" s="2852">
        <v>43226</v>
      </c>
      <c r="G337" s="2852">
        <v>43246</v>
      </c>
      <c r="H337" s="2852" t="s">
        <v>368</v>
      </c>
      <c r="I337" s="2745" t="s">
        <v>169</v>
      </c>
      <c r="J337" s="2853" t="s">
        <v>174</v>
      </c>
      <c r="K337" s="2855"/>
      <c r="L337" s="2856"/>
      <c r="M337" s="1152"/>
      <c r="N337" s="1703"/>
      <c r="O337" s="1126"/>
      <c r="P337" s="1703"/>
      <c r="Q337" s="1127"/>
      <c r="R337" s="1127"/>
      <c r="S337" s="1154"/>
      <c r="T337" s="1154"/>
      <c r="U337" s="1154"/>
      <c r="V337" s="1154"/>
      <c r="W337" s="315"/>
      <c r="X337" s="2835"/>
      <c r="Y337" s="1126"/>
      <c r="Z337" s="1126"/>
      <c r="AA337" s="1165"/>
      <c r="AB337" s="1165"/>
      <c r="AC337" s="1152"/>
      <c r="AD337" s="1152"/>
      <c r="AE337" s="1152"/>
      <c r="AF337" s="1152"/>
      <c r="AG337" s="1343"/>
    </row>
    <row r="338" spans="1:33" s="280" customFormat="1" hidden="1">
      <c r="A338" s="796">
        <v>2212</v>
      </c>
      <c r="B338" s="808" t="s">
        <v>850</v>
      </c>
      <c r="C338" s="793" t="s">
        <v>846</v>
      </c>
      <c r="D338" s="797"/>
      <c r="E338" s="796">
        <v>20</v>
      </c>
      <c r="F338" s="795">
        <v>43226</v>
      </c>
      <c r="G338" s="795">
        <v>43246</v>
      </c>
      <c r="H338" s="795" t="s">
        <v>368</v>
      </c>
      <c r="I338" s="796" t="s">
        <v>169</v>
      </c>
      <c r="J338" s="794" t="s">
        <v>174</v>
      </c>
      <c r="K338" s="805" t="s">
        <v>847</v>
      </c>
      <c r="L338" s="1240">
        <v>23173</v>
      </c>
      <c r="M338" s="780"/>
      <c r="N338" s="796" t="s">
        <v>366</v>
      </c>
      <c r="O338" s="1107">
        <v>80</v>
      </c>
      <c r="P338" s="796">
        <v>3</v>
      </c>
      <c r="Q338" s="800">
        <f t="shared" ref="Q338:Q346" si="55">O338*P338</f>
        <v>240</v>
      </c>
      <c r="R338" s="800"/>
      <c r="S338" s="799"/>
      <c r="T338" s="799"/>
      <c r="U338" s="799"/>
      <c r="V338" s="1107">
        <v>240</v>
      </c>
      <c r="W338" s="799"/>
      <c r="X338" s="1179"/>
      <c r="Y338" s="1154"/>
      <c r="Z338" s="1165"/>
      <c r="AA338" s="1165"/>
      <c r="AB338" s="1165"/>
      <c r="AC338" s="1152"/>
      <c r="AD338" s="1152"/>
      <c r="AE338" s="1152"/>
      <c r="AF338" s="1152"/>
      <c r="AG338" s="1282">
        <f t="shared" si="54"/>
        <v>240</v>
      </c>
    </row>
    <row r="339" spans="1:33" s="280" customFormat="1" hidden="1">
      <c r="A339" s="796">
        <v>2212</v>
      </c>
      <c r="B339" s="808" t="s">
        <v>851</v>
      </c>
      <c r="C339" s="1503" t="s">
        <v>852</v>
      </c>
      <c r="D339" s="797" t="s">
        <v>849</v>
      </c>
      <c r="E339" s="796">
        <v>95</v>
      </c>
      <c r="F339" s="795">
        <v>43249</v>
      </c>
      <c r="G339" s="795">
        <v>43341</v>
      </c>
      <c r="H339" s="795" t="s">
        <v>368</v>
      </c>
      <c r="I339" s="796" t="s">
        <v>174</v>
      </c>
      <c r="J339" s="794" t="s">
        <v>169</v>
      </c>
      <c r="K339" s="805" t="s">
        <v>365</v>
      </c>
      <c r="L339" s="1240">
        <v>2313</v>
      </c>
      <c r="M339" s="780"/>
      <c r="N339" s="796" t="s">
        <v>366</v>
      </c>
      <c r="O339" s="1353">
        <v>5000</v>
      </c>
      <c r="P339" s="797">
        <v>1</v>
      </c>
      <c r="Q339" s="2811">
        <f t="shared" si="55"/>
        <v>5000</v>
      </c>
      <c r="R339" s="800"/>
      <c r="S339" s="799"/>
      <c r="T339" s="799"/>
      <c r="U339" s="799"/>
      <c r="V339" s="1107">
        <v>500</v>
      </c>
      <c r="W339" s="799"/>
      <c r="X339" s="1179">
        <v>2000</v>
      </c>
      <c r="Y339" s="1154">
        <v>2500</v>
      </c>
      <c r="Z339" s="1165"/>
      <c r="AA339" s="1165"/>
      <c r="AB339" s="1165"/>
      <c r="AC339" s="1152"/>
      <c r="AD339" s="1152"/>
      <c r="AE339" s="1152"/>
      <c r="AF339" s="1152"/>
      <c r="AG339" s="1282">
        <f t="shared" si="54"/>
        <v>5000</v>
      </c>
    </row>
    <row r="340" spans="1:33" s="280" customFormat="1" ht="33.75" hidden="1" customHeight="1">
      <c r="A340" s="2745">
        <v>2213</v>
      </c>
      <c r="B340" s="2857" t="s">
        <v>853</v>
      </c>
      <c r="C340" s="2748" t="s">
        <v>846</v>
      </c>
      <c r="D340" s="2858"/>
      <c r="E340" s="2745">
        <v>20</v>
      </c>
      <c r="F340" s="2852">
        <v>43288</v>
      </c>
      <c r="G340" s="2852">
        <v>43308</v>
      </c>
      <c r="H340" s="2852" t="s">
        <v>368</v>
      </c>
      <c r="I340" s="2745" t="s">
        <v>169</v>
      </c>
      <c r="J340" s="2853" t="s">
        <v>174</v>
      </c>
      <c r="K340" s="1124"/>
      <c r="L340" s="2856"/>
      <c r="M340" s="1152"/>
      <c r="N340" s="1703"/>
      <c r="O340" s="2859"/>
      <c r="P340" s="2854"/>
      <c r="Q340" s="1198"/>
      <c r="R340" s="1127"/>
      <c r="S340" s="1154"/>
      <c r="T340" s="1154"/>
      <c r="U340" s="1154"/>
      <c r="V340" s="1126"/>
      <c r="W340" s="1154"/>
      <c r="X340" s="2860"/>
      <c r="Y340" s="1154"/>
      <c r="Z340" s="1165"/>
      <c r="AA340" s="1165"/>
      <c r="AB340" s="1165"/>
      <c r="AC340" s="1152"/>
      <c r="AD340" s="1152"/>
      <c r="AE340" s="1152"/>
      <c r="AF340" s="1152"/>
      <c r="AG340" s="1343"/>
    </row>
    <row r="341" spans="1:33" s="280" customFormat="1" hidden="1">
      <c r="A341" s="796">
        <v>2213</v>
      </c>
      <c r="B341" s="808" t="s">
        <v>853</v>
      </c>
      <c r="C341" s="793" t="s">
        <v>846</v>
      </c>
      <c r="D341" s="797"/>
      <c r="E341" s="796">
        <v>20</v>
      </c>
      <c r="F341" s="795">
        <v>43288</v>
      </c>
      <c r="G341" s="795">
        <v>43308</v>
      </c>
      <c r="H341" s="795" t="s">
        <v>368</v>
      </c>
      <c r="I341" s="796" t="s">
        <v>169</v>
      </c>
      <c r="J341" s="794" t="s">
        <v>174</v>
      </c>
      <c r="K341" s="805" t="s">
        <v>847</v>
      </c>
      <c r="L341" s="1240">
        <v>23173</v>
      </c>
      <c r="M341" s="780"/>
      <c r="N341" s="796" t="s">
        <v>366</v>
      </c>
      <c r="O341" s="1353">
        <v>80</v>
      </c>
      <c r="P341" s="797">
        <v>3</v>
      </c>
      <c r="Q341" s="2811">
        <f t="shared" si="55"/>
        <v>240</v>
      </c>
      <c r="R341" s="800"/>
      <c r="S341" s="799"/>
      <c r="T341" s="799"/>
      <c r="U341" s="799"/>
      <c r="V341" s="799"/>
      <c r="W341" s="799"/>
      <c r="X341" s="1179">
        <v>240</v>
      </c>
      <c r="Y341" s="1154"/>
      <c r="Z341" s="1165"/>
      <c r="AA341" s="1165"/>
      <c r="AB341" s="1165"/>
      <c r="AC341" s="1152"/>
      <c r="AD341" s="1152"/>
      <c r="AE341" s="1152"/>
      <c r="AF341" s="1152"/>
      <c r="AG341" s="1282">
        <f t="shared" si="54"/>
        <v>240</v>
      </c>
    </row>
    <row r="342" spans="1:33" s="280" customFormat="1" hidden="1">
      <c r="A342" s="796">
        <v>2213</v>
      </c>
      <c r="B342" s="808" t="s">
        <v>854</v>
      </c>
      <c r="C342" s="793" t="s">
        <v>367</v>
      </c>
      <c r="D342" s="797" t="s">
        <v>849</v>
      </c>
      <c r="E342" s="796">
        <v>95</v>
      </c>
      <c r="F342" s="795">
        <v>43309</v>
      </c>
      <c r="G342" s="795">
        <v>43403</v>
      </c>
      <c r="H342" s="795" t="s">
        <v>368</v>
      </c>
      <c r="I342" s="796" t="s">
        <v>174</v>
      </c>
      <c r="J342" s="794" t="s">
        <v>169</v>
      </c>
      <c r="K342" s="805" t="s">
        <v>365</v>
      </c>
      <c r="L342" s="1240">
        <v>2313</v>
      </c>
      <c r="M342" s="780"/>
      <c r="N342" s="796" t="s">
        <v>366</v>
      </c>
      <c r="O342" s="1353">
        <v>6000</v>
      </c>
      <c r="P342" s="797">
        <v>1</v>
      </c>
      <c r="Q342" s="2811">
        <f t="shared" si="55"/>
        <v>6000</v>
      </c>
      <c r="R342" s="800"/>
      <c r="S342" s="799"/>
      <c r="T342" s="799"/>
      <c r="U342" s="799"/>
      <c r="V342" s="799"/>
      <c r="W342" s="799"/>
      <c r="X342" s="1179">
        <v>600</v>
      </c>
      <c r="Y342" s="1154">
        <v>2400</v>
      </c>
      <c r="Z342" s="1165">
        <v>3000</v>
      </c>
      <c r="AA342" s="1165"/>
      <c r="AB342" s="1165"/>
      <c r="AC342" s="1152"/>
      <c r="AD342" s="1152"/>
      <c r="AE342" s="1152"/>
      <c r="AF342" s="1152"/>
      <c r="AG342" s="1282">
        <f t="shared" si="54"/>
        <v>6000</v>
      </c>
    </row>
    <row r="343" spans="1:33" s="280" customFormat="1" ht="54" hidden="1" customHeight="1">
      <c r="A343" s="2745">
        <v>2214</v>
      </c>
      <c r="B343" s="2857" t="s">
        <v>855</v>
      </c>
      <c r="C343" s="2748" t="s">
        <v>856</v>
      </c>
      <c r="D343" s="2861"/>
      <c r="E343" s="2745">
        <v>5</v>
      </c>
      <c r="F343" s="2862">
        <v>43318</v>
      </c>
      <c r="G343" s="2862">
        <v>43321</v>
      </c>
      <c r="H343" s="2852" t="s">
        <v>368</v>
      </c>
      <c r="I343" s="2745" t="s">
        <v>174</v>
      </c>
      <c r="J343" s="2863" t="s">
        <v>169</v>
      </c>
      <c r="K343" s="1124"/>
      <c r="L343" s="2856"/>
      <c r="M343" s="1152"/>
      <c r="N343" s="1703"/>
      <c r="O343" s="2859"/>
      <c r="P343" s="2854"/>
      <c r="Q343" s="1198"/>
      <c r="R343" s="1127"/>
      <c r="S343" s="1154"/>
      <c r="T343" s="1154"/>
      <c r="U343" s="1154"/>
      <c r="V343" s="1154"/>
      <c r="W343" s="1154"/>
      <c r="X343" s="2860"/>
      <c r="Y343" s="1154"/>
      <c r="Z343" s="1165"/>
      <c r="AA343" s="1165"/>
      <c r="AB343" s="1165"/>
      <c r="AC343" s="1152"/>
      <c r="AD343" s="1152"/>
      <c r="AE343" s="1152"/>
      <c r="AF343" s="1152"/>
      <c r="AG343" s="1343"/>
    </row>
    <row r="344" spans="1:33" s="280" customFormat="1" ht="47.25" hidden="1">
      <c r="A344" s="796">
        <v>2214</v>
      </c>
      <c r="B344" s="808" t="s">
        <v>855</v>
      </c>
      <c r="C344" s="793" t="s">
        <v>856</v>
      </c>
      <c r="D344" s="813"/>
      <c r="E344" s="796">
        <v>5</v>
      </c>
      <c r="F344" s="816">
        <v>43318</v>
      </c>
      <c r="G344" s="816">
        <v>43321</v>
      </c>
      <c r="H344" s="795" t="s">
        <v>368</v>
      </c>
      <c r="I344" s="796" t="s">
        <v>174</v>
      </c>
      <c r="J344" s="792" t="s">
        <v>169</v>
      </c>
      <c r="K344" s="805" t="s">
        <v>486</v>
      </c>
      <c r="L344" s="1240">
        <v>23173</v>
      </c>
      <c r="M344" s="780"/>
      <c r="N344" s="796" t="s">
        <v>366</v>
      </c>
      <c r="O344" s="1115">
        <v>343</v>
      </c>
      <c r="P344" s="797">
        <v>1</v>
      </c>
      <c r="Q344" s="800">
        <f t="shared" si="55"/>
        <v>343</v>
      </c>
      <c r="R344" s="800"/>
      <c r="S344" s="799"/>
      <c r="T344" s="799"/>
      <c r="U344" s="799"/>
      <c r="V344" s="799"/>
      <c r="W344" s="799"/>
      <c r="X344" s="1180">
        <v>343</v>
      </c>
      <c r="Y344" s="1154"/>
      <c r="Z344" s="1165"/>
      <c r="AA344" s="1165"/>
      <c r="AB344" s="1165"/>
      <c r="AC344" s="1152"/>
      <c r="AD344" s="1152"/>
      <c r="AE344" s="1152"/>
      <c r="AF344" s="1152"/>
      <c r="AG344" s="1282">
        <f t="shared" si="54"/>
        <v>343</v>
      </c>
    </row>
    <row r="345" spans="1:33" s="280" customFormat="1" ht="47.25" hidden="1">
      <c r="A345" s="796">
        <v>2214</v>
      </c>
      <c r="B345" s="808" t="s">
        <v>855</v>
      </c>
      <c r="C345" s="793" t="s">
        <v>856</v>
      </c>
      <c r="D345" s="813"/>
      <c r="E345" s="796">
        <v>5</v>
      </c>
      <c r="F345" s="816">
        <v>43318</v>
      </c>
      <c r="G345" s="816">
        <v>43321</v>
      </c>
      <c r="H345" s="795" t="s">
        <v>368</v>
      </c>
      <c r="I345" s="796" t="s">
        <v>169</v>
      </c>
      <c r="J345" s="792" t="s">
        <v>174</v>
      </c>
      <c r="K345" s="1544" t="s">
        <v>857</v>
      </c>
      <c r="L345" s="1241">
        <v>23174</v>
      </c>
      <c r="M345" s="296"/>
      <c r="N345" s="294"/>
      <c r="O345" s="1354">
        <v>3657</v>
      </c>
      <c r="P345" s="295">
        <v>1</v>
      </c>
      <c r="Q345" s="299">
        <f t="shared" si="55"/>
        <v>3657</v>
      </c>
      <c r="R345" s="299"/>
      <c r="S345" s="298"/>
      <c r="T345" s="298"/>
      <c r="U345" s="298"/>
      <c r="V345" s="298"/>
      <c r="W345" s="298"/>
      <c r="X345" s="1355">
        <v>3657</v>
      </c>
      <c r="Y345" s="1154"/>
      <c r="Z345" s="1165"/>
      <c r="AA345" s="1165"/>
      <c r="AB345" s="1165"/>
      <c r="AC345" s="1152"/>
      <c r="AD345" s="1152"/>
      <c r="AE345" s="1152"/>
      <c r="AF345" s="1152"/>
      <c r="AG345" s="1282">
        <f t="shared" si="54"/>
        <v>3657</v>
      </c>
    </row>
    <row r="346" spans="1:33" s="280" customFormat="1" ht="41.25" hidden="1" customHeight="1">
      <c r="A346" s="2789">
        <v>2215</v>
      </c>
      <c r="B346" s="2864" t="s">
        <v>858</v>
      </c>
      <c r="C346" s="2790" t="s">
        <v>859</v>
      </c>
      <c r="D346" s="2789" t="s">
        <v>514</v>
      </c>
      <c r="E346" s="2865">
        <v>20</v>
      </c>
      <c r="F346" s="2792">
        <v>43288</v>
      </c>
      <c r="G346" s="2792">
        <v>43308</v>
      </c>
      <c r="H346" s="2792" t="s">
        <v>368</v>
      </c>
      <c r="I346" s="2789" t="s">
        <v>174</v>
      </c>
      <c r="J346" s="2866" t="s">
        <v>169</v>
      </c>
      <c r="K346" s="326" t="s">
        <v>860</v>
      </c>
      <c r="L346" s="1241">
        <v>23173</v>
      </c>
      <c r="M346" s="296"/>
      <c r="N346" s="294"/>
      <c r="O346" s="1357">
        <v>80</v>
      </c>
      <c r="P346" s="295">
        <v>3</v>
      </c>
      <c r="Q346" s="854">
        <f t="shared" si="55"/>
        <v>240</v>
      </c>
      <c r="R346" s="299"/>
      <c r="S346" s="298"/>
      <c r="T346" s="298"/>
      <c r="U346" s="298"/>
      <c r="V346" s="298"/>
      <c r="W346" s="298"/>
      <c r="X346" s="1179">
        <v>240</v>
      </c>
      <c r="Y346" s="1154"/>
      <c r="Z346" s="1165"/>
      <c r="AA346" s="1165"/>
      <c r="AB346" s="1165"/>
      <c r="AC346" s="1152"/>
      <c r="AD346" s="1152"/>
      <c r="AE346" s="1152"/>
      <c r="AF346" s="1152"/>
      <c r="AG346" s="1282">
        <f t="shared" si="54"/>
        <v>240</v>
      </c>
    </row>
    <row r="347" spans="1:33" ht="33.75" customHeight="1">
      <c r="A347" s="1275">
        <v>222</v>
      </c>
      <c r="B347" s="508" t="s">
        <v>861</v>
      </c>
      <c r="C347" s="1559"/>
      <c r="D347" s="822"/>
      <c r="E347" s="822"/>
      <c r="F347" s="822"/>
      <c r="G347" s="822"/>
      <c r="H347" s="822"/>
      <c r="I347" s="822"/>
      <c r="J347" s="508"/>
      <c r="K347" s="1560"/>
      <c r="L347" s="1561"/>
      <c r="M347" s="822"/>
      <c r="N347" s="822"/>
      <c r="O347" s="1562"/>
      <c r="P347" s="822"/>
      <c r="Q347" s="2812">
        <f>SUM(Q349:Q362)</f>
        <v>24920.000000000004</v>
      </c>
      <c r="R347" s="2813"/>
      <c r="S347" s="1562">
        <f t="shared" ref="S347:AF347" si="56">SUM(S349:S362)</f>
        <v>0</v>
      </c>
      <c r="T347" s="1562">
        <f t="shared" si="56"/>
        <v>720</v>
      </c>
      <c r="U347" s="1562">
        <f t="shared" si="56"/>
        <v>500</v>
      </c>
      <c r="V347" s="1562">
        <f t="shared" si="56"/>
        <v>500</v>
      </c>
      <c r="W347" s="1562">
        <f t="shared" si="56"/>
        <v>9000</v>
      </c>
      <c r="X347" s="1562">
        <f t="shared" si="56"/>
        <v>500</v>
      </c>
      <c r="Y347" s="1562">
        <f t="shared" si="56"/>
        <v>500</v>
      </c>
      <c r="Z347" s="1563">
        <f t="shared" si="56"/>
        <v>500</v>
      </c>
      <c r="AA347" s="1563">
        <f t="shared" si="56"/>
        <v>500</v>
      </c>
      <c r="AB347" s="1563">
        <f t="shared" si="56"/>
        <v>500</v>
      </c>
      <c r="AC347" s="1563">
        <f t="shared" si="56"/>
        <v>500</v>
      </c>
      <c r="AD347" s="1563">
        <f t="shared" si="56"/>
        <v>10200</v>
      </c>
      <c r="AE347" s="1563">
        <f t="shared" si="56"/>
        <v>500</v>
      </c>
      <c r="AF347" s="1563">
        <f t="shared" si="56"/>
        <v>500</v>
      </c>
      <c r="AG347" s="1901">
        <f>SUM(S347:AF347)</f>
        <v>24920</v>
      </c>
    </row>
    <row r="348" spans="1:33" ht="33.75" hidden="1" customHeight="1">
      <c r="A348" s="2789">
        <v>2221</v>
      </c>
      <c r="B348" s="2790" t="s">
        <v>862</v>
      </c>
      <c r="C348" s="2790" t="s">
        <v>846</v>
      </c>
      <c r="D348" s="2875"/>
      <c r="E348" s="2789">
        <v>20</v>
      </c>
      <c r="F348" s="2792">
        <v>43199</v>
      </c>
      <c r="G348" s="2792">
        <v>43219</v>
      </c>
      <c r="H348" s="2792" t="s">
        <v>368</v>
      </c>
      <c r="I348" s="2789" t="s">
        <v>169</v>
      </c>
      <c r="J348" s="2793" t="s">
        <v>174</v>
      </c>
      <c r="K348" s="2868"/>
      <c r="L348" s="2869"/>
      <c r="M348" s="2867"/>
      <c r="N348" s="2867"/>
      <c r="O348" s="1903"/>
      <c r="P348" s="2867"/>
      <c r="Q348" s="2870"/>
      <c r="R348" s="2871"/>
      <c r="S348" s="1903"/>
      <c r="T348" s="1903"/>
      <c r="U348" s="1903"/>
      <c r="V348" s="1903"/>
      <c r="W348" s="1903"/>
      <c r="X348" s="2872"/>
      <c r="Y348" s="1903"/>
      <c r="Z348" s="2873"/>
      <c r="AA348" s="2873"/>
      <c r="AB348" s="2873"/>
      <c r="AC348" s="2873"/>
      <c r="AD348" s="2873"/>
      <c r="AE348" s="2873"/>
      <c r="AF348" s="2873"/>
      <c r="AG348" s="2874"/>
    </row>
    <row r="349" spans="1:33" ht="45" hidden="1" customHeight="1">
      <c r="A349" s="294">
        <v>2221</v>
      </c>
      <c r="B349" s="291" t="s">
        <v>862</v>
      </c>
      <c r="C349" s="291" t="s">
        <v>846</v>
      </c>
      <c r="D349" s="821"/>
      <c r="E349" s="294">
        <v>20</v>
      </c>
      <c r="F349" s="293">
        <v>43199</v>
      </c>
      <c r="G349" s="293">
        <v>43219</v>
      </c>
      <c r="H349" s="293" t="s">
        <v>368</v>
      </c>
      <c r="I349" s="294" t="s">
        <v>169</v>
      </c>
      <c r="J349" s="307" t="s">
        <v>174</v>
      </c>
      <c r="K349" s="326" t="s">
        <v>847</v>
      </c>
      <c r="L349" s="1237">
        <v>23173</v>
      </c>
      <c r="M349" s="326"/>
      <c r="N349" s="294"/>
      <c r="O349" s="354">
        <v>80</v>
      </c>
      <c r="P349" s="294">
        <v>3</v>
      </c>
      <c r="Q349" s="299">
        <f t="shared" ref="Q349:Q362" si="57">O349*P349</f>
        <v>240</v>
      </c>
      <c r="R349" s="299"/>
      <c r="S349" s="355"/>
      <c r="T349" s="355">
        <v>240</v>
      </c>
      <c r="U349" s="355"/>
      <c r="V349" s="355"/>
      <c r="W349" s="355"/>
      <c r="X349" s="1137"/>
      <c r="Y349" s="1126"/>
      <c r="Z349" s="1124"/>
      <c r="AA349" s="1124"/>
      <c r="AB349" s="1124"/>
      <c r="AC349" s="1124"/>
      <c r="AD349" s="1124"/>
      <c r="AE349" s="1124"/>
      <c r="AF349" s="1124"/>
      <c r="AG349" s="1282">
        <f t="shared" ref="AG349:AG362" si="58">SUM(S349:AF349)</f>
        <v>240</v>
      </c>
    </row>
    <row r="350" spans="1:33" ht="72" hidden="1" customHeight="1">
      <c r="A350" s="294">
        <v>2221</v>
      </c>
      <c r="B350" s="291" t="s">
        <v>862</v>
      </c>
      <c r="C350" s="291" t="s">
        <v>863</v>
      </c>
      <c r="D350" s="821"/>
      <c r="E350" s="294">
        <f>56+365</f>
        <v>421</v>
      </c>
      <c r="F350" s="293">
        <v>43181</v>
      </c>
      <c r="G350" s="293">
        <v>43581</v>
      </c>
      <c r="H350" s="293" t="s">
        <v>368</v>
      </c>
      <c r="I350" s="294" t="s">
        <v>174</v>
      </c>
      <c r="J350" s="307" t="s">
        <v>169</v>
      </c>
      <c r="K350" s="326" t="s">
        <v>864</v>
      </c>
      <c r="L350" s="1237">
        <v>23171</v>
      </c>
      <c r="M350" s="326"/>
      <c r="N350" s="294"/>
      <c r="O350" s="354">
        <v>250</v>
      </c>
      <c r="P350" s="294">
        <v>12</v>
      </c>
      <c r="Q350" s="299">
        <f t="shared" si="57"/>
        <v>3000</v>
      </c>
      <c r="R350" s="299"/>
      <c r="S350" s="355"/>
      <c r="T350" s="355"/>
      <c r="U350" s="355">
        <v>250</v>
      </c>
      <c r="V350" s="355">
        <v>250</v>
      </c>
      <c r="W350" s="355">
        <v>250</v>
      </c>
      <c r="X350" s="1137">
        <v>250</v>
      </c>
      <c r="Y350" s="1126">
        <v>250</v>
      </c>
      <c r="Z350" s="1126">
        <v>250</v>
      </c>
      <c r="AA350" s="1126">
        <v>250</v>
      </c>
      <c r="AB350" s="1126">
        <v>250</v>
      </c>
      <c r="AC350" s="1126">
        <v>250</v>
      </c>
      <c r="AD350" s="1126">
        <v>250</v>
      </c>
      <c r="AE350" s="1126">
        <v>250</v>
      </c>
      <c r="AF350" s="1126">
        <v>250</v>
      </c>
      <c r="AG350" s="1282">
        <f t="shared" si="58"/>
        <v>3000</v>
      </c>
    </row>
    <row r="351" spans="1:33" ht="60.75" hidden="1" customHeight="1">
      <c r="A351" s="2789">
        <v>2222</v>
      </c>
      <c r="B351" s="2790" t="s">
        <v>865</v>
      </c>
      <c r="C351" s="2790" t="s">
        <v>846</v>
      </c>
      <c r="D351" s="2875"/>
      <c r="E351" s="2789">
        <v>20</v>
      </c>
      <c r="F351" s="2792">
        <v>43199</v>
      </c>
      <c r="G351" s="2792">
        <v>43219</v>
      </c>
      <c r="H351" s="2792" t="s">
        <v>368</v>
      </c>
      <c r="I351" s="2789" t="s">
        <v>169</v>
      </c>
      <c r="J351" s="2793" t="s">
        <v>174</v>
      </c>
      <c r="K351" s="1124"/>
      <c r="L351" s="1704"/>
      <c r="M351" s="1124"/>
      <c r="N351" s="1703"/>
      <c r="O351" s="1125"/>
      <c r="P351" s="1703"/>
      <c r="Q351" s="1127"/>
      <c r="R351" s="1127"/>
      <c r="S351" s="1126"/>
      <c r="T351" s="1126"/>
      <c r="U351" s="1126"/>
      <c r="V351" s="1126"/>
      <c r="W351" s="1126"/>
      <c r="X351" s="2835"/>
      <c r="Y351" s="1126"/>
      <c r="Z351" s="1126"/>
      <c r="AA351" s="1126"/>
      <c r="AB351" s="1126"/>
      <c r="AC351" s="1126"/>
      <c r="AD351" s="1126"/>
      <c r="AE351" s="1126"/>
      <c r="AF351" s="1126"/>
      <c r="AG351" s="1343"/>
    </row>
    <row r="352" spans="1:33" ht="31.5" hidden="1">
      <c r="A352" s="294">
        <v>2222</v>
      </c>
      <c r="B352" s="291" t="s">
        <v>865</v>
      </c>
      <c r="C352" s="291" t="s">
        <v>846</v>
      </c>
      <c r="D352" s="821"/>
      <c r="E352" s="294">
        <v>20</v>
      </c>
      <c r="F352" s="293">
        <v>43199</v>
      </c>
      <c r="G352" s="293">
        <v>43219</v>
      </c>
      <c r="H352" s="293" t="s">
        <v>368</v>
      </c>
      <c r="I352" s="294" t="s">
        <v>169</v>
      </c>
      <c r="J352" s="307" t="s">
        <v>174</v>
      </c>
      <c r="K352" s="326" t="s">
        <v>847</v>
      </c>
      <c r="L352" s="1237">
        <v>23173</v>
      </c>
      <c r="M352" s="326"/>
      <c r="N352" s="294"/>
      <c r="O352" s="354">
        <v>80</v>
      </c>
      <c r="P352" s="294">
        <v>3</v>
      </c>
      <c r="Q352" s="299">
        <f t="shared" si="57"/>
        <v>240</v>
      </c>
      <c r="R352" s="299"/>
      <c r="S352" s="355"/>
      <c r="T352" s="355">
        <v>240</v>
      </c>
      <c r="U352" s="355"/>
      <c r="V352" s="355"/>
      <c r="W352" s="355"/>
      <c r="X352" s="1137"/>
      <c r="Y352" s="1126"/>
      <c r="Z352" s="1124"/>
      <c r="AA352" s="1124"/>
      <c r="AB352" s="1124"/>
      <c r="AC352" s="1124"/>
      <c r="AD352" s="1124"/>
      <c r="AE352" s="1124"/>
      <c r="AF352" s="1124"/>
      <c r="AG352" s="1282">
        <f t="shared" si="58"/>
        <v>240</v>
      </c>
    </row>
    <row r="353" spans="1:33" ht="31.5" hidden="1">
      <c r="A353" s="294">
        <v>2222</v>
      </c>
      <c r="B353" s="291" t="s">
        <v>865</v>
      </c>
      <c r="C353" s="291" t="s">
        <v>866</v>
      </c>
      <c r="D353" s="821"/>
      <c r="E353" s="294">
        <f>56+365</f>
        <v>421</v>
      </c>
      <c r="F353" s="293">
        <v>43181</v>
      </c>
      <c r="G353" s="293">
        <v>43581</v>
      </c>
      <c r="H353" s="293" t="s">
        <v>368</v>
      </c>
      <c r="I353" s="294" t="s">
        <v>174</v>
      </c>
      <c r="J353" s="307" t="s">
        <v>169</v>
      </c>
      <c r="K353" s="326" t="s">
        <v>864</v>
      </c>
      <c r="L353" s="1237">
        <v>23171</v>
      </c>
      <c r="M353" s="326"/>
      <c r="N353" s="294"/>
      <c r="O353" s="354">
        <v>250</v>
      </c>
      <c r="P353" s="294">
        <v>12</v>
      </c>
      <c r="Q353" s="299">
        <f t="shared" si="57"/>
        <v>3000</v>
      </c>
      <c r="R353" s="299"/>
      <c r="S353" s="355"/>
      <c r="T353" s="355"/>
      <c r="U353" s="355">
        <v>250</v>
      </c>
      <c r="V353" s="355">
        <v>250</v>
      </c>
      <c r="W353" s="355">
        <v>250</v>
      </c>
      <c r="X353" s="1137">
        <v>250</v>
      </c>
      <c r="Y353" s="1126">
        <v>250</v>
      </c>
      <c r="Z353" s="1126">
        <v>250</v>
      </c>
      <c r="AA353" s="1126">
        <v>250</v>
      </c>
      <c r="AB353" s="1126">
        <v>250</v>
      </c>
      <c r="AC353" s="1126">
        <v>250</v>
      </c>
      <c r="AD353" s="1126">
        <v>250</v>
      </c>
      <c r="AE353" s="1126">
        <v>250</v>
      </c>
      <c r="AF353" s="1126">
        <v>250</v>
      </c>
      <c r="AG353" s="1282">
        <f t="shared" si="58"/>
        <v>3000</v>
      </c>
    </row>
    <row r="354" spans="1:33" ht="36" hidden="1" customHeight="1">
      <c r="A354" s="2789">
        <v>2223</v>
      </c>
      <c r="B354" s="2790" t="s">
        <v>99</v>
      </c>
      <c r="C354" s="2790" t="s">
        <v>846</v>
      </c>
      <c r="D354" s="2875"/>
      <c r="E354" s="2789">
        <v>20</v>
      </c>
      <c r="F354" s="2792">
        <v>43196</v>
      </c>
      <c r="G354" s="2792">
        <v>43215</v>
      </c>
      <c r="H354" s="2792" t="s">
        <v>368</v>
      </c>
      <c r="I354" s="2789" t="s">
        <v>867</v>
      </c>
      <c r="J354" s="2793" t="s">
        <v>169</v>
      </c>
      <c r="K354" s="1124"/>
      <c r="L354" s="1704"/>
      <c r="M354" s="1124"/>
      <c r="N354" s="1703"/>
      <c r="O354" s="1125"/>
      <c r="P354" s="1703"/>
      <c r="Q354" s="1127"/>
      <c r="R354" s="1127"/>
      <c r="S354" s="1126"/>
      <c r="T354" s="1126"/>
      <c r="U354" s="1126"/>
      <c r="V354" s="1126"/>
      <c r="W354" s="1126"/>
      <c r="X354" s="2835"/>
      <c r="Y354" s="1126"/>
      <c r="Z354" s="1126"/>
      <c r="AA354" s="1126"/>
      <c r="AB354" s="1126"/>
      <c r="AC354" s="1126"/>
      <c r="AD354" s="1126"/>
      <c r="AE354" s="1126"/>
      <c r="AF354" s="1126"/>
      <c r="AG354" s="1343"/>
    </row>
    <row r="355" spans="1:33" ht="31.5" hidden="1">
      <c r="A355" s="294">
        <v>2223</v>
      </c>
      <c r="B355" s="824" t="s">
        <v>99</v>
      </c>
      <c r="C355" s="291" t="s">
        <v>846</v>
      </c>
      <c r="D355" s="821"/>
      <c r="E355" s="294">
        <v>20</v>
      </c>
      <c r="F355" s="293">
        <v>43196</v>
      </c>
      <c r="G355" s="293">
        <v>43215</v>
      </c>
      <c r="H355" s="293" t="s">
        <v>368</v>
      </c>
      <c r="I355" s="294" t="s">
        <v>867</v>
      </c>
      <c r="J355" s="307" t="s">
        <v>169</v>
      </c>
      <c r="K355" s="326" t="s">
        <v>847</v>
      </c>
      <c r="L355" s="1237">
        <v>23173</v>
      </c>
      <c r="M355" s="326"/>
      <c r="N355" s="294"/>
      <c r="O355" s="354">
        <v>80</v>
      </c>
      <c r="P355" s="294">
        <v>3</v>
      </c>
      <c r="Q355" s="299">
        <f t="shared" si="57"/>
        <v>240</v>
      </c>
      <c r="R355" s="299"/>
      <c r="S355" s="355"/>
      <c r="T355" s="355">
        <v>240</v>
      </c>
      <c r="U355" s="355"/>
      <c r="V355" s="355"/>
      <c r="W355" s="355"/>
      <c r="X355" s="1137"/>
      <c r="Y355" s="1126"/>
      <c r="Z355" s="1124"/>
      <c r="AA355" s="1124"/>
      <c r="AB355" s="1124"/>
      <c r="AC355" s="1124"/>
      <c r="AD355" s="1124"/>
      <c r="AE355" s="1124"/>
      <c r="AF355" s="1124"/>
      <c r="AG355" s="1282">
        <f t="shared" si="58"/>
        <v>240</v>
      </c>
    </row>
    <row r="356" spans="1:33" ht="31.5" hidden="1">
      <c r="A356" s="294">
        <v>2223</v>
      </c>
      <c r="B356" s="824" t="s">
        <v>99</v>
      </c>
      <c r="C356" s="291" t="s">
        <v>868</v>
      </c>
      <c r="D356" s="821"/>
      <c r="E356" s="294">
        <v>2</v>
      </c>
      <c r="F356" s="293">
        <v>43279</v>
      </c>
      <c r="G356" s="293">
        <f>+F356+E356</f>
        <v>43281</v>
      </c>
      <c r="H356" s="293" t="s">
        <v>869</v>
      </c>
      <c r="I356" s="294" t="s">
        <v>174</v>
      </c>
      <c r="J356" s="306" t="s">
        <v>169</v>
      </c>
      <c r="K356" s="326" t="s">
        <v>365</v>
      </c>
      <c r="L356" s="1237">
        <v>2313</v>
      </c>
      <c r="M356" s="326"/>
      <c r="N356" s="294"/>
      <c r="O356" s="354">
        <v>2711.4</v>
      </c>
      <c r="P356" s="294">
        <v>1</v>
      </c>
      <c r="Q356" s="299">
        <f t="shared" si="57"/>
        <v>2711.4</v>
      </c>
      <c r="R356" s="299"/>
      <c r="S356" s="355"/>
      <c r="T356" s="355"/>
      <c r="U356" s="355"/>
      <c r="V356" s="355"/>
      <c r="W356" s="354">
        <v>2711.4</v>
      </c>
      <c r="X356" s="1137"/>
      <c r="Y356" s="1126"/>
      <c r="Z356" s="1124"/>
      <c r="AA356" s="1124"/>
      <c r="AB356" s="1124"/>
      <c r="AC356" s="1124"/>
      <c r="AD356" s="1124"/>
      <c r="AE356" s="1124"/>
      <c r="AF356" s="1124"/>
      <c r="AG356" s="1282">
        <f t="shared" si="58"/>
        <v>2711.4</v>
      </c>
    </row>
    <row r="357" spans="1:33" ht="31.5" hidden="1">
      <c r="A357" s="294">
        <v>2223</v>
      </c>
      <c r="B357" s="824" t="s">
        <v>99</v>
      </c>
      <c r="C357" s="291" t="s">
        <v>868</v>
      </c>
      <c r="D357" s="821"/>
      <c r="E357" s="294">
        <v>2</v>
      </c>
      <c r="F357" s="293">
        <v>43279</v>
      </c>
      <c r="G357" s="293">
        <f>+F357+E357</f>
        <v>43281</v>
      </c>
      <c r="H357" s="293" t="s">
        <v>869</v>
      </c>
      <c r="I357" s="293" t="s">
        <v>169</v>
      </c>
      <c r="J357" s="307" t="s">
        <v>174</v>
      </c>
      <c r="K357" s="326" t="s">
        <v>486</v>
      </c>
      <c r="L357" s="1237">
        <v>23173</v>
      </c>
      <c r="M357" s="326"/>
      <c r="N357" s="294"/>
      <c r="O357" s="354">
        <v>257.33</v>
      </c>
      <c r="P357" s="294">
        <v>1</v>
      </c>
      <c r="Q357" s="299">
        <f t="shared" si="57"/>
        <v>257.33</v>
      </c>
      <c r="R357" s="299"/>
      <c r="S357" s="355"/>
      <c r="T357" s="355"/>
      <c r="U357" s="355"/>
      <c r="V357" s="355"/>
      <c r="W357" s="354">
        <v>257.33</v>
      </c>
      <c r="X357" s="1137"/>
      <c r="Y357" s="1126"/>
      <c r="Z357" s="1124"/>
      <c r="AA357" s="1124"/>
      <c r="AB357" s="1124"/>
      <c r="AC357" s="1124"/>
      <c r="AD357" s="1124"/>
      <c r="AE357" s="1124"/>
      <c r="AF357" s="1124"/>
      <c r="AG357" s="1282">
        <f t="shared" si="58"/>
        <v>257.33</v>
      </c>
    </row>
    <row r="358" spans="1:33" ht="31.5" hidden="1">
      <c r="A358" s="294">
        <v>2223</v>
      </c>
      <c r="B358" s="824" t="s">
        <v>99</v>
      </c>
      <c r="C358" s="291" t="s">
        <v>868</v>
      </c>
      <c r="D358" s="821"/>
      <c r="E358" s="294">
        <v>2</v>
      </c>
      <c r="F358" s="293">
        <v>43279</v>
      </c>
      <c r="G358" s="293">
        <f>+F358+E358</f>
        <v>43281</v>
      </c>
      <c r="H358" s="293" t="s">
        <v>869</v>
      </c>
      <c r="I358" s="293" t="s">
        <v>169</v>
      </c>
      <c r="J358" s="307" t="s">
        <v>174</v>
      </c>
      <c r="K358" s="1544" t="s">
        <v>857</v>
      </c>
      <c r="L358" s="1237">
        <v>23174</v>
      </c>
      <c r="M358" s="326"/>
      <c r="N358" s="294"/>
      <c r="O358" s="354">
        <v>5531.27</v>
      </c>
      <c r="P358" s="294">
        <v>1</v>
      </c>
      <c r="Q358" s="299">
        <f t="shared" si="57"/>
        <v>5531.27</v>
      </c>
      <c r="R358" s="299"/>
      <c r="S358" s="355"/>
      <c r="T358" s="355"/>
      <c r="U358" s="355"/>
      <c r="V358" s="355"/>
      <c r="W358" s="354">
        <v>5531.27</v>
      </c>
      <c r="X358" s="1137"/>
      <c r="Y358" s="1126"/>
      <c r="Z358" s="1124"/>
      <c r="AA358" s="1124"/>
      <c r="AB358" s="1124"/>
      <c r="AC358" s="1124"/>
      <c r="AD358" s="1124"/>
      <c r="AE358" s="1124"/>
      <c r="AF358" s="1124"/>
      <c r="AG358" s="1282">
        <f t="shared" si="58"/>
        <v>5531.27</v>
      </c>
    </row>
    <row r="359" spans="1:33" ht="30.75" hidden="1" customHeight="1">
      <c r="A359" s="2789">
        <v>2224</v>
      </c>
      <c r="B359" s="2790" t="s">
        <v>99</v>
      </c>
      <c r="C359" s="2790" t="s">
        <v>870</v>
      </c>
      <c r="D359" s="2875"/>
      <c r="E359" s="2789">
        <v>2</v>
      </c>
      <c r="F359" s="2792">
        <v>43500</v>
      </c>
      <c r="G359" s="2792">
        <f>+F359+E359</f>
        <v>43502</v>
      </c>
      <c r="H359" s="2792" t="s">
        <v>871</v>
      </c>
      <c r="I359" s="2789" t="s">
        <v>174</v>
      </c>
      <c r="J359" s="2876" t="s">
        <v>169</v>
      </c>
      <c r="K359" s="1725"/>
      <c r="L359" s="1704"/>
      <c r="M359" s="1124"/>
      <c r="N359" s="1703"/>
      <c r="O359" s="1125"/>
      <c r="P359" s="1703"/>
      <c r="Q359" s="1127"/>
      <c r="R359" s="1127"/>
      <c r="S359" s="1126"/>
      <c r="T359" s="1126"/>
      <c r="U359" s="1126"/>
      <c r="V359" s="1126"/>
      <c r="W359" s="1125"/>
      <c r="X359" s="2835"/>
      <c r="Y359" s="1126"/>
      <c r="Z359" s="1124"/>
      <c r="AA359" s="1124"/>
      <c r="AB359" s="1124"/>
      <c r="AC359" s="1124"/>
      <c r="AD359" s="1124"/>
      <c r="AE359" s="1124"/>
      <c r="AF359" s="1124"/>
      <c r="AG359" s="1343"/>
    </row>
    <row r="360" spans="1:33" ht="31.5" hidden="1">
      <c r="A360" s="294">
        <v>2224</v>
      </c>
      <c r="B360" s="824" t="s">
        <v>99</v>
      </c>
      <c r="C360" s="291" t="s">
        <v>870</v>
      </c>
      <c r="D360" s="821"/>
      <c r="E360" s="294">
        <v>2</v>
      </c>
      <c r="F360" s="293">
        <v>43500</v>
      </c>
      <c r="G360" s="293">
        <f>+F360+E360</f>
        <v>43502</v>
      </c>
      <c r="H360" s="293" t="s">
        <v>871</v>
      </c>
      <c r="I360" s="294" t="s">
        <v>174</v>
      </c>
      <c r="J360" s="306" t="s">
        <v>169</v>
      </c>
      <c r="K360" s="326" t="s">
        <v>365</v>
      </c>
      <c r="L360" s="1237">
        <v>2313</v>
      </c>
      <c r="M360" s="326"/>
      <c r="N360" s="294"/>
      <c r="O360" s="354">
        <v>2711.4</v>
      </c>
      <c r="P360" s="294">
        <v>1</v>
      </c>
      <c r="Q360" s="299">
        <f t="shared" si="57"/>
        <v>2711.4</v>
      </c>
      <c r="R360" s="299"/>
      <c r="S360" s="355"/>
      <c r="T360" s="355"/>
      <c r="U360" s="355"/>
      <c r="V360" s="355"/>
      <c r="W360" s="355"/>
      <c r="X360" s="1137"/>
      <c r="Y360" s="1126"/>
      <c r="Z360" s="1124"/>
      <c r="AA360" s="1124"/>
      <c r="AB360" s="1124"/>
      <c r="AC360" s="1124"/>
      <c r="AD360" s="355">
        <v>2711.4</v>
      </c>
      <c r="AE360" s="1124"/>
      <c r="AF360" s="1124"/>
      <c r="AG360" s="1282">
        <f t="shared" si="58"/>
        <v>2711.4</v>
      </c>
    </row>
    <row r="361" spans="1:33" ht="31.5" hidden="1">
      <c r="A361" s="294">
        <v>2224</v>
      </c>
      <c r="B361" s="824" t="s">
        <v>99</v>
      </c>
      <c r="C361" s="291" t="s">
        <v>870</v>
      </c>
      <c r="D361" s="821"/>
      <c r="E361" s="294">
        <v>2</v>
      </c>
      <c r="F361" s="293">
        <v>43500</v>
      </c>
      <c r="G361" s="293">
        <v>43502</v>
      </c>
      <c r="H361" s="293" t="s">
        <v>871</v>
      </c>
      <c r="I361" s="293" t="s">
        <v>169</v>
      </c>
      <c r="J361" s="307" t="s">
        <v>174</v>
      </c>
      <c r="K361" s="326" t="s">
        <v>486</v>
      </c>
      <c r="L361" s="1237">
        <v>23173</v>
      </c>
      <c r="M361" s="326"/>
      <c r="N361" s="294"/>
      <c r="O361" s="354">
        <v>431.33</v>
      </c>
      <c r="P361" s="294">
        <v>1</v>
      </c>
      <c r="Q361" s="299">
        <f t="shared" si="57"/>
        <v>431.33</v>
      </c>
      <c r="R361" s="299"/>
      <c r="S361" s="355"/>
      <c r="T361" s="355"/>
      <c r="U361" s="355"/>
      <c r="V361" s="355"/>
      <c r="W361" s="355"/>
      <c r="X361" s="1137"/>
      <c r="Y361" s="1126"/>
      <c r="Z361" s="1124"/>
      <c r="AA361" s="1124"/>
      <c r="AB361" s="1124"/>
      <c r="AC361" s="1124"/>
      <c r="AD361" s="355">
        <v>431.33</v>
      </c>
      <c r="AE361" s="1124"/>
      <c r="AF361" s="1124"/>
      <c r="AG361" s="1282">
        <f t="shared" si="58"/>
        <v>431.33</v>
      </c>
    </row>
    <row r="362" spans="1:33" ht="31.5" hidden="1">
      <c r="A362" s="294">
        <v>2224</v>
      </c>
      <c r="B362" s="824" t="s">
        <v>99</v>
      </c>
      <c r="C362" s="291" t="s">
        <v>870</v>
      </c>
      <c r="D362" s="821"/>
      <c r="E362" s="294">
        <v>2</v>
      </c>
      <c r="F362" s="293">
        <v>43500</v>
      </c>
      <c r="G362" s="293">
        <v>43502</v>
      </c>
      <c r="H362" s="293" t="s">
        <v>871</v>
      </c>
      <c r="I362" s="293" t="s">
        <v>169</v>
      </c>
      <c r="J362" s="307" t="s">
        <v>174</v>
      </c>
      <c r="K362" s="1544" t="s">
        <v>857</v>
      </c>
      <c r="L362" s="1237">
        <v>23174</v>
      </c>
      <c r="M362" s="326"/>
      <c r="N362" s="294"/>
      <c r="O362" s="354">
        <v>6557.27</v>
      </c>
      <c r="P362" s="294">
        <v>1</v>
      </c>
      <c r="Q362" s="299">
        <f t="shared" si="57"/>
        <v>6557.27</v>
      </c>
      <c r="R362" s="299"/>
      <c r="S362" s="355"/>
      <c r="T362" s="355"/>
      <c r="U362" s="355"/>
      <c r="V362" s="355"/>
      <c r="W362" s="355"/>
      <c r="X362" s="1137"/>
      <c r="Y362" s="1126"/>
      <c r="Z362" s="1124"/>
      <c r="AA362" s="1124"/>
      <c r="AB362" s="1124"/>
      <c r="AC362" s="1124"/>
      <c r="AD362" s="355">
        <v>6557.27</v>
      </c>
      <c r="AE362" s="1124"/>
      <c r="AF362" s="1124"/>
      <c r="AG362" s="1282">
        <f t="shared" si="58"/>
        <v>6557.27</v>
      </c>
    </row>
    <row r="363" spans="1:33" s="280" customFormat="1" ht="38.25" customHeight="1">
      <c r="A363" s="1275">
        <v>223</v>
      </c>
      <c r="B363" s="508" t="s">
        <v>872</v>
      </c>
      <c r="C363" s="1504"/>
      <c r="D363" s="1358"/>
      <c r="E363" s="1358"/>
      <c r="F363" s="1358"/>
      <c r="G363" s="1358"/>
      <c r="H363" s="1358"/>
      <c r="I363" s="1358"/>
      <c r="J363" s="523"/>
      <c r="K363" s="1560"/>
      <c r="L363" s="1359"/>
      <c r="M363" s="1358"/>
      <c r="N363" s="1358"/>
      <c r="O363" s="1360"/>
      <c r="P363" s="1358"/>
      <c r="Q363" s="2812">
        <f>SUM(Q365:Q382)</f>
        <v>209880</v>
      </c>
      <c r="R363" s="2814"/>
      <c r="S363" s="1562">
        <f t="shared" ref="S363:AF363" si="59">SUM(S365:S382)</f>
        <v>0</v>
      </c>
      <c r="T363" s="1562">
        <f t="shared" si="59"/>
        <v>740</v>
      </c>
      <c r="U363" s="1562">
        <f t="shared" si="59"/>
        <v>16740</v>
      </c>
      <c r="V363" s="1562">
        <f t="shared" si="59"/>
        <v>63200</v>
      </c>
      <c r="W363" s="1562">
        <f t="shared" si="59"/>
        <v>1000</v>
      </c>
      <c r="X363" s="1562">
        <f t="shared" si="59"/>
        <v>40200</v>
      </c>
      <c r="Y363" s="1562">
        <f t="shared" si="59"/>
        <v>88000</v>
      </c>
      <c r="Z363" s="1562">
        <f t="shared" si="59"/>
        <v>0</v>
      </c>
      <c r="AA363" s="1562">
        <f t="shared" si="59"/>
        <v>0</v>
      </c>
      <c r="AB363" s="1562">
        <f t="shared" si="59"/>
        <v>0</v>
      </c>
      <c r="AC363" s="1562">
        <f t="shared" si="59"/>
        <v>0</v>
      </c>
      <c r="AD363" s="1562">
        <f t="shared" si="59"/>
        <v>0</v>
      </c>
      <c r="AE363" s="1562">
        <f t="shared" si="59"/>
        <v>0</v>
      </c>
      <c r="AF363" s="1562">
        <f t="shared" si="59"/>
        <v>0</v>
      </c>
      <c r="AG363" s="1902">
        <f>SUM(S363:AF363)</f>
        <v>209880</v>
      </c>
    </row>
    <row r="364" spans="1:33" s="280" customFormat="1" ht="38.25" hidden="1" customHeight="1">
      <c r="A364" s="2789">
        <v>2231</v>
      </c>
      <c r="B364" s="2790" t="s">
        <v>1027</v>
      </c>
      <c r="C364" s="2790" t="s">
        <v>846</v>
      </c>
      <c r="D364" s="2865" t="s">
        <v>849</v>
      </c>
      <c r="E364" s="2789">
        <v>20</v>
      </c>
      <c r="F364" s="2881">
        <v>43196</v>
      </c>
      <c r="G364" s="2881">
        <v>43215</v>
      </c>
      <c r="H364" s="2789" t="s">
        <v>368</v>
      </c>
      <c r="I364" s="2789" t="s">
        <v>169</v>
      </c>
      <c r="J364" s="2793" t="s">
        <v>174</v>
      </c>
      <c r="K364" s="2868"/>
      <c r="L364" s="2877"/>
      <c r="M364" s="2845"/>
      <c r="N364" s="2845"/>
      <c r="O364" s="2878"/>
      <c r="P364" s="2845"/>
      <c r="Q364" s="2870"/>
      <c r="R364" s="2879"/>
      <c r="S364" s="1903"/>
      <c r="T364" s="1903"/>
      <c r="U364" s="1903"/>
      <c r="V364" s="1903"/>
      <c r="W364" s="1903"/>
      <c r="X364" s="2872"/>
      <c r="Y364" s="1903"/>
      <c r="Z364" s="1903"/>
      <c r="AA364" s="1903"/>
      <c r="AB364" s="1903"/>
      <c r="AC364" s="1903"/>
      <c r="AD364" s="1903"/>
      <c r="AE364" s="1903"/>
      <c r="AF364" s="1903"/>
      <c r="AG364" s="2880"/>
    </row>
    <row r="365" spans="1:33" s="833" customFormat="1" ht="31.5" hidden="1">
      <c r="A365" s="294">
        <v>2231</v>
      </c>
      <c r="B365" s="820" t="s">
        <v>1027</v>
      </c>
      <c r="C365" s="291" t="s">
        <v>846</v>
      </c>
      <c r="D365" s="295" t="s">
        <v>849</v>
      </c>
      <c r="E365" s="294">
        <v>20</v>
      </c>
      <c r="F365" s="829">
        <v>43196</v>
      </c>
      <c r="G365" s="829">
        <v>43215</v>
      </c>
      <c r="H365" s="294" t="s">
        <v>368</v>
      </c>
      <c r="I365" s="294" t="s">
        <v>169</v>
      </c>
      <c r="J365" s="307" t="s">
        <v>174</v>
      </c>
      <c r="K365" s="326" t="s">
        <v>847</v>
      </c>
      <c r="L365" s="1241">
        <v>23173</v>
      </c>
      <c r="M365" s="830"/>
      <c r="N365" s="569"/>
      <c r="O365" s="355">
        <v>80</v>
      </c>
      <c r="P365" s="294">
        <v>3</v>
      </c>
      <c r="Q365" s="299">
        <f>O365*P365</f>
        <v>240</v>
      </c>
      <c r="R365" s="831"/>
      <c r="S365" s="494"/>
      <c r="T365" s="294">
        <v>240</v>
      </c>
      <c r="U365" s="494"/>
      <c r="V365" s="494"/>
      <c r="W365" s="494"/>
      <c r="X365" s="1181"/>
      <c r="Y365" s="1196"/>
      <c r="Z365" s="1155"/>
      <c r="AA365" s="1155"/>
      <c r="AB365" s="1155"/>
      <c r="AC365" s="1155"/>
      <c r="AD365" s="1155"/>
      <c r="AE365" s="1155"/>
      <c r="AF365" s="1155"/>
      <c r="AG365" s="1282">
        <f t="shared" ref="AG365:AG382" si="60">SUM(S365:AF365)</f>
        <v>240</v>
      </c>
    </row>
    <row r="366" spans="1:33" s="280" customFormat="1" ht="31.5" hidden="1">
      <c r="A366" s="294">
        <v>2231</v>
      </c>
      <c r="B366" s="820" t="s">
        <v>1027</v>
      </c>
      <c r="C366" s="291" t="s">
        <v>875</v>
      </c>
      <c r="D366" s="294" t="s">
        <v>849</v>
      </c>
      <c r="E366" s="294">
        <v>30</v>
      </c>
      <c r="F366" s="293">
        <v>43205</v>
      </c>
      <c r="G366" s="293">
        <v>43235</v>
      </c>
      <c r="H366" s="293" t="s">
        <v>368</v>
      </c>
      <c r="I366" s="294" t="s">
        <v>174</v>
      </c>
      <c r="J366" s="307" t="s">
        <v>169</v>
      </c>
      <c r="K366" s="326" t="s">
        <v>365</v>
      </c>
      <c r="L366" s="1237">
        <v>2313</v>
      </c>
      <c r="M366" s="296"/>
      <c r="N366" s="294"/>
      <c r="O366" s="355">
        <v>5000</v>
      </c>
      <c r="P366" s="294">
        <v>1</v>
      </c>
      <c r="Q366" s="299">
        <f>O366*P366</f>
        <v>5000</v>
      </c>
      <c r="R366" s="299"/>
      <c r="S366" s="298"/>
      <c r="T366" s="294">
        <v>500</v>
      </c>
      <c r="U366" s="294">
        <v>4500</v>
      </c>
      <c r="V366" s="298"/>
      <c r="W366" s="298"/>
      <c r="X366" s="1179"/>
      <c r="Y366" s="1154"/>
      <c r="Z366" s="1152"/>
      <c r="AA366" s="1152"/>
      <c r="AB366" s="1152"/>
      <c r="AC366" s="1152"/>
      <c r="AD366" s="1152"/>
      <c r="AE366" s="1152"/>
      <c r="AF366" s="1152"/>
      <c r="AG366" s="1282">
        <f t="shared" si="60"/>
        <v>5000</v>
      </c>
    </row>
    <row r="367" spans="1:33" s="280" customFormat="1" ht="29.25" hidden="1" customHeight="1">
      <c r="A367" s="2789">
        <v>2232</v>
      </c>
      <c r="B367" s="2882" t="s">
        <v>1028</v>
      </c>
      <c r="C367" s="2790" t="s">
        <v>878</v>
      </c>
      <c r="D367" s="2875"/>
      <c r="E367" s="2883">
        <v>66</v>
      </c>
      <c r="F367" s="2792">
        <v>43195</v>
      </c>
      <c r="G367" s="2792">
        <f>F367+E367</f>
        <v>43261</v>
      </c>
      <c r="H367" s="2792" t="s">
        <v>368</v>
      </c>
      <c r="I367" s="2789" t="s">
        <v>169</v>
      </c>
      <c r="J367" s="2793" t="s">
        <v>174</v>
      </c>
      <c r="K367" s="1124"/>
      <c r="L367" s="1704"/>
      <c r="M367" s="1152"/>
      <c r="N367" s="1703"/>
      <c r="O367" s="1126"/>
      <c r="P367" s="1703"/>
      <c r="Q367" s="1127"/>
      <c r="R367" s="1127"/>
      <c r="S367" s="1154"/>
      <c r="T367" s="1703"/>
      <c r="U367" s="1703"/>
      <c r="V367" s="1154"/>
      <c r="W367" s="1154"/>
      <c r="X367" s="2860"/>
      <c r="Y367" s="1154"/>
      <c r="Z367" s="1152"/>
      <c r="AA367" s="1152"/>
      <c r="AB367" s="1152"/>
      <c r="AC367" s="1152"/>
      <c r="AD367" s="1152"/>
      <c r="AE367" s="1152"/>
      <c r="AF367" s="1152"/>
      <c r="AG367" s="1343"/>
    </row>
    <row r="368" spans="1:33" s="280" customFormat="1" ht="31.5" hidden="1">
      <c r="A368" s="294">
        <v>2232</v>
      </c>
      <c r="B368" s="834" t="s">
        <v>1028</v>
      </c>
      <c r="C368" s="291" t="s">
        <v>878</v>
      </c>
      <c r="D368" s="821"/>
      <c r="E368" s="1363">
        <v>66</v>
      </c>
      <c r="F368" s="293">
        <v>43195</v>
      </c>
      <c r="G368" s="293">
        <f>F368+E368</f>
        <v>43261</v>
      </c>
      <c r="H368" s="293" t="s">
        <v>368</v>
      </c>
      <c r="I368" s="294" t="s">
        <v>169</v>
      </c>
      <c r="J368" s="307" t="s">
        <v>174</v>
      </c>
      <c r="K368" s="326" t="s">
        <v>879</v>
      </c>
      <c r="L368" s="1241">
        <v>2463</v>
      </c>
      <c r="M368" s="296"/>
      <c r="N368" s="294"/>
      <c r="O368" s="1357">
        <v>1500</v>
      </c>
      <c r="P368" s="295">
        <v>4</v>
      </c>
      <c r="Q368" s="854">
        <f>O368*P368</f>
        <v>6000</v>
      </c>
      <c r="R368" s="299"/>
      <c r="S368" s="298"/>
      <c r="T368" s="298"/>
      <c r="U368" s="298"/>
      <c r="V368" s="298">
        <v>6000</v>
      </c>
      <c r="W368" s="298"/>
      <c r="X368" s="1179"/>
      <c r="Y368" s="1154"/>
      <c r="Z368" s="1152"/>
      <c r="AA368" s="1152"/>
      <c r="AB368" s="1152"/>
      <c r="AC368" s="1152"/>
      <c r="AD368" s="1152"/>
      <c r="AE368" s="1152"/>
      <c r="AF368" s="1152"/>
      <c r="AG368" s="1282">
        <f t="shared" si="60"/>
        <v>6000</v>
      </c>
    </row>
    <row r="369" spans="1:33" s="280" customFormat="1" ht="31.5" hidden="1">
      <c r="A369" s="294">
        <v>2232</v>
      </c>
      <c r="B369" s="291" t="s">
        <v>1029</v>
      </c>
      <c r="C369" s="291" t="s">
        <v>881</v>
      </c>
      <c r="D369" s="821"/>
      <c r="E369" s="1363">
        <v>77</v>
      </c>
      <c r="F369" s="293">
        <v>43196</v>
      </c>
      <c r="G369" s="293">
        <f>F369+E369</f>
        <v>43273</v>
      </c>
      <c r="H369" s="293" t="s">
        <v>368</v>
      </c>
      <c r="I369" s="294" t="s">
        <v>169</v>
      </c>
      <c r="J369" s="307" t="s">
        <v>174</v>
      </c>
      <c r="K369" s="326" t="s">
        <v>320</v>
      </c>
      <c r="L369" s="1241">
        <v>23173</v>
      </c>
      <c r="M369" s="296"/>
      <c r="N369" s="294"/>
      <c r="O369" s="1357">
        <v>2000</v>
      </c>
      <c r="P369" s="295">
        <v>1</v>
      </c>
      <c r="Q369" s="854">
        <f>O369*P369</f>
        <v>2000</v>
      </c>
      <c r="R369" s="299"/>
      <c r="S369" s="298"/>
      <c r="T369" s="298"/>
      <c r="U369" s="298"/>
      <c r="V369" s="298">
        <v>2000</v>
      </c>
      <c r="W369" s="298"/>
      <c r="X369" s="1179"/>
      <c r="Y369" s="1154"/>
      <c r="Z369" s="1152"/>
      <c r="AA369" s="1152"/>
      <c r="AB369" s="1152"/>
      <c r="AC369" s="1152"/>
      <c r="AD369" s="1152"/>
      <c r="AE369" s="1152"/>
      <c r="AF369" s="1152"/>
      <c r="AG369" s="1282">
        <f t="shared" si="60"/>
        <v>2000</v>
      </c>
    </row>
    <row r="370" spans="1:33" s="280" customFormat="1" ht="31.5" hidden="1">
      <c r="A370" s="294">
        <v>2232</v>
      </c>
      <c r="B370" s="834" t="s">
        <v>1030</v>
      </c>
      <c r="C370" s="291" t="s">
        <v>883</v>
      </c>
      <c r="D370" s="821"/>
      <c r="E370" s="1363">
        <v>125</v>
      </c>
      <c r="F370" s="293">
        <v>43196</v>
      </c>
      <c r="G370" s="293">
        <f>F370+E370</f>
        <v>43321</v>
      </c>
      <c r="H370" s="293" t="s">
        <v>368</v>
      </c>
      <c r="I370" s="294" t="s">
        <v>169</v>
      </c>
      <c r="J370" s="307" t="s">
        <v>884</v>
      </c>
      <c r="K370" s="326" t="s">
        <v>879</v>
      </c>
      <c r="L370" s="1241">
        <v>2463</v>
      </c>
      <c r="M370" s="296"/>
      <c r="N370" s="294"/>
      <c r="O370" s="1357">
        <v>19200</v>
      </c>
      <c r="P370" s="295">
        <v>1</v>
      </c>
      <c r="Q370" s="854">
        <f>O370*P370</f>
        <v>19200</v>
      </c>
      <c r="R370" s="299"/>
      <c r="S370" s="298"/>
      <c r="T370" s="298"/>
      <c r="U370" s="298"/>
      <c r="V370" s="298"/>
      <c r="W370" s="298"/>
      <c r="X370" s="1179">
        <v>19200</v>
      </c>
      <c r="Y370" s="1154"/>
      <c r="Z370" s="1152"/>
      <c r="AA370" s="1152"/>
      <c r="AB370" s="1152"/>
      <c r="AC370" s="1152"/>
      <c r="AD370" s="1152"/>
      <c r="AE370" s="1152"/>
      <c r="AF370" s="1152"/>
      <c r="AG370" s="1282">
        <f t="shared" si="60"/>
        <v>19200</v>
      </c>
    </row>
    <row r="371" spans="1:33" s="280" customFormat="1" ht="31.5" hidden="1">
      <c r="A371" s="2789">
        <v>2233</v>
      </c>
      <c r="B371" s="2790" t="s">
        <v>1031</v>
      </c>
      <c r="C371" s="2790" t="s">
        <v>887</v>
      </c>
      <c r="D371" s="2799"/>
      <c r="E371" s="2789">
        <v>1</v>
      </c>
      <c r="F371" s="2792">
        <v>43235</v>
      </c>
      <c r="G371" s="2792">
        <v>43235</v>
      </c>
      <c r="H371" s="2792" t="s">
        <v>368</v>
      </c>
      <c r="I371" s="2789" t="s">
        <v>867</v>
      </c>
      <c r="J371" s="2793" t="s">
        <v>169</v>
      </c>
      <c r="K371" s="1124"/>
      <c r="L371" s="2856"/>
      <c r="N371" s="341"/>
      <c r="O371" s="2884"/>
      <c r="P371" s="342"/>
      <c r="Q371" s="1198"/>
      <c r="R371" s="2604"/>
      <c r="S371" s="2885"/>
      <c r="T371" s="2885"/>
      <c r="U371" s="1154"/>
      <c r="V371" s="1154"/>
      <c r="W371" s="1154"/>
      <c r="X371" s="2860"/>
      <c r="Y371" s="1154"/>
      <c r="Z371" s="1152"/>
      <c r="AA371" s="1152"/>
      <c r="AB371" s="1152"/>
      <c r="AC371" s="1152"/>
      <c r="AD371" s="1152"/>
      <c r="AE371" s="1152"/>
      <c r="AF371" s="1152"/>
      <c r="AG371" s="1343"/>
    </row>
    <row r="372" spans="1:33" s="280" customFormat="1" ht="31.5" hidden="1">
      <c r="A372" s="294">
        <v>2233</v>
      </c>
      <c r="B372" s="291" t="s">
        <v>1031</v>
      </c>
      <c r="C372" s="291" t="s">
        <v>887</v>
      </c>
      <c r="D372" s="357"/>
      <c r="E372" s="294">
        <v>1</v>
      </c>
      <c r="F372" s="293">
        <v>43235</v>
      </c>
      <c r="G372" s="293">
        <v>43235</v>
      </c>
      <c r="H372" s="293" t="s">
        <v>368</v>
      </c>
      <c r="I372" s="294" t="s">
        <v>867</v>
      </c>
      <c r="J372" s="307" t="s">
        <v>169</v>
      </c>
      <c r="K372" s="326" t="s">
        <v>320</v>
      </c>
      <c r="L372" s="1241">
        <v>23173</v>
      </c>
      <c r="N372" s="341"/>
      <c r="O372" s="1364">
        <v>3000</v>
      </c>
      <c r="P372" s="342">
        <v>1</v>
      </c>
      <c r="Q372" s="854">
        <f t="shared" ref="Q372:Q381" si="61">O372*P372</f>
        <v>3000</v>
      </c>
      <c r="R372" s="344"/>
      <c r="S372" s="315"/>
      <c r="T372" s="315"/>
      <c r="U372" s="298">
        <v>3000</v>
      </c>
      <c r="V372" s="1154"/>
      <c r="W372" s="1154"/>
      <c r="X372" s="1154"/>
      <c r="Y372" s="1154"/>
      <c r="Z372" s="1152"/>
      <c r="AA372" s="1152"/>
      <c r="AB372" s="1152"/>
      <c r="AC372" s="1152"/>
      <c r="AD372" s="1152"/>
      <c r="AE372" s="1152"/>
      <c r="AF372" s="1152"/>
      <c r="AG372" s="1282">
        <f t="shared" si="60"/>
        <v>3000</v>
      </c>
    </row>
    <row r="373" spans="1:33" s="280" customFormat="1" ht="31.5" hidden="1">
      <c r="A373" s="294">
        <v>2233</v>
      </c>
      <c r="B373" s="291" t="s">
        <v>1031</v>
      </c>
      <c r="C373" s="291" t="s">
        <v>887</v>
      </c>
      <c r="D373" s="821"/>
      <c r="E373" s="294">
        <v>1</v>
      </c>
      <c r="F373" s="293">
        <v>43235</v>
      </c>
      <c r="G373" s="293">
        <v>43235</v>
      </c>
      <c r="H373" s="293" t="s">
        <v>368</v>
      </c>
      <c r="I373" s="294" t="s">
        <v>169</v>
      </c>
      <c r="J373" s="307" t="s">
        <v>867</v>
      </c>
      <c r="K373" s="326" t="s">
        <v>888</v>
      </c>
      <c r="L373" s="1241">
        <v>23174</v>
      </c>
      <c r="M373" s="296"/>
      <c r="N373" s="294"/>
      <c r="O373" s="1357">
        <v>9000</v>
      </c>
      <c r="P373" s="342">
        <v>1</v>
      </c>
      <c r="Q373" s="854">
        <f t="shared" si="61"/>
        <v>9000</v>
      </c>
      <c r="R373" s="299"/>
      <c r="S373" s="298"/>
      <c r="T373" s="298"/>
      <c r="U373" s="298">
        <v>9000</v>
      </c>
      <c r="V373" s="298"/>
      <c r="W373" s="298"/>
      <c r="X373" s="1179"/>
      <c r="Y373" s="1154"/>
      <c r="Z373" s="1152"/>
      <c r="AA373" s="1152"/>
      <c r="AB373" s="1152"/>
      <c r="AC373" s="1152"/>
      <c r="AD373" s="1152"/>
      <c r="AE373" s="1152"/>
      <c r="AF373" s="1152"/>
      <c r="AG373" s="1282">
        <f t="shared" si="60"/>
        <v>9000</v>
      </c>
    </row>
    <row r="374" spans="1:33" s="280" customFormat="1" ht="31.5" hidden="1">
      <c r="A374" s="294">
        <v>2233</v>
      </c>
      <c r="B374" s="291" t="s">
        <v>1032</v>
      </c>
      <c r="C374" s="291" t="s">
        <v>846</v>
      </c>
      <c r="D374" s="294"/>
      <c r="E374" s="294">
        <v>20</v>
      </c>
      <c r="F374" s="293">
        <v>43235</v>
      </c>
      <c r="G374" s="293">
        <v>43256</v>
      </c>
      <c r="H374" s="293" t="s">
        <v>368</v>
      </c>
      <c r="I374" s="294" t="s">
        <v>867</v>
      </c>
      <c r="J374" s="307" t="s">
        <v>169</v>
      </c>
      <c r="K374" s="326" t="s">
        <v>847</v>
      </c>
      <c r="L374" s="1241">
        <v>23173</v>
      </c>
      <c r="M374" s="296"/>
      <c r="N374" s="294"/>
      <c r="O374" s="1357">
        <v>80</v>
      </c>
      <c r="P374" s="295">
        <v>3</v>
      </c>
      <c r="Q374" s="854">
        <f t="shared" si="61"/>
        <v>240</v>
      </c>
      <c r="R374" s="299"/>
      <c r="S374" s="298"/>
      <c r="T374" s="298"/>
      <c r="U374" s="298">
        <v>240</v>
      </c>
      <c r="V374" s="298"/>
      <c r="W374" s="298"/>
      <c r="X374" s="1179"/>
      <c r="Y374" s="1154"/>
      <c r="Z374" s="1152"/>
      <c r="AA374" s="1152"/>
      <c r="AB374" s="1152"/>
      <c r="AC374" s="1152"/>
      <c r="AD374" s="1152"/>
      <c r="AE374" s="1152"/>
      <c r="AF374" s="1152"/>
      <c r="AG374" s="1282">
        <f t="shared" si="60"/>
        <v>240</v>
      </c>
    </row>
    <row r="375" spans="1:33" s="280" customFormat="1" ht="31.5" hidden="1">
      <c r="A375" s="294">
        <v>2233</v>
      </c>
      <c r="B375" s="291" t="s">
        <v>1032</v>
      </c>
      <c r="C375" s="291" t="s">
        <v>890</v>
      </c>
      <c r="D375" s="821"/>
      <c r="E375" s="294">
        <v>66</v>
      </c>
      <c r="F375" s="293">
        <v>43257</v>
      </c>
      <c r="G375" s="293">
        <v>43278</v>
      </c>
      <c r="H375" s="293" t="s">
        <v>368</v>
      </c>
      <c r="I375" s="294" t="s">
        <v>867</v>
      </c>
      <c r="J375" s="307" t="s">
        <v>169</v>
      </c>
      <c r="K375" s="326" t="s">
        <v>302</v>
      </c>
      <c r="L375" s="1241">
        <v>23173</v>
      </c>
      <c r="M375" s="296"/>
      <c r="N375" s="294"/>
      <c r="O375" s="1357">
        <v>8000</v>
      </c>
      <c r="P375" s="295">
        <v>2</v>
      </c>
      <c r="Q375" s="854">
        <f t="shared" si="61"/>
        <v>16000</v>
      </c>
      <c r="R375" s="299"/>
      <c r="S375" s="298"/>
      <c r="T375" s="298"/>
      <c r="U375" s="298"/>
      <c r="V375" s="298">
        <v>16000</v>
      </c>
      <c r="W375" s="298"/>
      <c r="X375" s="1179"/>
      <c r="Y375" s="1154"/>
      <c r="Z375" s="1152"/>
      <c r="AA375" s="1152"/>
      <c r="AB375" s="1152"/>
      <c r="AC375" s="1152"/>
      <c r="AD375" s="1152"/>
      <c r="AE375" s="1152"/>
      <c r="AF375" s="1152"/>
      <c r="AG375" s="1282">
        <f t="shared" si="60"/>
        <v>16000</v>
      </c>
    </row>
    <row r="376" spans="1:33" s="280" customFormat="1" ht="31.5" hidden="1">
      <c r="A376" s="294">
        <v>2233</v>
      </c>
      <c r="B376" s="291" t="s">
        <v>1033</v>
      </c>
      <c r="C376" s="291" t="s">
        <v>892</v>
      </c>
      <c r="D376" s="821"/>
      <c r="E376" s="294">
        <v>6</v>
      </c>
      <c r="F376" s="293">
        <v>43241</v>
      </c>
      <c r="G376" s="293">
        <v>43246</v>
      </c>
      <c r="H376" s="293" t="s">
        <v>368</v>
      </c>
      <c r="I376" s="294" t="s">
        <v>867</v>
      </c>
      <c r="J376" s="307" t="s">
        <v>169</v>
      </c>
      <c r="K376" s="326" t="s">
        <v>486</v>
      </c>
      <c r="L376" s="1241">
        <v>23173</v>
      </c>
      <c r="M376" s="296"/>
      <c r="N376" s="294"/>
      <c r="O376" s="1357">
        <v>1081</v>
      </c>
      <c r="P376" s="295">
        <v>4</v>
      </c>
      <c r="Q376" s="854">
        <f t="shared" si="61"/>
        <v>4324</v>
      </c>
      <c r="R376" s="299"/>
      <c r="S376" s="298"/>
      <c r="T376" s="298"/>
      <c r="U376" s="298"/>
      <c r="V376" s="298">
        <v>4324</v>
      </c>
      <c r="W376" s="298"/>
      <c r="X376" s="1179"/>
      <c r="Y376" s="1154"/>
      <c r="Z376" s="1152"/>
      <c r="AA376" s="1152"/>
      <c r="AB376" s="1152"/>
      <c r="AC376" s="1152"/>
      <c r="AD376" s="1152"/>
      <c r="AE376" s="1152"/>
      <c r="AF376" s="1152"/>
      <c r="AG376" s="1282">
        <f t="shared" si="60"/>
        <v>4324</v>
      </c>
    </row>
    <row r="377" spans="1:33" s="280" customFormat="1" ht="31.5" hidden="1">
      <c r="A377" s="294">
        <v>2233</v>
      </c>
      <c r="B377" s="291" t="s">
        <v>1033</v>
      </c>
      <c r="C377" s="291" t="s">
        <v>892</v>
      </c>
      <c r="D377" s="821"/>
      <c r="E377" s="294">
        <v>6</v>
      </c>
      <c r="F377" s="293">
        <v>43241</v>
      </c>
      <c r="G377" s="293">
        <v>43246</v>
      </c>
      <c r="H377" s="293" t="s">
        <v>368</v>
      </c>
      <c r="I377" s="294" t="s">
        <v>169</v>
      </c>
      <c r="J377" s="307" t="s">
        <v>867</v>
      </c>
      <c r="K377" s="326" t="s">
        <v>888</v>
      </c>
      <c r="L377" s="1241">
        <v>23174</v>
      </c>
      <c r="M377" s="296"/>
      <c r="N377" s="294"/>
      <c r="O377" s="1357">
        <v>8659</v>
      </c>
      <c r="P377" s="295">
        <v>4</v>
      </c>
      <c r="Q377" s="854">
        <f t="shared" si="61"/>
        <v>34636</v>
      </c>
      <c r="R377" s="299"/>
      <c r="S377" s="298"/>
      <c r="T377" s="298"/>
      <c r="U377" s="298"/>
      <c r="V377" s="298">
        <v>34636</v>
      </c>
      <c r="W377" s="298"/>
      <c r="X377" s="1179"/>
      <c r="Y377" s="1154"/>
      <c r="Z377" s="1152"/>
      <c r="AA377" s="1152"/>
      <c r="AB377" s="1152"/>
      <c r="AC377" s="1152"/>
      <c r="AD377" s="1152"/>
      <c r="AE377" s="1152"/>
      <c r="AF377" s="1152"/>
      <c r="AG377" s="1282">
        <f t="shared" si="60"/>
        <v>34636</v>
      </c>
    </row>
    <row r="378" spans="1:33" s="280" customFormat="1" ht="31.5" hidden="1">
      <c r="A378" s="294">
        <v>2233</v>
      </c>
      <c r="B378" s="291" t="s">
        <v>1034</v>
      </c>
      <c r="C378" s="291" t="s">
        <v>894</v>
      </c>
      <c r="D378" s="821"/>
      <c r="E378" s="294">
        <v>2</v>
      </c>
      <c r="F378" s="293">
        <v>43283</v>
      </c>
      <c r="G378" s="293">
        <v>43284</v>
      </c>
      <c r="H378" s="293" t="s">
        <v>895</v>
      </c>
      <c r="I378" s="294" t="s">
        <v>169</v>
      </c>
      <c r="J378" s="307" t="s">
        <v>867</v>
      </c>
      <c r="K378" s="326" t="s">
        <v>896</v>
      </c>
      <c r="L378" s="1241">
        <v>23173</v>
      </c>
      <c r="M378" s="296"/>
      <c r="N378" s="294"/>
      <c r="O378" s="1357">
        <v>1000</v>
      </c>
      <c r="P378" s="295">
        <v>1</v>
      </c>
      <c r="Q378" s="854">
        <f t="shared" si="61"/>
        <v>1000</v>
      </c>
      <c r="R378" s="299"/>
      <c r="S378" s="298"/>
      <c r="T378" s="298"/>
      <c r="U378" s="298"/>
      <c r="V378" s="298"/>
      <c r="W378" s="298">
        <v>1000</v>
      </c>
      <c r="X378" s="1179"/>
      <c r="Y378" s="1154"/>
      <c r="Z378" s="1152"/>
      <c r="AA378" s="1152"/>
      <c r="AB378" s="1152"/>
      <c r="AC378" s="1152"/>
      <c r="AD378" s="1152"/>
      <c r="AE378" s="1152"/>
      <c r="AF378" s="1152"/>
      <c r="AG378" s="1282">
        <f t="shared" si="60"/>
        <v>1000</v>
      </c>
    </row>
    <row r="379" spans="1:33" s="280" customFormat="1" ht="43.5" hidden="1" customHeight="1">
      <c r="A379" s="294">
        <v>2233</v>
      </c>
      <c r="B379" s="291" t="s">
        <v>1035</v>
      </c>
      <c r="C379" s="291" t="s">
        <v>897</v>
      </c>
      <c r="D379" s="821"/>
      <c r="E379" s="294">
        <v>2</v>
      </c>
      <c r="F379" s="293">
        <v>43318</v>
      </c>
      <c r="G379" s="293">
        <v>43321</v>
      </c>
      <c r="H379" s="293" t="s">
        <v>895</v>
      </c>
      <c r="I379" s="294" t="s">
        <v>867</v>
      </c>
      <c r="J379" s="307" t="s">
        <v>169</v>
      </c>
      <c r="K379" s="326" t="s">
        <v>888</v>
      </c>
      <c r="L379" s="1241">
        <v>23174</v>
      </c>
      <c r="M379" s="296"/>
      <c r="N379" s="294"/>
      <c r="O379" s="1357">
        <v>1000</v>
      </c>
      <c r="P379" s="295">
        <v>20</v>
      </c>
      <c r="Q379" s="854">
        <f t="shared" si="61"/>
        <v>20000</v>
      </c>
      <c r="R379" s="299"/>
      <c r="S379" s="298"/>
      <c r="T379" s="298"/>
      <c r="U379" s="298"/>
      <c r="V379" s="298"/>
      <c r="W379" s="298"/>
      <c r="X379" s="1179">
        <v>20000</v>
      </c>
      <c r="Y379" s="1154"/>
      <c r="Z379" s="1152"/>
      <c r="AA379" s="1152"/>
      <c r="AB379" s="1152"/>
      <c r="AC379" s="1152"/>
      <c r="AD379" s="1152"/>
      <c r="AE379" s="1152"/>
      <c r="AF379" s="1152"/>
      <c r="AG379" s="1282">
        <f t="shared" si="60"/>
        <v>20000</v>
      </c>
    </row>
    <row r="380" spans="1:33" s="280" customFormat="1" ht="31.5" hidden="1">
      <c r="A380" s="294">
        <v>2233</v>
      </c>
      <c r="B380" s="291" t="s">
        <v>1036</v>
      </c>
      <c r="C380" s="291" t="s">
        <v>894</v>
      </c>
      <c r="D380" s="821"/>
      <c r="E380" s="294">
        <v>2</v>
      </c>
      <c r="F380" s="293" t="s">
        <v>899</v>
      </c>
      <c r="G380" s="293" t="s">
        <v>900</v>
      </c>
      <c r="H380" s="293" t="s">
        <v>895</v>
      </c>
      <c r="I380" s="294" t="s">
        <v>169</v>
      </c>
      <c r="J380" s="307" t="s">
        <v>867</v>
      </c>
      <c r="K380" s="326" t="s">
        <v>896</v>
      </c>
      <c r="L380" s="1241">
        <v>23173</v>
      </c>
      <c r="M380" s="296"/>
      <c r="N380" s="294"/>
      <c r="O380" s="1357">
        <v>1000</v>
      </c>
      <c r="P380" s="295">
        <v>1</v>
      </c>
      <c r="Q380" s="854">
        <f t="shared" si="61"/>
        <v>1000</v>
      </c>
      <c r="R380" s="299"/>
      <c r="S380" s="298"/>
      <c r="T380" s="298"/>
      <c r="U380" s="298"/>
      <c r="V380" s="298"/>
      <c r="W380" s="298"/>
      <c r="X380" s="1179">
        <v>1000</v>
      </c>
      <c r="Y380" s="1154"/>
      <c r="Z380" s="1152"/>
      <c r="AA380" s="1152"/>
      <c r="AB380" s="1152"/>
      <c r="AC380" s="1152"/>
      <c r="AD380" s="1152"/>
      <c r="AE380" s="1152"/>
      <c r="AF380" s="1152"/>
      <c r="AG380" s="1282">
        <f t="shared" si="60"/>
        <v>1000</v>
      </c>
    </row>
    <row r="381" spans="1:33" s="280" customFormat="1" ht="42.75" hidden="1" customHeight="1">
      <c r="A381" s="294">
        <v>2233</v>
      </c>
      <c r="B381" s="291" t="s">
        <v>1037</v>
      </c>
      <c r="C381" s="291" t="s">
        <v>901</v>
      </c>
      <c r="D381" s="821"/>
      <c r="E381" s="1363">
        <v>30</v>
      </c>
      <c r="F381" s="293" t="s">
        <v>902</v>
      </c>
      <c r="G381" s="293">
        <v>43359</v>
      </c>
      <c r="H381" s="293" t="s">
        <v>895</v>
      </c>
      <c r="I381" s="294" t="s">
        <v>867</v>
      </c>
      <c r="J381" s="307" t="s">
        <v>169</v>
      </c>
      <c r="K381" s="326" t="s">
        <v>888</v>
      </c>
      <c r="L381" s="1241">
        <v>23174</v>
      </c>
      <c r="M381" s="296"/>
      <c r="N381" s="294"/>
      <c r="O381" s="1357">
        <v>440</v>
      </c>
      <c r="P381" s="295">
        <v>200</v>
      </c>
      <c r="Q381" s="854">
        <f t="shared" si="61"/>
        <v>88000</v>
      </c>
      <c r="R381" s="299"/>
      <c r="S381" s="298"/>
      <c r="T381" s="298"/>
      <c r="U381" s="298"/>
      <c r="V381" s="298"/>
      <c r="W381" s="298"/>
      <c r="X381" s="1179"/>
      <c r="Y381" s="1154">
        <v>88000</v>
      </c>
      <c r="Z381" s="1152"/>
      <c r="AA381" s="1152"/>
      <c r="AB381" s="1152"/>
      <c r="AC381" s="1152"/>
      <c r="AD381" s="1152"/>
      <c r="AE381" s="1152"/>
      <c r="AF381" s="1152"/>
      <c r="AG381" s="1282">
        <f t="shared" si="60"/>
        <v>88000</v>
      </c>
    </row>
    <row r="382" spans="1:33" s="280" customFormat="1" ht="31.5" hidden="1">
      <c r="A382" s="2789">
        <v>2234</v>
      </c>
      <c r="B382" s="2864" t="s">
        <v>1038</v>
      </c>
      <c r="C382" s="2790" t="s">
        <v>846</v>
      </c>
      <c r="D382" s="2875"/>
      <c r="E382" s="2865">
        <v>45</v>
      </c>
      <c r="F382" s="2792">
        <v>43200</v>
      </c>
      <c r="G382" s="2792">
        <v>43245</v>
      </c>
      <c r="H382" s="2792" t="s">
        <v>368</v>
      </c>
      <c r="I382" s="2789" t="s">
        <v>174</v>
      </c>
      <c r="J382" s="2793" t="s">
        <v>169</v>
      </c>
      <c r="K382" s="326" t="s">
        <v>847</v>
      </c>
      <c r="L382" s="1241">
        <v>23173</v>
      </c>
      <c r="M382" s="296"/>
      <c r="N382" s="294"/>
      <c r="O382" s="355">
        <v>80</v>
      </c>
      <c r="P382" s="294">
        <v>3</v>
      </c>
      <c r="Q382" s="299">
        <f>O382*P382</f>
        <v>240</v>
      </c>
      <c r="R382" s="299"/>
      <c r="S382" s="298"/>
      <c r="T382" s="298"/>
      <c r="U382" s="298"/>
      <c r="V382" s="294">
        <v>240</v>
      </c>
      <c r="W382" s="298"/>
      <c r="X382" s="1179"/>
      <c r="Y382" s="1154"/>
      <c r="Z382" s="1152"/>
      <c r="AA382" s="1152"/>
      <c r="AB382" s="1152"/>
      <c r="AC382" s="1152"/>
      <c r="AD382" s="1152"/>
      <c r="AE382" s="1152"/>
      <c r="AF382" s="1152"/>
      <c r="AG382" s="1282">
        <f t="shared" si="60"/>
        <v>240</v>
      </c>
    </row>
    <row r="383" spans="1:33" s="280" customFormat="1" ht="28.5" customHeight="1">
      <c r="A383" s="1275">
        <v>224</v>
      </c>
      <c r="B383" s="823" t="s">
        <v>905</v>
      </c>
      <c r="C383" s="1506"/>
      <c r="D383" s="1365"/>
      <c r="E383" s="1365"/>
      <c r="F383" s="1365"/>
      <c r="G383" s="1365"/>
      <c r="H383" s="1365"/>
      <c r="I383" s="1366"/>
      <c r="J383" s="1489"/>
      <c r="K383" s="1001"/>
      <c r="L383" s="1242"/>
      <c r="M383" s="514"/>
      <c r="N383" s="512"/>
      <c r="O383" s="1367"/>
      <c r="P383" s="513"/>
      <c r="Q383" s="2815">
        <f>SUM(Q385:Q386)</f>
        <v>22240</v>
      </c>
      <c r="R383" s="1097"/>
      <c r="S383" s="548">
        <f t="shared" ref="S383:AF383" si="62">SUM(S385:S386)</f>
        <v>0</v>
      </c>
      <c r="T383" s="548">
        <f t="shared" si="62"/>
        <v>0</v>
      </c>
      <c r="U383" s="548">
        <f t="shared" si="62"/>
        <v>240</v>
      </c>
      <c r="V383" s="548">
        <f t="shared" si="62"/>
        <v>0</v>
      </c>
      <c r="W383" s="548">
        <f t="shared" si="62"/>
        <v>0</v>
      </c>
      <c r="X383" s="548">
        <f t="shared" si="62"/>
        <v>11000</v>
      </c>
      <c r="Y383" s="548">
        <f t="shared" si="62"/>
        <v>11000</v>
      </c>
      <c r="Z383" s="548">
        <f t="shared" si="62"/>
        <v>0</v>
      </c>
      <c r="AA383" s="548">
        <f t="shared" si="62"/>
        <v>0</v>
      </c>
      <c r="AB383" s="548">
        <f t="shared" si="62"/>
        <v>0</v>
      </c>
      <c r="AC383" s="548">
        <f t="shared" si="62"/>
        <v>0</v>
      </c>
      <c r="AD383" s="548">
        <f t="shared" si="62"/>
        <v>0</v>
      </c>
      <c r="AE383" s="548">
        <f t="shared" si="62"/>
        <v>0</v>
      </c>
      <c r="AF383" s="548">
        <f t="shared" si="62"/>
        <v>0</v>
      </c>
      <c r="AG383" s="548">
        <f>SUM(S383:AF383)</f>
        <v>22240</v>
      </c>
    </row>
    <row r="384" spans="1:33" s="280" customFormat="1" ht="33.75" hidden="1" customHeight="1">
      <c r="A384" s="2789">
        <v>2241</v>
      </c>
      <c r="B384" s="2790" t="s">
        <v>906</v>
      </c>
      <c r="C384" s="2790" t="s">
        <v>1104</v>
      </c>
      <c r="D384" s="2875"/>
      <c r="E384" s="2883">
        <v>20</v>
      </c>
      <c r="F384" s="2792">
        <v>43212</v>
      </c>
      <c r="G384" s="2792">
        <v>43231</v>
      </c>
      <c r="H384" s="2792" t="s">
        <v>368</v>
      </c>
      <c r="I384" s="2789" t="s">
        <v>169</v>
      </c>
      <c r="J384" s="2793" t="s">
        <v>174</v>
      </c>
      <c r="K384" s="2886"/>
      <c r="L384" s="2887"/>
      <c r="M384" s="2888"/>
      <c r="N384" s="2889"/>
      <c r="O384" s="2890"/>
      <c r="P384" s="2891"/>
      <c r="Q384" s="2892"/>
      <c r="R384" s="2893"/>
      <c r="S384" s="2894"/>
      <c r="T384" s="2894"/>
      <c r="U384" s="2894"/>
      <c r="V384" s="2895"/>
      <c r="W384" s="2894"/>
      <c r="X384" s="2896"/>
      <c r="Y384" s="2894"/>
      <c r="Z384" s="2894"/>
      <c r="AA384" s="2894"/>
      <c r="AB384" s="2894"/>
      <c r="AC384" s="2894"/>
      <c r="AD384" s="2894"/>
      <c r="AE384" s="2894"/>
      <c r="AF384" s="2894"/>
      <c r="AG384" s="2894"/>
    </row>
    <row r="385" spans="1:33" s="280" customFormat="1" hidden="1">
      <c r="A385" s="294">
        <v>2241</v>
      </c>
      <c r="B385" s="291" t="s">
        <v>906</v>
      </c>
      <c r="C385" s="291" t="s">
        <v>907</v>
      </c>
      <c r="D385" s="821"/>
      <c r="E385" s="1363">
        <v>20</v>
      </c>
      <c r="F385" s="293">
        <v>43212</v>
      </c>
      <c r="G385" s="293">
        <v>43231</v>
      </c>
      <c r="H385" s="293" t="s">
        <v>368</v>
      </c>
      <c r="I385" s="294" t="s">
        <v>169</v>
      </c>
      <c r="J385" s="307" t="s">
        <v>174</v>
      </c>
      <c r="K385" s="326" t="s">
        <v>847</v>
      </c>
      <c r="L385" s="1241">
        <v>23173</v>
      </c>
      <c r="M385" s="296"/>
      <c r="N385" s="294"/>
      <c r="O385" s="1357">
        <v>80</v>
      </c>
      <c r="P385" s="295">
        <v>3</v>
      </c>
      <c r="Q385" s="854">
        <f>O385*P385</f>
        <v>240</v>
      </c>
      <c r="R385" s="299"/>
      <c r="S385" s="298"/>
      <c r="T385" s="298"/>
      <c r="U385" s="298">
        <v>240</v>
      </c>
      <c r="V385" s="315"/>
      <c r="W385" s="298"/>
      <c r="X385" s="1179"/>
      <c r="Y385" s="1154"/>
      <c r="Z385" s="1152"/>
      <c r="AA385" s="1152"/>
      <c r="AB385" s="1152"/>
      <c r="AC385" s="1152"/>
      <c r="AD385" s="1152"/>
      <c r="AE385" s="1152"/>
      <c r="AF385" s="1152"/>
      <c r="AG385" s="1282">
        <f>SUM(S385:AF385)</f>
        <v>240</v>
      </c>
    </row>
    <row r="386" spans="1:33" s="280" customFormat="1" ht="31.5" hidden="1">
      <c r="A386" s="294">
        <v>2241</v>
      </c>
      <c r="B386" s="291" t="s">
        <v>906</v>
      </c>
      <c r="C386" s="291" t="s">
        <v>908</v>
      </c>
      <c r="D386" s="821"/>
      <c r="E386" s="1363">
        <v>115</v>
      </c>
      <c r="F386" s="293">
        <v>43232</v>
      </c>
      <c r="G386" s="293">
        <v>43346</v>
      </c>
      <c r="H386" s="293" t="s">
        <v>368</v>
      </c>
      <c r="I386" s="294" t="s">
        <v>174</v>
      </c>
      <c r="J386" s="307" t="s">
        <v>169</v>
      </c>
      <c r="K386" s="326" t="s">
        <v>365</v>
      </c>
      <c r="L386" s="1237">
        <v>2313</v>
      </c>
      <c r="M386" s="296"/>
      <c r="N386" s="294"/>
      <c r="O386" s="1357">
        <v>22000</v>
      </c>
      <c r="P386" s="295">
        <v>1</v>
      </c>
      <c r="Q386" s="854">
        <f>O386*P386</f>
        <v>22000</v>
      </c>
      <c r="R386" s="299"/>
      <c r="S386" s="298"/>
      <c r="T386" s="298"/>
      <c r="U386" s="298"/>
      <c r="V386" s="298"/>
      <c r="W386" s="298"/>
      <c r="X386" s="1179">
        <v>11000</v>
      </c>
      <c r="Y386" s="1154">
        <v>11000</v>
      </c>
      <c r="Z386" s="1152"/>
      <c r="AA386" s="1152"/>
      <c r="AB386" s="1152"/>
      <c r="AC386" s="1152"/>
      <c r="AD386" s="1152"/>
      <c r="AE386" s="1152"/>
      <c r="AF386" s="1152"/>
      <c r="AG386" s="1282">
        <f>SUM(S386:AF386)</f>
        <v>22000</v>
      </c>
    </row>
    <row r="387" spans="1:33" ht="37.5" customHeight="1">
      <c r="A387" s="1248" t="s">
        <v>240</v>
      </c>
      <c r="B387" s="274"/>
      <c r="C387" s="278"/>
      <c r="D387" s="1270"/>
      <c r="E387" s="1270"/>
      <c r="F387" s="1270"/>
      <c r="G387" s="1270"/>
      <c r="H387" s="1270"/>
      <c r="I387" s="1270"/>
      <c r="J387" s="273"/>
      <c r="K387" s="1248"/>
      <c r="L387" s="1269"/>
      <c r="M387" s="1270"/>
      <c r="N387" s="1268"/>
      <c r="O387" s="1271"/>
      <c r="P387" s="1268"/>
      <c r="Q387" s="1273">
        <f>Q388+Q391+Q396+Q399+Q401</f>
        <v>88428.093760000003</v>
      </c>
      <c r="R387" s="1273">
        <v>88428.09</v>
      </c>
      <c r="S387" s="1272">
        <f t="shared" ref="S387:AF387" si="63">S388+S391+S396+S399+S401</f>
        <v>0</v>
      </c>
      <c r="T387" s="1272">
        <f t="shared" si="63"/>
        <v>0</v>
      </c>
      <c r="U387" s="1272">
        <f t="shared" si="63"/>
        <v>55613.093760000011</v>
      </c>
      <c r="V387" s="1272">
        <f t="shared" si="63"/>
        <v>32815</v>
      </c>
      <c r="W387" s="1272">
        <f t="shared" si="63"/>
        <v>0</v>
      </c>
      <c r="X387" s="1272">
        <f t="shared" si="63"/>
        <v>0</v>
      </c>
      <c r="Y387" s="1272">
        <f t="shared" si="63"/>
        <v>0</v>
      </c>
      <c r="Z387" s="276">
        <f t="shared" si="63"/>
        <v>0</v>
      </c>
      <c r="AA387" s="276">
        <f t="shared" si="63"/>
        <v>0</v>
      </c>
      <c r="AB387" s="276">
        <f t="shared" si="63"/>
        <v>0</v>
      </c>
      <c r="AC387" s="276">
        <f t="shared" si="63"/>
        <v>0</v>
      </c>
      <c r="AD387" s="276">
        <f t="shared" si="63"/>
        <v>0</v>
      </c>
      <c r="AE387" s="276">
        <f t="shared" si="63"/>
        <v>0</v>
      </c>
      <c r="AF387" s="276">
        <f t="shared" si="63"/>
        <v>0</v>
      </c>
      <c r="AG387" s="1272">
        <f>AG388+AG391+AG396+AG399+AG401</f>
        <v>88428.093760000003</v>
      </c>
    </row>
    <row r="388" spans="1:33" ht="35.25" customHeight="1">
      <c r="A388" s="1275">
        <v>231</v>
      </c>
      <c r="B388" s="359" t="s">
        <v>511</v>
      </c>
      <c r="C388" s="1021"/>
      <c r="D388" s="1280"/>
      <c r="E388" s="1280"/>
      <c r="F388" s="1280"/>
      <c r="G388" s="1280"/>
      <c r="H388" s="1280"/>
      <c r="I388" s="1280"/>
      <c r="J388" s="283"/>
      <c r="K388" s="1278"/>
      <c r="L388" s="1279"/>
      <c r="M388" s="1280"/>
      <c r="N388" s="1277"/>
      <c r="O388" s="1281"/>
      <c r="P388" s="1277"/>
      <c r="Q388" s="547">
        <f>SUM(Q389:Q390)</f>
        <v>45378.293760000008</v>
      </c>
      <c r="R388" s="287"/>
      <c r="S388" s="1282">
        <f t="shared" ref="S388:AF388" si="64">SUM(S389:S390)</f>
        <v>0</v>
      </c>
      <c r="T388" s="1282">
        <f t="shared" si="64"/>
        <v>0</v>
      </c>
      <c r="U388" s="1282">
        <f t="shared" si="64"/>
        <v>45378.293760000008</v>
      </c>
      <c r="V388" s="1282">
        <f t="shared" si="64"/>
        <v>0</v>
      </c>
      <c r="W388" s="1282">
        <f t="shared" si="64"/>
        <v>0</v>
      </c>
      <c r="X388" s="1282">
        <f t="shared" si="64"/>
        <v>0</v>
      </c>
      <c r="Y388" s="1282">
        <f t="shared" si="64"/>
        <v>0</v>
      </c>
      <c r="Z388" s="546">
        <f t="shared" si="64"/>
        <v>0</v>
      </c>
      <c r="AA388" s="546">
        <f t="shared" si="64"/>
        <v>0</v>
      </c>
      <c r="AB388" s="546">
        <f t="shared" si="64"/>
        <v>0</v>
      </c>
      <c r="AC388" s="546">
        <f t="shared" si="64"/>
        <v>0</v>
      </c>
      <c r="AD388" s="546">
        <f t="shared" si="64"/>
        <v>0</v>
      </c>
      <c r="AE388" s="546">
        <f t="shared" si="64"/>
        <v>0</v>
      </c>
      <c r="AF388" s="546">
        <f t="shared" si="64"/>
        <v>0</v>
      </c>
      <c r="AG388" s="1282">
        <f>SUM(S388:AF388)</f>
        <v>45378.293760000008</v>
      </c>
    </row>
    <row r="389" spans="1:33" ht="63" hidden="1">
      <c r="A389" s="2789">
        <v>2311</v>
      </c>
      <c r="B389" s="2897" t="s">
        <v>512</v>
      </c>
      <c r="C389" s="2897" t="s">
        <v>513</v>
      </c>
      <c r="D389" s="2898" t="s">
        <v>514</v>
      </c>
      <c r="E389" s="2898">
        <v>150</v>
      </c>
      <c r="F389" s="2899">
        <v>43193</v>
      </c>
      <c r="G389" s="2899">
        <f>E389+F389</f>
        <v>43343</v>
      </c>
      <c r="H389" s="2900" t="s">
        <v>515</v>
      </c>
      <c r="I389" s="2898" t="s">
        <v>516</v>
      </c>
      <c r="J389" s="2900" t="s">
        <v>517</v>
      </c>
      <c r="K389" s="1369" t="s">
        <v>518</v>
      </c>
      <c r="L389" s="1244">
        <v>23173</v>
      </c>
      <c r="M389" s="506"/>
      <c r="N389" s="506" t="s">
        <v>366</v>
      </c>
      <c r="O389" s="517">
        <v>0.12</v>
      </c>
      <c r="P389" s="486">
        <v>52301.824000000001</v>
      </c>
      <c r="Q389" s="486">
        <f>O389*P389</f>
        <v>6276.2188799999994</v>
      </c>
      <c r="R389" s="486"/>
      <c r="S389" s="487"/>
      <c r="T389" s="488"/>
      <c r="U389" s="487">
        <v>6276.2188799999994</v>
      </c>
      <c r="V389" s="487"/>
      <c r="W389" s="487"/>
      <c r="X389" s="1138"/>
      <c r="Y389" s="1156"/>
      <c r="Z389" s="1124"/>
      <c r="AA389" s="1124"/>
      <c r="AB389" s="1124"/>
      <c r="AC389" s="1124"/>
      <c r="AD389" s="1124"/>
      <c r="AE389" s="1124"/>
      <c r="AF389" s="1124"/>
      <c r="AG389" s="1282">
        <f>SUM(S389:AF389)</f>
        <v>6276.2188799999994</v>
      </c>
    </row>
    <row r="390" spans="1:33" ht="63" hidden="1">
      <c r="A390" s="2789">
        <v>2312</v>
      </c>
      <c r="B390" s="2897" t="s">
        <v>519</v>
      </c>
      <c r="C390" s="2897" t="s">
        <v>520</v>
      </c>
      <c r="D390" s="2898" t="s">
        <v>514</v>
      </c>
      <c r="E390" s="2898">
        <v>150</v>
      </c>
      <c r="F390" s="2899">
        <v>43193</v>
      </c>
      <c r="G390" s="2899">
        <f>E390+F390</f>
        <v>43343</v>
      </c>
      <c r="H390" s="2900" t="s">
        <v>515</v>
      </c>
      <c r="I390" s="2898" t="s">
        <v>516</v>
      </c>
      <c r="J390" s="2900" t="s">
        <v>517</v>
      </c>
      <c r="K390" s="1369" t="s">
        <v>521</v>
      </c>
      <c r="L390" s="1244">
        <v>23173</v>
      </c>
      <c r="M390" s="1370"/>
      <c r="N390" s="506" t="s">
        <v>366</v>
      </c>
      <c r="O390" s="1371">
        <v>0.11</v>
      </c>
      <c r="P390" s="1372">
        <v>355473.40800000005</v>
      </c>
      <c r="Q390" s="486">
        <f>O390*P390</f>
        <v>39102.074880000007</v>
      </c>
      <c r="R390" s="486"/>
      <c r="S390" s="487"/>
      <c r="T390" s="488"/>
      <c r="U390" s="487">
        <v>39102.074880000007</v>
      </c>
      <c r="V390" s="487"/>
      <c r="W390" s="487"/>
      <c r="X390" s="1138"/>
      <c r="Y390" s="1156"/>
      <c r="Z390" s="1124"/>
      <c r="AA390" s="1124"/>
      <c r="AB390" s="1124"/>
      <c r="AC390" s="1124"/>
      <c r="AD390" s="1124"/>
      <c r="AE390" s="1124"/>
      <c r="AF390" s="1124"/>
      <c r="AG390" s="1282">
        <f>SUM(S390:AF390)</f>
        <v>39102.074880000007</v>
      </c>
    </row>
    <row r="391" spans="1:33" ht="31.5">
      <c r="A391" s="1275">
        <v>232</v>
      </c>
      <c r="B391" s="981" t="s">
        <v>522</v>
      </c>
      <c r="C391" s="1507"/>
      <c r="D391" s="1280"/>
      <c r="E391" s="1277"/>
      <c r="F391" s="1277"/>
      <c r="G391" s="1277"/>
      <c r="H391" s="1280"/>
      <c r="I391" s="1277"/>
      <c r="J391" s="283"/>
      <c r="K391" s="1278"/>
      <c r="L391" s="1279"/>
      <c r="M391" s="1280"/>
      <c r="N391" s="1277"/>
      <c r="O391" s="1281"/>
      <c r="P391" s="1277"/>
      <c r="Q391" s="547">
        <f>SUM(Q392:Q395)</f>
        <v>32475</v>
      </c>
      <c r="R391" s="287"/>
      <c r="S391" s="1282">
        <f t="shared" ref="S391:AF391" si="65">SUM(S392:S395)</f>
        <v>0</v>
      </c>
      <c r="T391" s="1282">
        <f t="shared" si="65"/>
        <v>0</v>
      </c>
      <c r="U391" s="1282">
        <f t="shared" si="65"/>
        <v>0</v>
      </c>
      <c r="V391" s="1282">
        <f t="shared" si="65"/>
        <v>32475</v>
      </c>
      <c r="W391" s="1282">
        <f t="shared" si="65"/>
        <v>0</v>
      </c>
      <c r="X391" s="1282">
        <f t="shared" si="65"/>
        <v>0</v>
      </c>
      <c r="Y391" s="1282">
        <f t="shared" si="65"/>
        <v>0</v>
      </c>
      <c r="Z391" s="546">
        <f t="shared" si="65"/>
        <v>0</v>
      </c>
      <c r="AA391" s="546">
        <f t="shared" si="65"/>
        <v>0</v>
      </c>
      <c r="AB391" s="546">
        <f t="shared" si="65"/>
        <v>0</v>
      </c>
      <c r="AC391" s="546">
        <f t="shared" si="65"/>
        <v>0</v>
      </c>
      <c r="AD391" s="546">
        <f t="shared" si="65"/>
        <v>0</v>
      </c>
      <c r="AE391" s="546">
        <f t="shared" si="65"/>
        <v>0</v>
      </c>
      <c r="AF391" s="546">
        <f t="shared" si="65"/>
        <v>0</v>
      </c>
      <c r="AG391" s="1282">
        <f>SUM(S391:AF391)</f>
        <v>32475</v>
      </c>
    </row>
    <row r="392" spans="1:33" ht="69" hidden="1" customHeight="1">
      <c r="A392" s="2789">
        <v>2321</v>
      </c>
      <c r="B392" s="2897" t="s">
        <v>523</v>
      </c>
      <c r="C392" s="2897" t="s">
        <v>524</v>
      </c>
      <c r="D392" s="2898" t="s">
        <v>514</v>
      </c>
      <c r="E392" s="2898">
        <v>56</v>
      </c>
      <c r="F392" s="2899">
        <v>43210</v>
      </c>
      <c r="G392" s="2899">
        <f>E392+F392</f>
        <v>43266</v>
      </c>
      <c r="H392" s="2898" t="s">
        <v>525</v>
      </c>
      <c r="I392" s="2898" t="s">
        <v>526</v>
      </c>
      <c r="J392" s="2900" t="s">
        <v>526</v>
      </c>
      <c r="K392" s="1373" t="s">
        <v>527</v>
      </c>
      <c r="L392" s="1244">
        <v>23174</v>
      </c>
      <c r="M392" s="1370"/>
      <c r="N392" s="506" t="s">
        <v>366</v>
      </c>
      <c r="O392" s="1371">
        <v>2104</v>
      </c>
      <c r="P392" s="506">
        <v>12</v>
      </c>
      <c r="Q392" s="486">
        <f>O392*P392</f>
        <v>25248</v>
      </c>
      <c r="R392" s="486"/>
      <c r="S392" s="487"/>
      <c r="T392" s="487"/>
      <c r="U392" s="487"/>
      <c r="V392" s="488">
        <v>25248</v>
      </c>
      <c r="W392" s="487"/>
      <c r="X392" s="1138"/>
      <c r="Y392" s="1156"/>
      <c r="Z392" s="1124"/>
      <c r="AA392" s="1124"/>
      <c r="AB392" s="1124"/>
      <c r="AC392" s="1124"/>
      <c r="AD392" s="1124"/>
      <c r="AE392" s="1124"/>
      <c r="AF392" s="1124"/>
      <c r="AG392" s="1282">
        <f>SUM(S392:AF392)</f>
        <v>25248</v>
      </c>
    </row>
    <row r="393" spans="1:33" ht="69" hidden="1" customHeight="1">
      <c r="A393" s="2789">
        <v>2322</v>
      </c>
      <c r="B393" s="2897" t="s">
        <v>523</v>
      </c>
      <c r="C393" s="2897" t="s">
        <v>528</v>
      </c>
      <c r="D393" s="2898" t="s">
        <v>514</v>
      </c>
      <c r="E393" s="2898">
        <v>56</v>
      </c>
      <c r="F393" s="2899">
        <v>43210</v>
      </c>
      <c r="G393" s="2899">
        <f>E393+F393</f>
        <v>43266</v>
      </c>
      <c r="H393" s="2898" t="s">
        <v>529</v>
      </c>
      <c r="I393" s="2898" t="s">
        <v>526</v>
      </c>
      <c r="J393" s="2900" t="s">
        <v>295</v>
      </c>
      <c r="K393" s="2901"/>
      <c r="L393" s="2786"/>
      <c r="M393" s="2736"/>
      <c r="N393" s="2737"/>
      <c r="O393" s="2738"/>
      <c r="P393" s="2737"/>
      <c r="Q393" s="2787"/>
      <c r="R393" s="2787"/>
      <c r="S393" s="1156"/>
      <c r="T393" s="1156"/>
      <c r="U393" s="1156"/>
      <c r="V393" s="1568"/>
      <c r="W393" s="1156"/>
      <c r="X393" s="2902"/>
      <c r="Y393" s="1156"/>
      <c r="Z393" s="1124"/>
      <c r="AA393" s="1124"/>
      <c r="AB393" s="1124"/>
      <c r="AC393" s="1124"/>
      <c r="AD393" s="1124"/>
      <c r="AE393" s="1124"/>
      <c r="AF393" s="1124"/>
      <c r="AG393" s="1343"/>
    </row>
    <row r="394" spans="1:33" ht="47.25" hidden="1">
      <c r="A394" s="294">
        <v>2322</v>
      </c>
      <c r="B394" s="481" t="s">
        <v>523</v>
      </c>
      <c r="C394" s="1084" t="s">
        <v>528</v>
      </c>
      <c r="D394" s="506" t="s">
        <v>514</v>
      </c>
      <c r="E394" s="506">
        <v>56</v>
      </c>
      <c r="F394" s="1368">
        <v>43210</v>
      </c>
      <c r="G394" s="1368">
        <f>E394+F394</f>
        <v>43266</v>
      </c>
      <c r="H394" s="506" t="s">
        <v>529</v>
      </c>
      <c r="I394" s="506" t="s">
        <v>526</v>
      </c>
      <c r="J394" s="482" t="s">
        <v>295</v>
      </c>
      <c r="K394" s="1373" t="s">
        <v>530</v>
      </c>
      <c r="L394" s="1244">
        <v>23174</v>
      </c>
      <c r="M394" s="1370"/>
      <c r="N394" s="506" t="s">
        <v>366</v>
      </c>
      <c r="O394" s="1371">
        <v>6440</v>
      </c>
      <c r="P394" s="506">
        <v>1</v>
      </c>
      <c r="Q394" s="486">
        <f>O394*P394</f>
        <v>6440</v>
      </c>
      <c r="R394" s="486"/>
      <c r="S394" s="487"/>
      <c r="T394" s="487"/>
      <c r="U394" s="487"/>
      <c r="V394" s="488">
        <v>6440</v>
      </c>
      <c r="W394" s="487"/>
      <c r="X394" s="1138"/>
      <c r="Y394" s="1156"/>
      <c r="Z394" s="1124"/>
      <c r="AA394" s="1124"/>
      <c r="AB394" s="1124"/>
      <c r="AC394" s="1124"/>
      <c r="AD394" s="1124"/>
      <c r="AE394" s="1124"/>
      <c r="AF394" s="1124"/>
      <c r="AG394" s="1282">
        <f t="shared" ref="AG394:AG402" si="66">SUM(S394:AF394)</f>
        <v>6440</v>
      </c>
    </row>
    <row r="395" spans="1:33" ht="47.25" hidden="1">
      <c r="A395" s="294">
        <v>2322</v>
      </c>
      <c r="B395" s="481" t="s">
        <v>523</v>
      </c>
      <c r="C395" s="1084" t="s">
        <v>531</v>
      </c>
      <c r="D395" s="506" t="s">
        <v>514</v>
      </c>
      <c r="E395" s="506">
        <v>56</v>
      </c>
      <c r="F395" s="1368">
        <v>43210</v>
      </c>
      <c r="G395" s="1368">
        <f>E395+F395</f>
        <v>43266</v>
      </c>
      <c r="H395" s="506" t="s">
        <v>529</v>
      </c>
      <c r="I395" s="506" t="s">
        <v>526</v>
      </c>
      <c r="J395" s="482" t="s">
        <v>532</v>
      </c>
      <c r="K395" s="1373" t="s">
        <v>533</v>
      </c>
      <c r="L395" s="1244">
        <v>23172</v>
      </c>
      <c r="M395" s="1370"/>
      <c r="N395" s="506" t="s">
        <v>366</v>
      </c>
      <c r="O395" s="1371">
        <v>787</v>
      </c>
      <c r="P395" s="506">
        <v>1</v>
      </c>
      <c r="Q395" s="486">
        <f>O395*P395</f>
        <v>787</v>
      </c>
      <c r="R395" s="486"/>
      <c r="S395" s="487"/>
      <c r="T395" s="487"/>
      <c r="U395" s="487"/>
      <c r="V395" s="488">
        <v>787</v>
      </c>
      <c r="W395" s="487"/>
      <c r="X395" s="1138"/>
      <c r="Y395" s="1156"/>
      <c r="Z395" s="1124"/>
      <c r="AA395" s="1124"/>
      <c r="AB395" s="1124"/>
      <c r="AC395" s="1124"/>
      <c r="AD395" s="1124"/>
      <c r="AE395" s="1124"/>
      <c r="AF395" s="1124"/>
      <c r="AG395" s="1282">
        <f t="shared" si="66"/>
        <v>787</v>
      </c>
    </row>
    <row r="396" spans="1:33" ht="31.5" customHeight="1">
      <c r="A396" s="1275">
        <v>233</v>
      </c>
      <c r="B396" s="981" t="s">
        <v>534</v>
      </c>
      <c r="C396" s="1507"/>
      <c r="D396" s="1277"/>
      <c r="E396" s="1277"/>
      <c r="F396" s="1277"/>
      <c r="G396" s="1277"/>
      <c r="H396" s="1280"/>
      <c r="I396" s="1277"/>
      <c r="J396" s="283"/>
      <c r="K396" s="1278"/>
      <c r="L396" s="1279"/>
      <c r="M396" s="1280"/>
      <c r="N396" s="1277"/>
      <c r="O396" s="1281"/>
      <c r="P396" s="1277"/>
      <c r="Q396" s="547">
        <f>SUM(Q397:Q398)</f>
        <v>3957.8</v>
      </c>
      <c r="R396" s="287"/>
      <c r="S396" s="1282">
        <f t="shared" ref="S396:AF396" si="67">SUM(S397:S398)</f>
        <v>0</v>
      </c>
      <c r="T396" s="1282">
        <f t="shared" si="67"/>
        <v>0</v>
      </c>
      <c r="U396" s="1282">
        <f t="shared" si="67"/>
        <v>3957.8</v>
      </c>
      <c r="V396" s="1282">
        <f t="shared" si="67"/>
        <v>0</v>
      </c>
      <c r="W396" s="1282">
        <f t="shared" si="67"/>
        <v>0</v>
      </c>
      <c r="X396" s="1282">
        <f t="shared" si="67"/>
        <v>0</v>
      </c>
      <c r="Y396" s="1282">
        <f t="shared" si="67"/>
        <v>0</v>
      </c>
      <c r="Z396" s="546">
        <f t="shared" si="67"/>
        <v>0</v>
      </c>
      <c r="AA396" s="546">
        <f t="shared" si="67"/>
        <v>0</v>
      </c>
      <c r="AB396" s="546">
        <f t="shared" si="67"/>
        <v>0</v>
      </c>
      <c r="AC396" s="546">
        <f t="shared" si="67"/>
        <v>0</v>
      </c>
      <c r="AD396" s="546">
        <f t="shared" si="67"/>
        <v>0</v>
      </c>
      <c r="AE396" s="546">
        <f t="shared" si="67"/>
        <v>0</v>
      </c>
      <c r="AF396" s="546">
        <f t="shared" si="67"/>
        <v>0</v>
      </c>
      <c r="AG396" s="1282">
        <f t="shared" si="66"/>
        <v>3957.8</v>
      </c>
    </row>
    <row r="397" spans="1:33" ht="25.5" hidden="1" customHeight="1">
      <c r="A397" s="2789">
        <v>2331</v>
      </c>
      <c r="B397" s="2897" t="s">
        <v>535</v>
      </c>
      <c r="C397" s="2897" t="s">
        <v>536</v>
      </c>
      <c r="D397" s="2898" t="s">
        <v>514</v>
      </c>
      <c r="E397" s="2898">
        <v>6</v>
      </c>
      <c r="F397" s="2903">
        <v>43233</v>
      </c>
      <c r="G397" s="2899">
        <f>E397+F397</f>
        <v>43239</v>
      </c>
      <c r="H397" s="2898" t="s">
        <v>525</v>
      </c>
      <c r="I397" s="2904" t="s">
        <v>526</v>
      </c>
      <c r="J397" s="2905" t="s">
        <v>537</v>
      </c>
      <c r="K397" s="1373" t="s">
        <v>527</v>
      </c>
      <c r="L397" s="1244">
        <v>23174</v>
      </c>
      <c r="M397" s="1376"/>
      <c r="N397" s="506" t="s">
        <v>366</v>
      </c>
      <c r="O397" s="1371">
        <v>3477.8</v>
      </c>
      <c r="P397" s="506">
        <v>1</v>
      </c>
      <c r="Q397" s="486">
        <f>O397*P397</f>
        <v>3477.8</v>
      </c>
      <c r="R397" s="486"/>
      <c r="S397" s="487"/>
      <c r="T397" s="487"/>
      <c r="U397" s="488">
        <v>3477.8</v>
      </c>
      <c r="V397" s="487"/>
      <c r="W397" s="487"/>
      <c r="X397" s="1138"/>
      <c r="Y397" s="1156"/>
      <c r="Z397" s="1156"/>
      <c r="AA397" s="1156"/>
      <c r="AB397" s="1156"/>
      <c r="AC397" s="1156"/>
      <c r="AD397" s="1156"/>
      <c r="AE397" s="1156"/>
      <c r="AF397" s="1156"/>
      <c r="AG397" s="1282">
        <f t="shared" si="66"/>
        <v>3477.8</v>
      </c>
    </row>
    <row r="398" spans="1:33" ht="33" hidden="1" customHeight="1">
      <c r="A398" s="2789">
        <v>2332</v>
      </c>
      <c r="B398" s="2897" t="s">
        <v>535</v>
      </c>
      <c r="C398" s="2897" t="s">
        <v>536</v>
      </c>
      <c r="D398" s="2898" t="s">
        <v>514</v>
      </c>
      <c r="E398" s="2898">
        <v>4</v>
      </c>
      <c r="F398" s="2903">
        <v>43234</v>
      </c>
      <c r="G398" s="2899">
        <f>E398+F398</f>
        <v>43238</v>
      </c>
      <c r="H398" s="2898" t="s">
        <v>525</v>
      </c>
      <c r="I398" s="2904" t="s">
        <v>526</v>
      </c>
      <c r="J398" s="2906" t="s">
        <v>537</v>
      </c>
      <c r="K398" s="1705" t="s">
        <v>538</v>
      </c>
      <c r="L398" s="2267">
        <v>23172</v>
      </c>
      <c r="M398" s="1370"/>
      <c r="N398" s="506" t="s">
        <v>366</v>
      </c>
      <c r="O398" s="1371">
        <v>480</v>
      </c>
      <c r="P398" s="506">
        <v>1</v>
      </c>
      <c r="Q398" s="486">
        <f>O398*P398</f>
        <v>480</v>
      </c>
      <c r="R398" s="486"/>
      <c r="S398" s="487"/>
      <c r="T398" s="487"/>
      <c r="U398" s="488">
        <v>480</v>
      </c>
      <c r="V398" s="487"/>
      <c r="W398" s="487"/>
      <c r="X398" s="1138"/>
      <c r="Y398" s="1156"/>
      <c r="Z398" s="1156"/>
      <c r="AA398" s="1156"/>
      <c r="AB398" s="1156"/>
      <c r="AC398" s="1156"/>
      <c r="AD398" s="1156"/>
      <c r="AE398" s="1156"/>
      <c r="AF398" s="1156"/>
      <c r="AG398" s="1282">
        <f t="shared" si="66"/>
        <v>480</v>
      </c>
    </row>
    <row r="399" spans="1:33" ht="35.25" customHeight="1">
      <c r="A399" s="1275">
        <v>234</v>
      </c>
      <c r="B399" s="981" t="s">
        <v>539</v>
      </c>
      <c r="C399" s="1507"/>
      <c r="D399" s="1280"/>
      <c r="E399" s="1277"/>
      <c r="F399" s="1277"/>
      <c r="G399" s="1277"/>
      <c r="H399" s="1280"/>
      <c r="I399" s="1277"/>
      <c r="J399" s="283"/>
      <c r="K399" s="2181"/>
      <c r="L399" s="1279"/>
      <c r="M399" s="1280"/>
      <c r="N399" s="1277"/>
      <c r="O399" s="1281"/>
      <c r="P399" s="1277"/>
      <c r="Q399" s="547">
        <f>SUM(Q400)</f>
        <v>6277</v>
      </c>
      <c r="R399" s="287"/>
      <c r="S399" s="1282">
        <f t="shared" ref="S399:AF399" si="68">SUM(S400)</f>
        <v>0</v>
      </c>
      <c r="T399" s="1282">
        <f t="shared" si="68"/>
        <v>0</v>
      </c>
      <c r="U399" s="1282">
        <f t="shared" si="68"/>
        <v>6277</v>
      </c>
      <c r="V399" s="1282">
        <f t="shared" si="68"/>
        <v>0</v>
      </c>
      <c r="W399" s="1282">
        <f t="shared" si="68"/>
        <v>0</v>
      </c>
      <c r="X399" s="1282">
        <f t="shared" si="68"/>
        <v>0</v>
      </c>
      <c r="Y399" s="1282">
        <f t="shared" si="68"/>
        <v>0</v>
      </c>
      <c r="Z399" s="546">
        <f t="shared" si="68"/>
        <v>0</v>
      </c>
      <c r="AA399" s="546">
        <f t="shared" si="68"/>
        <v>0</v>
      </c>
      <c r="AB399" s="546">
        <f t="shared" si="68"/>
        <v>0</v>
      </c>
      <c r="AC399" s="546">
        <f t="shared" si="68"/>
        <v>0</v>
      </c>
      <c r="AD399" s="546">
        <f t="shared" si="68"/>
        <v>0</v>
      </c>
      <c r="AE399" s="546">
        <f t="shared" si="68"/>
        <v>0</v>
      </c>
      <c r="AF399" s="546">
        <f t="shared" si="68"/>
        <v>0</v>
      </c>
      <c r="AG399" s="1282">
        <f t="shared" si="66"/>
        <v>6277</v>
      </c>
    </row>
    <row r="400" spans="1:33" ht="47.25" hidden="1">
      <c r="A400" s="2907">
        <v>2341</v>
      </c>
      <c r="B400" s="2908" t="s">
        <v>540</v>
      </c>
      <c r="C400" s="2908" t="s">
        <v>541</v>
      </c>
      <c r="D400" s="2904" t="s">
        <v>542</v>
      </c>
      <c r="E400" s="2904">
        <v>135</v>
      </c>
      <c r="F400" s="2903">
        <v>43193</v>
      </c>
      <c r="G400" s="2903">
        <f>E400+F400</f>
        <v>43328</v>
      </c>
      <c r="H400" s="2904" t="s">
        <v>525</v>
      </c>
      <c r="I400" s="2904" t="s">
        <v>169</v>
      </c>
      <c r="J400" s="2900" t="s">
        <v>526</v>
      </c>
      <c r="K400" s="1373" t="s">
        <v>543</v>
      </c>
      <c r="L400" s="1244">
        <v>2463</v>
      </c>
      <c r="M400" s="1370"/>
      <c r="N400" s="506" t="s">
        <v>366</v>
      </c>
      <c r="O400" s="1371">
        <v>6277</v>
      </c>
      <c r="P400" s="569">
        <v>1</v>
      </c>
      <c r="Q400" s="486">
        <f>O400*P400</f>
        <v>6277</v>
      </c>
      <c r="R400" s="486"/>
      <c r="S400" s="487"/>
      <c r="T400" s="488"/>
      <c r="U400" s="487">
        <v>6277</v>
      </c>
      <c r="V400" s="487"/>
      <c r="W400" s="487"/>
      <c r="X400" s="1138"/>
      <c r="Y400" s="1156"/>
      <c r="Z400" s="1156"/>
      <c r="AA400" s="1156"/>
      <c r="AB400" s="1156"/>
      <c r="AC400" s="1156"/>
      <c r="AD400" s="1156"/>
      <c r="AE400" s="1156"/>
      <c r="AF400" s="1156"/>
      <c r="AG400" s="1282">
        <f t="shared" si="66"/>
        <v>6277</v>
      </c>
    </row>
    <row r="401" spans="1:33" ht="29.25" customHeight="1">
      <c r="A401" s="1275">
        <v>235</v>
      </c>
      <c r="B401" s="981" t="s">
        <v>544</v>
      </c>
      <c r="C401" s="1508"/>
      <c r="D401" s="822"/>
      <c r="E401" s="1275"/>
      <c r="F401" s="511"/>
      <c r="G401" s="511"/>
      <c r="H401" s="511"/>
      <c r="I401" s="512"/>
      <c r="J401" s="1490"/>
      <c r="K401" s="1001"/>
      <c r="L401" s="1243"/>
      <c r="M401" s="1001"/>
      <c r="N401" s="512"/>
      <c r="O401" s="1002"/>
      <c r="P401" s="512"/>
      <c r="Q401" s="2816">
        <f>SUM(Q402)</f>
        <v>340</v>
      </c>
      <c r="R401" s="287"/>
      <c r="S401" s="1109">
        <f t="shared" ref="S401:AF401" si="69">SUM(S402)</f>
        <v>0</v>
      </c>
      <c r="T401" s="1109">
        <f t="shared" si="69"/>
        <v>0</v>
      </c>
      <c r="U401" s="1109">
        <f t="shared" si="69"/>
        <v>0</v>
      </c>
      <c r="V401" s="1109">
        <f t="shared" si="69"/>
        <v>340</v>
      </c>
      <c r="W401" s="1109">
        <f t="shared" si="69"/>
        <v>0</v>
      </c>
      <c r="X401" s="1109">
        <f t="shared" si="69"/>
        <v>0</v>
      </c>
      <c r="Y401" s="1109">
        <f t="shared" si="69"/>
        <v>0</v>
      </c>
      <c r="Z401" s="1109">
        <f t="shared" si="69"/>
        <v>0</v>
      </c>
      <c r="AA401" s="1109">
        <f t="shared" si="69"/>
        <v>0</v>
      </c>
      <c r="AB401" s="1109">
        <f t="shared" si="69"/>
        <v>0</v>
      </c>
      <c r="AC401" s="1109">
        <f t="shared" si="69"/>
        <v>0</v>
      </c>
      <c r="AD401" s="1109">
        <f t="shared" si="69"/>
        <v>0</v>
      </c>
      <c r="AE401" s="1109">
        <f t="shared" si="69"/>
        <v>0</v>
      </c>
      <c r="AF401" s="1109">
        <f t="shared" si="69"/>
        <v>0</v>
      </c>
      <c r="AG401" s="1282">
        <f t="shared" si="66"/>
        <v>340</v>
      </c>
    </row>
    <row r="402" spans="1:33" ht="47.25" hidden="1" customHeight="1">
      <c r="A402" s="2789">
        <v>2351</v>
      </c>
      <c r="B402" s="2908" t="s">
        <v>545</v>
      </c>
      <c r="C402" s="2908" t="s">
        <v>546</v>
      </c>
      <c r="D402" s="2898" t="s">
        <v>514</v>
      </c>
      <c r="E402" s="2898">
        <v>70</v>
      </c>
      <c r="F402" s="2903">
        <v>43248</v>
      </c>
      <c r="G402" s="2903">
        <f>E402+F402</f>
        <v>43318</v>
      </c>
      <c r="H402" s="2898" t="s">
        <v>529</v>
      </c>
      <c r="I402" s="2904" t="s">
        <v>169</v>
      </c>
      <c r="J402" s="2900" t="s">
        <v>526</v>
      </c>
      <c r="K402" s="1369" t="s">
        <v>547</v>
      </c>
      <c r="L402" s="1244">
        <v>23173</v>
      </c>
      <c r="M402" s="326"/>
      <c r="N402" s="506" t="s">
        <v>366</v>
      </c>
      <c r="O402" s="517">
        <v>340</v>
      </c>
      <c r="P402" s="506">
        <v>1</v>
      </c>
      <c r="Q402" s="486">
        <f>O402*P402</f>
        <v>340</v>
      </c>
      <c r="R402" s="518"/>
      <c r="S402" s="487"/>
      <c r="T402" s="487"/>
      <c r="U402" s="488"/>
      <c r="V402" s="487">
        <v>340</v>
      </c>
      <c r="W402" s="487"/>
      <c r="X402" s="1138"/>
      <c r="Y402" s="1156"/>
      <c r="Z402" s="1156"/>
      <c r="AA402" s="1156"/>
      <c r="AB402" s="1156"/>
      <c r="AC402" s="1156"/>
      <c r="AD402" s="1156"/>
      <c r="AE402" s="1156"/>
      <c r="AF402" s="1156"/>
      <c r="AG402" s="1282">
        <f t="shared" si="66"/>
        <v>340</v>
      </c>
    </row>
    <row r="403" spans="1:33" ht="33.75" customHeight="1">
      <c r="A403" s="1815" t="s">
        <v>241</v>
      </c>
      <c r="B403" s="836"/>
      <c r="C403" s="1816"/>
      <c r="D403" s="1818"/>
      <c r="E403" s="1818"/>
      <c r="F403" s="1818"/>
      <c r="G403" s="1818"/>
      <c r="H403" s="1818"/>
      <c r="I403" s="1818"/>
      <c r="J403" s="835"/>
      <c r="K403" s="1815"/>
      <c r="L403" s="1817"/>
      <c r="M403" s="1818"/>
      <c r="N403" s="1819"/>
      <c r="O403" s="1820"/>
      <c r="P403" s="1819"/>
      <c r="Q403" s="1822">
        <f>Q404+Q440</f>
        <v>129720.37666666668</v>
      </c>
      <c r="R403" s="1822">
        <f>+R404+R440</f>
        <v>129240.07333333333</v>
      </c>
      <c r="S403" s="1821">
        <f t="shared" ref="S403:AG403" si="70">S404+S440</f>
        <v>0</v>
      </c>
      <c r="T403" s="1821">
        <f t="shared" si="70"/>
        <v>0</v>
      </c>
      <c r="U403" s="1821">
        <f t="shared" si="70"/>
        <v>6219</v>
      </c>
      <c r="V403" s="1821">
        <f t="shared" si="70"/>
        <v>7696.0000000000009</v>
      </c>
      <c r="W403" s="1821">
        <f t="shared" si="70"/>
        <v>56065.666666666672</v>
      </c>
      <c r="X403" s="1821">
        <f t="shared" si="70"/>
        <v>37073.043333333335</v>
      </c>
      <c r="Y403" s="1821">
        <f t="shared" si="70"/>
        <v>0</v>
      </c>
      <c r="Z403" s="838">
        <f t="shared" si="70"/>
        <v>22666.666666666668</v>
      </c>
      <c r="AA403" s="838">
        <f t="shared" si="70"/>
        <v>0</v>
      </c>
      <c r="AB403" s="838">
        <f t="shared" si="70"/>
        <v>0</v>
      </c>
      <c r="AC403" s="838">
        <f t="shared" si="70"/>
        <v>0</v>
      </c>
      <c r="AD403" s="838">
        <f t="shared" si="70"/>
        <v>0</v>
      </c>
      <c r="AE403" s="838">
        <f t="shared" si="70"/>
        <v>0</v>
      </c>
      <c r="AF403" s="838">
        <f t="shared" si="70"/>
        <v>0</v>
      </c>
      <c r="AG403" s="1821">
        <f t="shared" si="70"/>
        <v>129720.37666666668</v>
      </c>
    </row>
    <row r="404" spans="1:33" ht="24.75" customHeight="1">
      <c r="A404" s="1248" t="s">
        <v>242</v>
      </c>
      <c r="B404" s="274"/>
      <c r="C404" s="278"/>
      <c r="D404" s="1270"/>
      <c r="E404" s="1270"/>
      <c r="F404" s="1270"/>
      <c r="G404" s="1270"/>
      <c r="H404" s="1270"/>
      <c r="I404" s="1270"/>
      <c r="J404" s="273"/>
      <c r="K404" s="1248"/>
      <c r="L404" s="1269"/>
      <c r="M404" s="1270"/>
      <c r="N404" s="1268"/>
      <c r="O404" s="1271"/>
      <c r="P404" s="1268"/>
      <c r="Q404" s="1273">
        <f>+Q405</f>
        <v>29720.666666666668</v>
      </c>
      <c r="R404" s="1273">
        <f>+'[3]Compil Costing PPA 3 millions'!F11</f>
        <v>29240.073333333334</v>
      </c>
      <c r="S404" s="1272">
        <f t="shared" ref="S404:AF404" si="71">+S405</f>
        <v>0</v>
      </c>
      <c r="T404" s="1272">
        <f t="shared" si="71"/>
        <v>0</v>
      </c>
      <c r="U404" s="1272">
        <f t="shared" si="71"/>
        <v>6219</v>
      </c>
      <c r="V404" s="1272">
        <f t="shared" si="71"/>
        <v>7696.0000000000009</v>
      </c>
      <c r="W404" s="1272">
        <f t="shared" si="71"/>
        <v>5028.0000000000009</v>
      </c>
      <c r="X404" s="1272">
        <f t="shared" si="71"/>
        <v>10777.666666666666</v>
      </c>
      <c r="Y404" s="1272">
        <f t="shared" si="71"/>
        <v>0</v>
      </c>
      <c r="Z404" s="276">
        <f t="shared" si="71"/>
        <v>0</v>
      </c>
      <c r="AA404" s="276">
        <f t="shared" si="71"/>
        <v>0</v>
      </c>
      <c r="AB404" s="276">
        <f t="shared" si="71"/>
        <v>0</v>
      </c>
      <c r="AC404" s="276">
        <f t="shared" si="71"/>
        <v>0</v>
      </c>
      <c r="AD404" s="276">
        <f t="shared" si="71"/>
        <v>0</v>
      </c>
      <c r="AE404" s="276">
        <f t="shared" si="71"/>
        <v>0</v>
      </c>
      <c r="AF404" s="276">
        <f t="shared" si="71"/>
        <v>0</v>
      </c>
      <c r="AG404" s="1272">
        <f>+AG405</f>
        <v>29720.666666666664</v>
      </c>
    </row>
    <row r="405" spans="1:33" s="1725" customFormat="1" ht="31.5">
      <c r="A405" s="1790">
        <v>311</v>
      </c>
      <c r="B405" s="1791" t="s">
        <v>243</v>
      </c>
      <c r="C405" s="1792"/>
      <c r="D405" s="1793"/>
      <c r="E405" s="1794"/>
      <c r="F405" s="1794"/>
      <c r="G405" s="1794"/>
      <c r="H405" s="1793"/>
      <c r="I405" s="1794"/>
      <c r="J405" s="1795"/>
      <c r="K405" s="1796"/>
      <c r="L405" s="1797"/>
      <c r="M405" s="1793"/>
      <c r="N405" s="1794"/>
      <c r="O405" s="1885"/>
      <c r="P405" s="1886"/>
      <c r="Q405" s="2817">
        <f>SUM(Q406:Q439)</f>
        <v>29720.666666666668</v>
      </c>
      <c r="R405" s="2818"/>
      <c r="S405" s="1798">
        <f t="shared" ref="S405:AF405" si="72">SUM(S406:S439)</f>
        <v>0</v>
      </c>
      <c r="T405" s="1798">
        <f t="shared" si="72"/>
        <v>0</v>
      </c>
      <c r="U405" s="1798">
        <f t="shared" si="72"/>
        <v>6219</v>
      </c>
      <c r="V405" s="1798">
        <f t="shared" si="72"/>
        <v>7696.0000000000009</v>
      </c>
      <c r="W405" s="1798">
        <f t="shared" si="72"/>
        <v>5028.0000000000009</v>
      </c>
      <c r="X405" s="1798">
        <f t="shared" si="72"/>
        <v>10777.666666666666</v>
      </c>
      <c r="Y405" s="1798">
        <f t="shared" si="72"/>
        <v>0</v>
      </c>
      <c r="Z405" s="1800">
        <f t="shared" si="72"/>
        <v>0</v>
      </c>
      <c r="AA405" s="1800">
        <f t="shared" si="72"/>
        <v>0</v>
      </c>
      <c r="AB405" s="1800">
        <f t="shared" si="72"/>
        <v>0</v>
      </c>
      <c r="AC405" s="1800">
        <f t="shared" si="72"/>
        <v>0</v>
      </c>
      <c r="AD405" s="1800">
        <f t="shared" si="72"/>
        <v>0</v>
      </c>
      <c r="AE405" s="1800">
        <f t="shared" si="72"/>
        <v>0</v>
      </c>
      <c r="AF405" s="1800">
        <f t="shared" si="72"/>
        <v>0</v>
      </c>
      <c r="AG405" s="1887">
        <f>SUM(S405:AF405)</f>
        <v>29720.666666666664</v>
      </c>
    </row>
    <row r="406" spans="1:33" s="1725" customFormat="1" ht="57" hidden="1" customHeight="1">
      <c r="A406" s="2909">
        <v>3111</v>
      </c>
      <c r="B406" s="2910" t="s">
        <v>244</v>
      </c>
      <c r="C406" s="2910" t="s">
        <v>245</v>
      </c>
      <c r="D406" s="2911" t="s">
        <v>246</v>
      </c>
      <c r="E406" s="2912">
        <f>70+55</f>
        <v>125</v>
      </c>
      <c r="F406" s="2913">
        <v>43193</v>
      </c>
      <c r="G406" s="2913">
        <f>+F406+E406</f>
        <v>43318</v>
      </c>
      <c r="H406" s="2912" t="s">
        <v>247</v>
      </c>
      <c r="I406" s="2912" t="s">
        <v>176</v>
      </c>
      <c r="J406" s="2914" t="s">
        <v>169</v>
      </c>
      <c r="K406" s="1544" t="s">
        <v>248</v>
      </c>
      <c r="L406" s="1804">
        <v>2313</v>
      </c>
      <c r="M406" s="1544"/>
      <c r="N406" s="1883">
        <v>2313</v>
      </c>
      <c r="O406" s="1737">
        <v>10643</v>
      </c>
      <c r="P406" s="1736">
        <v>1</v>
      </c>
      <c r="Q406" s="2819">
        <f>O406*P406</f>
        <v>10643</v>
      </c>
      <c r="R406" s="2820"/>
      <c r="S406" s="1806"/>
      <c r="T406" s="1806"/>
      <c r="U406" s="1806"/>
      <c r="V406" s="1806"/>
      <c r="W406" s="1806"/>
      <c r="X406" s="1807">
        <v>10643</v>
      </c>
      <c r="Y406" s="1808"/>
      <c r="Z406" s="1735"/>
      <c r="AA406" s="1735"/>
      <c r="AB406" s="1735"/>
      <c r="AC406" s="1735"/>
      <c r="AD406" s="1735"/>
      <c r="AE406" s="1735"/>
      <c r="AF406" s="1735"/>
      <c r="AG406" s="1282">
        <f t="shared" ref="AG406:AG439" si="73">SUM(S406:AF406)</f>
        <v>10643</v>
      </c>
    </row>
    <row r="407" spans="1:33" s="1725" customFormat="1" ht="57" hidden="1" customHeight="1">
      <c r="A407" s="2909">
        <v>3112</v>
      </c>
      <c r="B407" s="2910" t="s">
        <v>249</v>
      </c>
      <c r="C407" s="2910" t="s">
        <v>250</v>
      </c>
      <c r="D407" s="2911"/>
      <c r="E407" s="2912">
        <v>10</v>
      </c>
      <c r="F407" s="2913">
        <v>43238</v>
      </c>
      <c r="G407" s="2913">
        <f t="shared" ref="G407:G439" si="74">F407+E407</f>
        <v>43248</v>
      </c>
      <c r="H407" s="2912" t="s">
        <v>247</v>
      </c>
      <c r="I407" s="2912" t="s">
        <v>169</v>
      </c>
      <c r="J407" s="2914" t="s">
        <v>176</v>
      </c>
      <c r="K407" s="1544"/>
      <c r="L407" s="1804"/>
      <c r="M407" s="1544"/>
      <c r="N407" s="2915"/>
      <c r="O407" s="1737"/>
      <c r="P407" s="1736"/>
      <c r="Q407" s="2819"/>
      <c r="R407" s="2820"/>
      <c r="S407" s="1806"/>
      <c r="T407" s="1806"/>
      <c r="U407" s="1806"/>
      <c r="V407" s="1806"/>
      <c r="W407" s="1806"/>
      <c r="X407" s="1807"/>
      <c r="Y407" s="1808"/>
      <c r="Z407" s="1735"/>
      <c r="AA407" s="1735"/>
      <c r="AB407" s="1735"/>
      <c r="AC407" s="1735"/>
      <c r="AD407" s="1735"/>
      <c r="AE407" s="1735"/>
      <c r="AF407" s="1735"/>
      <c r="AG407" s="1343"/>
    </row>
    <row r="408" spans="1:33" s="1725" customFormat="1" ht="57" hidden="1" customHeight="1">
      <c r="A408" s="1839">
        <v>3112</v>
      </c>
      <c r="B408" s="1889" t="s">
        <v>249</v>
      </c>
      <c r="C408" s="1840" t="s">
        <v>250</v>
      </c>
      <c r="D408" s="1890"/>
      <c r="E408" s="1802">
        <v>10</v>
      </c>
      <c r="F408" s="1801">
        <v>43238</v>
      </c>
      <c r="G408" s="1801">
        <f t="shared" si="74"/>
        <v>43248</v>
      </c>
      <c r="H408" s="1802" t="s">
        <v>247</v>
      </c>
      <c r="I408" s="1802" t="s">
        <v>169</v>
      </c>
      <c r="J408" s="1803" t="s">
        <v>176</v>
      </c>
      <c r="K408" s="1544" t="s">
        <v>252</v>
      </c>
      <c r="L408" s="1804">
        <v>23174</v>
      </c>
      <c r="M408" s="1544"/>
      <c r="N408" s="1883">
        <v>23174</v>
      </c>
      <c r="O408" s="1721">
        <v>12</v>
      </c>
      <c r="P408" s="1736">
        <f>15*7</f>
        <v>105</v>
      </c>
      <c r="Q408" s="2819">
        <f t="shared" ref="Q408:Q415" si="75">O408*P408</f>
        <v>1260</v>
      </c>
      <c r="R408" s="2820"/>
      <c r="S408" s="1806"/>
      <c r="T408" s="1806"/>
      <c r="U408" s="1806">
        <v>1260</v>
      </c>
      <c r="V408" s="1806"/>
      <c r="W408" s="1806"/>
      <c r="X408" s="1807"/>
      <c r="Y408" s="1808"/>
      <c r="Z408" s="1735"/>
      <c r="AA408" s="1735"/>
      <c r="AB408" s="1735"/>
      <c r="AC408" s="1735"/>
      <c r="AD408" s="1735"/>
      <c r="AE408" s="1735"/>
      <c r="AF408" s="1735"/>
      <c r="AG408" s="1282">
        <f t="shared" si="73"/>
        <v>1260</v>
      </c>
    </row>
    <row r="409" spans="1:33" s="1725" customFormat="1" ht="57" hidden="1" customHeight="1">
      <c r="A409" s="1839">
        <v>3112</v>
      </c>
      <c r="B409" s="1889" t="s">
        <v>249</v>
      </c>
      <c r="C409" s="1840" t="s">
        <v>250</v>
      </c>
      <c r="D409" s="1890"/>
      <c r="E409" s="1802">
        <v>10</v>
      </c>
      <c r="F409" s="1801">
        <v>43238</v>
      </c>
      <c r="G409" s="1801">
        <f t="shared" si="74"/>
        <v>43248</v>
      </c>
      <c r="H409" s="1802" t="s">
        <v>247</v>
      </c>
      <c r="I409" s="1802" t="s">
        <v>169</v>
      </c>
      <c r="J409" s="1803" t="s">
        <v>176</v>
      </c>
      <c r="K409" s="1544" t="s">
        <v>253</v>
      </c>
      <c r="L409" s="1804">
        <v>23174</v>
      </c>
      <c r="M409" s="1544"/>
      <c r="N409" s="1802">
        <v>23174</v>
      </c>
      <c r="O409" s="1809">
        <v>13.333333333333334</v>
      </c>
      <c r="P409" s="1888">
        <f>15*7</f>
        <v>105</v>
      </c>
      <c r="Q409" s="2821">
        <f t="shared" si="75"/>
        <v>1400</v>
      </c>
      <c r="R409" s="2822"/>
      <c r="S409" s="1806"/>
      <c r="T409" s="1806"/>
      <c r="U409" s="1806">
        <v>1400</v>
      </c>
      <c r="V409" s="1806"/>
      <c r="W409" s="1806"/>
      <c r="X409" s="1807"/>
      <c r="Y409" s="1808"/>
      <c r="Z409" s="1735"/>
      <c r="AA409" s="1735"/>
      <c r="AB409" s="1735"/>
      <c r="AC409" s="1735"/>
      <c r="AD409" s="1735"/>
      <c r="AE409" s="1735"/>
      <c r="AF409" s="1735"/>
      <c r="AG409" s="1282">
        <f t="shared" si="73"/>
        <v>1400</v>
      </c>
    </row>
    <row r="410" spans="1:33" s="1725" customFormat="1" ht="57" hidden="1" customHeight="1">
      <c r="A410" s="1839">
        <v>3112</v>
      </c>
      <c r="B410" s="1889" t="s">
        <v>249</v>
      </c>
      <c r="C410" s="1840" t="s">
        <v>250</v>
      </c>
      <c r="D410" s="1890"/>
      <c r="E410" s="1802">
        <v>10</v>
      </c>
      <c r="F410" s="1801">
        <v>43238</v>
      </c>
      <c r="G410" s="1801">
        <f t="shared" si="74"/>
        <v>43248</v>
      </c>
      <c r="H410" s="1802" t="s">
        <v>247</v>
      </c>
      <c r="I410" s="1802" t="s">
        <v>169</v>
      </c>
      <c r="J410" s="1803" t="s">
        <v>176</v>
      </c>
      <c r="K410" s="2264" t="s">
        <v>254</v>
      </c>
      <c r="L410" s="1804">
        <v>23174</v>
      </c>
      <c r="M410" s="1544"/>
      <c r="N410" s="1802">
        <v>23174</v>
      </c>
      <c r="O410" s="1841">
        <v>10</v>
      </c>
      <c r="P410" s="887">
        <v>15</v>
      </c>
      <c r="Q410" s="2823">
        <f t="shared" si="75"/>
        <v>150</v>
      </c>
      <c r="R410" s="2822"/>
      <c r="S410" s="1806"/>
      <c r="T410" s="1806"/>
      <c r="U410" s="1806">
        <v>150</v>
      </c>
      <c r="V410" s="1806"/>
      <c r="W410" s="1806"/>
      <c r="X410" s="1807"/>
      <c r="Y410" s="1808"/>
      <c r="Z410" s="1735"/>
      <c r="AA410" s="1735"/>
      <c r="AB410" s="1735"/>
      <c r="AC410" s="1735"/>
      <c r="AD410" s="1735"/>
      <c r="AE410" s="1735"/>
      <c r="AF410" s="1735"/>
      <c r="AG410" s="1282">
        <f t="shared" si="73"/>
        <v>150</v>
      </c>
    </row>
    <row r="411" spans="1:33" s="1725" customFormat="1" ht="57" hidden="1" customHeight="1">
      <c r="A411" s="1839">
        <v>3112</v>
      </c>
      <c r="B411" s="1889" t="s">
        <v>249</v>
      </c>
      <c r="C411" s="1840" t="s">
        <v>250</v>
      </c>
      <c r="D411" s="1890"/>
      <c r="E411" s="1802">
        <v>10</v>
      </c>
      <c r="F411" s="1801">
        <v>43238</v>
      </c>
      <c r="G411" s="1801">
        <f t="shared" si="74"/>
        <v>43248</v>
      </c>
      <c r="H411" s="1802" t="s">
        <v>247</v>
      </c>
      <c r="I411" s="1802" t="s">
        <v>169</v>
      </c>
      <c r="J411" s="2263" t="s">
        <v>176</v>
      </c>
      <c r="K411" s="1735" t="s">
        <v>255</v>
      </c>
      <c r="L411" s="1892">
        <v>23174</v>
      </c>
      <c r="M411" s="1544"/>
      <c r="N411" s="1802">
        <v>23174</v>
      </c>
      <c r="O411" s="1841">
        <v>0.4</v>
      </c>
      <c r="P411" s="887">
        <v>170</v>
      </c>
      <c r="Q411" s="2823">
        <f t="shared" si="75"/>
        <v>68</v>
      </c>
      <c r="R411" s="2822"/>
      <c r="S411" s="1806"/>
      <c r="T411" s="1806"/>
      <c r="U411" s="1806">
        <v>68</v>
      </c>
      <c r="V411" s="1806"/>
      <c r="W411" s="1806"/>
      <c r="X411" s="1807"/>
      <c r="Y411" s="1808"/>
      <c r="Z411" s="1735"/>
      <c r="AA411" s="1735"/>
      <c r="AB411" s="1735"/>
      <c r="AC411" s="1735"/>
      <c r="AD411" s="1735"/>
      <c r="AE411" s="1735"/>
      <c r="AF411" s="1735"/>
      <c r="AG411" s="1282">
        <f t="shared" si="73"/>
        <v>68</v>
      </c>
    </row>
    <row r="412" spans="1:33" s="1725" customFormat="1" ht="57" hidden="1" customHeight="1">
      <c r="A412" s="1839">
        <v>3112</v>
      </c>
      <c r="B412" s="1889" t="s">
        <v>249</v>
      </c>
      <c r="C412" s="1840" t="s">
        <v>250</v>
      </c>
      <c r="D412" s="1890"/>
      <c r="E412" s="1802">
        <v>45</v>
      </c>
      <c r="F412" s="1801">
        <v>43193</v>
      </c>
      <c r="G412" s="1801">
        <f t="shared" si="74"/>
        <v>43238</v>
      </c>
      <c r="H412" s="1802" t="s">
        <v>247</v>
      </c>
      <c r="I412" s="1802" t="s">
        <v>169</v>
      </c>
      <c r="J412" s="1803" t="s">
        <v>176</v>
      </c>
      <c r="K412" s="326" t="s">
        <v>256</v>
      </c>
      <c r="L412" s="1804">
        <v>23173</v>
      </c>
      <c r="M412" s="1544"/>
      <c r="N412" s="1802">
        <v>23173</v>
      </c>
      <c r="O412" s="1841">
        <v>255</v>
      </c>
      <c r="P412" s="887">
        <v>1</v>
      </c>
      <c r="Q412" s="2823">
        <f t="shared" si="75"/>
        <v>255</v>
      </c>
      <c r="R412" s="2822"/>
      <c r="S412" s="1806"/>
      <c r="T412" s="1806"/>
      <c r="U412" s="1806">
        <v>255</v>
      </c>
      <c r="V412" s="1806"/>
      <c r="W412" s="1806"/>
      <c r="X412" s="1807"/>
      <c r="Y412" s="1808"/>
      <c r="Z412" s="1735"/>
      <c r="AA412" s="1735"/>
      <c r="AB412" s="1735"/>
      <c r="AC412" s="1735"/>
      <c r="AD412" s="1735"/>
      <c r="AE412" s="1735"/>
      <c r="AF412" s="1735"/>
      <c r="AG412" s="1282">
        <f t="shared" si="73"/>
        <v>255</v>
      </c>
    </row>
    <row r="413" spans="1:33" s="1725" customFormat="1" ht="57" hidden="1" customHeight="1">
      <c r="A413" s="1839">
        <v>3112</v>
      </c>
      <c r="B413" s="1889" t="s">
        <v>249</v>
      </c>
      <c r="C413" s="1840" t="s">
        <v>250</v>
      </c>
      <c r="D413" s="1890"/>
      <c r="E413" s="1802">
        <v>10</v>
      </c>
      <c r="F413" s="1801">
        <v>43238</v>
      </c>
      <c r="G413" s="1801">
        <f t="shared" si="74"/>
        <v>43248</v>
      </c>
      <c r="H413" s="1802" t="s">
        <v>247</v>
      </c>
      <c r="I413" s="1802" t="s">
        <v>169</v>
      </c>
      <c r="J413" s="2263" t="s">
        <v>176</v>
      </c>
      <c r="K413" s="1735" t="s">
        <v>257</v>
      </c>
      <c r="L413" s="2268">
        <v>23173</v>
      </c>
      <c r="M413" s="1544"/>
      <c r="N413" s="1802">
        <v>23172</v>
      </c>
      <c r="O413" s="1841">
        <v>66.666666666666671</v>
      </c>
      <c r="P413" s="887">
        <v>5</v>
      </c>
      <c r="Q413" s="2823">
        <f t="shared" si="75"/>
        <v>333.33333333333337</v>
      </c>
      <c r="R413" s="2822"/>
      <c r="S413" s="1806"/>
      <c r="T413" s="1806"/>
      <c r="U413" s="1806">
        <v>333.33333333333337</v>
      </c>
      <c r="V413" s="1806"/>
      <c r="W413" s="1806"/>
      <c r="X413" s="1807"/>
      <c r="Y413" s="1808"/>
      <c r="Z413" s="1735"/>
      <c r="AA413" s="1735"/>
      <c r="AB413" s="1735"/>
      <c r="AC413" s="1735"/>
      <c r="AD413" s="1735"/>
      <c r="AE413" s="1735"/>
      <c r="AF413" s="1735"/>
      <c r="AG413" s="1282">
        <f t="shared" si="73"/>
        <v>333.33333333333337</v>
      </c>
    </row>
    <row r="414" spans="1:33" s="1725" customFormat="1" ht="57" hidden="1" customHeight="1">
      <c r="A414" s="1839">
        <v>3112</v>
      </c>
      <c r="B414" s="1889" t="s">
        <v>249</v>
      </c>
      <c r="C414" s="1840" t="s">
        <v>250</v>
      </c>
      <c r="D414" s="1890"/>
      <c r="E414" s="1802">
        <v>45</v>
      </c>
      <c r="F414" s="1801">
        <v>43193</v>
      </c>
      <c r="G414" s="1801">
        <f t="shared" si="74"/>
        <v>43238</v>
      </c>
      <c r="H414" s="1802" t="s">
        <v>247</v>
      </c>
      <c r="I414" s="1802" t="s">
        <v>169</v>
      </c>
      <c r="J414" s="1803" t="s">
        <v>176</v>
      </c>
      <c r="K414" s="1585" t="s">
        <v>258</v>
      </c>
      <c r="L414" s="1804">
        <v>2463</v>
      </c>
      <c r="M414" s="1544"/>
      <c r="N414" s="1802">
        <v>23173</v>
      </c>
      <c r="O414" s="1726">
        <v>616.66666666666663</v>
      </c>
      <c r="P414" s="887">
        <v>1</v>
      </c>
      <c r="Q414" s="2823">
        <f t="shared" si="75"/>
        <v>616.66666666666663</v>
      </c>
      <c r="R414" s="2822"/>
      <c r="S414" s="1806"/>
      <c r="T414" s="1806"/>
      <c r="U414" s="1806">
        <v>616.66666666666663</v>
      </c>
      <c r="V414" s="1806"/>
      <c r="W414" s="1806"/>
      <c r="X414" s="1807"/>
      <c r="Y414" s="1808"/>
      <c r="Z414" s="1735"/>
      <c r="AA414" s="1735"/>
      <c r="AB414" s="1735"/>
      <c r="AC414" s="1735"/>
      <c r="AD414" s="1735"/>
      <c r="AE414" s="1735"/>
      <c r="AF414" s="1735"/>
      <c r="AG414" s="1282">
        <f t="shared" si="73"/>
        <v>616.66666666666663</v>
      </c>
    </row>
    <row r="415" spans="1:33" s="1725" customFormat="1" ht="57" hidden="1" customHeight="1">
      <c r="A415" s="1839">
        <v>3112</v>
      </c>
      <c r="B415" s="1889" t="s">
        <v>249</v>
      </c>
      <c r="C415" s="1840" t="s">
        <v>250</v>
      </c>
      <c r="D415" s="1890"/>
      <c r="E415" s="1802">
        <v>45</v>
      </c>
      <c r="F415" s="1801">
        <v>43193</v>
      </c>
      <c r="G415" s="1801">
        <f t="shared" si="74"/>
        <v>43238</v>
      </c>
      <c r="H415" s="1802" t="s">
        <v>247</v>
      </c>
      <c r="I415" s="1802" t="s">
        <v>169</v>
      </c>
      <c r="J415" s="1803" t="s">
        <v>176</v>
      </c>
      <c r="K415" s="326" t="s">
        <v>259</v>
      </c>
      <c r="L415" s="1804">
        <v>2463</v>
      </c>
      <c r="M415" s="1544"/>
      <c r="N415" s="1802">
        <v>23173</v>
      </c>
      <c r="O415" s="1726">
        <v>2000</v>
      </c>
      <c r="P415" s="887">
        <v>1</v>
      </c>
      <c r="Q415" s="2823">
        <f t="shared" si="75"/>
        <v>2000</v>
      </c>
      <c r="R415" s="2822"/>
      <c r="S415" s="1806"/>
      <c r="T415" s="1806"/>
      <c r="U415" s="1806">
        <v>2000</v>
      </c>
      <c r="V415" s="1806"/>
      <c r="W415" s="1806"/>
      <c r="X415" s="1807"/>
      <c r="Y415" s="1808"/>
      <c r="Z415" s="1735"/>
      <c r="AA415" s="1735"/>
      <c r="AB415" s="1735"/>
      <c r="AC415" s="1735"/>
      <c r="AD415" s="1735"/>
      <c r="AE415" s="1735"/>
      <c r="AF415" s="1735"/>
      <c r="AG415" s="1282">
        <f t="shared" si="73"/>
        <v>2000</v>
      </c>
    </row>
    <row r="416" spans="1:33" s="1725" customFormat="1" ht="57" hidden="1" customHeight="1">
      <c r="A416" s="2909">
        <v>3113</v>
      </c>
      <c r="B416" s="2910" t="s">
        <v>260</v>
      </c>
      <c r="C416" s="2910" t="s">
        <v>261</v>
      </c>
      <c r="D416" s="2911"/>
      <c r="E416" s="2912">
        <v>15</v>
      </c>
      <c r="F416" s="2913">
        <v>43248</v>
      </c>
      <c r="G416" s="2913">
        <f t="shared" si="74"/>
        <v>43263</v>
      </c>
      <c r="H416" s="2912" t="s">
        <v>247</v>
      </c>
      <c r="I416" s="2912" t="s">
        <v>169</v>
      </c>
      <c r="J416" s="2914" t="s">
        <v>176</v>
      </c>
      <c r="K416" s="357"/>
      <c r="L416" s="1804"/>
      <c r="M416" s="1544"/>
      <c r="N416" s="1802"/>
      <c r="O416" s="2916"/>
      <c r="P416" s="237"/>
      <c r="Q416" s="2823"/>
      <c r="R416" s="2822"/>
      <c r="S416" s="1806"/>
      <c r="T416" s="1806"/>
      <c r="U416" s="1806"/>
      <c r="V416" s="1806"/>
      <c r="W416" s="1806"/>
      <c r="X416" s="1807"/>
      <c r="Y416" s="1808"/>
      <c r="Z416" s="1735"/>
      <c r="AA416" s="1735"/>
      <c r="AB416" s="1735"/>
      <c r="AC416" s="1735"/>
      <c r="AD416" s="1735"/>
      <c r="AE416" s="1735"/>
      <c r="AF416" s="1735"/>
      <c r="AG416" s="1343"/>
    </row>
    <row r="417" spans="1:33" s="1725" customFormat="1" ht="57" hidden="1" customHeight="1">
      <c r="A417" s="1839">
        <v>3113</v>
      </c>
      <c r="B417" s="1889" t="s">
        <v>260</v>
      </c>
      <c r="C417" s="1840" t="s">
        <v>261</v>
      </c>
      <c r="D417" s="1890"/>
      <c r="E417" s="1802">
        <v>15</v>
      </c>
      <c r="F417" s="1801">
        <v>43248</v>
      </c>
      <c r="G417" s="1801">
        <f t="shared" si="74"/>
        <v>43263</v>
      </c>
      <c r="H417" s="1802" t="s">
        <v>247</v>
      </c>
      <c r="I417" s="1802" t="s">
        <v>169</v>
      </c>
      <c r="J417" s="1803" t="s">
        <v>176</v>
      </c>
      <c r="K417" s="1544" t="s">
        <v>252</v>
      </c>
      <c r="L417" s="1804">
        <v>23174</v>
      </c>
      <c r="M417" s="1544"/>
      <c r="N417" s="1802">
        <v>23174</v>
      </c>
      <c r="O417" s="1810">
        <v>12</v>
      </c>
      <c r="P417" s="1802">
        <f>12*9</f>
        <v>108</v>
      </c>
      <c r="Q417" s="2823">
        <f>O417*P417</f>
        <v>1296</v>
      </c>
      <c r="R417" s="2822"/>
      <c r="S417" s="1806"/>
      <c r="T417" s="1806"/>
      <c r="U417" s="1806"/>
      <c r="V417" s="1806">
        <v>1296</v>
      </c>
      <c r="W417" s="1806"/>
      <c r="X417" s="1807"/>
      <c r="Y417" s="1808"/>
      <c r="Z417" s="1735"/>
      <c r="AA417" s="1735"/>
      <c r="AB417" s="1735"/>
      <c r="AC417" s="1735"/>
      <c r="AD417" s="1735"/>
      <c r="AE417" s="1735"/>
      <c r="AF417" s="1735"/>
      <c r="AG417" s="1282">
        <f t="shared" si="73"/>
        <v>1296</v>
      </c>
    </row>
    <row r="418" spans="1:33" s="1725" customFormat="1" ht="57" hidden="1" customHeight="1">
      <c r="A418" s="1839">
        <v>3113</v>
      </c>
      <c r="B418" s="1889" t="s">
        <v>260</v>
      </c>
      <c r="C418" s="1840" t="s">
        <v>261</v>
      </c>
      <c r="D418" s="1890"/>
      <c r="E418" s="1802">
        <v>15</v>
      </c>
      <c r="F418" s="1801">
        <v>43248</v>
      </c>
      <c r="G418" s="1801">
        <f t="shared" si="74"/>
        <v>43263</v>
      </c>
      <c r="H418" s="1802" t="s">
        <v>247</v>
      </c>
      <c r="I418" s="1802" t="s">
        <v>169</v>
      </c>
      <c r="J418" s="1803" t="s">
        <v>176</v>
      </c>
      <c r="K418" s="1544" t="s">
        <v>253</v>
      </c>
      <c r="L418" s="1804">
        <v>23174</v>
      </c>
      <c r="M418" s="1544"/>
      <c r="N418" s="1802">
        <v>23174</v>
      </c>
      <c r="O418" s="1810">
        <v>13.333333333333334</v>
      </c>
      <c r="P418" s="1802">
        <f>12*8</f>
        <v>96</v>
      </c>
      <c r="Q418" s="2823">
        <f>O418*P418</f>
        <v>1280</v>
      </c>
      <c r="R418" s="2822"/>
      <c r="S418" s="1806"/>
      <c r="T418" s="1806"/>
      <c r="U418" s="1806"/>
      <c r="V418" s="1806">
        <v>1280</v>
      </c>
      <c r="W418" s="1806"/>
      <c r="X418" s="1807"/>
      <c r="Y418" s="1808"/>
      <c r="Z418" s="1735"/>
      <c r="AA418" s="1735"/>
      <c r="AB418" s="1735"/>
      <c r="AC418" s="1735"/>
      <c r="AD418" s="1735"/>
      <c r="AE418" s="1735"/>
      <c r="AF418" s="1735"/>
      <c r="AG418" s="1282">
        <f t="shared" si="73"/>
        <v>1280</v>
      </c>
    </row>
    <row r="419" spans="1:33" s="1725" customFormat="1" ht="57" hidden="1" customHeight="1">
      <c r="A419" s="1839">
        <v>3113</v>
      </c>
      <c r="B419" s="1889" t="s">
        <v>260</v>
      </c>
      <c r="C419" s="1840" t="s">
        <v>261</v>
      </c>
      <c r="D419" s="1890"/>
      <c r="E419" s="1802">
        <v>15</v>
      </c>
      <c r="F419" s="1801">
        <v>43248</v>
      </c>
      <c r="G419" s="1801">
        <f t="shared" si="74"/>
        <v>43263</v>
      </c>
      <c r="H419" s="1802" t="s">
        <v>247</v>
      </c>
      <c r="I419" s="1802" t="s">
        <v>169</v>
      </c>
      <c r="J419" s="1803" t="s">
        <v>176</v>
      </c>
      <c r="K419" s="1544" t="s">
        <v>263</v>
      </c>
      <c r="L419" s="1804">
        <v>23174</v>
      </c>
      <c r="M419" s="1544"/>
      <c r="N419" s="1802">
        <v>23174</v>
      </c>
      <c r="O419" s="1841">
        <v>58.333333333333336</v>
      </c>
      <c r="P419" s="887">
        <v>4</v>
      </c>
      <c r="Q419" s="2823">
        <f>O419*P419</f>
        <v>233.33333333333334</v>
      </c>
      <c r="R419" s="2822"/>
      <c r="S419" s="1806"/>
      <c r="T419" s="1806"/>
      <c r="U419" s="1806"/>
      <c r="V419" s="1806">
        <v>233.33333333333334</v>
      </c>
      <c r="W419" s="1806"/>
      <c r="X419" s="1807"/>
      <c r="Y419" s="1808"/>
      <c r="Z419" s="1735"/>
      <c r="AA419" s="1735"/>
      <c r="AB419" s="1735"/>
      <c r="AC419" s="1735"/>
      <c r="AD419" s="1735"/>
      <c r="AE419" s="1735"/>
      <c r="AF419" s="1735"/>
      <c r="AG419" s="1282">
        <f t="shared" si="73"/>
        <v>233.33333333333334</v>
      </c>
    </row>
    <row r="420" spans="1:33" s="1725" customFormat="1" ht="57" hidden="1" customHeight="1">
      <c r="A420" s="1839">
        <v>3113</v>
      </c>
      <c r="B420" s="1889" t="s">
        <v>260</v>
      </c>
      <c r="C420" s="1840" t="s">
        <v>261</v>
      </c>
      <c r="D420" s="1890"/>
      <c r="E420" s="1802">
        <v>15</v>
      </c>
      <c r="F420" s="1801">
        <v>43248</v>
      </c>
      <c r="G420" s="1801">
        <f t="shared" si="74"/>
        <v>43263</v>
      </c>
      <c r="H420" s="1802" t="s">
        <v>247</v>
      </c>
      <c r="I420" s="1802" t="s">
        <v>169</v>
      </c>
      <c r="J420" s="1803" t="s">
        <v>176</v>
      </c>
      <c r="K420" s="1544" t="s">
        <v>264</v>
      </c>
      <c r="L420" s="1804">
        <v>23174</v>
      </c>
      <c r="M420" s="1544"/>
      <c r="N420" s="1883">
        <v>23174</v>
      </c>
      <c r="O420" s="1744">
        <v>36.333333333333336</v>
      </c>
      <c r="P420" s="887">
        <v>4</v>
      </c>
      <c r="Q420" s="2823">
        <f>O420*P420</f>
        <v>145.33333333333334</v>
      </c>
      <c r="R420" s="2822"/>
      <c r="S420" s="1806"/>
      <c r="T420" s="1806"/>
      <c r="U420" s="1806"/>
      <c r="V420" s="1806">
        <v>145.33333333333334</v>
      </c>
      <c r="W420" s="1806"/>
      <c r="X420" s="1807"/>
      <c r="Y420" s="1808"/>
      <c r="Z420" s="1735"/>
      <c r="AA420" s="1735"/>
      <c r="AB420" s="1735"/>
      <c r="AC420" s="1735"/>
      <c r="AD420" s="1735"/>
      <c r="AE420" s="1735"/>
      <c r="AF420" s="1735"/>
      <c r="AG420" s="1282">
        <f t="shared" si="73"/>
        <v>145.33333333333334</v>
      </c>
    </row>
    <row r="421" spans="1:33" s="1725" customFormat="1" ht="57" hidden="1" customHeight="1">
      <c r="A421" s="1839">
        <v>3113</v>
      </c>
      <c r="B421" s="1889" t="s">
        <v>260</v>
      </c>
      <c r="C421" s="1840" t="s">
        <v>261</v>
      </c>
      <c r="D421" s="1890"/>
      <c r="E421" s="1802">
        <v>15</v>
      </c>
      <c r="F421" s="1801">
        <v>43248</v>
      </c>
      <c r="G421" s="1801">
        <f t="shared" si="74"/>
        <v>43263</v>
      </c>
      <c r="H421" s="1802" t="s">
        <v>247</v>
      </c>
      <c r="I421" s="1802" t="s">
        <v>169</v>
      </c>
      <c r="J421" s="1803" t="s">
        <v>176</v>
      </c>
      <c r="K421" s="1544" t="s">
        <v>265</v>
      </c>
      <c r="L421" s="1804">
        <v>23174</v>
      </c>
      <c r="M421" s="1544"/>
      <c r="N421" s="1883">
        <v>23174</v>
      </c>
      <c r="O421" s="1744">
        <v>71.666666666666671</v>
      </c>
      <c r="P421" s="887">
        <v>4</v>
      </c>
      <c r="Q421" s="2823">
        <f>O421*P421</f>
        <v>286.66666666666669</v>
      </c>
      <c r="R421" s="2822"/>
      <c r="S421" s="1806"/>
      <c r="T421" s="1806"/>
      <c r="U421" s="1806"/>
      <c r="V421" s="1806">
        <v>286.66666666666669</v>
      </c>
      <c r="W421" s="1806"/>
      <c r="X421" s="1807"/>
      <c r="Y421" s="1808"/>
      <c r="Z421" s="1735"/>
      <c r="AA421" s="1735"/>
      <c r="AB421" s="1735"/>
      <c r="AC421" s="1735"/>
      <c r="AD421" s="1735"/>
      <c r="AE421" s="1735"/>
      <c r="AF421" s="1735"/>
      <c r="AG421" s="1282">
        <f t="shared" si="73"/>
        <v>286.66666666666669</v>
      </c>
    </row>
    <row r="422" spans="1:33" s="1725" customFormat="1" ht="57" hidden="1" customHeight="1">
      <c r="A422" s="2909">
        <v>3114</v>
      </c>
      <c r="B422" s="2910" t="s">
        <v>266</v>
      </c>
      <c r="C422" s="2910" t="s">
        <v>267</v>
      </c>
      <c r="D422" s="2911"/>
      <c r="E422" s="2912">
        <v>15</v>
      </c>
      <c r="F422" s="2913">
        <v>43269</v>
      </c>
      <c r="G422" s="2913">
        <f t="shared" si="74"/>
        <v>43284</v>
      </c>
      <c r="H422" s="2912" t="s">
        <v>247</v>
      </c>
      <c r="I422" s="2912" t="s">
        <v>169</v>
      </c>
      <c r="J422" s="2914" t="s">
        <v>176</v>
      </c>
      <c r="K422" s="1544"/>
      <c r="L422" s="1804"/>
      <c r="M422" s="1544"/>
      <c r="N422" s="2915"/>
      <c r="O422" s="2917"/>
      <c r="P422" s="237"/>
      <c r="Q422" s="2823"/>
      <c r="R422" s="2822"/>
      <c r="S422" s="1806"/>
      <c r="T422" s="1806"/>
      <c r="U422" s="1806"/>
      <c r="V422" s="1806"/>
      <c r="W422" s="1806"/>
      <c r="X422" s="1807"/>
      <c r="Y422" s="1808"/>
      <c r="Z422" s="1735"/>
      <c r="AA422" s="1735"/>
      <c r="AB422" s="1735"/>
      <c r="AC422" s="1735"/>
      <c r="AD422" s="1735"/>
      <c r="AE422" s="1735"/>
      <c r="AF422" s="1735"/>
      <c r="AG422" s="1343"/>
    </row>
    <row r="423" spans="1:33" s="1725" customFormat="1" ht="57" hidden="1" customHeight="1">
      <c r="A423" s="1839">
        <v>3114</v>
      </c>
      <c r="B423" s="1889" t="s">
        <v>266</v>
      </c>
      <c r="C423" s="1840" t="s">
        <v>267</v>
      </c>
      <c r="D423" s="1890"/>
      <c r="E423" s="1802">
        <v>15</v>
      </c>
      <c r="F423" s="1801">
        <v>43269</v>
      </c>
      <c r="G423" s="1801">
        <f t="shared" si="74"/>
        <v>43284</v>
      </c>
      <c r="H423" s="1802" t="s">
        <v>247</v>
      </c>
      <c r="I423" s="1802" t="s">
        <v>169</v>
      </c>
      <c r="J423" s="1803" t="s">
        <v>176</v>
      </c>
      <c r="K423" s="1544" t="s">
        <v>252</v>
      </c>
      <c r="L423" s="1804">
        <v>23174</v>
      </c>
      <c r="M423" s="1544"/>
      <c r="N423" s="1802">
        <v>23174</v>
      </c>
      <c r="O423" s="1809">
        <v>12</v>
      </c>
      <c r="P423" s="1802">
        <f>20*8</f>
        <v>160</v>
      </c>
      <c r="Q423" s="2823">
        <f t="shared" ref="Q423:Q435" si="76">O423*P423</f>
        <v>1920</v>
      </c>
      <c r="R423" s="2822"/>
      <c r="S423" s="1806"/>
      <c r="T423" s="1806"/>
      <c r="U423" s="1806"/>
      <c r="V423" s="1806">
        <v>1920</v>
      </c>
      <c r="W423" s="1806"/>
      <c r="X423" s="1807"/>
      <c r="Y423" s="1808"/>
      <c r="Z423" s="1735"/>
      <c r="AA423" s="1735"/>
      <c r="AB423" s="1735"/>
      <c r="AC423" s="1735"/>
      <c r="AD423" s="1735"/>
      <c r="AE423" s="1735"/>
      <c r="AF423" s="1735"/>
      <c r="AG423" s="1282">
        <f t="shared" si="73"/>
        <v>1920</v>
      </c>
    </row>
    <row r="424" spans="1:33" s="1725" customFormat="1" ht="57" hidden="1" customHeight="1">
      <c r="A424" s="1839">
        <v>3114</v>
      </c>
      <c r="B424" s="1889" t="s">
        <v>266</v>
      </c>
      <c r="C424" s="1840" t="s">
        <v>267</v>
      </c>
      <c r="D424" s="1890"/>
      <c r="E424" s="1802">
        <v>15</v>
      </c>
      <c r="F424" s="1801">
        <v>43269</v>
      </c>
      <c r="G424" s="1801">
        <f t="shared" si="74"/>
        <v>43284</v>
      </c>
      <c r="H424" s="1802" t="s">
        <v>247</v>
      </c>
      <c r="I424" s="1802" t="s">
        <v>169</v>
      </c>
      <c r="J424" s="1803" t="s">
        <v>176</v>
      </c>
      <c r="K424" s="1544" t="s">
        <v>253</v>
      </c>
      <c r="L424" s="1804">
        <v>23174</v>
      </c>
      <c r="M424" s="1544"/>
      <c r="N424" s="1802">
        <v>23174</v>
      </c>
      <c r="O424" s="1810">
        <v>13.333333333333334</v>
      </c>
      <c r="P424" s="1802">
        <f>20*7</f>
        <v>140</v>
      </c>
      <c r="Q424" s="2823">
        <f t="shared" si="76"/>
        <v>1866.6666666666667</v>
      </c>
      <c r="R424" s="2822"/>
      <c r="S424" s="1806"/>
      <c r="T424" s="1806"/>
      <c r="U424" s="1806"/>
      <c r="V424" s="1806">
        <v>1866.6666666666667</v>
      </c>
      <c r="W424" s="1806"/>
      <c r="X424" s="1807"/>
      <c r="Y424" s="1808"/>
      <c r="Z424" s="1735"/>
      <c r="AA424" s="1735"/>
      <c r="AB424" s="1735"/>
      <c r="AC424" s="1735"/>
      <c r="AD424" s="1735"/>
      <c r="AE424" s="1735"/>
      <c r="AF424" s="1735"/>
      <c r="AG424" s="1282">
        <f t="shared" si="73"/>
        <v>1866.6666666666667</v>
      </c>
    </row>
    <row r="425" spans="1:33" s="1725" customFormat="1" ht="57" hidden="1" customHeight="1">
      <c r="A425" s="1839">
        <v>3114</v>
      </c>
      <c r="B425" s="1889" t="s">
        <v>266</v>
      </c>
      <c r="C425" s="1840" t="s">
        <v>267</v>
      </c>
      <c r="D425" s="1890"/>
      <c r="E425" s="1802">
        <v>15</v>
      </c>
      <c r="F425" s="1801">
        <v>43269</v>
      </c>
      <c r="G425" s="1801">
        <f t="shared" si="74"/>
        <v>43284</v>
      </c>
      <c r="H425" s="1802" t="s">
        <v>247</v>
      </c>
      <c r="I425" s="1802" t="s">
        <v>169</v>
      </c>
      <c r="J425" s="1803" t="s">
        <v>176</v>
      </c>
      <c r="K425" s="2264" t="s">
        <v>254</v>
      </c>
      <c r="L425" s="1804">
        <v>23174</v>
      </c>
      <c r="M425" s="1544"/>
      <c r="N425" s="1802">
        <v>23174</v>
      </c>
      <c r="O425" s="1841">
        <v>10</v>
      </c>
      <c r="P425" s="887">
        <v>20</v>
      </c>
      <c r="Q425" s="2823">
        <f t="shared" si="76"/>
        <v>200</v>
      </c>
      <c r="R425" s="2822"/>
      <c r="S425" s="1806"/>
      <c r="T425" s="1806"/>
      <c r="U425" s="1806"/>
      <c r="V425" s="1806">
        <v>200</v>
      </c>
      <c r="W425" s="1806"/>
      <c r="X425" s="1807"/>
      <c r="Y425" s="1808"/>
      <c r="Z425" s="1735"/>
      <c r="AA425" s="1735"/>
      <c r="AB425" s="1735"/>
      <c r="AC425" s="1735"/>
      <c r="AD425" s="1735"/>
      <c r="AE425" s="1735"/>
      <c r="AF425" s="1735"/>
      <c r="AG425" s="1282">
        <f t="shared" si="73"/>
        <v>200</v>
      </c>
    </row>
    <row r="426" spans="1:33" s="1725" customFormat="1" ht="57" hidden="1" customHeight="1">
      <c r="A426" s="1839">
        <v>3114</v>
      </c>
      <c r="B426" s="1889" t="s">
        <v>266</v>
      </c>
      <c r="C426" s="1840" t="s">
        <v>267</v>
      </c>
      <c r="D426" s="1890"/>
      <c r="E426" s="1802">
        <v>15</v>
      </c>
      <c r="F426" s="1801">
        <v>43269</v>
      </c>
      <c r="G426" s="1801">
        <f t="shared" si="74"/>
        <v>43284</v>
      </c>
      <c r="H426" s="1802" t="s">
        <v>247</v>
      </c>
      <c r="I426" s="1802" t="s">
        <v>169</v>
      </c>
      <c r="J426" s="2263" t="s">
        <v>176</v>
      </c>
      <c r="K426" s="1735" t="s">
        <v>255</v>
      </c>
      <c r="L426" s="1892">
        <v>23174</v>
      </c>
      <c r="M426" s="1544"/>
      <c r="N426" s="1802">
        <v>23174</v>
      </c>
      <c r="O426" s="1841">
        <v>0.4</v>
      </c>
      <c r="P426" s="887">
        <v>170</v>
      </c>
      <c r="Q426" s="2823">
        <f t="shared" si="76"/>
        <v>68</v>
      </c>
      <c r="R426" s="2822"/>
      <c r="S426" s="1806"/>
      <c r="T426" s="1806"/>
      <c r="U426" s="1806"/>
      <c r="V426" s="1806">
        <v>68</v>
      </c>
      <c r="W426" s="1806"/>
      <c r="X426" s="1807"/>
      <c r="Y426" s="1808"/>
      <c r="Z426" s="1735"/>
      <c r="AA426" s="1735"/>
      <c r="AB426" s="1735"/>
      <c r="AC426" s="1735"/>
      <c r="AD426" s="1735"/>
      <c r="AE426" s="1735"/>
      <c r="AF426" s="1735"/>
      <c r="AG426" s="1282">
        <f t="shared" si="73"/>
        <v>68</v>
      </c>
    </row>
    <row r="427" spans="1:33" s="1725" customFormat="1" ht="57" hidden="1" customHeight="1">
      <c r="A427" s="1839">
        <v>3114</v>
      </c>
      <c r="B427" s="1889" t="s">
        <v>266</v>
      </c>
      <c r="C427" s="1840" t="s">
        <v>267</v>
      </c>
      <c r="D427" s="1890"/>
      <c r="E427" s="1802">
        <v>45</v>
      </c>
      <c r="F427" s="1801">
        <v>43193</v>
      </c>
      <c r="G427" s="1801">
        <f t="shared" si="74"/>
        <v>43238</v>
      </c>
      <c r="H427" s="1802" t="s">
        <v>247</v>
      </c>
      <c r="I427" s="1802" t="s">
        <v>169</v>
      </c>
      <c r="J427" s="1803" t="s">
        <v>176</v>
      </c>
      <c r="K427" s="326" t="s">
        <v>256</v>
      </c>
      <c r="L427" s="1804">
        <v>23173</v>
      </c>
      <c r="M427" s="1544"/>
      <c r="N427" s="1802">
        <v>23173</v>
      </c>
      <c r="O427" s="1841">
        <v>15</v>
      </c>
      <c r="P427" s="887">
        <v>1</v>
      </c>
      <c r="Q427" s="2823">
        <f t="shared" si="76"/>
        <v>15</v>
      </c>
      <c r="R427" s="2822"/>
      <c r="S427" s="1806"/>
      <c r="T427" s="1806"/>
      <c r="U427" s="1806">
        <v>15</v>
      </c>
      <c r="W427" s="1806"/>
      <c r="X427" s="1807"/>
      <c r="Y427" s="1808"/>
      <c r="Z427" s="1735"/>
      <c r="AA427" s="1735"/>
      <c r="AB427" s="1735"/>
      <c r="AC427" s="1735"/>
      <c r="AD427" s="1735"/>
      <c r="AE427" s="1735"/>
      <c r="AF427" s="1735"/>
      <c r="AG427" s="1282">
        <f t="shared" si="73"/>
        <v>15</v>
      </c>
    </row>
    <row r="428" spans="1:33" s="1725" customFormat="1" ht="57" hidden="1" customHeight="1">
      <c r="A428" s="1839">
        <v>3114</v>
      </c>
      <c r="B428" s="1889" t="s">
        <v>266</v>
      </c>
      <c r="C428" s="1840" t="s">
        <v>267</v>
      </c>
      <c r="D428" s="1890"/>
      <c r="E428" s="1802">
        <v>15</v>
      </c>
      <c r="F428" s="1801">
        <v>43269</v>
      </c>
      <c r="G428" s="1801">
        <f t="shared" si="74"/>
        <v>43284</v>
      </c>
      <c r="H428" s="1802" t="s">
        <v>247</v>
      </c>
      <c r="I428" s="1802" t="s">
        <v>169</v>
      </c>
      <c r="J428" s="2263" t="s">
        <v>176</v>
      </c>
      <c r="K428" s="1735" t="s">
        <v>257</v>
      </c>
      <c r="L428" s="2268">
        <v>23173</v>
      </c>
      <c r="M428" s="1544"/>
      <c r="N428" s="1802">
        <v>23172</v>
      </c>
      <c r="O428" s="1841">
        <v>66.666666666666671</v>
      </c>
      <c r="P428" s="887">
        <v>6</v>
      </c>
      <c r="Q428" s="2823">
        <f t="shared" si="76"/>
        <v>400</v>
      </c>
      <c r="R428" s="2822"/>
      <c r="S428" s="1806"/>
      <c r="T428" s="1806"/>
      <c r="U428" s="1806"/>
      <c r="V428" s="1806">
        <v>400</v>
      </c>
      <c r="W428" s="1806"/>
      <c r="X428" s="1807"/>
      <c r="Y428" s="1808"/>
      <c r="Z428" s="1735"/>
      <c r="AA428" s="1735"/>
      <c r="AB428" s="1735"/>
      <c r="AC428" s="1735"/>
      <c r="AD428" s="1735"/>
      <c r="AE428" s="1735"/>
      <c r="AF428" s="1735"/>
      <c r="AG428" s="1282">
        <f t="shared" si="73"/>
        <v>400</v>
      </c>
    </row>
    <row r="429" spans="1:33" s="1725" customFormat="1" ht="57" hidden="1" customHeight="1">
      <c r="A429" s="2909">
        <v>3115</v>
      </c>
      <c r="B429" s="2910" t="s">
        <v>269</v>
      </c>
      <c r="C429" s="2910" t="s">
        <v>270</v>
      </c>
      <c r="D429" s="2911"/>
      <c r="E429" s="2912">
        <v>15</v>
      </c>
      <c r="F429" s="2913">
        <v>43290</v>
      </c>
      <c r="G429" s="2913">
        <f t="shared" si="74"/>
        <v>43305</v>
      </c>
      <c r="H429" s="2912" t="s">
        <v>247</v>
      </c>
      <c r="I429" s="2912" t="s">
        <v>169</v>
      </c>
      <c r="J429" s="2914" t="s">
        <v>176</v>
      </c>
      <c r="L429" s="1892"/>
      <c r="M429" s="1544"/>
      <c r="N429" s="1802"/>
      <c r="O429" s="2917"/>
      <c r="P429" s="237"/>
      <c r="Q429" s="2823"/>
      <c r="R429" s="2822"/>
      <c r="S429" s="1806"/>
      <c r="T429" s="1806"/>
      <c r="U429" s="1806"/>
      <c r="V429" s="1806"/>
      <c r="W429" s="1806"/>
      <c r="X429" s="1807"/>
      <c r="Y429" s="1808"/>
      <c r="Z429" s="1735"/>
      <c r="AA429" s="1735"/>
      <c r="AB429" s="1735"/>
      <c r="AC429" s="1735"/>
      <c r="AD429" s="1735"/>
      <c r="AE429" s="1735"/>
      <c r="AF429" s="1735"/>
      <c r="AG429" s="1343"/>
    </row>
    <row r="430" spans="1:33" s="1725" customFormat="1" ht="57" hidden="1" customHeight="1">
      <c r="A430" s="1839">
        <v>3115</v>
      </c>
      <c r="B430" s="1889" t="s">
        <v>269</v>
      </c>
      <c r="C430" s="1840" t="s">
        <v>270</v>
      </c>
      <c r="D430" s="1890"/>
      <c r="E430" s="1802">
        <v>15</v>
      </c>
      <c r="F430" s="1801">
        <v>43290</v>
      </c>
      <c r="G430" s="1801">
        <f t="shared" si="74"/>
        <v>43305</v>
      </c>
      <c r="H430" s="1802" t="s">
        <v>247</v>
      </c>
      <c r="I430" s="1802" t="s">
        <v>169</v>
      </c>
      <c r="J430" s="1803" t="s">
        <v>176</v>
      </c>
      <c r="K430" s="2112" t="s">
        <v>252</v>
      </c>
      <c r="L430" s="1804">
        <v>23174</v>
      </c>
      <c r="M430" s="1544"/>
      <c r="N430" s="1802">
        <v>23174</v>
      </c>
      <c r="O430" s="1810">
        <v>12</v>
      </c>
      <c r="P430" s="1802">
        <f>20*9</f>
        <v>180</v>
      </c>
      <c r="Q430" s="2823">
        <f t="shared" si="76"/>
        <v>2160</v>
      </c>
      <c r="R430" s="2822"/>
      <c r="S430" s="1806"/>
      <c r="T430" s="1806"/>
      <c r="U430" s="1806"/>
      <c r="V430" s="1806"/>
      <c r="W430" s="1806">
        <v>2160</v>
      </c>
      <c r="X430" s="1807"/>
      <c r="Y430" s="1808"/>
      <c r="Z430" s="1735"/>
      <c r="AA430" s="1735"/>
      <c r="AB430" s="1735"/>
      <c r="AC430" s="1735"/>
      <c r="AD430" s="1735"/>
      <c r="AE430" s="1735"/>
      <c r="AF430" s="1735"/>
      <c r="AG430" s="1282">
        <f t="shared" si="73"/>
        <v>2160</v>
      </c>
    </row>
    <row r="431" spans="1:33" s="1725" customFormat="1" ht="57" hidden="1" customHeight="1">
      <c r="A431" s="1839">
        <v>3115</v>
      </c>
      <c r="B431" s="1889" t="s">
        <v>269</v>
      </c>
      <c r="C431" s="1840" t="s">
        <v>270</v>
      </c>
      <c r="D431" s="1890"/>
      <c r="E431" s="1802">
        <v>15</v>
      </c>
      <c r="F431" s="1801">
        <v>43290</v>
      </c>
      <c r="G431" s="1801">
        <f t="shared" si="74"/>
        <v>43305</v>
      </c>
      <c r="H431" s="1802" t="s">
        <v>247</v>
      </c>
      <c r="I431" s="1802" t="s">
        <v>169</v>
      </c>
      <c r="J431" s="1803" t="s">
        <v>176</v>
      </c>
      <c r="K431" s="1544" t="s">
        <v>253</v>
      </c>
      <c r="L431" s="1804">
        <v>23174</v>
      </c>
      <c r="M431" s="1544"/>
      <c r="N431" s="1802">
        <v>23174</v>
      </c>
      <c r="O431" s="1810">
        <v>13.333333333333334</v>
      </c>
      <c r="P431" s="1802">
        <f>20*8</f>
        <v>160</v>
      </c>
      <c r="Q431" s="2823">
        <f t="shared" si="76"/>
        <v>2133.3333333333335</v>
      </c>
      <c r="R431" s="2822"/>
      <c r="S431" s="1806"/>
      <c r="T431" s="1806"/>
      <c r="U431" s="1806"/>
      <c r="V431" s="1806"/>
      <c r="W431" s="1806">
        <v>2133.3333333333335</v>
      </c>
      <c r="X431" s="1807"/>
      <c r="Y431" s="1808"/>
      <c r="Z431" s="1735"/>
      <c r="AA431" s="1735"/>
      <c r="AB431" s="1735"/>
      <c r="AC431" s="1735"/>
      <c r="AD431" s="1735"/>
      <c r="AE431" s="1735"/>
      <c r="AF431" s="1735"/>
      <c r="AG431" s="1282">
        <f t="shared" si="73"/>
        <v>2133.3333333333335</v>
      </c>
    </row>
    <row r="432" spans="1:33" s="1725" customFormat="1" ht="57" hidden="1" customHeight="1">
      <c r="A432" s="1839">
        <v>3115</v>
      </c>
      <c r="B432" s="1889" t="s">
        <v>269</v>
      </c>
      <c r="C432" s="1840" t="s">
        <v>270</v>
      </c>
      <c r="D432" s="1890"/>
      <c r="E432" s="1802">
        <v>15</v>
      </c>
      <c r="F432" s="1801">
        <v>43290</v>
      </c>
      <c r="G432" s="1801">
        <f t="shared" si="74"/>
        <v>43305</v>
      </c>
      <c r="H432" s="1802" t="s">
        <v>247</v>
      </c>
      <c r="I432" s="1802" t="s">
        <v>169</v>
      </c>
      <c r="J432" s="1803" t="s">
        <v>176</v>
      </c>
      <c r="K432" s="2264" t="s">
        <v>254</v>
      </c>
      <c r="L432" s="1804">
        <v>23174</v>
      </c>
      <c r="M432" s="1544"/>
      <c r="N432" s="1802">
        <v>23174</v>
      </c>
      <c r="O432" s="1841">
        <v>10</v>
      </c>
      <c r="P432" s="887">
        <v>20</v>
      </c>
      <c r="Q432" s="2823">
        <f t="shared" si="76"/>
        <v>200</v>
      </c>
      <c r="R432" s="2822"/>
      <c r="S432" s="1806"/>
      <c r="T432" s="1806"/>
      <c r="U432" s="1806"/>
      <c r="V432" s="1806"/>
      <c r="W432" s="1806">
        <v>200</v>
      </c>
      <c r="X432" s="1807"/>
      <c r="Y432" s="1808"/>
      <c r="Z432" s="1735"/>
      <c r="AA432" s="1735"/>
      <c r="AB432" s="1735"/>
      <c r="AC432" s="1735"/>
      <c r="AD432" s="1735"/>
      <c r="AE432" s="1735"/>
      <c r="AF432" s="1735"/>
      <c r="AG432" s="1282">
        <f t="shared" si="73"/>
        <v>200</v>
      </c>
    </row>
    <row r="433" spans="1:33" s="1725" customFormat="1" ht="57" hidden="1" customHeight="1">
      <c r="A433" s="1839">
        <v>3115</v>
      </c>
      <c r="B433" s="1889" t="s">
        <v>269</v>
      </c>
      <c r="C433" s="1840" t="s">
        <v>270</v>
      </c>
      <c r="D433" s="1890"/>
      <c r="E433" s="1802">
        <v>15</v>
      </c>
      <c r="F433" s="1801">
        <v>43290</v>
      </c>
      <c r="G433" s="1801">
        <f t="shared" si="74"/>
        <v>43305</v>
      </c>
      <c r="H433" s="1802" t="s">
        <v>247</v>
      </c>
      <c r="I433" s="1802" t="s">
        <v>169</v>
      </c>
      <c r="J433" s="2263" t="s">
        <v>176</v>
      </c>
      <c r="K433" s="1735" t="s">
        <v>255</v>
      </c>
      <c r="L433" s="1892">
        <v>23174</v>
      </c>
      <c r="M433" s="1544"/>
      <c r="N433" s="1802">
        <v>23174</v>
      </c>
      <c r="O433" s="1841">
        <v>0.4</v>
      </c>
      <c r="P433" s="887">
        <v>170</v>
      </c>
      <c r="Q433" s="2823">
        <f t="shared" si="76"/>
        <v>68</v>
      </c>
      <c r="R433" s="2822"/>
      <c r="S433" s="1806"/>
      <c r="T433" s="1806"/>
      <c r="U433" s="1806"/>
      <c r="V433" s="1806"/>
      <c r="W433" s="1806">
        <v>68</v>
      </c>
      <c r="X433" s="1807"/>
      <c r="Y433" s="1808"/>
      <c r="Z433" s="1735"/>
      <c r="AA433" s="1735"/>
      <c r="AB433" s="1735"/>
      <c r="AC433" s="1735"/>
      <c r="AD433" s="1735"/>
      <c r="AE433" s="1735"/>
      <c r="AF433" s="1735"/>
      <c r="AG433" s="1282">
        <f t="shared" si="73"/>
        <v>68</v>
      </c>
    </row>
    <row r="434" spans="1:33" s="1725" customFormat="1" ht="57" hidden="1" customHeight="1">
      <c r="A434" s="1839">
        <v>3115</v>
      </c>
      <c r="B434" s="1889" t="s">
        <v>269</v>
      </c>
      <c r="C434" s="1840" t="s">
        <v>270</v>
      </c>
      <c r="D434" s="1890"/>
      <c r="E434" s="1802">
        <v>45</v>
      </c>
      <c r="F434" s="1801">
        <v>43193</v>
      </c>
      <c r="G434" s="1801">
        <f t="shared" si="74"/>
        <v>43238</v>
      </c>
      <c r="H434" s="1802" t="s">
        <v>247</v>
      </c>
      <c r="I434" s="1802" t="s">
        <v>169</v>
      </c>
      <c r="J434" s="1803" t="s">
        <v>176</v>
      </c>
      <c r="K434" s="326" t="s">
        <v>256</v>
      </c>
      <c r="L434" s="1804">
        <v>23173</v>
      </c>
      <c r="M434" s="1544"/>
      <c r="N434" s="1802">
        <v>23173</v>
      </c>
      <c r="O434" s="1841">
        <v>72.333333333333329</v>
      </c>
      <c r="P434" s="887">
        <v>1</v>
      </c>
      <c r="Q434" s="2823">
        <f t="shared" si="76"/>
        <v>72.333333333333329</v>
      </c>
      <c r="R434" s="2822"/>
      <c r="S434" s="1806"/>
      <c r="T434" s="1806"/>
      <c r="U434" s="1806">
        <v>72.333333333333329</v>
      </c>
      <c r="V434" s="1806"/>
      <c r="X434" s="1807"/>
      <c r="Y434" s="1808"/>
      <c r="Z434" s="1735"/>
      <c r="AA434" s="1735"/>
      <c r="AB434" s="1735"/>
      <c r="AC434" s="1735"/>
      <c r="AD434" s="1735"/>
      <c r="AE434" s="1735"/>
      <c r="AF434" s="1735"/>
      <c r="AG434" s="1282">
        <f t="shared" si="73"/>
        <v>72.333333333333329</v>
      </c>
    </row>
    <row r="435" spans="1:33" s="1725" customFormat="1" ht="57" hidden="1" customHeight="1">
      <c r="A435" s="1839">
        <v>3115</v>
      </c>
      <c r="B435" s="1889" t="s">
        <v>269</v>
      </c>
      <c r="C435" s="1840" t="s">
        <v>270</v>
      </c>
      <c r="D435" s="1890"/>
      <c r="E435" s="1802">
        <v>15</v>
      </c>
      <c r="F435" s="1801">
        <v>43290</v>
      </c>
      <c r="G435" s="1801">
        <f t="shared" si="74"/>
        <v>43305</v>
      </c>
      <c r="H435" s="1802" t="s">
        <v>247</v>
      </c>
      <c r="I435" s="1802" t="s">
        <v>169</v>
      </c>
      <c r="J435" s="1891" t="s">
        <v>176</v>
      </c>
      <c r="K435" s="1735" t="s">
        <v>257</v>
      </c>
      <c r="L435" s="1892">
        <v>23173</v>
      </c>
      <c r="M435" s="1544"/>
      <c r="N435" s="1802">
        <v>23172</v>
      </c>
      <c r="O435" s="1841">
        <v>66.666666666666671</v>
      </c>
      <c r="P435" s="887">
        <v>7</v>
      </c>
      <c r="Q435" s="2823">
        <f t="shared" si="76"/>
        <v>466.66666666666669</v>
      </c>
      <c r="R435" s="2822"/>
      <c r="S435" s="1806"/>
      <c r="T435" s="1806"/>
      <c r="U435" s="1806"/>
      <c r="V435" s="1806"/>
      <c r="W435" s="1806">
        <v>466.66666666666669</v>
      </c>
      <c r="X435" s="1807"/>
      <c r="Y435" s="1808"/>
      <c r="Z435" s="1735"/>
      <c r="AA435" s="1735"/>
      <c r="AB435" s="1735"/>
      <c r="AC435" s="1735"/>
      <c r="AD435" s="1735"/>
      <c r="AE435" s="1735"/>
      <c r="AF435" s="1735"/>
      <c r="AG435" s="1282">
        <f t="shared" si="73"/>
        <v>466.66666666666669</v>
      </c>
    </row>
    <row r="436" spans="1:33" s="1725" customFormat="1" ht="57" hidden="1" customHeight="1">
      <c r="A436" s="2909">
        <v>3116</v>
      </c>
      <c r="B436" s="2910" t="s">
        <v>271</v>
      </c>
      <c r="C436" s="2910" t="s">
        <v>272</v>
      </c>
      <c r="D436" s="2911"/>
      <c r="E436" s="2912">
        <v>15</v>
      </c>
      <c r="F436" s="2913">
        <v>43311</v>
      </c>
      <c r="G436" s="2913">
        <f t="shared" si="74"/>
        <v>43326</v>
      </c>
      <c r="H436" s="2912" t="s">
        <v>247</v>
      </c>
      <c r="I436" s="2912" t="s">
        <v>169</v>
      </c>
      <c r="J436" s="2918" t="s">
        <v>176</v>
      </c>
      <c r="K436" s="1735"/>
      <c r="L436" s="1892"/>
      <c r="M436" s="1544"/>
      <c r="N436" s="1802"/>
      <c r="O436" s="1744"/>
      <c r="P436" s="2834"/>
      <c r="Q436" s="2823"/>
      <c r="R436" s="2822"/>
      <c r="S436" s="1806"/>
      <c r="T436" s="1806"/>
      <c r="U436" s="1806"/>
      <c r="V436" s="1806"/>
      <c r="W436" s="1806"/>
      <c r="X436" s="1807"/>
      <c r="Y436" s="1808"/>
      <c r="Z436" s="1735"/>
      <c r="AA436" s="1735"/>
      <c r="AB436" s="1735"/>
      <c r="AC436" s="1735"/>
      <c r="AD436" s="1735"/>
      <c r="AE436" s="1735"/>
      <c r="AF436" s="1735"/>
      <c r="AG436" s="1343"/>
    </row>
    <row r="437" spans="1:33" s="1725" customFormat="1" ht="57" hidden="1" customHeight="1">
      <c r="A437" s="1839">
        <v>3116</v>
      </c>
      <c r="B437" s="1889" t="s">
        <v>271</v>
      </c>
      <c r="C437" s="1840" t="s">
        <v>272</v>
      </c>
      <c r="D437" s="1890"/>
      <c r="E437" s="1802">
        <v>15</v>
      </c>
      <c r="F437" s="1801">
        <v>43311</v>
      </c>
      <c r="G437" s="1801">
        <f t="shared" si="74"/>
        <v>43326</v>
      </c>
      <c r="H437" s="1802" t="s">
        <v>247</v>
      </c>
      <c r="I437" s="1802" t="s">
        <v>169</v>
      </c>
      <c r="J437" s="1891" t="s">
        <v>176</v>
      </c>
      <c r="K437" s="1735" t="s">
        <v>273</v>
      </c>
      <c r="L437" s="1892">
        <v>23173</v>
      </c>
      <c r="M437" s="1544"/>
      <c r="N437" s="1802">
        <v>23173</v>
      </c>
      <c r="O437" s="1841">
        <v>0.4</v>
      </c>
      <c r="P437" s="887">
        <v>170</v>
      </c>
      <c r="Q437" s="2823">
        <f>O437*P437</f>
        <v>68</v>
      </c>
      <c r="R437" s="2822"/>
      <c r="S437" s="1806"/>
      <c r="T437" s="1806"/>
      <c r="U437" s="1806"/>
      <c r="V437" s="1806"/>
      <c r="W437" s="1806"/>
      <c r="X437" s="1807">
        <v>68</v>
      </c>
      <c r="Y437" s="1808"/>
      <c r="Z437" s="1735"/>
      <c r="AA437" s="1735"/>
      <c r="AB437" s="1735"/>
      <c r="AC437" s="1735"/>
      <c r="AD437" s="1735"/>
      <c r="AE437" s="1735"/>
      <c r="AF437" s="1735"/>
      <c r="AG437" s="1282">
        <f t="shared" si="73"/>
        <v>68</v>
      </c>
    </row>
    <row r="438" spans="1:33" s="1725" customFormat="1" ht="57" hidden="1" customHeight="1">
      <c r="A438" s="1839">
        <v>3116</v>
      </c>
      <c r="B438" s="1889" t="s">
        <v>271</v>
      </c>
      <c r="C438" s="1840" t="s">
        <v>272</v>
      </c>
      <c r="D438" s="1890"/>
      <c r="E438" s="1802">
        <v>45</v>
      </c>
      <c r="F438" s="1801">
        <v>43193</v>
      </c>
      <c r="G438" s="1801">
        <f t="shared" si="74"/>
        <v>43238</v>
      </c>
      <c r="H438" s="1802" t="s">
        <v>247</v>
      </c>
      <c r="I438" s="1802" t="s">
        <v>169</v>
      </c>
      <c r="J438" s="1803" t="s">
        <v>176</v>
      </c>
      <c r="K438" s="326" t="s">
        <v>256</v>
      </c>
      <c r="L438" s="1804">
        <v>23173</v>
      </c>
      <c r="M438" s="1544"/>
      <c r="N438" s="1802">
        <v>23173</v>
      </c>
      <c r="O438" s="1841">
        <v>48.666666666666664</v>
      </c>
      <c r="P438" s="887">
        <v>1</v>
      </c>
      <c r="Q438" s="2823">
        <f>O438*P438</f>
        <v>48.666666666666664</v>
      </c>
      <c r="R438" s="2822"/>
      <c r="S438" s="1806"/>
      <c r="T438" s="1806"/>
      <c r="U438" s="1806">
        <v>48.666666666666664</v>
      </c>
      <c r="V438" s="1806"/>
      <c r="W438" s="1806"/>
      <c r="Y438" s="1808"/>
      <c r="Z438" s="1735"/>
      <c r="AA438" s="1735"/>
      <c r="AB438" s="1735"/>
      <c r="AC438" s="1735"/>
      <c r="AD438" s="1735"/>
      <c r="AE438" s="1735"/>
      <c r="AF438" s="1735"/>
      <c r="AG438" s="1282">
        <f t="shared" si="73"/>
        <v>48.666666666666664</v>
      </c>
    </row>
    <row r="439" spans="1:33" s="1725" customFormat="1" ht="57" hidden="1" customHeight="1">
      <c r="A439" s="1839">
        <v>3116</v>
      </c>
      <c r="B439" s="1889" t="s">
        <v>271</v>
      </c>
      <c r="C439" s="1840" t="s">
        <v>272</v>
      </c>
      <c r="D439" s="1890"/>
      <c r="E439" s="1802">
        <v>15</v>
      </c>
      <c r="F439" s="1801">
        <v>43311</v>
      </c>
      <c r="G439" s="1801">
        <f t="shared" si="74"/>
        <v>43326</v>
      </c>
      <c r="H439" s="1802" t="s">
        <v>247</v>
      </c>
      <c r="I439" s="1802" t="s">
        <v>169</v>
      </c>
      <c r="J439" s="1803" t="s">
        <v>176</v>
      </c>
      <c r="K439" s="1725" t="s">
        <v>257</v>
      </c>
      <c r="L439" s="1804">
        <v>23173</v>
      </c>
      <c r="M439" s="1544"/>
      <c r="N439" s="1802">
        <v>23172</v>
      </c>
      <c r="O439" s="1841">
        <v>66.666666666666671</v>
      </c>
      <c r="P439" s="887">
        <v>1</v>
      </c>
      <c r="Q439" s="2823">
        <f>O439*P439</f>
        <v>66.666666666666671</v>
      </c>
      <c r="R439" s="2822"/>
      <c r="S439" s="1806"/>
      <c r="T439" s="1806"/>
      <c r="U439" s="1806"/>
      <c r="V439" s="1806"/>
      <c r="W439" s="1806"/>
      <c r="X439" s="1807">
        <v>66.666666666666671</v>
      </c>
      <c r="Y439" s="1808"/>
      <c r="Z439" s="1735"/>
      <c r="AA439" s="1735"/>
      <c r="AB439" s="1735"/>
      <c r="AC439" s="1735"/>
      <c r="AD439" s="1735"/>
      <c r="AE439" s="1735"/>
      <c r="AF439" s="1735"/>
      <c r="AG439" s="1282">
        <f t="shared" si="73"/>
        <v>66.666666666666671</v>
      </c>
    </row>
    <row r="440" spans="1:33" s="280" customFormat="1" ht="24" customHeight="1">
      <c r="A440" s="1248" t="s">
        <v>274</v>
      </c>
      <c r="B440" s="274"/>
      <c r="C440" s="278"/>
      <c r="D440" s="1270"/>
      <c r="E440" s="1270"/>
      <c r="F440" s="1270"/>
      <c r="G440" s="1270"/>
      <c r="H440" s="1270"/>
      <c r="I440" s="1270"/>
      <c r="J440" s="273"/>
      <c r="K440" s="1248"/>
      <c r="L440" s="1269"/>
      <c r="M440" s="1270"/>
      <c r="N440" s="1268"/>
      <c r="O440" s="1272"/>
      <c r="P440" s="1268"/>
      <c r="Q440" s="1273">
        <f>+Q441+Q449+Q458+Q475+Q483+Q490</f>
        <v>99999.71</v>
      </c>
      <c r="R440" s="1273">
        <v>100000</v>
      </c>
      <c r="S440" s="1272">
        <f t="shared" ref="S440:AG440" si="77">+S441+S449+S458+S475+S483+S490</f>
        <v>0</v>
      </c>
      <c r="T440" s="1272">
        <f t="shared" si="77"/>
        <v>0</v>
      </c>
      <c r="U440" s="1272">
        <f t="shared" si="77"/>
        <v>0</v>
      </c>
      <c r="V440" s="1272">
        <f t="shared" si="77"/>
        <v>0</v>
      </c>
      <c r="W440" s="1272">
        <f t="shared" si="77"/>
        <v>51037.666666666672</v>
      </c>
      <c r="X440" s="1272">
        <f t="shared" si="77"/>
        <v>26295.376666666667</v>
      </c>
      <c r="Y440" s="1272">
        <f t="shared" si="77"/>
        <v>0</v>
      </c>
      <c r="Z440" s="276">
        <f t="shared" si="77"/>
        <v>22666.666666666668</v>
      </c>
      <c r="AA440" s="276">
        <f t="shared" si="77"/>
        <v>0</v>
      </c>
      <c r="AB440" s="276">
        <f t="shared" si="77"/>
        <v>0</v>
      </c>
      <c r="AC440" s="276">
        <f t="shared" si="77"/>
        <v>0</v>
      </c>
      <c r="AD440" s="276">
        <f t="shared" si="77"/>
        <v>0</v>
      </c>
      <c r="AE440" s="276">
        <f t="shared" si="77"/>
        <v>0</v>
      </c>
      <c r="AF440" s="276">
        <f t="shared" si="77"/>
        <v>0</v>
      </c>
      <c r="AG440" s="1272">
        <f t="shared" si="77"/>
        <v>99999.71</v>
      </c>
    </row>
    <row r="441" spans="1:33" s="550" customFormat="1" ht="36.75" customHeight="1">
      <c r="A441" s="1275">
        <v>321</v>
      </c>
      <c r="B441" s="523" t="s">
        <v>552</v>
      </c>
      <c r="C441" s="1504"/>
      <c r="D441" s="1358"/>
      <c r="E441" s="1358"/>
      <c r="F441" s="1358"/>
      <c r="G441" s="1358"/>
      <c r="H441" s="1358"/>
      <c r="I441" s="1358"/>
      <c r="J441" s="543"/>
      <c r="K441" s="1545"/>
      <c r="L441" s="1389"/>
      <c r="M441" s="1390"/>
      <c r="N441" s="1388"/>
      <c r="O441" s="1282"/>
      <c r="P441" s="1388"/>
      <c r="Q441" s="547">
        <f>SUM(Q443:Q448)</f>
        <v>22794.666666666668</v>
      </c>
      <c r="R441" s="547"/>
      <c r="S441" s="1282">
        <f t="shared" ref="S441:AF441" si="78">SUM(S443:S448)</f>
        <v>0</v>
      </c>
      <c r="T441" s="1282">
        <f t="shared" si="78"/>
        <v>0</v>
      </c>
      <c r="U441" s="1282">
        <f t="shared" si="78"/>
        <v>0</v>
      </c>
      <c r="V441" s="1282">
        <f t="shared" si="78"/>
        <v>0</v>
      </c>
      <c r="W441" s="1282">
        <f t="shared" si="78"/>
        <v>22794.666666666668</v>
      </c>
      <c r="X441" s="1282">
        <f t="shared" si="78"/>
        <v>0</v>
      </c>
      <c r="Y441" s="1282">
        <f t="shared" si="78"/>
        <v>0</v>
      </c>
      <c r="Z441" s="1282">
        <f t="shared" si="78"/>
        <v>0</v>
      </c>
      <c r="AA441" s="1282">
        <f t="shared" si="78"/>
        <v>0</v>
      </c>
      <c r="AB441" s="1282">
        <f t="shared" si="78"/>
        <v>0</v>
      </c>
      <c r="AC441" s="1282">
        <f t="shared" si="78"/>
        <v>0</v>
      </c>
      <c r="AD441" s="1282">
        <f t="shared" si="78"/>
        <v>0</v>
      </c>
      <c r="AE441" s="1282">
        <f t="shared" si="78"/>
        <v>0</v>
      </c>
      <c r="AF441" s="1282">
        <f t="shared" si="78"/>
        <v>0</v>
      </c>
      <c r="AG441" s="1282">
        <f>SUM(S441:AF441)</f>
        <v>22794.666666666668</v>
      </c>
    </row>
    <row r="442" spans="1:33" s="550" customFormat="1" ht="36.75" hidden="1" customHeight="1">
      <c r="A442" s="998">
        <v>3211</v>
      </c>
      <c r="B442" s="2790" t="s">
        <v>556</v>
      </c>
      <c r="C442" s="2790" t="s">
        <v>559</v>
      </c>
      <c r="D442" s="2789" t="s">
        <v>514</v>
      </c>
      <c r="E442" s="2789">
        <v>45</v>
      </c>
      <c r="F442" s="2881">
        <v>43194</v>
      </c>
      <c r="G442" s="2881">
        <f>+E442+F442</f>
        <v>43239</v>
      </c>
      <c r="H442" s="2924" t="s">
        <v>555</v>
      </c>
      <c r="I442" s="2789" t="s">
        <v>169</v>
      </c>
      <c r="J442" s="2793" t="s">
        <v>177</v>
      </c>
      <c r="K442" s="2920"/>
      <c r="L442" s="2921"/>
      <c r="M442" s="2734"/>
      <c r="N442" s="2922"/>
      <c r="O442" s="2739"/>
      <c r="P442" s="2922"/>
      <c r="Q442" s="2809"/>
      <c r="R442" s="2809"/>
      <c r="S442" s="2739"/>
      <c r="T442" s="2739"/>
      <c r="U442" s="2739"/>
      <c r="V442" s="2739"/>
      <c r="W442" s="2739"/>
      <c r="X442" s="2923"/>
      <c r="Y442" s="2739"/>
      <c r="Z442" s="2739"/>
      <c r="AA442" s="2739"/>
      <c r="AB442" s="2739"/>
      <c r="AC442" s="2739"/>
      <c r="AD442" s="2739"/>
      <c r="AE442" s="2739"/>
      <c r="AF442" s="2739"/>
      <c r="AG442" s="2739"/>
    </row>
    <row r="443" spans="1:33" s="280" customFormat="1" hidden="1">
      <c r="A443" s="294">
        <v>3212</v>
      </c>
      <c r="B443" s="291" t="s">
        <v>556</v>
      </c>
      <c r="C443" s="824" t="s">
        <v>559</v>
      </c>
      <c r="D443" s="294" t="s">
        <v>514</v>
      </c>
      <c r="E443" s="294">
        <v>45</v>
      </c>
      <c r="F443" s="829">
        <v>43194</v>
      </c>
      <c r="G443" s="829">
        <f>+E443+F443</f>
        <v>43239</v>
      </c>
      <c r="H443" s="1391" t="s">
        <v>555</v>
      </c>
      <c r="I443" s="294" t="s">
        <v>169</v>
      </c>
      <c r="J443" s="307" t="s">
        <v>177</v>
      </c>
      <c r="K443" s="326" t="s">
        <v>302</v>
      </c>
      <c r="L443" s="1241">
        <v>23173</v>
      </c>
      <c r="M443" s="296"/>
      <c r="N443" s="294"/>
      <c r="O443" s="355">
        <v>202.6</v>
      </c>
      <c r="P443" s="294">
        <v>1</v>
      </c>
      <c r="Q443" s="299">
        <f>O443*P443</f>
        <v>202.6</v>
      </c>
      <c r="R443" s="299"/>
      <c r="S443" s="298"/>
      <c r="T443" s="298"/>
      <c r="U443" s="298"/>
      <c r="V443" s="298"/>
      <c r="W443" s="355">
        <v>202.6</v>
      </c>
      <c r="X443" s="1137"/>
      <c r="Y443" s="1126"/>
      <c r="Z443" s="1126"/>
      <c r="AA443" s="1126"/>
      <c r="AB443" s="1126"/>
      <c r="AC443" s="1126"/>
      <c r="AD443" s="1126"/>
      <c r="AE443" s="1126"/>
      <c r="AF443" s="1126"/>
      <c r="AG443" s="1282">
        <f t="shared" ref="AG443:AG448" si="79">SUM(S443:AF443)</f>
        <v>202.6</v>
      </c>
    </row>
    <row r="444" spans="1:33" s="280" customFormat="1" hidden="1">
      <c r="A444" s="294">
        <v>3212</v>
      </c>
      <c r="B444" s="291" t="s">
        <v>556</v>
      </c>
      <c r="C444" s="824" t="s">
        <v>560</v>
      </c>
      <c r="D444" s="1391"/>
      <c r="E444" s="294">
        <f>10</f>
        <v>10</v>
      </c>
      <c r="F444" s="829">
        <v>43252</v>
      </c>
      <c r="G444" s="829">
        <f>+F444+E444</f>
        <v>43262</v>
      </c>
      <c r="H444" s="1391" t="s">
        <v>555</v>
      </c>
      <c r="I444" s="294" t="s">
        <v>177</v>
      </c>
      <c r="J444" s="307"/>
      <c r="K444" s="326" t="s">
        <v>561</v>
      </c>
      <c r="L444" s="1241">
        <v>23174</v>
      </c>
      <c r="M444" s="296"/>
      <c r="N444" s="294"/>
      <c r="O444" s="1364">
        <v>4064</v>
      </c>
      <c r="P444" s="294">
        <v>1</v>
      </c>
      <c r="Q444" s="299">
        <f>O444*P444</f>
        <v>4064</v>
      </c>
      <c r="R444" s="299"/>
      <c r="S444" s="298"/>
      <c r="T444" s="298"/>
      <c r="U444" s="298"/>
      <c r="V444" s="298"/>
      <c r="W444" s="355">
        <v>4064</v>
      </c>
      <c r="X444" s="1137"/>
      <c r="Y444" s="1126"/>
      <c r="Z444" s="1126"/>
      <c r="AA444" s="1126"/>
      <c r="AB444" s="1126"/>
      <c r="AC444" s="1126"/>
      <c r="AD444" s="1126"/>
      <c r="AE444" s="1126"/>
      <c r="AF444" s="1126"/>
      <c r="AG444" s="1282">
        <f t="shared" si="79"/>
        <v>4064</v>
      </c>
    </row>
    <row r="445" spans="1:33" s="280" customFormat="1" hidden="1">
      <c r="A445" s="294">
        <v>3212</v>
      </c>
      <c r="B445" s="291" t="s">
        <v>556</v>
      </c>
      <c r="C445" s="824" t="s">
        <v>562</v>
      </c>
      <c r="D445" s="1391"/>
      <c r="E445" s="294">
        <f>10</f>
        <v>10</v>
      </c>
      <c r="F445" s="829">
        <v>43252</v>
      </c>
      <c r="G445" s="829">
        <f>+F445+E445</f>
        <v>43262</v>
      </c>
      <c r="H445" s="1391" t="s">
        <v>555</v>
      </c>
      <c r="I445" s="294" t="s">
        <v>177</v>
      </c>
      <c r="J445" s="307"/>
      <c r="K445" s="326" t="s">
        <v>563</v>
      </c>
      <c r="L445" s="1241">
        <v>23174</v>
      </c>
      <c r="M445" s="296"/>
      <c r="N445" s="294"/>
      <c r="O445" s="355">
        <v>1640</v>
      </c>
      <c r="P445" s="294">
        <v>1</v>
      </c>
      <c r="Q445" s="299">
        <f>O445*P445</f>
        <v>1640</v>
      </c>
      <c r="R445" s="299"/>
      <c r="S445" s="298"/>
      <c r="T445" s="298"/>
      <c r="U445" s="298"/>
      <c r="V445" s="298"/>
      <c r="W445" s="355">
        <v>1640</v>
      </c>
      <c r="X445" s="1137"/>
      <c r="Y445" s="1126"/>
      <c r="Z445" s="1126"/>
      <c r="AA445" s="1126"/>
      <c r="AB445" s="1126"/>
      <c r="AC445" s="1126"/>
      <c r="AD445" s="1126"/>
      <c r="AE445" s="1126"/>
      <c r="AF445" s="1126"/>
      <c r="AG445" s="1282">
        <f t="shared" si="79"/>
        <v>1640</v>
      </c>
    </row>
    <row r="446" spans="1:33" s="280" customFormat="1" hidden="1">
      <c r="A446" s="294">
        <v>3212</v>
      </c>
      <c r="B446" s="291" t="s">
        <v>556</v>
      </c>
      <c r="C446" s="824" t="s">
        <v>564</v>
      </c>
      <c r="D446" s="1391"/>
      <c r="E446" s="294">
        <f>10</f>
        <v>10</v>
      </c>
      <c r="F446" s="829">
        <v>43252</v>
      </c>
      <c r="G446" s="829">
        <f>+F446+E446</f>
        <v>43262</v>
      </c>
      <c r="H446" s="1391" t="s">
        <v>555</v>
      </c>
      <c r="I446" s="294" t="s">
        <v>177</v>
      </c>
      <c r="J446" s="307"/>
      <c r="K446" s="326" t="s">
        <v>565</v>
      </c>
      <c r="L446" s="1241">
        <v>23174</v>
      </c>
      <c r="M446" s="296"/>
      <c r="N446" s="294"/>
      <c r="O446" s="355">
        <v>426.73333333333335</v>
      </c>
      <c r="P446" s="294">
        <v>1</v>
      </c>
      <c r="Q446" s="299">
        <f>O446*P446</f>
        <v>426.73333333333335</v>
      </c>
      <c r="R446" s="299"/>
      <c r="S446" s="298"/>
      <c r="T446" s="298"/>
      <c r="U446" s="298"/>
      <c r="V446" s="298"/>
      <c r="W446" s="355">
        <v>426.73333333333335</v>
      </c>
      <c r="X446" s="1137"/>
      <c r="Y446" s="1126"/>
      <c r="Z446" s="1126"/>
      <c r="AA446" s="1126"/>
      <c r="AB446" s="1126"/>
      <c r="AC446" s="1126"/>
      <c r="AD446" s="1126"/>
      <c r="AE446" s="1126"/>
      <c r="AF446" s="1126"/>
      <c r="AG446" s="1282">
        <f t="shared" si="79"/>
        <v>426.73333333333335</v>
      </c>
    </row>
    <row r="447" spans="1:33" s="280" customFormat="1" hidden="1">
      <c r="A447" s="294">
        <v>3212</v>
      </c>
      <c r="B447" s="291" t="s">
        <v>556</v>
      </c>
      <c r="C447" s="824" t="s">
        <v>566</v>
      </c>
      <c r="D447" s="1391"/>
      <c r="E447" s="294">
        <f>10</f>
        <v>10</v>
      </c>
      <c r="F447" s="829">
        <v>43252</v>
      </c>
      <c r="G447" s="829">
        <f>+F447+E447</f>
        <v>43262</v>
      </c>
      <c r="H447" s="1391" t="s">
        <v>555</v>
      </c>
      <c r="I447" s="294" t="s">
        <v>169</v>
      </c>
      <c r="J447" s="307" t="s">
        <v>177</v>
      </c>
      <c r="K447" s="326" t="s">
        <v>486</v>
      </c>
      <c r="L447" s="1241">
        <v>23173</v>
      </c>
      <c r="M447" s="296"/>
      <c r="N447" s="294"/>
      <c r="O447" s="355">
        <v>333.33333333333331</v>
      </c>
      <c r="P447" s="294">
        <v>1</v>
      </c>
      <c r="Q447" s="299">
        <f>O447*P447</f>
        <v>333.33333333333331</v>
      </c>
      <c r="R447" s="299"/>
      <c r="S447" s="298"/>
      <c r="T447" s="298"/>
      <c r="U447" s="298"/>
      <c r="V447" s="298"/>
      <c r="W447" s="355">
        <v>333.33333333333331</v>
      </c>
      <c r="X447" s="1137"/>
      <c r="Y447" s="1126"/>
      <c r="Z447" s="1126"/>
      <c r="AA447" s="1126"/>
      <c r="AB447" s="1126"/>
      <c r="AC447" s="1126"/>
      <c r="AD447" s="1126"/>
      <c r="AE447" s="1126"/>
      <c r="AF447" s="1126"/>
      <c r="AG447" s="1282">
        <f t="shared" si="79"/>
        <v>333.33333333333331</v>
      </c>
    </row>
    <row r="448" spans="1:33" s="280" customFormat="1" hidden="1">
      <c r="A448" s="294">
        <v>3212</v>
      </c>
      <c r="B448" s="291" t="s">
        <v>570</v>
      </c>
      <c r="C448" s="824" t="s">
        <v>571</v>
      </c>
      <c r="D448" s="294"/>
      <c r="E448" s="294"/>
      <c r="F448" s="829">
        <v>43282</v>
      </c>
      <c r="G448" s="829"/>
      <c r="H448" s="294" t="s">
        <v>555</v>
      </c>
      <c r="I448" s="1393" t="s">
        <v>169</v>
      </c>
      <c r="J448" s="307" t="s">
        <v>177</v>
      </c>
      <c r="K448" s="326" t="s">
        <v>302</v>
      </c>
      <c r="L448" s="1241">
        <v>23173</v>
      </c>
      <c r="M448" s="296"/>
      <c r="N448" s="294"/>
      <c r="O448" s="487">
        <v>0.63</v>
      </c>
      <c r="P448" s="1014">
        <v>25600</v>
      </c>
      <c r="Q448" s="518">
        <f>+O448*P448</f>
        <v>16128</v>
      </c>
      <c r="R448" s="518"/>
      <c r="S448" s="493"/>
      <c r="T448" s="493"/>
      <c r="U448" s="493"/>
      <c r="V448" s="493"/>
      <c r="W448" s="487">
        <v>16128</v>
      </c>
      <c r="X448" s="1138"/>
      <c r="Y448" s="1156"/>
      <c r="Z448" s="1156"/>
      <c r="AA448" s="1156"/>
      <c r="AB448" s="1156"/>
      <c r="AC448" s="1156"/>
      <c r="AD448" s="1156"/>
      <c r="AE448" s="1156"/>
      <c r="AF448" s="1156"/>
      <c r="AG448" s="1282">
        <f t="shared" si="79"/>
        <v>16128</v>
      </c>
    </row>
    <row r="449" spans="1:33" s="280" customFormat="1">
      <c r="A449" s="1275">
        <v>322</v>
      </c>
      <c r="B449" s="523" t="s">
        <v>572</v>
      </c>
      <c r="C449" s="1504"/>
      <c r="D449" s="1358"/>
      <c r="E449" s="1358"/>
      <c r="F449" s="1358"/>
      <c r="G449" s="1358"/>
      <c r="H449" s="1358"/>
      <c r="I449" s="1358"/>
      <c r="J449" s="283"/>
      <c r="K449" s="1278"/>
      <c r="L449" s="1394"/>
      <c r="M449" s="495"/>
      <c r="N449" s="1277"/>
      <c r="O449" s="1395"/>
      <c r="P449" s="1277"/>
      <c r="Q449" s="547">
        <f>SUM(Q452:Q457)</f>
        <v>7666.666666666667</v>
      </c>
      <c r="R449" s="287"/>
      <c r="S449" s="1282">
        <f t="shared" ref="S449:AF449" si="80">SUM(S452:S457)</f>
        <v>0</v>
      </c>
      <c r="T449" s="1282">
        <f t="shared" si="80"/>
        <v>0</v>
      </c>
      <c r="U449" s="1282">
        <f t="shared" si="80"/>
        <v>0</v>
      </c>
      <c r="V449" s="1282">
        <f t="shared" si="80"/>
        <v>0</v>
      </c>
      <c r="W449" s="1282">
        <f t="shared" si="80"/>
        <v>0</v>
      </c>
      <c r="X449" s="1282">
        <f t="shared" si="80"/>
        <v>0</v>
      </c>
      <c r="Y449" s="1282">
        <f t="shared" si="80"/>
        <v>0</v>
      </c>
      <c r="Z449" s="1282">
        <f t="shared" si="80"/>
        <v>7666.666666666667</v>
      </c>
      <c r="AA449" s="1282">
        <f t="shared" si="80"/>
        <v>0</v>
      </c>
      <c r="AB449" s="1282">
        <f t="shared" si="80"/>
        <v>0</v>
      </c>
      <c r="AC449" s="1282">
        <f t="shared" si="80"/>
        <v>0</v>
      </c>
      <c r="AD449" s="1282">
        <f t="shared" si="80"/>
        <v>0</v>
      </c>
      <c r="AE449" s="1282">
        <f t="shared" si="80"/>
        <v>0</v>
      </c>
      <c r="AF449" s="1282">
        <f t="shared" si="80"/>
        <v>0</v>
      </c>
      <c r="AG449" s="1282">
        <f>SUM(S449:AF449)</f>
        <v>7666.666666666667</v>
      </c>
    </row>
    <row r="450" spans="1:33" s="280" customFormat="1">
      <c r="A450" s="2731"/>
      <c r="B450" s="2925"/>
      <c r="C450" s="2844"/>
      <c r="D450" s="2845"/>
      <c r="E450" s="2845"/>
      <c r="F450" s="2845"/>
      <c r="G450" s="2845"/>
      <c r="H450" s="2845"/>
      <c r="I450" s="2845"/>
      <c r="J450" s="1129"/>
      <c r="K450" s="1432"/>
      <c r="L450" s="2846"/>
      <c r="M450" s="2847"/>
      <c r="N450" s="1431"/>
      <c r="O450" s="1435"/>
      <c r="P450" s="1431"/>
      <c r="Q450" s="2355"/>
      <c r="R450" s="1133"/>
      <c r="S450" s="1343"/>
      <c r="T450" s="1343"/>
      <c r="U450" s="1343"/>
      <c r="V450" s="1343"/>
      <c r="W450" s="1343"/>
      <c r="X450" s="1342"/>
      <c r="Y450" s="1343"/>
      <c r="Z450" s="1343"/>
      <c r="AA450" s="1343"/>
      <c r="AB450" s="1343"/>
      <c r="AC450" s="1343"/>
      <c r="AD450" s="1343"/>
      <c r="AE450" s="1343"/>
      <c r="AF450" s="1343"/>
      <c r="AG450" s="1343"/>
    </row>
    <row r="451" spans="1:33" s="280" customFormat="1" ht="39.75" hidden="1" customHeight="1">
      <c r="A451" s="998">
        <v>3221</v>
      </c>
      <c r="B451" s="2928" t="s">
        <v>575</v>
      </c>
      <c r="C451" s="2790" t="s">
        <v>579</v>
      </c>
      <c r="D451" s="2789" t="s">
        <v>514</v>
      </c>
      <c r="E451" s="2789">
        <v>45</v>
      </c>
      <c r="F451" s="2881">
        <v>43194</v>
      </c>
      <c r="G451" s="2881">
        <f t="shared" ref="G451:G457" si="81">+F451+E451</f>
        <v>43239</v>
      </c>
      <c r="H451" s="2924" t="s">
        <v>555</v>
      </c>
      <c r="I451" s="2789" t="s">
        <v>169</v>
      </c>
      <c r="J451" s="2793"/>
      <c r="K451" s="1432"/>
      <c r="L451" s="2846"/>
      <c r="M451" s="2847"/>
      <c r="N451" s="1431"/>
      <c r="O451" s="1435"/>
      <c r="P451" s="1431"/>
      <c r="Q451" s="2355"/>
      <c r="R451" s="1133"/>
      <c r="S451" s="1343"/>
      <c r="T451" s="1343"/>
      <c r="U451" s="1343"/>
      <c r="V451" s="1343"/>
      <c r="W451" s="1343"/>
      <c r="X451" s="1342"/>
      <c r="Y451" s="1343"/>
      <c r="Z451" s="1343"/>
      <c r="AA451" s="1343"/>
      <c r="AB451" s="1343"/>
      <c r="AC451" s="1343"/>
      <c r="AD451" s="1343"/>
      <c r="AE451" s="1343"/>
      <c r="AF451" s="1343"/>
      <c r="AG451" s="1343"/>
    </row>
    <row r="452" spans="1:33" s="280" customFormat="1" hidden="1">
      <c r="A452" s="294">
        <v>3221</v>
      </c>
      <c r="B452" s="561" t="s">
        <v>575</v>
      </c>
      <c r="C452" s="824" t="s">
        <v>579</v>
      </c>
      <c r="D452" s="294" t="s">
        <v>514</v>
      </c>
      <c r="E452" s="294">
        <v>45</v>
      </c>
      <c r="F452" s="829">
        <v>43194</v>
      </c>
      <c r="G452" s="829">
        <f t="shared" si="81"/>
        <v>43239</v>
      </c>
      <c r="H452" s="1391" t="s">
        <v>555</v>
      </c>
      <c r="I452" s="294" t="s">
        <v>169</v>
      </c>
      <c r="J452" s="307"/>
      <c r="K452" s="326" t="s">
        <v>302</v>
      </c>
      <c r="L452" s="1241">
        <v>23173</v>
      </c>
      <c r="M452" s="296"/>
      <c r="N452" s="294"/>
      <c r="O452" s="355">
        <v>202.6</v>
      </c>
      <c r="P452" s="294">
        <f>1</f>
        <v>1</v>
      </c>
      <c r="Q452" s="299">
        <f t="shared" ref="Q452:Q457" si="82">+O452*P452</f>
        <v>202.6</v>
      </c>
      <c r="R452" s="299"/>
      <c r="S452" s="298"/>
      <c r="T452" s="298"/>
      <c r="U452" s="298"/>
      <c r="V452" s="298"/>
      <c r="W452" s="355"/>
      <c r="X452" s="1137"/>
      <c r="Y452" s="1126"/>
      <c r="Z452" s="1126">
        <v>202.6</v>
      </c>
      <c r="AA452" s="1126"/>
      <c r="AB452" s="1126"/>
      <c r="AC452" s="1126"/>
      <c r="AD452" s="1126"/>
      <c r="AE452" s="1126"/>
      <c r="AF452" s="1126"/>
      <c r="AG452" s="1282">
        <f t="shared" ref="AG452:AG457" si="83">SUM(S452:AF452)</f>
        <v>202.6</v>
      </c>
    </row>
    <row r="453" spans="1:33" s="280" customFormat="1" hidden="1">
      <c r="A453" s="294">
        <v>3221</v>
      </c>
      <c r="B453" s="561" t="s">
        <v>575</v>
      </c>
      <c r="C453" s="824" t="s">
        <v>560</v>
      </c>
      <c r="D453" s="1391"/>
      <c r="E453" s="294">
        <v>10</v>
      </c>
      <c r="F453" s="829">
        <v>43313</v>
      </c>
      <c r="G453" s="829">
        <f t="shared" si="81"/>
        <v>43323</v>
      </c>
      <c r="H453" s="1391" t="s">
        <v>555</v>
      </c>
      <c r="I453" s="294" t="s">
        <v>177</v>
      </c>
      <c r="J453" s="307"/>
      <c r="K453" s="326" t="s">
        <v>561</v>
      </c>
      <c r="L453" s="1241">
        <v>23174</v>
      </c>
      <c r="M453" s="296"/>
      <c r="N453" s="294"/>
      <c r="O453" s="355">
        <v>4064</v>
      </c>
      <c r="P453" s="294">
        <f>1</f>
        <v>1</v>
      </c>
      <c r="Q453" s="299">
        <f t="shared" si="82"/>
        <v>4064</v>
      </c>
      <c r="R453" s="299"/>
      <c r="S453" s="298"/>
      <c r="T453" s="298"/>
      <c r="U453" s="298"/>
      <c r="V453" s="298"/>
      <c r="W453" s="355"/>
      <c r="X453" s="1137"/>
      <c r="Y453" s="1126"/>
      <c r="Z453" s="1126">
        <v>4064</v>
      </c>
      <c r="AA453" s="1126"/>
      <c r="AB453" s="1126"/>
      <c r="AC453" s="1126"/>
      <c r="AD453" s="1126"/>
      <c r="AE453" s="1126"/>
      <c r="AF453" s="1126"/>
      <c r="AG453" s="1282">
        <f t="shared" si="83"/>
        <v>4064</v>
      </c>
    </row>
    <row r="454" spans="1:33" s="280" customFormat="1" hidden="1">
      <c r="A454" s="294">
        <v>3221</v>
      </c>
      <c r="B454" s="561" t="s">
        <v>575</v>
      </c>
      <c r="C454" s="824" t="s">
        <v>562</v>
      </c>
      <c r="D454" s="1391"/>
      <c r="E454" s="294">
        <f>10</f>
        <v>10</v>
      </c>
      <c r="F454" s="829">
        <v>43313</v>
      </c>
      <c r="G454" s="829">
        <f t="shared" si="81"/>
        <v>43323</v>
      </c>
      <c r="H454" s="1391" t="s">
        <v>555</v>
      </c>
      <c r="I454" s="294" t="s">
        <v>177</v>
      </c>
      <c r="J454" s="307"/>
      <c r="K454" s="326" t="s">
        <v>563</v>
      </c>
      <c r="L454" s="1241">
        <v>23174</v>
      </c>
      <c r="M454" s="296"/>
      <c r="N454" s="294"/>
      <c r="O454" s="355">
        <v>1640</v>
      </c>
      <c r="P454" s="294">
        <f>1</f>
        <v>1</v>
      </c>
      <c r="Q454" s="299">
        <f t="shared" si="82"/>
        <v>1640</v>
      </c>
      <c r="R454" s="299"/>
      <c r="S454" s="298"/>
      <c r="T454" s="298"/>
      <c r="U454" s="298"/>
      <c r="V454" s="298"/>
      <c r="W454" s="355"/>
      <c r="X454" s="1137"/>
      <c r="Y454" s="1126"/>
      <c r="Z454" s="1126">
        <v>1640</v>
      </c>
      <c r="AA454" s="1126"/>
      <c r="AB454" s="1126"/>
      <c r="AC454" s="1126"/>
      <c r="AD454" s="1126"/>
      <c r="AE454" s="1126"/>
      <c r="AF454" s="1126"/>
      <c r="AG454" s="1282">
        <f t="shared" si="83"/>
        <v>1640</v>
      </c>
    </row>
    <row r="455" spans="1:33" s="280" customFormat="1" hidden="1">
      <c r="A455" s="294">
        <v>3221</v>
      </c>
      <c r="B455" s="561" t="s">
        <v>575</v>
      </c>
      <c r="C455" s="824" t="s">
        <v>564</v>
      </c>
      <c r="D455" s="1391"/>
      <c r="E455" s="294">
        <f>10</f>
        <v>10</v>
      </c>
      <c r="F455" s="829">
        <v>43313</v>
      </c>
      <c r="G455" s="829">
        <f t="shared" si="81"/>
        <v>43323</v>
      </c>
      <c r="H455" s="1391" t="s">
        <v>555</v>
      </c>
      <c r="I455" s="294" t="s">
        <v>177</v>
      </c>
      <c r="J455" s="307"/>
      <c r="K455" s="326" t="s">
        <v>565</v>
      </c>
      <c r="L455" s="1241">
        <v>23174</v>
      </c>
      <c r="M455" s="296"/>
      <c r="N455" s="294"/>
      <c r="O455" s="355">
        <v>426.73333333333335</v>
      </c>
      <c r="P455" s="294">
        <f>1</f>
        <v>1</v>
      </c>
      <c r="Q455" s="299">
        <f t="shared" si="82"/>
        <v>426.73333333333335</v>
      </c>
      <c r="R455" s="299"/>
      <c r="S455" s="298"/>
      <c r="T455" s="298"/>
      <c r="U455" s="298"/>
      <c r="V455" s="298"/>
      <c r="W455" s="355"/>
      <c r="X455" s="1137"/>
      <c r="Y455" s="1126"/>
      <c r="Z455" s="1126">
        <v>426.73333333333335</v>
      </c>
      <c r="AA455" s="1126"/>
      <c r="AB455" s="1126"/>
      <c r="AC455" s="1126"/>
      <c r="AD455" s="1126"/>
      <c r="AE455" s="1126"/>
      <c r="AF455" s="1126"/>
      <c r="AG455" s="1282">
        <f t="shared" si="83"/>
        <v>426.73333333333335</v>
      </c>
    </row>
    <row r="456" spans="1:33" s="280" customFormat="1" hidden="1">
      <c r="A456" s="294">
        <v>3221</v>
      </c>
      <c r="B456" s="561" t="s">
        <v>575</v>
      </c>
      <c r="C456" s="824" t="s">
        <v>566</v>
      </c>
      <c r="D456" s="1391"/>
      <c r="E456" s="294">
        <f>10</f>
        <v>10</v>
      </c>
      <c r="F456" s="829">
        <v>43313</v>
      </c>
      <c r="G456" s="829">
        <f t="shared" si="81"/>
        <v>43323</v>
      </c>
      <c r="H456" s="1391" t="s">
        <v>555</v>
      </c>
      <c r="I456" s="294" t="s">
        <v>169</v>
      </c>
      <c r="J456" s="307" t="s">
        <v>177</v>
      </c>
      <c r="K456" s="326" t="s">
        <v>486</v>
      </c>
      <c r="L456" s="1241">
        <v>23173</v>
      </c>
      <c r="M456" s="296"/>
      <c r="N456" s="294"/>
      <c r="O456" s="355">
        <v>333.33333333333331</v>
      </c>
      <c r="P456" s="294">
        <f>1</f>
        <v>1</v>
      </c>
      <c r="Q456" s="299">
        <f t="shared" si="82"/>
        <v>333.33333333333331</v>
      </c>
      <c r="R456" s="299"/>
      <c r="S456" s="298"/>
      <c r="T456" s="298"/>
      <c r="U456" s="298"/>
      <c r="V456" s="298"/>
      <c r="W456" s="355"/>
      <c r="X456" s="1137"/>
      <c r="Y456" s="1126"/>
      <c r="Z456" s="1126">
        <v>333.33333333333331</v>
      </c>
      <c r="AA456" s="1126"/>
      <c r="AB456" s="1126"/>
      <c r="AC456" s="1126"/>
      <c r="AD456" s="1126"/>
      <c r="AE456" s="1126"/>
      <c r="AF456" s="1126"/>
      <c r="AG456" s="1282">
        <f t="shared" si="83"/>
        <v>333.33333333333331</v>
      </c>
    </row>
    <row r="457" spans="1:33" s="280" customFormat="1" ht="38.25" hidden="1" customHeight="1">
      <c r="A457" s="2930">
        <v>3222</v>
      </c>
      <c r="B457" s="2790" t="s">
        <v>583</v>
      </c>
      <c r="C457" s="2790" t="s">
        <v>584</v>
      </c>
      <c r="D457" s="2929"/>
      <c r="E457" s="2924">
        <v>5</v>
      </c>
      <c r="F457" s="2881">
        <v>43381</v>
      </c>
      <c r="G457" s="2881">
        <f t="shared" si="81"/>
        <v>43386</v>
      </c>
      <c r="H457" s="2924" t="s">
        <v>555</v>
      </c>
      <c r="I457" s="2789" t="s">
        <v>169</v>
      </c>
      <c r="J457" s="2793" t="s">
        <v>177</v>
      </c>
      <c r="K457" s="326"/>
      <c r="L457" s="1241">
        <v>23173</v>
      </c>
      <c r="M457" s="296"/>
      <c r="N457" s="294"/>
      <c r="O457" s="487">
        <v>1000</v>
      </c>
      <c r="P457" s="294">
        <v>1</v>
      </c>
      <c r="Q457" s="518">
        <f t="shared" si="82"/>
        <v>1000</v>
      </c>
      <c r="R457" s="518"/>
      <c r="S457" s="493"/>
      <c r="T457" s="493"/>
      <c r="U457" s="493"/>
      <c r="V457" s="493"/>
      <c r="W457" s="487"/>
      <c r="X457" s="563"/>
      <c r="Y457" s="1156"/>
      <c r="Z457" s="1156">
        <v>1000</v>
      </c>
      <c r="AA457" s="1156"/>
      <c r="AB457" s="1156"/>
      <c r="AC457" s="1156"/>
      <c r="AD457" s="1156"/>
      <c r="AE457" s="1156"/>
      <c r="AF457" s="1156"/>
      <c r="AG457" s="1282">
        <f t="shared" si="83"/>
        <v>1000</v>
      </c>
    </row>
    <row r="458" spans="1:33" s="280" customFormat="1" ht="32.25" customHeight="1">
      <c r="A458" s="1275">
        <v>323</v>
      </c>
      <c r="B458" s="523" t="s">
        <v>585</v>
      </c>
      <c r="C458" s="1504"/>
      <c r="D458" s="1358"/>
      <c r="E458" s="1358"/>
      <c r="F458" s="1358"/>
      <c r="G458" s="1358"/>
      <c r="H458" s="1358"/>
      <c r="I458" s="1358"/>
      <c r="J458" s="283"/>
      <c r="K458" s="1278"/>
      <c r="L458" s="1394"/>
      <c r="M458" s="495"/>
      <c r="N458" s="1277"/>
      <c r="O458" s="1395"/>
      <c r="P458" s="1277"/>
      <c r="Q458" s="547">
        <f>SUM(Q460:Q474)</f>
        <v>14314.71</v>
      </c>
      <c r="R458" s="287"/>
      <c r="S458" s="1282">
        <f t="shared" ref="S458:AF458" si="84">SUM(S460:S474)</f>
        <v>0</v>
      </c>
      <c r="T458" s="1282">
        <f t="shared" si="84"/>
        <v>0</v>
      </c>
      <c r="U458" s="1282">
        <f t="shared" si="84"/>
        <v>0</v>
      </c>
      <c r="V458" s="1282">
        <f t="shared" si="84"/>
        <v>0</v>
      </c>
      <c r="W458" s="1282">
        <f t="shared" si="84"/>
        <v>0</v>
      </c>
      <c r="X458" s="1282">
        <f t="shared" si="84"/>
        <v>14314.71</v>
      </c>
      <c r="Y458" s="1282">
        <f t="shared" si="84"/>
        <v>0</v>
      </c>
      <c r="Z458" s="1282">
        <f t="shared" si="84"/>
        <v>0</v>
      </c>
      <c r="AA458" s="1282">
        <f t="shared" si="84"/>
        <v>0</v>
      </c>
      <c r="AB458" s="1282">
        <f t="shared" si="84"/>
        <v>0</v>
      </c>
      <c r="AC458" s="1282">
        <f t="shared" si="84"/>
        <v>0</v>
      </c>
      <c r="AD458" s="1282">
        <f t="shared" si="84"/>
        <v>0</v>
      </c>
      <c r="AE458" s="1282">
        <f t="shared" si="84"/>
        <v>0</v>
      </c>
      <c r="AF458" s="1282">
        <f t="shared" si="84"/>
        <v>0</v>
      </c>
      <c r="AG458" s="1282">
        <f>SUM(S458:AF458)</f>
        <v>14314.71</v>
      </c>
    </row>
    <row r="459" spans="1:33" s="280" customFormat="1" ht="31.5" hidden="1" customHeight="1">
      <c r="A459" s="2839">
        <v>3231</v>
      </c>
      <c r="B459" s="2840" t="s">
        <v>588</v>
      </c>
      <c r="C459" s="2840" t="s">
        <v>579</v>
      </c>
      <c r="D459" s="2931"/>
      <c r="E459" s="2839">
        <v>45</v>
      </c>
      <c r="F459" s="2926">
        <v>43194</v>
      </c>
      <c r="G459" s="2926">
        <f t="shared" ref="G459:G467" si="85">+F459+E459</f>
        <v>43239</v>
      </c>
      <c r="H459" s="2927"/>
      <c r="I459" s="2839" t="s">
        <v>169</v>
      </c>
      <c r="J459" s="2841" t="s">
        <v>177</v>
      </c>
      <c r="K459" s="1432"/>
      <c r="L459" s="2846"/>
      <c r="M459" s="2847"/>
      <c r="N459" s="1431"/>
      <c r="O459" s="1435"/>
      <c r="P459" s="1431"/>
      <c r="Q459" s="2355"/>
      <c r="R459" s="1133"/>
      <c r="S459" s="1343"/>
      <c r="T459" s="1343"/>
      <c r="U459" s="1343"/>
      <c r="V459" s="1343"/>
      <c r="W459" s="1343"/>
      <c r="X459" s="1342"/>
      <c r="Y459" s="1343"/>
      <c r="Z459" s="1343"/>
      <c r="AA459" s="1343"/>
      <c r="AB459" s="1343"/>
      <c r="AC459" s="1343"/>
      <c r="AD459" s="1343"/>
      <c r="AE459" s="1343"/>
      <c r="AF459" s="1343"/>
      <c r="AG459" s="1343"/>
    </row>
    <row r="460" spans="1:33" s="280" customFormat="1" hidden="1">
      <c r="A460" s="294">
        <v>3231</v>
      </c>
      <c r="B460" s="291" t="s">
        <v>588</v>
      </c>
      <c r="C460" s="824" t="s">
        <v>579</v>
      </c>
      <c r="D460" s="341"/>
      <c r="E460" s="294">
        <v>45</v>
      </c>
      <c r="F460" s="829">
        <v>43194</v>
      </c>
      <c r="G460" s="829">
        <f t="shared" si="85"/>
        <v>43239</v>
      </c>
      <c r="H460" s="1391"/>
      <c r="I460" s="294" t="s">
        <v>169</v>
      </c>
      <c r="J460" s="307" t="s">
        <v>177</v>
      </c>
      <c r="K460" s="326" t="s">
        <v>302</v>
      </c>
      <c r="L460" s="1241">
        <v>23173</v>
      </c>
      <c r="M460" s="296"/>
      <c r="N460" s="294"/>
      <c r="O460" s="355">
        <v>79.5</v>
      </c>
      <c r="P460" s="294">
        <v>1</v>
      </c>
      <c r="Q460" s="299">
        <f t="shared" ref="Q460:Q465" si="86">+O460*P460</f>
        <v>79.5</v>
      </c>
      <c r="R460" s="299"/>
      <c r="S460" s="298"/>
      <c r="T460" s="298"/>
      <c r="U460" s="298"/>
      <c r="V460" s="298"/>
      <c r="W460" s="355"/>
      <c r="X460" s="1137">
        <v>79.5</v>
      </c>
      <c r="Y460" s="1126"/>
      <c r="Z460" s="1152"/>
      <c r="AA460" s="1152"/>
      <c r="AB460" s="1152"/>
      <c r="AC460" s="1152"/>
      <c r="AD460" s="1152"/>
      <c r="AE460" s="1152"/>
      <c r="AF460" s="1152"/>
      <c r="AG460" s="1282">
        <f t="shared" ref="AG460:AG474" si="87">SUM(S460:AF460)</f>
        <v>79.5</v>
      </c>
    </row>
    <row r="461" spans="1:33" s="280" customFormat="1" hidden="1">
      <c r="A461" s="294">
        <v>3231</v>
      </c>
      <c r="B461" s="291" t="s">
        <v>588</v>
      </c>
      <c r="C461" s="824" t="s">
        <v>560</v>
      </c>
      <c r="D461" s="1391"/>
      <c r="E461" s="294">
        <v>6</v>
      </c>
      <c r="F461" s="829">
        <v>43287</v>
      </c>
      <c r="G461" s="829">
        <f t="shared" si="85"/>
        <v>43293</v>
      </c>
      <c r="H461" s="1391"/>
      <c r="I461" s="294" t="s">
        <v>177</v>
      </c>
      <c r="J461" s="307"/>
      <c r="K461" s="326" t="s">
        <v>561</v>
      </c>
      <c r="L461" s="1241">
        <v>23174</v>
      </c>
      <c r="M461" s="296"/>
      <c r="N461" s="294"/>
      <c r="O461" s="355">
        <v>2400</v>
      </c>
      <c r="P461" s="294">
        <v>1</v>
      </c>
      <c r="Q461" s="299">
        <f t="shared" si="86"/>
        <v>2400</v>
      </c>
      <c r="R461" s="299"/>
      <c r="S461" s="298"/>
      <c r="T461" s="298"/>
      <c r="U461" s="298"/>
      <c r="V461" s="298"/>
      <c r="W461" s="355"/>
      <c r="X461" s="1137">
        <v>2400</v>
      </c>
      <c r="Y461" s="1126"/>
      <c r="Z461" s="1152"/>
      <c r="AA461" s="1152"/>
      <c r="AB461" s="1152"/>
      <c r="AC461" s="1152"/>
      <c r="AD461" s="1152"/>
      <c r="AE461" s="1152"/>
      <c r="AF461" s="1152"/>
      <c r="AG461" s="1282">
        <f t="shared" si="87"/>
        <v>2400</v>
      </c>
    </row>
    <row r="462" spans="1:33" s="280" customFormat="1" ht="36" hidden="1" customHeight="1">
      <c r="A462" s="294">
        <v>3231</v>
      </c>
      <c r="B462" s="291" t="s">
        <v>588</v>
      </c>
      <c r="C462" s="824" t="s">
        <v>562</v>
      </c>
      <c r="D462" s="1391"/>
      <c r="E462" s="294">
        <v>6</v>
      </c>
      <c r="F462" s="829">
        <v>43287</v>
      </c>
      <c r="G462" s="829">
        <f t="shared" si="85"/>
        <v>43293</v>
      </c>
      <c r="H462" s="1391"/>
      <c r="I462" s="294" t="s">
        <v>177</v>
      </c>
      <c r="J462" s="307"/>
      <c r="K462" s="326" t="s">
        <v>563</v>
      </c>
      <c r="L462" s="1241">
        <v>23174</v>
      </c>
      <c r="M462" s="296"/>
      <c r="N462" s="294"/>
      <c r="O462" s="355">
        <v>1973.3333333333333</v>
      </c>
      <c r="P462" s="294">
        <v>1</v>
      </c>
      <c r="Q462" s="299">
        <f t="shared" si="86"/>
        <v>1973.3333333333333</v>
      </c>
      <c r="R462" s="299"/>
      <c r="S462" s="298"/>
      <c r="T462" s="298"/>
      <c r="U462" s="298"/>
      <c r="V462" s="298"/>
      <c r="W462" s="355"/>
      <c r="X462" s="1137">
        <v>1973.3333333333333</v>
      </c>
      <c r="Y462" s="1126"/>
      <c r="Z462" s="1152"/>
      <c r="AA462" s="1152"/>
      <c r="AB462" s="1152"/>
      <c r="AC462" s="1152"/>
      <c r="AD462" s="1152"/>
      <c r="AE462" s="1152"/>
      <c r="AF462" s="1152"/>
      <c r="AG462" s="1282">
        <f t="shared" si="87"/>
        <v>1973.3333333333333</v>
      </c>
    </row>
    <row r="463" spans="1:33" s="280" customFormat="1" ht="36" hidden="1" customHeight="1">
      <c r="A463" s="294">
        <v>3231</v>
      </c>
      <c r="B463" s="291" t="s">
        <v>588</v>
      </c>
      <c r="C463" s="824" t="s">
        <v>564</v>
      </c>
      <c r="D463" s="1391"/>
      <c r="E463" s="294">
        <v>6</v>
      </c>
      <c r="F463" s="829">
        <v>43287</v>
      </c>
      <c r="G463" s="829">
        <f t="shared" si="85"/>
        <v>43293</v>
      </c>
      <c r="H463" s="1391"/>
      <c r="I463" s="294" t="s">
        <v>177</v>
      </c>
      <c r="J463" s="307"/>
      <c r="K463" s="326" t="s">
        <v>565</v>
      </c>
      <c r="L463" s="1241">
        <v>23174</v>
      </c>
      <c r="M463" s="296"/>
      <c r="N463" s="294"/>
      <c r="O463" s="355">
        <v>340.13333333333333</v>
      </c>
      <c r="P463" s="294">
        <v>1</v>
      </c>
      <c r="Q463" s="299">
        <f t="shared" si="86"/>
        <v>340.13333333333333</v>
      </c>
      <c r="R463" s="299"/>
      <c r="S463" s="298"/>
      <c r="T463" s="298"/>
      <c r="U463" s="298"/>
      <c r="V463" s="298"/>
      <c r="W463" s="355"/>
      <c r="X463" s="1137">
        <v>340.13333333333333</v>
      </c>
      <c r="Y463" s="1126"/>
      <c r="Z463" s="1152"/>
      <c r="AA463" s="1152"/>
      <c r="AB463" s="1152"/>
      <c r="AC463" s="1152"/>
      <c r="AD463" s="1152"/>
      <c r="AE463" s="1152"/>
      <c r="AF463" s="1152"/>
      <c r="AG463" s="1282">
        <f t="shared" si="87"/>
        <v>340.13333333333333</v>
      </c>
    </row>
    <row r="464" spans="1:33" s="280" customFormat="1" ht="36" hidden="1" customHeight="1">
      <c r="A464" s="294">
        <v>3231</v>
      </c>
      <c r="B464" s="291" t="s">
        <v>588</v>
      </c>
      <c r="C464" s="824" t="s">
        <v>566</v>
      </c>
      <c r="D464" s="1391"/>
      <c r="E464" s="294">
        <v>6</v>
      </c>
      <c r="F464" s="829">
        <v>43287</v>
      </c>
      <c r="G464" s="829">
        <f t="shared" si="85"/>
        <v>43293</v>
      </c>
      <c r="H464" s="1391"/>
      <c r="I464" s="294" t="s">
        <v>169</v>
      </c>
      <c r="J464" s="307" t="s">
        <v>177</v>
      </c>
      <c r="K464" s="326" t="s">
        <v>486</v>
      </c>
      <c r="L464" s="1241">
        <v>23173</v>
      </c>
      <c r="M464" s="296"/>
      <c r="N464" s="294"/>
      <c r="O464" s="355">
        <v>500</v>
      </c>
      <c r="P464" s="294">
        <v>1</v>
      </c>
      <c r="Q464" s="299">
        <f t="shared" si="86"/>
        <v>500</v>
      </c>
      <c r="R464" s="299"/>
      <c r="S464" s="298"/>
      <c r="T464" s="298"/>
      <c r="U464" s="298"/>
      <c r="V464" s="298"/>
      <c r="W464" s="355"/>
      <c r="X464" s="1137">
        <v>500</v>
      </c>
      <c r="Y464" s="1126"/>
      <c r="Z464" s="1152"/>
      <c r="AA464" s="1152"/>
      <c r="AB464" s="1152"/>
      <c r="AC464" s="1152"/>
      <c r="AD464" s="1152"/>
      <c r="AE464" s="1152"/>
      <c r="AF464" s="1152"/>
      <c r="AG464" s="1282">
        <f t="shared" si="87"/>
        <v>500</v>
      </c>
    </row>
    <row r="465" spans="1:33" s="280" customFormat="1" hidden="1">
      <c r="A465" s="294">
        <v>3231</v>
      </c>
      <c r="B465" s="291" t="s">
        <v>588</v>
      </c>
      <c r="C465" s="824" t="s">
        <v>591</v>
      </c>
      <c r="D465" s="341" t="s">
        <v>514</v>
      </c>
      <c r="E465" s="294">
        <v>45</v>
      </c>
      <c r="F465" s="829">
        <v>43298</v>
      </c>
      <c r="G465" s="829">
        <f t="shared" si="85"/>
        <v>43343</v>
      </c>
      <c r="H465" s="1391"/>
      <c r="I465" s="294" t="s">
        <v>169</v>
      </c>
      <c r="J465" s="307" t="s">
        <v>177</v>
      </c>
      <c r="K465" s="326"/>
      <c r="L465" s="1677">
        <v>23173</v>
      </c>
      <c r="M465" s="296"/>
      <c r="N465" s="294"/>
      <c r="O465" s="355">
        <v>377.33</v>
      </c>
      <c r="P465" s="294">
        <v>1</v>
      </c>
      <c r="Q465" s="299">
        <f t="shared" si="86"/>
        <v>377.33</v>
      </c>
      <c r="R465" s="299"/>
      <c r="S465" s="298"/>
      <c r="T465" s="298"/>
      <c r="U465" s="298"/>
      <c r="V465" s="298"/>
      <c r="W465" s="355"/>
      <c r="X465" s="1137">
        <v>377.33</v>
      </c>
      <c r="Y465" s="1126"/>
      <c r="Z465" s="1152"/>
      <c r="AA465" s="1152"/>
      <c r="AB465" s="1152"/>
      <c r="AC465" s="1152"/>
      <c r="AD465" s="1152"/>
      <c r="AE465" s="1152"/>
      <c r="AF465" s="1152"/>
      <c r="AG465" s="1282">
        <f t="shared" si="87"/>
        <v>377.33</v>
      </c>
    </row>
    <row r="466" spans="1:33" s="280" customFormat="1" ht="34.5" hidden="1" customHeight="1">
      <c r="A466" s="2839">
        <v>3232</v>
      </c>
      <c r="B466" s="2933" t="s">
        <v>458</v>
      </c>
      <c r="C466" s="2840" t="s">
        <v>1105</v>
      </c>
      <c r="D466" s="2927"/>
      <c r="E466" s="2927">
        <v>9</v>
      </c>
      <c r="F466" s="2926">
        <v>43346</v>
      </c>
      <c r="G466" s="2926">
        <f t="shared" si="85"/>
        <v>43355</v>
      </c>
      <c r="H466" s="2927"/>
      <c r="I466" s="2839"/>
      <c r="J466" s="2841"/>
      <c r="K466" s="1124"/>
      <c r="L466" s="2932"/>
      <c r="M466" s="1152"/>
      <c r="N466" s="1703"/>
      <c r="O466" s="1126"/>
      <c r="P466" s="1703"/>
      <c r="Q466" s="1127"/>
      <c r="R466" s="1127"/>
      <c r="S466" s="1154"/>
      <c r="T466" s="1154"/>
      <c r="U466" s="1154"/>
      <c r="V466" s="1154"/>
      <c r="W466" s="1126"/>
      <c r="X466" s="1137"/>
      <c r="Y466" s="1126"/>
      <c r="Z466" s="1152"/>
      <c r="AA466" s="1152"/>
      <c r="AB466" s="1152"/>
      <c r="AC466" s="1152"/>
      <c r="AD466" s="1152"/>
      <c r="AE466" s="1152"/>
      <c r="AF466" s="1152"/>
      <c r="AG466" s="1343"/>
    </row>
    <row r="467" spans="1:33" s="280" customFormat="1" ht="15.75" hidden="1" customHeight="1">
      <c r="A467" s="294">
        <v>3232</v>
      </c>
      <c r="B467" s="567" t="s">
        <v>458</v>
      </c>
      <c r="C467" s="824" t="s">
        <v>560</v>
      </c>
      <c r="D467" s="1391"/>
      <c r="E467" s="1391">
        <v>9</v>
      </c>
      <c r="F467" s="829">
        <v>43346</v>
      </c>
      <c r="G467" s="829">
        <f t="shared" si="85"/>
        <v>43355</v>
      </c>
      <c r="H467" s="1391"/>
      <c r="I467" s="294"/>
      <c r="J467" s="307"/>
      <c r="K467" s="326" t="s">
        <v>561</v>
      </c>
      <c r="L467" s="1241">
        <v>23174</v>
      </c>
      <c r="M467" s="296"/>
      <c r="N467" s="294"/>
      <c r="O467" s="487">
        <v>2546</v>
      </c>
      <c r="P467" s="294">
        <v>1</v>
      </c>
      <c r="Q467" s="299">
        <f t="shared" ref="Q467:Q474" si="88">+O467*P467</f>
        <v>2546</v>
      </c>
      <c r="R467" s="299"/>
      <c r="S467" s="298"/>
      <c r="T467" s="298"/>
      <c r="U467" s="298"/>
      <c r="V467" s="298"/>
      <c r="W467" s="355"/>
      <c r="X467" s="1137">
        <v>2546</v>
      </c>
      <c r="Y467" s="1126"/>
      <c r="Z467" s="1152"/>
      <c r="AA467" s="1152"/>
      <c r="AB467" s="1152"/>
      <c r="AC467" s="1152"/>
      <c r="AD467" s="1152"/>
      <c r="AE467" s="1152"/>
      <c r="AF467" s="1152"/>
      <c r="AG467" s="1282">
        <f t="shared" si="87"/>
        <v>2546</v>
      </c>
    </row>
    <row r="468" spans="1:33" s="280" customFormat="1" ht="15.75" hidden="1" customHeight="1">
      <c r="A468" s="294">
        <v>3232</v>
      </c>
      <c r="B468" s="567" t="s">
        <v>458</v>
      </c>
      <c r="C468" s="824" t="s">
        <v>562</v>
      </c>
      <c r="D468" s="1391"/>
      <c r="E468" s="1391">
        <v>9</v>
      </c>
      <c r="F468" s="829">
        <v>43346</v>
      </c>
      <c r="G468" s="829">
        <f t="shared" ref="G468:G474" si="89">+F468+E468</f>
        <v>43355</v>
      </c>
      <c r="H468" s="1391"/>
      <c r="I468" s="294"/>
      <c r="J468" s="307"/>
      <c r="K468" s="326" t="s">
        <v>563</v>
      </c>
      <c r="L468" s="1241">
        <v>23174</v>
      </c>
      <c r="M468" s="296"/>
      <c r="N468" s="294"/>
      <c r="O468" s="487">
        <v>1306.6666666666667</v>
      </c>
      <c r="P468" s="294">
        <v>1</v>
      </c>
      <c r="Q468" s="299">
        <f t="shared" si="88"/>
        <v>1306.6666666666667</v>
      </c>
      <c r="R468" s="299"/>
      <c r="S468" s="298"/>
      <c r="T468" s="298"/>
      <c r="U468" s="298"/>
      <c r="V468" s="298"/>
      <c r="W468" s="355"/>
      <c r="X468" s="1137">
        <v>1306.6666666666667</v>
      </c>
      <c r="Y468" s="1126"/>
      <c r="Z468" s="1152"/>
      <c r="AA468" s="1152"/>
      <c r="AB468" s="1152"/>
      <c r="AC468" s="1152"/>
      <c r="AD468" s="1152"/>
      <c r="AE468" s="1152"/>
      <c r="AF468" s="1152"/>
      <c r="AG468" s="1282">
        <f t="shared" si="87"/>
        <v>1306.6666666666667</v>
      </c>
    </row>
    <row r="469" spans="1:33" s="280" customFormat="1" ht="15.75" hidden="1" customHeight="1">
      <c r="A469" s="294">
        <v>3232</v>
      </c>
      <c r="B469" s="567" t="s">
        <v>458</v>
      </c>
      <c r="C469" s="824" t="s">
        <v>564</v>
      </c>
      <c r="D469" s="1391"/>
      <c r="E469" s="1391">
        <v>9</v>
      </c>
      <c r="F469" s="829">
        <v>43346</v>
      </c>
      <c r="G469" s="829">
        <f t="shared" si="89"/>
        <v>43355</v>
      </c>
      <c r="H469" s="1391"/>
      <c r="I469" s="294"/>
      <c r="J469" s="307"/>
      <c r="K469" s="326" t="s">
        <v>565</v>
      </c>
      <c r="L469" s="1241">
        <v>23174</v>
      </c>
      <c r="M469" s="296"/>
      <c r="N469" s="294"/>
      <c r="O469" s="487">
        <v>557.74666666666667</v>
      </c>
      <c r="P469" s="294">
        <v>1</v>
      </c>
      <c r="Q469" s="299">
        <f t="shared" si="88"/>
        <v>557.74666666666667</v>
      </c>
      <c r="R469" s="299"/>
      <c r="S469" s="298"/>
      <c r="T469" s="298"/>
      <c r="U469" s="298"/>
      <c r="V469" s="298"/>
      <c r="W469" s="355"/>
      <c r="X469" s="1137">
        <v>557.74666666666667</v>
      </c>
      <c r="Y469" s="1126"/>
      <c r="Z469" s="1152"/>
      <c r="AA469" s="1152"/>
      <c r="AB469" s="1152"/>
      <c r="AC469" s="1152"/>
      <c r="AD469" s="1152"/>
      <c r="AE469" s="1152"/>
      <c r="AF469" s="1152"/>
      <c r="AG469" s="1282">
        <f t="shared" si="87"/>
        <v>557.74666666666667</v>
      </c>
    </row>
    <row r="470" spans="1:33" s="280" customFormat="1" ht="36.75" hidden="1" customHeight="1">
      <c r="A470" s="2789">
        <v>3233</v>
      </c>
      <c r="B470" s="2790" t="s">
        <v>593</v>
      </c>
      <c r="C470" s="2840" t="s">
        <v>1105</v>
      </c>
      <c r="D470" s="2789" t="s">
        <v>514</v>
      </c>
      <c r="E470" s="2789">
        <v>45</v>
      </c>
      <c r="F470" s="2881">
        <v>43194</v>
      </c>
      <c r="G470" s="2881">
        <f t="shared" si="89"/>
        <v>43239</v>
      </c>
      <c r="H470" s="2924"/>
      <c r="I470" s="2789" t="s">
        <v>169</v>
      </c>
      <c r="J470" s="2793"/>
      <c r="K470" s="1124"/>
      <c r="L470" s="2856"/>
      <c r="M470" s="1152"/>
      <c r="N470" s="1703"/>
      <c r="O470" s="1156"/>
      <c r="P470" s="1703"/>
      <c r="Q470" s="1127"/>
      <c r="R470" s="1127"/>
      <c r="S470" s="1154"/>
      <c r="T470" s="1154"/>
      <c r="U470" s="1154"/>
      <c r="V470" s="1154"/>
      <c r="W470" s="1126"/>
      <c r="X470" s="1137"/>
      <c r="Y470" s="1126"/>
      <c r="Z470" s="1152"/>
      <c r="AA470" s="1152"/>
      <c r="AB470" s="1152"/>
      <c r="AC470" s="1152"/>
      <c r="AD470" s="1152"/>
      <c r="AE470" s="1152"/>
      <c r="AF470" s="1152"/>
      <c r="AG470" s="1343"/>
    </row>
    <row r="471" spans="1:33" s="280" customFormat="1" hidden="1">
      <c r="A471" s="294">
        <v>3233</v>
      </c>
      <c r="B471" s="291" t="s">
        <v>593</v>
      </c>
      <c r="C471" s="824" t="s">
        <v>579</v>
      </c>
      <c r="D471" s="294" t="s">
        <v>514</v>
      </c>
      <c r="E471" s="294">
        <v>45</v>
      </c>
      <c r="F471" s="829">
        <v>43194</v>
      </c>
      <c r="G471" s="829">
        <f t="shared" si="89"/>
        <v>43239</v>
      </c>
      <c r="H471" s="1391"/>
      <c r="I471" s="294" t="s">
        <v>169</v>
      </c>
      <c r="J471" s="307"/>
      <c r="K471" s="326" t="s">
        <v>302</v>
      </c>
      <c r="L471" s="1241">
        <v>23173</v>
      </c>
      <c r="M471" s="296"/>
      <c r="N471" s="294"/>
      <c r="O471" s="355">
        <v>57.333333333333336</v>
      </c>
      <c r="P471" s="294">
        <v>1</v>
      </c>
      <c r="Q471" s="299">
        <f t="shared" si="88"/>
        <v>57.333333333333336</v>
      </c>
      <c r="R471" s="299"/>
      <c r="S471" s="298"/>
      <c r="T471" s="298"/>
      <c r="U471" s="298"/>
      <c r="V471" s="298"/>
      <c r="W471" s="355"/>
      <c r="X471" s="1137">
        <v>57.333333333333336</v>
      </c>
      <c r="Y471" s="1126"/>
      <c r="Z471" s="1152"/>
      <c r="AA471" s="1152"/>
      <c r="AB471" s="1152"/>
      <c r="AC471" s="1152"/>
      <c r="AD471" s="1152"/>
      <c r="AE471" s="1152"/>
      <c r="AF471" s="1152"/>
      <c r="AG471" s="1282">
        <f t="shared" si="87"/>
        <v>57.333333333333336</v>
      </c>
    </row>
    <row r="472" spans="1:33" s="280" customFormat="1" hidden="1">
      <c r="A472" s="998">
        <v>3233</v>
      </c>
      <c r="B472" s="291" t="s">
        <v>593</v>
      </c>
      <c r="C472" s="824" t="s">
        <v>560</v>
      </c>
      <c r="D472" s="1391"/>
      <c r="E472" s="294">
        <v>4</v>
      </c>
      <c r="F472" s="829">
        <v>43367</v>
      </c>
      <c r="G472" s="829">
        <f t="shared" si="89"/>
        <v>43371</v>
      </c>
      <c r="H472" s="1391"/>
      <c r="I472" s="294" t="s">
        <v>177</v>
      </c>
      <c r="J472" s="307"/>
      <c r="K472" s="326" t="s">
        <v>596</v>
      </c>
      <c r="L472" s="1241">
        <v>23174</v>
      </c>
      <c r="M472" s="296"/>
      <c r="N472" s="294"/>
      <c r="O472" s="355">
        <v>2150</v>
      </c>
      <c r="P472" s="294">
        <v>1</v>
      </c>
      <c r="Q472" s="299">
        <f t="shared" si="88"/>
        <v>2150</v>
      </c>
      <c r="R472" s="299"/>
      <c r="S472" s="298"/>
      <c r="T472" s="298"/>
      <c r="U472" s="298"/>
      <c r="V472" s="298"/>
      <c r="W472" s="355"/>
      <c r="X472" s="1137">
        <v>2150</v>
      </c>
      <c r="Y472" s="1126"/>
      <c r="Z472" s="1152"/>
      <c r="AA472" s="1152"/>
      <c r="AB472" s="1152"/>
      <c r="AC472" s="1152"/>
      <c r="AD472" s="1152"/>
      <c r="AE472" s="1152"/>
      <c r="AF472" s="1152"/>
      <c r="AG472" s="1282">
        <f t="shared" si="87"/>
        <v>2150</v>
      </c>
    </row>
    <row r="473" spans="1:33" s="280" customFormat="1" hidden="1">
      <c r="A473" s="998">
        <v>3233</v>
      </c>
      <c r="B473" s="291" t="s">
        <v>593</v>
      </c>
      <c r="C473" s="824" t="s">
        <v>564</v>
      </c>
      <c r="D473" s="1391"/>
      <c r="E473" s="294">
        <v>4</v>
      </c>
      <c r="F473" s="829">
        <v>43367</v>
      </c>
      <c r="G473" s="829">
        <f t="shared" si="89"/>
        <v>43371</v>
      </c>
      <c r="H473" s="1391"/>
      <c r="I473" s="294" t="s">
        <v>177</v>
      </c>
      <c r="J473" s="307"/>
      <c r="K473" s="326" t="s">
        <v>597</v>
      </c>
      <c r="L473" s="1241">
        <v>23174</v>
      </c>
      <c r="M473" s="296"/>
      <c r="N473" s="294"/>
      <c r="O473" s="355">
        <v>1893.3333333333333</v>
      </c>
      <c r="P473" s="294">
        <v>1</v>
      </c>
      <c r="Q473" s="299">
        <f t="shared" si="88"/>
        <v>1893.3333333333333</v>
      </c>
      <c r="R473" s="299"/>
      <c r="S473" s="298"/>
      <c r="T473" s="298"/>
      <c r="U473" s="298"/>
      <c r="V473" s="298"/>
      <c r="W473" s="355"/>
      <c r="X473" s="1137">
        <v>1893.3333333333333</v>
      </c>
      <c r="Y473" s="1126"/>
      <c r="Z473" s="1152"/>
      <c r="AA473" s="1152"/>
      <c r="AB473" s="1152"/>
      <c r="AC473" s="1152"/>
      <c r="AD473" s="1152"/>
      <c r="AE473" s="1152"/>
      <c r="AF473" s="1152"/>
      <c r="AG473" s="1282">
        <f t="shared" si="87"/>
        <v>1893.3333333333333</v>
      </c>
    </row>
    <row r="474" spans="1:33" s="280" customFormat="1" hidden="1">
      <c r="A474" s="998">
        <v>3233</v>
      </c>
      <c r="B474" s="291" t="s">
        <v>593</v>
      </c>
      <c r="C474" s="824" t="s">
        <v>566</v>
      </c>
      <c r="D474" s="1391"/>
      <c r="E474" s="294">
        <v>4</v>
      </c>
      <c r="F474" s="829">
        <v>43367</v>
      </c>
      <c r="G474" s="829">
        <f t="shared" si="89"/>
        <v>43371</v>
      </c>
      <c r="H474" s="1391"/>
      <c r="I474" s="294" t="s">
        <v>169</v>
      </c>
      <c r="J474" s="307"/>
      <c r="K474" s="326" t="s">
        <v>486</v>
      </c>
      <c r="L474" s="1241">
        <v>23173</v>
      </c>
      <c r="M474" s="296"/>
      <c r="N474" s="294"/>
      <c r="O474" s="355">
        <v>133.33333333333334</v>
      </c>
      <c r="P474" s="294">
        <v>1</v>
      </c>
      <c r="Q474" s="299">
        <f t="shared" si="88"/>
        <v>133.33333333333334</v>
      </c>
      <c r="R474" s="299"/>
      <c r="S474" s="298"/>
      <c r="T474" s="298"/>
      <c r="U474" s="298"/>
      <c r="V474" s="298"/>
      <c r="W474" s="355"/>
      <c r="X474" s="1137">
        <v>133.33333333333334</v>
      </c>
      <c r="Y474" s="1126"/>
      <c r="Z474" s="1152"/>
      <c r="AA474" s="1152"/>
      <c r="AB474" s="1152"/>
      <c r="AC474" s="1152"/>
      <c r="AD474" s="1152"/>
      <c r="AE474" s="1152"/>
      <c r="AF474" s="1152"/>
      <c r="AG474" s="1282">
        <f t="shared" si="87"/>
        <v>133.33333333333334</v>
      </c>
    </row>
    <row r="475" spans="1:33" s="280" customFormat="1" ht="39" customHeight="1">
      <c r="A475" s="1275">
        <v>324</v>
      </c>
      <c r="B475" s="523" t="s">
        <v>598</v>
      </c>
      <c r="C475" s="1504"/>
      <c r="D475" s="1358"/>
      <c r="E475" s="1358"/>
      <c r="F475" s="1358"/>
      <c r="G475" s="1358"/>
      <c r="H475" s="1358"/>
      <c r="I475" s="1358"/>
      <c r="J475" s="283"/>
      <c r="K475" s="1278"/>
      <c r="L475" s="1394"/>
      <c r="M475" s="495"/>
      <c r="N475" s="1277"/>
      <c r="O475" s="1395"/>
      <c r="P475" s="1277"/>
      <c r="Q475" s="547">
        <f>SUM(Q477:Q482)</f>
        <v>11980.666666666668</v>
      </c>
      <c r="R475" s="287"/>
      <c r="S475" s="1282">
        <f t="shared" ref="S475:AF475" si="90">SUM(S477:S482)</f>
        <v>0</v>
      </c>
      <c r="T475" s="1282">
        <f t="shared" si="90"/>
        <v>0</v>
      </c>
      <c r="U475" s="1282">
        <f t="shared" si="90"/>
        <v>0</v>
      </c>
      <c r="V475" s="1282">
        <f t="shared" si="90"/>
        <v>0</v>
      </c>
      <c r="W475" s="1282">
        <f t="shared" si="90"/>
        <v>0</v>
      </c>
      <c r="X475" s="1282">
        <f t="shared" si="90"/>
        <v>11980.666666666668</v>
      </c>
      <c r="Y475" s="1282">
        <f t="shared" si="90"/>
        <v>0</v>
      </c>
      <c r="Z475" s="1282">
        <f t="shared" si="90"/>
        <v>0</v>
      </c>
      <c r="AA475" s="1282">
        <f t="shared" si="90"/>
        <v>0</v>
      </c>
      <c r="AB475" s="1282">
        <f t="shared" si="90"/>
        <v>0</v>
      </c>
      <c r="AC475" s="1282">
        <f t="shared" si="90"/>
        <v>0</v>
      </c>
      <c r="AD475" s="1282">
        <f t="shared" si="90"/>
        <v>0</v>
      </c>
      <c r="AE475" s="1282">
        <f t="shared" si="90"/>
        <v>0</v>
      </c>
      <c r="AF475" s="1282">
        <f t="shared" si="90"/>
        <v>0</v>
      </c>
      <c r="AG475" s="1282">
        <f>SUM(S475:AF475)</f>
        <v>11980.666666666668</v>
      </c>
    </row>
    <row r="476" spans="1:33" s="280" customFormat="1" ht="39" hidden="1" customHeight="1">
      <c r="A476" s="2934">
        <v>3241</v>
      </c>
      <c r="B476" s="2790" t="s">
        <v>599</v>
      </c>
      <c r="C476" s="2790" t="s">
        <v>1106</v>
      </c>
      <c r="D476" s="2935" t="s">
        <v>514</v>
      </c>
      <c r="E476" s="2789">
        <v>45</v>
      </c>
      <c r="F476" s="2881">
        <v>43194</v>
      </c>
      <c r="G476" s="2881">
        <f t="shared" ref="G476:G482" si="91">+E476+F476</f>
        <v>43239</v>
      </c>
      <c r="H476" s="2924"/>
      <c r="I476" s="2845"/>
      <c r="J476" s="1129"/>
      <c r="K476" s="1432"/>
      <c r="L476" s="2846"/>
      <c r="M476" s="2847"/>
      <c r="N476" s="1431"/>
      <c r="O476" s="1435"/>
      <c r="P476" s="1431"/>
      <c r="Q476" s="2355"/>
      <c r="R476" s="1133"/>
      <c r="S476" s="1343"/>
      <c r="T476" s="1343"/>
      <c r="U476" s="1343"/>
      <c r="V476" s="1343"/>
      <c r="W476" s="1343"/>
      <c r="X476" s="1342"/>
      <c r="Y476" s="1343"/>
      <c r="Z476" s="1343"/>
      <c r="AA476" s="1343"/>
      <c r="AB476" s="1343"/>
      <c r="AC476" s="1343"/>
      <c r="AD476" s="1343"/>
      <c r="AE476" s="1343"/>
      <c r="AF476" s="1343"/>
      <c r="AG476" s="1343"/>
    </row>
    <row r="477" spans="1:33" s="280" customFormat="1" hidden="1">
      <c r="A477" s="1393">
        <v>3241</v>
      </c>
      <c r="B477" s="291" t="s">
        <v>599</v>
      </c>
      <c r="C477" s="824" t="s">
        <v>579</v>
      </c>
      <c r="D477" s="341" t="s">
        <v>514</v>
      </c>
      <c r="E477" s="294">
        <v>45</v>
      </c>
      <c r="F477" s="829">
        <v>43194</v>
      </c>
      <c r="G477" s="829">
        <f t="shared" si="91"/>
        <v>43239</v>
      </c>
      <c r="H477" s="1391"/>
      <c r="I477" s="294"/>
      <c r="J477" s="307"/>
      <c r="K477" s="326" t="s">
        <v>302</v>
      </c>
      <c r="L477" s="1241">
        <v>23173</v>
      </c>
      <c r="M477" s="296"/>
      <c r="N477" s="294"/>
      <c r="O477" s="355">
        <v>157.33333333333334</v>
      </c>
      <c r="P477" s="569">
        <v>1</v>
      </c>
      <c r="Q477" s="831">
        <f>+O477*P477</f>
        <v>157.33333333333334</v>
      </c>
      <c r="R477" s="299"/>
      <c r="S477" s="298"/>
      <c r="T477" s="298"/>
      <c r="U477" s="298"/>
      <c r="V477" s="298"/>
      <c r="W477" s="355"/>
      <c r="X477" s="1137">
        <v>157.33333333333334</v>
      </c>
      <c r="Y477" s="1126"/>
      <c r="Z477" s="1126"/>
      <c r="AA477" s="1126"/>
      <c r="AB477" s="1126"/>
      <c r="AC477" s="1126"/>
      <c r="AD477" s="1126"/>
      <c r="AE477" s="1126"/>
      <c r="AF477" s="1126"/>
      <c r="AG477" s="1282">
        <f t="shared" ref="AG477:AG482" si="92">SUM(S477:AF477)</f>
        <v>157.33333333333334</v>
      </c>
    </row>
    <row r="478" spans="1:33" s="280" customFormat="1" hidden="1">
      <c r="A478" s="1393">
        <v>3241</v>
      </c>
      <c r="B478" s="291" t="s">
        <v>599</v>
      </c>
      <c r="C478" s="824" t="s">
        <v>560</v>
      </c>
      <c r="D478" s="1391"/>
      <c r="E478" s="294">
        <v>5</v>
      </c>
      <c r="F478" s="829">
        <v>43332</v>
      </c>
      <c r="G478" s="829">
        <f t="shared" si="91"/>
        <v>43337</v>
      </c>
      <c r="H478" s="1391"/>
      <c r="I478" s="294"/>
      <c r="J478" s="307"/>
      <c r="K478" s="326" t="s">
        <v>596</v>
      </c>
      <c r="L478" s="1241">
        <v>23174</v>
      </c>
      <c r="M478" s="296"/>
      <c r="N478" s="294"/>
      <c r="O478" s="355">
        <v>3870</v>
      </c>
      <c r="P478" s="569">
        <v>1</v>
      </c>
      <c r="Q478" s="831">
        <f>+O478*P478</f>
        <v>3870</v>
      </c>
      <c r="R478" s="299"/>
      <c r="S478" s="298"/>
      <c r="T478" s="298"/>
      <c r="U478" s="298"/>
      <c r="V478" s="298"/>
      <c r="W478" s="355"/>
      <c r="X478" s="1137">
        <v>3870</v>
      </c>
      <c r="Y478" s="1126"/>
      <c r="Z478" s="1126"/>
      <c r="AA478" s="1126"/>
      <c r="AB478" s="1126"/>
      <c r="AC478" s="1126"/>
      <c r="AD478" s="1126"/>
      <c r="AE478" s="1126"/>
      <c r="AF478" s="1126"/>
      <c r="AG478" s="1282">
        <f t="shared" si="92"/>
        <v>3870</v>
      </c>
    </row>
    <row r="479" spans="1:33" s="280" customFormat="1" hidden="1">
      <c r="A479" s="1393">
        <v>3241</v>
      </c>
      <c r="B479" s="291" t="s">
        <v>599</v>
      </c>
      <c r="C479" s="824" t="s">
        <v>562</v>
      </c>
      <c r="D479" s="1391"/>
      <c r="E479" s="294">
        <v>5</v>
      </c>
      <c r="F479" s="829">
        <v>43332</v>
      </c>
      <c r="G479" s="829">
        <f t="shared" si="91"/>
        <v>43337</v>
      </c>
      <c r="H479" s="1391"/>
      <c r="I479" s="294"/>
      <c r="J479" s="307"/>
      <c r="K479" s="326" t="s">
        <v>565</v>
      </c>
      <c r="L479" s="1241">
        <v>23174</v>
      </c>
      <c r="M479" s="296"/>
      <c r="N479" s="294"/>
      <c r="O479" s="355">
        <v>1580</v>
      </c>
      <c r="P479" s="569">
        <v>1</v>
      </c>
      <c r="Q479" s="831">
        <f>+O479*P479</f>
        <v>1580</v>
      </c>
      <c r="R479" s="299"/>
      <c r="S479" s="298"/>
      <c r="T479" s="298"/>
      <c r="U479" s="298"/>
      <c r="V479" s="298"/>
      <c r="W479" s="355"/>
      <c r="X479" s="1137">
        <v>1580</v>
      </c>
      <c r="Y479" s="1126"/>
      <c r="Z479" s="1126"/>
      <c r="AA479" s="1126"/>
      <c r="AB479" s="1126"/>
      <c r="AC479" s="1126"/>
      <c r="AD479" s="1126"/>
      <c r="AE479" s="1126"/>
      <c r="AF479" s="1126"/>
      <c r="AG479" s="1282">
        <f t="shared" si="92"/>
        <v>1580</v>
      </c>
    </row>
    <row r="480" spans="1:33" s="280" customFormat="1" hidden="1">
      <c r="A480" s="1393">
        <v>3241</v>
      </c>
      <c r="B480" s="291" t="s">
        <v>599</v>
      </c>
      <c r="C480" s="824" t="s">
        <v>564</v>
      </c>
      <c r="D480" s="1391"/>
      <c r="E480" s="294">
        <v>5</v>
      </c>
      <c r="F480" s="829">
        <v>43332</v>
      </c>
      <c r="G480" s="829">
        <f t="shared" si="91"/>
        <v>43337</v>
      </c>
      <c r="H480" s="1391"/>
      <c r="I480" s="294"/>
      <c r="J480" s="307"/>
      <c r="K480" s="326" t="s">
        <v>597</v>
      </c>
      <c r="L480" s="1241">
        <v>23174</v>
      </c>
      <c r="M480" s="296"/>
      <c r="N480" s="294"/>
      <c r="O480" s="355">
        <v>3840</v>
      </c>
      <c r="P480" s="569">
        <v>1</v>
      </c>
      <c r="Q480" s="831">
        <f>+O480*P480</f>
        <v>3840</v>
      </c>
      <c r="R480" s="299"/>
      <c r="S480" s="298"/>
      <c r="T480" s="298"/>
      <c r="U480" s="298"/>
      <c r="V480" s="298"/>
      <c r="W480" s="355"/>
      <c r="X480" s="1137">
        <v>3840</v>
      </c>
      <c r="Y480" s="1126"/>
      <c r="Z480" s="1126"/>
      <c r="AA480" s="1126"/>
      <c r="AB480" s="1126"/>
      <c r="AC480" s="1126"/>
      <c r="AD480" s="1126"/>
      <c r="AE480" s="1126"/>
      <c r="AF480" s="1126"/>
      <c r="AG480" s="1282">
        <f t="shared" si="92"/>
        <v>3840</v>
      </c>
    </row>
    <row r="481" spans="1:33" s="280" customFormat="1" hidden="1">
      <c r="A481" s="1393">
        <v>3241</v>
      </c>
      <c r="B481" s="291" t="s">
        <v>599</v>
      </c>
      <c r="C481" s="824" t="s">
        <v>566</v>
      </c>
      <c r="D481" s="1391"/>
      <c r="E481" s="294">
        <v>5</v>
      </c>
      <c r="F481" s="829">
        <v>43332</v>
      </c>
      <c r="G481" s="829">
        <f t="shared" si="91"/>
        <v>43337</v>
      </c>
      <c r="H481" s="1391"/>
      <c r="I481" s="294"/>
      <c r="J481" s="307"/>
      <c r="K481" s="326" t="s">
        <v>486</v>
      </c>
      <c r="L481" s="1241">
        <v>23173</v>
      </c>
      <c r="M481" s="296"/>
      <c r="N481" s="294"/>
      <c r="O481" s="355">
        <v>233.33333333333334</v>
      </c>
      <c r="P481" s="569">
        <v>1</v>
      </c>
      <c r="Q481" s="831">
        <f>+O481*P481</f>
        <v>233.33333333333334</v>
      </c>
      <c r="R481" s="299"/>
      <c r="S481" s="298"/>
      <c r="T481" s="298"/>
      <c r="U481" s="298"/>
      <c r="V481" s="298"/>
      <c r="W481" s="355"/>
      <c r="X481" s="1137">
        <v>233.33333333333334</v>
      </c>
      <c r="Y481" s="1126"/>
      <c r="Z481" s="1126"/>
      <c r="AA481" s="1126"/>
      <c r="AB481" s="1126"/>
      <c r="AC481" s="1126"/>
      <c r="AD481" s="1126"/>
      <c r="AE481" s="1126"/>
      <c r="AF481" s="1126"/>
      <c r="AG481" s="1282">
        <f t="shared" si="92"/>
        <v>233.33333333333334</v>
      </c>
    </row>
    <row r="482" spans="1:33" s="280" customFormat="1" ht="31.5" hidden="1">
      <c r="A482" s="2789">
        <v>3242</v>
      </c>
      <c r="B482" s="2790" t="s">
        <v>602</v>
      </c>
      <c r="C482" s="2790" t="s">
        <v>603</v>
      </c>
      <c r="D482" s="2924"/>
      <c r="E482" s="2789">
        <v>3</v>
      </c>
      <c r="F482" s="2881">
        <v>43339</v>
      </c>
      <c r="G482" s="2881">
        <f t="shared" si="91"/>
        <v>43342</v>
      </c>
      <c r="H482" s="2924"/>
      <c r="I482" s="2789" t="s">
        <v>177</v>
      </c>
      <c r="J482" s="2793" t="s">
        <v>604</v>
      </c>
      <c r="K482" s="326"/>
      <c r="L482" s="1677">
        <v>23174</v>
      </c>
      <c r="M482" s="296"/>
      <c r="N482" s="294"/>
      <c r="O482" s="487">
        <v>2300</v>
      </c>
      <c r="P482" s="294">
        <v>1</v>
      </c>
      <c r="Q482" s="518">
        <f>O482*P482</f>
        <v>2300</v>
      </c>
      <c r="R482" s="518"/>
      <c r="S482" s="493"/>
      <c r="T482" s="493"/>
      <c r="U482" s="493"/>
      <c r="V482" s="493"/>
      <c r="W482" s="555"/>
      <c r="X482" s="1138">
        <v>2300</v>
      </c>
      <c r="Y482" s="1152"/>
      <c r="Z482" s="1152"/>
      <c r="AA482" s="1152"/>
      <c r="AB482" s="1152"/>
      <c r="AC482" s="1152"/>
      <c r="AD482" s="1152"/>
      <c r="AE482" s="1152"/>
      <c r="AF482" s="1152"/>
      <c r="AG482" s="1282">
        <f t="shared" si="92"/>
        <v>2300</v>
      </c>
    </row>
    <row r="483" spans="1:33" s="550" customFormat="1" ht="32.25" customHeight="1">
      <c r="A483" s="1275">
        <v>325</v>
      </c>
      <c r="B483" s="523" t="s">
        <v>605</v>
      </c>
      <c r="C483" s="1504"/>
      <c r="D483" s="1358"/>
      <c r="E483" s="1358"/>
      <c r="F483" s="1358"/>
      <c r="G483" s="1358"/>
      <c r="H483" s="1358"/>
      <c r="I483" s="1358"/>
      <c r="J483" s="543"/>
      <c r="K483" s="1545"/>
      <c r="L483" s="1389"/>
      <c r="M483" s="1390"/>
      <c r="N483" s="1388"/>
      <c r="O483" s="1282"/>
      <c r="P483" s="1388"/>
      <c r="Q483" s="547">
        <f>SUM(Q485:Q489)</f>
        <v>13243.000000000002</v>
      </c>
      <c r="R483" s="547"/>
      <c r="S483" s="1282">
        <f t="shared" ref="S483:AF483" si="93">SUM(S485:S489)</f>
        <v>0</v>
      </c>
      <c r="T483" s="1282">
        <f t="shared" si="93"/>
        <v>0</v>
      </c>
      <c r="U483" s="1282">
        <f t="shared" si="93"/>
        <v>0</v>
      </c>
      <c r="V483" s="1282">
        <f t="shared" si="93"/>
        <v>0</v>
      </c>
      <c r="W483" s="1282">
        <f t="shared" si="93"/>
        <v>13243.000000000002</v>
      </c>
      <c r="X483" s="1282">
        <f t="shared" si="93"/>
        <v>0</v>
      </c>
      <c r="Y483" s="1282">
        <f t="shared" si="93"/>
        <v>0</v>
      </c>
      <c r="Z483" s="1282">
        <f t="shared" si="93"/>
        <v>0</v>
      </c>
      <c r="AA483" s="1282">
        <f t="shared" si="93"/>
        <v>0</v>
      </c>
      <c r="AB483" s="1282">
        <f t="shared" si="93"/>
        <v>0</v>
      </c>
      <c r="AC483" s="1282">
        <f t="shared" si="93"/>
        <v>0</v>
      </c>
      <c r="AD483" s="1282">
        <f t="shared" si="93"/>
        <v>0</v>
      </c>
      <c r="AE483" s="1282">
        <f t="shared" si="93"/>
        <v>0</v>
      </c>
      <c r="AF483" s="1282">
        <f t="shared" si="93"/>
        <v>0</v>
      </c>
      <c r="AG483" s="1282">
        <f>SUM(S483:AF483)</f>
        <v>13243.000000000002</v>
      </c>
    </row>
    <row r="484" spans="1:33" s="550" customFormat="1" ht="34.5" hidden="1" customHeight="1">
      <c r="A484" s="2789">
        <v>3251</v>
      </c>
      <c r="B484" s="2790" t="s">
        <v>606</v>
      </c>
      <c r="C484" s="2790" t="s">
        <v>579</v>
      </c>
      <c r="D484" s="2789" t="s">
        <v>514</v>
      </c>
      <c r="E484" s="2789">
        <v>45</v>
      </c>
      <c r="F484" s="2936">
        <v>43194</v>
      </c>
      <c r="G484" s="2936">
        <f>+F484+E484</f>
        <v>43239</v>
      </c>
      <c r="H484" s="2924"/>
      <c r="I484" s="2789"/>
      <c r="J484" s="2919"/>
      <c r="K484" s="2920"/>
      <c r="L484" s="2921"/>
      <c r="M484" s="2734"/>
      <c r="N484" s="2922"/>
      <c r="O484" s="2739"/>
      <c r="P484" s="2922"/>
      <c r="Q484" s="2809"/>
      <c r="R484" s="2809"/>
      <c r="S484" s="2739"/>
      <c r="T484" s="2739"/>
      <c r="U484" s="2739"/>
      <c r="V484" s="2739"/>
      <c r="W484" s="2739"/>
      <c r="X484" s="2923"/>
      <c r="Y484" s="2739"/>
      <c r="Z484" s="2739"/>
      <c r="AA484" s="2739"/>
      <c r="AB484" s="2739"/>
      <c r="AC484" s="2739"/>
      <c r="AD484" s="2739"/>
      <c r="AE484" s="2739"/>
      <c r="AF484" s="2739"/>
      <c r="AG484" s="2739"/>
    </row>
    <row r="485" spans="1:33" s="280" customFormat="1" hidden="1">
      <c r="A485" s="294">
        <v>3251</v>
      </c>
      <c r="B485" s="291" t="s">
        <v>606</v>
      </c>
      <c r="C485" s="824" t="s">
        <v>579</v>
      </c>
      <c r="D485" s="294" t="s">
        <v>514</v>
      </c>
      <c r="E485" s="294">
        <v>45</v>
      </c>
      <c r="F485" s="1399">
        <v>43194</v>
      </c>
      <c r="G485" s="1399">
        <f>+F485+E485</f>
        <v>43239</v>
      </c>
      <c r="H485" s="1391"/>
      <c r="I485" s="294"/>
      <c r="J485" s="307"/>
      <c r="K485" s="326" t="s">
        <v>302</v>
      </c>
      <c r="L485" s="1241">
        <v>23173</v>
      </c>
      <c r="M485" s="296"/>
      <c r="N485" s="294"/>
      <c r="O485" s="1811">
        <v>155.66666666666666</v>
      </c>
      <c r="P485" s="294">
        <v>1</v>
      </c>
      <c r="Q485" s="299">
        <f>+O485*P485</f>
        <v>155.66666666666666</v>
      </c>
      <c r="R485" s="299"/>
      <c r="S485" s="298"/>
      <c r="T485" s="298"/>
      <c r="U485" s="298"/>
      <c r="V485" s="298"/>
      <c r="W485" s="355">
        <v>155.66666666666666</v>
      </c>
      <c r="X485" s="1137"/>
      <c r="Y485" s="1126"/>
      <c r="Z485" s="1126"/>
      <c r="AA485" s="1126"/>
      <c r="AB485" s="1126"/>
      <c r="AC485" s="1126"/>
      <c r="AD485" s="1126"/>
      <c r="AE485" s="1126"/>
      <c r="AF485" s="1126"/>
      <c r="AG485" s="1282">
        <f t="shared" ref="AG485:AG492" si="94">SUM(S485:AF485)</f>
        <v>155.66666666666666</v>
      </c>
    </row>
    <row r="486" spans="1:33" s="280" customFormat="1" hidden="1">
      <c r="A486" s="294">
        <v>3251</v>
      </c>
      <c r="B486" s="291" t="s">
        <v>606</v>
      </c>
      <c r="C486" s="824" t="s">
        <v>560</v>
      </c>
      <c r="D486" s="1391"/>
      <c r="E486" s="294">
        <v>10</v>
      </c>
      <c r="F486" s="1399">
        <v>43299</v>
      </c>
      <c r="G486" s="1399">
        <f>+E486+F486</f>
        <v>43309</v>
      </c>
      <c r="H486" s="1391"/>
      <c r="I486" s="294"/>
      <c r="J486" s="307"/>
      <c r="K486" s="326" t="s">
        <v>596</v>
      </c>
      <c r="L486" s="1241">
        <v>23174</v>
      </c>
      <c r="M486" s="296"/>
      <c r="N486" s="294"/>
      <c r="O486" s="355">
        <v>6048</v>
      </c>
      <c r="P486" s="294">
        <v>1</v>
      </c>
      <c r="Q486" s="299">
        <f>+O486*P486</f>
        <v>6048</v>
      </c>
      <c r="R486" s="299"/>
      <c r="S486" s="298"/>
      <c r="T486" s="298"/>
      <c r="U486" s="298"/>
      <c r="V486" s="298"/>
      <c r="W486" s="355">
        <v>6048</v>
      </c>
      <c r="X486" s="1137"/>
      <c r="Y486" s="1126"/>
      <c r="Z486" s="1126"/>
      <c r="AA486" s="1126"/>
      <c r="AB486" s="1126"/>
      <c r="AC486" s="1126"/>
      <c r="AD486" s="1126"/>
      <c r="AE486" s="1126"/>
      <c r="AF486" s="1126"/>
      <c r="AG486" s="1282">
        <f t="shared" si="94"/>
        <v>6048</v>
      </c>
    </row>
    <row r="487" spans="1:33" s="280" customFormat="1" hidden="1">
      <c r="A487" s="294">
        <v>3251</v>
      </c>
      <c r="B487" s="291" t="s">
        <v>606</v>
      </c>
      <c r="C487" s="824" t="s">
        <v>562</v>
      </c>
      <c r="D487" s="1391"/>
      <c r="E487" s="294">
        <v>10</v>
      </c>
      <c r="F487" s="1399">
        <v>43299</v>
      </c>
      <c r="G487" s="1399">
        <f>+E487+F487</f>
        <v>43309</v>
      </c>
      <c r="H487" s="1391"/>
      <c r="I487" s="294"/>
      <c r="J487" s="307"/>
      <c r="K487" s="326" t="s">
        <v>565</v>
      </c>
      <c r="L487" s="1241">
        <v>23174</v>
      </c>
      <c r="M487" s="296"/>
      <c r="N487" s="294"/>
      <c r="O487" s="355">
        <v>546</v>
      </c>
      <c r="P487" s="294">
        <v>1</v>
      </c>
      <c r="Q487" s="299">
        <f>+O487*P487</f>
        <v>546</v>
      </c>
      <c r="R487" s="299"/>
      <c r="S487" s="298"/>
      <c r="T487" s="298"/>
      <c r="U487" s="298"/>
      <c r="V487" s="298"/>
      <c r="W487" s="355">
        <v>546</v>
      </c>
      <c r="X487" s="1137"/>
      <c r="Y487" s="1126"/>
      <c r="Z487" s="1126"/>
      <c r="AA487" s="1126"/>
      <c r="AB487" s="1126"/>
      <c r="AC487" s="1126"/>
      <c r="AD487" s="1126"/>
      <c r="AE487" s="1126"/>
      <c r="AF487" s="1126"/>
      <c r="AG487" s="1282">
        <f t="shared" si="94"/>
        <v>546</v>
      </c>
    </row>
    <row r="488" spans="1:33" s="280" customFormat="1" hidden="1">
      <c r="A488" s="294">
        <v>3251</v>
      </c>
      <c r="B488" s="291" t="s">
        <v>606</v>
      </c>
      <c r="C488" s="824" t="s">
        <v>564</v>
      </c>
      <c r="D488" s="1391"/>
      <c r="E488" s="294">
        <v>10</v>
      </c>
      <c r="F488" s="1399">
        <v>43299</v>
      </c>
      <c r="G488" s="1399">
        <f>+E488+F488</f>
        <v>43309</v>
      </c>
      <c r="H488" s="1391"/>
      <c r="I488" s="294"/>
      <c r="J488" s="307"/>
      <c r="K488" s="326" t="s">
        <v>597</v>
      </c>
      <c r="L488" s="1241">
        <v>23174</v>
      </c>
      <c r="M488" s="296"/>
      <c r="N488" s="294"/>
      <c r="O488" s="355">
        <v>6160</v>
      </c>
      <c r="P488" s="294">
        <v>1</v>
      </c>
      <c r="Q488" s="299">
        <f>+O488*P488</f>
        <v>6160</v>
      </c>
      <c r="R488" s="299"/>
      <c r="S488" s="298"/>
      <c r="T488" s="298"/>
      <c r="U488" s="298"/>
      <c r="V488" s="298"/>
      <c r="W488" s="355">
        <v>6160</v>
      </c>
      <c r="X488" s="1137"/>
      <c r="Y488" s="1126"/>
      <c r="Z488" s="1126"/>
      <c r="AA488" s="1126"/>
      <c r="AB488" s="1126"/>
      <c r="AC488" s="1126"/>
      <c r="AD488" s="1126"/>
      <c r="AE488" s="1126"/>
      <c r="AF488" s="1126"/>
      <c r="AG488" s="1282">
        <f t="shared" si="94"/>
        <v>6160</v>
      </c>
    </row>
    <row r="489" spans="1:33" s="280" customFormat="1" hidden="1">
      <c r="A489" s="294">
        <v>3251</v>
      </c>
      <c r="B489" s="291" t="s">
        <v>606</v>
      </c>
      <c r="C489" s="824" t="s">
        <v>566</v>
      </c>
      <c r="D489" s="1391"/>
      <c r="E489" s="294">
        <v>10</v>
      </c>
      <c r="F489" s="1399">
        <v>43299</v>
      </c>
      <c r="G489" s="1399">
        <f>+E489+F489</f>
        <v>43309</v>
      </c>
      <c r="H489" s="1391"/>
      <c r="I489" s="294"/>
      <c r="J489" s="307"/>
      <c r="K489" s="326" t="s">
        <v>486</v>
      </c>
      <c r="L489" s="1241">
        <v>23173</v>
      </c>
      <c r="M489" s="296"/>
      <c r="N489" s="294"/>
      <c r="O489" s="355">
        <v>333.33333333333331</v>
      </c>
      <c r="P489" s="294">
        <v>1</v>
      </c>
      <c r="Q489" s="299">
        <f>+O489*P489</f>
        <v>333.33333333333331</v>
      </c>
      <c r="R489" s="299"/>
      <c r="S489" s="298"/>
      <c r="T489" s="298"/>
      <c r="U489" s="298"/>
      <c r="V489" s="298"/>
      <c r="W489" s="355">
        <v>333.33333333333331</v>
      </c>
      <c r="X489" s="1137"/>
      <c r="Y489" s="1126"/>
      <c r="Z489" s="1126"/>
      <c r="AA489" s="1126"/>
      <c r="AB489" s="1126"/>
      <c r="AC489" s="1126"/>
      <c r="AD489" s="1126"/>
      <c r="AE489" s="1126"/>
      <c r="AF489" s="1126"/>
      <c r="AG489" s="1282">
        <f t="shared" si="94"/>
        <v>333.33333333333331</v>
      </c>
    </row>
    <row r="490" spans="1:33" s="280" customFormat="1" ht="30" customHeight="1">
      <c r="A490" s="1275">
        <v>326</v>
      </c>
      <c r="B490" s="523" t="s">
        <v>608</v>
      </c>
      <c r="C490" s="1504"/>
      <c r="D490" s="1358"/>
      <c r="E490" s="1358"/>
      <c r="F490" s="1358"/>
      <c r="G490" s="1358"/>
      <c r="H490" s="1358"/>
      <c r="I490" s="1358"/>
      <c r="J490" s="283"/>
      <c r="K490" s="1278"/>
      <c r="L490" s="1394"/>
      <c r="M490" s="495"/>
      <c r="N490" s="1277"/>
      <c r="O490" s="1395"/>
      <c r="P490" s="1277"/>
      <c r="Q490" s="547">
        <f>SUM(Q491:Q492)</f>
        <v>30000</v>
      </c>
      <c r="R490" s="287"/>
      <c r="S490" s="1282">
        <f t="shared" ref="S490:AF490" si="95">+S491+S492</f>
        <v>0</v>
      </c>
      <c r="T490" s="1282">
        <f t="shared" si="95"/>
        <v>0</v>
      </c>
      <c r="U490" s="1282">
        <f t="shared" si="95"/>
        <v>0</v>
      </c>
      <c r="V490" s="1282">
        <f t="shared" si="95"/>
        <v>0</v>
      </c>
      <c r="W490" s="1282">
        <f t="shared" si="95"/>
        <v>15000</v>
      </c>
      <c r="X490" s="1282">
        <f t="shared" si="95"/>
        <v>0</v>
      </c>
      <c r="Y490" s="1282">
        <f t="shared" si="95"/>
        <v>0</v>
      </c>
      <c r="Z490" s="546">
        <f t="shared" si="95"/>
        <v>15000</v>
      </c>
      <c r="AA490" s="546">
        <f t="shared" si="95"/>
        <v>0</v>
      </c>
      <c r="AB490" s="546">
        <f t="shared" si="95"/>
        <v>0</v>
      </c>
      <c r="AC490" s="546">
        <f t="shared" si="95"/>
        <v>0</v>
      </c>
      <c r="AD490" s="546">
        <f t="shared" si="95"/>
        <v>0</v>
      </c>
      <c r="AE490" s="546">
        <f t="shared" si="95"/>
        <v>0</v>
      </c>
      <c r="AF490" s="546">
        <f t="shared" si="95"/>
        <v>0</v>
      </c>
      <c r="AG490" s="1282">
        <f t="shared" si="94"/>
        <v>30000</v>
      </c>
    </row>
    <row r="491" spans="1:33" s="280" customFormat="1" ht="31.5" hidden="1">
      <c r="A491" s="2789">
        <v>3261</v>
      </c>
      <c r="B491" s="2790" t="s">
        <v>609</v>
      </c>
      <c r="C491" s="2790" t="s">
        <v>610</v>
      </c>
      <c r="D491" s="2789" t="s">
        <v>246</v>
      </c>
      <c r="E491" s="2934">
        <f>70+30</f>
        <v>100</v>
      </c>
      <c r="F491" s="2936">
        <v>43192</v>
      </c>
      <c r="G491" s="2936">
        <f>+E491+F491</f>
        <v>43292</v>
      </c>
      <c r="H491" s="2924"/>
      <c r="I491" s="2789" t="s">
        <v>611</v>
      </c>
      <c r="J491" s="307"/>
      <c r="K491" s="326"/>
      <c r="L491" s="1711">
        <v>23173</v>
      </c>
      <c r="M491" s="296"/>
      <c r="N491" s="294"/>
      <c r="O491" s="487">
        <v>10000</v>
      </c>
      <c r="P491" s="294">
        <v>1</v>
      </c>
      <c r="Q491" s="518">
        <v>10000</v>
      </c>
      <c r="R491" s="518"/>
      <c r="S491" s="493"/>
      <c r="T491" s="555"/>
      <c r="U491" s="493"/>
      <c r="V491" s="493"/>
      <c r="W491" s="487">
        <v>5000</v>
      </c>
      <c r="X491" s="574"/>
      <c r="Y491" s="1156"/>
      <c r="Z491" s="487">
        <v>5000</v>
      </c>
      <c r="AA491" s="1156"/>
      <c r="AB491" s="1156"/>
      <c r="AC491" s="1156"/>
      <c r="AD491" s="1156"/>
      <c r="AE491" s="1156"/>
      <c r="AF491" s="1156"/>
      <c r="AG491" s="1282">
        <f t="shared" si="94"/>
        <v>10000</v>
      </c>
    </row>
    <row r="492" spans="1:33" s="280" customFormat="1" ht="31.5" hidden="1">
      <c r="A492" s="2789">
        <v>3262</v>
      </c>
      <c r="B492" s="2790" t="s">
        <v>612</v>
      </c>
      <c r="C492" s="2790" t="s">
        <v>610</v>
      </c>
      <c r="D492" s="2789" t="s">
        <v>246</v>
      </c>
      <c r="E492" s="2789">
        <f>70+30</f>
        <v>100</v>
      </c>
      <c r="F492" s="2936">
        <v>43192</v>
      </c>
      <c r="G492" s="2936">
        <f>+E492+F492</f>
        <v>43292</v>
      </c>
      <c r="H492" s="2924"/>
      <c r="I492" s="2789" t="s">
        <v>611</v>
      </c>
      <c r="J492" s="307"/>
      <c r="K492" s="326"/>
      <c r="L492" s="1711">
        <v>23173</v>
      </c>
      <c r="M492" s="296"/>
      <c r="N492" s="294"/>
      <c r="O492" s="487">
        <v>20000</v>
      </c>
      <c r="P492" s="294">
        <v>1</v>
      </c>
      <c r="Q492" s="518">
        <f>+O492*P492</f>
        <v>20000</v>
      </c>
      <c r="R492" s="518"/>
      <c r="S492" s="493"/>
      <c r="T492" s="555"/>
      <c r="U492" s="493"/>
      <c r="V492" s="493"/>
      <c r="W492" s="487">
        <v>10000</v>
      </c>
      <c r="X492" s="1138"/>
      <c r="Y492" s="1156"/>
      <c r="Z492" s="487">
        <v>10000</v>
      </c>
      <c r="AA492" s="1156"/>
      <c r="AB492" s="1156"/>
      <c r="AC492" s="1156"/>
      <c r="AD492" s="1156"/>
      <c r="AE492" s="1156"/>
      <c r="AF492" s="1156"/>
      <c r="AG492" s="1282">
        <f t="shared" si="94"/>
        <v>20000</v>
      </c>
    </row>
    <row r="493" spans="1:33" ht="33.75" customHeight="1">
      <c r="A493" s="1815" t="s">
        <v>275</v>
      </c>
      <c r="B493" s="836"/>
      <c r="C493" s="1816"/>
      <c r="D493" s="1818"/>
      <c r="E493" s="1818"/>
      <c r="F493" s="1818"/>
      <c r="G493" s="1818"/>
      <c r="H493" s="1818"/>
      <c r="I493" s="1818"/>
      <c r="J493" s="835"/>
      <c r="K493" s="1815"/>
      <c r="L493" s="1817"/>
      <c r="M493" s="1818"/>
      <c r="N493" s="1819"/>
      <c r="O493" s="1820"/>
      <c r="P493" s="1819"/>
      <c r="Q493" s="1822">
        <f>+Q494+Q544+Q585+Q602+Q626</f>
        <v>1602692.0064583335</v>
      </c>
      <c r="R493" s="1822">
        <f>+R494+R545+R585+R602+R626</f>
        <v>1602730.2762500001</v>
      </c>
      <c r="S493" s="1821">
        <f t="shared" ref="S493:AG493" si="96">+S494+S544+S585+S602+S626</f>
        <v>0</v>
      </c>
      <c r="T493" s="1821">
        <f t="shared" si="96"/>
        <v>425584.66666666669</v>
      </c>
      <c r="U493" s="1821">
        <f t="shared" si="96"/>
        <v>436083.8510416667</v>
      </c>
      <c r="V493" s="1821">
        <f t="shared" si="96"/>
        <v>383932.9375</v>
      </c>
      <c r="W493" s="1821">
        <f t="shared" si="96"/>
        <v>153865.88912499999</v>
      </c>
      <c r="X493" s="1821">
        <f t="shared" si="96"/>
        <v>137807.23487499999</v>
      </c>
      <c r="Y493" s="1821">
        <f t="shared" si="96"/>
        <v>65417.427250000001</v>
      </c>
      <c r="Z493" s="1821">
        <f t="shared" si="96"/>
        <v>0</v>
      </c>
      <c r="AA493" s="1821">
        <f t="shared" si="96"/>
        <v>0</v>
      </c>
      <c r="AB493" s="1821">
        <f t="shared" si="96"/>
        <v>0</v>
      </c>
      <c r="AC493" s="1821">
        <f t="shared" si="96"/>
        <v>0</v>
      </c>
      <c r="AD493" s="1821">
        <f t="shared" si="96"/>
        <v>0</v>
      </c>
      <c r="AE493" s="1821">
        <f t="shared" si="96"/>
        <v>0</v>
      </c>
      <c r="AF493" s="1821">
        <f t="shared" si="96"/>
        <v>0</v>
      </c>
      <c r="AG493" s="1821">
        <f t="shared" si="96"/>
        <v>1602692.0064583332</v>
      </c>
    </row>
    <row r="494" spans="1:33" ht="15.75" customHeight="1">
      <c r="A494" s="1248" t="s">
        <v>276</v>
      </c>
      <c r="B494" s="274"/>
      <c r="C494" s="278"/>
      <c r="D494" s="1270"/>
      <c r="E494" s="1270"/>
      <c r="F494" s="1270"/>
      <c r="G494" s="1270"/>
      <c r="H494" s="1270"/>
      <c r="I494" s="1270"/>
      <c r="J494" s="273"/>
      <c r="K494" s="1248"/>
      <c r="L494" s="1269"/>
      <c r="M494" s="1270"/>
      <c r="N494" s="1268"/>
      <c r="O494" s="1271"/>
      <c r="P494" s="1268"/>
      <c r="Q494" s="1273">
        <f>+Q495+Q512+Q520</f>
        <v>356290.50312500005</v>
      </c>
      <c r="R494" s="1273">
        <f>+'[2]Compil Costing PPA 3 millions'!F15</f>
        <v>356290.70624999999</v>
      </c>
      <c r="S494" s="1272">
        <f t="shared" ref="S494:AG494" si="97">+S495+S512+S520</f>
        <v>0</v>
      </c>
      <c r="T494" s="1272">
        <f t="shared" si="97"/>
        <v>0</v>
      </c>
      <c r="U494" s="1272">
        <f t="shared" si="97"/>
        <v>223990.18437500001</v>
      </c>
      <c r="V494" s="1272">
        <f t="shared" si="97"/>
        <v>13573.4375</v>
      </c>
      <c r="W494" s="1272">
        <f t="shared" si="97"/>
        <v>80924.719125000003</v>
      </c>
      <c r="X494" s="1272">
        <f t="shared" si="97"/>
        <v>7772.2348750000001</v>
      </c>
      <c r="Y494" s="1272">
        <f t="shared" si="97"/>
        <v>30029.927250000001</v>
      </c>
      <c r="Z494" s="276">
        <f t="shared" si="97"/>
        <v>0</v>
      </c>
      <c r="AA494" s="276">
        <f t="shared" si="97"/>
        <v>0</v>
      </c>
      <c r="AB494" s="276">
        <f t="shared" si="97"/>
        <v>0</v>
      </c>
      <c r="AC494" s="276">
        <f t="shared" si="97"/>
        <v>0</v>
      </c>
      <c r="AD494" s="276">
        <f t="shared" si="97"/>
        <v>0</v>
      </c>
      <c r="AE494" s="276">
        <f t="shared" si="97"/>
        <v>0</v>
      </c>
      <c r="AF494" s="276">
        <f t="shared" si="97"/>
        <v>0</v>
      </c>
      <c r="AG494" s="1272">
        <f t="shared" si="97"/>
        <v>356290.50312499999</v>
      </c>
    </row>
    <row r="495" spans="1:33" ht="16.5" customHeight="1">
      <c r="A495" s="1275">
        <v>411</v>
      </c>
      <c r="B495" s="545" t="s">
        <v>911</v>
      </c>
      <c r="C495" s="1510"/>
      <c r="D495" s="1390"/>
      <c r="E495" s="1390"/>
      <c r="F495" s="1390"/>
      <c r="G495" s="1390"/>
      <c r="H495" s="1390"/>
      <c r="I495" s="1390"/>
      <c r="J495" s="283"/>
      <c r="K495" s="1278"/>
      <c r="L495" s="1279"/>
      <c r="M495" s="1280"/>
      <c r="N495" s="1277"/>
      <c r="O495" s="1281"/>
      <c r="P495" s="1277"/>
      <c r="Q495" s="287">
        <f>SUM(Q497:Q511)</f>
        <v>63605.746874999997</v>
      </c>
      <c r="R495" s="287"/>
      <c r="S495" s="1395">
        <f t="shared" ref="S495:AF495" si="98">SUM(S497:S511)</f>
        <v>0</v>
      </c>
      <c r="T495" s="1395">
        <f t="shared" si="98"/>
        <v>0</v>
      </c>
      <c r="U495" s="1395">
        <f t="shared" si="98"/>
        <v>43754.809374999997</v>
      </c>
      <c r="V495" s="1395">
        <f t="shared" si="98"/>
        <v>13573.4375</v>
      </c>
      <c r="W495" s="1395">
        <f t="shared" si="98"/>
        <v>6277.5</v>
      </c>
      <c r="X495" s="1395">
        <f t="shared" si="98"/>
        <v>0</v>
      </c>
      <c r="Y495" s="1395">
        <f t="shared" si="98"/>
        <v>0</v>
      </c>
      <c r="Z495" s="361">
        <f t="shared" si="98"/>
        <v>0</v>
      </c>
      <c r="AA495" s="361">
        <f t="shared" si="98"/>
        <v>0</v>
      </c>
      <c r="AB495" s="361">
        <f t="shared" si="98"/>
        <v>0</v>
      </c>
      <c r="AC495" s="361">
        <f t="shared" si="98"/>
        <v>0</v>
      </c>
      <c r="AD495" s="361">
        <f t="shared" si="98"/>
        <v>0</v>
      </c>
      <c r="AE495" s="361">
        <f t="shared" si="98"/>
        <v>0</v>
      </c>
      <c r="AF495" s="361">
        <f t="shared" si="98"/>
        <v>0</v>
      </c>
      <c r="AG495" s="1395">
        <f>SUM(S495:AF495)</f>
        <v>63605.746874999997</v>
      </c>
    </row>
    <row r="496" spans="1:33" ht="42.75" hidden="1" customHeight="1">
      <c r="A496" s="2789">
        <v>4111</v>
      </c>
      <c r="B496" s="2790" t="s">
        <v>912</v>
      </c>
      <c r="C496" s="2790" t="s">
        <v>913</v>
      </c>
      <c r="D496" s="2929"/>
      <c r="E496" s="2924">
        <f>45+21+5</f>
        <v>71</v>
      </c>
      <c r="F496" s="2941">
        <v>43192</v>
      </c>
      <c r="G496" s="2941">
        <f>F496+E496</f>
        <v>43263</v>
      </c>
      <c r="H496" s="2792" t="s">
        <v>914</v>
      </c>
      <c r="I496" s="2942" t="s">
        <v>178</v>
      </c>
      <c r="J496" s="2943" t="s">
        <v>169</v>
      </c>
      <c r="K496" s="1432"/>
      <c r="L496" s="1433"/>
      <c r="M496" s="2937"/>
      <c r="N496" s="2938"/>
      <c r="O496" s="2939"/>
      <c r="P496" s="2938"/>
      <c r="Q496" s="1133"/>
      <c r="R496" s="1133"/>
      <c r="S496" s="1435"/>
      <c r="T496" s="1435"/>
      <c r="U496" s="1435"/>
      <c r="V496" s="1435"/>
      <c r="W496" s="1435"/>
      <c r="X496" s="2940"/>
      <c r="Y496" s="1435"/>
      <c r="Z496" s="1132"/>
      <c r="AA496" s="1132"/>
      <c r="AB496" s="1132"/>
      <c r="AC496" s="1132"/>
      <c r="AD496" s="1132"/>
      <c r="AE496" s="1132"/>
      <c r="AF496" s="1132"/>
      <c r="AG496" s="1435"/>
    </row>
    <row r="497" spans="1:33" ht="47.25" hidden="1" customHeight="1">
      <c r="A497" s="294">
        <v>4111</v>
      </c>
      <c r="B497" s="824" t="s">
        <v>912</v>
      </c>
      <c r="C497" s="824" t="s">
        <v>913</v>
      </c>
      <c r="D497" s="1396"/>
      <c r="E497" s="1391">
        <f>45+21+5</f>
        <v>71</v>
      </c>
      <c r="F497" s="1400">
        <v>43192</v>
      </c>
      <c r="G497" s="1400">
        <f>F497+E497</f>
        <v>43263</v>
      </c>
      <c r="H497" s="293" t="s">
        <v>914</v>
      </c>
      <c r="I497" s="845" t="s">
        <v>178</v>
      </c>
      <c r="J497" s="866" t="s">
        <v>169</v>
      </c>
      <c r="K497" s="1094" t="s">
        <v>915</v>
      </c>
      <c r="L497" s="1788">
        <v>23174</v>
      </c>
      <c r="M497" s="1543"/>
      <c r="N497" s="845"/>
      <c r="O497" s="1583">
        <v>1582.090625</v>
      </c>
      <c r="P497" s="845">
        <v>1</v>
      </c>
      <c r="Q497" s="853">
        <f t="shared" ref="Q497:Q511" si="99">O497*P497</f>
        <v>1582.090625</v>
      </c>
      <c r="R497" s="299"/>
      <c r="S497" s="299"/>
      <c r="T497" s="299"/>
      <c r="U497" s="299">
        <v>1582.090625</v>
      </c>
      <c r="V497" s="299"/>
      <c r="W497" s="299"/>
      <c r="X497" s="1142"/>
      <c r="Y497" s="1124"/>
      <c r="Z497" s="1124"/>
      <c r="AA497" s="1124"/>
      <c r="AB497" s="1124"/>
      <c r="AC497" s="1124"/>
      <c r="AD497" s="1124"/>
      <c r="AE497" s="1124"/>
      <c r="AF497" s="1124"/>
      <c r="AG497" s="1282">
        <f t="shared" ref="AG497:AG511" si="100">SUM(S497:AF497)</f>
        <v>1582.090625</v>
      </c>
    </row>
    <row r="498" spans="1:33" ht="31.5" hidden="1">
      <c r="A498" s="294">
        <v>4111</v>
      </c>
      <c r="B498" s="824" t="s">
        <v>912</v>
      </c>
      <c r="C498" s="824" t="s">
        <v>913</v>
      </c>
      <c r="D498" s="1401"/>
      <c r="E498" s="1391">
        <f>45+21+5</f>
        <v>71</v>
      </c>
      <c r="F498" s="1400">
        <v>43192</v>
      </c>
      <c r="G498" s="1400">
        <f>F498+E498</f>
        <v>43263</v>
      </c>
      <c r="H498" s="293" t="s">
        <v>914</v>
      </c>
      <c r="I498" s="845" t="s">
        <v>169</v>
      </c>
      <c r="J498" s="866" t="s">
        <v>178</v>
      </c>
      <c r="K498" s="1094" t="s">
        <v>320</v>
      </c>
      <c r="L498" s="1788">
        <v>23173</v>
      </c>
      <c r="M498" s="1543"/>
      <c r="N498" s="845"/>
      <c r="O498" s="1583">
        <v>164.0625</v>
      </c>
      <c r="P498" s="845">
        <v>1</v>
      </c>
      <c r="Q498" s="853">
        <f t="shared" si="99"/>
        <v>164.0625</v>
      </c>
      <c r="R498" s="299"/>
      <c r="S498" s="299"/>
      <c r="T498" s="299"/>
      <c r="U498" s="299">
        <v>164.0625</v>
      </c>
      <c r="V498" s="299"/>
      <c r="W498" s="299"/>
      <c r="X498" s="1142"/>
      <c r="Y498" s="1124"/>
      <c r="Z498" s="1124"/>
      <c r="AA498" s="1124"/>
      <c r="AB498" s="1124"/>
      <c r="AC498" s="1124"/>
      <c r="AD498" s="1124"/>
      <c r="AE498" s="1124"/>
      <c r="AF498" s="1124"/>
      <c r="AG498" s="1282">
        <f t="shared" si="100"/>
        <v>164.0625</v>
      </c>
    </row>
    <row r="499" spans="1:33" ht="31.5" hidden="1">
      <c r="A499" s="294">
        <v>4111</v>
      </c>
      <c r="B499" s="824" t="s">
        <v>912</v>
      </c>
      <c r="C499" s="824" t="s">
        <v>913</v>
      </c>
      <c r="D499" s="1401"/>
      <c r="E499" s="1391">
        <f>45+21+5</f>
        <v>71</v>
      </c>
      <c r="F499" s="1400">
        <v>43192</v>
      </c>
      <c r="G499" s="1400">
        <f>F499+E499</f>
        <v>43263</v>
      </c>
      <c r="H499" s="293" t="s">
        <v>914</v>
      </c>
      <c r="I499" s="845" t="s">
        <v>169</v>
      </c>
      <c r="J499" s="866" t="s">
        <v>178</v>
      </c>
      <c r="K499" s="1094" t="s">
        <v>916</v>
      </c>
      <c r="L499" s="1788">
        <v>23173</v>
      </c>
      <c r="M499" s="1543"/>
      <c r="N499" s="845"/>
      <c r="O499" s="1583">
        <v>31.25</v>
      </c>
      <c r="P499" s="845">
        <v>5</v>
      </c>
      <c r="Q499" s="853">
        <f t="shared" si="99"/>
        <v>156.25</v>
      </c>
      <c r="R499" s="299"/>
      <c r="S499" s="299"/>
      <c r="T499" s="299"/>
      <c r="U499" s="299">
        <v>156.25</v>
      </c>
      <c r="V499" s="299"/>
      <c r="W499" s="299"/>
      <c r="X499" s="1142"/>
      <c r="Y499" s="1124"/>
      <c r="Z499" s="1124"/>
      <c r="AA499" s="1124"/>
      <c r="AB499" s="1124"/>
      <c r="AC499" s="1124"/>
      <c r="AD499" s="1124"/>
      <c r="AE499" s="1124"/>
      <c r="AF499" s="1124"/>
      <c r="AG499" s="1282">
        <f t="shared" si="100"/>
        <v>156.25</v>
      </c>
    </row>
    <row r="500" spans="1:33" ht="42" hidden="1" customHeight="1">
      <c r="A500" s="2944">
        <v>4112</v>
      </c>
      <c r="B500" s="2945" t="s">
        <v>917</v>
      </c>
      <c r="C500" s="2945" t="s">
        <v>918</v>
      </c>
      <c r="D500" s="2946"/>
      <c r="E500" s="2947">
        <f>3</f>
        <v>3</v>
      </c>
      <c r="F500" s="2948">
        <v>43265</v>
      </c>
      <c r="G500" s="2948">
        <f t="shared" ref="G500:G511" si="101">F500+E500-1</f>
        <v>43267</v>
      </c>
      <c r="H500" s="2949" t="s">
        <v>914</v>
      </c>
      <c r="I500" s="2944" t="s">
        <v>169</v>
      </c>
      <c r="J500" s="2950" t="s">
        <v>178</v>
      </c>
      <c r="K500" s="1678" t="s">
        <v>320</v>
      </c>
      <c r="L500" s="1812">
        <v>23173</v>
      </c>
      <c r="M500" s="1680"/>
      <c r="N500" s="1621"/>
      <c r="O500" s="1681">
        <v>523.125</v>
      </c>
      <c r="P500" s="1621">
        <v>1</v>
      </c>
      <c r="Q500" s="2824">
        <f t="shared" si="99"/>
        <v>523.125</v>
      </c>
      <c r="R500" s="1682"/>
      <c r="S500" s="1682"/>
      <c r="T500" s="1682"/>
      <c r="U500" s="1682">
        <v>523.125</v>
      </c>
      <c r="V500" s="1682"/>
      <c r="W500" s="1682"/>
      <c r="X500" s="1683"/>
      <c r="Y500" s="1680"/>
      <c r="Z500" s="1680"/>
      <c r="AA500" s="1680"/>
      <c r="AB500" s="1680"/>
      <c r="AC500" s="1680"/>
      <c r="AD500" s="1680"/>
      <c r="AE500" s="1680"/>
      <c r="AF500" s="1680"/>
      <c r="AG500" s="1282">
        <f t="shared" si="100"/>
        <v>523.125</v>
      </c>
    </row>
    <row r="501" spans="1:33" ht="42" hidden="1" customHeight="1">
      <c r="A501" s="2955">
        <v>4113</v>
      </c>
      <c r="B501" s="2956" t="s">
        <v>919</v>
      </c>
      <c r="C501" s="2956" t="s">
        <v>920</v>
      </c>
      <c r="D501" s="2957"/>
      <c r="E501" s="2958">
        <f>2</f>
        <v>2</v>
      </c>
      <c r="F501" s="2959">
        <v>43271</v>
      </c>
      <c r="G501" s="2959">
        <f t="shared" si="101"/>
        <v>43272</v>
      </c>
      <c r="H501" s="2960" t="s">
        <v>914</v>
      </c>
      <c r="I501" s="2955" t="s">
        <v>178</v>
      </c>
      <c r="J501" s="2961" t="s">
        <v>169</v>
      </c>
      <c r="K501" s="2953"/>
      <c r="L501" s="2954"/>
      <c r="M501" s="1543"/>
      <c r="N501" s="845"/>
      <c r="O501" s="1583"/>
      <c r="P501" s="845"/>
      <c r="Q501" s="930"/>
      <c r="R501" s="913"/>
      <c r="S501" s="913"/>
      <c r="T501" s="913"/>
      <c r="U501" s="913"/>
      <c r="V501" s="913"/>
      <c r="W501" s="913"/>
      <c r="X501" s="1600"/>
      <c r="Y501" s="1543"/>
      <c r="Z501" s="1543"/>
      <c r="AA501" s="1543"/>
      <c r="AB501" s="1543"/>
      <c r="AC501" s="1543"/>
      <c r="AD501" s="1543"/>
      <c r="AE501" s="1543"/>
      <c r="AF501" s="1543"/>
      <c r="AG501" s="1343"/>
    </row>
    <row r="502" spans="1:33" ht="47.25" hidden="1" customHeight="1">
      <c r="A502" s="1631">
        <v>4113</v>
      </c>
      <c r="B502" s="1626" t="s">
        <v>919</v>
      </c>
      <c r="C502" s="1626" t="s">
        <v>920</v>
      </c>
      <c r="D502" s="1627"/>
      <c r="E502" s="1628">
        <f>2</f>
        <v>2</v>
      </c>
      <c r="F502" s="1629">
        <v>43271</v>
      </c>
      <c r="G502" s="1629">
        <f t="shared" si="101"/>
        <v>43272</v>
      </c>
      <c r="H502" s="1630" t="s">
        <v>914</v>
      </c>
      <c r="I502" s="1631" t="s">
        <v>178</v>
      </c>
      <c r="J502" s="1632" t="s">
        <v>169</v>
      </c>
      <c r="K502" s="1679" t="s">
        <v>888</v>
      </c>
      <c r="L502" s="1813">
        <v>23174</v>
      </c>
      <c r="M502" s="1636"/>
      <c r="N502" s="1631"/>
      <c r="O502" s="1676">
        <v>34491.78125</v>
      </c>
      <c r="P502" s="1631">
        <v>1</v>
      </c>
      <c r="Q502" s="2715">
        <f t="shared" si="99"/>
        <v>34491.78125</v>
      </c>
      <c r="R502" s="1671"/>
      <c r="S502" s="1671"/>
      <c r="T502" s="1671"/>
      <c r="U502" s="1671">
        <v>34491.78125</v>
      </c>
      <c r="V502" s="1671"/>
      <c r="W502" s="1671"/>
      <c r="X502" s="1671"/>
      <c r="Y502" s="1636"/>
      <c r="Z502" s="1636"/>
      <c r="AA502" s="1636"/>
      <c r="AB502" s="1636"/>
      <c r="AC502" s="1636"/>
      <c r="AD502" s="1636"/>
      <c r="AE502" s="1636"/>
      <c r="AF502" s="1636"/>
      <c r="AG502" s="1282">
        <f t="shared" si="100"/>
        <v>34491.78125</v>
      </c>
    </row>
    <row r="503" spans="1:33" ht="31.5" hidden="1">
      <c r="A503" s="1631">
        <v>4113</v>
      </c>
      <c r="B503" s="1626" t="s">
        <v>919</v>
      </c>
      <c r="C503" s="1626" t="s">
        <v>920</v>
      </c>
      <c r="D503" s="1627"/>
      <c r="E503" s="1628">
        <f>2</f>
        <v>2</v>
      </c>
      <c r="F503" s="1629">
        <v>43271</v>
      </c>
      <c r="G503" s="1629">
        <f t="shared" si="101"/>
        <v>43272</v>
      </c>
      <c r="H503" s="1630" t="s">
        <v>914</v>
      </c>
      <c r="I503" s="1631" t="s">
        <v>169</v>
      </c>
      <c r="J503" s="1632" t="s">
        <v>178</v>
      </c>
      <c r="K503" s="1679" t="s">
        <v>320</v>
      </c>
      <c r="L503" s="1813">
        <v>23173</v>
      </c>
      <c r="M503" s="1636"/>
      <c r="N503" s="1631"/>
      <c r="O503" s="1676">
        <v>5156.25</v>
      </c>
      <c r="P503" s="1631">
        <v>1</v>
      </c>
      <c r="Q503" s="2715">
        <f t="shared" si="99"/>
        <v>5156.25</v>
      </c>
      <c r="R503" s="1671"/>
      <c r="S503" s="1671"/>
      <c r="T503" s="1671"/>
      <c r="U503" s="1671">
        <v>5156.25</v>
      </c>
      <c r="V503" s="1671"/>
      <c r="W503" s="1671"/>
      <c r="X503" s="1671"/>
      <c r="Y503" s="1636"/>
      <c r="Z503" s="1636"/>
      <c r="AA503" s="1636"/>
      <c r="AB503" s="1636"/>
      <c r="AC503" s="1636"/>
      <c r="AD503" s="1636"/>
      <c r="AE503" s="1636"/>
      <c r="AF503" s="1636"/>
      <c r="AG503" s="1282">
        <f t="shared" si="100"/>
        <v>5156.25</v>
      </c>
    </row>
    <row r="504" spans="1:33" ht="31.5" hidden="1">
      <c r="A504" s="1631">
        <v>4113</v>
      </c>
      <c r="B504" s="1626" t="s">
        <v>919</v>
      </c>
      <c r="C504" s="1626" t="s">
        <v>920</v>
      </c>
      <c r="D504" s="1627"/>
      <c r="E504" s="1628">
        <f>2</f>
        <v>2</v>
      </c>
      <c r="F504" s="1629">
        <v>43271</v>
      </c>
      <c r="G504" s="1629">
        <f t="shared" si="101"/>
        <v>43272</v>
      </c>
      <c r="H504" s="1630" t="s">
        <v>914</v>
      </c>
      <c r="I504" s="1631" t="s">
        <v>169</v>
      </c>
      <c r="J504" s="1632" t="s">
        <v>178</v>
      </c>
      <c r="K504" s="1679" t="s">
        <v>916</v>
      </c>
      <c r="L504" s="1813">
        <v>23173</v>
      </c>
      <c r="M504" s="1636"/>
      <c r="N504" s="1631"/>
      <c r="O504" s="1676">
        <v>31.25</v>
      </c>
      <c r="P504" s="1631">
        <f>2*22</f>
        <v>44</v>
      </c>
      <c r="Q504" s="2715">
        <f t="shared" si="99"/>
        <v>1375</v>
      </c>
      <c r="R504" s="1671"/>
      <c r="S504" s="1671"/>
      <c r="T504" s="1671"/>
      <c r="U504" s="1671">
        <v>1375</v>
      </c>
      <c r="V504" s="1671"/>
      <c r="W504" s="1671"/>
      <c r="X504" s="1671"/>
      <c r="Y504" s="1636"/>
      <c r="Z504" s="1636"/>
      <c r="AA504" s="1636"/>
      <c r="AB504" s="1636"/>
      <c r="AC504" s="1636"/>
      <c r="AD504" s="1636"/>
      <c r="AE504" s="1636"/>
      <c r="AF504" s="1636"/>
      <c r="AG504" s="1282">
        <f t="shared" si="100"/>
        <v>1375</v>
      </c>
    </row>
    <row r="505" spans="1:33" ht="31.5" hidden="1">
      <c r="A505" s="2955">
        <v>4114</v>
      </c>
      <c r="B505" s="2956" t="s">
        <v>921</v>
      </c>
      <c r="C505" s="2956" t="s">
        <v>922</v>
      </c>
      <c r="D505" s="2957"/>
      <c r="E505" s="2958">
        <f>3</f>
        <v>3</v>
      </c>
      <c r="F505" s="2974">
        <v>43279</v>
      </c>
      <c r="G505" s="2959">
        <f t="shared" si="101"/>
        <v>43281</v>
      </c>
      <c r="H505" s="2960" t="s">
        <v>914</v>
      </c>
      <c r="I505" s="2955" t="s">
        <v>169</v>
      </c>
      <c r="J505" s="2961" t="s">
        <v>178</v>
      </c>
      <c r="K505" s="1679" t="s">
        <v>670</v>
      </c>
      <c r="L505" s="1813">
        <v>23173</v>
      </c>
      <c r="M505" s="1636"/>
      <c r="N505" s="1631"/>
      <c r="O505" s="1676">
        <v>153.125</v>
      </c>
      <c r="P505" s="1631">
        <v>2</v>
      </c>
      <c r="Q505" s="2715">
        <f t="shared" si="99"/>
        <v>306.25</v>
      </c>
      <c r="R505" s="1671"/>
      <c r="S505" s="1671"/>
      <c r="T505" s="1671"/>
      <c r="U505" s="1671">
        <v>306.25</v>
      </c>
      <c r="V505" s="1671"/>
      <c r="W505" s="1671"/>
      <c r="X505" s="1671"/>
      <c r="Y505" s="1636"/>
      <c r="Z505" s="1636"/>
      <c r="AA505" s="1636"/>
      <c r="AB505" s="1636"/>
      <c r="AC505" s="1636"/>
      <c r="AD505" s="1636"/>
      <c r="AE505" s="1636"/>
      <c r="AF505" s="1636"/>
      <c r="AG505" s="1282">
        <f t="shared" si="100"/>
        <v>306.25</v>
      </c>
    </row>
    <row r="506" spans="1:33" ht="36.75" hidden="1" customHeight="1">
      <c r="A506" s="2962">
        <v>4115</v>
      </c>
      <c r="B506" s="2956" t="s">
        <v>926</v>
      </c>
      <c r="C506" s="2956" t="s">
        <v>927</v>
      </c>
      <c r="D506" s="2965"/>
      <c r="E506" s="2958">
        <f>30</f>
        <v>30</v>
      </c>
      <c r="F506" s="2959">
        <v>43290</v>
      </c>
      <c r="G506" s="2959">
        <f t="shared" si="101"/>
        <v>43319</v>
      </c>
      <c r="H506" s="2960" t="s">
        <v>914</v>
      </c>
      <c r="I506" s="2955" t="s">
        <v>169</v>
      </c>
      <c r="J506" s="2961" t="s">
        <v>178</v>
      </c>
      <c r="K506" s="1679" t="s">
        <v>320</v>
      </c>
      <c r="L506" s="1813">
        <v>23173</v>
      </c>
      <c r="M506" s="1636"/>
      <c r="N506" s="1631"/>
      <c r="O506" s="1676">
        <v>12270.9375</v>
      </c>
      <c r="P506" s="1631">
        <v>1</v>
      </c>
      <c r="Q506" s="2715">
        <f t="shared" si="99"/>
        <v>12270.9375</v>
      </c>
      <c r="R506" s="1671"/>
      <c r="S506" s="1671"/>
      <c r="T506" s="1671"/>
      <c r="U506" s="1671"/>
      <c r="V506" s="1671">
        <v>12270.9375</v>
      </c>
      <c r="W506" s="1671"/>
      <c r="X506" s="1671"/>
      <c r="Y506" s="1636"/>
      <c r="Z506" s="1636"/>
      <c r="AA506" s="1636"/>
      <c r="AB506" s="1636"/>
      <c r="AC506" s="1636"/>
      <c r="AD506" s="1636"/>
      <c r="AE506" s="1636"/>
      <c r="AF506" s="1636"/>
      <c r="AG506" s="1282">
        <f t="shared" si="100"/>
        <v>12270.9375</v>
      </c>
    </row>
    <row r="507" spans="1:33" ht="30.75" hidden="1" customHeight="1">
      <c r="A507" s="2962">
        <v>4116</v>
      </c>
      <c r="B507" s="2956" t="s">
        <v>928</v>
      </c>
      <c r="C507" s="2956" t="s">
        <v>929</v>
      </c>
      <c r="D507" s="2965"/>
      <c r="E507" s="2958">
        <f>6</f>
        <v>6</v>
      </c>
      <c r="F507" s="2959">
        <v>43290</v>
      </c>
      <c r="G507" s="2959">
        <f t="shared" si="101"/>
        <v>43295</v>
      </c>
      <c r="H507" s="2960" t="s">
        <v>914</v>
      </c>
      <c r="I507" s="2955" t="s">
        <v>169</v>
      </c>
      <c r="J507" s="2961" t="s">
        <v>178</v>
      </c>
      <c r="K507" s="1679" t="s">
        <v>320</v>
      </c>
      <c r="L507" s="1813">
        <v>23173</v>
      </c>
      <c r="M507" s="1636"/>
      <c r="N507" s="1631"/>
      <c r="O507" s="1676">
        <v>599.375</v>
      </c>
      <c r="P507" s="1631">
        <v>1</v>
      </c>
      <c r="Q507" s="2715">
        <f t="shared" si="99"/>
        <v>599.375</v>
      </c>
      <c r="R507" s="1671"/>
      <c r="S507" s="1671"/>
      <c r="T507" s="1671"/>
      <c r="U507" s="1671"/>
      <c r="V507" s="1671">
        <v>599.375</v>
      </c>
      <c r="W507" s="1671"/>
      <c r="X507" s="1671"/>
      <c r="Y507" s="1636"/>
      <c r="Z507" s="1636"/>
      <c r="AA507" s="1636"/>
      <c r="AB507" s="1636"/>
      <c r="AC507" s="1636"/>
      <c r="AD507" s="1636"/>
      <c r="AE507" s="1636"/>
      <c r="AF507" s="1636"/>
      <c r="AG507" s="1282">
        <f t="shared" si="100"/>
        <v>599.375</v>
      </c>
    </row>
    <row r="508" spans="1:33" ht="47.25" hidden="1">
      <c r="A508" s="2962">
        <v>4117</v>
      </c>
      <c r="B508" s="2956" t="s">
        <v>930</v>
      </c>
      <c r="C508" s="2956" t="s">
        <v>931</v>
      </c>
      <c r="D508" s="2965"/>
      <c r="E508" s="2958">
        <f>3</f>
        <v>3</v>
      </c>
      <c r="F508" s="2959">
        <v>43304</v>
      </c>
      <c r="G508" s="2959">
        <f t="shared" si="101"/>
        <v>43306</v>
      </c>
      <c r="H508" s="2960" t="s">
        <v>914</v>
      </c>
      <c r="I508" s="2955" t="s">
        <v>178</v>
      </c>
      <c r="J508" s="2961" t="s">
        <v>932</v>
      </c>
      <c r="K508" s="1814" t="s">
        <v>933</v>
      </c>
      <c r="L508" s="1813">
        <v>23172</v>
      </c>
      <c r="M508" s="1636"/>
      <c r="N508" s="1631"/>
      <c r="O508" s="1676">
        <v>15.625</v>
      </c>
      <c r="P508" s="1631">
        <f>45</f>
        <v>45</v>
      </c>
      <c r="Q508" s="2715">
        <f t="shared" si="99"/>
        <v>703.125</v>
      </c>
      <c r="R508" s="1671"/>
      <c r="S508" s="1671"/>
      <c r="T508" s="1671"/>
      <c r="U508" s="1671"/>
      <c r="V508" s="1671">
        <v>703.125</v>
      </c>
      <c r="W508" s="1671"/>
      <c r="X508" s="1671"/>
      <c r="Y508" s="1636"/>
      <c r="Z508" s="1636"/>
      <c r="AA508" s="1636"/>
      <c r="AB508" s="1636"/>
      <c r="AC508" s="1636"/>
      <c r="AD508" s="1636"/>
      <c r="AE508" s="1636"/>
      <c r="AF508" s="1636"/>
      <c r="AG508" s="1282">
        <f t="shared" si="100"/>
        <v>703.125</v>
      </c>
    </row>
    <row r="509" spans="1:33" ht="47.25" hidden="1" customHeight="1">
      <c r="A509" s="2955">
        <v>4118</v>
      </c>
      <c r="B509" s="2956" t="s">
        <v>934</v>
      </c>
      <c r="C509" s="2956" t="s">
        <v>935</v>
      </c>
      <c r="D509" s="2965"/>
      <c r="E509" s="2958">
        <f>5</f>
        <v>5</v>
      </c>
      <c r="F509" s="2959">
        <v>43325</v>
      </c>
      <c r="G509" s="2959">
        <f t="shared" si="101"/>
        <v>43329</v>
      </c>
      <c r="H509" s="2960" t="s">
        <v>914</v>
      </c>
      <c r="I509" s="2955" t="s">
        <v>178</v>
      </c>
      <c r="J509" s="2961" t="s">
        <v>169</v>
      </c>
      <c r="K509" s="2963"/>
      <c r="L509" s="2783"/>
      <c r="M509" s="1124"/>
      <c r="N509" s="1703"/>
      <c r="O509" s="1125"/>
      <c r="P509" s="1703"/>
      <c r="Q509" s="2964"/>
      <c r="R509" s="1127"/>
      <c r="S509" s="1127"/>
      <c r="T509" s="1127"/>
      <c r="U509" s="1127"/>
      <c r="V509" s="1127"/>
      <c r="W509" s="1127"/>
      <c r="X509" s="1127"/>
      <c r="Y509" s="1124"/>
      <c r="Z509" s="1124"/>
      <c r="AA509" s="1124"/>
      <c r="AB509" s="1124"/>
      <c r="AC509" s="1124"/>
      <c r="AD509" s="1124"/>
      <c r="AE509" s="1124"/>
      <c r="AF509" s="1124"/>
      <c r="AG509" s="1343"/>
    </row>
    <row r="510" spans="1:33" ht="31.5" hidden="1">
      <c r="A510" s="2962">
        <v>4118</v>
      </c>
      <c r="B510" s="1675" t="s">
        <v>934</v>
      </c>
      <c r="C510" s="1626" t="s">
        <v>935</v>
      </c>
      <c r="D510" s="1636"/>
      <c r="E510" s="1628">
        <f>5</f>
        <v>5</v>
      </c>
      <c r="F510" s="1629">
        <v>43325</v>
      </c>
      <c r="G510" s="1629">
        <f t="shared" si="101"/>
        <v>43329</v>
      </c>
      <c r="H510" s="1630" t="s">
        <v>914</v>
      </c>
      <c r="I510" s="1631" t="s">
        <v>178</v>
      </c>
      <c r="J510" s="1632" t="s">
        <v>169</v>
      </c>
      <c r="K510" s="1679" t="s">
        <v>888</v>
      </c>
      <c r="L510" s="1813">
        <v>23174</v>
      </c>
      <c r="M510" s="1636"/>
      <c r="N510" s="1631"/>
      <c r="O510" s="1676">
        <v>5277.5</v>
      </c>
      <c r="P510" s="1631">
        <v>1</v>
      </c>
      <c r="Q510" s="2715">
        <f t="shared" si="99"/>
        <v>5277.5</v>
      </c>
      <c r="R510" s="1671"/>
      <c r="S510" s="1671"/>
      <c r="T510" s="1671"/>
      <c r="U510" s="1671"/>
      <c r="V510" s="1671"/>
      <c r="W510" s="1671">
        <v>5277.5</v>
      </c>
      <c r="X510" s="1671"/>
      <c r="Y510" s="1636"/>
      <c r="Z510" s="1636"/>
      <c r="AA510" s="1636"/>
      <c r="AB510" s="1636"/>
      <c r="AC510" s="1636"/>
      <c r="AD510" s="1636"/>
      <c r="AE510" s="1636"/>
      <c r="AF510" s="1636"/>
      <c r="AG510" s="1282">
        <f t="shared" si="100"/>
        <v>5277.5</v>
      </c>
    </row>
    <row r="511" spans="1:33" ht="31.5" hidden="1">
      <c r="A511" s="1631">
        <v>4118</v>
      </c>
      <c r="B511" s="1675" t="s">
        <v>934</v>
      </c>
      <c r="C511" s="1626" t="s">
        <v>935</v>
      </c>
      <c r="D511" s="1636"/>
      <c r="E511" s="1628">
        <f>5</f>
        <v>5</v>
      </c>
      <c r="F511" s="1629">
        <v>43325</v>
      </c>
      <c r="G511" s="1629">
        <f t="shared" si="101"/>
        <v>43329</v>
      </c>
      <c r="H511" s="1630" t="s">
        <v>914</v>
      </c>
      <c r="I511" s="1631" t="s">
        <v>169</v>
      </c>
      <c r="J511" s="1632" t="s">
        <v>178</v>
      </c>
      <c r="K511" s="1679" t="s">
        <v>320</v>
      </c>
      <c r="L511" s="1813">
        <v>23173</v>
      </c>
      <c r="M511" s="1636"/>
      <c r="N511" s="1631"/>
      <c r="O511" s="1676">
        <v>1000</v>
      </c>
      <c r="P511" s="1631">
        <v>1</v>
      </c>
      <c r="Q511" s="2715">
        <f t="shared" si="99"/>
        <v>1000</v>
      </c>
      <c r="R511" s="1671"/>
      <c r="S511" s="1671"/>
      <c r="T511" s="1671"/>
      <c r="U511" s="1671"/>
      <c r="V511" s="1671"/>
      <c r="W511" s="1671">
        <v>1000</v>
      </c>
      <c r="X511" s="1671"/>
      <c r="Y511" s="1636"/>
      <c r="Z511" s="1636"/>
      <c r="AA511" s="1636"/>
      <c r="AB511" s="1636"/>
      <c r="AC511" s="1636"/>
      <c r="AD511" s="1636"/>
      <c r="AE511" s="1636"/>
      <c r="AF511" s="1636"/>
      <c r="AG511" s="1282">
        <f t="shared" si="100"/>
        <v>1000</v>
      </c>
    </row>
    <row r="512" spans="1:33" ht="31.5">
      <c r="A512" s="1640">
        <v>412</v>
      </c>
      <c r="B512" s="1685" t="s">
        <v>936</v>
      </c>
      <c r="C512" s="1686"/>
      <c r="D512" s="1687"/>
      <c r="E512" s="1687"/>
      <c r="F512" s="1687"/>
      <c r="G512" s="1687"/>
      <c r="H512" s="1687"/>
      <c r="I512" s="1687"/>
      <c r="J512" s="1221"/>
      <c r="K512" s="1641"/>
      <c r="L512" s="1642"/>
      <c r="M512" s="1643"/>
      <c r="N512" s="1644"/>
      <c r="O512" s="1645"/>
      <c r="P512" s="1644"/>
      <c r="Q512" s="1225">
        <f>SUM(Q514:Q519)</f>
        <v>9103.5</v>
      </c>
      <c r="R512" s="1225"/>
      <c r="S512" s="1646">
        <f t="shared" ref="S512:AF512" si="102">SUM(S514:S519)</f>
        <v>0</v>
      </c>
      <c r="T512" s="1646">
        <f t="shared" si="102"/>
        <v>0</v>
      </c>
      <c r="U512" s="1646">
        <f t="shared" si="102"/>
        <v>0</v>
      </c>
      <c r="V512" s="1646">
        <f t="shared" si="102"/>
        <v>0</v>
      </c>
      <c r="W512" s="1646">
        <f t="shared" si="102"/>
        <v>9103.5</v>
      </c>
      <c r="X512" s="1646">
        <f t="shared" si="102"/>
        <v>0</v>
      </c>
      <c r="Y512" s="1646">
        <f t="shared" si="102"/>
        <v>0</v>
      </c>
      <c r="Z512" s="1224">
        <f t="shared" si="102"/>
        <v>0</v>
      </c>
      <c r="AA512" s="1224">
        <f t="shared" si="102"/>
        <v>0</v>
      </c>
      <c r="AB512" s="1224">
        <f t="shared" si="102"/>
        <v>0</v>
      </c>
      <c r="AC512" s="1224">
        <f t="shared" si="102"/>
        <v>0</v>
      </c>
      <c r="AD512" s="1224">
        <f t="shared" si="102"/>
        <v>0</v>
      </c>
      <c r="AE512" s="1224">
        <f t="shared" si="102"/>
        <v>0</v>
      </c>
      <c r="AF512" s="1224">
        <f t="shared" si="102"/>
        <v>0</v>
      </c>
      <c r="AG512" s="1395">
        <f>SUM(S512:AF512)</f>
        <v>9103.5</v>
      </c>
    </row>
    <row r="513" spans="1:33" ht="36" hidden="1" customHeight="1">
      <c r="A513" s="2966">
        <v>4121</v>
      </c>
      <c r="B513" s="2967" t="s">
        <v>937</v>
      </c>
      <c r="C513" s="2967" t="s">
        <v>938</v>
      </c>
      <c r="D513" s="2968"/>
      <c r="E513" s="2969">
        <f>2</f>
        <v>2</v>
      </c>
      <c r="F513" s="2959">
        <v>43297</v>
      </c>
      <c r="G513" s="2959">
        <f t="shared" ref="G513:G519" si="103">F513+E513-1</f>
        <v>43298</v>
      </c>
      <c r="H513" s="2955" t="s">
        <v>178</v>
      </c>
      <c r="I513" s="2955" t="s">
        <v>178</v>
      </c>
      <c r="J513" s="2970" t="s">
        <v>169</v>
      </c>
      <c r="K513" s="1432"/>
      <c r="L513" s="1433"/>
      <c r="M513" s="1430"/>
      <c r="N513" s="1431"/>
      <c r="O513" s="1434"/>
      <c r="P513" s="1431"/>
      <c r="Q513" s="1133"/>
      <c r="R513" s="1133"/>
      <c r="S513" s="1435"/>
      <c r="T513" s="1435"/>
      <c r="U513" s="1435"/>
      <c r="V513" s="1435"/>
      <c r="W513" s="1435"/>
      <c r="X513" s="1435"/>
      <c r="Y513" s="1435"/>
      <c r="Z513" s="1132"/>
      <c r="AA513" s="1132"/>
      <c r="AB513" s="1132"/>
      <c r="AC513" s="1132"/>
      <c r="AD513" s="1132"/>
      <c r="AE513" s="1132"/>
      <c r="AF513" s="1132"/>
      <c r="AG513" s="1435"/>
    </row>
    <row r="514" spans="1:33" s="1570" customFormat="1" ht="57" hidden="1" customHeight="1">
      <c r="A514" s="1647">
        <v>4121</v>
      </c>
      <c r="B514" s="1648" t="s">
        <v>937</v>
      </c>
      <c r="C514" s="1648" t="s">
        <v>938</v>
      </c>
      <c r="D514" s="1649"/>
      <c r="E514" s="1650">
        <f>2</f>
        <v>2</v>
      </c>
      <c r="F514" s="1629">
        <v>43297</v>
      </c>
      <c r="G514" s="1629">
        <f t="shared" si="103"/>
        <v>43298</v>
      </c>
      <c r="H514" s="1651" t="s">
        <v>178</v>
      </c>
      <c r="I514" s="1651" t="s">
        <v>178</v>
      </c>
      <c r="J514" s="1652" t="s">
        <v>169</v>
      </c>
      <c r="K514" s="1679" t="s">
        <v>888</v>
      </c>
      <c r="L514" s="1813">
        <v>23174</v>
      </c>
      <c r="M514" s="1688"/>
      <c r="N514" s="1653"/>
      <c r="O514" s="1689">
        <v>3106.9156250000001</v>
      </c>
      <c r="P514" s="1653">
        <v>1</v>
      </c>
      <c r="Q514" s="2825">
        <f>O514*P514</f>
        <v>3106.9156250000001</v>
      </c>
      <c r="R514" s="1655"/>
      <c r="S514" s="1690"/>
      <c r="T514" s="1690"/>
      <c r="U514" s="1690"/>
      <c r="V514" s="1690"/>
      <c r="W514" s="1690">
        <v>3106.9156250000001</v>
      </c>
      <c r="X514" s="1690"/>
      <c r="Y514" s="1690"/>
      <c r="Z514" s="1691"/>
      <c r="AA514" s="1691"/>
      <c r="AB514" s="1691"/>
      <c r="AC514" s="1691"/>
      <c r="AD514" s="1691"/>
      <c r="AE514" s="1691"/>
      <c r="AF514" s="1691"/>
      <c r="AG514" s="1282">
        <f t="shared" ref="AG514:AG519" si="104">SUM(S514:AF514)</f>
        <v>3106.9156250000001</v>
      </c>
    </row>
    <row r="515" spans="1:33" s="1570" customFormat="1" ht="33" hidden="1" customHeight="1">
      <c r="A515" s="1647">
        <v>4121</v>
      </c>
      <c r="B515" s="1648" t="s">
        <v>937</v>
      </c>
      <c r="C515" s="1648" t="s">
        <v>939</v>
      </c>
      <c r="D515" s="1649"/>
      <c r="E515" s="1650">
        <f>2</f>
        <v>2</v>
      </c>
      <c r="F515" s="1629">
        <v>43297</v>
      </c>
      <c r="G515" s="1629">
        <f t="shared" si="103"/>
        <v>43298</v>
      </c>
      <c r="H515" s="1651" t="s">
        <v>178</v>
      </c>
      <c r="I515" s="1651" t="s">
        <v>169</v>
      </c>
      <c r="J515" s="1632" t="s">
        <v>178</v>
      </c>
      <c r="K515" s="1679" t="s">
        <v>486</v>
      </c>
      <c r="L515" s="1813">
        <v>23173</v>
      </c>
      <c r="M515" s="1688"/>
      <c r="N515" s="1653"/>
      <c r="O515" s="1689">
        <v>46.875</v>
      </c>
      <c r="P515" s="1653">
        <v>2</v>
      </c>
      <c r="Q515" s="2825">
        <f>O515*P515</f>
        <v>93.75</v>
      </c>
      <c r="R515" s="1655"/>
      <c r="S515" s="1690"/>
      <c r="T515" s="1690"/>
      <c r="U515" s="1690"/>
      <c r="V515" s="1690"/>
      <c r="W515" s="1690">
        <v>93.75</v>
      </c>
      <c r="X515" s="1690"/>
      <c r="Y515" s="1690"/>
      <c r="Z515" s="1691"/>
      <c r="AA515" s="1691"/>
      <c r="AB515" s="1691"/>
      <c r="AC515" s="1691"/>
      <c r="AD515" s="1691"/>
      <c r="AE515" s="1691"/>
      <c r="AF515" s="1691"/>
      <c r="AG515" s="1282">
        <f t="shared" si="104"/>
        <v>93.75</v>
      </c>
    </row>
    <row r="516" spans="1:33" s="1570" customFormat="1" ht="43.5" hidden="1" customHeight="1">
      <c r="A516" s="2966">
        <v>4122</v>
      </c>
      <c r="B516" s="2967" t="s">
        <v>23</v>
      </c>
      <c r="C516" s="2967" t="s">
        <v>1107</v>
      </c>
      <c r="D516" s="2968"/>
      <c r="E516" s="2969">
        <f>3</f>
        <v>3</v>
      </c>
      <c r="F516" s="2959">
        <v>43300</v>
      </c>
      <c r="G516" s="2959">
        <f t="shared" si="103"/>
        <v>43302</v>
      </c>
      <c r="H516" s="2955" t="s">
        <v>178</v>
      </c>
      <c r="I516" s="2955" t="s">
        <v>178</v>
      </c>
      <c r="J516" s="2970" t="s">
        <v>169</v>
      </c>
      <c r="K516" s="2833"/>
      <c r="L516" s="2783"/>
      <c r="M516" s="2971"/>
      <c r="N516" s="2972"/>
      <c r="O516" s="1568"/>
      <c r="P516" s="2972"/>
      <c r="Q516" s="2973"/>
      <c r="R516" s="1741"/>
      <c r="S516" s="1588"/>
      <c r="T516" s="1588"/>
      <c r="U516" s="1588"/>
      <c r="V516" s="1588"/>
      <c r="W516" s="1588"/>
      <c r="X516" s="1588"/>
      <c r="Y516" s="1588"/>
      <c r="Z516" s="1569"/>
      <c r="AA516" s="1569"/>
      <c r="AB516" s="1569"/>
      <c r="AC516" s="1569"/>
      <c r="AD516" s="1569"/>
      <c r="AE516" s="1569"/>
      <c r="AF516" s="1569"/>
      <c r="AG516" s="1343"/>
    </row>
    <row r="517" spans="1:33" s="1570" customFormat="1" ht="44.25" hidden="1" customHeight="1">
      <c r="A517" s="1647">
        <v>4122</v>
      </c>
      <c r="B517" s="1648" t="s">
        <v>23</v>
      </c>
      <c r="C517" s="1648" t="s">
        <v>939</v>
      </c>
      <c r="D517" s="1649"/>
      <c r="E517" s="1650">
        <f>3</f>
        <v>3</v>
      </c>
      <c r="F517" s="1629">
        <v>43300</v>
      </c>
      <c r="G517" s="1629">
        <f t="shared" si="103"/>
        <v>43302</v>
      </c>
      <c r="H517" s="1651" t="s">
        <v>178</v>
      </c>
      <c r="I517" s="1651" t="s">
        <v>178</v>
      </c>
      <c r="J517" s="1652" t="s">
        <v>169</v>
      </c>
      <c r="K517" s="1679" t="s">
        <v>888</v>
      </c>
      <c r="L517" s="1813">
        <v>23174</v>
      </c>
      <c r="M517" s="1688"/>
      <c r="N517" s="1653"/>
      <c r="O517" s="1689">
        <v>5645.0218750000004</v>
      </c>
      <c r="P517" s="1653">
        <v>1</v>
      </c>
      <c r="Q517" s="2825">
        <f>O517*P517</f>
        <v>5645.0218750000004</v>
      </c>
      <c r="R517" s="1655"/>
      <c r="S517" s="1690"/>
      <c r="T517" s="1690"/>
      <c r="U517" s="1690"/>
      <c r="V517" s="1690"/>
      <c r="W517" s="1690">
        <v>5645.0218750000004</v>
      </c>
      <c r="X517" s="1690"/>
      <c r="Y517" s="1690"/>
      <c r="Z517" s="1691"/>
      <c r="AA517" s="1691"/>
      <c r="AB517" s="1691"/>
      <c r="AC517" s="1691"/>
      <c r="AD517" s="1691"/>
      <c r="AE517" s="1691"/>
      <c r="AF517" s="1691"/>
      <c r="AG517" s="1282">
        <f t="shared" si="104"/>
        <v>5645.0218750000004</v>
      </c>
    </row>
    <row r="518" spans="1:33" s="1570" customFormat="1" ht="37.5" hidden="1" customHeight="1">
      <c r="A518" s="1647">
        <v>4122</v>
      </c>
      <c r="B518" s="1648" t="s">
        <v>23</v>
      </c>
      <c r="C518" s="1648" t="s">
        <v>940</v>
      </c>
      <c r="D518" s="1649"/>
      <c r="E518" s="1650">
        <f>3</f>
        <v>3</v>
      </c>
      <c r="F518" s="1629">
        <v>43300</v>
      </c>
      <c r="G518" s="1629">
        <f t="shared" si="103"/>
        <v>43302</v>
      </c>
      <c r="H518" s="1651" t="s">
        <v>178</v>
      </c>
      <c r="I518" s="1651" t="s">
        <v>169</v>
      </c>
      <c r="J518" s="1632" t="s">
        <v>178</v>
      </c>
      <c r="K518" s="1679" t="s">
        <v>486</v>
      </c>
      <c r="L518" s="1813">
        <v>23173</v>
      </c>
      <c r="M518" s="1688"/>
      <c r="N518" s="1653"/>
      <c r="O518" s="1689">
        <v>31.25</v>
      </c>
      <c r="P518" s="1653">
        <v>3</v>
      </c>
      <c r="Q518" s="2825">
        <f>O518*P518</f>
        <v>93.75</v>
      </c>
      <c r="R518" s="1655"/>
      <c r="S518" s="1690"/>
      <c r="T518" s="1690"/>
      <c r="U518" s="1690"/>
      <c r="V518" s="1690"/>
      <c r="W518" s="1690">
        <v>93.75</v>
      </c>
      <c r="X518" s="1690"/>
      <c r="Y518" s="1690"/>
      <c r="Z518" s="1691"/>
      <c r="AA518" s="1691"/>
      <c r="AB518" s="1691"/>
      <c r="AC518" s="1691"/>
      <c r="AD518" s="1691"/>
      <c r="AE518" s="1691"/>
      <c r="AF518" s="1691"/>
      <c r="AG518" s="1282">
        <f t="shared" si="104"/>
        <v>93.75</v>
      </c>
    </row>
    <row r="519" spans="1:33" s="1570" customFormat="1" ht="37.5" hidden="1" customHeight="1">
      <c r="A519" s="1647">
        <v>4122</v>
      </c>
      <c r="B519" s="1648" t="s">
        <v>23</v>
      </c>
      <c r="C519" s="1648" t="s">
        <v>940</v>
      </c>
      <c r="D519" s="1649"/>
      <c r="E519" s="1650">
        <f>3</f>
        <v>3</v>
      </c>
      <c r="F519" s="1629">
        <v>43300</v>
      </c>
      <c r="G519" s="1629">
        <f t="shared" si="103"/>
        <v>43302</v>
      </c>
      <c r="H519" s="1651" t="s">
        <v>178</v>
      </c>
      <c r="I519" s="1651" t="s">
        <v>169</v>
      </c>
      <c r="J519" s="1632" t="s">
        <v>178</v>
      </c>
      <c r="K519" s="1679" t="s">
        <v>320</v>
      </c>
      <c r="L519" s="1813">
        <v>23173</v>
      </c>
      <c r="M519" s="1688"/>
      <c r="N519" s="1653"/>
      <c r="O519" s="1689">
        <v>164.0625</v>
      </c>
      <c r="P519" s="1653">
        <v>1</v>
      </c>
      <c r="Q519" s="2825">
        <f>O519*P519</f>
        <v>164.0625</v>
      </c>
      <c r="R519" s="1655"/>
      <c r="S519" s="1690"/>
      <c r="T519" s="1690"/>
      <c r="U519" s="1690"/>
      <c r="V519" s="1690"/>
      <c r="W519" s="1690">
        <v>164.0625</v>
      </c>
      <c r="X519" s="1690"/>
      <c r="Y519" s="1690"/>
      <c r="Z519" s="1691"/>
      <c r="AA519" s="1691"/>
      <c r="AB519" s="1691"/>
      <c r="AC519" s="1691"/>
      <c r="AD519" s="1691"/>
      <c r="AE519" s="1691"/>
      <c r="AF519" s="1691"/>
      <c r="AG519" s="1282">
        <f t="shared" si="104"/>
        <v>164.0625</v>
      </c>
    </row>
    <row r="520" spans="1:33" ht="31.5">
      <c r="A520" s="1640">
        <v>413</v>
      </c>
      <c r="B520" s="1685" t="s">
        <v>941</v>
      </c>
      <c r="C520" s="1686"/>
      <c r="D520" s="1687"/>
      <c r="E520" s="1687"/>
      <c r="F520" s="1687"/>
      <c r="G520" s="1687"/>
      <c r="H520" s="1687"/>
      <c r="I520" s="1687"/>
      <c r="J520" s="1221"/>
      <c r="K520" s="1641"/>
      <c r="L520" s="1642"/>
      <c r="M520" s="1643"/>
      <c r="N520" s="1644"/>
      <c r="O520" s="1645"/>
      <c r="P520" s="1644"/>
      <c r="Q520" s="1225">
        <f>SUM(Q522:Q543)</f>
        <v>283581.25625000003</v>
      </c>
      <c r="R520" s="1225"/>
      <c r="S520" s="1646">
        <f t="shared" ref="S520:AF520" si="105">SUM(S522:S543)</f>
        <v>0</v>
      </c>
      <c r="T520" s="1646">
        <f t="shared" si="105"/>
        <v>0</v>
      </c>
      <c r="U520" s="1646">
        <f t="shared" si="105"/>
        <v>180235.375</v>
      </c>
      <c r="V520" s="1646">
        <f t="shared" si="105"/>
        <v>0</v>
      </c>
      <c r="W520" s="1646">
        <f t="shared" si="105"/>
        <v>65543.719125000003</v>
      </c>
      <c r="X520" s="1646">
        <f t="shared" si="105"/>
        <v>7772.2348750000001</v>
      </c>
      <c r="Y520" s="1646">
        <f t="shared" si="105"/>
        <v>30029.927250000001</v>
      </c>
      <c r="Z520" s="1646">
        <f t="shared" si="105"/>
        <v>0</v>
      </c>
      <c r="AA520" s="1646">
        <f t="shared" si="105"/>
        <v>0</v>
      </c>
      <c r="AB520" s="1646">
        <f t="shared" si="105"/>
        <v>0</v>
      </c>
      <c r="AC520" s="1646">
        <f t="shared" si="105"/>
        <v>0</v>
      </c>
      <c r="AD520" s="1646">
        <f t="shared" si="105"/>
        <v>0</v>
      </c>
      <c r="AE520" s="1646">
        <f t="shared" si="105"/>
        <v>0</v>
      </c>
      <c r="AF520" s="1646">
        <f t="shared" si="105"/>
        <v>0</v>
      </c>
      <c r="AG520" s="1395">
        <f>SUM(S520:AF520)</f>
        <v>283581.25624999998</v>
      </c>
    </row>
    <row r="521" spans="1:33" ht="47.25" hidden="1" customHeight="1">
      <c r="A521" s="2942">
        <v>4131</v>
      </c>
      <c r="B521" s="2779" t="s">
        <v>1039</v>
      </c>
      <c r="C521" s="2979" t="s">
        <v>944</v>
      </c>
      <c r="D521" s="2980"/>
      <c r="E521" s="2924">
        <f t="shared" ref="E521:E526" si="106">45+21</f>
        <v>66</v>
      </c>
      <c r="F521" s="2941">
        <v>43192</v>
      </c>
      <c r="G521" s="2941">
        <f>E521+F521-1</f>
        <v>43257</v>
      </c>
      <c r="H521" s="2942" t="s">
        <v>178</v>
      </c>
      <c r="I521" s="2942" t="s">
        <v>169</v>
      </c>
      <c r="J521" s="2943" t="s">
        <v>178</v>
      </c>
      <c r="K521" s="1432"/>
      <c r="L521" s="1433"/>
      <c r="M521" s="1430"/>
      <c r="N521" s="1431"/>
      <c r="O521" s="1434"/>
      <c r="P521" s="1431"/>
      <c r="Q521" s="2975"/>
      <c r="R521" s="2976"/>
      <c r="S521" s="2977"/>
      <c r="T521" s="2977"/>
      <c r="U521" s="2977"/>
      <c r="V521" s="2977"/>
      <c r="W521" s="2977"/>
      <c r="X521" s="2978"/>
      <c r="Y521" s="1435"/>
      <c r="Z521" s="1435"/>
      <c r="AA521" s="1435"/>
      <c r="AB521" s="1435"/>
      <c r="AC521" s="1435"/>
      <c r="AD521" s="1435"/>
      <c r="AE521" s="1435"/>
      <c r="AF521" s="1435"/>
      <c r="AG521" s="1435"/>
    </row>
    <row r="522" spans="1:33" ht="51.75" hidden="1" customHeight="1">
      <c r="A522" s="845">
        <v>4131</v>
      </c>
      <c r="B522" s="857" t="s">
        <v>1039</v>
      </c>
      <c r="C522" s="1598" t="s">
        <v>944</v>
      </c>
      <c r="D522" s="1599"/>
      <c r="E522" s="1391">
        <f t="shared" si="106"/>
        <v>66</v>
      </c>
      <c r="F522" s="1400">
        <v>43192</v>
      </c>
      <c r="G522" s="1400">
        <f>E522+F522-1</f>
        <v>43257</v>
      </c>
      <c r="H522" s="845" t="s">
        <v>178</v>
      </c>
      <c r="I522" s="845" t="s">
        <v>169</v>
      </c>
      <c r="J522" s="866" t="s">
        <v>178</v>
      </c>
      <c r="K522" s="1787" t="s">
        <v>945</v>
      </c>
      <c r="L522" s="1788">
        <v>2461</v>
      </c>
      <c r="M522" s="326"/>
      <c r="N522" s="294"/>
      <c r="O522" s="354">
        <v>3356.25</v>
      </c>
      <c r="P522" s="294">
        <v>1</v>
      </c>
      <c r="Q522" s="913">
        <f t="shared" ref="Q522:Q543" si="107">O522*P522</f>
        <v>3356.25</v>
      </c>
      <c r="R522" s="1412"/>
      <c r="S522" s="913"/>
      <c r="T522" s="913"/>
      <c r="U522" s="913">
        <v>3356.25</v>
      </c>
      <c r="V522" s="913"/>
      <c r="W522" s="913"/>
      <c r="X522" s="1600"/>
      <c r="Y522" s="1127"/>
      <c r="Z522" s="1124"/>
      <c r="AA522" s="1124"/>
      <c r="AB522" s="1124"/>
      <c r="AC522" s="1124"/>
      <c r="AD522" s="1124"/>
      <c r="AE522" s="1124"/>
      <c r="AF522" s="1124"/>
      <c r="AG522" s="1282">
        <f t="shared" ref="AG522:AG543" si="108">SUM(S522:AF522)</f>
        <v>3356.25</v>
      </c>
    </row>
    <row r="523" spans="1:33" ht="47.25" hidden="1">
      <c r="A523" s="845">
        <v>4131</v>
      </c>
      <c r="B523" s="857" t="s">
        <v>1039</v>
      </c>
      <c r="C523" s="1598" t="s">
        <v>944</v>
      </c>
      <c r="D523" s="1599"/>
      <c r="E523" s="1391">
        <f t="shared" si="106"/>
        <v>66</v>
      </c>
      <c r="F523" s="1400">
        <v>43192</v>
      </c>
      <c r="G523" s="1400">
        <f t="shared" ref="G523:G534" si="109">E523+F523-1</f>
        <v>43257</v>
      </c>
      <c r="H523" s="845" t="s">
        <v>178</v>
      </c>
      <c r="I523" s="845" t="s">
        <v>169</v>
      </c>
      <c r="J523" s="866" t="s">
        <v>178</v>
      </c>
      <c r="K523" s="1787" t="s">
        <v>946</v>
      </c>
      <c r="L523" s="1788">
        <v>2314</v>
      </c>
      <c r="M523" s="326"/>
      <c r="N523" s="294"/>
      <c r="O523" s="354">
        <v>125</v>
      </c>
      <c r="P523" s="294">
        <v>1</v>
      </c>
      <c r="Q523" s="913">
        <f t="shared" si="107"/>
        <v>125</v>
      </c>
      <c r="R523" s="1412"/>
      <c r="S523" s="913"/>
      <c r="T523" s="913"/>
      <c r="U523" s="913">
        <v>125</v>
      </c>
      <c r="V523" s="913"/>
      <c r="W523" s="913"/>
      <c r="X523" s="1600"/>
      <c r="Y523" s="1127"/>
      <c r="Z523" s="1124"/>
      <c r="AA523" s="1124"/>
      <c r="AB523" s="1124"/>
      <c r="AC523" s="1124"/>
      <c r="AD523" s="1124"/>
      <c r="AE523" s="1124"/>
      <c r="AF523" s="1124"/>
      <c r="AG523" s="1282">
        <f t="shared" si="108"/>
        <v>125</v>
      </c>
    </row>
    <row r="524" spans="1:33" ht="47.25" hidden="1">
      <c r="A524" s="845">
        <v>4131</v>
      </c>
      <c r="B524" s="857" t="s">
        <v>1039</v>
      </c>
      <c r="C524" s="1598" t="s">
        <v>944</v>
      </c>
      <c r="D524" s="1599"/>
      <c r="E524" s="1391">
        <f t="shared" si="106"/>
        <v>66</v>
      </c>
      <c r="F524" s="1400">
        <v>43192</v>
      </c>
      <c r="G524" s="1400">
        <f t="shared" si="109"/>
        <v>43257</v>
      </c>
      <c r="H524" s="845" t="s">
        <v>178</v>
      </c>
      <c r="I524" s="845" t="s">
        <v>169</v>
      </c>
      <c r="J524" s="866" t="s">
        <v>178</v>
      </c>
      <c r="K524" s="1787" t="s">
        <v>320</v>
      </c>
      <c r="L524" s="1788">
        <v>23173</v>
      </c>
      <c r="M524" s="326"/>
      <c r="N524" s="294"/>
      <c r="O524" s="354">
        <v>4340.625</v>
      </c>
      <c r="P524" s="294">
        <v>1</v>
      </c>
      <c r="Q524" s="913">
        <f t="shared" si="107"/>
        <v>4340.625</v>
      </c>
      <c r="R524" s="1412"/>
      <c r="S524" s="913"/>
      <c r="T524" s="913"/>
      <c r="U524" s="913">
        <v>4340.625</v>
      </c>
      <c r="V524" s="913"/>
      <c r="W524" s="913"/>
      <c r="X524" s="1600"/>
      <c r="Y524" s="1127"/>
      <c r="Z524" s="1124"/>
      <c r="AA524" s="1124"/>
      <c r="AB524" s="1124"/>
      <c r="AC524" s="1124"/>
      <c r="AD524" s="1124"/>
      <c r="AE524" s="1124"/>
      <c r="AF524" s="1124"/>
      <c r="AG524" s="1282">
        <f t="shared" si="108"/>
        <v>4340.625</v>
      </c>
    </row>
    <row r="525" spans="1:33" ht="49.5" hidden="1" customHeight="1">
      <c r="A525" s="845">
        <v>4131</v>
      </c>
      <c r="B525" s="857" t="s">
        <v>1039</v>
      </c>
      <c r="C525" s="1598" t="s">
        <v>944</v>
      </c>
      <c r="D525" s="1599"/>
      <c r="E525" s="1391">
        <f t="shared" si="106"/>
        <v>66</v>
      </c>
      <c r="F525" s="1400">
        <v>43192</v>
      </c>
      <c r="G525" s="1400">
        <f t="shared" si="109"/>
        <v>43257</v>
      </c>
      <c r="H525" s="845" t="s">
        <v>178</v>
      </c>
      <c r="I525" s="845" t="s">
        <v>169</v>
      </c>
      <c r="J525" s="866" t="s">
        <v>178</v>
      </c>
      <c r="K525" s="1787" t="s">
        <v>947</v>
      </c>
      <c r="L525" s="1788">
        <v>2463</v>
      </c>
      <c r="M525" s="326"/>
      <c r="N525" s="294"/>
      <c r="O525" s="354">
        <v>23062.5</v>
      </c>
      <c r="P525" s="294">
        <v>1</v>
      </c>
      <c r="Q525" s="913">
        <f t="shared" si="107"/>
        <v>23062.5</v>
      </c>
      <c r="R525" s="1412"/>
      <c r="S525" s="913"/>
      <c r="T525" s="913"/>
      <c r="U525" s="913">
        <v>23062.5</v>
      </c>
      <c r="V525" s="913"/>
      <c r="W525" s="913"/>
      <c r="X525" s="1600"/>
      <c r="Y525" s="1127"/>
      <c r="Z525" s="1124"/>
      <c r="AA525" s="1124"/>
      <c r="AB525" s="1124"/>
      <c r="AC525" s="1124"/>
      <c r="AD525" s="1124"/>
      <c r="AE525" s="1124"/>
      <c r="AF525" s="1124"/>
      <c r="AG525" s="1282">
        <f t="shared" si="108"/>
        <v>23062.5</v>
      </c>
    </row>
    <row r="526" spans="1:33" ht="47.25" hidden="1">
      <c r="A526" s="845">
        <v>4131</v>
      </c>
      <c r="B526" s="857" t="s">
        <v>1039</v>
      </c>
      <c r="C526" s="1598" t="s">
        <v>944</v>
      </c>
      <c r="D526" s="1599"/>
      <c r="E526" s="1391">
        <f t="shared" si="106"/>
        <v>66</v>
      </c>
      <c r="F526" s="1400">
        <v>43192</v>
      </c>
      <c r="G526" s="1400">
        <f t="shared" si="109"/>
        <v>43257</v>
      </c>
      <c r="H526" s="845" t="s">
        <v>178</v>
      </c>
      <c r="I526" s="845" t="s">
        <v>169</v>
      </c>
      <c r="J526" s="866" t="s">
        <v>178</v>
      </c>
      <c r="K526" s="1787" t="s">
        <v>948</v>
      </c>
      <c r="L526" s="1788">
        <v>2431</v>
      </c>
      <c r="M526" s="326"/>
      <c r="N526" s="294"/>
      <c r="O526" s="354">
        <v>7375</v>
      </c>
      <c r="P526" s="294">
        <v>1</v>
      </c>
      <c r="Q526" s="913">
        <f t="shared" si="107"/>
        <v>7375</v>
      </c>
      <c r="R526" s="1412"/>
      <c r="S526" s="913"/>
      <c r="T526" s="913"/>
      <c r="U526" s="913">
        <v>7375</v>
      </c>
      <c r="V526" s="913"/>
      <c r="W526" s="913"/>
      <c r="X526" s="1600"/>
      <c r="Y526" s="1127"/>
      <c r="Z526" s="1124"/>
      <c r="AA526" s="1124"/>
      <c r="AB526" s="1124"/>
      <c r="AC526" s="1124"/>
      <c r="AD526" s="1124"/>
      <c r="AE526" s="1124"/>
      <c r="AF526" s="1124"/>
      <c r="AG526" s="1282">
        <f t="shared" si="108"/>
        <v>7375</v>
      </c>
    </row>
    <row r="527" spans="1:33" ht="60.75" hidden="1" customHeight="1">
      <c r="A527" s="845">
        <v>4131</v>
      </c>
      <c r="B527" s="1730" t="s">
        <v>1040</v>
      </c>
      <c r="C527" s="888" t="s">
        <v>950</v>
      </c>
      <c r="D527" s="1543"/>
      <c r="E527" s="1403">
        <f>9</f>
        <v>9</v>
      </c>
      <c r="F527" s="1404">
        <v>43283</v>
      </c>
      <c r="G527" s="1400">
        <f t="shared" si="109"/>
        <v>43291</v>
      </c>
      <c r="H527" s="293" t="s">
        <v>914</v>
      </c>
      <c r="I527" s="845" t="s">
        <v>178</v>
      </c>
      <c r="J527" s="866" t="s">
        <v>169</v>
      </c>
      <c r="K527" s="1094" t="s">
        <v>888</v>
      </c>
      <c r="L527" s="1788">
        <v>23174</v>
      </c>
      <c r="M527" s="1543"/>
      <c r="N527" s="845"/>
      <c r="O527" s="354">
        <v>7333.0281249999998</v>
      </c>
      <c r="P527" s="845">
        <v>1</v>
      </c>
      <c r="Q527" s="913">
        <f t="shared" si="107"/>
        <v>7333.0281249999998</v>
      </c>
      <c r="R527" s="1412"/>
      <c r="S527" s="913"/>
      <c r="T527" s="913"/>
      <c r="U527" s="913"/>
      <c r="V527" s="913"/>
      <c r="W527" s="913">
        <v>7333.0281249999998</v>
      </c>
      <c r="X527" s="1600"/>
      <c r="Y527" s="1127"/>
      <c r="Z527" s="1124"/>
      <c r="AA527" s="1124"/>
      <c r="AB527" s="1124"/>
      <c r="AC527" s="1124"/>
      <c r="AD527" s="1124"/>
      <c r="AE527" s="1124"/>
      <c r="AF527" s="1124"/>
      <c r="AG527" s="1282">
        <f t="shared" si="108"/>
        <v>7333.0281249999998</v>
      </c>
    </row>
    <row r="528" spans="1:33" ht="60.75" hidden="1" customHeight="1">
      <c r="A528" s="845">
        <v>4131</v>
      </c>
      <c r="B528" s="1730" t="s">
        <v>1040</v>
      </c>
      <c r="C528" s="888" t="s">
        <v>950</v>
      </c>
      <c r="D528" s="1543"/>
      <c r="E528" s="1403">
        <f>9</f>
        <v>9</v>
      </c>
      <c r="F528" s="1404">
        <v>43283</v>
      </c>
      <c r="G528" s="1400">
        <f t="shared" si="109"/>
        <v>43291</v>
      </c>
      <c r="H528" s="293" t="s">
        <v>914</v>
      </c>
      <c r="I528" s="845" t="s">
        <v>169</v>
      </c>
      <c r="J528" s="866" t="s">
        <v>178</v>
      </c>
      <c r="K528" s="1094" t="s">
        <v>320</v>
      </c>
      <c r="L528" s="1788">
        <v>23173</v>
      </c>
      <c r="M528" s="1543"/>
      <c r="N528" s="845"/>
      <c r="O528" s="354">
        <v>941.5625</v>
      </c>
      <c r="P528" s="845">
        <v>1</v>
      </c>
      <c r="Q528" s="913">
        <f t="shared" si="107"/>
        <v>941.5625</v>
      </c>
      <c r="R528" s="1412"/>
      <c r="S528" s="913"/>
      <c r="T528" s="913"/>
      <c r="U528" s="913"/>
      <c r="V528" s="913"/>
      <c r="W528" s="913">
        <v>941.5625</v>
      </c>
      <c r="X528" s="1600"/>
      <c r="Y528" s="1127"/>
      <c r="Z528" s="1124"/>
      <c r="AA528" s="1124"/>
      <c r="AB528" s="1124"/>
      <c r="AC528" s="1124"/>
      <c r="AD528" s="1124"/>
      <c r="AE528" s="1124"/>
      <c r="AF528" s="1124"/>
      <c r="AG528" s="1282">
        <f t="shared" si="108"/>
        <v>941.5625</v>
      </c>
    </row>
    <row r="529" spans="1:33" ht="60.75" hidden="1" customHeight="1">
      <c r="A529" s="845">
        <v>4131</v>
      </c>
      <c r="B529" s="1730" t="s">
        <v>1040</v>
      </c>
      <c r="C529" s="888" t="s">
        <v>950</v>
      </c>
      <c r="D529" s="1543"/>
      <c r="E529" s="1403">
        <f>9</f>
        <v>9</v>
      </c>
      <c r="F529" s="1404">
        <v>43283</v>
      </c>
      <c r="G529" s="1400">
        <f t="shared" si="109"/>
        <v>43291</v>
      </c>
      <c r="H529" s="293" t="s">
        <v>914</v>
      </c>
      <c r="I529" s="845" t="s">
        <v>169</v>
      </c>
      <c r="J529" s="866" t="s">
        <v>178</v>
      </c>
      <c r="K529" s="1094" t="s">
        <v>916</v>
      </c>
      <c r="L529" s="1788">
        <v>23173</v>
      </c>
      <c r="M529" s="1543"/>
      <c r="N529" s="845"/>
      <c r="O529" s="354">
        <v>31.25</v>
      </c>
      <c r="P529" s="845">
        <v>8</v>
      </c>
      <c r="Q529" s="913">
        <f t="shared" si="107"/>
        <v>250</v>
      </c>
      <c r="R529" s="1412"/>
      <c r="S529" s="913"/>
      <c r="T529" s="913"/>
      <c r="U529" s="913"/>
      <c r="V529" s="913"/>
      <c r="W529" s="913">
        <v>250</v>
      </c>
      <c r="X529" s="1600"/>
      <c r="Y529" s="1127"/>
      <c r="Z529" s="1124"/>
      <c r="AA529" s="1124"/>
      <c r="AB529" s="1124"/>
      <c r="AC529" s="1124"/>
      <c r="AD529" s="1124"/>
      <c r="AE529" s="1124"/>
      <c r="AF529" s="1124"/>
      <c r="AG529" s="1282">
        <f t="shared" si="108"/>
        <v>250</v>
      </c>
    </row>
    <row r="530" spans="1:33" ht="60.75" hidden="1" customHeight="1">
      <c r="A530" s="845">
        <v>4131</v>
      </c>
      <c r="B530" s="1730" t="s">
        <v>1040</v>
      </c>
      <c r="C530" s="888" t="s">
        <v>950</v>
      </c>
      <c r="D530" s="1543"/>
      <c r="E530" s="1403">
        <f>9</f>
        <v>9</v>
      </c>
      <c r="F530" s="1404">
        <v>43283</v>
      </c>
      <c r="G530" s="1400">
        <f t="shared" si="109"/>
        <v>43291</v>
      </c>
      <c r="H530" s="293" t="s">
        <v>914</v>
      </c>
      <c r="I530" s="845" t="s">
        <v>169</v>
      </c>
      <c r="J530" s="866" t="s">
        <v>178</v>
      </c>
      <c r="K530" s="1787" t="s">
        <v>951</v>
      </c>
      <c r="L530" s="1788">
        <v>23172</v>
      </c>
      <c r="M530" s="1543"/>
      <c r="N530" s="845"/>
      <c r="O530" s="354">
        <v>312.5</v>
      </c>
      <c r="P530" s="845">
        <v>1</v>
      </c>
      <c r="Q530" s="913">
        <f t="shared" si="107"/>
        <v>312.5</v>
      </c>
      <c r="R530" s="1412"/>
      <c r="S530" s="913"/>
      <c r="T530" s="913"/>
      <c r="U530" s="913"/>
      <c r="V530" s="913"/>
      <c r="W530" s="913">
        <v>312.5</v>
      </c>
      <c r="X530" s="1600"/>
      <c r="Y530" s="1127"/>
      <c r="Z530" s="1124"/>
      <c r="AA530" s="1124"/>
      <c r="AB530" s="1124"/>
      <c r="AC530" s="1124"/>
      <c r="AD530" s="1124"/>
      <c r="AE530" s="1124"/>
      <c r="AF530" s="1124"/>
      <c r="AG530" s="1282">
        <f t="shared" si="108"/>
        <v>312.5</v>
      </c>
    </row>
    <row r="531" spans="1:33" ht="63" hidden="1">
      <c r="A531" s="845">
        <v>4131</v>
      </c>
      <c r="B531" s="858" t="s">
        <v>1041</v>
      </c>
      <c r="C531" s="857" t="s">
        <v>953</v>
      </c>
      <c r="D531" s="1543"/>
      <c r="E531" s="1403">
        <f>2</f>
        <v>2</v>
      </c>
      <c r="F531" s="1400">
        <v>43306</v>
      </c>
      <c r="G531" s="1400">
        <f t="shared" si="109"/>
        <v>43307</v>
      </c>
      <c r="H531" s="293" t="s">
        <v>914</v>
      </c>
      <c r="I531" s="845" t="s">
        <v>178</v>
      </c>
      <c r="J531" s="866" t="s">
        <v>169</v>
      </c>
      <c r="K531" s="1094" t="s">
        <v>888</v>
      </c>
      <c r="L531" s="1788">
        <v>23174</v>
      </c>
      <c r="M531" s="1543"/>
      <c r="N531" s="845"/>
      <c r="O531" s="354">
        <v>41183.768750000003</v>
      </c>
      <c r="P531" s="845">
        <v>1</v>
      </c>
      <c r="Q531" s="913">
        <f t="shared" si="107"/>
        <v>41183.768750000003</v>
      </c>
      <c r="R531" s="1412"/>
      <c r="S531" s="1601"/>
      <c r="T531" s="1601"/>
      <c r="U531" s="1601"/>
      <c r="V531" s="1601"/>
      <c r="W531" s="913">
        <v>41183.768750000003</v>
      </c>
      <c r="X531" s="1602"/>
      <c r="Y531" s="1164"/>
      <c r="Z531" s="1124"/>
      <c r="AA531" s="1124"/>
      <c r="AB531" s="1124"/>
      <c r="AC531" s="1124"/>
      <c r="AD531" s="1124"/>
      <c r="AE531" s="1124"/>
      <c r="AF531" s="1124"/>
      <c r="AG531" s="1282">
        <f t="shared" si="108"/>
        <v>41183.768750000003</v>
      </c>
    </row>
    <row r="532" spans="1:33" ht="63" hidden="1">
      <c r="A532" s="845">
        <v>4131</v>
      </c>
      <c r="B532" s="858" t="s">
        <v>1041</v>
      </c>
      <c r="C532" s="857" t="s">
        <v>953</v>
      </c>
      <c r="D532" s="1543"/>
      <c r="E532" s="1403">
        <f>2</f>
        <v>2</v>
      </c>
      <c r="F532" s="1400">
        <v>43306</v>
      </c>
      <c r="G532" s="1400">
        <f t="shared" si="109"/>
        <v>43307</v>
      </c>
      <c r="H532" s="293" t="s">
        <v>914</v>
      </c>
      <c r="I532" s="845" t="s">
        <v>169</v>
      </c>
      <c r="J532" s="866" t="s">
        <v>178</v>
      </c>
      <c r="K532" s="1094" t="s">
        <v>320</v>
      </c>
      <c r="L532" s="1788">
        <v>23173</v>
      </c>
      <c r="M532" s="1543"/>
      <c r="N532" s="845"/>
      <c r="O532" s="354">
        <v>11320.09375</v>
      </c>
      <c r="P532" s="845">
        <v>1</v>
      </c>
      <c r="Q532" s="913">
        <f t="shared" si="107"/>
        <v>11320.09375</v>
      </c>
      <c r="R532" s="1415"/>
      <c r="S532" s="913"/>
      <c r="T532" s="913"/>
      <c r="U532" s="913"/>
      <c r="V532" s="913"/>
      <c r="W532" s="913">
        <v>11320.09375</v>
      </c>
      <c r="X532" s="1600"/>
      <c r="Y532" s="1127"/>
      <c r="Z532" s="1124"/>
      <c r="AA532" s="1124"/>
      <c r="AB532" s="1124"/>
      <c r="AC532" s="1124"/>
      <c r="AD532" s="1124"/>
      <c r="AE532" s="1124"/>
      <c r="AF532" s="1124"/>
      <c r="AG532" s="1282">
        <f t="shared" si="108"/>
        <v>11320.09375</v>
      </c>
    </row>
    <row r="533" spans="1:33" ht="63" hidden="1">
      <c r="A533" s="845">
        <v>4131</v>
      </c>
      <c r="B533" s="858" t="s">
        <v>1041</v>
      </c>
      <c r="C533" s="857" t="s">
        <v>953</v>
      </c>
      <c r="D533" s="1543"/>
      <c r="E533" s="1403">
        <f>2</f>
        <v>2</v>
      </c>
      <c r="F533" s="1400">
        <v>43306</v>
      </c>
      <c r="G533" s="1400">
        <f t="shared" si="109"/>
        <v>43307</v>
      </c>
      <c r="H533" s="293" t="s">
        <v>914</v>
      </c>
      <c r="I533" s="845" t="s">
        <v>169</v>
      </c>
      <c r="J533" s="866" t="s">
        <v>178</v>
      </c>
      <c r="K533" s="1094" t="s">
        <v>916</v>
      </c>
      <c r="L533" s="1788">
        <v>23173</v>
      </c>
      <c r="M533" s="1543"/>
      <c r="N533" s="845"/>
      <c r="O533" s="354">
        <v>46.875</v>
      </c>
      <c r="P533" s="845">
        <f>2*22</f>
        <v>44</v>
      </c>
      <c r="Q533" s="913">
        <f t="shared" si="107"/>
        <v>2062.5</v>
      </c>
      <c r="R533" s="1415"/>
      <c r="S533" s="913"/>
      <c r="T533" s="913"/>
      <c r="U533" s="913"/>
      <c r="V533" s="913"/>
      <c r="W533" s="913">
        <v>2062.5</v>
      </c>
      <c r="X533" s="1600"/>
      <c r="Y533" s="1127"/>
      <c r="Z533" s="1124"/>
      <c r="AA533" s="1124"/>
      <c r="AB533" s="1124"/>
      <c r="AC533" s="1124"/>
      <c r="AD533" s="1124"/>
      <c r="AE533" s="1124"/>
      <c r="AF533" s="1124"/>
      <c r="AG533" s="1282">
        <f t="shared" si="108"/>
        <v>2062.5</v>
      </c>
    </row>
    <row r="534" spans="1:33" ht="47.25" hidden="1">
      <c r="A534" s="845">
        <v>4131</v>
      </c>
      <c r="B534" s="858" t="s">
        <v>1042</v>
      </c>
      <c r="C534" s="857" t="s">
        <v>955</v>
      </c>
      <c r="D534" s="1543"/>
      <c r="E534" s="1403">
        <f>15</f>
        <v>15</v>
      </c>
      <c r="F534" s="1400">
        <v>43241</v>
      </c>
      <c r="G534" s="1400">
        <f t="shared" si="109"/>
        <v>43255</v>
      </c>
      <c r="H534" s="293" t="s">
        <v>914</v>
      </c>
      <c r="I534" s="845" t="s">
        <v>178</v>
      </c>
      <c r="J534" s="866" t="s">
        <v>169</v>
      </c>
      <c r="K534" s="1094" t="s">
        <v>888</v>
      </c>
      <c r="L534" s="1788">
        <v>23174</v>
      </c>
      <c r="M534" s="1543"/>
      <c r="N534" s="845"/>
      <c r="O534" s="354">
        <v>141976</v>
      </c>
      <c r="P534" s="845">
        <v>1</v>
      </c>
      <c r="Q534" s="913">
        <f t="shared" si="107"/>
        <v>141976</v>
      </c>
      <c r="R534" s="853"/>
      <c r="S534" s="913"/>
      <c r="T534" s="913"/>
      <c r="U534" s="913">
        <v>141976</v>
      </c>
      <c r="V534" s="913"/>
      <c r="W534" s="913"/>
      <c r="X534" s="1600"/>
      <c r="Y534" s="1127"/>
      <c r="Z534" s="1124"/>
      <c r="AA534" s="1124"/>
      <c r="AB534" s="1124"/>
      <c r="AC534" s="1124"/>
      <c r="AD534" s="1124"/>
      <c r="AE534" s="1124"/>
      <c r="AF534" s="1124"/>
      <c r="AG534" s="1282">
        <f t="shared" si="108"/>
        <v>141976</v>
      </c>
    </row>
    <row r="535" spans="1:33" ht="50.25" hidden="1" customHeight="1">
      <c r="A535" s="2789">
        <v>4132</v>
      </c>
      <c r="B535" s="2864" t="s">
        <v>1043</v>
      </c>
      <c r="C535" s="2864" t="s">
        <v>958</v>
      </c>
      <c r="D535" s="2981"/>
      <c r="E535" s="2951">
        <f>4+30+4+4+4+2+5+4+6+4</f>
        <v>67</v>
      </c>
      <c r="F535" s="2952">
        <v>43311</v>
      </c>
      <c r="G535" s="2941">
        <f>E535+F535-1</f>
        <v>43377</v>
      </c>
      <c r="H535" s="2792" t="s">
        <v>914</v>
      </c>
      <c r="I535" s="2942" t="s">
        <v>178</v>
      </c>
      <c r="J535" s="2943" t="s">
        <v>169</v>
      </c>
      <c r="K535" s="2833"/>
      <c r="L535" s="2783"/>
      <c r="M535" s="1543"/>
      <c r="N535" s="845"/>
      <c r="O535" s="1583"/>
      <c r="P535" s="845"/>
      <c r="Q535" s="913"/>
      <c r="R535" s="2964"/>
      <c r="S535" s="913"/>
      <c r="T535" s="913"/>
      <c r="U535" s="913"/>
      <c r="V535" s="913"/>
      <c r="W535" s="913"/>
      <c r="X535" s="1600"/>
      <c r="Y535" s="1127"/>
      <c r="Z535" s="1124"/>
      <c r="AA535" s="1124"/>
      <c r="AB535" s="1124"/>
      <c r="AC535" s="1124"/>
      <c r="AD535" s="1124"/>
      <c r="AE535" s="1124"/>
      <c r="AF535" s="1124"/>
      <c r="AG535" s="1343"/>
    </row>
    <row r="536" spans="1:33" ht="54" hidden="1" customHeight="1">
      <c r="A536" s="294">
        <v>4132</v>
      </c>
      <c r="B536" s="820" t="s">
        <v>1043</v>
      </c>
      <c r="C536" s="876" t="s">
        <v>958</v>
      </c>
      <c r="D536" s="1543"/>
      <c r="E536" s="1403">
        <f>4+30+4+4+4+2+5+4+6+4</f>
        <v>67</v>
      </c>
      <c r="F536" s="1404">
        <v>43311</v>
      </c>
      <c r="G536" s="1400">
        <f>E536+F536-1</f>
        <v>43377</v>
      </c>
      <c r="H536" s="293" t="s">
        <v>914</v>
      </c>
      <c r="I536" s="845" t="s">
        <v>178</v>
      </c>
      <c r="J536" s="866" t="s">
        <v>169</v>
      </c>
      <c r="K536" s="1094" t="s">
        <v>888</v>
      </c>
      <c r="L536" s="1788">
        <v>23174</v>
      </c>
      <c r="M536" s="1543"/>
      <c r="N536" s="845"/>
      <c r="O536" s="1111">
        <v>20498.981250000001</v>
      </c>
      <c r="P536" s="845">
        <v>1</v>
      </c>
      <c r="Q536" s="913">
        <f t="shared" si="107"/>
        <v>20498.981250000001</v>
      </c>
      <c r="R536" s="936"/>
      <c r="S536" s="913"/>
      <c r="T536" s="913"/>
      <c r="U536" s="913"/>
      <c r="V536" s="913"/>
      <c r="W536" s="913">
        <v>1639.9185</v>
      </c>
      <c r="X536" s="1600">
        <v>3894.8064375000004</v>
      </c>
      <c r="Y536" s="1127">
        <v>14964.2563125</v>
      </c>
      <c r="Z536" s="1124"/>
      <c r="AA536" s="1124"/>
      <c r="AB536" s="1124"/>
      <c r="AC536" s="1124"/>
      <c r="AD536" s="1124"/>
      <c r="AE536" s="1124"/>
      <c r="AF536" s="1124"/>
      <c r="AG536" s="1282">
        <f t="shared" si="108"/>
        <v>20498.981250000001</v>
      </c>
    </row>
    <row r="537" spans="1:33" ht="45" hidden="1" customHeight="1">
      <c r="A537" s="294">
        <v>4132</v>
      </c>
      <c r="B537" s="820" t="s">
        <v>1043</v>
      </c>
      <c r="C537" s="876" t="s">
        <v>958</v>
      </c>
      <c r="D537" s="1543"/>
      <c r="E537" s="1403">
        <f>4+30+4+4+4+2+5+4+6+4</f>
        <v>67</v>
      </c>
      <c r="F537" s="1404">
        <v>43311</v>
      </c>
      <c r="G537" s="1400">
        <f t="shared" ref="G537:G543" si="110">E537+F537-1</f>
        <v>43377</v>
      </c>
      <c r="H537" s="293" t="s">
        <v>914</v>
      </c>
      <c r="I537" s="1418" t="s">
        <v>169</v>
      </c>
      <c r="J537" s="1491" t="s">
        <v>178</v>
      </c>
      <c r="K537" s="1094" t="s">
        <v>320</v>
      </c>
      <c r="L537" s="1788">
        <v>23173</v>
      </c>
      <c r="M537" s="1543"/>
      <c r="N537" s="845"/>
      <c r="O537" s="1111">
        <v>5254.34375</v>
      </c>
      <c r="P537" s="845">
        <v>1</v>
      </c>
      <c r="Q537" s="913">
        <f t="shared" si="107"/>
        <v>5254.34375</v>
      </c>
      <c r="R537" s="936"/>
      <c r="S537" s="913"/>
      <c r="T537" s="913"/>
      <c r="U537" s="913"/>
      <c r="V537" s="913"/>
      <c r="W537" s="913">
        <v>420.34750000000003</v>
      </c>
      <c r="X537" s="1600">
        <v>998.3253125</v>
      </c>
      <c r="Y537" s="1127">
        <v>3835.6709375</v>
      </c>
      <c r="Z537" s="1124"/>
      <c r="AA537" s="1124"/>
      <c r="AB537" s="1124"/>
      <c r="AC537" s="1124"/>
      <c r="AD537" s="1124"/>
      <c r="AE537" s="1124"/>
      <c r="AF537" s="1124"/>
      <c r="AG537" s="1282">
        <f t="shared" si="108"/>
        <v>5254.34375</v>
      </c>
    </row>
    <row r="538" spans="1:33" ht="45" hidden="1" customHeight="1">
      <c r="A538" s="294">
        <v>4132</v>
      </c>
      <c r="B538" s="820" t="s">
        <v>1043</v>
      </c>
      <c r="C538" s="876" t="s">
        <v>958</v>
      </c>
      <c r="D538" s="1543"/>
      <c r="E538" s="1403">
        <f>4+30+4+4+4+2+5+4+6+4</f>
        <v>67</v>
      </c>
      <c r="F538" s="1404">
        <v>43311</v>
      </c>
      <c r="G538" s="1400">
        <f t="shared" si="110"/>
        <v>43377</v>
      </c>
      <c r="H538" s="293" t="s">
        <v>914</v>
      </c>
      <c r="I538" s="1418" t="s">
        <v>169</v>
      </c>
      <c r="J538" s="1491" t="s">
        <v>178</v>
      </c>
      <c r="K538" s="1094" t="s">
        <v>486</v>
      </c>
      <c r="L538" s="1788">
        <v>23173</v>
      </c>
      <c r="M538" s="1543"/>
      <c r="N538" s="845"/>
      <c r="O538" s="1111">
        <v>31.25</v>
      </c>
      <c r="P538" s="845">
        <f>(4+4+5+4+5)</f>
        <v>22</v>
      </c>
      <c r="Q538" s="913">
        <f t="shared" si="107"/>
        <v>687.5</v>
      </c>
      <c r="R538" s="936"/>
      <c r="S538" s="913"/>
      <c r="T538" s="913"/>
      <c r="U538" s="913"/>
      <c r="V538" s="913"/>
      <c r="W538" s="913">
        <v>55</v>
      </c>
      <c r="X538" s="1600">
        <v>130.625</v>
      </c>
      <c r="Y538" s="1127">
        <v>501.875</v>
      </c>
      <c r="Z538" s="1124"/>
      <c r="AA538" s="1124"/>
      <c r="AB538" s="1124"/>
      <c r="AC538" s="1124"/>
      <c r="AD538" s="1124"/>
      <c r="AE538" s="1124"/>
      <c r="AF538" s="1124"/>
      <c r="AG538" s="1282">
        <f t="shared" si="108"/>
        <v>687.5</v>
      </c>
    </row>
    <row r="539" spans="1:33" ht="45" hidden="1" customHeight="1">
      <c r="A539" s="294">
        <v>4132</v>
      </c>
      <c r="B539" s="820" t="s">
        <v>1043</v>
      </c>
      <c r="C539" s="876" t="s">
        <v>958</v>
      </c>
      <c r="D539" s="1543"/>
      <c r="E539" s="1403">
        <f>4+30+4+4+4+2+5+4+6+4</f>
        <v>67</v>
      </c>
      <c r="F539" s="1404">
        <v>43311</v>
      </c>
      <c r="G539" s="1400">
        <f t="shared" si="110"/>
        <v>43377</v>
      </c>
      <c r="H539" s="293" t="s">
        <v>914</v>
      </c>
      <c r="I539" s="1418" t="s">
        <v>169</v>
      </c>
      <c r="J539" s="1491" t="s">
        <v>178</v>
      </c>
      <c r="K539" s="1787" t="s">
        <v>951</v>
      </c>
      <c r="L539" s="1788">
        <v>23172</v>
      </c>
      <c r="M539" s="1543"/>
      <c r="N539" s="845"/>
      <c r="O539" s="1111">
        <v>312.5</v>
      </c>
      <c r="P539" s="845">
        <v>1</v>
      </c>
      <c r="Q539" s="913">
        <f t="shared" si="107"/>
        <v>312.5</v>
      </c>
      <c r="R539" s="936"/>
      <c r="S539" s="913"/>
      <c r="T539" s="913"/>
      <c r="U539" s="913"/>
      <c r="V539" s="913"/>
      <c r="W539" s="913">
        <v>25</v>
      </c>
      <c r="X539" s="1600">
        <v>59.375</v>
      </c>
      <c r="Y539" s="1127">
        <v>228.125</v>
      </c>
      <c r="Z539" s="1124"/>
      <c r="AA539" s="1124"/>
      <c r="AB539" s="1124"/>
      <c r="AC539" s="1124"/>
      <c r="AD539" s="1124"/>
      <c r="AE539" s="1124"/>
      <c r="AF539" s="1124"/>
      <c r="AG539" s="1282">
        <f t="shared" si="108"/>
        <v>312.5</v>
      </c>
    </row>
    <row r="540" spans="1:33" ht="45" hidden="1" customHeight="1">
      <c r="A540" s="294">
        <v>4132</v>
      </c>
      <c r="B540" s="820" t="s">
        <v>1044</v>
      </c>
      <c r="C540" s="876" t="s">
        <v>960</v>
      </c>
      <c r="D540" s="1543"/>
      <c r="E540" s="1403">
        <f>5</f>
        <v>5</v>
      </c>
      <c r="F540" s="1404">
        <v>43318</v>
      </c>
      <c r="G540" s="1400">
        <f t="shared" si="110"/>
        <v>43322</v>
      </c>
      <c r="H540" s="293" t="s">
        <v>914</v>
      </c>
      <c r="I540" s="887" t="s">
        <v>178</v>
      </c>
      <c r="J540" s="914" t="s">
        <v>169</v>
      </c>
      <c r="K540" s="1094" t="s">
        <v>888</v>
      </c>
      <c r="L540" s="1788">
        <v>23174</v>
      </c>
      <c r="M540" s="1543"/>
      <c r="N540" s="845"/>
      <c r="O540" s="1111">
        <v>2368.7906250000001</v>
      </c>
      <c r="P540" s="845">
        <v>1</v>
      </c>
      <c r="Q540" s="913">
        <f t="shared" si="107"/>
        <v>2368.7906250000001</v>
      </c>
      <c r="R540" s="936"/>
      <c r="S540" s="913"/>
      <c r="T540" s="913"/>
      <c r="U540" s="913"/>
      <c r="V540" s="913"/>
      <c r="W540" s="913"/>
      <c r="X540" s="1600">
        <v>2368.7906250000001</v>
      </c>
      <c r="Y540" s="1127"/>
      <c r="Z540" s="1124"/>
      <c r="AA540" s="1124"/>
      <c r="AB540" s="1124"/>
      <c r="AC540" s="1124"/>
      <c r="AD540" s="1124"/>
      <c r="AE540" s="1124"/>
      <c r="AF540" s="1124"/>
      <c r="AG540" s="1282">
        <f t="shared" si="108"/>
        <v>2368.7906250000001</v>
      </c>
    </row>
    <row r="541" spans="1:33" ht="45" hidden="1" customHeight="1">
      <c r="A541" s="294">
        <v>4132</v>
      </c>
      <c r="B541" s="820" t="s">
        <v>1044</v>
      </c>
      <c r="C541" s="876" t="s">
        <v>960</v>
      </c>
      <c r="D541" s="1543"/>
      <c r="E541" s="1403">
        <f>5</f>
        <v>5</v>
      </c>
      <c r="F541" s="1404">
        <v>43318</v>
      </c>
      <c r="G541" s="1400">
        <f t="shared" si="110"/>
        <v>43322</v>
      </c>
      <c r="H541" s="293" t="s">
        <v>914</v>
      </c>
      <c r="I541" s="1418" t="s">
        <v>169</v>
      </c>
      <c r="J541" s="1491" t="s">
        <v>178</v>
      </c>
      <c r="K541" s="1094" t="s">
        <v>320</v>
      </c>
      <c r="L541" s="1788">
        <v>23173</v>
      </c>
      <c r="M541" s="1543"/>
      <c r="N541" s="845"/>
      <c r="O541" s="1111">
        <v>164.0625</v>
      </c>
      <c r="P541" s="845">
        <v>1</v>
      </c>
      <c r="Q541" s="913">
        <f t="shared" si="107"/>
        <v>164.0625</v>
      </c>
      <c r="R541" s="936"/>
      <c r="S541" s="913"/>
      <c r="T541" s="913"/>
      <c r="U541" s="913"/>
      <c r="V541" s="913"/>
      <c r="W541" s="913"/>
      <c r="X541" s="1600">
        <v>164.0625</v>
      </c>
      <c r="Y541" s="1127"/>
      <c r="Z541" s="1124"/>
      <c r="AA541" s="1124"/>
      <c r="AB541" s="1124"/>
      <c r="AC541" s="1124"/>
      <c r="AD541" s="1124"/>
      <c r="AE541" s="1124"/>
      <c r="AF541" s="1124"/>
      <c r="AG541" s="1282">
        <f t="shared" si="108"/>
        <v>164.0625</v>
      </c>
    </row>
    <row r="542" spans="1:33" ht="45" hidden="1" customHeight="1">
      <c r="A542" s="294">
        <v>4132</v>
      </c>
      <c r="B542" s="820" t="s">
        <v>1044</v>
      </c>
      <c r="C542" s="876" t="s">
        <v>960</v>
      </c>
      <c r="D542" s="1543"/>
      <c r="E542" s="1403">
        <f>5</f>
        <v>5</v>
      </c>
      <c r="F542" s="1404">
        <v>43318</v>
      </c>
      <c r="G542" s="1400">
        <f t="shared" si="110"/>
        <v>43322</v>
      </c>
      <c r="H542" s="293" t="s">
        <v>914</v>
      </c>
      <c r="I542" s="1418" t="s">
        <v>169</v>
      </c>
      <c r="J542" s="1491" t="s">
        <v>178</v>
      </c>
      <c r="K542" s="1094" t="s">
        <v>486</v>
      </c>
      <c r="L542" s="1788">
        <v>23173</v>
      </c>
      <c r="M542" s="1543"/>
      <c r="N542" s="845"/>
      <c r="O542" s="1111">
        <v>31.25</v>
      </c>
      <c r="P542" s="845">
        <v>5</v>
      </c>
      <c r="Q542" s="913">
        <f t="shared" si="107"/>
        <v>156.25</v>
      </c>
      <c r="R542" s="936"/>
      <c r="S542" s="913"/>
      <c r="T542" s="913"/>
      <c r="U542" s="913"/>
      <c r="V542" s="913"/>
      <c r="W542" s="913"/>
      <c r="X542" s="1600">
        <v>156.25</v>
      </c>
      <c r="Y542" s="1127"/>
      <c r="Z542" s="1124"/>
      <c r="AA542" s="1124"/>
      <c r="AB542" s="1124"/>
      <c r="AC542" s="1124"/>
      <c r="AD542" s="1124"/>
      <c r="AE542" s="1124"/>
      <c r="AF542" s="1124"/>
      <c r="AG542" s="1282">
        <f t="shared" si="108"/>
        <v>156.25</v>
      </c>
    </row>
    <row r="543" spans="1:33" ht="55.5" hidden="1" customHeight="1">
      <c r="A543" s="294">
        <v>4132</v>
      </c>
      <c r="B543" s="1730" t="s">
        <v>1045</v>
      </c>
      <c r="C543" s="1843" t="s">
        <v>962</v>
      </c>
      <c r="D543" s="1543"/>
      <c r="E543" s="1403">
        <f>10</f>
        <v>10</v>
      </c>
      <c r="F543" s="1400">
        <v>43360</v>
      </c>
      <c r="G543" s="1400">
        <f t="shared" si="110"/>
        <v>43369</v>
      </c>
      <c r="H543" s="293" t="s">
        <v>914</v>
      </c>
      <c r="I543" s="1418" t="s">
        <v>169</v>
      </c>
      <c r="J543" s="1491" t="s">
        <v>178</v>
      </c>
      <c r="K543" s="1787" t="s">
        <v>963</v>
      </c>
      <c r="L543" s="1788">
        <v>2313</v>
      </c>
      <c r="M543" s="1543"/>
      <c r="N543" s="845"/>
      <c r="O543" s="1111">
        <v>750</v>
      </c>
      <c r="P543" s="845">
        <v>14</v>
      </c>
      <c r="Q543" s="913">
        <f t="shared" si="107"/>
        <v>10500</v>
      </c>
      <c r="R543" s="853"/>
      <c r="S543" s="913"/>
      <c r="T543" s="913"/>
      <c r="U543" s="913"/>
      <c r="V543" s="913"/>
      <c r="W543" s="913"/>
      <c r="X543" s="1600"/>
      <c r="Y543" s="1127">
        <v>10500</v>
      </c>
      <c r="Z543" s="1124"/>
      <c r="AA543" s="1124"/>
      <c r="AB543" s="1124"/>
      <c r="AC543" s="1124"/>
      <c r="AD543" s="1124"/>
      <c r="AE543" s="1124"/>
      <c r="AF543" s="1124"/>
      <c r="AG543" s="1282">
        <f t="shared" si="108"/>
        <v>10500</v>
      </c>
    </row>
    <row r="544" spans="1:33" ht="26.25" customHeight="1">
      <c r="A544" s="1248" t="s">
        <v>277</v>
      </c>
      <c r="B544" s="274"/>
      <c r="C544" s="278"/>
      <c r="D544" s="1270"/>
      <c r="E544" s="1270"/>
      <c r="F544" s="1270"/>
      <c r="G544" s="1270"/>
      <c r="H544" s="1270"/>
      <c r="I544" s="1270"/>
      <c r="J544" s="273"/>
      <c r="K544" s="1248"/>
      <c r="L544" s="1269"/>
      <c r="M544" s="1270"/>
      <c r="N544" s="1268"/>
      <c r="O544" s="1271"/>
      <c r="P544" s="1268"/>
      <c r="Q544" s="1273">
        <f>+Q545+Q549+Q554+Q556+Q558+Q563+Q575+Q578</f>
        <v>348173.33333333337</v>
      </c>
      <c r="R544" s="1273">
        <f>+'[7]Compil Costing PPA 3 millions'!F16+'[7]Compil Costing PPA 3 millions'!F18+'[7]Compil Costing PPA 3 millions'!F19</f>
        <v>1137594.3333333335</v>
      </c>
      <c r="S544" s="1272">
        <f t="shared" ref="S544:AG544" si="111">+S545+S549+S554+S556+S558+S563+S575+S578</f>
        <v>0</v>
      </c>
      <c r="T544" s="1272">
        <f t="shared" si="111"/>
        <v>93216.666666666672</v>
      </c>
      <c r="U544" s="1272">
        <f t="shared" si="111"/>
        <v>114456.16666666666</v>
      </c>
      <c r="V544" s="1272">
        <f t="shared" si="111"/>
        <v>138325.5</v>
      </c>
      <c r="W544" s="1272">
        <f t="shared" si="111"/>
        <v>1087.5</v>
      </c>
      <c r="X544" s="1272">
        <f t="shared" si="111"/>
        <v>1087.5</v>
      </c>
      <c r="Y544" s="1272">
        <f t="shared" si="111"/>
        <v>0</v>
      </c>
      <c r="Z544" s="276">
        <f t="shared" si="111"/>
        <v>0</v>
      </c>
      <c r="AA544" s="276">
        <f t="shared" si="111"/>
        <v>0</v>
      </c>
      <c r="AB544" s="276">
        <f t="shared" si="111"/>
        <v>0</v>
      </c>
      <c r="AC544" s="276">
        <f t="shared" si="111"/>
        <v>0</v>
      </c>
      <c r="AD544" s="276">
        <f t="shared" si="111"/>
        <v>0</v>
      </c>
      <c r="AE544" s="276">
        <f t="shared" si="111"/>
        <v>0</v>
      </c>
      <c r="AF544" s="276">
        <f t="shared" si="111"/>
        <v>0</v>
      </c>
      <c r="AG544" s="1272">
        <f t="shared" si="111"/>
        <v>348173.33333333331</v>
      </c>
    </row>
    <row r="545" spans="1:33" ht="31.5">
      <c r="A545" s="1275">
        <v>421</v>
      </c>
      <c r="B545" s="359" t="s">
        <v>439</v>
      </c>
      <c r="C545" s="1021"/>
      <c r="D545" s="1280"/>
      <c r="E545" s="1280"/>
      <c r="F545" s="1280"/>
      <c r="G545" s="1280"/>
      <c r="H545" s="1280"/>
      <c r="I545" s="1280"/>
      <c r="J545" s="283"/>
      <c r="K545" s="1278"/>
      <c r="L545" s="1279"/>
      <c r="M545" s="1280"/>
      <c r="N545" s="1277"/>
      <c r="O545" s="1281"/>
      <c r="P545" s="1277"/>
      <c r="Q545" s="547">
        <f>SUM(Q546:Q548)</f>
        <v>5437.5</v>
      </c>
      <c r="R545" s="287">
        <v>348173</v>
      </c>
      <c r="S545" s="1395">
        <f t="shared" ref="S545:AF545" si="112">SUM(S546:S548)</f>
        <v>0</v>
      </c>
      <c r="T545" s="1395">
        <f t="shared" si="112"/>
        <v>0</v>
      </c>
      <c r="U545" s="1395">
        <f t="shared" si="112"/>
        <v>0</v>
      </c>
      <c r="V545" s="1395">
        <f t="shared" si="112"/>
        <v>3262.5</v>
      </c>
      <c r="W545" s="1395">
        <f t="shared" si="112"/>
        <v>1087.5</v>
      </c>
      <c r="X545" s="1395">
        <f t="shared" si="112"/>
        <v>1087.5</v>
      </c>
      <c r="Y545" s="1395">
        <f t="shared" si="112"/>
        <v>0</v>
      </c>
      <c r="Z545" s="361">
        <f t="shared" si="112"/>
        <v>0</v>
      </c>
      <c r="AA545" s="361">
        <f t="shared" si="112"/>
        <v>0</v>
      </c>
      <c r="AB545" s="361">
        <f t="shared" si="112"/>
        <v>0</v>
      </c>
      <c r="AC545" s="361">
        <f t="shared" si="112"/>
        <v>0</v>
      </c>
      <c r="AD545" s="361">
        <f t="shared" si="112"/>
        <v>0</v>
      </c>
      <c r="AE545" s="361">
        <f t="shared" si="112"/>
        <v>0</v>
      </c>
      <c r="AF545" s="361">
        <f t="shared" si="112"/>
        <v>0</v>
      </c>
      <c r="AG545" s="1282">
        <f t="shared" ref="AG545:AG563" si="113">SUM(S545:AF545)</f>
        <v>5437.5</v>
      </c>
    </row>
    <row r="546" spans="1:33" ht="66" hidden="1" customHeight="1" thickTop="1" thickBot="1">
      <c r="A546" s="2789">
        <v>4211</v>
      </c>
      <c r="B546" s="2790" t="s">
        <v>440</v>
      </c>
      <c r="C546" s="2790" t="s">
        <v>1047</v>
      </c>
      <c r="D546" s="2791"/>
      <c r="E546" s="2789">
        <f>50</f>
        <v>50</v>
      </c>
      <c r="F546" s="2982">
        <v>43186</v>
      </c>
      <c r="G546" s="2983">
        <f>+F546+E546</f>
        <v>43236</v>
      </c>
      <c r="H546" s="2792" t="s">
        <v>368</v>
      </c>
      <c r="I546" s="2789" t="s">
        <v>169</v>
      </c>
      <c r="J546" s="2793" t="s">
        <v>442</v>
      </c>
      <c r="K546" s="326" t="s">
        <v>443</v>
      </c>
      <c r="L546" s="1788">
        <v>2313</v>
      </c>
      <c r="M546" s="326"/>
      <c r="N546" s="294"/>
      <c r="O546" s="1846">
        <v>217.5</v>
      </c>
      <c r="P546" s="1847">
        <v>15</v>
      </c>
      <c r="Q546" s="1848">
        <v>3262.5</v>
      </c>
      <c r="R546" s="1848"/>
      <c r="S546" s="1847"/>
      <c r="T546" s="1847"/>
      <c r="U546" s="1847"/>
      <c r="V546" s="1847">
        <v>3262.5</v>
      </c>
      <c r="W546" s="1847"/>
      <c r="X546" s="1849"/>
      <c r="Y546" s="1850"/>
      <c r="Z546" s="1124"/>
      <c r="AA546" s="1199"/>
      <c r="AB546" s="1124"/>
      <c r="AC546" s="1124"/>
      <c r="AD546" s="1124"/>
      <c r="AE546" s="1124"/>
      <c r="AF546" s="1124"/>
      <c r="AG546" s="1282">
        <f t="shared" si="113"/>
        <v>3262.5</v>
      </c>
    </row>
    <row r="547" spans="1:33" ht="48.75" hidden="1" thickTop="1" thickBot="1">
      <c r="A547" s="2789">
        <v>4212</v>
      </c>
      <c r="B547" s="2790" t="s">
        <v>446</v>
      </c>
      <c r="C547" s="2790" t="s">
        <v>1046</v>
      </c>
      <c r="D547" s="2791"/>
      <c r="E547" s="2789">
        <v>70</v>
      </c>
      <c r="F547" s="2982">
        <v>43186</v>
      </c>
      <c r="G547" s="2983">
        <f>+F547+E547</f>
        <v>43256</v>
      </c>
      <c r="H547" s="2792" t="s">
        <v>368</v>
      </c>
      <c r="I547" s="2789" t="s">
        <v>169</v>
      </c>
      <c r="J547" s="2793" t="s">
        <v>442</v>
      </c>
      <c r="K547" s="326" t="s">
        <v>443</v>
      </c>
      <c r="L547" s="1788">
        <v>2313</v>
      </c>
      <c r="M547" s="326"/>
      <c r="N547" s="294"/>
      <c r="O547" s="1846">
        <v>217.5</v>
      </c>
      <c r="P547" s="1847">
        <v>5</v>
      </c>
      <c r="Q547" s="2314">
        <f>O547*P547</f>
        <v>1087.5</v>
      </c>
      <c r="R547" s="1848"/>
      <c r="S547" s="1847"/>
      <c r="T547" s="1847"/>
      <c r="U547" s="1847"/>
      <c r="V547" s="1847"/>
      <c r="W547" s="1847">
        <v>1087.5</v>
      </c>
      <c r="X547" s="1849"/>
      <c r="Y547" s="1850"/>
      <c r="Z547" s="1124"/>
      <c r="AA547" s="1124"/>
      <c r="AB547" s="1124"/>
      <c r="AC547" s="1124"/>
      <c r="AD547" s="1124"/>
      <c r="AE547" s="1124"/>
      <c r="AF547" s="1124"/>
      <c r="AG547" s="1282">
        <f t="shared" si="113"/>
        <v>1087.5</v>
      </c>
    </row>
    <row r="548" spans="1:33" ht="63.75" hidden="1" thickTop="1">
      <c r="A548" s="2789">
        <v>4213</v>
      </c>
      <c r="B548" s="2790" t="s">
        <v>448</v>
      </c>
      <c r="C548" s="2790" t="s">
        <v>1048</v>
      </c>
      <c r="D548" s="2791"/>
      <c r="E548" s="2789">
        <v>70</v>
      </c>
      <c r="F548" s="2982">
        <v>43186</v>
      </c>
      <c r="G548" s="2983">
        <f>+F548+E548</f>
        <v>43256</v>
      </c>
      <c r="H548" s="2792" t="s">
        <v>368</v>
      </c>
      <c r="I548" s="2789" t="s">
        <v>169</v>
      </c>
      <c r="J548" s="2793" t="s">
        <v>442</v>
      </c>
      <c r="K548" s="326" t="s">
        <v>443</v>
      </c>
      <c r="L548" s="1788">
        <v>2313</v>
      </c>
      <c r="M548" s="326"/>
      <c r="N548" s="294"/>
      <c r="O548" s="1846">
        <v>217.5</v>
      </c>
      <c r="P548" s="1847">
        <v>5</v>
      </c>
      <c r="Q548" s="2314">
        <f>O548*P548</f>
        <v>1087.5</v>
      </c>
      <c r="R548" s="1848"/>
      <c r="S548" s="1847"/>
      <c r="T548" s="1847"/>
      <c r="U548" s="1847"/>
      <c r="V548" s="1847"/>
      <c r="W548" s="1847"/>
      <c r="X548" s="1849">
        <v>1087.5</v>
      </c>
      <c r="Y548" s="1850"/>
      <c r="Z548" s="1124"/>
      <c r="AA548" s="1124"/>
      <c r="AB548" s="1124"/>
      <c r="AC548" s="1124"/>
      <c r="AD548" s="1124"/>
      <c r="AE548" s="1124"/>
      <c r="AF548" s="1124"/>
      <c r="AG548" s="1282">
        <f t="shared" si="113"/>
        <v>1087.5</v>
      </c>
    </row>
    <row r="549" spans="1:33" ht="42.75" customHeight="1">
      <c r="A549" s="1275">
        <v>422</v>
      </c>
      <c r="B549" s="359" t="s">
        <v>450</v>
      </c>
      <c r="C549" s="1021"/>
      <c r="D549" s="1280"/>
      <c r="E549" s="1280"/>
      <c r="F549" s="1280"/>
      <c r="G549" s="1280"/>
      <c r="H549" s="1280"/>
      <c r="I549" s="1280"/>
      <c r="J549" s="283"/>
      <c r="K549" s="1278"/>
      <c r="L549" s="1279"/>
      <c r="M549" s="1280"/>
      <c r="N549" s="1277"/>
      <c r="O549" s="1281"/>
      <c r="P549" s="1277"/>
      <c r="Q549" s="547">
        <f>SUM(Q550:Q553)</f>
        <v>15217.333333333334</v>
      </c>
      <c r="R549" s="2826"/>
      <c r="S549" s="1395">
        <f t="shared" ref="S549:AF549" si="114">SUM(S550:S553)</f>
        <v>0</v>
      </c>
      <c r="T549" s="1395">
        <f t="shared" si="114"/>
        <v>0</v>
      </c>
      <c r="U549" s="1395">
        <f t="shared" si="114"/>
        <v>9997.3333333333321</v>
      </c>
      <c r="V549" s="1395">
        <f t="shared" si="114"/>
        <v>5220</v>
      </c>
      <c r="W549" s="1395">
        <f t="shared" si="114"/>
        <v>0</v>
      </c>
      <c r="X549" s="1395">
        <f t="shared" si="114"/>
        <v>0</v>
      </c>
      <c r="Y549" s="1395">
        <f t="shared" si="114"/>
        <v>0</v>
      </c>
      <c r="Z549" s="361">
        <f t="shared" si="114"/>
        <v>0</v>
      </c>
      <c r="AA549" s="361">
        <f t="shared" si="114"/>
        <v>0</v>
      </c>
      <c r="AB549" s="361">
        <f t="shared" si="114"/>
        <v>0</v>
      </c>
      <c r="AC549" s="361">
        <f t="shared" si="114"/>
        <v>0</v>
      </c>
      <c r="AD549" s="361">
        <f t="shared" si="114"/>
        <v>0</v>
      </c>
      <c r="AE549" s="361">
        <f t="shared" si="114"/>
        <v>0</v>
      </c>
      <c r="AF549" s="361">
        <f t="shared" si="114"/>
        <v>0</v>
      </c>
      <c r="AG549" s="1282">
        <f t="shared" si="113"/>
        <v>15217.333333333332</v>
      </c>
    </row>
    <row r="550" spans="1:33" ht="33" hidden="1" thickTop="1" thickBot="1">
      <c r="A550" s="2789">
        <v>4221</v>
      </c>
      <c r="B550" s="2984" t="s">
        <v>451</v>
      </c>
      <c r="C550" s="2790" t="s">
        <v>452</v>
      </c>
      <c r="D550" s="2791"/>
      <c r="E550" s="2789">
        <f>50</f>
        <v>50</v>
      </c>
      <c r="F550" s="2982">
        <v>43186</v>
      </c>
      <c r="G550" s="2983">
        <f>+F550+E550</f>
        <v>43236</v>
      </c>
      <c r="H550" s="2792" t="s">
        <v>368</v>
      </c>
      <c r="I550" s="2789" t="s">
        <v>169</v>
      </c>
      <c r="J550" s="2793" t="s">
        <v>179</v>
      </c>
      <c r="K550" s="326" t="s">
        <v>365</v>
      </c>
      <c r="L550" s="1788">
        <v>2313</v>
      </c>
      <c r="M550" s="326"/>
      <c r="N550" s="294"/>
      <c r="O550" s="1846">
        <v>174</v>
      </c>
      <c r="P550" s="1852">
        <v>30</v>
      </c>
      <c r="Q550" s="2314">
        <f>O550*P550</f>
        <v>5220</v>
      </c>
      <c r="R550" s="1848"/>
      <c r="S550" s="1847"/>
      <c r="T550" s="1847"/>
      <c r="U550" s="1847"/>
      <c r="V550" s="1847">
        <v>5220</v>
      </c>
      <c r="W550" s="355"/>
      <c r="X550" s="1137"/>
      <c r="Y550" s="1126"/>
      <c r="Z550" s="1124"/>
      <c r="AA550" s="1124"/>
      <c r="AB550" s="1124"/>
      <c r="AC550" s="1124"/>
      <c r="AD550" s="1124"/>
      <c r="AE550" s="1124"/>
      <c r="AF550" s="1124"/>
      <c r="AG550" s="1282">
        <f t="shared" si="113"/>
        <v>5220</v>
      </c>
    </row>
    <row r="551" spans="1:33" ht="33" hidden="1" thickTop="1" thickBot="1">
      <c r="A551" s="2789">
        <v>4222</v>
      </c>
      <c r="B551" s="2984" t="s">
        <v>453</v>
      </c>
      <c r="C551" s="2790" t="s">
        <v>454</v>
      </c>
      <c r="D551" s="2791"/>
      <c r="E551" s="2985">
        <v>5</v>
      </c>
      <c r="F551" s="2982">
        <v>43241</v>
      </c>
      <c r="G551" s="2983">
        <f>+F551+E551-1</f>
        <v>43245</v>
      </c>
      <c r="H551" s="2792" t="s">
        <v>455</v>
      </c>
      <c r="I551" s="2789" t="s">
        <v>179</v>
      </c>
      <c r="J551" s="2793" t="s">
        <v>456</v>
      </c>
      <c r="K551" s="326" t="s">
        <v>457</v>
      </c>
      <c r="L551" s="1788">
        <v>23174</v>
      </c>
      <c r="M551" s="326"/>
      <c r="N551" s="294"/>
      <c r="O551" s="1846">
        <v>160</v>
      </c>
      <c r="P551" s="1847">
        <v>40</v>
      </c>
      <c r="Q551" s="2314">
        <f>O551*P551</f>
        <v>6400</v>
      </c>
      <c r="R551" s="1848"/>
      <c r="S551" s="1847"/>
      <c r="T551" s="1847"/>
      <c r="U551" s="1847">
        <v>6400</v>
      </c>
      <c r="V551" s="1847"/>
      <c r="W551" s="355"/>
      <c r="X551" s="1137"/>
      <c r="Y551" s="1126"/>
      <c r="Z551" s="1124"/>
      <c r="AA551" s="1124"/>
      <c r="AB551" s="1124"/>
      <c r="AC551" s="1124"/>
      <c r="AD551" s="1124"/>
      <c r="AE551" s="1124"/>
      <c r="AF551" s="1124"/>
      <c r="AG551" s="1282">
        <f t="shared" si="113"/>
        <v>6400</v>
      </c>
    </row>
    <row r="552" spans="1:33" ht="33" hidden="1" thickTop="1" thickBot="1">
      <c r="A552" s="2789">
        <v>4223</v>
      </c>
      <c r="B552" s="2984" t="s">
        <v>458</v>
      </c>
      <c r="C552" s="2984" t="s">
        <v>459</v>
      </c>
      <c r="D552" s="2791"/>
      <c r="E552" s="2985">
        <v>3</v>
      </c>
      <c r="F552" s="2982">
        <v>43248</v>
      </c>
      <c r="G552" s="2983">
        <f>+F552+E552-1</f>
        <v>43250</v>
      </c>
      <c r="H552" s="2792" t="s">
        <v>460</v>
      </c>
      <c r="I552" s="2789" t="s">
        <v>179</v>
      </c>
      <c r="J552" s="2876" t="s">
        <v>461</v>
      </c>
      <c r="K552" s="326" t="s">
        <v>457</v>
      </c>
      <c r="L552" s="1788">
        <v>23174</v>
      </c>
      <c r="M552" s="326"/>
      <c r="N552" s="294"/>
      <c r="O552" s="1846">
        <v>134.66666666666666</v>
      </c>
      <c r="P552" s="1847">
        <v>8</v>
      </c>
      <c r="Q552" s="2314">
        <f>O552*P552</f>
        <v>1077.3333333333333</v>
      </c>
      <c r="R552" s="1848"/>
      <c r="S552" s="355"/>
      <c r="T552" s="355"/>
      <c r="U552" s="1847">
        <v>1077.3333333333333</v>
      </c>
      <c r="V552" s="355"/>
      <c r="W552" s="355"/>
      <c r="X552" s="1137"/>
      <c r="Y552" s="1126"/>
      <c r="Z552" s="1124"/>
      <c r="AA552" s="1124"/>
      <c r="AB552" s="1124"/>
      <c r="AC552" s="1124"/>
      <c r="AD552" s="1124"/>
      <c r="AE552" s="1124"/>
      <c r="AF552" s="1124"/>
      <c r="AG552" s="1282">
        <f t="shared" si="113"/>
        <v>1077.3333333333333</v>
      </c>
    </row>
    <row r="553" spans="1:33" ht="32.25" hidden="1" thickTop="1">
      <c r="A553" s="2789">
        <v>4224</v>
      </c>
      <c r="B553" s="2984" t="s">
        <v>462</v>
      </c>
      <c r="C553" s="2984" t="s">
        <v>463</v>
      </c>
      <c r="D553" s="2791"/>
      <c r="E553" s="2985">
        <v>5</v>
      </c>
      <c r="F553" s="2982">
        <v>43255</v>
      </c>
      <c r="G553" s="2983">
        <f>+F553+E553-1</f>
        <v>43259</v>
      </c>
      <c r="H553" s="2792" t="s">
        <v>455</v>
      </c>
      <c r="I553" s="2789" t="s">
        <v>179</v>
      </c>
      <c r="J553" s="2876" t="s">
        <v>461</v>
      </c>
      <c r="K553" s="326" t="s">
        <v>457</v>
      </c>
      <c r="L553" s="1788">
        <v>23174</v>
      </c>
      <c r="M553" s="326"/>
      <c r="N553" s="294"/>
      <c r="O553" s="1846">
        <v>84</v>
      </c>
      <c r="P553" s="1847">
        <v>30</v>
      </c>
      <c r="Q553" s="2314">
        <f>O553*P553</f>
        <v>2520</v>
      </c>
      <c r="R553" s="1848"/>
      <c r="S553" s="1847"/>
      <c r="T553" s="1847"/>
      <c r="U553" s="1847">
        <v>2520</v>
      </c>
      <c r="V553" s="1847"/>
      <c r="W553" s="1847"/>
      <c r="X553" s="1137"/>
      <c r="Y553" s="1126"/>
      <c r="Z553" s="1124"/>
      <c r="AA553" s="1124"/>
      <c r="AB553" s="1124"/>
      <c r="AC553" s="1124"/>
      <c r="AD553" s="1124"/>
      <c r="AE553" s="1124"/>
      <c r="AF553" s="1124"/>
      <c r="AG553" s="1282">
        <f t="shared" si="113"/>
        <v>2520</v>
      </c>
    </row>
    <row r="554" spans="1:33" ht="31.5">
      <c r="A554" s="1275">
        <v>423</v>
      </c>
      <c r="B554" s="1466" t="s">
        <v>464</v>
      </c>
      <c r="C554" s="1511"/>
      <c r="D554" s="1422"/>
      <c r="E554" s="1422"/>
      <c r="F554" s="1422"/>
      <c r="G554" s="1422"/>
      <c r="H554" s="1422"/>
      <c r="I554" s="1423"/>
      <c r="J554" s="283"/>
      <c r="K554" s="1278"/>
      <c r="L554" s="1279"/>
      <c r="M554" s="1280"/>
      <c r="N554" s="1277"/>
      <c r="O554" s="1281"/>
      <c r="P554" s="1277"/>
      <c r="Q554" s="547">
        <f>SUM(Q555)</f>
        <v>6400</v>
      </c>
      <c r="R554" s="2826"/>
      <c r="S554" s="1395">
        <f t="shared" ref="S554:AF554" si="115">SUM(S555)</f>
        <v>0</v>
      </c>
      <c r="T554" s="1395">
        <f t="shared" si="115"/>
        <v>0</v>
      </c>
      <c r="U554" s="1395">
        <f t="shared" si="115"/>
        <v>0</v>
      </c>
      <c r="V554" s="1395">
        <f t="shared" si="115"/>
        <v>6400</v>
      </c>
      <c r="W554" s="1395">
        <f t="shared" si="115"/>
        <v>0</v>
      </c>
      <c r="X554" s="1395">
        <f t="shared" si="115"/>
        <v>0</v>
      </c>
      <c r="Y554" s="1395">
        <f t="shared" si="115"/>
        <v>0</v>
      </c>
      <c r="Z554" s="361">
        <f t="shared" si="115"/>
        <v>0</v>
      </c>
      <c r="AA554" s="361">
        <f t="shared" si="115"/>
        <v>0</v>
      </c>
      <c r="AB554" s="361">
        <f t="shared" si="115"/>
        <v>0</v>
      </c>
      <c r="AC554" s="361">
        <f t="shared" si="115"/>
        <v>0</v>
      </c>
      <c r="AD554" s="361">
        <f t="shared" si="115"/>
        <v>0</v>
      </c>
      <c r="AE554" s="361">
        <f t="shared" si="115"/>
        <v>0</v>
      </c>
      <c r="AF554" s="361">
        <f t="shared" si="115"/>
        <v>0</v>
      </c>
      <c r="AG554" s="1282">
        <f t="shared" si="113"/>
        <v>6400</v>
      </c>
    </row>
    <row r="555" spans="1:33" ht="51" hidden="1" customHeight="1" thickTop="1">
      <c r="A555" s="2789">
        <v>4231</v>
      </c>
      <c r="B555" s="2986" t="s">
        <v>465</v>
      </c>
      <c r="C555" s="2984" t="s">
        <v>466</v>
      </c>
      <c r="D555" s="2987"/>
      <c r="E555" s="2985">
        <v>5</v>
      </c>
      <c r="F555" s="2982">
        <v>43269</v>
      </c>
      <c r="G555" s="2983">
        <f>+F555+E555-1</f>
        <v>43273</v>
      </c>
      <c r="H555" s="2987" t="s">
        <v>368</v>
      </c>
      <c r="I555" s="2985" t="s">
        <v>179</v>
      </c>
      <c r="J555" s="2876" t="s">
        <v>461</v>
      </c>
      <c r="K555" s="326" t="s">
        <v>457</v>
      </c>
      <c r="L555" s="1237">
        <v>23174</v>
      </c>
      <c r="M555" s="1852"/>
      <c r="N555" s="1852"/>
      <c r="O555" s="1846">
        <v>160</v>
      </c>
      <c r="P555" s="1848">
        <v>40</v>
      </c>
      <c r="Q555" s="1848">
        <f>O555*P555</f>
        <v>6400</v>
      </c>
      <c r="R555" s="1848"/>
      <c r="S555" s="1847"/>
      <c r="T555" s="1847"/>
      <c r="U555" s="1847"/>
      <c r="V555" s="1847">
        <v>6400</v>
      </c>
      <c r="W555" s="1847"/>
      <c r="X555" s="1854"/>
      <c r="Y555" s="1124"/>
      <c r="Z555" s="1734"/>
      <c r="AA555" s="1734"/>
      <c r="AB555" s="1734"/>
      <c r="AC555" s="1734"/>
      <c r="AD555" s="1734"/>
      <c r="AE555" s="1734"/>
      <c r="AF555" s="1734"/>
      <c r="AG555" s="1282">
        <f t="shared" si="113"/>
        <v>6400</v>
      </c>
    </row>
    <row r="556" spans="1:33" ht="34.5" customHeight="1">
      <c r="A556" s="1275">
        <v>424</v>
      </c>
      <c r="B556" s="1128" t="s">
        <v>467</v>
      </c>
      <c r="C556" s="1511"/>
      <c r="D556" s="1422"/>
      <c r="E556" s="1422"/>
      <c r="F556" s="1422"/>
      <c r="G556" s="1422"/>
      <c r="H556" s="1422"/>
      <c r="I556" s="1423"/>
      <c r="J556" s="283"/>
      <c r="K556" s="1278"/>
      <c r="L556" s="1279"/>
      <c r="M556" s="1280"/>
      <c r="N556" s="1277"/>
      <c r="O556" s="1281"/>
      <c r="P556" s="1277"/>
      <c r="Q556" s="547">
        <f>SUM(Q557)</f>
        <v>66990</v>
      </c>
      <c r="R556" s="2826"/>
      <c r="S556" s="1395">
        <f t="shared" ref="S556:AF556" si="116">SUM(S557)</f>
        <v>0</v>
      </c>
      <c r="T556" s="1395">
        <f t="shared" si="116"/>
        <v>0</v>
      </c>
      <c r="U556" s="1395">
        <f t="shared" si="116"/>
        <v>0</v>
      </c>
      <c r="V556" s="1395">
        <f t="shared" si="116"/>
        <v>66990</v>
      </c>
      <c r="W556" s="1395">
        <f t="shared" si="116"/>
        <v>0</v>
      </c>
      <c r="X556" s="1395">
        <f t="shared" si="116"/>
        <v>0</v>
      </c>
      <c r="Y556" s="1395">
        <f t="shared" si="116"/>
        <v>0</v>
      </c>
      <c r="Z556" s="361">
        <f t="shared" si="116"/>
        <v>0</v>
      </c>
      <c r="AA556" s="361">
        <f t="shared" si="116"/>
        <v>0</v>
      </c>
      <c r="AB556" s="361">
        <f t="shared" si="116"/>
        <v>0</v>
      </c>
      <c r="AC556" s="361">
        <f t="shared" si="116"/>
        <v>0</v>
      </c>
      <c r="AD556" s="361">
        <f t="shared" si="116"/>
        <v>0</v>
      </c>
      <c r="AE556" s="361">
        <f t="shared" si="116"/>
        <v>0</v>
      </c>
      <c r="AF556" s="361">
        <f t="shared" si="116"/>
        <v>0</v>
      </c>
      <c r="AG556" s="1282">
        <f t="shared" si="113"/>
        <v>66990</v>
      </c>
    </row>
    <row r="557" spans="1:33" ht="63.75" hidden="1" thickTop="1">
      <c r="A557" s="2789">
        <v>4241</v>
      </c>
      <c r="B557" s="2988" t="s">
        <v>468</v>
      </c>
      <c r="C557" s="2984" t="s">
        <v>469</v>
      </c>
      <c r="D557" s="2791"/>
      <c r="E557" s="2985">
        <v>2</v>
      </c>
      <c r="F557" s="2982">
        <v>43283</v>
      </c>
      <c r="G557" s="2983">
        <f>+F557+E557-1</f>
        <v>43284</v>
      </c>
      <c r="H557" s="2792" t="s">
        <v>470</v>
      </c>
      <c r="I557" s="2789" t="s">
        <v>179</v>
      </c>
      <c r="J557" s="2876" t="s">
        <v>461</v>
      </c>
      <c r="K557" s="326" t="s">
        <v>457</v>
      </c>
      <c r="L557" s="1237">
        <v>23174</v>
      </c>
      <c r="M557" s="326"/>
      <c r="N557" s="294"/>
      <c r="O557" s="1846">
        <v>3045</v>
      </c>
      <c r="P557" s="1848">
        <v>22</v>
      </c>
      <c r="Q557" s="1848">
        <f>O557*P557</f>
        <v>66990</v>
      </c>
      <c r="R557" s="1848"/>
      <c r="S557" s="1847"/>
      <c r="T557" s="1847"/>
      <c r="U557" s="1847"/>
      <c r="V557" s="1847">
        <v>66990</v>
      </c>
      <c r="W557" s="1847"/>
      <c r="X557" s="1137"/>
      <c r="Y557" s="1126"/>
      <c r="Z557" s="1126"/>
      <c r="AA557" s="1126"/>
      <c r="AB557" s="1126"/>
      <c r="AC557" s="1126"/>
      <c r="AD557" s="1126"/>
      <c r="AE557" s="1126"/>
      <c r="AF557" s="1126"/>
      <c r="AG557" s="1282">
        <f t="shared" si="113"/>
        <v>66990</v>
      </c>
    </row>
    <row r="558" spans="1:33" ht="36.75" customHeight="1">
      <c r="A558" s="1275">
        <v>425</v>
      </c>
      <c r="B558" s="1466" t="s">
        <v>471</v>
      </c>
      <c r="C558" s="1511"/>
      <c r="D558" s="1422"/>
      <c r="E558" s="1422"/>
      <c r="F558" s="1422"/>
      <c r="G558" s="1422"/>
      <c r="H558" s="1422"/>
      <c r="I558" s="1423"/>
      <c r="J558" s="283"/>
      <c r="K558" s="1278"/>
      <c r="L558" s="1279"/>
      <c r="M558" s="1280"/>
      <c r="N558" s="1277"/>
      <c r="O558" s="1281"/>
      <c r="P558" s="1277"/>
      <c r="Q558" s="547">
        <f>SUM(Q559:Q562)</f>
        <v>104413.66666666667</v>
      </c>
      <c r="R558" s="2826"/>
      <c r="S558" s="1395">
        <f t="shared" ref="S558:AF558" si="117">SUM(S559:S562)</f>
        <v>0</v>
      </c>
      <c r="T558" s="1395">
        <f t="shared" si="117"/>
        <v>93216.666666666672</v>
      </c>
      <c r="U558" s="1395">
        <f t="shared" si="117"/>
        <v>6760</v>
      </c>
      <c r="V558" s="1395">
        <f t="shared" si="117"/>
        <v>4437</v>
      </c>
      <c r="W558" s="1395">
        <f t="shared" si="117"/>
        <v>0</v>
      </c>
      <c r="X558" s="1395">
        <f t="shared" si="117"/>
        <v>0</v>
      </c>
      <c r="Y558" s="1395">
        <f t="shared" si="117"/>
        <v>0</v>
      </c>
      <c r="Z558" s="361">
        <f t="shared" si="117"/>
        <v>0</v>
      </c>
      <c r="AA558" s="361">
        <f t="shared" si="117"/>
        <v>0</v>
      </c>
      <c r="AB558" s="361">
        <f t="shared" si="117"/>
        <v>0</v>
      </c>
      <c r="AC558" s="361">
        <f t="shared" si="117"/>
        <v>0</v>
      </c>
      <c r="AD558" s="361">
        <f t="shared" si="117"/>
        <v>0</v>
      </c>
      <c r="AE558" s="361">
        <f t="shared" si="117"/>
        <v>0</v>
      </c>
      <c r="AF558" s="361">
        <f t="shared" si="117"/>
        <v>0</v>
      </c>
      <c r="AG558" s="1282">
        <f t="shared" si="113"/>
        <v>104413.66666666667</v>
      </c>
    </row>
    <row r="559" spans="1:33" ht="30.75" hidden="1" customHeight="1" thickTop="1" thickBot="1">
      <c r="A559" s="2789">
        <v>4251</v>
      </c>
      <c r="B559" s="3000" t="s">
        <v>472</v>
      </c>
      <c r="C559" s="2984" t="s">
        <v>473</v>
      </c>
      <c r="D559" s="2791"/>
      <c r="E559" s="2789">
        <v>15</v>
      </c>
      <c r="F559" s="2982">
        <v>43201</v>
      </c>
      <c r="G559" s="2983">
        <f>+F559+E559-1</f>
        <v>43215</v>
      </c>
      <c r="H559" s="2792" t="s">
        <v>474</v>
      </c>
      <c r="I559" s="2789" t="s">
        <v>179</v>
      </c>
      <c r="J559" s="2793" t="s">
        <v>169</v>
      </c>
      <c r="K559" s="326" t="s">
        <v>252</v>
      </c>
      <c r="L559" s="1237">
        <v>23174</v>
      </c>
      <c r="M559" s="326"/>
      <c r="N559" s="294"/>
      <c r="O559" s="1846">
        <v>0.23333333333333334</v>
      </c>
      <c r="P559" s="1848">
        <v>57500</v>
      </c>
      <c r="Q559" s="1848">
        <f>O559*P559</f>
        <v>13416.666666666666</v>
      </c>
      <c r="R559" s="1848"/>
      <c r="S559" s="355"/>
      <c r="T559" s="1847">
        <v>13416.666666666666</v>
      </c>
      <c r="U559" s="1847"/>
      <c r="V559" s="1847"/>
      <c r="W559" s="355"/>
      <c r="X559" s="1137"/>
      <c r="Y559" s="1126"/>
      <c r="Z559" s="1126"/>
      <c r="AA559" s="1126"/>
      <c r="AB559" s="1126"/>
      <c r="AC559" s="1126"/>
      <c r="AD559" s="1126"/>
      <c r="AE559" s="1126"/>
      <c r="AF559" s="1126"/>
      <c r="AG559" s="1282">
        <f t="shared" si="113"/>
        <v>13416.666666666666</v>
      </c>
    </row>
    <row r="560" spans="1:33" ht="33" hidden="1" thickTop="1" thickBot="1">
      <c r="A560" s="2789">
        <v>4252</v>
      </c>
      <c r="B560" s="3000" t="s">
        <v>475</v>
      </c>
      <c r="C560" s="2984" t="s">
        <v>476</v>
      </c>
      <c r="D560" s="2791"/>
      <c r="E560" s="2789">
        <v>10</v>
      </c>
      <c r="F560" s="2982">
        <v>43213</v>
      </c>
      <c r="G560" s="2983">
        <f>+F560+E560-1</f>
        <v>43222</v>
      </c>
      <c r="H560" s="2792" t="s">
        <v>474</v>
      </c>
      <c r="I560" s="2789" t="s">
        <v>179</v>
      </c>
      <c r="J560" s="2793" t="s">
        <v>180</v>
      </c>
      <c r="K560" s="326" t="s">
        <v>457</v>
      </c>
      <c r="L560" s="1237">
        <v>23174</v>
      </c>
      <c r="M560" s="326"/>
      <c r="N560" s="294"/>
      <c r="O560" s="1846">
        <v>350</v>
      </c>
      <c r="P560" s="1848">
        <v>228</v>
      </c>
      <c r="Q560" s="1848">
        <f>O560*P560</f>
        <v>79800</v>
      </c>
      <c r="R560" s="1848"/>
      <c r="S560" s="355"/>
      <c r="T560" s="1847">
        <v>79800</v>
      </c>
      <c r="U560" s="1847"/>
      <c r="V560" s="1847"/>
      <c r="W560" s="355"/>
      <c r="X560" s="1137"/>
      <c r="Y560" s="1126"/>
      <c r="Z560" s="1126"/>
      <c r="AA560" s="1126"/>
      <c r="AB560" s="1126"/>
      <c r="AC560" s="1126"/>
      <c r="AD560" s="1126"/>
      <c r="AE560" s="1126"/>
      <c r="AF560" s="1126"/>
      <c r="AG560" s="1282">
        <f t="shared" si="113"/>
        <v>79800</v>
      </c>
    </row>
    <row r="561" spans="1:33" ht="25.5" hidden="1" customHeight="1" thickTop="1" thickBot="1">
      <c r="A561" s="2789">
        <v>4253</v>
      </c>
      <c r="B561" s="3000" t="s">
        <v>477</v>
      </c>
      <c r="C561" s="2984" t="s">
        <v>478</v>
      </c>
      <c r="D561" s="2791"/>
      <c r="E561" s="2789">
        <v>10</v>
      </c>
      <c r="F561" s="2982">
        <v>43227</v>
      </c>
      <c r="G561" s="2983">
        <f t="shared" ref="G561:G574" si="118">+F561+E561-1</f>
        <v>43236</v>
      </c>
      <c r="H561" s="2792" t="s">
        <v>368</v>
      </c>
      <c r="I561" s="2789" t="s">
        <v>179</v>
      </c>
      <c r="J561" s="2793" t="s">
        <v>180</v>
      </c>
      <c r="K561" s="326" t="s">
        <v>457</v>
      </c>
      <c r="L561" s="1237">
        <v>23174</v>
      </c>
      <c r="M561" s="326"/>
      <c r="N561" s="294"/>
      <c r="O561" s="1846">
        <v>260</v>
      </c>
      <c r="P561" s="1848">
        <v>26</v>
      </c>
      <c r="Q561" s="1848">
        <f>O561*P561</f>
        <v>6760</v>
      </c>
      <c r="R561" s="1848"/>
      <c r="S561" s="1847"/>
      <c r="T561" s="1847"/>
      <c r="U561" s="1847">
        <v>6760</v>
      </c>
      <c r="V561" s="1847"/>
      <c r="W561" s="355"/>
      <c r="X561" s="1137"/>
      <c r="Y561" s="1126"/>
      <c r="Z561" s="1126"/>
      <c r="AA561" s="1126"/>
      <c r="AB561" s="1126"/>
      <c r="AC561" s="1126"/>
      <c r="AD561" s="1126"/>
      <c r="AE561" s="1126"/>
      <c r="AF561" s="1126"/>
      <c r="AG561" s="1282">
        <f t="shared" si="113"/>
        <v>6760</v>
      </c>
    </row>
    <row r="562" spans="1:33" ht="32.25" hidden="1" thickTop="1">
      <c r="A562" s="2789">
        <v>4254</v>
      </c>
      <c r="B562" s="2984" t="s">
        <v>479</v>
      </c>
      <c r="C562" s="2984" t="s">
        <v>480</v>
      </c>
      <c r="D562" s="2791"/>
      <c r="E562" s="2789">
        <v>6</v>
      </c>
      <c r="F562" s="2982">
        <v>43269</v>
      </c>
      <c r="G562" s="2983">
        <f t="shared" si="118"/>
        <v>43274</v>
      </c>
      <c r="H562" s="2792" t="s">
        <v>368</v>
      </c>
      <c r="I562" s="2789" t="s">
        <v>179</v>
      </c>
      <c r="J562" s="2793" t="s">
        <v>180</v>
      </c>
      <c r="K562" s="326" t="s">
        <v>457</v>
      </c>
      <c r="L562" s="1237">
        <v>23174</v>
      </c>
      <c r="M562" s="326"/>
      <c r="N562" s="294"/>
      <c r="O562" s="1846">
        <v>177.48</v>
      </c>
      <c r="P562" s="1848">
        <v>25</v>
      </c>
      <c r="Q562" s="1848">
        <f>O562*P562</f>
        <v>4437</v>
      </c>
      <c r="R562" s="1848"/>
      <c r="S562" s="1847"/>
      <c r="T562" s="1847"/>
      <c r="U562" s="1847"/>
      <c r="V562" s="1847">
        <v>4437</v>
      </c>
      <c r="W562" s="355"/>
      <c r="X562" s="1137"/>
      <c r="Y562" s="1126"/>
      <c r="Z562" s="1126"/>
      <c r="AA562" s="1126"/>
      <c r="AB562" s="1126"/>
      <c r="AC562" s="1126"/>
      <c r="AD562" s="1126"/>
      <c r="AE562" s="1126"/>
      <c r="AF562" s="1126"/>
      <c r="AG562" s="1282">
        <f t="shared" si="113"/>
        <v>4437</v>
      </c>
    </row>
    <row r="563" spans="1:33" ht="39" customHeight="1">
      <c r="A563" s="1275">
        <v>426</v>
      </c>
      <c r="B563" s="1466" t="s">
        <v>481</v>
      </c>
      <c r="C563" s="1511"/>
      <c r="D563" s="1422"/>
      <c r="E563" s="1422"/>
      <c r="F563" s="1422"/>
      <c r="G563" s="1422"/>
      <c r="H563" s="1422"/>
      <c r="I563" s="1423"/>
      <c r="J563" s="283"/>
      <c r="K563" s="1278"/>
      <c r="L563" s="1279"/>
      <c r="M563" s="1277"/>
      <c r="N563" s="1277"/>
      <c r="O563" s="1395"/>
      <c r="P563" s="1277"/>
      <c r="Q563" s="547">
        <f>SUM(Q564:Q574)</f>
        <v>41478.833333333336</v>
      </c>
      <c r="R563" s="2827"/>
      <c r="S563" s="1395">
        <f t="shared" ref="S563:AF563" si="119">SUM(S564:S574)</f>
        <v>0</v>
      </c>
      <c r="T563" s="1395">
        <f t="shared" si="119"/>
        <v>0</v>
      </c>
      <c r="U563" s="1395">
        <f t="shared" si="119"/>
        <v>33648.833333333328</v>
      </c>
      <c r="V563" s="1395">
        <f t="shared" si="119"/>
        <v>7830</v>
      </c>
      <c r="W563" s="1395">
        <f t="shared" si="119"/>
        <v>0</v>
      </c>
      <c r="X563" s="1395">
        <f t="shared" si="119"/>
        <v>0</v>
      </c>
      <c r="Y563" s="1395">
        <f t="shared" si="119"/>
        <v>0</v>
      </c>
      <c r="Z563" s="361">
        <f t="shared" si="119"/>
        <v>0</v>
      </c>
      <c r="AA563" s="361">
        <f t="shared" si="119"/>
        <v>0</v>
      </c>
      <c r="AB563" s="361">
        <f t="shared" si="119"/>
        <v>0</v>
      </c>
      <c r="AC563" s="361">
        <f t="shared" si="119"/>
        <v>0</v>
      </c>
      <c r="AD563" s="361">
        <f t="shared" si="119"/>
        <v>0</v>
      </c>
      <c r="AE563" s="361">
        <f t="shared" si="119"/>
        <v>0</v>
      </c>
      <c r="AF563" s="361">
        <f t="shared" si="119"/>
        <v>0</v>
      </c>
      <c r="AG563" s="1282">
        <f t="shared" si="113"/>
        <v>41478.833333333328</v>
      </c>
    </row>
    <row r="564" spans="1:33" ht="33" hidden="1" thickTop="1" thickBot="1">
      <c r="A564" s="2789">
        <v>4261</v>
      </c>
      <c r="B564" s="3000" t="s">
        <v>482</v>
      </c>
      <c r="C564" s="2984" t="s">
        <v>483</v>
      </c>
      <c r="D564" s="2791"/>
      <c r="E564" s="2789">
        <v>50</v>
      </c>
      <c r="F564" s="2982">
        <v>43186</v>
      </c>
      <c r="G564" s="2983">
        <f>+F564+E564-3</f>
        <v>43233</v>
      </c>
      <c r="H564" s="2792" t="s">
        <v>368</v>
      </c>
      <c r="I564" s="2789" t="s">
        <v>169</v>
      </c>
      <c r="J564" s="2793" t="s">
        <v>179</v>
      </c>
      <c r="K564" s="1787" t="s">
        <v>365</v>
      </c>
      <c r="L564" s="1788">
        <v>2313</v>
      </c>
      <c r="M564" s="326"/>
      <c r="N564" s="294"/>
      <c r="O564" s="1846">
        <v>174</v>
      </c>
      <c r="P564" s="1848">
        <v>45</v>
      </c>
      <c r="Q564" s="1848">
        <f t="shared" ref="Q564:Q572" si="120">O564*P564</f>
        <v>7830</v>
      </c>
      <c r="R564" s="1848"/>
      <c r="S564" s="1848"/>
      <c r="T564" s="1848"/>
      <c r="U564" s="1848"/>
      <c r="V564" s="1848">
        <v>7830</v>
      </c>
      <c r="W564" s="1848"/>
      <c r="X564" s="1137"/>
      <c r="Y564" s="1126"/>
      <c r="Z564" s="1126"/>
      <c r="AA564" s="1126"/>
      <c r="AB564" s="1126"/>
      <c r="AC564" s="1126"/>
      <c r="AD564" s="1126"/>
      <c r="AE564" s="1126"/>
      <c r="AF564" s="1126"/>
      <c r="AG564" s="1282">
        <f t="shared" ref="AG564:AG574" si="121">SUM(S564:AF564)</f>
        <v>7830</v>
      </c>
    </row>
    <row r="565" spans="1:33" ht="33" hidden="1" thickTop="1" thickBot="1">
      <c r="A565" s="2789">
        <v>4262</v>
      </c>
      <c r="B565" s="3000" t="s">
        <v>484</v>
      </c>
      <c r="C565" s="2984" t="s">
        <v>485</v>
      </c>
      <c r="D565" s="2791"/>
      <c r="E565" s="2789">
        <v>6</v>
      </c>
      <c r="F565" s="2982">
        <v>43234</v>
      </c>
      <c r="G565" s="2983">
        <f>+F565+E565-1</f>
        <v>43239</v>
      </c>
      <c r="H565" s="2792" t="s">
        <v>368</v>
      </c>
      <c r="I565" s="2789" t="s">
        <v>179</v>
      </c>
      <c r="J565" s="2782"/>
      <c r="K565" s="2963"/>
      <c r="L565" s="2783"/>
      <c r="M565" s="1124"/>
      <c r="N565" s="1703"/>
      <c r="O565" s="1846"/>
      <c r="P565" s="1848"/>
      <c r="Q565" s="1848"/>
      <c r="R565" s="1848"/>
      <c r="S565" s="1848"/>
      <c r="T565" s="1848"/>
      <c r="U565" s="1848"/>
      <c r="V565" s="1848"/>
      <c r="W565" s="1848"/>
      <c r="X565" s="1137"/>
      <c r="Y565" s="1126"/>
      <c r="Z565" s="1126"/>
      <c r="AA565" s="1126"/>
      <c r="AB565" s="1126"/>
      <c r="AC565" s="1126"/>
      <c r="AD565" s="1126"/>
      <c r="AE565" s="1126"/>
      <c r="AF565" s="1126"/>
      <c r="AG565" s="1343"/>
    </row>
    <row r="566" spans="1:33" ht="33" hidden="1" thickTop="1" thickBot="1">
      <c r="A566" s="294">
        <v>4262</v>
      </c>
      <c r="B566" s="1728" t="s">
        <v>484</v>
      </c>
      <c r="C566" s="1724" t="s">
        <v>485</v>
      </c>
      <c r="D566" s="326"/>
      <c r="E566" s="294">
        <v>6</v>
      </c>
      <c r="F566" s="1844">
        <v>43234</v>
      </c>
      <c r="G566" s="1845">
        <f t="shared" si="118"/>
        <v>43239</v>
      </c>
      <c r="H566" s="293" t="s">
        <v>368</v>
      </c>
      <c r="I566" s="294" t="s">
        <v>179</v>
      </c>
      <c r="J566" s="307"/>
      <c r="K566" s="326" t="s">
        <v>457</v>
      </c>
      <c r="L566" s="1788">
        <v>23174</v>
      </c>
      <c r="M566" s="326"/>
      <c r="N566" s="294"/>
      <c r="O566" s="1846">
        <v>5076.666666666667</v>
      </c>
      <c r="P566" s="1848">
        <v>1</v>
      </c>
      <c r="Q566" s="1848">
        <f t="shared" si="120"/>
        <v>5076.666666666667</v>
      </c>
      <c r="R566" s="1848"/>
      <c r="S566" s="1848"/>
      <c r="T566" s="1848"/>
      <c r="U566" s="1848">
        <v>5076.666666666667</v>
      </c>
      <c r="V566" s="1848"/>
      <c r="W566" s="1848"/>
      <c r="X566" s="1137"/>
      <c r="Y566" s="1126"/>
      <c r="Z566" s="1126"/>
      <c r="AA566" s="1126"/>
      <c r="AB566" s="1126"/>
      <c r="AC566" s="1126"/>
      <c r="AD566" s="1126"/>
      <c r="AE566" s="1126"/>
      <c r="AF566" s="1126"/>
      <c r="AG566" s="1282">
        <f t="shared" si="121"/>
        <v>5076.666666666667</v>
      </c>
    </row>
    <row r="567" spans="1:33" ht="33" hidden="1" thickTop="1" thickBot="1">
      <c r="A567" s="294">
        <v>4262</v>
      </c>
      <c r="B567" s="1728" t="s">
        <v>484</v>
      </c>
      <c r="C567" s="1724" t="s">
        <v>485</v>
      </c>
      <c r="D567" s="326"/>
      <c r="E567" s="294">
        <v>6</v>
      </c>
      <c r="F567" s="1844">
        <v>43234</v>
      </c>
      <c r="G567" s="1845">
        <f t="shared" si="118"/>
        <v>43239</v>
      </c>
      <c r="H567" s="293" t="s">
        <v>368</v>
      </c>
      <c r="I567" s="294" t="s">
        <v>179</v>
      </c>
      <c r="J567" s="307"/>
      <c r="K567" s="326" t="s">
        <v>320</v>
      </c>
      <c r="L567" s="1788">
        <v>23173</v>
      </c>
      <c r="M567" s="326"/>
      <c r="N567" s="294"/>
      <c r="O567" s="1846">
        <v>165.83333333333334</v>
      </c>
      <c r="P567" s="1848">
        <v>1</v>
      </c>
      <c r="Q567" s="1848">
        <f t="shared" si="120"/>
        <v>165.83333333333334</v>
      </c>
      <c r="R567" s="1848"/>
      <c r="S567" s="1848"/>
      <c r="T567" s="1848"/>
      <c r="U567" s="1848">
        <v>165.83333333333334</v>
      </c>
      <c r="V567" s="1848"/>
      <c r="W567" s="1848"/>
      <c r="X567" s="1137"/>
      <c r="Y567" s="1126"/>
      <c r="Z567" s="1126"/>
      <c r="AA567" s="1126"/>
      <c r="AB567" s="1126"/>
      <c r="AC567" s="1126"/>
      <c r="AD567" s="1126"/>
      <c r="AE567" s="1126"/>
      <c r="AF567" s="1126"/>
      <c r="AG567" s="1282">
        <f t="shared" si="121"/>
        <v>165.83333333333334</v>
      </c>
    </row>
    <row r="568" spans="1:33" ht="33" hidden="1" thickTop="1" thickBot="1">
      <c r="A568" s="294">
        <v>4262</v>
      </c>
      <c r="B568" s="1728" t="s">
        <v>484</v>
      </c>
      <c r="C568" s="1724" t="s">
        <v>485</v>
      </c>
      <c r="D568" s="326"/>
      <c r="E568" s="294">
        <v>6</v>
      </c>
      <c r="F568" s="1844">
        <v>43234</v>
      </c>
      <c r="G568" s="1845">
        <f t="shared" si="118"/>
        <v>43239</v>
      </c>
      <c r="H568" s="293" t="s">
        <v>368</v>
      </c>
      <c r="I568" s="294" t="s">
        <v>179</v>
      </c>
      <c r="J568" s="307"/>
      <c r="K568" s="326" t="s">
        <v>486</v>
      </c>
      <c r="L568" s="1788">
        <v>23173</v>
      </c>
      <c r="M568" s="326"/>
      <c r="N568" s="294"/>
      <c r="O568" s="1846">
        <v>10</v>
      </c>
      <c r="P568" s="1848">
        <v>5</v>
      </c>
      <c r="Q568" s="1848">
        <f t="shared" si="120"/>
        <v>50</v>
      </c>
      <c r="R568" s="1848"/>
      <c r="S568" s="1848"/>
      <c r="T568" s="1848"/>
      <c r="U568" s="1848">
        <v>50</v>
      </c>
      <c r="V568" s="1848"/>
      <c r="W568" s="1848"/>
      <c r="X568" s="1137"/>
      <c r="Y568" s="1126"/>
      <c r="Z568" s="1126"/>
      <c r="AA568" s="1126"/>
      <c r="AB568" s="1126"/>
      <c r="AC568" s="1126"/>
      <c r="AD568" s="1126"/>
      <c r="AE568" s="1126"/>
      <c r="AF568" s="1126"/>
      <c r="AG568" s="1282">
        <f t="shared" si="121"/>
        <v>50</v>
      </c>
    </row>
    <row r="569" spans="1:33" ht="32.25" hidden="1" customHeight="1" thickTop="1" thickBot="1">
      <c r="A569" s="2789">
        <v>4263</v>
      </c>
      <c r="B569" s="3000" t="s">
        <v>487</v>
      </c>
      <c r="C569" s="2984" t="s">
        <v>488</v>
      </c>
      <c r="D569" s="2791"/>
      <c r="E569" s="2789">
        <v>10</v>
      </c>
      <c r="F569" s="2982">
        <v>43241</v>
      </c>
      <c r="G569" s="2983">
        <f t="shared" si="118"/>
        <v>43250</v>
      </c>
      <c r="H569" s="2789" t="s">
        <v>372</v>
      </c>
      <c r="I569" s="2789" t="s">
        <v>179</v>
      </c>
      <c r="J569" s="2793"/>
      <c r="K569" s="1124"/>
      <c r="L569" s="2783"/>
      <c r="M569" s="1124"/>
      <c r="N569" s="1703"/>
      <c r="O569" s="1846"/>
      <c r="P569" s="1848"/>
      <c r="Q569" s="1848"/>
      <c r="R569" s="1848"/>
      <c r="S569" s="1848"/>
      <c r="T569" s="1848"/>
      <c r="U569" s="1848"/>
      <c r="V569" s="1848"/>
      <c r="W569" s="1848"/>
      <c r="X569" s="1137"/>
      <c r="Y569" s="1126"/>
      <c r="Z569" s="1126"/>
      <c r="AA569" s="1126"/>
      <c r="AB569" s="1126"/>
      <c r="AC569" s="1126"/>
      <c r="AD569" s="1126"/>
      <c r="AE569" s="1126"/>
      <c r="AF569" s="1126"/>
      <c r="AG569" s="1343"/>
    </row>
    <row r="570" spans="1:33" ht="17.25" hidden="1" thickTop="1" thickBot="1">
      <c r="A570" s="294">
        <v>4263</v>
      </c>
      <c r="B570" s="1728" t="s">
        <v>487</v>
      </c>
      <c r="C570" s="1724" t="s">
        <v>488</v>
      </c>
      <c r="D570" s="326"/>
      <c r="E570" s="294">
        <v>10</v>
      </c>
      <c r="F570" s="1844">
        <v>43241</v>
      </c>
      <c r="G570" s="1845">
        <f t="shared" si="118"/>
        <v>43250</v>
      </c>
      <c r="H570" s="294" t="s">
        <v>372</v>
      </c>
      <c r="I570" s="294" t="s">
        <v>179</v>
      </c>
      <c r="J570" s="307"/>
      <c r="K570" s="326" t="s">
        <v>457</v>
      </c>
      <c r="L570" s="1788">
        <v>23174</v>
      </c>
      <c r="M570" s="326"/>
      <c r="N570" s="294"/>
      <c r="O570" s="1846">
        <v>20400</v>
      </c>
      <c r="P570" s="1848">
        <v>1</v>
      </c>
      <c r="Q570" s="1848">
        <f t="shared" si="120"/>
        <v>20400</v>
      </c>
      <c r="R570" s="1848"/>
      <c r="S570" s="1848"/>
      <c r="T570" s="1848"/>
      <c r="U570" s="1848">
        <v>20400</v>
      </c>
      <c r="V570" s="1848"/>
      <c r="W570" s="1848"/>
      <c r="X570" s="1137"/>
      <c r="Y570" s="1126"/>
      <c r="Z570" s="1126"/>
      <c r="AA570" s="1126"/>
      <c r="AB570" s="1126"/>
      <c r="AC570" s="1126"/>
      <c r="AD570" s="1126"/>
      <c r="AE570" s="1126"/>
      <c r="AF570" s="1126"/>
      <c r="AG570" s="1282">
        <f t="shared" si="121"/>
        <v>20400</v>
      </c>
    </row>
    <row r="571" spans="1:33" ht="17.25" hidden="1" thickTop="1" thickBot="1">
      <c r="A571" s="294">
        <v>4263</v>
      </c>
      <c r="B571" s="1728" t="s">
        <v>487</v>
      </c>
      <c r="C571" s="1724" t="s">
        <v>488</v>
      </c>
      <c r="D571" s="326"/>
      <c r="E571" s="294">
        <v>10</v>
      </c>
      <c r="F571" s="1844">
        <v>43241</v>
      </c>
      <c r="G571" s="1845">
        <f t="shared" si="118"/>
        <v>43250</v>
      </c>
      <c r="H571" s="294" t="s">
        <v>372</v>
      </c>
      <c r="I571" s="294" t="s">
        <v>179</v>
      </c>
      <c r="J571" s="307"/>
      <c r="K571" s="326" t="s">
        <v>320</v>
      </c>
      <c r="L571" s="1788">
        <v>23173</v>
      </c>
      <c r="M571" s="326"/>
      <c r="N571" s="294"/>
      <c r="O571" s="1846">
        <v>356.33333333333331</v>
      </c>
      <c r="P571" s="1855">
        <v>1</v>
      </c>
      <c r="Q571" s="1855">
        <f t="shared" si="120"/>
        <v>356.33333333333331</v>
      </c>
      <c r="R571" s="1848"/>
      <c r="S571" s="355"/>
      <c r="T571" s="355"/>
      <c r="U571" s="1848">
        <v>356.33333333333331</v>
      </c>
      <c r="V571" s="355"/>
      <c r="W571" s="355"/>
      <c r="X571" s="1137"/>
      <c r="Y571" s="1126"/>
      <c r="Z571" s="1126"/>
      <c r="AA571" s="1126"/>
      <c r="AB571" s="1126"/>
      <c r="AC571" s="1126"/>
      <c r="AD571" s="1126"/>
      <c r="AE571" s="1126"/>
      <c r="AF571" s="1126"/>
      <c r="AG571" s="1282">
        <f t="shared" si="121"/>
        <v>356.33333333333331</v>
      </c>
    </row>
    <row r="572" spans="1:33" ht="17.25" hidden="1" thickTop="1" thickBot="1">
      <c r="A572" s="294">
        <v>4263</v>
      </c>
      <c r="B572" s="1728" t="s">
        <v>487</v>
      </c>
      <c r="C572" s="1724" t="s">
        <v>488</v>
      </c>
      <c r="D572" s="326"/>
      <c r="E572" s="294">
        <v>10</v>
      </c>
      <c r="F572" s="1844">
        <v>43241</v>
      </c>
      <c r="G572" s="1845">
        <f t="shared" si="118"/>
        <v>43250</v>
      </c>
      <c r="H572" s="294" t="s">
        <v>372</v>
      </c>
      <c r="I572" s="294" t="s">
        <v>179</v>
      </c>
      <c r="J572" s="307"/>
      <c r="K572" s="326" t="s">
        <v>486</v>
      </c>
      <c r="L572" s="1788">
        <v>23173</v>
      </c>
      <c r="M572" s="326"/>
      <c r="N572" s="294"/>
      <c r="O572" s="1846">
        <v>10</v>
      </c>
      <c r="P572" s="1855">
        <v>10</v>
      </c>
      <c r="Q572" s="1855">
        <f t="shared" si="120"/>
        <v>100</v>
      </c>
      <c r="R572" s="1848"/>
      <c r="S572" s="355"/>
      <c r="T572" s="355"/>
      <c r="U572" s="1848">
        <v>100</v>
      </c>
      <c r="V572" s="355"/>
      <c r="W572" s="355"/>
      <c r="X572" s="1137"/>
      <c r="Y572" s="1126"/>
      <c r="Z572" s="1126"/>
      <c r="AA572" s="1126"/>
      <c r="AB572" s="1126"/>
      <c r="AC572" s="1126"/>
      <c r="AD572" s="1126"/>
      <c r="AE572" s="1126"/>
      <c r="AF572" s="1126"/>
      <c r="AG572" s="1282">
        <f t="shared" si="121"/>
        <v>100</v>
      </c>
    </row>
    <row r="573" spans="1:33" ht="30.75" hidden="1" customHeight="1" thickTop="1" thickBot="1">
      <c r="A573" s="2789">
        <v>4264</v>
      </c>
      <c r="B573" s="3000" t="s">
        <v>458</v>
      </c>
      <c r="C573" s="2984" t="s">
        <v>489</v>
      </c>
      <c r="D573" s="2791"/>
      <c r="E573" s="2789">
        <v>2</v>
      </c>
      <c r="F573" s="2982">
        <v>43255</v>
      </c>
      <c r="G573" s="2983">
        <f t="shared" si="118"/>
        <v>43256</v>
      </c>
      <c r="H573" s="2789" t="s">
        <v>490</v>
      </c>
      <c r="I573" s="2789" t="s">
        <v>179</v>
      </c>
      <c r="J573" s="307"/>
      <c r="K573" s="326" t="s">
        <v>457</v>
      </c>
      <c r="L573" s="1788">
        <v>23174</v>
      </c>
      <c r="M573" s="326"/>
      <c r="N573" s="294"/>
      <c r="O573" s="1846">
        <v>0</v>
      </c>
      <c r="P573" s="1855"/>
      <c r="Q573" s="1855"/>
      <c r="R573" s="1848"/>
      <c r="S573" s="355"/>
      <c r="T573" s="355"/>
      <c r="U573" s="1848"/>
      <c r="V573" s="355"/>
      <c r="W573" s="355"/>
      <c r="X573" s="1137"/>
      <c r="Y573" s="1126"/>
      <c r="Z573" s="1126"/>
      <c r="AA573" s="1126"/>
      <c r="AB573" s="1126"/>
      <c r="AC573" s="1126"/>
      <c r="AD573" s="1126"/>
      <c r="AE573" s="1126"/>
      <c r="AF573" s="1126"/>
      <c r="AG573" s="1282">
        <f t="shared" si="121"/>
        <v>0</v>
      </c>
    </row>
    <row r="574" spans="1:33" ht="66" hidden="1" customHeight="1" thickTop="1">
      <c r="A574" s="2789">
        <v>4265</v>
      </c>
      <c r="B574" s="3000" t="s">
        <v>491</v>
      </c>
      <c r="C574" s="2984" t="s">
        <v>492</v>
      </c>
      <c r="D574" s="2791"/>
      <c r="E574" s="2789">
        <v>5</v>
      </c>
      <c r="F574" s="2982">
        <v>43261</v>
      </c>
      <c r="G574" s="2983">
        <f t="shared" si="118"/>
        <v>43265</v>
      </c>
      <c r="H574" s="2789" t="s">
        <v>493</v>
      </c>
      <c r="I574" s="2789" t="s">
        <v>179</v>
      </c>
      <c r="J574" s="2793"/>
      <c r="K574" s="326" t="s">
        <v>457</v>
      </c>
      <c r="L574" s="1788">
        <v>23174</v>
      </c>
      <c r="M574" s="326"/>
      <c r="N574" s="294"/>
      <c r="O574" s="1846">
        <v>750</v>
      </c>
      <c r="P574" s="1855">
        <v>10</v>
      </c>
      <c r="Q574" s="1855">
        <f>O574*P574</f>
        <v>7500</v>
      </c>
      <c r="R574" s="1848"/>
      <c r="S574" s="355"/>
      <c r="T574" s="355"/>
      <c r="U574" s="1848">
        <v>7500</v>
      </c>
      <c r="V574" s="355"/>
      <c r="W574" s="355"/>
      <c r="X574" s="1137"/>
      <c r="Y574" s="1126"/>
      <c r="Z574" s="1126"/>
      <c r="AA574" s="1126"/>
      <c r="AB574" s="1126"/>
      <c r="AC574" s="1126"/>
      <c r="AD574" s="1126"/>
      <c r="AE574" s="1126"/>
      <c r="AF574" s="1126"/>
      <c r="AG574" s="1282">
        <f t="shared" si="121"/>
        <v>7500</v>
      </c>
    </row>
    <row r="575" spans="1:33" ht="46.5" customHeight="1">
      <c r="A575" s="1275">
        <v>427</v>
      </c>
      <c r="B575" s="1466" t="s">
        <v>494</v>
      </c>
      <c r="C575" s="1511"/>
      <c r="D575" s="1422"/>
      <c r="E575" s="1422"/>
      <c r="F575" s="1422"/>
      <c r="G575" s="1422"/>
      <c r="H575" s="1422"/>
      <c r="I575" s="1423"/>
      <c r="J575" s="283"/>
      <c r="K575" s="1278"/>
      <c r="L575" s="1279"/>
      <c r="M575" s="1280"/>
      <c r="N575" s="1277"/>
      <c r="O575" s="1281"/>
      <c r="P575" s="1277"/>
      <c r="Q575" s="547">
        <f>SUM(Q576:Q577)</f>
        <v>10762.5</v>
      </c>
      <c r="R575" s="2826"/>
      <c r="S575" s="1395">
        <f t="shared" ref="S575:AF575" si="122">SUM(S576:S577)</f>
        <v>0</v>
      </c>
      <c r="T575" s="1395">
        <f t="shared" si="122"/>
        <v>0</v>
      </c>
      <c r="U575" s="1395">
        <f t="shared" si="122"/>
        <v>7500</v>
      </c>
      <c r="V575" s="1395">
        <f t="shared" si="122"/>
        <v>3262.5</v>
      </c>
      <c r="W575" s="1395">
        <f t="shared" si="122"/>
        <v>0</v>
      </c>
      <c r="X575" s="1395">
        <f t="shared" si="122"/>
        <v>0</v>
      </c>
      <c r="Y575" s="1395">
        <f t="shared" si="122"/>
        <v>0</v>
      </c>
      <c r="Z575" s="361">
        <f t="shared" si="122"/>
        <v>0</v>
      </c>
      <c r="AA575" s="361">
        <f t="shared" si="122"/>
        <v>0</v>
      </c>
      <c r="AB575" s="361">
        <f t="shared" si="122"/>
        <v>0</v>
      </c>
      <c r="AC575" s="361">
        <f t="shared" si="122"/>
        <v>0</v>
      </c>
      <c r="AD575" s="361">
        <f t="shared" si="122"/>
        <v>0</v>
      </c>
      <c r="AE575" s="361">
        <f t="shared" si="122"/>
        <v>0</v>
      </c>
      <c r="AF575" s="361">
        <f t="shared" si="122"/>
        <v>0</v>
      </c>
      <c r="AG575" s="1282">
        <f>SUM(S575:AF575)</f>
        <v>10762.5</v>
      </c>
    </row>
    <row r="576" spans="1:33" ht="48.75" hidden="1" thickTop="1" thickBot="1">
      <c r="A576" s="2789">
        <v>4271</v>
      </c>
      <c r="B576" s="2790" t="s">
        <v>495</v>
      </c>
      <c r="C576" s="2790" t="s">
        <v>496</v>
      </c>
      <c r="D576" s="2791"/>
      <c r="E576" s="2789">
        <v>50</v>
      </c>
      <c r="F576" s="2982">
        <v>43186</v>
      </c>
      <c r="G576" s="2983">
        <f>+F576+E576-1</f>
        <v>43235</v>
      </c>
      <c r="H576" s="2792"/>
      <c r="I576" s="2789" t="s">
        <v>169</v>
      </c>
      <c r="J576" s="2793" t="s">
        <v>179</v>
      </c>
      <c r="K576" s="326" t="s">
        <v>365</v>
      </c>
      <c r="L576" s="1788">
        <v>2313</v>
      </c>
      <c r="M576" s="326"/>
      <c r="N576" s="294"/>
      <c r="O576" s="1846">
        <v>217.5</v>
      </c>
      <c r="P576" s="1848">
        <v>15</v>
      </c>
      <c r="Q576" s="1848">
        <f>O576*P576</f>
        <v>3262.5</v>
      </c>
      <c r="R576" s="1848"/>
      <c r="S576" s="355"/>
      <c r="T576" s="355"/>
      <c r="U576" s="355"/>
      <c r="V576" s="299">
        <v>3262.5</v>
      </c>
      <c r="W576" s="355"/>
      <c r="X576" s="1137"/>
      <c r="Y576" s="1126"/>
      <c r="Z576" s="1126"/>
      <c r="AA576" s="1126"/>
      <c r="AB576" s="1126"/>
      <c r="AC576" s="1126"/>
      <c r="AD576" s="1126"/>
      <c r="AE576" s="1126"/>
      <c r="AF576" s="1126"/>
      <c r="AG576" s="1282">
        <f>SUM(S576:AF576)</f>
        <v>3262.5</v>
      </c>
    </row>
    <row r="577" spans="1:33" ht="32.25" hidden="1" thickTop="1">
      <c r="A577" s="2789">
        <v>4272</v>
      </c>
      <c r="B577" s="2790" t="s">
        <v>497</v>
      </c>
      <c r="C577" s="2790"/>
      <c r="D577" s="2791"/>
      <c r="E577" s="2789">
        <v>3</v>
      </c>
      <c r="F577" s="2982">
        <v>43240</v>
      </c>
      <c r="G577" s="2983">
        <f>+F577+E577-1</f>
        <v>43242</v>
      </c>
      <c r="H577" s="2789" t="s">
        <v>493</v>
      </c>
      <c r="I577" s="2789" t="s">
        <v>179</v>
      </c>
      <c r="J577" s="3001"/>
      <c r="K577" s="326" t="s">
        <v>457</v>
      </c>
      <c r="L577" s="1788">
        <v>23174</v>
      </c>
      <c r="M577" s="326"/>
      <c r="N577" s="294"/>
      <c r="O577" s="1846">
        <v>750</v>
      </c>
      <c r="P577" s="1848">
        <v>10</v>
      </c>
      <c r="Q577" s="1848">
        <f>O577*P577</f>
        <v>7500</v>
      </c>
      <c r="R577" s="1848"/>
      <c r="S577" s="355"/>
      <c r="T577" s="355"/>
      <c r="U577" s="299">
        <v>7500</v>
      </c>
      <c r="V577" s="355"/>
      <c r="W577" s="355"/>
      <c r="X577" s="1137"/>
      <c r="Y577" s="1126"/>
      <c r="Z577" s="1126"/>
      <c r="AA577" s="1126"/>
      <c r="AB577" s="1126"/>
      <c r="AC577" s="1126"/>
      <c r="AD577" s="1126"/>
      <c r="AE577" s="1126"/>
      <c r="AF577" s="1126"/>
      <c r="AG577" s="1282">
        <f>SUM(S577:AF577)</f>
        <v>7500</v>
      </c>
    </row>
    <row r="578" spans="1:33" ht="31.5">
      <c r="A578" s="1275">
        <v>428</v>
      </c>
      <c r="B578" s="1128" t="s">
        <v>498</v>
      </c>
      <c r="C578" s="1130"/>
      <c r="D578" s="1430"/>
      <c r="E578" s="1430"/>
      <c r="F578" s="1430"/>
      <c r="G578" s="1430"/>
      <c r="H578" s="1430"/>
      <c r="I578" s="1430"/>
      <c r="J578" s="283"/>
      <c r="K578" s="1278"/>
      <c r="L578" s="1279"/>
      <c r="M578" s="1280"/>
      <c r="N578" s="1277"/>
      <c r="O578" s="1281"/>
      <c r="P578" s="1277"/>
      <c r="Q578" s="547">
        <f>SUM(Q579:Q584)</f>
        <v>97473.5</v>
      </c>
      <c r="R578" s="2826"/>
      <c r="S578" s="1395">
        <f t="shared" ref="S578:AF578" si="123">SUM(S579:S584)</f>
        <v>0</v>
      </c>
      <c r="T578" s="1395">
        <f t="shared" si="123"/>
        <v>0</v>
      </c>
      <c r="U578" s="1395">
        <f t="shared" si="123"/>
        <v>56550</v>
      </c>
      <c r="V578" s="1395">
        <f t="shared" si="123"/>
        <v>40923.5</v>
      </c>
      <c r="W578" s="1395">
        <f t="shared" si="123"/>
        <v>0</v>
      </c>
      <c r="X578" s="1395">
        <f t="shared" si="123"/>
        <v>0</v>
      </c>
      <c r="Y578" s="1395">
        <f t="shared" si="123"/>
        <v>0</v>
      </c>
      <c r="Z578" s="361">
        <f t="shared" si="123"/>
        <v>0</v>
      </c>
      <c r="AA578" s="361">
        <f t="shared" si="123"/>
        <v>0</v>
      </c>
      <c r="AB578" s="361">
        <f t="shared" si="123"/>
        <v>0</v>
      </c>
      <c r="AC578" s="361">
        <f t="shared" si="123"/>
        <v>0</v>
      </c>
      <c r="AD578" s="361">
        <f t="shared" si="123"/>
        <v>0</v>
      </c>
      <c r="AE578" s="361">
        <f t="shared" si="123"/>
        <v>0</v>
      </c>
      <c r="AF578" s="361">
        <f t="shared" si="123"/>
        <v>0</v>
      </c>
      <c r="AG578" s="1282">
        <f>SUM(S578:AF578)</f>
        <v>97473.5</v>
      </c>
    </row>
    <row r="579" spans="1:33" ht="16.5" hidden="1" thickBot="1">
      <c r="A579" s="294">
        <v>4281</v>
      </c>
      <c r="B579" s="1897" t="s">
        <v>499</v>
      </c>
      <c r="C579" s="1898" t="s">
        <v>500</v>
      </c>
      <c r="D579" s="1585"/>
      <c r="E579" s="1393">
        <v>50</v>
      </c>
      <c r="F579" s="1899">
        <v>43186</v>
      </c>
      <c r="G579" s="1845">
        <f t="shared" ref="G579:G584" si="124">+F579+E579-1</f>
        <v>43235</v>
      </c>
      <c r="H579" s="1900" t="s">
        <v>501</v>
      </c>
      <c r="I579" s="1393" t="s">
        <v>169</v>
      </c>
      <c r="J579" s="307" t="s">
        <v>179</v>
      </c>
      <c r="K579" s="326" t="s">
        <v>502</v>
      </c>
      <c r="L579" s="1788">
        <v>2313</v>
      </c>
      <c r="M579" s="326"/>
      <c r="N579" s="1848"/>
      <c r="O579" s="1846">
        <v>907.67376190476193</v>
      </c>
      <c r="P579" s="1848">
        <v>14</v>
      </c>
      <c r="Q579" s="1848">
        <f>+O579*P579</f>
        <v>12707.432666666668</v>
      </c>
      <c r="R579" s="1848"/>
      <c r="S579" s="1848"/>
      <c r="T579" s="355"/>
      <c r="U579" s="1848"/>
      <c r="V579" s="1848">
        <v>12707.432666666668</v>
      </c>
      <c r="W579" s="355"/>
      <c r="X579" s="1137"/>
      <c r="Y579" s="1126"/>
      <c r="Z579" s="1124"/>
      <c r="AA579" s="1124"/>
      <c r="AB579" s="1124"/>
      <c r="AC579" s="1124"/>
      <c r="AD579" s="1124"/>
      <c r="AE579" s="1124"/>
      <c r="AF579" s="1124"/>
      <c r="AG579" s="1282">
        <f t="shared" ref="AG579:AG584" si="125">SUM(S579:AF579)</f>
        <v>12707.432666666668</v>
      </c>
    </row>
    <row r="580" spans="1:33" ht="17.25" hidden="1" thickTop="1" thickBot="1">
      <c r="A580" s="294">
        <v>4282</v>
      </c>
      <c r="B580" s="1896" t="s">
        <v>503</v>
      </c>
      <c r="C580" s="1857" t="s">
        <v>504</v>
      </c>
      <c r="D580" s="326"/>
      <c r="E580" s="294">
        <v>50</v>
      </c>
      <c r="F580" s="1844">
        <v>43186</v>
      </c>
      <c r="G580" s="1845">
        <f t="shared" si="124"/>
        <v>43235</v>
      </c>
      <c r="H580" s="293" t="s">
        <v>501</v>
      </c>
      <c r="I580" s="294" t="s">
        <v>169</v>
      </c>
      <c r="J580" s="307" t="s">
        <v>179</v>
      </c>
      <c r="K580" s="326" t="s">
        <v>502</v>
      </c>
      <c r="L580" s="1788">
        <v>2313</v>
      </c>
      <c r="M580" s="326"/>
      <c r="N580" s="294"/>
      <c r="O580" s="1846">
        <v>208.73557142857143</v>
      </c>
      <c r="P580" s="1848">
        <f>14*3</f>
        <v>42</v>
      </c>
      <c r="Q580" s="1848">
        <f>+O580*P580</f>
        <v>8766.8940000000002</v>
      </c>
      <c r="R580" s="1848"/>
      <c r="S580" s="1848"/>
      <c r="T580" s="355"/>
      <c r="U580" s="1848"/>
      <c r="V580" s="1848">
        <v>8766.8940000000002</v>
      </c>
      <c r="W580" s="355"/>
      <c r="X580" s="1137"/>
      <c r="Y580" s="1126"/>
      <c r="Z580" s="1124"/>
      <c r="AA580" s="1124"/>
      <c r="AB580" s="1124"/>
      <c r="AC580" s="1124"/>
      <c r="AD580" s="1124"/>
      <c r="AE580" s="1124"/>
      <c r="AF580" s="1124"/>
      <c r="AG580" s="1282">
        <f t="shared" si="125"/>
        <v>8766.8940000000002</v>
      </c>
    </row>
    <row r="581" spans="1:33" ht="33" hidden="1" thickTop="1" thickBot="1">
      <c r="A581" s="294">
        <v>4283</v>
      </c>
      <c r="B581" s="1896" t="s">
        <v>505</v>
      </c>
      <c r="C581" s="1857" t="s">
        <v>506</v>
      </c>
      <c r="D581" s="326"/>
      <c r="E581" s="887">
        <v>15</v>
      </c>
      <c r="F581" s="1844">
        <v>43255</v>
      </c>
      <c r="G581" s="1845">
        <f t="shared" si="124"/>
        <v>43269</v>
      </c>
      <c r="H581" s="293" t="s">
        <v>501</v>
      </c>
      <c r="I581" s="294" t="s">
        <v>179</v>
      </c>
      <c r="J581" s="307" t="s">
        <v>507</v>
      </c>
      <c r="K581" s="326" t="s">
        <v>457</v>
      </c>
      <c r="L581" s="1788">
        <v>23174</v>
      </c>
      <c r="M581" s="326"/>
      <c r="N581" s="294"/>
      <c r="O581" s="1846">
        <v>17989.099333333332</v>
      </c>
      <c r="P581" s="1848">
        <v>1</v>
      </c>
      <c r="Q581" s="1848">
        <f>O581*P581</f>
        <v>17989.099333333332</v>
      </c>
      <c r="R581" s="1848"/>
      <c r="S581" s="1855"/>
      <c r="T581" s="355"/>
      <c r="U581" s="1848"/>
      <c r="V581" s="1848">
        <v>17989.099333333332</v>
      </c>
      <c r="W581" s="355"/>
      <c r="X581" s="1137"/>
      <c r="Y581" s="1126"/>
      <c r="Z581" s="1124"/>
      <c r="AA581" s="1124"/>
      <c r="AB581" s="1124"/>
      <c r="AC581" s="1124"/>
      <c r="AD581" s="1124"/>
      <c r="AE581" s="1124"/>
      <c r="AF581" s="1124"/>
      <c r="AG581" s="1282">
        <f t="shared" si="125"/>
        <v>17989.099333333332</v>
      </c>
    </row>
    <row r="582" spans="1:33" ht="33" hidden="1" thickTop="1" thickBot="1">
      <c r="A582" s="294">
        <v>4283</v>
      </c>
      <c r="B582" s="1896" t="s">
        <v>505</v>
      </c>
      <c r="C582" s="1857" t="s">
        <v>506</v>
      </c>
      <c r="D582" s="326"/>
      <c r="E582" s="887">
        <v>15</v>
      </c>
      <c r="F582" s="1844">
        <v>43255</v>
      </c>
      <c r="G582" s="1845">
        <f t="shared" si="124"/>
        <v>43269</v>
      </c>
      <c r="H582" s="293" t="s">
        <v>501</v>
      </c>
      <c r="I582" s="294" t="s">
        <v>179</v>
      </c>
      <c r="J582" s="307" t="s">
        <v>507</v>
      </c>
      <c r="K582" s="326" t="s">
        <v>320</v>
      </c>
      <c r="L582" s="1788">
        <v>23173</v>
      </c>
      <c r="M582" s="326"/>
      <c r="N582" s="294"/>
      <c r="O582" s="1846">
        <v>1060.0740000000001</v>
      </c>
      <c r="P582" s="1848">
        <v>1</v>
      </c>
      <c r="Q582" s="1848">
        <f>O582*P582</f>
        <v>1060.0740000000001</v>
      </c>
      <c r="R582" s="1848"/>
      <c r="S582" s="1858"/>
      <c r="T582" s="355"/>
      <c r="U582" s="1848"/>
      <c r="V582" s="1848">
        <v>1060.0740000000001</v>
      </c>
      <c r="W582" s="355"/>
      <c r="X582" s="1137"/>
      <c r="Y582" s="1126"/>
      <c r="Z582" s="1124"/>
      <c r="AA582" s="1124"/>
      <c r="AB582" s="1124"/>
      <c r="AC582" s="1124"/>
      <c r="AD582" s="1124"/>
      <c r="AE582" s="1124"/>
      <c r="AF582" s="1124"/>
      <c r="AG582" s="1282">
        <f t="shared" si="125"/>
        <v>1060.0740000000001</v>
      </c>
    </row>
    <row r="583" spans="1:33" ht="33" hidden="1" thickTop="1" thickBot="1">
      <c r="A583" s="294">
        <v>4283</v>
      </c>
      <c r="B583" s="1896" t="s">
        <v>505</v>
      </c>
      <c r="C583" s="1857" t="s">
        <v>506</v>
      </c>
      <c r="D583" s="326"/>
      <c r="E583" s="887">
        <v>15</v>
      </c>
      <c r="F583" s="1844">
        <v>43255</v>
      </c>
      <c r="G583" s="1845">
        <f t="shared" si="124"/>
        <v>43269</v>
      </c>
      <c r="H583" s="293" t="s">
        <v>501</v>
      </c>
      <c r="I583" s="294" t="s">
        <v>179</v>
      </c>
      <c r="J583" s="307" t="s">
        <v>507</v>
      </c>
      <c r="K583" s="326" t="s">
        <v>486</v>
      </c>
      <c r="L583" s="1788">
        <v>23173</v>
      </c>
      <c r="M583" s="326"/>
      <c r="N583" s="294"/>
      <c r="O583" s="1846">
        <v>33.333333333333336</v>
      </c>
      <c r="P583" s="1848">
        <v>12</v>
      </c>
      <c r="Q583" s="1848">
        <f>O583*P583</f>
        <v>400</v>
      </c>
      <c r="R583" s="1848"/>
      <c r="S583" s="1859"/>
      <c r="T583" s="355"/>
      <c r="U583" s="1848"/>
      <c r="V583" s="1848">
        <v>400</v>
      </c>
      <c r="W583" s="355"/>
      <c r="X583" s="1137"/>
      <c r="Y583" s="1126"/>
      <c r="Z583" s="1124"/>
      <c r="AA583" s="1124"/>
      <c r="AB583" s="1124"/>
      <c r="AC583" s="1124"/>
      <c r="AD583" s="1124"/>
      <c r="AE583" s="1124"/>
      <c r="AF583" s="1124"/>
      <c r="AG583" s="1282">
        <f t="shared" si="125"/>
        <v>400</v>
      </c>
    </row>
    <row r="584" spans="1:33" ht="16.5" hidden="1" thickTop="1">
      <c r="A584" s="294">
        <v>4284</v>
      </c>
      <c r="B584" s="1728" t="s">
        <v>508</v>
      </c>
      <c r="C584" s="1724" t="s">
        <v>509</v>
      </c>
      <c r="D584" s="326"/>
      <c r="E584" s="294">
        <v>50</v>
      </c>
      <c r="F584" s="1844">
        <v>43186</v>
      </c>
      <c r="G584" s="1845">
        <f t="shared" si="124"/>
        <v>43235</v>
      </c>
      <c r="H584" s="293" t="s">
        <v>179</v>
      </c>
      <c r="I584" s="294" t="s">
        <v>169</v>
      </c>
      <c r="J584" s="307"/>
      <c r="K584" s="326" t="s">
        <v>510</v>
      </c>
      <c r="L584" s="1788">
        <v>2472</v>
      </c>
      <c r="M584" s="326"/>
      <c r="N584" s="294"/>
      <c r="O584" s="1846">
        <v>28275</v>
      </c>
      <c r="P584" s="1848">
        <v>2</v>
      </c>
      <c r="Q584" s="1848">
        <f>O584*P584</f>
        <v>56550</v>
      </c>
      <c r="R584" s="1848"/>
      <c r="S584" s="355"/>
      <c r="T584" s="355"/>
      <c r="U584" s="1848">
        <v>56550</v>
      </c>
      <c r="V584" s="1848"/>
      <c r="W584" s="355"/>
      <c r="X584" s="1137"/>
      <c r="Y584" s="1126"/>
      <c r="Z584" s="1124"/>
      <c r="AA584" s="1124"/>
      <c r="AB584" s="1124"/>
      <c r="AC584" s="1124"/>
      <c r="AD584" s="1124"/>
      <c r="AE584" s="1124"/>
      <c r="AF584" s="1124"/>
      <c r="AG584" s="1282">
        <f t="shared" si="125"/>
        <v>56550</v>
      </c>
    </row>
    <row r="585" spans="1:33" ht="18.75" customHeight="1">
      <c r="A585" s="1248" t="s">
        <v>278</v>
      </c>
      <c r="B585" s="274"/>
      <c r="C585" s="278"/>
      <c r="D585" s="1270"/>
      <c r="E585" s="1270"/>
      <c r="F585" s="1270"/>
      <c r="G585" s="1270"/>
      <c r="H585" s="1270"/>
      <c r="I585" s="1270"/>
      <c r="J585" s="273"/>
      <c r="K585" s="1248"/>
      <c r="L585" s="1269"/>
      <c r="M585" s="1270"/>
      <c r="N585" s="1268"/>
      <c r="O585" s="1271"/>
      <c r="P585" s="1268"/>
      <c r="Q585" s="1273">
        <f>Q586+Q589</f>
        <v>108838</v>
      </c>
      <c r="R585" s="1273">
        <f>+'[7]Compil Costing PPA 3 millions'!F17</f>
        <v>108845.33</v>
      </c>
      <c r="S585" s="1272">
        <f t="shared" ref="S585:AG585" si="126">S586+S589</f>
        <v>0</v>
      </c>
      <c r="T585" s="1272">
        <f t="shared" si="126"/>
        <v>9674</v>
      </c>
      <c r="U585" s="1272">
        <f t="shared" si="126"/>
        <v>2250</v>
      </c>
      <c r="V585" s="1272">
        <f t="shared" si="126"/>
        <v>71084</v>
      </c>
      <c r="W585" s="1272">
        <f t="shared" si="126"/>
        <v>25830</v>
      </c>
      <c r="X585" s="1272">
        <f t="shared" si="126"/>
        <v>0</v>
      </c>
      <c r="Y585" s="1272">
        <f t="shared" si="126"/>
        <v>0</v>
      </c>
      <c r="Z585" s="276">
        <f t="shared" si="126"/>
        <v>0</v>
      </c>
      <c r="AA585" s="276">
        <f t="shared" si="126"/>
        <v>0</v>
      </c>
      <c r="AB585" s="276">
        <f t="shared" si="126"/>
        <v>0</v>
      </c>
      <c r="AC585" s="276">
        <f t="shared" si="126"/>
        <v>0</v>
      </c>
      <c r="AD585" s="276">
        <f t="shared" si="126"/>
        <v>0</v>
      </c>
      <c r="AE585" s="276">
        <f t="shared" si="126"/>
        <v>0</v>
      </c>
      <c r="AF585" s="276">
        <f t="shared" si="126"/>
        <v>0</v>
      </c>
      <c r="AG585" s="1272">
        <f t="shared" si="126"/>
        <v>108838</v>
      </c>
    </row>
    <row r="586" spans="1:33" ht="34.5" customHeight="1">
      <c r="A586" s="1275">
        <v>431</v>
      </c>
      <c r="B586" s="359" t="s">
        <v>369</v>
      </c>
      <c r="C586" s="1021"/>
      <c r="D586" s="1280"/>
      <c r="E586" s="1280"/>
      <c r="F586" s="1280"/>
      <c r="G586" s="1280"/>
      <c r="H586" s="1280"/>
      <c r="I586" s="1280"/>
      <c r="J586" s="283"/>
      <c r="K586" s="1278"/>
      <c r="L586" s="1279"/>
      <c r="M586" s="1280"/>
      <c r="N586" s="1277"/>
      <c r="O586" s="1281"/>
      <c r="P586" s="1277"/>
      <c r="Q586" s="547">
        <f>SUM(Q587:Q588)</f>
        <v>9674</v>
      </c>
      <c r="R586" s="287"/>
      <c r="S586" s="1395">
        <f t="shared" ref="S586:AF586" si="127">SUM(S587:S588)</f>
        <v>0</v>
      </c>
      <c r="T586" s="1395">
        <f t="shared" si="127"/>
        <v>9674</v>
      </c>
      <c r="U586" s="1395">
        <f t="shared" si="127"/>
        <v>0</v>
      </c>
      <c r="V586" s="1395">
        <f t="shared" si="127"/>
        <v>0</v>
      </c>
      <c r="W586" s="1395">
        <f t="shared" si="127"/>
        <v>0</v>
      </c>
      <c r="X586" s="1395">
        <f t="shared" si="127"/>
        <v>0</v>
      </c>
      <c r="Y586" s="1395">
        <f t="shared" si="127"/>
        <v>0</v>
      </c>
      <c r="Z586" s="361">
        <f t="shared" si="127"/>
        <v>0</v>
      </c>
      <c r="AA586" s="361">
        <f t="shared" si="127"/>
        <v>0</v>
      </c>
      <c r="AB586" s="361">
        <f t="shared" si="127"/>
        <v>0</v>
      </c>
      <c r="AC586" s="361">
        <f t="shared" si="127"/>
        <v>0</v>
      </c>
      <c r="AD586" s="361">
        <f t="shared" si="127"/>
        <v>0</v>
      </c>
      <c r="AE586" s="361">
        <f t="shared" si="127"/>
        <v>0</v>
      </c>
      <c r="AF586" s="361">
        <f t="shared" si="127"/>
        <v>0</v>
      </c>
      <c r="AG586" s="1282">
        <f>SUM(S586:AF586)</f>
        <v>9674</v>
      </c>
    </row>
    <row r="587" spans="1:33" ht="63" hidden="1">
      <c r="A587" s="2789">
        <v>4311</v>
      </c>
      <c r="B587" s="2864" t="s">
        <v>370</v>
      </c>
      <c r="C587" s="2790" t="s">
        <v>371</v>
      </c>
      <c r="D587" s="2791"/>
      <c r="E587" s="2789">
        <f>3+30</f>
        <v>33</v>
      </c>
      <c r="F587" s="2792">
        <f>G587-E587</f>
        <v>43184</v>
      </c>
      <c r="G587" s="2792">
        <v>43217</v>
      </c>
      <c r="H587" s="2792" t="s">
        <v>372</v>
      </c>
      <c r="I587" s="2789" t="s">
        <v>169</v>
      </c>
      <c r="J587" s="2793" t="s">
        <v>373</v>
      </c>
      <c r="K587" s="326" t="s">
        <v>374</v>
      </c>
      <c r="L587" s="1237">
        <v>23173</v>
      </c>
      <c r="M587" s="326"/>
      <c r="N587" s="294"/>
      <c r="O587" s="354">
        <v>214</v>
      </c>
      <c r="P587" s="294">
        <v>1</v>
      </c>
      <c r="Q587" s="299">
        <f>O587*P587</f>
        <v>214</v>
      </c>
      <c r="R587" s="299"/>
      <c r="S587" s="355"/>
      <c r="T587" s="299">
        <v>214</v>
      </c>
      <c r="U587" s="355"/>
      <c r="V587" s="355"/>
      <c r="W587" s="355"/>
      <c r="X587" s="1137"/>
      <c r="Y587" s="1126"/>
      <c r="Z587" s="1199"/>
      <c r="AA587" s="1124"/>
      <c r="AB587" s="1124"/>
      <c r="AC587" s="1124"/>
      <c r="AD587" s="1124"/>
      <c r="AE587" s="1124"/>
      <c r="AF587" s="1124"/>
      <c r="AG587" s="1282">
        <f>SUM(S587:AF587)</f>
        <v>214</v>
      </c>
    </row>
    <row r="588" spans="1:33" ht="63" hidden="1">
      <c r="A588" s="2789">
        <v>4311</v>
      </c>
      <c r="B588" s="2864" t="s">
        <v>370</v>
      </c>
      <c r="C588" s="2790" t="s">
        <v>371</v>
      </c>
      <c r="D588" s="2791"/>
      <c r="E588" s="2789">
        <v>3</v>
      </c>
      <c r="F588" s="2792">
        <f>G588-E588</f>
        <v>43214</v>
      </c>
      <c r="G588" s="2792">
        <v>43217</v>
      </c>
      <c r="H588" s="2792" t="s">
        <v>372</v>
      </c>
      <c r="I588" s="2789" t="s">
        <v>180</v>
      </c>
      <c r="J588" s="2793" t="s">
        <v>373</v>
      </c>
      <c r="K588" s="326" t="s">
        <v>375</v>
      </c>
      <c r="L588" s="1237">
        <v>23174</v>
      </c>
      <c r="M588" s="326"/>
      <c r="N588" s="294"/>
      <c r="O588" s="354">
        <v>215</v>
      </c>
      <c r="P588" s="294">
        <v>44</v>
      </c>
      <c r="Q588" s="299">
        <f>O588*P588</f>
        <v>9460</v>
      </c>
      <c r="R588" s="299"/>
      <c r="S588" s="355"/>
      <c r="T588" s="299">
        <v>9460</v>
      </c>
      <c r="U588" s="355"/>
      <c r="V588" s="355"/>
      <c r="W588" s="355"/>
      <c r="X588" s="1137"/>
      <c r="Y588" s="1126"/>
      <c r="Z588" s="1199"/>
      <c r="AA588" s="1124"/>
      <c r="AB588" s="1124"/>
      <c r="AC588" s="1124"/>
      <c r="AD588" s="1124"/>
      <c r="AE588" s="1124"/>
      <c r="AF588" s="1124"/>
      <c r="AG588" s="1282">
        <f>SUM(S588:AF588)</f>
        <v>9460</v>
      </c>
    </row>
    <row r="589" spans="1:33" ht="29.25" customHeight="1">
      <c r="A589" s="1275">
        <v>432</v>
      </c>
      <c r="B589" s="359" t="s">
        <v>376</v>
      </c>
      <c r="C589" s="1021"/>
      <c r="D589" s="1280"/>
      <c r="E589" s="1280"/>
      <c r="F589" s="1280"/>
      <c r="G589" s="1280"/>
      <c r="H589" s="1280"/>
      <c r="I589" s="1280"/>
      <c r="J589" s="283"/>
      <c r="K589" s="1278"/>
      <c r="L589" s="1279"/>
      <c r="M589" s="1280"/>
      <c r="N589" s="1277"/>
      <c r="O589" s="1281"/>
      <c r="P589" s="1277"/>
      <c r="Q589" s="547">
        <f>SUM(Q590:Q601)</f>
        <v>99164</v>
      </c>
      <c r="R589" s="287"/>
      <c r="S589" s="1395">
        <f t="shared" ref="S589:AF589" si="128">SUM(S590:S601)</f>
        <v>0</v>
      </c>
      <c r="T589" s="1395">
        <f t="shared" si="128"/>
        <v>0</v>
      </c>
      <c r="U589" s="1395">
        <f t="shared" si="128"/>
        <v>2250</v>
      </c>
      <c r="V589" s="1395">
        <f t="shared" si="128"/>
        <v>71084</v>
      </c>
      <c r="W589" s="1395">
        <f t="shared" si="128"/>
        <v>25830</v>
      </c>
      <c r="X589" s="1395">
        <f t="shared" si="128"/>
        <v>0</v>
      </c>
      <c r="Y589" s="1395">
        <f t="shared" si="128"/>
        <v>0</v>
      </c>
      <c r="Z589" s="361">
        <f t="shared" si="128"/>
        <v>0</v>
      </c>
      <c r="AA589" s="361">
        <f t="shared" si="128"/>
        <v>0</v>
      </c>
      <c r="AB589" s="361">
        <f t="shared" si="128"/>
        <v>0</v>
      </c>
      <c r="AC589" s="361">
        <f t="shared" si="128"/>
        <v>0</v>
      </c>
      <c r="AD589" s="361">
        <f t="shared" si="128"/>
        <v>0</v>
      </c>
      <c r="AE589" s="361">
        <f t="shared" si="128"/>
        <v>0</v>
      </c>
      <c r="AF589" s="361">
        <f t="shared" si="128"/>
        <v>0</v>
      </c>
      <c r="AG589" s="1282">
        <f>SUM(S589:AF589)</f>
        <v>99164</v>
      </c>
    </row>
    <row r="590" spans="1:33" ht="31.5" hidden="1">
      <c r="A590" s="2789">
        <v>4321</v>
      </c>
      <c r="B590" s="2864" t="s">
        <v>377</v>
      </c>
      <c r="C590" s="2999" t="s">
        <v>1014</v>
      </c>
      <c r="D590" s="2791"/>
      <c r="E590" s="2789">
        <f>60+15</f>
        <v>75</v>
      </c>
      <c r="F590" s="2792">
        <f t="shared" ref="F590:F601" si="129">G590-E590</f>
        <v>43188</v>
      </c>
      <c r="G590" s="2792">
        <v>43263</v>
      </c>
      <c r="H590" s="2792"/>
      <c r="I590" s="2789" t="s">
        <v>169</v>
      </c>
      <c r="J590" s="2793" t="s">
        <v>180</v>
      </c>
      <c r="K590" s="326" t="s">
        <v>365</v>
      </c>
      <c r="L590" s="1237">
        <v>2313</v>
      </c>
      <c r="M590" s="326"/>
      <c r="N590" s="294"/>
      <c r="O590" s="354">
        <v>11250</v>
      </c>
      <c r="P590" s="294">
        <v>1</v>
      </c>
      <c r="Q590" s="299">
        <f t="shared" ref="Q590:Q601" si="130">O590*P590</f>
        <v>11250</v>
      </c>
      <c r="R590" s="299"/>
      <c r="S590" s="299"/>
      <c r="T590" s="299"/>
      <c r="U590" s="299">
        <v>2250</v>
      </c>
      <c r="V590" s="299">
        <v>4500</v>
      </c>
      <c r="W590" s="299">
        <v>4500</v>
      </c>
      <c r="X590" s="1142"/>
      <c r="Y590" s="1127"/>
      <c r="Z590" s="1199"/>
      <c r="AA590" s="1124"/>
      <c r="AB590" s="1124"/>
      <c r="AC590" s="1124"/>
      <c r="AD590" s="1124"/>
      <c r="AE590" s="1124"/>
      <c r="AF590" s="1124"/>
      <c r="AG590" s="1282">
        <f t="shared" ref="AG590:AG601" si="131">SUM(S590:AF590)</f>
        <v>11250</v>
      </c>
    </row>
    <row r="591" spans="1:33" ht="31.5" hidden="1">
      <c r="A591" s="2789">
        <v>4322</v>
      </c>
      <c r="B591" s="2864" t="s">
        <v>379</v>
      </c>
      <c r="C591" s="2999" t="s">
        <v>1015</v>
      </c>
      <c r="D591" s="2791"/>
      <c r="E591" s="2789">
        <v>20</v>
      </c>
      <c r="F591" s="2792">
        <f t="shared" si="129"/>
        <v>43266</v>
      </c>
      <c r="G591" s="2792">
        <v>43286</v>
      </c>
      <c r="H591" s="2792" t="s">
        <v>372</v>
      </c>
      <c r="I591" s="2789" t="s">
        <v>169</v>
      </c>
      <c r="J591" s="2793" t="s">
        <v>180</v>
      </c>
      <c r="K591" s="326" t="s">
        <v>365</v>
      </c>
      <c r="L591" s="1237">
        <v>2313</v>
      </c>
      <c r="M591" s="326"/>
      <c r="N591" s="294"/>
      <c r="O591" s="354">
        <v>94</v>
      </c>
      <c r="P591" s="294">
        <v>60</v>
      </c>
      <c r="Q591" s="299">
        <f t="shared" si="130"/>
        <v>5640</v>
      </c>
      <c r="R591" s="299"/>
      <c r="S591" s="299"/>
      <c r="T591" s="299"/>
      <c r="U591" s="299"/>
      <c r="V591" s="299">
        <v>5640</v>
      </c>
      <c r="W591" s="299"/>
      <c r="X591" s="1142"/>
      <c r="Y591" s="1127"/>
      <c r="Z591" s="1199"/>
      <c r="AA591" s="1124"/>
      <c r="AB591" s="1124"/>
      <c r="AC591" s="1124"/>
      <c r="AD591" s="1124"/>
      <c r="AE591" s="1124"/>
      <c r="AF591" s="1124"/>
      <c r="AG591" s="1282">
        <f t="shared" si="131"/>
        <v>5640</v>
      </c>
    </row>
    <row r="592" spans="1:33" ht="29.25" hidden="1" customHeight="1">
      <c r="A592" s="2789">
        <v>4323</v>
      </c>
      <c r="B592" s="2864" t="s">
        <v>1007</v>
      </c>
      <c r="C592" s="2999" t="s">
        <v>382</v>
      </c>
      <c r="D592" s="2791"/>
      <c r="E592" s="2789">
        <v>3</v>
      </c>
      <c r="F592" s="2792">
        <f>G592-E592</f>
        <v>43293</v>
      </c>
      <c r="G592" s="2792">
        <v>43296</v>
      </c>
      <c r="H592" s="2792" t="s">
        <v>372</v>
      </c>
      <c r="I592" s="2789" t="s">
        <v>180</v>
      </c>
      <c r="J592" s="2793"/>
      <c r="K592" s="1124"/>
      <c r="L592" s="1704"/>
      <c r="M592" s="1124"/>
      <c r="N592" s="1703"/>
      <c r="O592" s="1125"/>
      <c r="P592" s="1703"/>
      <c r="Q592" s="1127"/>
      <c r="R592" s="1127"/>
      <c r="S592" s="1127"/>
      <c r="T592" s="1127"/>
      <c r="U592" s="1127"/>
      <c r="V592" s="1127"/>
      <c r="W592" s="1127"/>
      <c r="X592" s="1142"/>
      <c r="Y592" s="1127"/>
      <c r="Z592" s="1199"/>
      <c r="AA592" s="1124"/>
      <c r="AB592" s="1124"/>
      <c r="AC592" s="1124"/>
      <c r="AD592" s="1124"/>
      <c r="AE592" s="1124"/>
      <c r="AF592" s="1124"/>
      <c r="AG592" s="1343"/>
    </row>
    <row r="593" spans="1:33" hidden="1">
      <c r="A593" s="887">
        <v>4323</v>
      </c>
      <c r="B593" s="876" t="s">
        <v>1007</v>
      </c>
      <c r="C593" s="1093" t="s">
        <v>382</v>
      </c>
      <c r="D593" s="1094"/>
      <c r="E593" s="887">
        <v>3</v>
      </c>
      <c r="F593" s="1016">
        <f t="shared" si="129"/>
        <v>43293</v>
      </c>
      <c r="G593" s="1016">
        <v>43296</v>
      </c>
      <c r="H593" s="1016" t="s">
        <v>372</v>
      </c>
      <c r="I593" s="887" t="s">
        <v>180</v>
      </c>
      <c r="J593" s="475"/>
      <c r="K593" s="326" t="s">
        <v>383</v>
      </c>
      <c r="L593" s="1237">
        <v>23174</v>
      </c>
      <c r="M593" s="326"/>
      <c r="N593" s="294"/>
      <c r="O593" s="354">
        <v>142</v>
      </c>
      <c r="P593" s="294">
        <v>144</v>
      </c>
      <c r="Q593" s="299">
        <f t="shared" si="130"/>
        <v>20448</v>
      </c>
      <c r="R593" s="299"/>
      <c r="S593" s="299"/>
      <c r="T593" s="299"/>
      <c r="U593" s="299"/>
      <c r="V593" s="299"/>
      <c r="W593" s="299">
        <v>20448</v>
      </c>
      <c r="X593" s="1142"/>
      <c r="Y593" s="1127"/>
      <c r="Z593" s="1199"/>
      <c r="AA593" s="1124"/>
      <c r="AB593" s="1124"/>
      <c r="AC593" s="1124"/>
      <c r="AD593" s="1124"/>
      <c r="AE593" s="1124"/>
      <c r="AF593" s="1124"/>
      <c r="AG593" s="1282">
        <f t="shared" si="131"/>
        <v>20448</v>
      </c>
    </row>
    <row r="594" spans="1:33" hidden="1">
      <c r="A594" s="887">
        <v>4323</v>
      </c>
      <c r="B594" s="876" t="s">
        <v>1007</v>
      </c>
      <c r="C594" s="1093" t="s">
        <v>382</v>
      </c>
      <c r="D594" s="1094"/>
      <c r="E594" s="887">
        <f>3+30</f>
        <v>33</v>
      </c>
      <c r="F594" s="1016">
        <f t="shared" si="129"/>
        <v>43263</v>
      </c>
      <c r="G594" s="1016">
        <v>43296</v>
      </c>
      <c r="H594" s="1016" t="s">
        <v>372</v>
      </c>
      <c r="I594" s="887" t="s">
        <v>169</v>
      </c>
      <c r="J594" s="475"/>
      <c r="K594" s="326" t="s">
        <v>384</v>
      </c>
      <c r="L594" s="1237">
        <v>23173</v>
      </c>
      <c r="M594" s="326"/>
      <c r="N594" s="294"/>
      <c r="O594" s="354">
        <v>147</v>
      </c>
      <c r="P594" s="294">
        <v>6</v>
      </c>
      <c r="Q594" s="299">
        <f t="shared" si="130"/>
        <v>882</v>
      </c>
      <c r="R594" s="299"/>
      <c r="S594" s="299"/>
      <c r="T594" s="299"/>
      <c r="U594" s="299"/>
      <c r="V594" s="299"/>
      <c r="W594" s="299">
        <v>882</v>
      </c>
      <c r="X594" s="1142"/>
      <c r="Y594" s="1127"/>
      <c r="Z594" s="1199"/>
      <c r="AA594" s="1124"/>
      <c r="AB594" s="1124"/>
      <c r="AC594" s="1124"/>
      <c r="AD594" s="1124"/>
      <c r="AE594" s="1124"/>
      <c r="AF594" s="1124"/>
      <c r="AG594" s="1282">
        <f t="shared" si="131"/>
        <v>882</v>
      </c>
    </row>
    <row r="595" spans="1:33" ht="45.75" hidden="1" customHeight="1">
      <c r="A595" s="2789">
        <v>4324</v>
      </c>
      <c r="B595" s="2864" t="s">
        <v>385</v>
      </c>
      <c r="C595" s="2999" t="s">
        <v>386</v>
      </c>
      <c r="D595" s="2791"/>
      <c r="E595" s="2789">
        <f>10+45</f>
        <v>55</v>
      </c>
      <c r="F595" s="2792">
        <f>G595-E595</f>
        <v>43211</v>
      </c>
      <c r="G595" s="2792">
        <v>43266</v>
      </c>
      <c r="H595" s="2792" t="s">
        <v>390</v>
      </c>
      <c r="I595" s="2789" t="s">
        <v>169</v>
      </c>
      <c r="J595" s="2793" t="s">
        <v>387</v>
      </c>
      <c r="K595" s="1124"/>
      <c r="L595" s="1704"/>
      <c r="M595" s="1124"/>
      <c r="N595" s="1703"/>
      <c r="O595" s="1125"/>
      <c r="P595" s="1703"/>
      <c r="Q595" s="1127"/>
      <c r="R595" s="1127"/>
      <c r="S595" s="1127"/>
      <c r="T595" s="1127"/>
      <c r="U595" s="1127"/>
      <c r="V595" s="1127"/>
      <c r="W595" s="1127"/>
      <c r="X595" s="1142"/>
      <c r="Y595" s="1127"/>
      <c r="Z595" s="1199"/>
      <c r="AA595" s="1124"/>
      <c r="AB595" s="1124"/>
      <c r="AC595" s="1124"/>
      <c r="AD595" s="1124"/>
      <c r="AE595" s="1124"/>
      <c r="AF595" s="1124"/>
      <c r="AG595" s="1343"/>
    </row>
    <row r="596" spans="1:33" ht="47.25" hidden="1">
      <c r="A596" s="887">
        <v>4324</v>
      </c>
      <c r="B596" s="876" t="s">
        <v>385</v>
      </c>
      <c r="C596" s="1093" t="s">
        <v>386</v>
      </c>
      <c r="D596" s="1094"/>
      <c r="E596" s="887">
        <f>10+45</f>
        <v>55</v>
      </c>
      <c r="F596" s="1016">
        <f t="shared" si="129"/>
        <v>43211</v>
      </c>
      <c r="G596" s="1016">
        <v>43266</v>
      </c>
      <c r="H596" s="1016" t="s">
        <v>390</v>
      </c>
      <c r="I596" s="887" t="s">
        <v>169</v>
      </c>
      <c r="J596" s="475" t="s">
        <v>387</v>
      </c>
      <c r="K596" s="876" t="s">
        <v>388</v>
      </c>
      <c r="L596" s="2836">
        <v>23173</v>
      </c>
      <c r="M596" s="1094"/>
      <c r="N596" s="887"/>
      <c r="O596" s="1557">
        <v>469</v>
      </c>
      <c r="P596" s="887">
        <v>22</v>
      </c>
      <c r="Q596" s="3002">
        <f t="shared" si="130"/>
        <v>10318</v>
      </c>
      <c r="R596" s="299"/>
      <c r="S596" s="299"/>
      <c r="T596" s="299"/>
      <c r="U596" s="299"/>
      <c r="V596" s="299">
        <v>10318</v>
      </c>
      <c r="W596" s="299"/>
      <c r="X596" s="1142"/>
      <c r="Y596" s="1127"/>
      <c r="Z596" s="1199"/>
      <c r="AA596" s="1124"/>
      <c r="AB596" s="1124"/>
      <c r="AC596" s="1124"/>
      <c r="AD596" s="1124"/>
      <c r="AE596" s="1124"/>
      <c r="AF596" s="1124"/>
      <c r="AG596" s="1282">
        <f t="shared" si="131"/>
        <v>10318</v>
      </c>
    </row>
    <row r="597" spans="1:33" ht="47.25" hidden="1">
      <c r="A597" s="887">
        <v>4324</v>
      </c>
      <c r="B597" s="876" t="s">
        <v>385</v>
      </c>
      <c r="C597" s="1093" t="s">
        <v>386</v>
      </c>
      <c r="D597" s="1094"/>
      <c r="E597" s="887">
        <f>10+45</f>
        <v>55</v>
      </c>
      <c r="F597" s="1016">
        <f t="shared" si="129"/>
        <v>43211</v>
      </c>
      <c r="G597" s="1016">
        <v>43266</v>
      </c>
      <c r="H597" s="1016" t="s">
        <v>390</v>
      </c>
      <c r="I597" s="887" t="s">
        <v>169</v>
      </c>
      <c r="J597" s="475" t="s">
        <v>387</v>
      </c>
      <c r="K597" s="876" t="s">
        <v>392</v>
      </c>
      <c r="L597" s="2836">
        <v>23174</v>
      </c>
      <c r="M597" s="1094"/>
      <c r="N597" s="887"/>
      <c r="O597" s="1557">
        <v>313</v>
      </c>
      <c r="P597" s="887">
        <v>22</v>
      </c>
      <c r="Q597" s="3002">
        <f t="shared" si="130"/>
        <v>6886</v>
      </c>
      <c r="R597" s="299"/>
      <c r="S597" s="299"/>
      <c r="T597" s="299"/>
      <c r="U597" s="299"/>
      <c r="V597" s="299">
        <v>6886</v>
      </c>
      <c r="W597" s="299"/>
      <c r="X597" s="1142"/>
      <c r="Y597" s="1127"/>
      <c r="Z597" s="1199"/>
      <c r="AA597" s="1124"/>
      <c r="AB597" s="1124"/>
      <c r="AC597" s="1124"/>
      <c r="AD597" s="1124"/>
      <c r="AE597" s="1124"/>
      <c r="AF597" s="1124"/>
      <c r="AG597" s="1282">
        <f t="shared" si="131"/>
        <v>6886</v>
      </c>
    </row>
    <row r="598" spans="1:33" ht="47.25" hidden="1">
      <c r="A598" s="887">
        <v>4324</v>
      </c>
      <c r="B598" s="876" t="s">
        <v>385</v>
      </c>
      <c r="C598" s="1093" t="s">
        <v>386</v>
      </c>
      <c r="D598" s="1094"/>
      <c r="E598" s="887">
        <v>10</v>
      </c>
      <c r="F598" s="1016">
        <f t="shared" si="129"/>
        <v>43256</v>
      </c>
      <c r="G598" s="1016">
        <v>43266</v>
      </c>
      <c r="H598" s="1016" t="s">
        <v>396</v>
      </c>
      <c r="I598" s="887" t="s">
        <v>180</v>
      </c>
      <c r="J598" s="475" t="s">
        <v>387</v>
      </c>
      <c r="K598" s="1094" t="s">
        <v>1050</v>
      </c>
      <c r="L598" s="2836">
        <v>23174</v>
      </c>
      <c r="M598" s="1094"/>
      <c r="N598" s="887"/>
      <c r="O598" s="1557">
        <v>240</v>
      </c>
      <c r="P598" s="887">
        <v>88</v>
      </c>
      <c r="Q598" s="3002">
        <f t="shared" si="130"/>
        <v>21120</v>
      </c>
      <c r="R598" s="299"/>
      <c r="S598" s="299"/>
      <c r="T598" s="299"/>
      <c r="U598" s="299"/>
      <c r="V598" s="299">
        <v>21120</v>
      </c>
      <c r="W598" s="299"/>
      <c r="X598" s="1142"/>
      <c r="Y598" s="1127"/>
      <c r="Z598" s="1199"/>
      <c r="AA598" s="1124"/>
      <c r="AB598" s="1124"/>
      <c r="AC598" s="1124"/>
      <c r="AD598" s="1124"/>
      <c r="AE598" s="1124"/>
      <c r="AF598" s="1124"/>
      <c r="AG598" s="1282">
        <f t="shared" si="131"/>
        <v>21120</v>
      </c>
    </row>
    <row r="599" spans="1:33" ht="47.25" hidden="1">
      <c r="A599" s="887">
        <v>4324</v>
      </c>
      <c r="B599" s="876" t="s">
        <v>385</v>
      </c>
      <c r="C599" s="1093" t="s">
        <v>386</v>
      </c>
      <c r="D599" s="1094"/>
      <c r="E599" s="887">
        <f>10+45</f>
        <v>55</v>
      </c>
      <c r="F599" s="1016">
        <f t="shared" si="129"/>
        <v>43211</v>
      </c>
      <c r="G599" s="1016">
        <v>43266</v>
      </c>
      <c r="H599" s="1016" t="s">
        <v>390</v>
      </c>
      <c r="I599" s="887" t="s">
        <v>169</v>
      </c>
      <c r="J599" s="2793" t="s">
        <v>387</v>
      </c>
      <c r="K599" s="326" t="s">
        <v>1049</v>
      </c>
      <c r="L599" s="1237">
        <v>23173</v>
      </c>
      <c r="M599" s="326"/>
      <c r="N599" s="294"/>
      <c r="O599" s="354">
        <v>313</v>
      </c>
      <c r="P599" s="294">
        <v>22</v>
      </c>
      <c r="Q599" s="299">
        <f t="shared" si="130"/>
        <v>6886</v>
      </c>
      <c r="R599" s="299"/>
      <c r="S599" s="299"/>
      <c r="T599" s="299"/>
      <c r="U599" s="299"/>
      <c r="V599" s="299">
        <v>6886</v>
      </c>
      <c r="W599" s="299"/>
      <c r="X599" s="1142"/>
      <c r="Y599" s="1127"/>
      <c r="Z599" s="1199"/>
      <c r="AA599" s="1124"/>
      <c r="AB599" s="1124"/>
      <c r="AC599" s="1124"/>
      <c r="AD599" s="1124"/>
      <c r="AE599" s="1124"/>
      <c r="AF599" s="1124"/>
      <c r="AG599" s="1282">
        <f t="shared" si="131"/>
        <v>6886</v>
      </c>
    </row>
    <row r="600" spans="1:33" ht="78.75" hidden="1">
      <c r="A600" s="887">
        <v>4324</v>
      </c>
      <c r="B600" s="876" t="s">
        <v>400</v>
      </c>
      <c r="C600" s="824" t="s">
        <v>401</v>
      </c>
      <c r="D600" s="1094"/>
      <c r="E600" s="887">
        <f>45+10</f>
        <v>55</v>
      </c>
      <c r="F600" s="1016">
        <f t="shared" si="129"/>
        <v>43211</v>
      </c>
      <c r="G600" s="1016">
        <v>43266</v>
      </c>
      <c r="H600" s="1016" t="s">
        <v>390</v>
      </c>
      <c r="I600" s="887" t="s">
        <v>169</v>
      </c>
      <c r="J600" s="307"/>
      <c r="K600" s="326" t="s">
        <v>384</v>
      </c>
      <c r="L600" s="1237">
        <v>23173</v>
      </c>
      <c r="M600" s="326"/>
      <c r="N600" s="294"/>
      <c r="O600" s="354">
        <v>577</v>
      </c>
      <c r="P600" s="294">
        <v>22</v>
      </c>
      <c r="Q600" s="299">
        <f t="shared" si="130"/>
        <v>12694</v>
      </c>
      <c r="R600" s="299"/>
      <c r="S600" s="299"/>
      <c r="T600" s="299"/>
      <c r="U600" s="299"/>
      <c r="V600" s="299">
        <v>12694</v>
      </c>
      <c r="W600" s="299"/>
      <c r="X600" s="1142"/>
      <c r="Y600" s="1127"/>
      <c r="Z600" s="1199"/>
      <c r="AA600" s="1124"/>
      <c r="AB600" s="1124"/>
      <c r="AC600" s="1124"/>
      <c r="AD600" s="1124"/>
      <c r="AE600" s="1124"/>
      <c r="AF600" s="1124"/>
      <c r="AG600" s="1282">
        <f t="shared" si="131"/>
        <v>12694</v>
      </c>
    </row>
    <row r="601" spans="1:33" ht="26.25" hidden="1" customHeight="1">
      <c r="A601" s="998">
        <v>4325</v>
      </c>
      <c r="B601" s="2790" t="s">
        <v>402</v>
      </c>
      <c r="C601" s="2999" t="s">
        <v>403</v>
      </c>
      <c r="D601" s="2791"/>
      <c r="E601" s="2789">
        <f>3+30</f>
        <v>33</v>
      </c>
      <c r="F601" s="2792">
        <f t="shared" si="129"/>
        <v>43233</v>
      </c>
      <c r="G601" s="2792">
        <v>43266</v>
      </c>
      <c r="H601" s="2792" t="s">
        <v>372</v>
      </c>
      <c r="I601" s="294" t="s">
        <v>180</v>
      </c>
      <c r="J601" s="307"/>
      <c r="K601" s="326" t="s">
        <v>384</v>
      </c>
      <c r="L601" s="1237">
        <v>23173</v>
      </c>
      <c r="M601" s="326"/>
      <c r="N601" s="294"/>
      <c r="O601" s="354">
        <v>47.5</v>
      </c>
      <c r="P601" s="294">
        <v>64</v>
      </c>
      <c r="Q601" s="299">
        <f t="shared" si="130"/>
        <v>3040</v>
      </c>
      <c r="R601" s="299"/>
      <c r="S601" s="299"/>
      <c r="T601" s="299"/>
      <c r="U601" s="299"/>
      <c r="V601" s="299">
        <v>3040</v>
      </c>
      <c r="W601" s="299"/>
      <c r="X601" s="1142"/>
      <c r="Y601" s="1127"/>
      <c r="Z601" s="1199"/>
      <c r="AA601" s="1124"/>
      <c r="AB601" s="1124"/>
      <c r="AC601" s="1124"/>
      <c r="AD601" s="1124"/>
      <c r="AE601" s="1124"/>
      <c r="AF601" s="1124"/>
      <c r="AG601" s="1282">
        <f t="shared" si="131"/>
        <v>3040</v>
      </c>
    </row>
    <row r="602" spans="1:33">
      <c r="A602" s="3399" t="s">
        <v>997</v>
      </c>
      <c r="B602" s="3399"/>
      <c r="C602" s="3399"/>
      <c r="D602" s="3399"/>
      <c r="E602" s="3399"/>
      <c r="F602" s="3399"/>
      <c r="G602" s="3399"/>
      <c r="H602" s="3399"/>
      <c r="I602" s="3399"/>
      <c r="J602" s="1213"/>
      <c r="K602" s="2247"/>
      <c r="L602" s="1213"/>
      <c r="M602" s="1215"/>
      <c r="N602" s="1213"/>
      <c r="O602" s="1216"/>
      <c r="P602" s="1213"/>
      <c r="Q602" s="1218">
        <f>+Q603+Q606</f>
        <v>466696.17</v>
      </c>
      <c r="R602" s="1218">
        <f>466727+0.24</f>
        <v>466727.24</v>
      </c>
      <c r="S602" s="1217">
        <f>SUM(S603:S625)</f>
        <v>0</v>
      </c>
      <c r="T602" s="1217">
        <f>SUM(T603:T625)</f>
        <v>0</v>
      </c>
      <c r="U602" s="1217">
        <f>+U603+U606</f>
        <v>95387.5</v>
      </c>
      <c r="V602" s="1217">
        <f>+V603+V606</f>
        <v>160950</v>
      </c>
      <c r="W602" s="1217">
        <f>+W603+W606</f>
        <v>46023.67</v>
      </c>
      <c r="X602" s="1217">
        <f>+X603+X606</f>
        <v>128947.5</v>
      </c>
      <c r="Y602" s="1217">
        <f>+Y603+Y606</f>
        <v>35387.5</v>
      </c>
      <c r="Z602" s="1217">
        <f t="shared" ref="Z602:AF602" si="132">SUM(Z603:Z625)</f>
        <v>0</v>
      </c>
      <c r="AA602" s="1217">
        <f t="shared" si="132"/>
        <v>0</v>
      </c>
      <c r="AB602" s="1217">
        <f t="shared" si="132"/>
        <v>0</v>
      </c>
      <c r="AC602" s="1217">
        <f t="shared" si="132"/>
        <v>0</v>
      </c>
      <c r="AD602" s="1217">
        <f t="shared" si="132"/>
        <v>0</v>
      </c>
      <c r="AE602" s="1217">
        <f t="shared" si="132"/>
        <v>0</v>
      </c>
      <c r="AF602" s="1217">
        <f t="shared" si="132"/>
        <v>0</v>
      </c>
      <c r="AG602" s="1217">
        <f>SUM(S602:AF602)</f>
        <v>466696.17</v>
      </c>
    </row>
    <row r="603" spans="1:33" ht="23.25" customHeight="1">
      <c r="A603" s="1219">
        <v>441</v>
      </c>
      <c r="B603" s="1222" t="s">
        <v>1067</v>
      </c>
      <c r="C603" s="1222"/>
      <c r="D603" s="1220"/>
      <c r="E603" s="1220"/>
      <c r="F603" s="1220"/>
      <c r="G603" s="1220"/>
      <c r="H603" s="1220"/>
      <c r="I603" s="1221" t="s">
        <v>169</v>
      </c>
      <c r="J603" s="1221"/>
      <c r="K603" s="1220"/>
      <c r="L603" s="1221"/>
      <c r="M603" s="1222"/>
      <c r="N603" s="1221"/>
      <c r="O603" s="1223"/>
      <c r="P603" s="1455"/>
      <c r="Q603" s="2828">
        <f>+Q604+Q605</f>
        <v>102696.17</v>
      </c>
      <c r="R603" s="1225"/>
      <c r="S603" s="1456"/>
      <c r="T603" s="1226"/>
      <c r="U603" s="1456">
        <f>+U604+U605</f>
        <v>0</v>
      </c>
      <c r="V603" s="1456">
        <f>+V604+V605</f>
        <v>0</v>
      </c>
      <c r="W603" s="1456">
        <f>+W604+W605</f>
        <v>10636.17</v>
      </c>
      <c r="X603" s="1456">
        <f>+X604+X605</f>
        <v>92060</v>
      </c>
      <c r="Y603" s="1456">
        <f>+Y604+Y605</f>
        <v>0</v>
      </c>
      <c r="Z603" s="1226"/>
      <c r="AA603" s="1226"/>
      <c r="AB603" s="1226"/>
      <c r="AC603" s="1226"/>
      <c r="AD603" s="1226"/>
      <c r="AE603" s="1226"/>
      <c r="AF603" s="1226"/>
      <c r="AG603" s="1224">
        <f>SUM(S603:AF603)</f>
        <v>102696.17</v>
      </c>
    </row>
    <row r="604" spans="1:33" ht="27.75" hidden="1" customHeight="1">
      <c r="A604" s="2248">
        <v>4411</v>
      </c>
      <c r="B604" s="2249" t="s">
        <v>44</v>
      </c>
      <c r="C604" s="2249" t="s">
        <v>972</v>
      </c>
      <c r="D604" s="2250"/>
      <c r="E604" s="2250"/>
      <c r="F604" s="2250"/>
      <c r="G604" s="2250"/>
      <c r="H604" s="2250"/>
      <c r="I604" s="2251" t="s">
        <v>169</v>
      </c>
      <c r="J604" s="2251"/>
      <c r="K604" s="2250"/>
      <c r="L604" s="2251">
        <v>2313</v>
      </c>
      <c r="M604" s="2249"/>
      <c r="N604" s="2251"/>
      <c r="O604" s="2253">
        <v>92060</v>
      </c>
      <c r="P604" s="2251">
        <v>1</v>
      </c>
      <c r="Q604" s="2302">
        <f>+O604*P604</f>
        <v>92060</v>
      </c>
      <c r="R604" s="1658"/>
      <c r="S604" s="2253"/>
      <c r="T604" s="1695"/>
      <c r="U604" s="2253"/>
      <c r="V604" s="1695"/>
      <c r="W604" s="1695"/>
      <c r="X604" s="2253">
        <v>92060</v>
      </c>
      <c r="Y604" s="1695"/>
      <c r="Z604" s="1695"/>
      <c r="AA604" s="1695"/>
      <c r="AB604" s="1695"/>
      <c r="AC604" s="1695"/>
      <c r="AD604" s="1695"/>
      <c r="AE604" s="1695"/>
      <c r="AF604" s="1695"/>
      <c r="AG604" s="1282">
        <f>SUM(S604:AF604)</f>
        <v>92060</v>
      </c>
    </row>
    <row r="605" spans="1:33" ht="27.75" hidden="1" customHeight="1">
      <c r="A605" s="2248">
        <v>4412</v>
      </c>
      <c r="B605" s="2249" t="s">
        <v>43</v>
      </c>
      <c r="C605" s="2249" t="s">
        <v>973</v>
      </c>
      <c r="D605" s="2249"/>
      <c r="E605" s="2249"/>
      <c r="F605" s="2249"/>
      <c r="G605" s="2249"/>
      <c r="H605" s="2249"/>
      <c r="I605" s="2251" t="s">
        <v>169</v>
      </c>
      <c r="J605" s="2251"/>
      <c r="K605" s="2250"/>
      <c r="L605" s="2251">
        <v>23173</v>
      </c>
      <c r="M605" s="2249"/>
      <c r="N605" s="2251"/>
      <c r="O605" s="2253">
        <v>10636.17</v>
      </c>
      <c r="P605" s="2251">
        <v>1</v>
      </c>
      <c r="Q605" s="2302">
        <f>+O605*P605</f>
        <v>10636.17</v>
      </c>
      <c r="R605" s="1658"/>
      <c r="S605" s="2253"/>
      <c r="T605" s="1695"/>
      <c r="U605" s="2253"/>
      <c r="V605" s="1695"/>
      <c r="W605" s="2253">
        <v>10636.17</v>
      </c>
      <c r="X605" s="2052"/>
      <c r="Y605" s="1695"/>
      <c r="Z605" s="1695"/>
      <c r="AA605" s="1695"/>
      <c r="AB605" s="1695"/>
      <c r="AC605" s="1695"/>
      <c r="AD605" s="1695"/>
      <c r="AE605" s="1695"/>
      <c r="AF605" s="1695"/>
      <c r="AG605" s="1282">
        <f>SUM(S605:AF605)</f>
        <v>10636.17</v>
      </c>
    </row>
    <row r="606" spans="1:33" ht="31.5">
      <c r="A606" s="1219">
        <v>442</v>
      </c>
      <c r="B606" s="1222" t="s">
        <v>46</v>
      </c>
      <c r="C606" s="1222" t="s">
        <v>974</v>
      </c>
      <c r="D606" s="1222"/>
      <c r="E606" s="1222"/>
      <c r="F606" s="1222"/>
      <c r="G606" s="1222"/>
      <c r="H606" s="1222"/>
      <c r="I606" s="1221" t="s">
        <v>169</v>
      </c>
      <c r="J606" s="1221"/>
      <c r="K606" s="1220"/>
      <c r="L606" s="1221"/>
      <c r="M606" s="1222"/>
      <c r="N606" s="1221"/>
      <c r="O606" s="1223"/>
      <c r="P606" s="1221"/>
      <c r="Q606" s="2829">
        <f>SUM(Q608:Q625)</f>
        <v>364000</v>
      </c>
      <c r="R606" s="1225"/>
      <c r="S606" s="1224"/>
      <c r="T606" s="1226"/>
      <c r="U606" s="1224">
        <f>SUM(U608:U625)</f>
        <v>95387.5</v>
      </c>
      <c r="V606" s="1224">
        <f>SUM(V608:V625)</f>
        <v>160950</v>
      </c>
      <c r="W606" s="1224">
        <f>SUM(W608:W625)</f>
        <v>35387.5</v>
      </c>
      <c r="X606" s="1224">
        <f>SUM(X608:X625)</f>
        <v>36887.5</v>
      </c>
      <c r="Y606" s="1224">
        <f>SUM(Y608:Y625)</f>
        <v>35387.5</v>
      </c>
      <c r="Z606" s="1226"/>
      <c r="AA606" s="1226"/>
      <c r="AB606" s="1226"/>
      <c r="AC606" s="1226"/>
      <c r="AD606" s="1226"/>
      <c r="AE606" s="1226"/>
      <c r="AF606" s="1226"/>
      <c r="AG606" s="1224">
        <f>SUM(S606:AF606)</f>
        <v>364000</v>
      </c>
    </row>
    <row r="607" spans="1:33" ht="31.5" hidden="1">
      <c r="A607" s="2993">
        <v>4421</v>
      </c>
      <c r="B607" s="2990" t="s">
        <v>999</v>
      </c>
      <c r="C607" s="2990" t="s">
        <v>974</v>
      </c>
      <c r="D607" s="2990"/>
      <c r="E607" s="2991">
        <v>150</v>
      </c>
      <c r="F607" s="2992">
        <v>43221</v>
      </c>
      <c r="G607" s="2992">
        <f>F607+E607+2</f>
        <v>43373</v>
      </c>
      <c r="H607" s="2990"/>
      <c r="I607" s="2991" t="s">
        <v>169</v>
      </c>
      <c r="J607" s="2991"/>
      <c r="K607" s="1130"/>
      <c r="L607" s="1129"/>
      <c r="M607" s="1128"/>
      <c r="N607" s="1129"/>
      <c r="O607" s="1131"/>
      <c r="P607" s="1129"/>
      <c r="Q607" s="2989"/>
      <c r="R607" s="1133"/>
      <c r="S607" s="1132"/>
      <c r="T607" s="1134"/>
      <c r="U607" s="1132"/>
      <c r="V607" s="1132"/>
      <c r="W607" s="1132"/>
      <c r="X607" s="1132"/>
      <c r="Y607" s="1132"/>
      <c r="Z607" s="1134"/>
      <c r="AA607" s="1134"/>
      <c r="AB607" s="1134"/>
      <c r="AC607" s="1134"/>
      <c r="AD607" s="1134"/>
      <c r="AE607" s="1134"/>
      <c r="AF607" s="1134"/>
      <c r="AG607" s="1132"/>
    </row>
    <row r="608" spans="1:33" ht="31.5" hidden="1">
      <c r="A608" s="2248">
        <v>4421</v>
      </c>
      <c r="B608" s="2249" t="s">
        <v>999</v>
      </c>
      <c r="C608" s="2249" t="s">
        <v>974</v>
      </c>
      <c r="D608" s="2249"/>
      <c r="E608" s="2251">
        <v>150</v>
      </c>
      <c r="F608" s="2254">
        <v>43221</v>
      </c>
      <c r="G608" s="2254">
        <f>F608+E608+2</f>
        <v>43373</v>
      </c>
      <c r="H608" s="2249"/>
      <c r="I608" s="2251" t="s">
        <v>169</v>
      </c>
      <c r="J608" s="2251"/>
      <c r="K608" s="2250" t="s">
        <v>443</v>
      </c>
      <c r="L608" s="2251">
        <v>23171</v>
      </c>
      <c r="M608" s="2249"/>
      <c r="N608" s="2251"/>
      <c r="O608" s="2252">
        <v>17187.5</v>
      </c>
      <c r="P608" s="2251">
        <v>5</v>
      </c>
      <c r="Q608" s="2302">
        <f>O608*P608</f>
        <v>85937.5</v>
      </c>
      <c r="R608" s="1658"/>
      <c r="S608" s="2253"/>
      <c r="T608" s="1695"/>
      <c r="U608" s="2252">
        <v>17187.5</v>
      </c>
      <c r="V608" s="2252">
        <v>17187.5</v>
      </c>
      <c r="W608" s="2252">
        <v>17187.5</v>
      </c>
      <c r="X608" s="2252">
        <v>17187.5</v>
      </c>
      <c r="Y608" s="2252">
        <v>17187.5</v>
      </c>
      <c r="Z608" s="1695"/>
      <c r="AA608" s="1695"/>
      <c r="AB608" s="1695"/>
      <c r="AC608" s="1695"/>
      <c r="AD608" s="1695"/>
      <c r="AE608" s="1695"/>
      <c r="AF608" s="1695"/>
      <c r="AG608" s="1282">
        <f t="shared" ref="AG608:AG625" si="133">SUM(S608:AF608)</f>
        <v>85937.5</v>
      </c>
    </row>
    <row r="609" spans="1:33" ht="31.5" hidden="1">
      <c r="A609" s="2248">
        <v>4421</v>
      </c>
      <c r="B609" s="2249" t="s">
        <v>999</v>
      </c>
      <c r="C609" s="2249" t="s">
        <v>974</v>
      </c>
      <c r="D609" s="2249"/>
      <c r="E609" s="2251">
        <v>150</v>
      </c>
      <c r="F609" s="2254">
        <v>43221</v>
      </c>
      <c r="G609" s="2254">
        <f t="shared" ref="G609:G620" si="134">F609+E609+2</f>
        <v>43373</v>
      </c>
      <c r="H609" s="2249"/>
      <c r="I609" s="2251" t="s">
        <v>169</v>
      </c>
      <c r="J609" s="2251"/>
      <c r="K609" s="2250" t="s">
        <v>985</v>
      </c>
      <c r="L609" s="2251">
        <v>23172</v>
      </c>
      <c r="M609" s="2249"/>
      <c r="N609" s="2251"/>
      <c r="O609" s="2255">
        <v>700</v>
      </c>
      <c r="P609" s="1632">
        <v>5</v>
      </c>
      <c r="Q609" s="2302">
        <f t="shared" ref="Q609:Q625" si="135">O609*P609</f>
        <v>3500</v>
      </c>
      <c r="R609" s="1658"/>
      <c r="S609" s="2253"/>
      <c r="T609" s="1695"/>
      <c r="U609" s="2255">
        <v>700</v>
      </c>
      <c r="V609" s="2255">
        <v>700</v>
      </c>
      <c r="W609" s="2255">
        <v>700</v>
      </c>
      <c r="X609" s="2255">
        <v>700</v>
      </c>
      <c r="Y609" s="2255">
        <v>700</v>
      </c>
      <c r="Z609" s="1695"/>
      <c r="AA609" s="1695"/>
      <c r="AB609" s="1695"/>
      <c r="AC609" s="1695"/>
      <c r="AD609" s="1695"/>
      <c r="AE609" s="1695"/>
      <c r="AF609" s="1695"/>
      <c r="AG609" s="1282">
        <f t="shared" si="133"/>
        <v>3500</v>
      </c>
    </row>
    <row r="610" spans="1:33" ht="31.5" hidden="1">
      <c r="A610" s="2248">
        <v>4421</v>
      </c>
      <c r="B610" s="2249" t="s">
        <v>999</v>
      </c>
      <c r="C610" s="2249" t="s">
        <v>974</v>
      </c>
      <c r="D610" s="2249"/>
      <c r="E610" s="2251">
        <v>150</v>
      </c>
      <c r="F610" s="2254">
        <v>43221</v>
      </c>
      <c r="G610" s="2254">
        <f t="shared" si="134"/>
        <v>43373</v>
      </c>
      <c r="H610" s="2249"/>
      <c r="I610" s="2251" t="s">
        <v>169</v>
      </c>
      <c r="J610" s="2251"/>
      <c r="K610" s="2250" t="s">
        <v>987</v>
      </c>
      <c r="L610" s="2251">
        <v>23172</v>
      </c>
      <c r="M610" s="2249"/>
      <c r="N610" s="2251"/>
      <c r="O610" s="2255">
        <v>7000</v>
      </c>
      <c r="P610" s="1632">
        <v>5</v>
      </c>
      <c r="Q610" s="2302">
        <f t="shared" si="135"/>
        <v>35000</v>
      </c>
      <c r="R610" s="1658"/>
      <c r="S610" s="2253"/>
      <c r="T610" s="1695"/>
      <c r="U610" s="2255">
        <v>7000</v>
      </c>
      <c r="V610" s="2255">
        <v>7000</v>
      </c>
      <c r="W610" s="2255">
        <v>7000</v>
      </c>
      <c r="X610" s="2255">
        <v>7000</v>
      </c>
      <c r="Y610" s="2255">
        <v>7000</v>
      </c>
      <c r="Z610" s="1695"/>
      <c r="AA610" s="1695"/>
      <c r="AB610" s="1695"/>
      <c r="AC610" s="1695"/>
      <c r="AD610" s="1695"/>
      <c r="AE610" s="1695"/>
      <c r="AF610" s="1695"/>
      <c r="AG610" s="1282">
        <f t="shared" si="133"/>
        <v>35000</v>
      </c>
    </row>
    <row r="611" spans="1:33" ht="31.5" hidden="1">
      <c r="A611" s="2248">
        <v>4421</v>
      </c>
      <c r="B611" s="2249" t="s">
        <v>999</v>
      </c>
      <c r="C611" s="2249" t="s">
        <v>974</v>
      </c>
      <c r="D611" s="2249"/>
      <c r="E611" s="2251">
        <v>150</v>
      </c>
      <c r="F611" s="2254">
        <v>43221</v>
      </c>
      <c r="G611" s="2254">
        <f t="shared" si="134"/>
        <v>43373</v>
      </c>
      <c r="H611" s="2249"/>
      <c r="I611" s="2251" t="s">
        <v>169</v>
      </c>
      <c r="J611" s="2251"/>
      <c r="K611" s="2250" t="s">
        <v>1004</v>
      </c>
      <c r="L611" s="2251">
        <v>23173</v>
      </c>
      <c r="M611" s="2249"/>
      <c r="N611" s="2251"/>
      <c r="O611" s="2255">
        <v>1700</v>
      </c>
      <c r="P611" s="1632">
        <v>5</v>
      </c>
      <c r="Q611" s="2302">
        <f t="shared" si="135"/>
        <v>8500</v>
      </c>
      <c r="R611" s="1658"/>
      <c r="S611" s="2253"/>
      <c r="T611" s="1695"/>
      <c r="U611" s="2255">
        <v>1700</v>
      </c>
      <c r="V611" s="2255">
        <v>1700</v>
      </c>
      <c r="W611" s="2255">
        <v>1700</v>
      </c>
      <c r="X611" s="2255">
        <v>1700</v>
      </c>
      <c r="Y611" s="2255">
        <v>1700</v>
      </c>
      <c r="Z611" s="1695"/>
      <c r="AA611" s="1695"/>
      <c r="AB611" s="1695"/>
      <c r="AC611" s="1695"/>
      <c r="AD611" s="1695"/>
      <c r="AE611" s="1695"/>
      <c r="AF611" s="1695"/>
      <c r="AG611" s="1282">
        <f t="shared" si="133"/>
        <v>8500</v>
      </c>
    </row>
    <row r="612" spans="1:33" ht="31.5" hidden="1">
      <c r="A612" s="2248">
        <v>4421</v>
      </c>
      <c r="B612" s="2249" t="s">
        <v>999</v>
      </c>
      <c r="C612" s="2249" t="s">
        <v>974</v>
      </c>
      <c r="D612" s="2249"/>
      <c r="E612" s="2251">
        <v>150</v>
      </c>
      <c r="F612" s="2254">
        <v>43221</v>
      </c>
      <c r="G612" s="2254">
        <f t="shared" si="134"/>
        <v>43373</v>
      </c>
      <c r="H612" s="2249"/>
      <c r="I612" s="2251" t="s">
        <v>169</v>
      </c>
      <c r="J612" s="2251"/>
      <c r="K612" s="2250" t="s">
        <v>1005</v>
      </c>
      <c r="L612" s="2251">
        <v>23175</v>
      </c>
      <c r="M612" s="2249"/>
      <c r="N612" s="2251"/>
      <c r="O612" s="2255">
        <v>1000</v>
      </c>
      <c r="P612" s="1632">
        <v>5</v>
      </c>
      <c r="Q612" s="2302">
        <f t="shared" si="135"/>
        <v>5000</v>
      </c>
      <c r="R612" s="1658"/>
      <c r="S612" s="2253"/>
      <c r="T612" s="1695"/>
      <c r="U612" s="2255">
        <v>1000</v>
      </c>
      <c r="V612" s="2255">
        <v>1000</v>
      </c>
      <c r="W612" s="2255">
        <v>1000</v>
      </c>
      <c r="X612" s="2255">
        <v>1000</v>
      </c>
      <c r="Y612" s="2255">
        <v>1000</v>
      </c>
      <c r="Z612" s="1695"/>
      <c r="AA612" s="1695"/>
      <c r="AB612" s="1695"/>
      <c r="AC612" s="1695"/>
      <c r="AD612" s="1695"/>
      <c r="AE612" s="1695"/>
      <c r="AF612" s="1695"/>
      <c r="AG612" s="1282">
        <f t="shared" si="133"/>
        <v>5000</v>
      </c>
    </row>
    <row r="613" spans="1:33" ht="31.5" hidden="1">
      <c r="A613" s="2248">
        <v>4421</v>
      </c>
      <c r="B613" s="2249" t="s">
        <v>999</v>
      </c>
      <c r="C613" s="2249" t="s">
        <v>974</v>
      </c>
      <c r="D613" s="2249"/>
      <c r="E613" s="2251">
        <v>150</v>
      </c>
      <c r="F613" s="2254">
        <v>43221</v>
      </c>
      <c r="G613" s="2254">
        <f t="shared" si="134"/>
        <v>43373</v>
      </c>
      <c r="H613" s="2249"/>
      <c r="I613" s="2251" t="s">
        <v>169</v>
      </c>
      <c r="J613" s="2251"/>
      <c r="K613" s="2250" t="s">
        <v>255</v>
      </c>
      <c r="L613" s="2251">
        <v>23173</v>
      </c>
      <c r="M613" s="2249"/>
      <c r="N613" s="2251"/>
      <c r="O613" s="2255">
        <v>2500</v>
      </c>
      <c r="P613" s="1632">
        <v>5</v>
      </c>
      <c r="Q613" s="2302">
        <f t="shared" si="135"/>
        <v>12500</v>
      </c>
      <c r="R613" s="1658"/>
      <c r="S613" s="2253"/>
      <c r="T613" s="1695"/>
      <c r="U613" s="2255">
        <v>2500</v>
      </c>
      <c r="V613" s="2255">
        <v>2500</v>
      </c>
      <c r="W613" s="2255">
        <v>2500</v>
      </c>
      <c r="X613" s="2255">
        <v>2500</v>
      </c>
      <c r="Y613" s="2255">
        <v>2500</v>
      </c>
      <c r="Z613" s="1695"/>
      <c r="AA613" s="1695"/>
      <c r="AB613" s="1695"/>
      <c r="AC613" s="1695"/>
      <c r="AD613" s="1695"/>
      <c r="AE613" s="1695"/>
      <c r="AF613" s="1695"/>
      <c r="AG613" s="1282">
        <f t="shared" si="133"/>
        <v>12500</v>
      </c>
    </row>
    <row r="614" spans="1:33" ht="31.5" hidden="1">
      <c r="A614" s="2248">
        <v>4421</v>
      </c>
      <c r="B614" s="2249" t="s">
        <v>999</v>
      </c>
      <c r="C614" s="2249" t="s">
        <v>974</v>
      </c>
      <c r="D614" s="2249"/>
      <c r="E614" s="2251">
        <v>150</v>
      </c>
      <c r="F614" s="2254">
        <v>43221</v>
      </c>
      <c r="G614" s="2254">
        <f t="shared" si="134"/>
        <v>43373</v>
      </c>
      <c r="H614" s="2249"/>
      <c r="I614" s="2251" t="s">
        <v>169</v>
      </c>
      <c r="J614" s="2251"/>
      <c r="K614" s="2250" t="s">
        <v>989</v>
      </c>
      <c r="L614" s="2251">
        <v>23172</v>
      </c>
      <c r="M614" s="2249"/>
      <c r="N614" s="2251"/>
      <c r="O614" s="2255">
        <v>200</v>
      </c>
      <c r="P614" s="1632">
        <v>5</v>
      </c>
      <c r="Q614" s="2302">
        <f t="shared" si="135"/>
        <v>1000</v>
      </c>
      <c r="R614" s="1658"/>
      <c r="S614" s="2253"/>
      <c r="T614" s="1695"/>
      <c r="U614" s="2255">
        <v>200</v>
      </c>
      <c r="V614" s="2255">
        <v>200</v>
      </c>
      <c r="W614" s="2255">
        <v>200</v>
      </c>
      <c r="X614" s="2255">
        <v>200</v>
      </c>
      <c r="Y614" s="2255">
        <v>200</v>
      </c>
      <c r="Z614" s="1695"/>
      <c r="AA614" s="1695"/>
      <c r="AB614" s="1695"/>
      <c r="AC614" s="1695"/>
      <c r="AD614" s="1695"/>
      <c r="AE614" s="1695"/>
      <c r="AF614" s="1695"/>
      <c r="AG614" s="1282">
        <f t="shared" si="133"/>
        <v>1000</v>
      </c>
    </row>
    <row r="615" spans="1:33" ht="31.5" hidden="1">
      <c r="A615" s="2248">
        <v>4421</v>
      </c>
      <c r="B615" s="2249" t="s">
        <v>999</v>
      </c>
      <c r="C615" s="2249" t="s">
        <v>974</v>
      </c>
      <c r="D615" s="2249"/>
      <c r="E615" s="2251">
        <v>150</v>
      </c>
      <c r="F615" s="2254">
        <v>43221</v>
      </c>
      <c r="G615" s="2254">
        <f t="shared" si="134"/>
        <v>43373</v>
      </c>
      <c r="H615" s="2249"/>
      <c r="I615" s="2251" t="s">
        <v>169</v>
      </c>
      <c r="J615" s="2251"/>
      <c r="K615" s="2250" t="s">
        <v>990</v>
      </c>
      <c r="L615" s="2251">
        <v>23172</v>
      </c>
      <c r="M615" s="2249"/>
      <c r="N615" s="2251"/>
      <c r="O615" s="2255">
        <v>2500</v>
      </c>
      <c r="P615" s="1632">
        <v>5</v>
      </c>
      <c r="Q615" s="2302">
        <f t="shared" si="135"/>
        <v>12500</v>
      </c>
      <c r="R615" s="1658"/>
      <c r="S615" s="2253"/>
      <c r="T615" s="1695"/>
      <c r="U615" s="2255">
        <v>2500</v>
      </c>
      <c r="V615" s="2255">
        <v>2500</v>
      </c>
      <c r="W615" s="2255">
        <v>2500</v>
      </c>
      <c r="X615" s="2255">
        <v>2500</v>
      </c>
      <c r="Y615" s="2255">
        <v>2500</v>
      </c>
      <c r="Z615" s="1695"/>
      <c r="AA615" s="1695"/>
      <c r="AB615" s="1695"/>
      <c r="AC615" s="1695"/>
      <c r="AD615" s="1695"/>
      <c r="AE615" s="1695"/>
      <c r="AF615" s="1695"/>
      <c r="AG615" s="1282">
        <f t="shared" si="133"/>
        <v>12500</v>
      </c>
    </row>
    <row r="616" spans="1:33" ht="31.5" hidden="1">
      <c r="A616" s="2248">
        <v>4421</v>
      </c>
      <c r="B616" s="2249" t="s">
        <v>999</v>
      </c>
      <c r="C616" s="2249" t="s">
        <v>974</v>
      </c>
      <c r="D616" s="2249"/>
      <c r="E616" s="2251">
        <v>150</v>
      </c>
      <c r="F616" s="2254">
        <v>43221</v>
      </c>
      <c r="G616" s="2254">
        <f t="shared" si="134"/>
        <v>43373</v>
      </c>
      <c r="H616" s="2249"/>
      <c r="I616" s="2251" t="s">
        <v>169</v>
      </c>
      <c r="J616" s="2251"/>
      <c r="K616" s="2250" t="s">
        <v>991</v>
      </c>
      <c r="L616" s="2251">
        <v>23173</v>
      </c>
      <c r="M616" s="2249"/>
      <c r="N616" s="2251"/>
      <c r="O616" s="2255">
        <v>300</v>
      </c>
      <c r="P616" s="1632">
        <v>5</v>
      </c>
      <c r="Q616" s="2302">
        <f t="shared" si="135"/>
        <v>1500</v>
      </c>
      <c r="R616" s="1658"/>
      <c r="S616" s="2253"/>
      <c r="T616" s="1695"/>
      <c r="U616" s="2255">
        <v>300</v>
      </c>
      <c r="V616" s="2255">
        <v>300</v>
      </c>
      <c r="W616" s="2255">
        <v>300</v>
      </c>
      <c r="X616" s="2255">
        <v>300</v>
      </c>
      <c r="Y616" s="2255">
        <v>300</v>
      </c>
      <c r="Z616" s="1695"/>
      <c r="AA616" s="1695"/>
      <c r="AB616" s="1695"/>
      <c r="AC616" s="1695"/>
      <c r="AD616" s="1695"/>
      <c r="AE616" s="1695"/>
      <c r="AF616" s="1695"/>
      <c r="AG616" s="1282">
        <f t="shared" si="133"/>
        <v>1500</v>
      </c>
    </row>
    <row r="617" spans="1:33" ht="31.5" hidden="1">
      <c r="A617" s="2248">
        <v>4421</v>
      </c>
      <c r="B617" s="2249" t="s">
        <v>999</v>
      </c>
      <c r="C617" s="2249" t="s">
        <v>974</v>
      </c>
      <c r="D617" s="2249"/>
      <c r="E617" s="2251">
        <v>150</v>
      </c>
      <c r="F617" s="2254">
        <v>43221</v>
      </c>
      <c r="G617" s="2254">
        <f t="shared" si="134"/>
        <v>43373</v>
      </c>
      <c r="H617" s="2249"/>
      <c r="I617" s="2251" t="s">
        <v>169</v>
      </c>
      <c r="J617" s="2251"/>
      <c r="K617" s="2250" t="s">
        <v>992</v>
      </c>
      <c r="L617" s="2251">
        <v>23173</v>
      </c>
      <c r="M617" s="2249"/>
      <c r="N617" s="2251"/>
      <c r="O617" s="2255">
        <v>100</v>
      </c>
      <c r="P617" s="1632">
        <v>5</v>
      </c>
      <c r="Q617" s="2302">
        <f t="shared" si="135"/>
        <v>500</v>
      </c>
      <c r="R617" s="1658"/>
      <c r="S617" s="2253"/>
      <c r="T617" s="1695"/>
      <c r="U617" s="2255">
        <v>100</v>
      </c>
      <c r="V617" s="2255">
        <v>100</v>
      </c>
      <c r="W617" s="2255">
        <v>100</v>
      </c>
      <c r="X617" s="2255">
        <v>100</v>
      </c>
      <c r="Y617" s="2255">
        <v>100</v>
      </c>
      <c r="Z617" s="1695"/>
      <c r="AA617" s="1695"/>
      <c r="AB617" s="1695"/>
      <c r="AC617" s="1695"/>
      <c r="AD617" s="1695"/>
      <c r="AE617" s="1695"/>
      <c r="AF617" s="1695"/>
      <c r="AG617" s="1282">
        <f t="shared" si="133"/>
        <v>500</v>
      </c>
    </row>
    <row r="618" spans="1:33" ht="31.5" hidden="1">
      <c r="A618" s="2248">
        <v>4421</v>
      </c>
      <c r="B618" s="2249" t="s">
        <v>999</v>
      </c>
      <c r="C618" s="2249" t="s">
        <v>974</v>
      </c>
      <c r="D618" s="2249"/>
      <c r="E618" s="2251">
        <v>150</v>
      </c>
      <c r="F618" s="2254">
        <v>43221</v>
      </c>
      <c r="G618" s="2254">
        <f t="shared" si="134"/>
        <v>43373</v>
      </c>
      <c r="H618" s="2249"/>
      <c r="I618" s="2251" t="s">
        <v>169</v>
      </c>
      <c r="J618" s="2251"/>
      <c r="K618" s="2250" t="s">
        <v>1006</v>
      </c>
      <c r="L618" s="2251">
        <v>23174</v>
      </c>
      <c r="M618" s="2249"/>
      <c r="N618" s="2251"/>
      <c r="O618" s="2255">
        <v>2000</v>
      </c>
      <c r="P618" s="1632">
        <v>3</v>
      </c>
      <c r="Q618" s="2302">
        <f t="shared" si="135"/>
        <v>6000</v>
      </c>
      <c r="R618" s="1658"/>
      <c r="S618" s="2253"/>
      <c r="T618" s="1695"/>
      <c r="U618" s="2255">
        <v>2000</v>
      </c>
      <c r="V618" s="2255"/>
      <c r="W618" s="2255">
        <v>2000</v>
      </c>
      <c r="X618" s="2255"/>
      <c r="Y618" s="2255">
        <v>2000</v>
      </c>
      <c r="Z618" s="1695"/>
      <c r="AA618" s="1695"/>
      <c r="AB618" s="1695"/>
      <c r="AC618" s="1695"/>
      <c r="AD618" s="1695"/>
      <c r="AE618" s="1695"/>
      <c r="AF618" s="1695"/>
      <c r="AG618" s="1282">
        <f t="shared" si="133"/>
        <v>6000</v>
      </c>
    </row>
    <row r="619" spans="1:33" ht="31.5" hidden="1">
      <c r="A619" s="2248">
        <v>4421</v>
      </c>
      <c r="B619" s="2249" t="s">
        <v>999</v>
      </c>
      <c r="C619" s="2249" t="s">
        <v>974</v>
      </c>
      <c r="D619" s="2249"/>
      <c r="E619" s="2251">
        <v>150</v>
      </c>
      <c r="F619" s="2254">
        <v>43221</v>
      </c>
      <c r="G619" s="2254">
        <f t="shared" si="134"/>
        <v>43373</v>
      </c>
      <c r="H619" s="2249"/>
      <c r="I619" s="2251" t="s">
        <v>169</v>
      </c>
      <c r="J619" s="2251"/>
      <c r="K619" s="2250" t="s">
        <v>993</v>
      </c>
      <c r="L619" s="2251">
        <v>23173</v>
      </c>
      <c r="M619" s="2249"/>
      <c r="N619" s="2251"/>
      <c r="O619" s="2255">
        <v>200</v>
      </c>
      <c r="P619" s="1632">
        <v>5</v>
      </c>
      <c r="Q619" s="2302">
        <f t="shared" si="135"/>
        <v>1000</v>
      </c>
      <c r="R619" s="1658"/>
      <c r="S619" s="2253"/>
      <c r="T619" s="1695"/>
      <c r="U619" s="2255">
        <v>200</v>
      </c>
      <c r="V619" s="2255">
        <v>200</v>
      </c>
      <c r="W619" s="2255">
        <v>200</v>
      </c>
      <c r="X619" s="2255">
        <v>200</v>
      </c>
      <c r="Y619" s="2255">
        <v>200</v>
      </c>
      <c r="Z619" s="1695"/>
      <c r="AA619" s="1695"/>
      <c r="AB619" s="1695"/>
      <c r="AC619" s="1695"/>
      <c r="AD619" s="1695"/>
      <c r="AE619" s="1695"/>
      <c r="AF619" s="1695"/>
      <c r="AG619" s="1282">
        <f t="shared" si="133"/>
        <v>1000</v>
      </c>
    </row>
    <row r="620" spans="1:33" ht="31.5" hidden="1">
      <c r="A620" s="2248">
        <v>4421</v>
      </c>
      <c r="B620" s="2249" t="s">
        <v>999</v>
      </c>
      <c r="C620" s="2249" t="s">
        <v>974</v>
      </c>
      <c r="D620" s="2249"/>
      <c r="E620" s="2251">
        <v>150</v>
      </c>
      <c r="F620" s="2254">
        <v>43221</v>
      </c>
      <c r="G620" s="2254">
        <f t="shared" si="134"/>
        <v>43373</v>
      </c>
      <c r="H620" s="2249"/>
      <c r="I620" s="2251" t="s">
        <v>169</v>
      </c>
      <c r="J620" s="2251"/>
      <c r="K620" s="2250" t="s">
        <v>994</v>
      </c>
      <c r="L620" s="2251">
        <v>23174</v>
      </c>
      <c r="M620" s="2249"/>
      <c r="N620" s="2251"/>
      <c r="O620" s="2255">
        <v>3500</v>
      </c>
      <c r="P620" s="1632">
        <v>2</v>
      </c>
      <c r="Q620" s="2302">
        <f t="shared" si="135"/>
        <v>7000</v>
      </c>
      <c r="R620" s="1658"/>
      <c r="S620" s="2253"/>
      <c r="T620" s="1695"/>
      <c r="U620" s="1695"/>
      <c r="V620" s="2255">
        <v>3500</v>
      </c>
      <c r="W620" s="1695"/>
      <c r="X620" s="2255">
        <v>3500</v>
      </c>
      <c r="Y620" s="1695"/>
      <c r="Z620" s="1695"/>
      <c r="AA620" s="1695"/>
      <c r="AB620" s="1695"/>
      <c r="AC620" s="1695"/>
      <c r="AD620" s="1695"/>
      <c r="AE620" s="1695"/>
      <c r="AF620" s="1695"/>
      <c r="AG620" s="1282">
        <f t="shared" si="133"/>
        <v>7000</v>
      </c>
    </row>
    <row r="621" spans="1:33" ht="31.5" hidden="1">
      <c r="A621" s="2993">
        <v>4422</v>
      </c>
      <c r="B621" s="2990" t="s">
        <v>1068</v>
      </c>
      <c r="C621" s="2990" t="s">
        <v>1069</v>
      </c>
      <c r="D621" s="2990"/>
      <c r="E621" s="2991">
        <v>30</v>
      </c>
      <c r="F621" s="2992">
        <v>43221</v>
      </c>
      <c r="G621" s="2992">
        <f>F621+E621</f>
        <v>43251</v>
      </c>
      <c r="H621" s="2990"/>
      <c r="I621" s="2991" t="s">
        <v>169</v>
      </c>
      <c r="J621" s="2251"/>
      <c r="K621" s="2250" t="s">
        <v>1075</v>
      </c>
      <c r="L621" s="2251">
        <v>23174</v>
      </c>
      <c r="M621" s="2249"/>
      <c r="N621" s="2251"/>
      <c r="O621" s="2252">
        <v>10000</v>
      </c>
      <c r="P621" s="2251">
        <v>1</v>
      </c>
      <c r="Q621" s="2302">
        <f t="shared" si="135"/>
        <v>10000</v>
      </c>
      <c r="R621" s="1658"/>
      <c r="S621" s="2253"/>
      <c r="T621" s="1695"/>
      <c r="U621" s="2253">
        <v>10000</v>
      </c>
      <c r="V621" s="1695"/>
      <c r="W621" s="1695"/>
      <c r="X621" s="2052"/>
      <c r="Y621" s="1695"/>
      <c r="Z621" s="1695"/>
      <c r="AA621" s="1695"/>
      <c r="AB621" s="1695"/>
      <c r="AC621" s="1695"/>
      <c r="AD621" s="1695"/>
      <c r="AE621" s="1695"/>
      <c r="AF621" s="1695"/>
      <c r="AG621" s="1282">
        <f t="shared" si="133"/>
        <v>10000</v>
      </c>
    </row>
    <row r="622" spans="1:33" hidden="1">
      <c r="A622" s="2993">
        <v>4423</v>
      </c>
      <c r="B622" s="2990" t="s">
        <v>1070</v>
      </c>
      <c r="C622" s="2990" t="s">
        <v>1071</v>
      </c>
      <c r="D622" s="2990"/>
      <c r="E622" s="2991">
        <v>30</v>
      </c>
      <c r="F622" s="2992">
        <v>43252</v>
      </c>
      <c r="G622" s="2992">
        <f>F622+E622-1</f>
        <v>43281</v>
      </c>
      <c r="H622" s="2990"/>
      <c r="I622" s="2991" t="s">
        <v>169</v>
      </c>
      <c r="J622" s="2251"/>
      <c r="K622" s="2256" t="s">
        <v>1076</v>
      </c>
      <c r="L622" s="2251">
        <v>23174</v>
      </c>
      <c r="M622" s="2249"/>
      <c r="N622" s="2251"/>
      <c r="O622" s="2252">
        <v>10000</v>
      </c>
      <c r="P622" s="2251">
        <v>1</v>
      </c>
      <c r="Q622" s="2302">
        <f t="shared" si="135"/>
        <v>10000</v>
      </c>
      <c r="R622" s="1658"/>
      <c r="S622" s="2251"/>
      <c r="T622" s="1695"/>
      <c r="U622" s="1695"/>
      <c r="V622" s="2253">
        <v>10000</v>
      </c>
      <c r="W622" s="1695"/>
      <c r="X622" s="2052"/>
      <c r="Y622" s="1695"/>
      <c r="Z622" s="1695"/>
      <c r="AA622" s="1695"/>
      <c r="AB622" s="1695"/>
      <c r="AC622" s="1695"/>
      <c r="AD622" s="1695"/>
      <c r="AE622" s="1695"/>
      <c r="AF622" s="1695"/>
      <c r="AG622" s="1282">
        <f t="shared" si="133"/>
        <v>10000</v>
      </c>
    </row>
    <row r="623" spans="1:33" hidden="1">
      <c r="A623" s="2993">
        <v>4424</v>
      </c>
      <c r="B623" s="2990" t="s">
        <v>1002</v>
      </c>
      <c r="C623" s="2990" t="s">
        <v>1072</v>
      </c>
      <c r="D623" s="2990"/>
      <c r="E623" s="2991">
        <v>30</v>
      </c>
      <c r="F623" s="2992">
        <v>43221</v>
      </c>
      <c r="G623" s="2992">
        <f>F623+E623</f>
        <v>43251</v>
      </c>
      <c r="H623" s="2990"/>
      <c r="I623" s="2991" t="s">
        <v>169</v>
      </c>
      <c r="J623" s="2251"/>
      <c r="K623" s="2256" t="s">
        <v>1077</v>
      </c>
      <c r="L623" s="2251">
        <v>23173</v>
      </c>
      <c r="M623" s="2249"/>
      <c r="N623" s="2251"/>
      <c r="O623" s="2252">
        <v>5000</v>
      </c>
      <c r="P623" s="2251">
        <v>1</v>
      </c>
      <c r="Q623" s="2302">
        <v>5000</v>
      </c>
      <c r="R623" s="1658"/>
      <c r="S623" s="2251"/>
      <c r="T623" s="1695"/>
      <c r="U623" s="2253">
        <v>5000</v>
      </c>
      <c r="V623" s="1695"/>
      <c r="W623" s="1695"/>
      <c r="X623" s="2052"/>
      <c r="Y623" s="1695"/>
      <c r="Z623" s="1695"/>
      <c r="AA623" s="1695"/>
      <c r="AB623" s="1695"/>
      <c r="AC623" s="1695"/>
      <c r="AD623" s="1695"/>
      <c r="AE623" s="1695"/>
      <c r="AF623" s="1695"/>
      <c r="AG623" s="1282">
        <f t="shared" si="133"/>
        <v>5000</v>
      </c>
    </row>
    <row r="624" spans="1:33" hidden="1">
      <c r="A624" s="2993">
        <v>4425</v>
      </c>
      <c r="B624" s="2990" t="s">
        <v>1003</v>
      </c>
      <c r="C624" s="2990" t="s">
        <v>1073</v>
      </c>
      <c r="D624" s="2990"/>
      <c r="E624" s="2991">
        <v>30</v>
      </c>
      <c r="F624" s="2992">
        <v>43221</v>
      </c>
      <c r="G624" s="2992">
        <f>F624+E624</f>
        <v>43251</v>
      </c>
      <c r="H624" s="2990"/>
      <c r="I624" s="2991" t="s">
        <v>169</v>
      </c>
      <c r="J624" s="2251"/>
      <c r="K624" s="2256" t="s">
        <v>1078</v>
      </c>
      <c r="L624" s="2251">
        <v>23173</v>
      </c>
      <c r="M624" s="2249"/>
      <c r="N624" s="2251"/>
      <c r="O624" s="2252">
        <v>45000</v>
      </c>
      <c r="P624" s="2251">
        <v>1</v>
      </c>
      <c r="Q624" s="2302">
        <f t="shared" si="135"/>
        <v>45000</v>
      </c>
      <c r="R624" s="1658"/>
      <c r="S624" s="2251"/>
      <c r="T624" s="1695"/>
      <c r="U624" s="2253">
        <v>45000</v>
      </c>
      <c r="V624" s="1695"/>
      <c r="W624" s="1695"/>
      <c r="X624" s="2052"/>
      <c r="Y624" s="1695"/>
      <c r="Z624" s="1695"/>
      <c r="AA624" s="1695"/>
      <c r="AB624" s="1695"/>
      <c r="AC624" s="1695"/>
      <c r="AD624" s="1695"/>
      <c r="AE624" s="1695"/>
      <c r="AF624" s="1695"/>
      <c r="AG624" s="1282">
        <f t="shared" si="133"/>
        <v>45000</v>
      </c>
    </row>
    <row r="625" spans="1:33" ht="19.5" hidden="1">
      <c r="A625" s="2993">
        <v>4426</v>
      </c>
      <c r="B625" s="2994" t="s">
        <v>1074</v>
      </c>
      <c r="C625" s="2257"/>
      <c r="D625" s="2257"/>
      <c r="E625" s="2257"/>
      <c r="F625" s="2257"/>
      <c r="G625" s="2257"/>
      <c r="H625" s="2257"/>
      <c r="I625" s="2258"/>
      <c r="J625" s="2258"/>
      <c r="K625" s="2259"/>
      <c r="L625" s="2262">
        <v>2318</v>
      </c>
      <c r="M625" s="2257"/>
      <c r="N625" s="2258"/>
      <c r="O625" s="2252">
        <v>114062.5</v>
      </c>
      <c r="P625" s="2251">
        <v>1</v>
      </c>
      <c r="Q625" s="2830">
        <f t="shared" si="135"/>
        <v>114062.5</v>
      </c>
      <c r="R625" s="1658"/>
      <c r="S625" s="2251"/>
      <c r="T625" s="2261"/>
      <c r="U625" s="2252"/>
      <c r="V625" s="2252">
        <v>114062.5</v>
      </c>
      <c r="W625" s="1695"/>
      <c r="X625" s="2052"/>
      <c r="Y625" s="2252"/>
      <c r="Z625" s="1695"/>
      <c r="AA625" s="1695"/>
      <c r="AB625" s="1695"/>
      <c r="AC625" s="1695"/>
      <c r="AD625" s="1695"/>
      <c r="AE625" s="1695"/>
      <c r="AF625" s="1695"/>
      <c r="AG625" s="1282">
        <f t="shared" si="133"/>
        <v>114062.5</v>
      </c>
    </row>
    <row r="626" spans="1:33">
      <c r="A626" s="3399" t="s">
        <v>969</v>
      </c>
      <c r="B626" s="3399"/>
      <c r="C626" s="3399"/>
      <c r="D626" s="3399"/>
      <c r="E626" s="3399"/>
      <c r="F626" s="3399"/>
      <c r="G626" s="3399"/>
      <c r="H626" s="3399"/>
      <c r="I626" s="3399"/>
      <c r="J626" s="1213"/>
      <c r="K626" s="1214"/>
      <c r="L626" s="1213"/>
      <c r="M626" s="1215"/>
      <c r="N626" s="1213"/>
      <c r="O626" s="1216"/>
      <c r="P626" s="1213"/>
      <c r="Q626" s="1218">
        <f>Q627</f>
        <v>322694</v>
      </c>
      <c r="R626" s="1218">
        <v>322694</v>
      </c>
      <c r="S626" s="1217">
        <f t="shared" ref="S626:AF627" si="136">S627</f>
        <v>0</v>
      </c>
      <c r="T626" s="1217">
        <f t="shared" si="136"/>
        <v>322694</v>
      </c>
      <c r="U626" s="1217">
        <f t="shared" si="136"/>
        <v>0</v>
      </c>
      <c r="V626" s="1217">
        <f t="shared" si="136"/>
        <v>0</v>
      </c>
      <c r="W626" s="1217">
        <f t="shared" si="136"/>
        <v>0</v>
      </c>
      <c r="X626" s="1217">
        <f t="shared" si="136"/>
        <v>0</v>
      </c>
      <c r="Y626" s="1217">
        <f t="shared" si="136"/>
        <v>0</v>
      </c>
      <c r="Z626" s="1217">
        <f t="shared" si="136"/>
        <v>0</v>
      </c>
      <c r="AA626" s="1217">
        <f t="shared" si="136"/>
        <v>0</v>
      </c>
      <c r="AB626" s="1217">
        <f t="shared" si="136"/>
        <v>0</v>
      </c>
      <c r="AC626" s="1217">
        <f t="shared" si="136"/>
        <v>0</v>
      </c>
      <c r="AD626" s="1217">
        <f t="shared" si="136"/>
        <v>0</v>
      </c>
      <c r="AE626" s="1217">
        <f t="shared" si="136"/>
        <v>0</v>
      </c>
      <c r="AF626" s="1217">
        <f t="shared" si="136"/>
        <v>0</v>
      </c>
      <c r="AG626" s="1217">
        <f>SUM(S626:AF626)</f>
        <v>322694</v>
      </c>
    </row>
    <row r="627" spans="1:33" ht="28.5" customHeight="1">
      <c r="A627" s="1219">
        <v>451</v>
      </c>
      <c r="B627" s="1222" t="s">
        <v>970</v>
      </c>
      <c r="C627" s="1222" t="s">
        <v>998</v>
      </c>
      <c r="D627" s="1222"/>
      <c r="E627" s="1222"/>
      <c r="F627" s="1222"/>
      <c r="G627" s="1222"/>
      <c r="H627" s="1222"/>
      <c r="I627" s="1221" t="s">
        <v>169</v>
      </c>
      <c r="J627" s="1221"/>
      <c r="K627" s="1220"/>
      <c r="L627" s="1221"/>
      <c r="M627" s="1222"/>
      <c r="N627" s="1221"/>
      <c r="O627" s="1223"/>
      <c r="P627" s="1221"/>
      <c r="Q627" s="2829">
        <f>Q628</f>
        <v>322694</v>
      </c>
      <c r="R627" s="1225"/>
      <c r="S627" s="1224">
        <f>S628</f>
        <v>0</v>
      </c>
      <c r="T627" s="1224">
        <f t="shared" si="136"/>
        <v>322694</v>
      </c>
      <c r="U627" s="1224">
        <f t="shared" si="136"/>
        <v>0</v>
      </c>
      <c r="V627" s="1224">
        <f t="shared" si="136"/>
        <v>0</v>
      </c>
      <c r="W627" s="1224">
        <f t="shared" si="136"/>
        <v>0</v>
      </c>
      <c r="X627" s="1224">
        <f t="shared" si="136"/>
        <v>0</v>
      </c>
      <c r="Y627" s="1224">
        <f t="shared" si="136"/>
        <v>0</v>
      </c>
      <c r="Z627" s="1224">
        <f t="shared" si="136"/>
        <v>0</v>
      </c>
      <c r="AA627" s="1224">
        <f t="shared" si="136"/>
        <v>0</v>
      </c>
      <c r="AB627" s="1224">
        <f t="shared" si="136"/>
        <v>0</v>
      </c>
      <c r="AC627" s="1224">
        <f t="shared" si="136"/>
        <v>0</v>
      </c>
      <c r="AD627" s="1224">
        <f t="shared" si="136"/>
        <v>0</v>
      </c>
      <c r="AE627" s="1224">
        <f t="shared" si="136"/>
        <v>0</v>
      </c>
      <c r="AF627" s="1224">
        <f t="shared" si="136"/>
        <v>0</v>
      </c>
      <c r="AG627" s="1224">
        <f>SUM(S627:AF627)</f>
        <v>322694</v>
      </c>
    </row>
    <row r="628" spans="1:33" hidden="1">
      <c r="A628" s="2248">
        <v>4511</v>
      </c>
      <c r="B628" s="2249" t="s">
        <v>970</v>
      </c>
      <c r="C628" s="2249" t="s">
        <v>998</v>
      </c>
      <c r="D628" s="2249"/>
      <c r="E628" s="2249"/>
      <c r="F628" s="2249"/>
      <c r="G628" s="2249"/>
      <c r="H628" s="2249"/>
      <c r="I628" s="2251" t="s">
        <v>169</v>
      </c>
      <c r="J628" s="2251"/>
      <c r="K628" s="2250"/>
      <c r="L628" s="2251">
        <v>2318</v>
      </c>
      <c r="M628" s="2249"/>
      <c r="N628" s="2251"/>
      <c r="O628" s="2253">
        <v>322694</v>
      </c>
      <c r="P628" s="2251">
        <v>1</v>
      </c>
      <c r="Q628" s="2302">
        <f>+O628*P628</f>
        <v>322694</v>
      </c>
      <c r="R628" s="1658"/>
      <c r="S628" s="2253"/>
      <c r="T628" s="2253">
        <v>322694</v>
      </c>
      <c r="U628" s="1695"/>
      <c r="V628" s="1695"/>
      <c r="W628" s="1695"/>
      <c r="X628" s="2052"/>
      <c r="Y628" s="1695"/>
      <c r="Z628" s="1695"/>
      <c r="AA628" s="1695"/>
      <c r="AB628" s="1695"/>
      <c r="AC628" s="1695"/>
      <c r="AD628" s="1695"/>
      <c r="AE628" s="1695"/>
      <c r="AF628" s="1695"/>
      <c r="AG628" s="1282">
        <f>SUM(S628:AF628)</f>
        <v>322694</v>
      </c>
    </row>
    <row r="629" spans="1:33" ht="33.75" customHeight="1">
      <c r="A629" s="1815" t="s">
        <v>279</v>
      </c>
      <c r="B629" s="836"/>
      <c r="C629" s="1816"/>
      <c r="D629" s="1818"/>
      <c r="E629" s="1818"/>
      <c r="F629" s="1818"/>
      <c r="G629" s="1818"/>
      <c r="H629" s="1818"/>
      <c r="I629" s="1818"/>
      <c r="J629" s="835"/>
      <c r="K629" s="1815"/>
      <c r="L629" s="1817"/>
      <c r="M629" s="1818"/>
      <c r="N629" s="1819"/>
      <c r="O629" s="1820"/>
      <c r="P629" s="1819"/>
      <c r="Q629" s="1822"/>
      <c r="R629" s="1822"/>
      <c r="S629" s="1860"/>
      <c r="T629" s="1860"/>
      <c r="U629" s="1860"/>
      <c r="V629" s="1860"/>
      <c r="W629" s="1860"/>
      <c r="X629" s="1861"/>
      <c r="Y629" s="1862"/>
      <c r="Z629" s="1863"/>
      <c r="AA629" s="1863"/>
      <c r="AB629" s="1863"/>
      <c r="AC629" s="1863"/>
      <c r="AD629" s="1863"/>
      <c r="AE629" s="1863"/>
      <c r="AF629" s="1863"/>
      <c r="AG629" s="1821"/>
    </row>
    <row r="630" spans="1:33" ht="30" customHeight="1">
      <c r="A630" s="1248" t="s">
        <v>280</v>
      </c>
      <c r="B630" s="274"/>
      <c r="C630" s="278"/>
      <c r="D630" s="1270"/>
      <c r="E630" s="1270"/>
      <c r="F630" s="1270"/>
      <c r="G630" s="1270"/>
      <c r="H630" s="1270"/>
      <c r="I630" s="1270"/>
      <c r="J630" s="273"/>
      <c r="K630" s="1248"/>
      <c r="L630" s="1269"/>
      <c r="M630" s="1270"/>
      <c r="N630" s="1268"/>
      <c r="O630" s="1271"/>
      <c r="P630" s="1268"/>
      <c r="Q630" s="1273"/>
      <c r="R630" s="1273"/>
      <c r="S630" s="1248"/>
      <c r="T630" s="1248"/>
      <c r="U630" s="1248"/>
      <c r="V630" s="1270"/>
      <c r="W630" s="1270"/>
      <c r="X630" s="1437"/>
      <c r="Y630" s="1438"/>
      <c r="Z630" s="1070"/>
      <c r="AA630" s="1070"/>
      <c r="AB630" s="1070"/>
      <c r="AC630" s="1070"/>
      <c r="AD630" s="1070"/>
      <c r="AE630" s="1070"/>
      <c r="AF630" s="1070"/>
      <c r="AG630" s="1272"/>
    </row>
    <row r="631" spans="1:33" ht="16.5" customHeight="1">
      <c r="A631" s="1275">
        <v>511</v>
      </c>
      <c r="B631" s="359"/>
      <c r="C631" s="1021"/>
      <c r="D631" s="1280"/>
      <c r="E631" s="1280"/>
      <c r="F631" s="1280"/>
      <c r="G631" s="1280"/>
      <c r="H631" s="1280"/>
      <c r="I631" s="1280"/>
      <c r="J631" s="283"/>
      <c r="K631" s="1278"/>
      <c r="L631" s="1279"/>
      <c r="M631" s="1280"/>
      <c r="N631" s="1277"/>
      <c r="O631" s="1281"/>
      <c r="P631" s="1277"/>
      <c r="Q631" s="287"/>
      <c r="R631" s="287"/>
      <c r="S631" s="362"/>
      <c r="T631" s="362"/>
      <c r="U631" s="362"/>
      <c r="V631" s="362"/>
      <c r="W631" s="362"/>
      <c r="X631" s="1139"/>
      <c r="Y631" s="1134"/>
      <c r="Z631" s="1134"/>
      <c r="AA631" s="1134"/>
      <c r="AB631" s="1134"/>
      <c r="AC631" s="1134"/>
      <c r="AD631" s="1134"/>
      <c r="AE631" s="1134"/>
      <c r="AF631" s="1134"/>
      <c r="AG631" s="1395"/>
    </row>
    <row r="632" spans="1:33" hidden="1">
      <c r="A632" s="294">
        <v>5111</v>
      </c>
      <c r="B632" s="973"/>
      <c r="C632" s="824"/>
      <c r="D632" s="326"/>
      <c r="E632" s="294"/>
      <c r="F632" s="293"/>
      <c r="G632" s="293"/>
      <c r="H632" s="293"/>
      <c r="I632" s="294"/>
      <c r="J632" s="307"/>
      <c r="K632" s="326"/>
      <c r="L632" s="1237"/>
      <c r="M632" s="326"/>
      <c r="N632" s="294"/>
      <c r="O632" s="354"/>
      <c r="P632" s="294"/>
      <c r="Q632" s="299"/>
      <c r="R632" s="299"/>
      <c r="S632" s="355"/>
      <c r="T632" s="355"/>
      <c r="U632" s="355"/>
      <c r="V632" s="355"/>
      <c r="W632" s="355"/>
      <c r="X632" s="1137"/>
      <c r="Y632" s="1126"/>
      <c r="Z632" s="1126"/>
      <c r="AA632" s="1126"/>
      <c r="AB632" s="1126"/>
      <c r="AC632" s="1126"/>
      <c r="AD632" s="1126"/>
      <c r="AE632" s="1126"/>
      <c r="AF632" s="1126"/>
      <c r="AG632" s="1282">
        <f>SUM(S632:AF632)</f>
        <v>0</v>
      </c>
    </row>
    <row r="633" spans="1:33" ht="33.75" customHeight="1">
      <c r="A633" s="1864" t="s">
        <v>964</v>
      </c>
      <c r="B633" s="1865"/>
      <c r="C633" s="1866"/>
      <c r="D633" s="1867"/>
      <c r="E633" s="1867"/>
      <c r="F633" s="1867"/>
      <c r="G633" s="1867"/>
      <c r="H633" s="1867"/>
      <c r="I633" s="1868"/>
      <c r="J633" s="841"/>
      <c r="K633" s="1869"/>
      <c r="L633" s="1870"/>
      <c r="M633" s="1871"/>
      <c r="N633" s="1871"/>
      <c r="O633" s="1872"/>
      <c r="P633" s="1871"/>
      <c r="Q633" s="1993">
        <f>Q634+Q639+Q644</f>
        <v>129744.98000000001</v>
      </c>
      <c r="R633" s="1873">
        <f>+R634+R639+R644</f>
        <v>129747.66</v>
      </c>
      <c r="S633" s="1872">
        <f t="shared" ref="S633:AG633" si="137">S634+S639+S644</f>
        <v>0</v>
      </c>
      <c r="T633" s="1872">
        <f t="shared" si="137"/>
        <v>10350</v>
      </c>
      <c r="U633" s="1872">
        <f t="shared" si="137"/>
        <v>27783</v>
      </c>
      <c r="V633" s="1872">
        <f t="shared" si="137"/>
        <v>30319.986666666668</v>
      </c>
      <c r="W633" s="1872">
        <f t="shared" si="137"/>
        <v>35925.993333333332</v>
      </c>
      <c r="X633" s="1872">
        <f t="shared" si="137"/>
        <v>25366</v>
      </c>
      <c r="Y633" s="1872">
        <f t="shared" si="137"/>
        <v>0</v>
      </c>
      <c r="Z633" s="842">
        <f t="shared" si="137"/>
        <v>0</v>
      </c>
      <c r="AA633" s="842">
        <f t="shared" si="137"/>
        <v>0</v>
      </c>
      <c r="AB633" s="842">
        <f t="shared" si="137"/>
        <v>0</v>
      </c>
      <c r="AC633" s="842">
        <f t="shared" si="137"/>
        <v>0</v>
      </c>
      <c r="AD633" s="842">
        <f t="shared" si="137"/>
        <v>0</v>
      </c>
      <c r="AE633" s="842">
        <f t="shared" si="137"/>
        <v>0</v>
      </c>
      <c r="AF633" s="842">
        <f t="shared" si="137"/>
        <v>0</v>
      </c>
      <c r="AG633" s="1872">
        <f t="shared" si="137"/>
        <v>129744.98</v>
      </c>
    </row>
    <row r="634" spans="1:33" ht="33" customHeight="1">
      <c r="A634" s="1248" t="s">
        <v>282</v>
      </c>
      <c r="B634" s="274"/>
      <c r="C634" s="278"/>
      <c r="D634" s="1270"/>
      <c r="E634" s="1270"/>
      <c r="F634" s="1270"/>
      <c r="G634" s="1270"/>
      <c r="H634" s="1270"/>
      <c r="I634" s="1270"/>
      <c r="J634" s="273"/>
      <c r="K634" s="1248"/>
      <c r="L634" s="1269"/>
      <c r="M634" s="1270"/>
      <c r="N634" s="1268"/>
      <c r="O634" s="1271"/>
      <c r="P634" s="1268"/>
      <c r="Q634" s="1273">
        <f>+Q635+Q637</f>
        <v>0</v>
      </c>
      <c r="R634" s="1273"/>
      <c r="S634" s="1272">
        <f t="shared" ref="S634:AG634" si="138">+S635+S637</f>
        <v>0</v>
      </c>
      <c r="T634" s="1272">
        <f t="shared" si="138"/>
        <v>0</v>
      </c>
      <c r="U634" s="1272">
        <f t="shared" si="138"/>
        <v>0</v>
      </c>
      <c r="V634" s="1272">
        <f t="shared" si="138"/>
        <v>0</v>
      </c>
      <c r="W634" s="1272">
        <f t="shared" si="138"/>
        <v>0</v>
      </c>
      <c r="X634" s="1272">
        <f t="shared" si="138"/>
        <v>0</v>
      </c>
      <c r="Y634" s="1272">
        <f t="shared" si="138"/>
        <v>0</v>
      </c>
      <c r="Z634" s="276">
        <f t="shared" si="138"/>
        <v>0</v>
      </c>
      <c r="AA634" s="276">
        <f t="shared" si="138"/>
        <v>0</v>
      </c>
      <c r="AB634" s="276">
        <f t="shared" si="138"/>
        <v>0</v>
      </c>
      <c r="AC634" s="276">
        <f t="shared" si="138"/>
        <v>0</v>
      </c>
      <c r="AD634" s="276">
        <f t="shared" si="138"/>
        <v>0</v>
      </c>
      <c r="AE634" s="276">
        <f t="shared" si="138"/>
        <v>0</v>
      </c>
      <c r="AF634" s="276">
        <f t="shared" si="138"/>
        <v>0</v>
      </c>
      <c r="AG634" s="1272">
        <f t="shared" si="138"/>
        <v>0</v>
      </c>
    </row>
    <row r="635" spans="1:33" ht="16.5" customHeight="1">
      <c r="A635" s="1275">
        <v>611</v>
      </c>
      <c r="B635" s="359"/>
      <c r="C635" s="1021"/>
      <c r="D635" s="1280"/>
      <c r="E635" s="1280"/>
      <c r="F635" s="1280"/>
      <c r="G635" s="1280"/>
      <c r="H635" s="1280"/>
      <c r="I635" s="1280"/>
      <c r="J635" s="283"/>
      <c r="K635" s="1278"/>
      <c r="L635" s="1279"/>
      <c r="M635" s="1280"/>
      <c r="N635" s="1277"/>
      <c r="O635" s="1281"/>
      <c r="P635" s="1277"/>
      <c r="Q635" s="287">
        <f>SUM(Q636:Q636)</f>
        <v>0</v>
      </c>
      <c r="R635" s="287"/>
      <c r="S635" s="1395">
        <f t="shared" ref="S635:AF635" si="139">SUM(S636:S636)</f>
        <v>0</v>
      </c>
      <c r="T635" s="1395">
        <f t="shared" si="139"/>
        <v>0</v>
      </c>
      <c r="U635" s="1395">
        <f t="shared" si="139"/>
        <v>0</v>
      </c>
      <c r="V635" s="1395">
        <f t="shared" si="139"/>
        <v>0</v>
      </c>
      <c r="W635" s="1395">
        <f t="shared" si="139"/>
        <v>0</v>
      </c>
      <c r="X635" s="1395">
        <f t="shared" si="139"/>
        <v>0</v>
      </c>
      <c r="Y635" s="1395">
        <f t="shared" si="139"/>
        <v>0</v>
      </c>
      <c r="Z635" s="361">
        <f t="shared" si="139"/>
        <v>0</v>
      </c>
      <c r="AA635" s="361">
        <f t="shared" si="139"/>
        <v>0</v>
      </c>
      <c r="AB635" s="361">
        <f t="shared" si="139"/>
        <v>0</v>
      </c>
      <c r="AC635" s="361">
        <f t="shared" si="139"/>
        <v>0</v>
      </c>
      <c r="AD635" s="361">
        <f t="shared" si="139"/>
        <v>0</v>
      </c>
      <c r="AE635" s="361">
        <f t="shared" si="139"/>
        <v>0</v>
      </c>
      <c r="AF635" s="361">
        <f t="shared" si="139"/>
        <v>0</v>
      </c>
      <c r="AG635" s="1395">
        <f>SUM(S635:AF635)</f>
        <v>0</v>
      </c>
    </row>
    <row r="636" spans="1:33">
      <c r="A636" s="294">
        <v>6111</v>
      </c>
      <c r="B636" s="973"/>
      <c r="C636" s="824"/>
      <c r="D636" s="326"/>
      <c r="E636" s="294"/>
      <c r="F636" s="293"/>
      <c r="G636" s="293"/>
      <c r="H636" s="293"/>
      <c r="I636" s="294"/>
      <c r="J636" s="307"/>
      <c r="K636" s="326"/>
      <c r="L636" s="1237"/>
      <c r="M636" s="326"/>
      <c r="N636" s="294"/>
      <c r="O636" s="354"/>
      <c r="P636" s="294"/>
      <c r="Q636" s="299"/>
      <c r="R636" s="299"/>
      <c r="S636" s="355"/>
      <c r="T636" s="355"/>
      <c r="U636" s="355"/>
      <c r="V636" s="355"/>
      <c r="W636" s="355"/>
      <c r="X636" s="1137"/>
      <c r="Y636" s="1126"/>
      <c r="Z636" s="1126"/>
      <c r="AA636" s="1126"/>
      <c r="AB636" s="1126"/>
      <c r="AC636" s="1126"/>
      <c r="AD636" s="1126"/>
      <c r="AE636" s="1126"/>
      <c r="AF636" s="1126"/>
      <c r="AG636" s="1282">
        <f>SUM(S636:AF636)</f>
        <v>0</v>
      </c>
    </row>
    <row r="637" spans="1:33" ht="16.5" customHeight="1">
      <c r="A637" s="1275">
        <v>612</v>
      </c>
      <c r="B637" s="359"/>
      <c r="C637" s="1021"/>
      <c r="D637" s="1280"/>
      <c r="E637" s="1280"/>
      <c r="F637" s="1280"/>
      <c r="G637" s="1280"/>
      <c r="H637" s="1280"/>
      <c r="I637" s="1280"/>
      <c r="J637" s="283"/>
      <c r="K637" s="1278"/>
      <c r="L637" s="1279"/>
      <c r="M637" s="1280"/>
      <c r="N637" s="1277"/>
      <c r="O637" s="1281"/>
      <c r="P637" s="1277"/>
      <c r="Q637" s="287">
        <f>SUM(Q638:Q638)</f>
        <v>0</v>
      </c>
      <c r="R637" s="287"/>
      <c r="S637" s="1395">
        <f t="shared" ref="S637:AF637" si="140">SUM(S638:S638)</f>
        <v>0</v>
      </c>
      <c r="T637" s="1395">
        <f t="shared" si="140"/>
        <v>0</v>
      </c>
      <c r="U637" s="1395">
        <f t="shared" si="140"/>
        <v>0</v>
      </c>
      <c r="V637" s="1395">
        <f t="shared" si="140"/>
        <v>0</v>
      </c>
      <c r="W637" s="1395">
        <f t="shared" si="140"/>
        <v>0</v>
      </c>
      <c r="X637" s="1395">
        <f t="shared" si="140"/>
        <v>0</v>
      </c>
      <c r="Y637" s="1395">
        <f t="shared" si="140"/>
        <v>0</v>
      </c>
      <c r="Z637" s="361">
        <f t="shared" si="140"/>
        <v>0</v>
      </c>
      <c r="AA637" s="361">
        <f t="shared" si="140"/>
        <v>0</v>
      </c>
      <c r="AB637" s="361">
        <f t="shared" si="140"/>
        <v>0</v>
      </c>
      <c r="AC637" s="361">
        <f t="shared" si="140"/>
        <v>0</v>
      </c>
      <c r="AD637" s="361">
        <f t="shared" si="140"/>
        <v>0</v>
      </c>
      <c r="AE637" s="361">
        <f t="shared" si="140"/>
        <v>0</v>
      </c>
      <c r="AF637" s="361">
        <f t="shared" si="140"/>
        <v>0</v>
      </c>
      <c r="AG637" s="1395">
        <f>SUM(S637:AF637)</f>
        <v>0</v>
      </c>
    </row>
    <row r="638" spans="1:33">
      <c r="A638" s="294">
        <v>6121</v>
      </c>
      <c r="B638" s="973"/>
      <c r="C638" s="824"/>
      <c r="D638" s="326"/>
      <c r="E638" s="294"/>
      <c r="F638" s="293"/>
      <c r="G638" s="293"/>
      <c r="H638" s="293"/>
      <c r="I638" s="294"/>
      <c r="J638" s="307"/>
      <c r="K638" s="326"/>
      <c r="L638" s="1237"/>
      <c r="M638" s="326"/>
      <c r="N638" s="294"/>
      <c r="O638" s="354"/>
      <c r="P638" s="294"/>
      <c r="Q638" s="299"/>
      <c r="R638" s="299"/>
      <c r="S638" s="355"/>
      <c r="T638" s="355"/>
      <c r="U638" s="355"/>
      <c r="V638" s="355"/>
      <c r="W638" s="355"/>
      <c r="X638" s="1137"/>
      <c r="Y638" s="1126"/>
      <c r="Z638" s="1126"/>
      <c r="AA638" s="1126"/>
      <c r="AB638" s="1126"/>
      <c r="AC638" s="1126"/>
      <c r="AD638" s="1126"/>
      <c r="AE638" s="1126"/>
      <c r="AF638" s="1126"/>
      <c r="AG638" s="1282">
        <f>SUM(S638:AF638)</f>
        <v>0</v>
      </c>
    </row>
    <row r="639" spans="1:33" ht="38.25" customHeight="1">
      <c r="A639" s="1553" t="s">
        <v>283</v>
      </c>
      <c r="B639" s="1542"/>
      <c r="C639" s="1500"/>
      <c r="D639" s="1450"/>
      <c r="E639" s="1450"/>
      <c r="F639" s="1450"/>
      <c r="G639" s="1450"/>
      <c r="H639" s="1450"/>
      <c r="I639" s="1451"/>
      <c r="J639" s="273"/>
      <c r="K639" s="1248"/>
      <c r="L639" s="1269"/>
      <c r="M639" s="1270"/>
      <c r="N639" s="1268"/>
      <c r="O639" s="1271"/>
      <c r="P639" s="1268"/>
      <c r="Q639" s="1273">
        <f>+Q640+Q642</f>
        <v>0</v>
      </c>
      <c r="R639" s="1273"/>
      <c r="S639" s="1272">
        <f t="shared" ref="S639:AG639" si="141">+S640+S642</f>
        <v>0</v>
      </c>
      <c r="T639" s="1272">
        <f t="shared" si="141"/>
        <v>0</v>
      </c>
      <c r="U639" s="1272">
        <f t="shared" si="141"/>
        <v>0</v>
      </c>
      <c r="V639" s="1272">
        <f t="shared" si="141"/>
        <v>0</v>
      </c>
      <c r="W639" s="1272">
        <f t="shared" si="141"/>
        <v>0</v>
      </c>
      <c r="X639" s="1272">
        <f t="shared" si="141"/>
        <v>0</v>
      </c>
      <c r="Y639" s="1272">
        <f t="shared" si="141"/>
        <v>0</v>
      </c>
      <c r="Z639" s="276">
        <f t="shared" si="141"/>
        <v>0</v>
      </c>
      <c r="AA639" s="276">
        <f t="shared" si="141"/>
        <v>0</v>
      </c>
      <c r="AB639" s="276">
        <f t="shared" si="141"/>
        <v>0</v>
      </c>
      <c r="AC639" s="276">
        <f t="shared" si="141"/>
        <v>0</v>
      </c>
      <c r="AD639" s="276">
        <f t="shared" si="141"/>
        <v>0</v>
      </c>
      <c r="AE639" s="276">
        <f t="shared" si="141"/>
        <v>0</v>
      </c>
      <c r="AF639" s="276">
        <f t="shared" si="141"/>
        <v>0</v>
      </c>
      <c r="AG639" s="1272">
        <f t="shared" si="141"/>
        <v>0</v>
      </c>
    </row>
    <row r="640" spans="1:33" ht="16.5" customHeight="1">
      <c r="A640" s="1275">
        <v>621</v>
      </c>
      <c r="B640" s="359"/>
      <c r="C640" s="1021"/>
      <c r="D640" s="1280"/>
      <c r="E640" s="1280"/>
      <c r="F640" s="1280"/>
      <c r="G640" s="1280"/>
      <c r="H640" s="1280"/>
      <c r="I640" s="1280"/>
      <c r="J640" s="283"/>
      <c r="K640" s="1278"/>
      <c r="L640" s="1279"/>
      <c r="M640" s="1280"/>
      <c r="N640" s="1277"/>
      <c r="O640" s="1281"/>
      <c r="P640" s="1277"/>
      <c r="Q640" s="287">
        <f>SUM(Q641:Q641)</f>
        <v>0</v>
      </c>
      <c r="R640" s="287"/>
      <c r="S640" s="1395">
        <f t="shared" ref="S640:AF640" si="142">SUM(S641:S641)</f>
        <v>0</v>
      </c>
      <c r="T640" s="1395">
        <f t="shared" si="142"/>
        <v>0</v>
      </c>
      <c r="U640" s="1395">
        <f t="shared" si="142"/>
        <v>0</v>
      </c>
      <c r="V640" s="1395">
        <f t="shared" si="142"/>
        <v>0</v>
      </c>
      <c r="W640" s="1395">
        <f t="shared" si="142"/>
        <v>0</v>
      </c>
      <c r="X640" s="1395">
        <f t="shared" si="142"/>
        <v>0</v>
      </c>
      <c r="Y640" s="1395">
        <f t="shared" si="142"/>
        <v>0</v>
      </c>
      <c r="Z640" s="361">
        <f t="shared" si="142"/>
        <v>0</v>
      </c>
      <c r="AA640" s="361">
        <f t="shared" si="142"/>
        <v>0</v>
      </c>
      <c r="AB640" s="361">
        <f t="shared" si="142"/>
        <v>0</v>
      </c>
      <c r="AC640" s="361">
        <f t="shared" si="142"/>
        <v>0</v>
      </c>
      <c r="AD640" s="361">
        <f t="shared" si="142"/>
        <v>0</v>
      </c>
      <c r="AE640" s="361">
        <f t="shared" si="142"/>
        <v>0</v>
      </c>
      <c r="AF640" s="361">
        <f t="shared" si="142"/>
        <v>0</v>
      </c>
      <c r="AG640" s="1395">
        <f>SUM(S640:AF640)</f>
        <v>0</v>
      </c>
    </row>
    <row r="641" spans="1:33">
      <c r="A641" s="294">
        <v>6211</v>
      </c>
      <c r="B641" s="973"/>
      <c r="C641" s="824"/>
      <c r="D641" s="326"/>
      <c r="E641" s="294"/>
      <c r="F641" s="293"/>
      <c r="G641" s="293"/>
      <c r="H641" s="293"/>
      <c r="I641" s="294"/>
      <c r="J641" s="307"/>
      <c r="K641" s="326"/>
      <c r="L641" s="1237"/>
      <c r="M641" s="326"/>
      <c r="N641" s="294"/>
      <c r="O641" s="354"/>
      <c r="P641" s="294"/>
      <c r="Q641" s="299"/>
      <c r="R641" s="299"/>
      <c r="S641" s="355"/>
      <c r="T641" s="355"/>
      <c r="U641" s="355"/>
      <c r="V641" s="355"/>
      <c r="W641" s="355"/>
      <c r="X641" s="1137"/>
      <c r="Y641" s="1126"/>
      <c r="Z641" s="1126"/>
      <c r="AA641" s="1126"/>
      <c r="AB641" s="1126"/>
      <c r="AC641" s="1126"/>
      <c r="AD641" s="1126"/>
      <c r="AE641" s="1126"/>
      <c r="AF641" s="1126"/>
      <c r="AG641" s="1282">
        <f>SUM(S641:AF641)</f>
        <v>0</v>
      </c>
    </row>
    <row r="642" spans="1:33" ht="16.5" customHeight="1">
      <c r="A642" s="1275">
        <v>622</v>
      </c>
      <c r="B642" s="359"/>
      <c r="C642" s="1021"/>
      <c r="D642" s="1280"/>
      <c r="E642" s="1280"/>
      <c r="F642" s="1280"/>
      <c r="G642" s="1280"/>
      <c r="H642" s="1280"/>
      <c r="I642" s="1280"/>
      <c r="J642" s="283"/>
      <c r="K642" s="1278"/>
      <c r="L642" s="1279"/>
      <c r="M642" s="1280"/>
      <c r="N642" s="1277"/>
      <c r="O642" s="1281"/>
      <c r="P642" s="1277"/>
      <c r="Q642" s="287">
        <f>SUM(Q643:Q643)</f>
        <v>0</v>
      </c>
      <c r="R642" s="287"/>
      <c r="S642" s="1395">
        <f t="shared" ref="S642:AF642" si="143">SUM(S643:S643)</f>
        <v>0</v>
      </c>
      <c r="T642" s="1395">
        <f t="shared" si="143"/>
        <v>0</v>
      </c>
      <c r="U642" s="1395">
        <f t="shared" si="143"/>
        <v>0</v>
      </c>
      <c r="V642" s="1395">
        <f t="shared" si="143"/>
        <v>0</v>
      </c>
      <c r="W642" s="1395">
        <f t="shared" si="143"/>
        <v>0</v>
      </c>
      <c r="X642" s="1395">
        <f t="shared" si="143"/>
        <v>0</v>
      </c>
      <c r="Y642" s="1395">
        <f t="shared" si="143"/>
        <v>0</v>
      </c>
      <c r="Z642" s="361">
        <f t="shared" si="143"/>
        <v>0</v>
      </c>
      <c r="AA642" s="361">
        <f t="shared" si="143"/>
        <v>0</v>
      </c>
      <c r="AB642" s="361">
        <f t="shared" si="143"/>
        <v>0</v>
      </c>
      <c r="AC642" s="361">
        <f t="shared" si="143"/>
        <v>0</v>
      </c>
      <c r="AD642" s="361">
        <f t="shared" si="143"/>
        <v>0</v>
      </c>
      <c r="AE642" s="361">
        <f t="shared" si="143"/>
        <v>0</v>
      </c>
      <c r="AF642" s="361">
        <f t="shared" si="143"/>
        <v>0</v>
      </c>
      <c r="AG642" s="1395">
        <f>SUM(S642:AF642)</f>
        <v>0</v>
      </c>
    </row>
    <row r="643" spans="1:33">
      <c r="A643" s="294">
        <v>6221</v>
      </c>
      <c r="B643" s="973"/>
      <c r="C643" s="824"/>
      <c r="D643" s="326"/>
      <c r="E643" s="294"/>
      <c r="F643" s="293"/>
      <c r="G643" s="293"/>
      <c r="H643" s="293"/>
      <c r="I643" s="294"/>
      <c r="J643" s="307"/>
      <c r="K643" s="326"/>
      <c r="L643" s="1237"/>
      <c r="M643" s="326"/>
      <c r="N643" s="294"/>
      <c r="O643" s="354"/>
      <c r="P643" s="294"/>
      <c r="Q643" s="299"/>
      <c r="R643" s="299"/>
      <c r="S643" s="355"/>
      <c r="T643" s="355"/>
      <c r="U643" s="355"/>
      <c r="V643" s="355"/>
      <c r="W643" s="355"/>
      <c r="X643" s="1137"/>
      <c r="Y643" s="1126"/>
      <c r="Z643" s="1126"/>
      <c r="AA643" s="1126"/>
      <c r="AB643" s="1126"/>
      <c r="AC643" s="1126"/>
      <c r="AD643" s="1126"/>
      <c r="AE643" s="1126"/>
      <c r="AF643" s="1126"/>
      <c r="AG643" s="1282">
        <f>SUM(S643:AF643)</f>
        <v>0</v>
      </c>
    </row>
    <row r="644" spans="1:33" ht="38.25" customHeight="1">
      <c r="A644" s="1248" t="s">
        <v>284</v>
      </c>
      <c r="B644" s="274"/>
      <c r="C644" s="278"/>
      <c r="D644" s="1270"/>
      <c r="E644" s="1270"/>
      <c r="F644" s="1270"/>
      <c r="G644" s="1270"/>
      <c r="H644" s="1270"/>
      <c r="I644" s="1270"/>
      <c r="J644" s="273"/>
      <c r="K644" s="1248"/>
      <c r="L644" s="1269"/>
      <c r="M644" s="1270"/>
      <c r="N644" s="1268"/>
      <c r="O644" s="1271"/>
      <c r="P644" s="1268"/>
      <c r="Q644" s="1273">
        <f>Q645+Q655</f>
        <v>129744.98000000001</v>
      </c>
      <c r="R644" s="1273">
        <f>+'[7]Compil Costing PPA 3 millions'!F20</f>
        <v>129747.66</v>
      </c>
      <c r="S644" s="1272">
        <f t="shared" ref="S644:AG644" si="144">S645+S655</f>
        <v>0</v>
      </c>
      <c r="T644" s="1272">
        <f t="shared" si="144"/>
        <v>10350</v>
      </c>
      <c r="U644" s="1272">
        <f t="shared" si="144"/>
        <v>27783</v>
      </c>
      <c r="V644" s="1272">
        <f t="shared" si="144"/>
        <v>30319.986666666668</v>
      </c>
      <c r="W644" s="1272">
        <f t="shared" si="144"/>
        <v>35925.993333333332</v>
      </c>
      <c r="X644" s="1272">
        <f t="shared" si="144"/>
        <v>25366</v>
      </c>
      <c r="Y644" s="1272">
        <f t="shared" si="144"/>
        <v>0</v>
      </c>
      <c r="Z644" s="276">
        <f t="shared" si="144"/>
        <v>0</v>
      </c>
      <c r="AA644" s="276">
        <f t="shared" si="144"/>
        <v>0</v>
      </c>
      <c r="AB644" s="276">
        <f t="shared" si="144"/>
        <v>0</v>
      </c>
      <c r="AC644" s="276">
        <f t="shared" si="144"/>
        <v>0</v>
      </c>
      <c r="AD644" s="276">
        <f t="shared" si="144"/>
        <v>0</v>
      </c>
      <c r="AE644" s="276">
        <f t="shared" si="144"/>
        <v>0</v>
      </c>
      <c r="AF644" s="276">
        <f t="shared" si="144"/>
        <v>0</v>
      </c>
      <c r="AG644" s="1272">
        <f t="shared" si="144"/>
        <v>129744.98</v>
      </c>
    </row>
    <row r="645" spans="1:33" ht="47.25">
      <c r="A645" s="1275">
        <v>631</v>
      </c>
      <c r="B645" s="359" t="s">
        <v>140</v>
      </c>
      <c r="C645" s="1021"/>
      <c r="D645" s="1280"/>
      <c r="E645" s="1280"/>
      <c r="F645" s="1280"/>
      <c r="G645" s="1280"/>
      <c r="H645" s="1280"/>
      <c r="I645" s="1280"/>
      <c r="J645" s="283"/>
      <c r="K645" s="1278"/>
      <c r="L645" s="1279"/>
      <c r="M645" s="1280"/>
      <c r="N645" s="1277"/>
      <c r="O645" s="1281"/>
      <c r="P645" s="1277"/>
      <c r="Q645" s="547">
        <f>SUM(Q646:Q654)</f>
        <v>39400.000000000007</v>
      </c>
      <c r="R645" s="287"/>
      <c r="S645" s="1282">
        <f t="shared" ref="S645:AF645" si="145">SUM(S646:S654)</f>
        <v>0</v>
      </c>
      <c r="T645" s="1282">
        <f t="shared" si="145"/>
        <v>3600</v>
      </c>
      <c r="U645" s="1282">
        <f t="shared" si="145"/>
        <v>10200</v>
      </c>
      <c r="V645" s="1282">
        <f t="shared" si="145"/>
        <v>10200</v>
      </c>
      <c r="W645" s="1282">
        <f t="shared" si="145"/>
        <v>8200.0000000000018</v>
      </c>
      <c r="X645" s="1282">
        <f t="shared" si="145"/>
        <v>7200</v>
      </c>
      <c r="Y645" s="1282">
        <f t="shared" si="145"/>
        <v>0</v>
      </c>
      <c r="Z645" s="1282">
        <f t="shared" si="145"/>
        <v>0</v>
      </c>
      <c r="AA645" s="1282">
        <f t="shared" si="145"/>
        <v>0</v>
      </c>
      <c r="AB645" s="1282">
        <f t="shared" si="145"/>
        <v>0</v>
      </c>
      <c r="AC645" s="1282">
        <f t="shared" si="145"/>
        <v>0</v>
      </c>
      <c r="AD645" s="1282">
        <f t="shared" si="145"/>
        <v>0</v>
      </c>
      <c r="AE645" s="1282">
        <f t="shared" si="145"/>
        <v>0</v>
      </c>
      <c r="AF645" s="1282">
        <f t="shared" si="145"/>
        <v>0</v>
      </c>
      <c r="AG645" s="1282">
        <f>SUM(S645:AF645)</f>
        <v>39400</v>
      </c>
    </row>
    <row r="646" spans="1:33" ht="36" hidden="1" customHeight="1">
      <c r="A646" s="2789">
        <v>6311</v>
      </c>
      <c r="B646" s="2790" t="s">
        <v>404</v>
      </c>
      <c r="C646" s="2790" t="s">
        <v>405</v>
      </c>
      <c r="D646" s="2791"/>
      <c r="E646" s="2789"/>
      <c r="F646" s="2792">
        <v>43205</v>
      </c>
      <c r="G646" s="2792">
        <v>43342</v>
      </c>
      <c r="H646" s="2997" t="s">
        <v>406</v>
      </c>
      <c r="I646" s="2789" t="s">
        <v>181</v>
      </c>
      <c r="J646" s="2793" t="s">
        <v>407</v>
      </c>
      <c r="K646" s="326" t="s">
        <v>408</v>
      </c>
      <c r="L646" s="1237">
        <v>2313</v>
      </c>
      <c r="M646" s="326"/>
      <c r="N646" s="294"/>
      <c r="O646" s="354">
        <v>18000</v>
      </c>
      <c r="P646" s="1014">
        <v>1</v>
      </c>
      <c r="Q646" s="518">
        <f t="shared" ref="Q646:Q654" si="146">O646*P646</f>
        <v>18000</v>
      </c>
      <c r="R646" s="299"/>
      <c r="S646" s="299"/>
      <c r="T646" s="299">
        <v>3600</v>
      </c>
      <c r="U646" s="299"/>
      <c r="V646" s="299"/>
      <c r="W646" s="299">
        <v>7200</v>
      </c>
      <c r="X646" s="1142">
        <v>7200</v>
      </c>
      <c r="Y646" s="1127"/>
      <c r="Z646" s="1127"/>
      <c r="AA646" s="1127"/>
      <c r="AB646" s="1127"/>
      <c r="AC646" s="1127"/>
      <c r="AD646" s="1127"/>
      <c r="AE646" s="1127"/>
      <c r="AF646" s="1127"/>
      <c r="AG646" s="1282">
        <f t="shared" ref="AG646:AG654" si="147">SUM(S646:AF646)</f>
        <v>18000</v>
      </c>
    </row>
    <row r="647" spans="1:33" ht="94.5" hidden="1">
      <c r="A647" s="2789">
        <v>6312</v>
      </c>
      <c r="B647" s="2790" t="s">
        <v>409</v>
      </c>
      <c r="C647" s="2790" t="s">
        <v>410</v>
      </c>
      <c r="D647" s="2791"/>
      <c r="E647" s="2789"/>
      <c r="F647" s="2792">
        <v>43241</v>
      </c>
      <c r="G647" s="2792">
        <v>43273</v>
      </c>
      <c r="H647" s="2996" t="s">
        <v>406</v>
      </c>
      <c r="I647" s="2789" t="s">
        <v>181</v>
      </c>
      <c r="J647" s="2793" t="s">
        <v>411</v>
      </c>
      <c r="K647" s="1124"/>
      <c r="L647" s="1704"/>
      <c r="M647" s="1124"/>
      <c r="N647" s="1703"/>
      <c r="O647" s="1125"/>
      <c r="P647" s="2995"/>
      <c r="Q647" s="1164"/>
      <c r="R647" s="1127"/>
      <c r="S647" s="1127"/>
      <c r="T647" s="1127"/>
      <c r="U647" s="1127"/>
      <c r="V647" s="1127"/>
      <c r="W647" s="1127"/>
      <c r="X647" s="1142"/>
      <c r="Y647" s="1127"/>
      <c r="Z647" s="1127"/>
      <c r="AA647" s="1127"/>
      <c r="AB647" s="1127"/>
      <c r="AC647" s="1127"/>
      <c r="AD647" s="1127"/>
      <c r="AE647" s="1127"/>
      <c r="AF647" s="1127"/>
      <c r="AG647" s="1343"/>
    </row>
    <row r="648" spans="1:33" ht="94.5" hidden="1">
      <c r="A648" s="294">
        <v>6312</v>
      </c>
      <c r="B648" s="291" t="s">
        <v>409</v>
      </c>
      <c r="C648" s="824" t="s">
        <v>410</v>
      </c>
      <c r="D648" s="326"/>
      <c r="E648" s="294"/>
      <c r="F648" s="293">
        <v>43241</v>
      </c>
      <c r="G648" s="293">
        <v>43273</v>
      </c>
      <c r="H648" s="1875" t="s">
        <v>406</v>
      </c>
      <c r="I648" s="294" t="s">
        <v>181</v>
      </c>
      <c r="J648" s="307" t="s">
        <v>411</v>
      </c>
      <c r="K648" s="326" t="s">
        <v>412</v>
      </c>
      <c r="L648" s="1237">
        <v>23174</v>
      </c>
      <c r="M648" s="326"/>
      <c r="N648" s="294"/>
      <c r="O648" s="354">
        <v>2100</v>
      </c>
      <c r="P648" s="1014">
        <v>4</v>
      </c>
      <c r="Q648" s="299">
        <f t="shared" si="146"/>
        <v>8400</v>
      </c>
      <c r="R648" s="299"/>
      <c r="S648" s="299"/>
      <c r="T648" s="299"/>
      <c r="U648" s="299">
        <v>4200</v>
      </c>
      <c r="V648" s="299">
        <v>4200</v>
      </c>
      <c r="W648" s="299"/>
      <c r="X648" s="1142"/>
      <c r="Y648" s="1127"/>
      <c r="Z648" s="1127"/>
      <c r="AA648" s="1127"/>
      <c r="AB648" s="1127"/>
      <c r="AC648" s="1127"/>
      <c r="AD648" s="1127"/>
      <c r="AE648" s="1127"/>
      <c r="AF648" s="1127"/>
      <c r="AG648" s="1282">
        <f t="shared" si="147"/>
        <v>8400</v>
      </c>
    </row>
    <row r="649" spans="1:33" ht="94.5" hidden="1">
      <c r="A649" s="294">
        <v>6312</v>
      </c>
      <c r="B649" s="291" t="s">
        <v>409</v>
      </c>
      <c r="C649" s="824" t="s">
        <v>410</v>
      </c>
      <c r="D649" s="326"/>
      <c r="E649" s="294"/>
      <c r="F649" s="293">
        <v>43241</v>
      </c>
      <c r="G649" s="293">
        <v>43273</v>
      </c>
      <c r="H649" s="1875" t="s">
        <v>406</v>
      </c>
      <c r="I649" s="294" t="s">
        <v>181</v>
      </c>
      <c r="J649" s="307" t="s">
        <v>411</v>
      </c>
      <c r="K649" s="326" t="s">
        <v>413</v>
      </c>
      <c r="L649" s="1237">
        <v>23174</v>
      </c>
      <c r="M649" s="326"/>
      <c r="N649" s="294"/>
      <c r="O649" s="354">
        <v>2000</v>
      </c>
      <c r="P649" s="1014">
        <v>4</v>
      </c>
      <c r="Q649" s="299">
        <f t="shared" si="146"/>
        <v>8000</v>
      </c>
      <c r="R649" s="299"/>
      <c r="S649" s="299"/>
      <c r="T649" s="299"/>
      <c r="U649" s="299">
        <v>4000</v>
      </c>
      <c r="V649" s="299">
        <v>4000</v>
      </c>
      <c r="W649" s="299"/>
      <c r="X649" s="1142"/>
      <c r="Y649" s="1127"/>
      <c r="Z649" s="1127"/>
      <c r="AA649" s="1127"/>
      <c r="AB649" s="1127"/>
      <c r="AC649" s="1127"/>
      <c r="AD649" s="1127"/>
      <c r="AE649" s="1127"/>
      <c r="AF649" s="1127"/>
      <c r="AG649" s="1282">
        <f t="shared" si="147"/>
        <v>8000</v>
      </c>
    </row>
    <row r="650" spans="1:33" ht="94.5" hidden="1">
      <c r="A650" s="294">
        <v>6312</v>
      </c>
      <c r="B650" s="291" t="s">
        <v>409</v>
      </c>
      <c r="C650" s="824" t="s">
        <v>410</v>
      </c>
      <c r="D650" s="326"/>
      <c r="E650" s="294"/>
      <c r="F650" s="293">
        <v>43241</v>
      </c>
      <c r="G650" s="293">
        <v>43273</v>
      </c>
      <c r="H650" s="1875" t="s">
        <v>406</v>
      </c>
      <c r="I650" s="294" t="s">
        <v>181</v>
      </c>
      <c r="J650" s="307" t="s">
        <v>411</v>
      </c>
      <c r="K650" s="326" t="s">
        <v>414</v>
      </c>
      <c r="L650" s="1237">
        <v>23174</v>
      </c>
      <c r="M650" s="326"/>
      <c r="N650" s="294"/>
      <c r="O650" s="354">
        <v>833.25</v>
      </c>
      <c r="P650" s="1014">
        <v>4</v>
      </c>
      <c r="Q650" s="299">
        <f t="shared" si="146"/>
        <v>3333</v>
      </c>
      <c r="R650" s="299"/>
      <c r="S650" s="299"/>
      <c r="T650" s="299"/>
      <c r="U650" s="299">
        <v>1666.5</v>
      </c>
      <c r="V650" s="299">
        <v>1666.5</v>
      </c>
      <c r="W650" s="299"/>
      <c r="X650" s="1142"/>
      <c r="Y650" s="1127"/>
      <c r="Z650" s="1127"/>
      <c r="AA650" s="1127"/>
      <c r="AB650" s="1127"/>
      <c r="AC650" s="1127"/>
      <c r="AD650" s="1127"/>
      <c r="AE650" s="1127"/>
      <c r="AF650" s="1127"/>
      <c r="AG650" s="1282">
        <f t="shared" si="147"/>
        <v>3333</v>
      </c>
    </row>
    <row r="651" spans="1:33" ht="94.5" hidden="1">
      <c r="A651" s="294">
        <v>6312</v>
      </c>
      <c r="B651" s="291" t="s">
        <v>409</v>
      </c>
      <c r="C651" s="824" t="s">
        <v>410</v>
      </c>
      <c r="D651" s="326"/>
      <c r="E651" s="294"/>
      <c r="F651" s="293">
        <v>43241</v>
      </c>
      <c r="G651" s="293">
        <v>43273</v>
      </c>
      <c r="H651" s="1875" t="s">
        <v>406</v>
      </c>
      <c r="I651" s="294" t="s">
        <v>181</v>
      </c>
      <c r="J651" s="307" t="s">
        <v>411</v>
      </c>
      <c r="K651" s="326" t="s">
        <v>415</v>
      </c>
      <c r="L651" s="1237">
        <v>23173</v>
      </c>
      <c r="M651" s="326"/>
      <c r="N651" s="294"/>
      <c r="O651" s="354">
        <v>166.75</v>
      </c>
      <c r="P651" s="1014">
        <v>4</v>
      </c>
      <c r="Q651" s="299">
        <f t="shared" si="146"/>
        <v>667</v>
      </c>
      <c r="R651" s="299"/>
      <c r="S651" s="299"/>
      <c r="T651" s="299"/>
      <c r="U651" s="299">
        <v>333.5</v>
      </c>
      <c r="V651" s="299">
        <v>333.5</v>
      </c>
      <c r="W651" s="299"/>
      <c r="X651" s="1142"/>
      <c r="Y651" s="1127"/>
      <c r="Z651" s="1127"/>
      <c r="AA651" s="1127"/>
      <c r="AB651" s="1127"/>
      <c r="AC651" s="1127"/>
      <c r="AD651" s="1127"/>
      <c r="AE651" s="1127"/>
      <c r="AF651" s="1127"/>
      <c r="AG651" s="1282">
        <f t="shared" si="147"/>
        <v>667</v>
      </c>
    </row>
    <row r="652" spans="1:33" ht="43.5" hidden="1" customHeight="1">
      <c r="A652" s="2789">
        <v>6313</v>
      </c>
      <c r="B652" s="2790" t="s">
        <v>416</v>
      </c>
      <c r="C652" s="2790" t="s">
        <v>417</v>
      </c>
      <c r="D652" s="2791"/>
      <c r="E652" s="2789"/>
      <c r="F652" s="2792">
        <v>43294</v>
      </c>
      <c r="G652" s="2792">
        <v>43294</v>
      </c>
      <c r="H652" s="2996" t="s">
        <v>406</v>
      </c>
      <c r="I652" s="2789" t="s">
        <v>181</v>
      </c>
      <c r="J652" s="2793" t="s">
        <v>411</v>
      </c>
      <c r="K652" s="1124"/>
      <c r="L652" s="1704"/>
      <c r="M652" s="1124"/>
      <c r="N652" s="1703"/>
      <c r="O652" s="1125"/>
      <c r="P652" s="2995"/>
      <c r="Q652" s="1127"/>
      <c r="R652" s="1127"/>
      <c r="S652" s="1127"/>
      <c r="T652" s="1127"/>
      <c r="U652" s="1127"/>
      <c r="V652" s="1127"/>
      <c r="W652" s="1127"/>
      <c r="X652" s="1142"/>
      <c r="Y652" s="1127"/>
      <c r="Z652" s="1127"/>
      <c r="AA652" s="1127"/>
      <c r="AB652" s="1127"/>
      <c r="AC652" s="1127"/>
      <c r="AD652" s="1127"/>
      <c r="AE652" s="1127"/>
      <c r="AF652" s="1127"/>
      <c r="AG652" s="1343"/>
    </row>
    <row r="653" spans="1:33" ht="94.5" hidden="1">
      <c r="A653" s="294">
        <v>6313</v>
      </c>
      <c r="B653" s="291" t="s">
        <v>416</v>
      </c>
      <c r="C653" s="824" t="s">
        <v>417</v>
      </c>
      <c r="D653" s="326"/>
      <c r="E653" s="294"/>
      <c r="F653" s="293">
        <v>43294</v>
      </c>
      <c r="G653" s="293">
        <v>43294</v>
      </c>
      <c r="H653" s="1875" t="s">
        <v>406</v>
      </c>
      <c r="I653" s="294" t="s">
        <v>181</v>
      </c>
      <c r="J653" s="307" t="s">
        <v>411</v>
      </c>
      <c r="K653" s="326" t="s">
        <v>418</v>
      </c>
      <c r="L653" s="1237">
        <v>23173</v>
      </c>
      <c r="M653" s="326"/>
      <c r="N653" s="294"/>
      <c r="O653" s="354">
        <v>666.66666666666799</v>
      </c>
      <c r="P653" s="1014">
        <v>1</v>
      </c>
      <c r="Q653" s="299">
        <f t="shared" si="146"/>
        <v>666.66666666666799</v>
      </c>
      <c r="R653" s="299"/>
      <c r="S653" s="299"/>
      <c r="T653" s="299"/>
      <c r="U653" s="299"/>
      <c r="V653" s="299"/>
      <c r="W653" s="299">
        <v>666.66666666666799</v>
      </c>
      <c r="X653" s="1142"/>
      <c r="Y653" s="1127"/>
      <c r="Z653" s="1127"/>
      <c r="AA653" s="1127"/>
      <c r="AB653" s="1127"/>
      <c r="AC653" s="1127"/>
      <c r="AD653" s="1127"/>
      <c r="AE653" s="1127"/>
      <c r="AF653" s="1127"/>
      <c r="AG653" s="1282">
        <f t="shared" si="147"/>
        <v>666.66666666666799</v>
      </c>
    </row>
    <row r="654" spans="1:33" ht="94.5" hidden="1">
      <c r="A654" s="294">
        <v>6313</v>
      </c>
      <c r="B654" s="291" t="s">
        <v>416</v>
      </c>
      <c r="C654" s="824" t="s">
        <v>417</v>
      </c>
      <c r="D654" s="326"/>
      <c r="E654" s="294"/>
      <c r="F654" s="293">
        <v>43294</v>
      </c>
      <c r="G654" s="293">
        <v>43294</v>
      </c>
      <c r="H654" s="1875" t="s">
        <v>406</v>
      </c>
      <c r="I654" s="294" t="s">
        <v>181</v>
      </c>
      <c r="J654" s="307" t="s">
        <v>411</v>
      </c>
      <c r="K654" s="326" t="s">
        <v>415</v>
      </c>
      <c r="L654" s="1237">
        <v>23173</v>
      </c>
      <c r="M654" s="326"/>
      <c r="N654" s="294"/>
      <c r="O654" s="354">
        <v>333.33333333333331</v>
      </c>
      <c r="P654" s="1014">
        <v>1</v>
      </c>
      <c r="Q654" s="299">
        <f t="shared" si="146"/>
        <v>333.33333333333331</v>
      </c>
      <c r="R654" s="299"/>
      <c r="S654" s="299"/>
      <c r="T654" s="299"/>
      <c r="U654" s="299"/>
      <c r="V654" s="299"/>
      <c r="W654" s="299">
        <v>333.33333333333331</v>
      </c>
      <c r="X654" s="1142"/>
      <c r="Y654" s="1127"/>
      <c r="Z654" s="1127"/>
      <c r="AA654" s="1127"/>
      <c r="AB654" s="1127"/>
      <c r="AC654" s="1127"/>
      <c r="AD654" s="1127"/>
      <c r="AE654" s="1127"/>
      <c r="AF654" s="1127"/>
      <c r="AG654" s="1282">
        <f t="shared" si="147"/>
        <v>333.33333333333331</v>
      </c>
    </row>
    <row r="655" spans="1:33" ht="47.25">
      <c r="A655" s="1275">
        <v>632</v>
      </c>
      <c r="B655" s="359" t="s">
        <v>141</v>
      </c>
      <c r="C655" s="1021"/>
      <c r="D655" s="1280"/>
      <c r="E655" s="1280"/>
      <c r="F655" s="1280"/>
      <c r="G655" s="1280"/>
      <c r="H655" s="1280"/>
      <c r="I655" s="1280"/>
      <c r="J655" s="283"/>
      <c r="K655" s="1278"/>
      <c r="L655" s="1279"/>
      <c r="M655" s="1280"/>
      <c r="N655" s="1277"/>
      <c r="O655" s="1281"/>
      <c r="P655" s="1452"/>
      <c r="Q655" s="547">
        <f>SUM(Q656:Q672)</f>
        <v>90344.98</v>
      </c>
      <c r="R655" s="287"/>
      <c r="S655" s="1282">
        <f t="shared" ref="S655:AF655" si="148">SUM(S656:S672)</f>
        <v>0</v>
      </c>
      <c r="T655" s="1282">
        <f t="shared" si="148"/>
        <v>6750</v>
      </c>
      <c r="U655" s="1282">
        <f t="shared" si="148"/>
        <v>17583</v>
      </c>
      <c r="V655" s="1282">
        <f t="shared" si="148"/>
        <v>20119.986666666668</v>
      </c>
      <c r="W655" s="1282">
        <f t="shared" si="148"/>
        <v>27725.993333333332</v>
      </c>
      <c r="X655" s="1282">
        <f t="shared" si="148"/>
        <v>18166</v>
      </c>
      <c r="Y655" s="1282">
        <f t="shared" si="148"/>
        <v>0</v>
      </c>
      <c r="Z655" s="1282">
        <f t="shared" si="148"/>
        <v>0</v>
      </c>
      <c r="AA655" s="1282">
        <f t="shared" si="148"/>
        <v>0</v>
      </c>
      <c r="AB655" s="1282">
        <f t="shared" si="148"/>
        <v>0</v>
      </c>
      <c r="AC655" s="1282">
        <f t="shared" si="148"/>
        <v>0</v>
      </c>
      <c r="AD655" s="1282">
        <f t="shared" si="148"/>
        <v>0</v>
      </c>
      <c r="AE655" s="1282">
        <f t="shared" si="148"/>
        <v>0</v>
      </c>
      <c r="AF655" s="1282">
        <f t="shared" si="148"/>
        <v>0</v>
      </c>
      <c r="AG655" s="1282">
        <f>SUM(S655:AF655)</f>
        <v>90344.98</v>
      </c>
    </row>
    <row r="656" spans="1:33" ht="62.45" hidden="1" customHeight="1">
      <c r="A656" s="2789">
        <v>6321</v>
      </c>
      <c r="B656" s="2790" t="s">
        <v>419</v>
      </c>
      <c r="C656" s="2790" t="s">
        <v>420</v>
      </c>
      <c r="D656" s="2791"/>
      <c r="E656" s="2789"/>
      <c r="F656" s="2792">
        <v>43205</v>
      </c>
      <c r="G656" s="2792">
        <v>43311</v>
      </c>
      <c r="H656" s="2996" t="s">
        <v>421</v>
      </c>
      <c r="I656" s="2789" t="s">
        <v>181</v>
      </c>
      <c r="J656" s="2793" t="s">
        <v>407</v>
      </c>
      <c r="K656" s="326" t="s">
        <v>408</v>
      </c>
      <c r="L656" s="1237">
        <v>2313</v>
      </c>
      <c r="M656" s="326"/>
      <c r="N656" s="294"/>
      <c r="O656" s="354">
        <v>33750</v>
      </c>
      <c r="P656" s="1014">
        <v>1</v>
      </c>
      <c r="Q656" s="518">
        <f t="shared" ref="Q656:Q672" si="149">O656*P656</f>
        <v>33750</v>
      </c>
      <c r="R656" s="299"/>
      <c r="S656" s="299"/>
      <c r="T656" s="299">
        <v>6750</v>
      </c>
      <c r="U656" s="299"/>
      <c r="V656" s="299"/>
      <c r="W656" s="299">
        <v>13500</v>
      </c>
      <c r="X656" s="1142">
        <v>13500</v>
      </c>
      <c r="Y656" s="1127"/>
      <c r="Z656" s="1127"/>
      <c r="AA656" s="1127"/>
      <c r="AB656" s="1127"/>
      <c r="AC656" s="1127"/>
      <c r="AD656" s="1127"/>
      <c r="AE656" s="1127"/>
      <c r="AF656" s="1127"/>
      <c r="AG656" s="1282">
        <f t="shared" ref="AG656:AG672" si="150">SUM(S656:AF656)</f>
        <v>33750</v>
      </c>
    </row>
    <row r="657" spans="1:33" ht="62.45" hidden="1" customHeight="1">
      <c r="A657" s="2789">
        <v>6322</v>
      </c>
      <c r="B657" s="2790" t="s">
        <v>422</v>
      </c>
      <c r="C657" s="2790"/>
      <c r="D657" s="2791"/>
      <c r="E657" s="2789"/>
      <c r="F657" s="2998">
        <v>43227</v>
      </c>
      <c r="G657" s="2998">
        <v>43238</v>
      </c>
      <c r="H657" s="2996" t="s">
        <v>421</v>
      </c>
      <c r="I657" s="2789" t="s">
        <v>181</v>
      </c>
      <c r="J657" s="2793" t="s">
        <v>423</v>
      </c>
      <c r="K657" s="1124"/>
      <c r="L657" s="1704"/>
      <c r="M657" s="1124"/>
      <c r="N657" s="1703"/>
      <c r="O657" s="1125"/>
      <c r="P657" s="2995"/>
      <c r="Q657" s="1164"/>
      <c r="R657" s="1127"/>
      <c r="S657" s="1127"/>
      <c r="T657" s="1127"/>
      <c r="U657" s="1127"/>
      <c r="V657" s="1127"/>
      <c r="W657" s="1127"/>
      <c r="X657" s="1142"/>
      <c r="Y657" s="1127"/>
      <c r="Z657" s="1127"/>
      <c r="AA657" s="1127"/>
      <c r="AB657" s="1127"/>
      <c r="AC657" s="1127"/>
      <c r="AD657" s="1127"/>
      <c r="AE657" s="1127"/>
      <c r="AF657" s="1127"/>
      <c r="AG657" s="1343"/>
    </row>
    <row r="658" spans="1:33" ht="141.75" hidden="1">
      <c r="A658" s="294">
        <v>6322</v>
      </c>
      <c r="B658" s="291" t="s">
        <v>422</v>
      </c>
      <c r="C658" s="824"/>
      <c r="D658" s="326"/>
      <c r="E658" s="294"/>
      <c r="F658" s="1017">
        <v>43227</v>
      </c>
      <c r="G658" s="1017">
        <v>43238</v>
      </c>
      <c r="H658" s="1875" t="s">
        <v>421</v>
      </c>
      <c r="I658" s="294" t="s">
        <v>181</v>
      </c>
      <c r="J658" s="307" t="s">
        <v>423</v>
      </c>
      <c r="K658" s="326" t="s">
        <v>424</v>
      </c>
      <c r="L658" s="1237">
        <v>23174</v>
      </c>
      <c r="M658" s="326"/>
      <c r="N658" s="294"/>
      <c r="O658" s="354">
        <v>3360</v>
      </c>
      <c r="P658" s="1014">
        <v>2</v>
      </c>
      <c r="Q658" s="299">
        <f t="shared" si="149"/>
        <v>6720</v>
      </c>
      <c r="R658" s="299"/>
      <c r="S658" s="355"/>
      <c r="T658" s="355"/>
      <c r="U658" s="355">
        <v>6720</v>
      </c>
      <c r="V658" s="355"/>
      <c r="W658" s="355"/>
      <c r="X658" s="1137"/>
      <c r="Y658" s="1126"/>
      <c r="Z658" s="1126"/>
      <c r="AA658" s="1126"/>
      <c r="AB658" s="1126"/>
      <c r="AC658" s="1126"/>
      <c r="AD658" s="1126"/>
      <c r="AE658" s="1126"/>
      <c r="AF658" s="1126"/>
      <c r="AG658" s="1282">
        <f t="shared" si="150"/>
        <v>6720</v>
      </c>
    </row>
    <row r="659" spans="1:33" ht="141.75" hidden="1">
      <c r="A659" s="294">
        <v>6322</v>
      </c>
      <c r="B659" s="291" t="s">
        <v>422</v>
      </c>
      <c r="C659" s="824"/>
      <c r="D659" s="326"/>
      <c r="E659" s="294"/>
      <c r="F659" s="1017">
        <v>43227</v>
      </c>
      <c r="G659" s="1017">
        <v>43238</v>
      </c>
      <c r="H659" s="1875" t="s">
        <v>421</v>
      </c>
      <c r="I659" s="294" t="s">
        <v>181</v>
      </c>
      <c r="J659" s="307" t="s">
        <v>423</v>
      </c>
      <c r="K659" s="326" t="s">
        <v>425</v>
      </c>
      <c r="L659" s="1237">
        <v>23174</v>
      </c>
      <c r="M659" s="326"/>
      <c r="N659" s="294"/>
      <c r="O659" s="354">
        <v>3200</v>
      </c>
      <c r="P659" s="1014">
        <v>2</v>
      </c>
      <c r="Q659" s="299">
        <f t="shared" si="149"/>
        <v>6400</v>
      </c>
      <c r="R659" s="299"/>
      <c r="S659" s="355"/>
      <c r="T659" s="355"/>
      <c r="U659" s="355">
        <v>6400</v>
      </c>
      <c r="V659" s="355"/>
      <c r="W659" s="355"/>
      <c r="X659" s="1137"/>
      <c r="Y659" s="1126"/>
      <c r="Z659" s="1126"/>
      <c r="AA659" s="1126"/>
      <c r="AB659" s="1126"/>
      <c r="AC659" s="1126"/>
      <c r="AD659" s="1126"/>
      <c r="AE659" s="1126"/>
      <c r="AF659" s="1126"/>
      <c r="AG659" s="1282">
        <f t="shared" si="150"/>
        <v>6400</v>
      </c>
    </row>
    <row r="660" spans="1:33" ht="141.75" hidden="1">
      <c r="A660" s="294">
        <v>6322</v>
      </c>
      <c r="B660" s="291" t="s">
        <v>422</v>
      </c>
      <c r="C660" s="824"/>
      <c r="D660" s="326"/>
      <c r="E660" s="294"/>
      <c r="F660" s="1017">
        <v>43227</v>
      </c>
      <c r="G660" s="1017">
        <v>43238</v>
      </c>
      <c r="H660" s="1875" t="s">
        <v>421</v>
      </c>
      <c r="I660" s="294" t="s">
        <v>181</v>
      </c>
      <c r="J660" s="307" t="s">
        <v>423</v>
      </c>
      <c r="K660" s="326" t="s">
        <v>426</v>
      </c>
      <c r="L660" s="1237">
        <v>23174</v>
      </c>
      <c r="M660" s="326"/>
      <c r="N660" s="294"/>
      <c r="O660" s="354">
        <v>1333.3333333333333</v>
      </c>
      <c r="P660" s="1014">
        <v>2</v>
      </c>
      <c r="Q660" s="299">
        <f t="shared" si="149"/>
        <v>2666.6666666666665</v>
      </c>
      <c r="R660" s="299"/>
      <c r="S660" s="355"/>
      <c r="T660" s="355"/>
      <c r="U660" s="355">
        <v>2666.6666666666665</v>
      </c>
      <c r="V660" s="355"/>
      <c r="W660" s="355"/>
      <c r="X660" s="1137"/>
      <c r="Y660" s="1126"/>
      <c r="Z660" s="1126"/>
      <c r="AA660" s="1126"/>
      <c r="AB660" s="1126"/>
      <c r="AC660" s="1126"/>
      <c r="AD660" s="1126"/>
      <c r="AE660" s="1126"/>
      <c r="AF660" s="1126"/>
      <c r="AG660" s="1282">
        <f t="shared" si="150"/>
        <v>2666.6666666666665</v>
      </c>
    </row>
    <row r="661" spans="1:33" ht="141.75" hidden="1">
      <c r="A661" s="294">
        <v>6322</v>
      </c>
      <c r="B661" s="291" t="s">
        <v>422</v>
      </c>
      <c r="C661" s="824"/>
      <c r="D661" s="326"/>
      <c r="E661" s="294"/>
      <c r="F661" s="1017">
        <v>43227</v>
      </c>
      <c r="G661" s="1017">
        <v>43238</v>
      </c>
      <c r="H661" s="1875" t="s">
        <v>421</v>
      </c>
      <c r="I661" s="294" t="s">
        <v>181</v>
      </c>
      <c r="J661" s="307" t="s">
        <v>423</v>
      </c>
      <c r="K661" s="326" t="s">
        <v>415</v>
      </c>
      <c r="L661" s="1237">
        <v>23173</v>
      </c>
      <c r="M661" s="326"/>
      <c r="N661" s="294"/>
      <c r="O661" s="354">
        <v>166.66666666666666</v>
      </c>
      <c r="P661" s="1014">
        <v>2</v>
      </c>
      <c r="Q661" s="299">
        <f t="shared" si="149"/>
        <v>333.33333333333331</v>
      </c>
      <c r="R661" s="299"/>
      <c r="S661" s="355"/>
      <c r="T661" s="355"/>
      <c r="U661" s="355">
        <v>333.33333333333331</v>
      </c>
      <c r="V661" s="355"/>
      <c r="W661" s="355"/>
      <c r="X661" s="1137"/>
      <c r="Y661" s="1126"/>
      <c r="Z661" s="1126"/>
      <c r="AA661" s="1126"/>
      <c r="AB661" s="1126"/>
      <c r="AC661" s="1126"/>
      <c r="AD661" s="1126"/>
      <c r="AE661" s="1126"/>
      <c r="AF661" s="1126"/>
      <c r="AG661" s="1282">
        <f t="shared" si="150"/>
        <v>333.33333333333331</v>
      </c>
    </row>
    <row r="662" spans="1:33" ht="141.75" hidden="1">
      <c r="A662" s="294">
        <v>6322</v>
      </c>
      <c r="B662" s="291" t="s">
        <v>422</v>
      </c>
      <c r="C662" s="824"/>
      <c r="D662" s="326"/>
      <c r="E662" s="294"/>
      <c r="F662" s="1017">
        <v>43227</v>
      </c>
      <c r="G662" s="1017">
        <v>43238</v>
      </c>
      <c r="H662" s="1875" t="s">
        <v>421</v>
      </c>
      <c r="I662" s="294" t="s">
        <v>181</v>
      </c>
      <c r="J662" s="307" t="s">
        <v>423</v>
      </c>
      <c r="K662" s="326" t="s">
        <v>427</v>
      </c>
      <c r="L662" s="1237">
        <v>23173</v>
      </c>
      <c r="M662" s="326"/>
      <c r="N662" s="294"/>
      <c r="O662" s="354">
        <v>1463</v>
      </c>
      <c r="P662" s="1014">
        <v>1</v>
      </c>
      <c r="Q662" s="299">
        <f t="shared" si="149"/>
        <v>1463</v>
      </c>
      <c r="R662" s="299"/>
      <c r="S662" s="355"/>
      <c r="T662" s="355"/>
      <c r="U662" s="355">
        <v>1463</v>
      </c>
      <c r="V662" s="355"/>
      <c r="W662" s="355"/>
      <c r="X662" s="1137"/>
      <c r="Y662" s="1126"/>
      <c r="Z662" s="1126"/>
      <c r="AA662" s="1126"/>
      <c r="AB662" s="1126"/>
      <c r="AC662" s="1126"/>
      <c r="AD662" s="1126"/>
      <c r="AE662" s="1126"/>
      <c r="AF662" s="1126"/>
      <c r="AG662" s="1282">
        <f t="shared" si="150"/>
        <v>1463</v>
      </c>
    </row>
    <row r="663" spans="1:33" ht="51.75" hidden="1" customHeight="1">
      <c r="A663" s="2789">
        <v>6323</v>
      </c>
      <c r="B663" s="2790" t="s">
        <v>428</v>
      </c>
      <c r="C663" s="2790" t="s">
        <v>429</v>
      </c>
      <c r="D663" s="2791"/>
      <c r="E663" s="2789"/>
      <c r="F663" s="2998">
        <v>43264</v>
      </c>
      <c r="G663" s="2998">
        <v>43264</v>
      </c>
      <c r="H663" s="2996" t="s">
        <v>421</v>
      </c>
      <c r="I663" s="2789" t="s">
        <v>181</v>
      </c>
      <c r="J663" s="2793" t="s">
        <v>423</v>
      </c>
      <c r="K663" s="1124"/>
      <c r="L663" s="1704"/>
      <c r="M663" s="1124"/>
      <c r="N663" s="1703"/>
      <c r="O663" s="1125"/>
      <c r="P663" s="2995"/>
      <c r="Q663" s="1127"/>
      <c r="R663" s="1127"/>
      <c r="S663" s="1126"/>
      <c r="T663" s="1126"/>
      <c r="U663" s="1126"/>
      <c r="V663" s="1126"/>
      <c r="W663" s="1126"/>
      <c r="X663" s="1137"/>
      <c r="Y663" s="1126"/>
      <c r="Z663" s="1126"/>
      <c r="AA663" s="1126"/>
      <c r="AB663" s="1126"/>
      <c r="AC663" s="1126"/>
      <c r="AD663" s="1126"/>
      <c r="AE663" s="1126"/>
      <c r="AF663" s="1126"/>
      <c r="AG663" s="1343"/>
    </row>
    <row r="664" spans="1:33" ht="141.75" hidden="1">
      <c r="A664" s="294">
        <v>6323</v>
      </c>
      <c r="B664" s="291" t="s">
        <v>428</v>
      </c>
      <c r="C664" s="824" t="s">
        <v>429</v>
      </c>
      <c r="D664" s="326"/>
      <c r="E664" s="294"/>
      <c r="F664" s="1017">
        <v>43264</v>
      </c>
      <c r="G664" s="1017">
        <v>43264</v>
      </c>
      <c r="H664" s="1875" t="s">
        <v>421</v>
      </c>
      <c r="I664" s="294" t="s">
        <v>181</v>
      </c>
      <c r="J664" s="307" t="s">
        <v>423</v>
      </c>
      <c r="K664" s="326" t="s">
        <v>418</v>
      </c>
      <c r="L664" s="1237">
        <v>23173</v>
      </c>
      <c r="M664" s="326"/>
      <c r="N664" s="294"/>
      <c r="O664" s="354">
        <v>666.66666666666663</v>
      </c>
      <c r="P664" s="1014">
        <v>1</v>
      </c>
      <c r="Q664" s="299">
        <f t="shared" si="149"/>
        <v>666.66666666666663</v>
      </c>
      <c r="R664" s="299"/>
      <c r="S664" s="355"/>
      <c r="T664" s="355"/>
      <c r="U664" s="355"/>
      <c r="V664" s="355">
        <v>666.66666666666663</v>
      </c>
      <c r="W664" s="355"/>
      <c r="X664" s="1137"/>
      <c r="Y664" s="1126"/>
      <c r="Z664" s="1126"/>
      <c r="AA664" s="1126"/>
      <c r="AB664" s="1126"/>
      <c r="AC664" s="1126"/>
      <c r="AD664" s="1126"/>
      <c r="AE664" s="1126"/>
      <c r="AF664" s="1126"/>
      <c r="AG664" s="1282">
        <f t="shared" si="150"/>
        <v>666.66666666666663</v>
      </c>
    </row>
    <row r="665" spans="1:33" ht="141.75" hidden="1">
      <c r="A665" s="294">
        <v>6323</v>
      </c>
      <c r="B665" s="291" t="s">
        <v>428</v>
      </c>
      <c r="C665" s="824" t="s">
        <v>429</v>
      </c>
      <c r="D665" s="326"/>
      <c r="E665" s="294"/>
      <c r="F665" s="1017">
        <v>43264</v>
      </c>
      <c r="G665" s="1017">
        <v>43264</v>
      </c>
      <c r="H665" s="1875" t="s">
        <v>421</v>
      </c>
      <c r="I665" s="294" t="s">
        <v>181</v>
      </c>
      <c r="J665" s="307" t="s">
        <v>423</v>
      </c>
      <c r="K665" s="326" t="s">
        <v>415</v>
      </c>
      <c r="L665" s="1237">
        <v>23173</v>
      </c>
      <c r="M665" s="326"/>
      <c r="N665" s="294"/>
      <c r="O665" s="354">
        <v>333.33333333333331</v>
      </c>
      <c r="P665" s="1014">
        <v>1</v>
      </c>
      <c r="Q665" s="299">
        <f t="shared" si="149"/>
        <v>333.33333333333331</v>
      </c>
      <c r="R665" s="299"/>
      <c r="S665" s="355"/>
      <c r="T665" s="355"/>
      <c r="U665" s="355"/>
      <c r="V665" s="355">
        <v>333.33333333333331</v>
      </c>
      <c r="W665" s="355"/>
      <c r="X665" s="1137"/>
      <c r="Y665" s="1126"/>
      <c r="Z665" s="1126"/>
      <c r="AA665" s="1126"/>
      <c r="AB665" s="1126"/>
      <c r="AC665" s="1126"/>
      <c r="AD665" s="1126"/>
      <c r="AE665" s="1126"/>
      <c r="AF665" s="1126"/>
      <c r="AG665" s="1282">
        <f t="shared" si="150"/>
        <v>333.33333333333331</v>
      </c>
    </row>
    <row r="666" spans="1:33" ht="141.75" hidden="1">
      <c r="A666" s="294">
        <v>6323</v>
      </c>
      <c r="B666" s="291" t="s">
        <v>428</v>
      </c>
      <c r="C666" s="824" t="s">
        <v>429</v>
      </c>
      <c r="D666" s="326"/>
      <c r="E666" s="294"/>
      <c r="F666" s="1017">
        <v>43264</v>
      </c>
      <c r="G666" s="1017">
        <v>43264</v>
      </c>
      <c r="H666" s="1875" t="s">
        <v>421</v>
      </c>
      <c r="I666" s="294" t="s">
        <v>181</v>
      </c>
      <c r="J666" s="307" t="s">
        <v>423</v>
      </c>
      <c r="K666" s="326" t="s">
        <v>430</v>
      </c>
      <c r="L666" s="1237">
        <v>23173</v>
      </c>
      <c r="M666" s="326"/>
      <c r="N666" s="294"/>
      <c r="O666" s="354">
        <v>23.33</v>
      </c>
      <c r="P666" s="1014">
        <v>200</v>
      </c>
      <c r="Q666" s="299">
        <f t="shared" si="149"/>
        <v>4666</v>
      </c>
      <c r="R666" s="299"/>
      <c r="S666" s="355"/>
      <c r="T666" s="355"/>
      <c r="U666" s="355"/>
      <c r="V666" s="355"/>
      <c r="W666" s="355">
        <v>4666</v>
      </c>
      <c r="X666" s="1137"/>
      <c r="Y666" s="1126"/>
      <c r="Z666" s="1126"/>
      <c r="AA666" s="1126"/>
      <c r="AB666" s="1126"/>
      <c r="AC666" s="1126"/>
      <c r="AD666" s="1126"/>
      <c r="AE666" s="1126"/>
      <c r="AF666" s="1126"/>
      <c r="AG666" s="1282">
        <f t="shared" si="150"/>
        <v>4666</v>
      </c>
    </row>
    <row r="667" spans="1:33" ht="47.25" hidden="1" customHeight="1">
      <c r="A667" s="2789">
        <v>6324</v>
      </c>
      <c r="B667" s="2790" t="s">
        <v>431</v>
      </c>
      <c r="C667" s="2790" t="s">
        <v>432</v>
      </c>
      <c r="D667" s="2791"/>
      <c r="E667" s="2789"/>
      <c r="F667" s="2998">
        <v>43255</v>
      </c>
      <c r="G667" s="2998">
        <v>43287</v>
      </c>
      <c r="H667" s="2996" t="s">
        <v>421</v>
      </c>
      <c r="I667" s="2789" t="s">
        <v>181</v>
      </c>
      <c r="J667" s="2793" t="s">
        <v>423</v>
      </c>
      <c r="K667" s="1124"/>
      <c r="L667" s="1704"/>
      <c r="M667" s="1124"/>
      <c r="N667" s="1703"/>
      <c r="O667" s="1125"/>
      <c r="P667" s="2995"/>
      <c r="Q667" s="1127"/>
      <c r="R667" s="1127"/>
      <c r="S667" s="1126"/>
      <c r="T667" s="1126"/>
      <c r="U667" s="1126"/>
      <c r="V667" s="1126"/>
      <c r="W667" s="1126"/>
      <c r="X667" s="1137"/>
      <c r="Y667" s="1126"/>
      <c r="Z667" s="1126"/>
      <c r="AA667" s="1126"/>
      <c r="AB667" s="1126"/>
      <c r="AC667" s="1126"/>
      <c r="AD667" s="1126"/>
      <c r="AE667" s="1126"/>
      <c r="AF667" s="1126"/>
      <c r="AG667" s="1343"/>
    </row>
    <row r="668" spans="1:33" ht="141.75" hidden="1">
      <c r="A668" s="294">
        <v>6324</v>
      </c>
      <c r="B668" s="291" t="s">
        <v>431</v>
      </c>
      <c r="C668" s="824" t="s">
        <v>432</v>
      </c>
      <c r="D668" s="326"/>
      <c r="E668" s="294"/>
      <c r="F668" s="1017">
        <v>43255</v>
      </c>
      <c r="G668" s="1017">
        <v>43287</v>
      </c>
      <c r="H668" s="1875" t="s">
        <v>421</v>
      </c>
      <c r="I668" s="294" t="s">
        <v>181</v>
      </c>
      <c r="J668" s="307" t="s">
        <v>423</v>
      </c>
      <c r="K668" s="326" t="s">
        <v>433</v>
      </c>
      <c r="L668" s="1237">
        <v>23174</v>
      </c>
      <c r="M668" s="326"/>
      <c r="N668" s="294"/>
      <c r="O668" s="354">
        <v>3360</v>
      </c>
      <c r="P668" s="1014">
        <v>3</v>
      </c>
      <c r="Q668" s="299">
        <f t="shared" si="149"/>
        <v>10080</v>
      </c>
      <c r="R668" s="299"/>
      <c r="S668" s="355"/>
      <c r="T668" s="355"/>
      <c r="U668" s="355"/>
      <c r="V668" s="299">
        <v>6720</v>
      </c>
      <c r="W668" s="299">
        <v>3360</v>
      </c>
      <c r="X668" s="1137"/>
      <c r="Y668" s="1126"/>
      <c r="Z668" s="1126"/>
      <c r="AA668" s="1126"/>
      <c r="AB668" s="1126"/>
      <c r="AC668" s="1126"/>
      <c r="AD668" s="1126"/>
      <c r="AE668" s="1126"/>
      <c r="AF668" s="1126"/>
      <c r="AG668" s="1282">
        <f t="shared" si="150"/>
        <v>10080</v>
      </c>
    </row>
    <row r="669" spans="1:33" ht="141.75" hidden="1">
      <c r="A669" s="294">
        <v>6324</v>
      </c>
      <c r="B669" s="291" t="s">
        <v>431</v>
      </c>
      <c r="C669" s="824" t="s">
        <v>432</v>
      </c>
      <c r="D669" s="326"/>
      <c r="E669" s="294"/>
      <c r="F669" s="1017">
        <v>43255</v>
      </c>
      <c r="G669" s="1017">
        <v>43287</v>
      </c>
      <c r="H669" s="1875" t="s">
        <v>421</v>
      </c>
      <c r="I669" s="294" t="s">
        <v>181</v>
      </c>
      <c r="J669" s="307" t="s">
        <v>423</v>
      </c>
      <c r="K669" s="326" t="s">
        <v>434</v>
      </c>
      <c r="L669" s="1237">
        <v>23174</v>
      </c>
      <c r="M669" s="326"/>
      <c r="N669" s="294"/>
      <c r="O669" s="354">
        <v>3200</v>
      </c>
      <c r="P669" s="1014">
        <v>3</v>
      </c>
      <c r="Q669" s="299">
        <f t="shared" si="149"/>
        <v>9600</v>
      </c>
      <c r="R669" s="299"/>
      <c r="S669" s="355"/>
      <c r="T669" s="355"/>
      <c r="U669" s="355"/>
      <c r="V669" s="299">
        <v>6400</v>
      </c>
      <c r="W669" s="299">
        <v>3200</v>
      </c>
      <c r="X669" s="1137"/>
      <c r="Y669" s="1126"/>
      <c r="Z669" s="1126"/>
      <c r="AA669" s="1126"/>
      <c r="AB669" s="1126"/>
      <c r="AC669" s="1126"/>
      <c r="AD669" s="1126"/>
      <c r="AE669" s="1126"/>
      <c r="AF669" s="1126"/>
      <c r="AG669" s="1282">
        <f t="shared" si="150"/>
        <v>9600</v>
      </c>
    </row>
    <row r="670" spans="1:33" ht="141.75" hidden="1">
      <c r="A670" s="294">
        <v>6324</v>
      </c>
      <c r="B670" s="291" t="s">
        <v>431</v>
      </c>
      <c r="C670" s="824" t="s">
        <v>432</v>
      </c>
      <c r="D670" s="326"/>
      <c r="E670" s="294"/>
      <c r="F670" s="1017">
        <v>43255</v>
      </c>
      <c r="G670" s="1017">
        <v>43287</v>
      </c>
      <c r="H670" s="1875" t="s">
        <v>421</v>
      </c>
      <c r="I670" s="294" t="s">
        <v>181</v>
      </c>
      <c r="J670" s="307" t="s">
        <v>423</v>
      </c>
      <c r="K670" s="326" t="s">
        <v>435</v>
      </c>
      <c r="L670" s="1237">
        <v>23174</v>
      </c>
      <c r="M670" s="326"/>
      <c r="N670" s="294"/>
      <c r="O670" s="354">
        <v>1333.3333333333333</v>
      </c>
      <c r="P670" s="1014">
        <v>3</v>
      </c>
      <c r="Q670" s="299">
        <f t="shared" si="149"/>
        <v>4000</v>
      </c>
      <c r="R670" s="299"/>
      <c r="S670" s="355"/>
      <c r="T670" s="355"/>
      <c r="U670" s="355"/>
      <c r="V670" s="299">
        <v>2666.6666666666665</v>
      </c>
      <c r="W670" s="299">
        <v>1333.3333333333333</v>
      </c>
      <c r="X670" s="1137"/>
      <c r="Y670" s="1126"/>
      <c r="Z670" s="1126"/>
      <c r="AA670" s="1126"/>
      <c r="AB670" s="1126"/>
      <c r="AC670" s="1126"/>
      <c r="AD670" s="1126"/>
      <c r="AE670" s="1126"/>
      <c r="AF670" s="1126"/>
      <c r="AG670" s="1282">
        <f t="shared" si="150"/>
        <v>4000</v>
      </c>
    </row>
    <row r="671" spans="1:33" ht="141.75" hidden="1">
      <c r="A671" s="294">
        <v>6324</v>
      </c>
      <c r="B671" s="291" t="s">
        <v>431</v>
      </c>
      <c r="C671" s="824" t="s">
        <v>432</v>
      </c>
      <c r="D671" s="326"/>
      <c r="E671" s="294"/>
      <c r="F671" s="1017">
        <v>43255</v>
      </c>
      <c r="G671" s="1017">
        <v>43287</v>
      </c>
      <c r="H671" s="1875" t="s">
        <v>421</v>
      </c>
      <c r="I671" s="294" t="s">
        <v>181</v>
      </c>
      <c r="J671" s="307" t="s">
        <v>423</v>
      </c>
      <c r="K671" s="326" t="s">
        <v>415</v>
      </c>
      <c r="L671" s="1237">
        <v>23173</v>
      </c>
      <c r="M671" s="326"/>
      <c r="N671" s="294"/>
      <c r="O671" s="354">
        <v>1666.66</v>
      </c>
      <c r="P671" s="1014">
        <v>3</v>
      </c>
      <c r="Q671" s="299">
        <f t="shared" si="149"/>
        <v>4999.9800000000005</v>
      </c>
      <c r="R671" s="299"/>
      <c r="S671" s="355"/>
      <c r="T671" s="355"/>
      <c r="U671" s="355"/>
      <c r="V671" s="299">
        <v>3333.3199999999997</v>
      </c>
      <c r="W671" s="299">
        <v>1666.6599999999999</v>
      </c>
      <c r="X671" s="1137"/>
      <c r="Y671" s="1126"/>
      <c r="Z671" s="1126"/>
      <c r="AA671" s="1126"/>
      <c r="AB671" s="1126"/>
      <c r="AC671" s="1126"/>
      <c r="AD671" s="1126"/>
      <c r="AE671" s="1126"/>
      <c r="AF671" s="1126"/>
      <c r="AG671" s="1282">
        <f t="shared" si="150"/>
        <v>4999.9799999999996</v>
      </c>
    </row>
    <row r="672" spans="1:33" ht="141.75" hidden="1">
      <c r="A672" s="294">
        <v>6324</v>
      </c>
      <c r="B672" s="291" t="s">
        <v>431</v>
      </c>
      <c r="C672" s="824" t="s">
        <v>432</v>
      </c>
      <c r="D672" s="326"/>
      <c r="E672" s="294"/>
      <c r="F672" s="1017">
        <v>43255</v>
      </c>
      <c r="G672" s="1017">
        <v>43287</v>
      </c>
      <c r="H672" s="1875" t="s">
        <v>421</v>
      </c>
      <c r="I672" s="294" t="s">
        <v>181</v>
      </c>
      <c r="J672" s="307" t="s">
        <v>423</v>
      </c>
      <c r="K672" s="326" t="s">
        <v>436</v>
      </c>
      <c r="L672" s="1237">
        <v>23173</v>
      </c>
      <c r="M672" s="326"/>
      <c r="N672" s="294"/>
      <c r="O672" s="354">
        <v>23.33</v>
      </c>
      <c r="P672" s="1014">
        <v>200</v>
      </c>
      <c r="Q672" s="299">
        <f t="shared" si="149"/>
        <v>4666</v>
      </c>
      <c r="R672" s="913"/>
      <c r="S672" s="1111"/>
      <c r="T672" s="1111"/>
      <c r="U672" s="1111"/>
      <c r="V672" s="1111"/>
      <c r="W672" s="1111"/>
      <c r="X672" s="1600">
        <v>4666</v>
      </c>
      <c r="Y672" s="1126"/>
      <c r="Z672" s="1126"/>
      <c r="AA672" s="1126"/>
      <c r="AB672" s="1126"/>
      <c r="AC672" s="1126"/>
      <c r="AD672" s="1126"/>
      <c r="AE672" s="1126"/>
      <c r="AF672" s="1126"/>
      <c r="AG672" s="1282">
        <f t="shared" si="150"/>
        <v>4666</v>
      </c>
    </row>
    <row r="673" spans="1:33" ht="29.25" customHeight="1">
      <c r="A673" s="1876" t="s">
        <v>967</v>
      </c>
      <c r="B673" s="1877"/>
      <c r="C673" s="1878"/>
      <c r="D673" s="1879"/>
      <c r="E673" s="1879"/>
      <c r="F673" s="1879"/>
      <c r="G673" s="1879"/>
      <c r="H673" s="1879"/>
      <c r="I673" s="1879"/>
      <c r="J673" s="1877"/>
      <c r="K673" s="1880"/>
      <c r="L673" s="1879"/>
      <c r="M673" s="1879"/>
      <c r="N673" s="1879"/>
      <c r="O673" s="1879"/>
      <c r="P673" s="1881"/>
      <c r="Q673" s="2831">
        <f>Q7+Q242+Q403+Q493+Q629+Q633</f>
        <v>3000000.2165516666</v>
      </c>
      <c r="R673" s="2831">
        <f>+R7+R242+R403+R493+R629+R633</f>
        <v>3000000.2195833335</v>
      </c>
      <c r="S673" s="1882">
        <f t="shared" ref="S673:AG673" si="151">S7+S242+S403+S493+S629+S633</f>
        <v>0</v>
      </c>
      <c r="T673" s="1882">
        <f t="shared" si="151"/>
        <v>528087.73300000001</v>
      </c>
      <c r="U673" s="1882">
        <f t="shared" si="151"/>
        <v>700099.02746833337</v>
      </c>
      <c r="V673" s="1882">
        <f t="shared" si="151"/>
        <v>722283.3158333333</v>
      </c>
      <c r="W673" s="1882">
        <f t="shared" si="151"/>
        <v>393363.10145833332</v>
      </c>
      <c r="X673" s="1882">
        <f t="shared" si="151"/>
        <v>321211.94487500004</v>
      </c>
      <c r="Y673" s="1882">
        <f t="shared" si="151"/>
        <v>276848.42725000001</v>
      </c>
      <c r="Z673" s="1882">
        <f t="shared" si="151"/>
        <v>34266.666666666672</v>
      </c>
      <c r="AA673" s="1882">
        <f t="shared" si="151"/>
        <v>11640</v>
      </c>
      <c r="AB673" s="1882">
        <f t="shared" si="151"/>
        <v>500</v>
      </c>
      <c r="AC673" s="1882">
        <f t="shared" si="151"/>
        <v>500</v>
      </c>
      <c r="AD673" s="1882">
        <f t="shared" si="151"/>
        <v>10200</v>
      </c>
      <c r="AE673" s="1882">
        <f t="shared" si="151"/>
        <v>500</v>
      </c>
      <c r="AF673" s="1882">
        <f t="shared" si="151"/>
        <v>500</v>
      </c>
      <c r="AG673" s="1882">
        <f t="shared" si="151"/>
        <v>3000000.2165516666</v>
      </c>
    </row>
    <row r="674" spans="1:33">
      <c r="AE674" s="357"/>
      <c r="AG674" s="1614"/>
    </row>
    <row r="675" spans="1:33">
      <c r="AE675" s="357"/>
      <c r="AG675" s="357"/>
    </row>
    <row r="676" spans="1:33">
      <c r="AE676" s="357"/>
      <c r="AG676" s="357"/>
    </row>
  </sheetData>
  <mergeCells count="6">
    <mergeCell ref="A626:I626"/>
    <mergeCell ref="A2:AG2"/>
    <mergeCell ref="F5:G5"/>
    <mergeCell ref="I5:J5"/>
    <mergeCell ref="S5:Y5"/>
    <mergeCell ref="A602:I602"/>
  </mergeCells>
  <conditionalFormatting sqref="F546 G559:G562">
    <cfRule type="cellIs" dxfId="194" priority="61" operator="lessThanOrEqual">
      <formula>0</formula>
    </cfRule>
  </conditionalFormatting>
  <conditionalFormatting sqref="G546">
    <cfRule type="cellIs" dxfId="193" priority="60" operator="lessThanOrEqual">
      <formula>0</formula>
    </cfRule>
  </conditionalFormatting>
  <conditionalFormatting sqref="G546">
    <cfRule type="cellIs" dxfId="192" priority="59" operator="lessThanOrEqual">
      <formula>0</formula>
    </cfRule>
  </conditionalFormatting>
  <conditionalFormatting sqref="F559">
    <cfRule type="cellIs" dxfId="191" priority="52" operator="lessThanOrEqual">
      <formula>0</formula>
    </cfRule>
  </conditionalFormatting>
  <conditionalFormatting sqref="F561">
    <cfRule type="cellIs" dxfId="190" priority="51" operator="lessThanOrEqual">
      <formula>0</formula>
    </cfRule>
  </conditionalFormatting>
  <conditionalFormatting sqref="F551">
    <cfRule type="cellIs" dxfId="189" priority="58" operator="lessThanOrEqual">
      <formula>0</formula>
    </cfRule>
  </conditionalFormatting>
  <conditionalFormatting sqref="F553">
    <cfRule type="cellIs" dxfId="188" priority="57" operator="lessThanOrEqual">
      <formula>0</formula>
    </cfRule>
  </conditionalFormatting>
  <conditionalFormatting sqref="F555">
    <cfRule type="cellIs" dxfId="187" priority="56" operator="lessThanOrEqual">
      <formula>0</formula>
    </cfRule>
  </conditionalFormatting>
  <conditionalFormatting sqref="F557">
    <cfRule type="cellIs" dxfId="186" priority="55" operator="lessThanOrEqual">
      <formula>0</formula>
    </cfRule>
  </conditionalFormatting>
  <conditionalFormatting sqref="F562">
    <cfRule type="cellIs" dxfId="185" priority="54" operator="lessThanOrEqual">
      <formula>0</formula>
    </cfRule>
  </conditionalFormatting>
  <conditionalFormatting sqref="F560">
    <cfRule type="cellIs" dxfId="184" priority="53" operator="lessThanOrEqual">
      <formula>0</formula>
    </cfRule>
  </conditionalFormatting>
  <conditionalFormatting sqref="F566">
    <cfRule type="cellIs" dxfId="183" priority="50" operator="lessThanOrEqual">
      <formula>0</formula>
    </cfRule>
  </conditionalFormatting>
  <conditionalFormatting sqref="F576">
    <cfRule type="cellIs" dxfId="182" priority="48" operator="lessThanOrEqual">
      <formula>0</formula>
    </cfRule>
  </conditionalFormatting>
  <conditionalFormatting sqref="F570">
    <cfRule type="cellIs" dxfId="181" priority="49" operator="lessThanOrEqual">
      <formula>0</formula>
    </cfRule>
  </conditionalFormatting>
  <conditionalFormatting sqref="F577">
    <cfRule type="cellIs" dxfId="180" priority="47" operator="lessThanOrEqual">
      <formula>0</formula>
    </cfRule>
  </conditionalFormatting>
  <conditionalFormatting sqref="F579">
    <cfRule type="cellIs" dxfId="179" priority="46" operator="lessThanOrEqual">
      <formula>0</formula>
    </cfRule>
  </conditionalFormatting>
  <conditionalFormatting sqref="F550">
    <cfRule type="cellIs" dxfId="178" priority="44" operator="lessThanOrEqual">
      <formula>0</formula>
    </cfRule>
  </conditionalFormatting>
  <conditionalFormatting sqref="F574">
    <cfRule type="cellIs" dxfId="177" priority="45" operator="lessThanOrEqual">
      <formula>0</formula>
    </cfRule>
  </conditionalFormatting>
  <conditionalFormatting sqref="G551">
    <cfRule type="cellIs" dxfId="176" priority="41" operator="lessThanOrEqual">
      <formula>0</formula>
    </cfRule>
  </conditionalFormatting>
  <conditionalFormatting sqref="G550">
    <cfRule type="cellIs" dxfId="175" priority="43" operator="lessThanOrEqual">
      <formula>0</formula>
    </cfRule>
  </conditionalFormatting>
  <conditionalFormatting sqref="G550">
    <cfRule type="cellIs" dxfId="174" priority="42" operator="lessThanOrEqual">
      <formula>0</formula>
    </cfRule>
  </conditionalFormatting>
  <conditionalFormatting sqref="G551">
    <cfRule type="cellIs" dxfId="173" priority="40" operator="lessThanOrEqual">
      <formula>0</formula>
    </cfRule>
  </conditionalFormatting>
  <conditionalFormatting sqref="F552">
    <cfRule type="cellIs" dxfId="172" priority="39" operator="lessThanOrEqual">
      <formula>0</formula>
    </cfRule>
  </conditionalFormatting>
  <conditionalFormatting sqref="G552">
    <cfRule type="cellIs" dxfId="171" priority="38" operator="lessThanOrEqual">
      <formula>0</formula>
    </cfRule>
  </conditionalFormatting>
  <conditionalFormatting sqref="G552">
    <cfRule type="cellIs" dxfId="170" priority="37" operator="lessThanOrEqual">
      <formula>0</formula>
    </cfRule>
  </conditionalFormatting>
  <conditionalFormatting sqref="G553">
    <cfRule type="cellIs" dxfId="169" priority="36" operator="lessThanOrEqual">
      <formula>0</formula>
    </cfRule>
  </conditionalFormatting>
  <conditionalFormatting sqref="G553">
    <cfRule type="cellIs" dxfId="168" priority="35" operator="lessThanOrEqual">
      <formula>0</formula>
    </cfRule>
  </conditionalFormatting>
  <conditionalFormatting sqref="G555">
    <cfRule type="cellIs" dxfId="167" priority="34" operator="lessThanOrEqual">
      <formula>0</formula>
    </cfRule>
  </conditionalFormatting>
  <conditionalFormatting sqref="G555">
    <cfRule type="cellIs" dxfId="166" priority="33" operator="lessThanOrEqual">
      <formula>0</formula>
    </cfRule>
  </conditionalFormatting>
  <conditionalFormatting sqref="G557">
    <cfRule type="cellIs" dxfId="165" priority="32" operator="lessThanOrEqual">
      <formula>0</formula>
    </cfRule>
  </conditionalFormatting>
  <conditionalFormatting sqref="G557">
    <cfRule type="cellIs" dxfId="164" priority="31" operator="lessThanOrEqual">
      <formula>0</formula>
    </cfRule>
  </conditionalFormatting>
  <conditionalFormatting sqref="F564">
    <cfRule type="cellIs" dxfId="163" priority="30" operator="lessThanOrEqual">
      <formula>0</formula>
    </cfRule>
  </conditionalFormatting>
  <conditionalFormatting sqref="G574">
    <cfRule type="cellIs" dxfId="162" priority="22" operator="lessThanOrEqual">
      <formula>0</formula>
    </cfRule>
  </conditionalFormatting>
  <conditionalFormatting sqref="G564">
    <cfRule type="cellIs" dxfId="161" priority="29" operator="lessThanOrEqual">
      <formula>0</formula>
    </cfRule>
  </conditionalFormatting>
  <conditionalFormatting sqref="G566">
    <cfRule type="cellIs" dxfId="160" priority="28" operator="lessThanOrEqual">
      <formula>0</formula>
    </cfRule>
  </conditionalFormatting>
  <conditionalFormatting sqref="F567:F568">
    <cfRule type="cellIs" dxfId="159" priority="27" operator="lessThanOrEqual">
      <formula>0</formula>
    </cfRule>
  </conditionalFormatting>
  <conditionalFormatting sqref="G567:G568">
    <cfRule type="cellIs" dxfId="158" priority="26" operator="lessThanOrEqual">
      <formula>0</formula>
    </cfRule>
  </conditionalFormatting>
  <conditionalFormatting sqref="G570">
    <cfRule type="cellIs" dxfId="157" priority="25" operator="lessThanOrEqual">
      <formula>0</formula>
    </cfRule>
  </conditionalFormatting>
  <conditionalFormatting sqref="F571:F572">
    <cfRule type="cellIs" dxfId="156" priority="24" operator="lessThanOrEqual">
      <formula>0</formula>
    </cfRule>
  </conditionalFormatting>
  <conditionalFormatting sqref="G571:G572">
    <cfRule type="cellIs" dxfId="155" priority="23" operator="lessThanOrEqual">
      <formula>0</formula>
    </cfRule>
  </conditionalFormatting>
  <conditionalFormatting sqref="G576:G577">
    <cfRule type="cellIs" dxfId="154" priority="21" operator="lessThanOrEqual">
      <formula>0</formula>
    </cfRule>
  </conditionalFormatting>
  <conditionalFormatting sqref="F580">
    <cfRule type="cellIs" dxfId="153" priority="19" operator="lessThanOrEqual">
      <formula>0</formula>
    </cfRule>
  </conditionalFormatting>
  <conditionalFormatting sqref="G579:G580">
    <cfRule type="cellIs" dxfId="152" priority="20" operator="lessThanOrEqual">
      <formula>0</formula>
    </cfRule>
  </conditionalFormatting>
  <conditionalFormatting sqref="F584">
    <cfRule type="cellIs" dxfId="151" priority="15" operator="lessThanOrEqual">
      <formula>0</formula>
    </cfRule>
  </conditionalFormatting>
  <conditionalFormatting sqref="F581:F583">
    <cfRule type="cellIs" dxfId="150" priority="18" operator="lessThanOrEqual">
      <formula>0</formula>
    </cfRule>
  </conditionalFormatting>
  <conditionalFormatting sqref="G584">
    <cfRule type="cellIs" dxfId="149" priority="16" operator="lessThanOrEqual">
      <formula>0</formula>
    </cfRule>
  </conditionalFormatting>
  <conditionalFormatting sqref="F547">
    <cfRule type="cellIs" dxfId="148" priority="12" operator="lessThanOrEqual">
      <formula>0</formula>
    </cfRule>
  </conditionalFormatting>
  <conditionalFormatting sqref="G581:G583">
    <cfRule type="cellIs" dxfId="147" priority="17" operator="lessThanOrEqual">
      <formula>0</formula>
    </cfRule>
  </conditionalFormatting>
  <conditionalFormatting sqref="F573">
    <cfRule type="cellIs" dxfId="146" priority="14" operator="lessThanOrEqual">
      <formula>0</formula>
    </cfRule>
  </conditionalFormatting>
  <conditionalFormatting sqref="G573">
    <cfRule type="cellIs" dxfId="145" priority="13" operator="lessThanOrEqual">
      <formula>0</formula>
    </cfRule>
  </conditionalFormatting>
  <conditionalFormatting sqref="G547">
    <cfRule type="cellIs" dxfId="144" priority="11" operator="lessThanOrEqual">
      <formula>0</formula>
    </cfRule>
  </conditionalFormatting>
  <conditionalFormatting sqref="G547">
    <cfRule type="cellIs" dxfId="143" priority="10" operator="lessThanOrEqual">
      <formula>0</formula>
    </cfRule>
  </conditionalFormatting>
  <conditionalFormatting sqref="F548">
    <cfRule type="cellIs" dxfId="142" priority="9" operator="lessThanOrEqual">
      <formula>0</formula>
    </cfRule>
  </conditionalFormatting>
  <conditionalFormatting sqref="G548">
    <cfRule type="cellIs" dxfId="141" priority="8" operator="lessThanOrEqual">
      <formula>0</formula>
    </cfRule>
  </conditionalFormatting>
  <conditionalFormatting sqref="G548">
    <cfRule type="cellIs" dxfId="140" priority="7" operator="lessThanOrEqual">
      <formula>0</formula>
    </cfRule>
  </conditionalFormatting>
  <conditionalFormatting sqref="F164:G164">
    <cfRule type="timePeriod" dxfId="139" priority="5" timePeriod="lastWeek">
      <formula>AND(TODAY()-ROUNDDOWN(F164,0)&gt;=(WEEKDAY(TODAY())),TODAY()-ROUNDDOWN(F164,0)&lt;(WEEKDAY(TODAY())+7))</formula>
    </cfRule>
    <cfRule type="timePeriod" dxfId="138" priority="6" timePeriod="lastWeek">
      <formula>AND(TODAY()-ROUNDDOWN(F164,0)&gt;=(WEEKDAY(TODAY())),TODAY()-ROUNDDOWN(F164,0)&lt;(WEEKDAY(TODAY())+7))</formula>
    </cfRule>
  </conditionalFormatting>
  <conditionalFormatting sqref="F565">
    <cfRule type="cellIs" dxfId="137" priority="4" operator="lessThanOrEqual">
      <formula>0</formula>
    </cfRule>
  </conditionalFormatting>
  <conditionalFormatting sqref="G565">
    <cfRule type="cellIs" dxfId="136" priority="3" operator="lessThanOrEqual">
      <formula>0</formula>
    </cfRule>
  </conditionalFormatting>
  <conditionalFormatting sqref="F569">
    <cfRule type="cellIs" dxfId="135" priority="2" operator="lessThanOrEqual">
      <formula>0</formula>
    </cfRule>
  </conditionalFormatting>
  <conditionalFormatting sqref="G569">
    <cfRule type="cellIs" dxfId="134" priority="1" operator="lessThanOrEqual">
      <formula>0</formula>
    </cfRule>
  </conditionalFormatting>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AH603"/>
  <sheetViews>
    <sheetView topLeftCell="A535" zoomScale="60" zoomScaleNormal="60" workbookViewId="0">
      <selection activeCell="Q535" sqref="Q1:Q1048576"/>
    </sheetView>
  </sheetViews>
  <sheetFormatPr baseColWidth="10" defaultColWidth="11.42578125" defaultRowHeight="15.75"/>
  <cols>
    <col min="1" max="1" width="9" style="341" bestFit="1" customWidth="1"/>
    <col min="2" max="2" width="57.28515625" style="991" customWidth="1"/>
    <col min="3" max="3" width="60.5703125" style="1095" customWidth="1"/>
    <col min="4" max="4" width="13.28515625" style="357" hidden="1" customWidth="1"/>
    <col min="5" max="5" width="18.7109375" style="341" hidden="1" customWidth="1"/>
    <col min="6" max="6" width="14.7109375" style="340" hidden="1" customWidth="1"/>
    <col min="7" max="7" width="14.140625" style="340" hidden="1" customWidth="1"/>
    <col min="8" max="8" width="39" style="340" hidden="1" customWidth="1"/>
    <col min="9" max="9" width="22.28515625" style="341" bestFit="1" customWidth="1"/>
    <col min="10" max="10" width="28.28515625" style="336" customWidth="1"/>
    <col min="11" max="11" width="44.7109375" style="357" customWidth="1"/>
    <col min="12" max="12" width="9.85546875" style="1246" bestFit="1" customWidth="1"/>
    <col min="13" max="13" width="19" style="357" hidden="1" customWidth="1"/>
    <col min="14" max="14" width="33" style="341" hidden="1" customWidth="1"/>
    <col min="15" max="15" width="19.42578125" style="1018" bestFit="1" customWidth="1"/>
    <col min="16" max="16" width="14.140625" style="341" bestFit="1" customWidth="1"/>
    <col min="17" max="17" width="23.28515625" style="344" customWidth="1"/>
    <col min="18" max="18" width="23.7109375" style="344" bestFit="1" customWidth="1"/>
    <col min="19" max="19" width="17.5703125" style="577" customWidth="1"/>
    <col min="20" max="20" width="19.85546875" style="577" bestFit="1" customWidth="1"/>
    <col min="21" max="24" width="20.5703125" style="577" bestFit="1" customWidth="1"/>
    <col min="25" max="25" width="18.42578125" style="577" customWidth="1"/>
    <col min="26" max="26" width="18" style="1019" customWidth="1"/>
    <col min="27" max="27" width="17.7109375" style="1019" customWidth="1"/>
    <col min="28" max="28" width="16.5703125" style="1019" bestFit="1" customWidth="1"/>
    <col min="29" max="29" width="14.28515625" style="357" bestFit="1" customWidth="1"/>
    <col min="30" max="30" width="18.28515625" style="357" customWidth="1"/>
    <col min="31" max="31" width="14.28515625" bestFit="1" customWidth="1"/>
    <col min="32" max="32" width="14.28515625" style="357" bestFit="1" customWidth="1"/>
    <col min="33" max="33" width="22.28515625" style="574" bestFit="1" customWidth="1"/>
    <col min="34" max="34" width="15.85546875" style="357" customWidth="1"/>
    <col min="35" max="16384" width="11.42578125" style="357"/>
  </cols>
  <sheetData>
    <row r="1" spans="1:33" s="238" customFormat="1">
      <c r="A1" s="1249"/>
      <c r="B1" s="235"/>
      <c r="C1" s="235"/>
      <c r="D1" s="1250"/>
      <c r="E1" s="1249"/>
      <c r="F1" s="237"/>
      <c r="G1" s="237"/>
      <c r="H1" s="237"/>
      <c r="I1" s="237"/>
      <c r="J1" s="1486"/>
      <c r="L1" s="1228"/>
      <c r="N1" s="237"/>
      <c r="O1" s="239"/>
      <c r="P1" s="237"/>
      <c r="Q1" s="241"/>
      <c r="R1" s="241"/>
      <c r="S1" s="239"/>
      <c r="T1" s="239"/>
      <c r="U1" s="239"/>
      <c r="V1" s="239"/>
      <c r="W1" s="239"/>
      <c r="X1" s="239"/>
      <c r="Y1" s="239"/>
      <c r="Z1" s="242"/>
      <c r="AA1" s="242"/>
      <c r="AB1" s="242"/>
      <c r="AG1" s="239"/>
    </row>
    <row r="2" spans="1:33" s="238" customFormat="1" ht="31.5" customHeight="1">
      <c r="A2" s="3395" t="s">
        <v>202</v>
      </c>
      <c r="B2" s="3395"/>
      <c r="C2" s="3395"/>
      <c r="D2" s="3395"/>
      <c r="E2" s="3395"/>
      <c r="F2" s="3395"/>
      <c r="G2" s="3395"/>
      <c r="H2" s="3395"/>
      <c r="I2" s="3395"/>
      <c r="J2" s="3395"/>
      <c r="K2" s="3395"/>
      <c r="L2" s="3395"/>
      <c r="M2" s="3395"/>
      <c r="N2" s="3395"/>
      <c r="O2" s="3395"/>
      <c r="P2" s="3395"/>
      <c r="Q2" s="3395"/>
      <c r="R2" s="3395"/>
      <c r="S2" s="3395"/>
      <c r="T2" s="3395"/>
      <c r="U2" s="3395"/>
      <c r="V2" s="3395"/>
      <c r="W2" s="3395"/>
      <c r="X2" s="3395"/>
      <c r="Y2" s="3395"/>
      <c r="Z2" s="3395"/>
      <c r="AA2" s="3395"/>
      <c r="AB2" s="3395"/>
      <c r="AC2" s="3395"/>
      <c r="AD2" s="3395"/>
      <c r="AE2" s="3395"/>
      <c r="AF2" s="3395"/>
      <c r="AG2" s="3395"/>
    </row>
    <row r="3" spans="1:33" s="249" customFormat="1" ht="15.75" customHeight="1">
      <c r="A3" s="1252"/>
      <c r="B3" s="244"/>
      <c r="C3" s="1020"/>
      <c r="D3" s="1251"/>
      <c r="E3" s="1252"/>
      <c r="F3" s="1252"/>
      <c r="G3" s="1252"/>
      <c r="H3" s="1251"/>
      <c r="I3" s="1252"/>
      <c r="J3" s="245"/>
      <c r="K3" s="1253"/>
      <c r="L3" s="1254"/>
      <c r="M3" s="1251"/>
      <c r="N3" s="1252"/>
      <c r="O3" s="1255"/>
      <c r="P3" s="1252"/>
      <c r="Q3" s="1257"/>
      <c r="R3" s="1257"/>
      <c r="S3" s="1251"/>
      <c r="T3" s="1251"/>
      <c r="U3" s="1251"/>
      <c r="V3" s="1251"/>
      <c r="Z3" s="250"/>
      <c r="AA3" s="250"/>
      <c r="AB3" s="250"/>
    </row>
    <row r="4" spans="1:33" s="255" customFormat="1" ht="15">
      <c r="A4" s="1258"/>
      <c r="B4" s="252"/>
      <c r="C4" s="252"/>
      <c r="D4" s="1259"/>
      <c r="E4" s="1258"/>
      <c r="F4" s="254"/>
      <c r="G4" s="254"/>
      <c r="H4" s="254"/>
      <c r="I4" s="254"/>
      <c r="J4" s="1487"/>
      <c r="L4" s="1229"/>
      <c r="N4" s="254"/>
      <c r="O4" s="256"/>
      <c r="P4" s="254"/>
      <c r="Q4" s="258"/>
      <c r="R4" s="258"/>
      <c r="S4" s="256"/>
      <c r="T4" s="256"/>
      <c r="U4" s="256"/>
      <c r="V4" s="256"/>
      <c r="W4" s="256"/>
      <c r="X4" s="256"/>
      <c r="Y4" s="256"/>
      <c r="Z4" s="259"/>
      <c r="AA4" s="259"/>
      <c r="AB4" s="259"/>
    </row>
    <row r="5" spans="1:33" s="238" customFormat="1" ht="34.5" customHeight="1">
      <c r="A5" s="1523"/>
      <c r="B5" s="1494"/>
      <c r="C5" s="1494"/>
      <c r="D5" s="1259"/>
      <c r="E5" s="1258"/>
      <c r="F5" s="3396" t="s">
        <v>208</v>
      </c>
      <c r="G5" s="3396"/>
      <c r="H5" s="1483"/>
      <c r="I5" s="3397" t="s">
        <v>210</v>
      </c>
      <c r="J5" s="3398"/>
      <c r="Q5" s="2297"/>
      <c r="R5" s="2297"/>
      <c r="S5" s="3392" t="s">
        <v>219</v>
      </c>
      <c r="T5" s="3393"/>
      <c r="U5" s="3393"/>
      <c r="V5" s="3393"/>
      <c r="W5" s="3393"/>
      <c r="X5" s="3393"/>
      <c r="Y5" s="3394"/>
      <c r="Z5" s="243"/>
      <c r="AA5" s="243"/>
      <c r="AB5" s="243"/>
    </row>
    <row r="6" spans="1:33" s="237" customFormat="1" ht="60" customHeight="1">
      <c r="A6" s="1453" t="s">
        <v>203</v>
      </c>
      <c r="B6" s="1458" t="s">
        <v>204</v>
      </c>
      <c r="C6" s="1458" t="s">
        <v>205</v>
      </c>
      <c r="D6" s="1610" t="s">
        <v>206</v>
      </c>
      <c r="E6" s="1611" t="s">
        <v>207</v>
      </c>
      <c r="F6" s="1260" t="s">
        <v>220</v>
      </c>
      <c r="G6" s="261" t="s">
        <v>221</v>
      </c>
      <c r="H6" s="1612" t="s">
        <v>209</v>
      </c>
      <c r="I6" s="262" t="s">
        <v>222</v>
      </c>
      <c r="J6" s="262" t="s">
        <v>288</v>
      </c>
      <c r="K6" s="1454" t="s">
        <v>211</v>
      </c>
      <c r="L6" s="1453" t="s">
        <v>212</v>
      </c>
      <c r="M6" s="1457" t="s">
        <v>213</v>
      </c>
      <c r="N6" s="1457" t="s">
        <v>214</v>
      </c>
      <c r="O6" s="1613" t="s">
        <v>215</v>
      </c>
      <c r="P6" s="1454" t="s">
        <v>216</v>
      </c>
      <c r="Q6" s="2802" t="s">
        <v>286</v>
      </c>
      <c r="R6" s="1485" t="s">
        <v>287</v>
      </c>
      <c r="S6" s="263" t="s">
        <v>224</v>
      </c>
      <c r="T6" s="263" t="s">
        <v>225</v>
      </c>
      <c r="U6" s="263" t="s">
        <v>226</v>
      </c>
      <c r="V6" s="263" t="s">
        <v>227</v>
      </c>
      <c r="W6" s="263" t="s">
        <v>228</v>
      </c>
      <c r="X6" s="263" t="s">
        <v>229</v>
      </c>
      <c r="Y6" s="263" t="s">
        <v>230</v>
      </c>
      <c r="Z6" s="264" t="s">
        <v>289</v>
      </c>
      <c r="AA6" s="264" t="s">
        <v>290</v>
      </c>
      <c r="AB6" s="264" t="s">
        <v>291</v>
      </c>
      <c r="AC6" s="264" t="s">
        <v>975</v>
      </c>
      <c r="AD6" s="264" t="s">
        <v>976</v>
      </c>
      <c r="AE6" s="264" t="s">
        <v>224</v>
      </c>
      <c r="AF6" s="264" t="s">
        <v>225</v>
      </c>
      <c r="AG6" s="264" t="s">
        <v>41</v>
      </c>
    </row>
    <row r="7" spans="1:33" ht="33.75" customHeight="1">
      <c r="A7" s="1815" t="s">
        <v>231</v>
      </c>
      <c r="B7" s="1816"/>
      <c r="C7" s="1816"/>
      <c r="D7" s="1815"/>
      <c r="E7" s="1815"/>
      <c r="F7" s="1815"/>
      <c r="G7" s="1815"/>
      <c r="H7" s="1815"/>
      <c r="I7" s="1815"/>
      <c r="J7" s="835"/>
      <c r="K7" s="1815"/>
      <c r="L7" s="1817"/>
      <c r="M7" s="1818"/>
      <c r="N7" s="1819"/>
      <c r="O7" s="1820"/>
      <c r="P7" s="1819"/>
      <c r="Q7" s="1822">
        <f>+Q8+Q89</f>
        <v>449060.34300000005</v>
      </c>
      <c r="R7" s="1822">
        <f>+'[2]Compil Costing PPA 3 millions'!F5</f>
        <v>449500</v>
      </c>
      <c r="S7" s="1821">
        <f t="shared" ref="S7:AF7" si="0">+S8+S89</f>
        <v>0</v>
      </c>
      <c r="T7" s="1821">
        <f t="shared" si="0"/>
        <v>90453.066333333336</v>
      </c>
      <c r="U7" s="1821">
        <f t="shared" si="0"/>
        <v>77449.332666666669</v>
      </c>
      <c r="V7" s="1821">
        <f t="shared" si="0"/>
        <v>162495.72499999998</v>
      </c>
      <c r="W7" s="1821">
        <f t="shared" si="0"/>
        <v>83069.552333333326</v>
      </c>
      <c r="X7" s="1821">
        <f t="shared" si="0"/>
        <v>11161.666666666668</v>
      </c>
      <c r="Y7" s="1821">
        <f t="shared" si="0"/>
        <v>24431</v>
      </c>
      <c r="Z7" s="1821">
        <f t="shared" si="0"/>
        <v>0</v>
      </c>
      <c r="AA7" s="1821">
        <f t="shared" si="0"/>
        <v>0</v>
      </c>
      <c r="AB7" s="1821">
        <f t="shared" si="0"/>
        <v>0</v>
      </c>
      <c r="AC7" s="1821">
        <f t="shared" si="0"/>
        <v>0</v>
      </c>
      <c r="AD7" s="1821">
        <f t="shared" si="0"/>
        <v>0</v>
      </c>
      <c r="AE7" s="1821">
        <f t="shared" si="0"/>
        <v>0</v>
      </c>
      <c r="AF7" s="1821">
        <f t="shared" si="0"/>
        <v>0</v>
      </c>
      <c r="AG7" s="1821">
        <f>+AG8+AG89</f>
        <v>449060.34299999999</v>
      </c>
    </row>
    <row r="8" spans="1:33" ht="37.5" customHeight="1">
      <c r="A8" s="1248" t="s">
        <v>232</v>
      </c>
      <c r="B8" s="278"/>
      <c r="C8" s="278"/>
      <c r="D8" s="1248"/>
      <c r="E8" s="1248"/>
      <c r="F8" s="1248"/>
      <c r="G8" s="1248"/>
      <c r="H8" s="1248"/>
      <c r="I8" s="1248"/>
      <c r="J8" s="273"/>
      <c r="K8" s="1248"/>
      <c r="L8" s="1269"/>
      <c r="M8" s="1270"/>
      <c r="N8" s="1268"/>
      <c r="O8" s="1271"/>
      <c r="P8" s="1268"/>
      <c r="Q8" s="1273">
        <f>Q9</f>
        <v>134501.66666666669</v>
      </c>
      <c r="R8" s="1273">
        <f>R9</f>
        <v>0</v>
      </c>
      <c r="S8" s="1272">
        <f t="shared" ref="S8:AF8" si="1">S9</f>
        <v>0</v>
      </c>
      <c r="T8" s="1272">
        <f t="shared" si="1"/>
        <v>12036.666666666666</v>
      </c>
      <c r="U8" s="1272">
        <f t="shared" si="1"/>
        <v>30715.333333333332</v>
      </c>
      <c r="V8" s="1272">
        <f t="shared" si="1"/>
        <v>50562</v>
      </c>
      <c r="W8" s="1272">
        <f t="shared" si="1"/>
        <v>37168</v>
      </c>
      <c r="X8" s="1272">
        <f t="shared" si="1"/>
        <v>4019.666666666667</v>
      </c>
      <c r="Y8" s="1272">
        <f t="shared" si="1"/>
        <v>0</v>
      </c>
      <c r="Z8" s="1272">
        <f t="shared" si="1"/>
        <v>0</v>
      </c>
      <c r="AA8" s="1272">
        <f t="shared" si="1"/>
        <v>0</v>
      </c>
      <c r="AB8" s="1272">
        <f t="shared" si="1"/>
        <v>0</v>
      </c>
      <c r="AC8" s="1272">
        <f t="shared" si="1"/>
        <v>0</v>
      </c>
      <c r="AD8" s="1272">
        <f t="shared" si="1"/>
        <v>0</v>
      </c>
      <c r="AE8" s="1272">
        <f t="shared" si="1"/>
        <v>0</v>
      </c>
      <c r="AF8" s="1272">
        <f t="shared" si="1"/>
        <v>0</v>
      </c>
      <c r="AG8" s="1272">
        <f>AG9</f>
        <v>134501.66666666666</v>
      </c>
    </row>
    <row r="9" spans="1:33" ht="31.5" hidden="1">
      <c r="A9" s="1275">
        <v>111</v>
      </c>
      <c r="B9" s="1465" t="s">
        <v>619</v>
      </c>
      <c r="C9" s="1496"/>
      <c r="D9" s="1276"/>
      <c r="E9" s="1276"/>
      <c r="F9" s="1276"/>
      <c r="G9" s="1276"/>
      <c r="H9" s="1276"/>
      <c r="I9" s="1276"/>
      <c r="J9" s="283"/>
      <c r="K9" s="1278"/>
      <c r="L9" s="1279"/>
      <c r="M9" s="1280"/>
      <c r="N9" s="1277"/>
      <c r="O9" s="1281"/>
      <c r="P9" s="1277"/>
      <c r="Q9" s="547">
        <v>134501.66666666669</v>
      </c>
      <c r="R9" s="287"/>
      <c r="S9" s="1282">
        <f t="shared" ref="S9:AF9" si="2">SUM(S10:S88)</f>
        <v>0</v>
      </c>
      <c r="T9" s="1282">
        <f>SUM(T10:T88)</f>
        <v>12036.666666666666</v>
      </c>
      <c r="U9" s="1282">
        <f>SUM(U10:U88)</f>
        <v>30715.333333333332</v>
      </c>
      <c r="V9" s="1282">
        <f t="shared" si="2"/>
        <v>50562</v>
      </c>
      <c r="W9" s="1282">
        <f t="shared" si="2"/>
        <v>37168</v>
      </c>
      <c r="X9" s="1282">
        <f t="shared" si="2"/>
        <v>4019.666666666667</v>
      </c>
      <c r="Y9" s="1282">
        <f t="shared" si="2"/>
        <v>0</v>
      </c>
      <c r="Z9" s="1282">
        <f t="shared" si="2"/>
        <v>0</v>
      </c>
      <c r="AA9" s="1282">
        <f t="shared" si="2"/>
        <v>0</v>
      </c>
      <c r="AB9" s="1282">
        <f t="shared" si="2"/>
        <v>0</v>
      </c>
      <c r="AC9" s="1282">
        <f t="shared" si="2"/>
        <v>0</v>
      </c>
      <c r="AD9" s="1282">
        <f t="shared" si="2"/>
        <v>0</v>
      </c>
      <c r="AE9" s="1282">
        <f t="shared" si="2"/>
        <v>0</v>
      </c>
      <c r="AF9" s="1282">
        <f t="shared" si="2"/>
        <v>0</v>
      </c>
      <c r="AG9" s="1282">
        <f>SUM(S9:AF9)</f>
        <v>134501.66666666666</v>
      </c>
    </row>
    <row r="10" spans="1:33" ht="116.25" hidden="1" customHeight="1">
      <c r="A10" s="796">
        <v>1111</v>
      </c>
      <c r="B10" s="1723" t="s">
        <v>620</v>
      </c>
      <c r="C10" s="1073" t="s">
        <v>621</v>
      </c>
      <c r="D10" s="1292"/>
      <c r="E10" s="1293">
        <v>5</v>
      </c>
      <c r="F10" s="1294">
        <v>43206</v>
      </c>
      <c r="G10" s="1294">
        <f t="shared" ref="G10:G73" si="3">F10+E10-1</f>
        <v>43210</v>
      </c>
      <c r="H10" s="1292" t="s">
        <v>622</v>
      </c>
      <c r="I10" s="1293" t="s">
        <v>170</v>
      </c>
      <c r="J10" s="643" t="s">
        <v>623</v>
      </c>
      <c r="K10" s="1292" t="s">
        <v>624</v>
      </c>
      <c r="L10" s="1231">
        <v>23174</v>
      </c>
      <c r="M10" s="1292"/>
      <c r="N10" s="1292"/>
      <c r="O10" s="647">
        <v>84</v>
      </c>
      <c r="P10" s="1292">
        <v>1</v>
      </c>
      <c r="Q10" s="2381">
        <f>O10*P10</f>
        <v>84</v>
      </c>
      <c r="R10" s="956"/>
      <c r="S10" s="954"/>
      <c r="T10" s="1823">
        <v>84</v>
      </c>
      <c r="U10" s="954"/>
      <c r="V10" s="954"/>
      <c r="W10" s="954"/>
      <c r="X10" s="1166"/>
      <c r="Y10" s="1144"/>
      <c r="Z10" s="1124"/>
      <c r="AA10" s="1124"/>
      <c r="AB10" s="1124"/>
      <c r="AC10" s="1124"/>
      <c r="AD10" s="1124"/>
      <c r="AE10" s="1124"/>
      <c r="AF10" s="1124"/>
      <c r="AG10" s="1282">
        <f t="shared" ref="AG10:AG73" si="4">SUM(S10:AF10)</f>
        <v>84</v>
      </c>
    </row>
    <row r="11" spans="1:33" ht="116.25" hidden="1" customHeight="1">
      <c r="A11" s="796">
        <v>1111</v>
      </c>
      <c r="B11" s="1723" t="s">
        <v>620</v>
      </c>
      <c r="C11" s="1073" t="s">
        <v>621</v>
      </c>
      <c r="D11" s="1292"/>
      <c r="E11" s="1293">
        <v>5</v>
      </c>
      <c r="F11" s="1294">
        <v>43206</v>
      </c>
      <c r="G11" s="1294">
        <f t="shared" si="3"/>
        <v>43210</v>
      </c>
      <c r="H11" s="1292" t="s">
        <v>622</v>
      </c>
      <c r="I11" s="1293" t="s">
        <v>170</v>
      </c>
      <c r="J11" s="643" t="s">
        <v>623</v>
      </c>
      <c r="K11" s="1292" t="s">
        <v>626</v>
      </c>
      <c r="L11" s="1231">
        <v>23174</v>
      </c>
      <c r="M11" s="1292"/>
      <c r="N11" s="1292"/>
      <c r="O11" s="647">
        <v>93.333333333333343</v>
      </c>
      <c r="P11" s="1292">
        <v>1</v>
      </c>
      <c r="Q11" s="2381">
        <f t="shared" ref="Q11:Q74" si="5">O11*P11</f>
        <v>93.333333333333343</v>
      </c>
      <c r="R11" s="956"/>
      <c r="S11" s="954"/>
      <c r="T11" s="1823">
        <v>93.333333333333343</v>
      </c>
      <c r="U11" s="954"/>
      <c r="V11" s="954"/>
      <c r="W11" s="954"/>
      <c r="X11" s="1166"/>
      <c r="Y11" s="1144"/>
      <c r="Z11" s="1124"/>
      <c r="AA11" s="1124"/>
      <c r="AB11" s="1124"/>
      <c r="AC11" s="1124"/>
      <c r="AD11" s="1124"/>
      <c r="AE11" s="1124"/>
      <c r="AF11" s="1124"/>
      <c r="AG11" s="1282">
        <f t="shared" si="4"/>
        <v>93.333333333333343</v>
      </c>
    </row>
    <row r="12" spans="1:33" ht="116.25" hidden="1" customHeight="1">
      <c r="A12" s="796">
        <v>1111</v>
      </c>
      <c r="B12" s="1723" t="s">
        <v>620</v>
      </c>
      <c r="C12" s="1073" t="s">
        <v>621</v>
      </c>
      <c r="D12" s="1292"/>
      <c r="E12" s="1293">
        <v>5</v>
      </c>
      <c r="F12" s="1294">
        <v>43206</v>
      </c>
      <c r="G12" s="1294">
        <f t="shared" si="3"/>
        <v>43210</v>
      </c>
      <c r="H12" s="1292" t="s">
        <v>622</v>
      </c>
      <c r="I12" s="1293" t="s">
        <v>170</v>
      </c>
      <c r="J12" s="643" t="s">
        <v>623</v>
      </c>
      <c r="K12" s="1292" t="s">
        <v>627</v>
      </c>
      <c r="L12" s="1231">
        <v>23174</v>
      </c>
      <c r="M12" s="1292"/>
      <c r="N12" s="1292"/>
      <c r="O12" s="647">
        <v>70</v>
      </c>
      <c r="P12" s="1292">
        <v>1</v>
      </c>
      <c r="Q12" s="2381">
        <f t="shared" si="5"/>
        <v>70</v>
      </c>
      <c r="R12" s="956"/>
      <c r="S12" s="954"/>
      <c r="T12" s="1823">
        <v>70</v>
      </c>
      <c r="U12" s="954"/>
      <c r="V12" s="954"/>
      <c r="W12" s="954"/>
      <c r="X12" s="1166"/>
      <c r="Y12" s="1144"/>
      <c r="Z12" s="1124"/>
      <c r="AA12" s="1124"/>
      <c r="AB12" s="1124"/>
      <c r="AC12" s="1124"/>
      <c r="AD12" s="1124"/>
      <c r="AE12" s="1124"/>
      <c r="AF12" s="1124"/>
      <c r="AG12" s="1282">
        <f t="shared" si="4"/>
        <v>70</v>
      </c>
    </row>
    <row r="13" spans="1:33" ht="116.25" hidden="1" customHeight="1">
      <c r="A13" s="796">
        <v>1111</v>
      </c>
      <c r="B13" s="1723" t="s">
        <v>620</v>
      </c>
      <c r="C13" s="1073" t="s">
        <v>621</v>
      </c>
      <c r="D13" s="1292"/>
      <c r="E13" s="1293">
        <v>5</v>
      </c>
      <c r="F13" s="1294">
        <v>43206</v>
      </c>
      <c r="G13" s="1294">
        <f t="shared" si="3"/>
        <v>43210</v>
      </c>
      <c r="H13" s="1292" t="s">
        <v>622</v>
      </c>
      <c r="I13" s="1293" t="s">
        <v>170</v>
      </c>
      <c r="J13" s="643" t="s">
        <v>623</v>
      </c>
      <c r="K13" s="1292" t="s">
        <v>628</v>
      </c>
      <c r="L13" s="1231">
        <v>23174</v>
      </c>
      <c r="M13" s="1292"/>
      <c r="N13" s="1292"/>
      <c r="O13" s="647">
        <v>46.666666666666671</v>
      </c>
      <c r="P13" s="1292">
        <v>1</v>
      </c>
      <c r="Q13" s="2381">
        <f t="shared" si="5"/>
        <v>46.666666666666671</v>
      </c>
      <c r="R13" s="956"/>
      <c r="S13" s="954"/>
      <c r="T13" s="1823">
        <v>46.666666666666671</v>
      </c>
      <c r="U13" s="954"/>
      <c r="V13" s="954"/>
      <c r="W13" s="954"/>
      <c r="X13" s="1166"/>
      <c r="Y13" s="1144"/>
      <c r="Z13" s="1124"/>
      <c r="AA13" s="1124"/>
      <c r="AB13" s="1124"/>
      <c r="AC13" s="1124"/>
      <c r="AD13" s="1124"/>
      <c r="AE13" s="1124"/>
      <c r="AF13" s="1124"/>
      <c r="AG13" s="1282">
        <f t="shared" si="4"/>
        <v>46.666666666666671</v>
      </c>
    </row>
    <row r="14" spans="1:33" ht="116.25" hidden="1" customHeight="1">
      <c r="A14" s="796">
        <v>1111</v>
      </c>
      <c r="B14" s="1723" t="s">
        <v>620</v>
      </c>
      <c r="C14" s="1073" t="s">
        <v>621</v>
      </c>
      <c r="D14" s="1292"/>
      <c r="E14" s="1293">
        <v>5</v>
      </c>
      <c r="F14" s="1294">
        <v>43206</v>
      </c>
      <c r="G14" s="1294">
        <f t="shared" si="3"/>
        <v>43210</v>
      </c>
      <c r="H14" s="1292" t="s">
        <v>622</v>
      </c>
      <c r="I14" s="1293" t="s">
        <v>170</v>
      </c>
      <c r="J14" s="643" t="s">
        <v>623</v>
      </c>
      <c r="K14" s="1292" t="s">
        <v>629</v>
      </c>
      <c r="L14" s="1231">
        <v>23174</v>
      </c>
      <c r="M14" s="1292"/>
      <c r="N14" s="1292"/>
      <c r="O14" s="647">
        <v>336</v>
      </c>
      <c r="P14" s="1292">
        <v>1</v>
      </c>
      <c r="Q14" s="2381">
        <f t="shared" si="5"/>
        <v>336</v>
      </c>
      <c r="R14" s="956"/>
      <c r="S14" s="954"/>
      <c r="T14" s="1823">
        <v>336</v>
      </c>
      <c r="U14" s="954"/>
      <c r="V14" s="954"/>
      <c r="W14" s="954"/>
      <c r="X14" s="1166"/>
      <c r="Y14" s="1144"/>
      <c r="Z14" s="1124"/>
      <c r="AA14" s="1124"/>
      <c r="AB14" s="1124"/>
      <c r="AC14" s="1124"/>
      <c r="AD14" s="1124"/>
      <c r="AE14" s="1124"/>
      <c r="AF14" s="1124"/>
      <c r="AG14" s="1282">
        <f t="shared" si="4"/>
        <v>336</v>
      </c>
    </row>
    <row r="15" spans="1:33" ht="116.25" hidden="1" customHeight="1">
      <c r="A15" s="796">
        <v>1111</v>
      </c>
      <c r="B15" s="1723" t="s">
        <v>620</v>
      </c>
      <c r="C15" s="1073" t="s">
        <v>621</v>
      </c>
      <c r="D15" s="1292"/>
      <c r="E15" s="1293">
        <v>5</v>
      </c>
      <c r="F15" s="1294">
        <v>43206</v>
      </c>
      <c r="G15" s="1294">
        <f t="shared" si="3"/>
        <v>43210</v>
      </c>
      <c r="H15" s="1292" t="s">
        <v>622</v>
      </c>
      <c r="I15" s="1293" t="s">
        <v>170</v>
      </c>
      <c r="J15" s="643" t="s">
        <v>623</v>
      </c>
      <c r="K15" s="1292" t="s">
        <v>630</v>
      </c>
      <c r="L15" s="1231">
        <v>23174</v>
      </c>
      <c r="M15" s="1292"/>
      <c r="N15" s="1292"/>
      <c r="O15" s="647">
        <v>373.33333333333337</v>
      </c>
      <c r="P15" s="1292">
        <v>1</v>
      </c>
      <c r="Q15" s="2381">
        <f t="shared" si="5"/>
        <v>373.33333333333337</v>
      </c>
      <c r="R15" s="956"/>
      <c r="S15" s="954"/>
      <c r="T15" s="1823">
        <v>373.33333333333337</v>
      </c>
      <c r="U15" s="954"/>
      <c r="V15" s="954"/>
      <c r="W15" s="954"/>
      <c r="X15" s="1166"/>
      <c r="Y15" s="1144"/>
      <c r="Z15" s="1124"/>
      <c r="AA15" s="1124"/>
      <c r="AB15" s="1124"/>
      <c r="AC15" s="1124"/>
      <c r="AD15" s="1124"/>
      <c r="AE15" s="1124"/>
      <c r="AF15" s="1124"/>
      <c r="AG15" s="1282">
        <f t="shared" si="4"/>
        <v>373.33333333333337</v>
      </c>
    </row>
    <row r="16" spans="1:33" ht="116.25" hidden="1" customHeight="1">
      <c r="A16" s="796">
        <v>1111</v>
      </c>
      <c r="B16" s="1723" t="s">
        <v>620</v>
      </c>
      <c r="C16" s="1073" t="s">
        <v>621</v>
      </c>
      <c r="D16" s="1292"/>
      <c r="E16" s="1293">
        <v>5</v>
      </c>
      <c r="F16" s="1294">
        <v>43206</v>
      </c>
      <c r="G16" s="1294">
        <f t="shared" si="3"/>
        <v>43210</v>
      </c>
      <c r="H16" s="1292" t="s">
        <v>622</v>
      </c>
      <c r="I16" s="1293" t="s">
        <v>170</v>
      </c>
      <c r="J16" s="643" t="s">
        <v>623</v>
      </c>
      <c r="K16" s="1292" t="s">
        <v>631</v>
      </c>
      <c r="L16" s="1231">
        <v>23174</v>
      </c>
      <c r="M16" s="1292"/>
      <c r="N16" s="1292"/>
      <c r="O16" s="647">
        <v>107</v>
      </c>
      <c r="P16" s="1292">
        <v>1</v>
      </c>
      <c r="Q16" s="2381">
        <f t="shared" si="5"/>
        <v>107</v>
      </c>
      <c r="R16" s="956"/>
      <c r="S16" s="954"/>
      <c r="T16" s="1823">
        <v>107</v>
      </c>
      <c r="U16" s="954"/>
      <c r="V16" s="954"/>
      <c r="W16" s="954"/>
      <c r="X16" s="1166"/>
      <c r="Y16" s="1144"/>
      <c r="Z16" s="1124"/>
      <c r="AA16" s="1124"/>
      <c r="AB16" s="1124"/>
      <c r="AC16" s="1124"/>
      <c r="AD16" s="1124"/>
      <c r="AE16" s="1124"/>
      <c r="AF16" s="1124"/>
      <c r="AG16" s="1282">
        <f t="shared" si="4"/>
        <v>107</v>
      </c>
    </row>
    <row r="17" spans="1:33" ht="116.25" hidden="1" customHeight="1">
      <c r="A17" s="796">
        <v>1111</v>
      </c>
      <c r="B17" s="1723" t="s">
        <v>620</v>
      </c>
      <c r="C17" s="1073" t="s">
        <v>621</v>
      </c>
      <c r="D17" s="1292"/>
      <c r="E17" s="1293">
        <v>5</v>
      </c>
      <c r="F17" s="1294">
        <v>43206</v>
      </c>
      <c r="G17" s="1294">
        <f t="shared" si="3"/>
        <v>43210</v>
      </c>
      <c r="H17" s="1292" t="s">
        <v>622</v>
      </c>
      <c r="I17" s="1293" t="s">
        <v>170</v>
      </c>
      <c r="J17" s="643" t="s">
        <v>623</v>
      </c>
      <c r="K17" s="1292" t="s">
        <v>633</v>
      </c>
      <c r="L17" s="1231">
        <v>23174</v>
      </c>
      <c r="M17" s="1292"/>
      <c r="N17" s="1292"/>
      <c r="O17" s="647">
        <v>91</v>
      </c>
      <c r="P17" s="1292">
        <v>1</v>
      </c>
      <c r="Q17" s="2381">
        <f t="shared" si="5"/>
        <v>91</v>
      </c>
      <c r="R17" s="956"/>
      <c r="S17" s="954"/>
      <c r="T17" s="1823">
        <v>91</v>
      </c>
      <c r="U17" s="954"/>
      <c r="V17" s="954"/>
      <c r="W17" s="954"/>
      <c r="X17" s="1166"/>
      <c r="Y17" s="1144"/>
      <c r="Z17" s="1124"/>
      <c r="AA17" s="1124"/>
      <c r="AB17" s="1124"/>
      <c r="AC17" s="1124"/>
      <c r="AD17" s="1124"/>
      <c r="AE17" s="1124"/>
      <c r="AF17" s="1124"/>
      <c r="AG17" s="1282">
        <f t="shared" si="4"/>
        <v>91</v>
      </c>
    </row>
    <row r="18" spans="1:33" ht="116.25" hidden="1" customHeight="1">
      <c r="A18" s="796">
        <v>1111</v>
      </c>
      <c r="B18" s="1723" t="s">
        <v>620</v>
      </c>
      <c r="C18" s="1073" t="s">
        <v>621</v>
      </c>
      <c r="D18" s="1292"/>
      <c r="E18" s="1293">
        <v>5</v>
      </c>
      <c r="F18" s="1294">
        <v>43206</v>
      </c>
      <c r="G18" s="1294">
        <f t="shared" si="3"/>
        <v>43210</v>
      </c>
      <c r="H18" s="1292" t="s">
        <v>622</v>
      </c>
      <c r="I18" s="1293" t="s">
        <v>170</v>
      </c>
      <c r="J18" s="643" t="s">
        <v>623</v>
      </c>
      <c r="K18" s="1292" t="s">
        <v>635</v>
      </c>
      <c r="L18" s="1231">
        <v>23174</v>
      </c>
      <c r="M18" s="1292"/>
      <c r="N18" s="1292"/>
      <c r="O18" s="647">
        <v>1092</v>
      </c>
      <c r="P18" s="1292">
        <v>1</v>
      </c>
      <c r="Q18" s="2381">
        <f t="shared" si="5"/>
        <v>1092</v>
      </c>
      <c r="R18" s="956"/>
      <c r="S18" s="954"/>
      <c r="T18" s="1823">
        <v>1092</v>
      </c>
      <c r="U18" s="954"/>
      <c r="V18" s="954"/>
      <c r="W18" s="954"/>
      <c r="X18" s="1166"/>
      <c r="Y18" s="1144"/>
      <c r="Z18" s="1124"/>
      <c r="AA18" s="1124"/>
      <c r="AB18" s="1124"/>
      <c r="AC18" s="1124"/>
      <c r="AD18" s="1124"/>
      <c r="AE18" s="1124"/>
      <c r="AF18" s="1124"/>
      <c r="AG18" s="1282">
        <f t="shared" si="4"/>
        <v>1092</v>
      </c>
    </row>
    <row r="19" spans="1:33" ht="116.25" hidden="1" customHeight="1">
      <c r="A19" s="796">
        <v>1111</v>
      </c>
      <c r="B19" s="1723" t="s">
        <v>620</v>
      </c>
      <c r="C19" s="1073" t="s">
        <v>621</v>
      </c>
      <c r="D19" s="1292"/>
      <c r="E19" s="1293">
        <v>5</v>
      </c>
      <c r="F19" s="1294">
        <v>43206</v>
      </c>
      <c r="G19" s="1294">
        <f t="shared" si="3"/>
        <v>43210</v>
      </c>
      <c r="H19" s="1292" t="s">
        <v>622</v>
      </c>
      <c r="I19" s="1293" t="s">
        <v>170</v>
      </c>
      <c r="J19" s="643" t="s">
        <v>623</v>
      </c>
      <c r="K19" s="1292" t="s">
        <v>636</v>
      </c>
      <c r="L19" s="1231">
        <v>23174</v>
      </c>
      <c r="M19" s="1292"/>
      <c r="N19" s="1292"/>
      <c r="O19" s="647">
        <v>1213</v>
      </c>
      <c r="P19" s="1292">
        <v>1</v>
      </c>
      <c r="Q19" s="2381">
        <f t="shared" si="5"/>
        <v>1213</v>
      </c>
      <c r="R19" s="956"/>
      <c r="S19" s="954"/>
      <c r="T19" s="1823">
        <v>1213</v>
      </c>
      <c r="U19" s="954"/>
      <c r="V19" s="954"/>
      <c r="W19" s="954"/>
      <c r="X19" s="1166"/>
      <c r="Y19" s="1144"/>
      <c r="Z19" s="1124"/>
      <c r="AA19" s="1124"/>
      <c r="AB19" s="1124"/>
      <c r="AC19" s="1124"/>
      <c r="AD19" s="1124"/>
      <c r="AE19" s="1124"/>
      <c r="AF19" s="1124"/>
      <c r="AG19" s="1282">
        <f t="shared" si="4"/>
        <v>1213</v>
      </c>
    </row>
    <row r="20" spans="1:33" ht="116.25" hidden="1" customHeight="1">
      <c r="A20" s="796">
        <v>1111</v>
      </c>
      <c r="B20" s="1723" t="s">
        <v>620</v>
      </c>
      <c r="C20" s="1073" t="s">
        <v>621</v>
      </c>
      <c r="D20" s="1292"/>
      <c r="E20" s="1293">
        <v>5</v>
      </c>
      <c r="F20" s="1294">
        <v>43206</v>
      </c>
      <c r="G20" s="1294">
        <f t="shared" si="3"/>
        <v>43210</v>
      </c>
      <c r="H20" s="1292" t="s">
        <v>622</v>
      </c>
      <c r="I20" s="1293" t="s">
        <v>170</v>
      </c>
      <c r="J20" s="643" t="s">
        <v>623</v>
      </c>
      <c r="K20" s="1292" t="s">
        <v>637</v>
      </c>
      <c r="L20" s="1231">
        <v>23174</v>
      </c>
      <c r="M20" s="1292"/>
      <c r="N20" s="1292"/>
      <c r="O20" s="647">
        <v>173</v>
      </c>
      <c r="P20" s="1292">
        <v>1</v>
      </c>
      <c r="Q20" s="2381">
        <f t="shared" si="5"/>
        <v>173</v>
      </c>
      <c r="R20" s="956"/>
      <c r="S20" s="954"/>
      <c r="T20" s="1823">
        <v>173</v>
      </c>
      <c r="U20" s="954"/>
      <c r="V20" s="954"/>
      <c r="W20" s="954"/>
      <c r="X20" s="1166"/>
      <c r="Y20" s="1144"/>
      <c r="Z20" s="1124"/>
      <c r="AA20" s="1124"/>
      <c r="AB20" s="1124"/>
      <c r="AC20" s="1124"/>
      <c r="AD20" s="1124"/>
      <c r="AE20" s="1124"/>
      <c r="AF20" s="1124"/>
      <c r="AG20" s="1282">
        <f t="shared" si="4"/>
        <v>173</v>
      </c>
    </row>
    <row r="21" spans="1:33" ht="116.25" hidden="1" customHeight="1">
      <c r="A21" s="796">
        <v>1111</v>
      </c>
      <c r="B21" s="1723" t="s">
        <v>620</v>
      </c>
      <c r="C21" s="1073" t="s">
        <v>621</v>
      </c>
      <c r="D21" s="1292"/>
      <c r="E21" s="1293">
        <v>5</v>
      </c>
      <c r="F21" s="1294">
        <v>43206</v>
      </c>
      <c r="G21" s="1294">
        <f t="shared" si="3"/>
        <v>43210</v>
      </c>
      <c r="H21" s="1292" t="s">
        <v>622</v>
      </c>
      <c r="I21" s="1293" t="s">
        <v>170</v>
      </c>
      <c r="J21" s="643" t="s">
        <v>623</v>
      </c>
      <c r="K21" s="1292" t="s">
        <v>638</v>
      </c>
      <c r="L21" s="1231">
        <v>23173</v>
      </c>
      <c r="M21" s="1292"/>
      <c r="N21" s="1292"/>
      <c r="O21" s="647">
        <v>300</v>
      </c>
      <c r="P21" s="1292">
        <v>1</v>
      </c>
      <c r="Q21" s="2381">
        <f t="shared" si="5"/>
        <v>300</v>
      </c>
      <c r="R21" s="956"/>
      <c r="S21" s="954"/>
      <c r="T21" s="1823">
        <v>300</v>
      </c>
      <c r="U21" s="954"/>
      <c r="V21" s="954"/>
      <c r="W21" s="954"/>
      <c r="X21" s="1166"/>
      <c r="Y21" s="1144"/>
      <c r="Z21" s="1124"/>
      <c r="AA21" s="1124"/>
      <c r="AB21" s="1124"/>
      <c r="AC21" s="1124"/>
      <c r="AD21" s="1124"/>
      <c r="AE21" s="1124"/>
      <c r="AF21" s="1124"/>
      <c r="AG21" s="1282">
        <f t="shared" si="4"/>
        <v>300</v>
      </c>
    </row>
    <row r="22" spans="1:33" ht="116.25" hidden="1" customHeight="1">
      <c r="A22" s="796">
        <v>1112</v>
      </c>
      <c r="B22" s="793" t="s">
        <v>640</v>
      </c>
      <c r="C22" s="1073" t="s">
        <v>641</v>
      </c>
      <c r="D22" s="1292"/>
      <c r="E22" s="1293">
        <v>5</v>
      </c>
      <c r="F22" s="1294">
        <v>43220</v>
      </c>
      <c r="G22" s="1294">
        <f t="shared" si="3"/>
        <v>43224</v>
      </c>
      <c r="H22" s="1292" t="s">
        <v>622</v>
      </c>
      <c r="I22" s="1293" t="s">
        <v>170</v>
      </c>
      <c r="J22" s="643" t="s">
        <v>642</v>
      </c>
      <c r="K22" s="1292" t="s">
        <v>643</v>
      </c>
      <c r="L22" s="1231">
        <v>23174</v>
      </c>
      <c r="M22" s="1292"/>
      <c r="N22" s="1292"/>
      <c r="O22" s="647">
        <v>60</v>
      </c>
      <c r="P22" s="1292">
        <v>1</v>
      </c>
      <c r="Q22" s="2381">
        <f t="shared" si="5"/>
        <v>60</v>
      </c>
      <c r="R22" s="956"/>
      <c r="S22" s="954"/>
      <c r="T22" s="1823">
        <v>60</v>
      </c>
      <c r="U22" s="805"/>
      <c r="V22" s="954"/>
      <c r="W22" s="954"/>
      <c r="X22" s="1166"/>
      <c r="Y22" s="1144"/>
      <c r="Z22" s="1124"/>
      <c r="AA22" s="1124"/>
      <c r="AB22" s="1124"/>
      <c r="AC22" s="1124"/>
      <c r="AD22" s="1124"/>
      <c r="AE22" s="1124"/>
      <c r="AF22" s="1124"/>
      <c r="AG22" s="1282">
        <f t="shared" si="4"/>
        <v>60</v>
      </c>
    </row>
    <row r="23" spans="1:33" ht="116.25" hidden="1" customHeight="1">
      <c r="A23" s="796">
        <v>1112</v>
      </c>
      <c r="B23" s="793" t="s">
        <v>640</v>
      </c>
      <c r="C23" s="1073" t="s">
        <v>641</v>
      </c>
      <c r="D23" s="1292"/>
      <c r="E23" s="1293">
        <v>5</v>
      </c>
      <c r="F23" s="1294">
        <v>43220</v>
      </c>
      <c r="G23" s="1294">
        <f t="shared" si="3"/>
        <v>43224</v>
      </c>
      <c r="H23" s="1292" t="s">
        <v>622</v>
      </c>
      <c r="I23" s="1293" t="s">
        <v>170</v>
      </c>
      <c r="J23" s="643" t="s">
        <v>642</v>
      </c>
      <c r="K23" s="1292" t="s">
        <v>644</v>
      </c>
      <c r="L23" s="1231">
        <v>23174</v>
      </c>
      <c r="M23" s="1292"/>
      <c r="N23" s="1292"/>
      <c r="O23" s="647">
        <v>66.666666666666671</v>
      </c>
      <c r="P23" s="1292">
        <v>1</v>
      </c>
      <c r="Q23" s="2381">
        <f t="shared" si="5"/>
        <v>66.666666666666671</v>
      </c>
      <c r="R23" s="956"/>
      <c r="S23" s="954"/>
      <c r="T23" s="1823">
        <v>66.666666666666671</v>
      </c>
      <c r="U23" s="805"/>
      <c r="V23" s="954"/>
      <c r="W23" s="954"/>
      <c r="X23" s="1166"/>
      <c r="Y23" s="1144"/>
      <c r="Z23" s="1124"/>
      <c r="AA23" s="1124"/>
      <c r="AB23" s="1124"/>
      <c r="AC23" s="1124"/>
      <c r="AD23" s="1124"/>
      <c r="AE23" s="1124"/>
      <c r="AF23" s="1124"/>
      <c r="AG23" s="1282">
        <f t="shared" si="4"/>
        <v>66.666666666666671</v>
      </c>
    </row>
    <row r="24" spans="1:33" ht="116.25" hidden="1" customHeight="1">
      <c r="A24" s="796">
        <v>1112</v>
      </c>
      <c r="B24" s="793" t="s">
        <v>640</v>
      </c>
      <c r="C24" s="1073" t="s">
        <v>641</v>
      </c>
      <c r="D24" s="1292"/>
      <c r="E24" s="1293">
        <v>5</v>
      </c>
      <c r="F24" s="1294">
        <v>43220</v>
      </c>
      <c r="G24" s="1294">
        <f t="shared" si="3"/>
        <v>43224</v>
      </c>
      <c r="H24" s="1292" t="s">
        <v>622</v>
      </c>
      <c r="I24" s="1293" t="s">
        <v>170</v>
      </c>
      <c r="J24" s="643" t="s">
        <v>642</v>
      </c>
      <c r="K24" s="1292" t="s">
        <v>645</v>
      </c>
      <c r="L24" s="1231">
        <v>23174</v>
      </c>
      <c r="M24" s="1292"/>
      <c r="N24" s="1292"/>
      <c r="O24" s="647">
        <v>50</v>
      </c>
      <c r="P24" s="1292">
        <v>1</v>
      </c>
      <c r="Q24" s="2381">
        <f t="shared" si="5"/>
        <v>50</v>
      </c>
      <c r="R24" s="956"/>
      <c r="S24" s="954"/>
      <c r="T24" s="1823">
        <v>50</v>
      </c>
      <c r="U24" s="805"/>
      <c r="V24" s="954"/>
      <c r="W24" s="954"/>
      <c r="X24" s="1166"/>
      <c r="Y24" s="1144"/>
      <c r="Z24" s="1124"/>
      <c r="AA24" s="1124"/>
      <c r="AB24" s="1124"/>
      <c r="AC24" s="1124"/>
      <c r="AD24" s="1124"/>
      <c r="AE24" s="1124"/>
      <c r="AF24" s="1124"/>
      <c r="AG24" s="1282">
        <f t="shared" si="4"/>
        <v>50</v>
      </c>
    </row>
    <row r="25" spans="1:33" ht="116.25" hidden="1" customHeight="1">
      <c r="A25" s="796">
        <v>1112</v>
      </c>
      <c r="B25" s="793" t="s">
        <v>640</v>
      </c>
      <c r="C25" s="1073" t="s">
        <v>641</v>
      </c>
      <c r="D25" s="1292"/>
      <c r="E25" s="1293">
        <v>5</v>
      </c>
      <c r="F25" s="1294">
        <v>43220</v>
      </c>
      <c r="G25" s="1294">
        <f t="shared" si="3"/>
        <v>43224</v>
      </c>
      <c r="H25" s="1292" t="s">
        <v>622</v>
      </c>
      <c r="I25" s="1293" t="s">
        <v>170</v>
      </c>
      <c r="J25" s="643" t="s">
        <v>642</v>
      </c>
      <c r="K25" s="1292" t="s">
        <v>646</v>
      </c>
      <c r="L25" s="1231">
        <v>23174</v>
      </c>
      <c r="M25" s="1292"/>
      <c r="N25" s="1292"/>
      <c r="O25" s="647">
        <v>33.333333333333336</v>
      </c>
      <c r="P25" s="1292">
        <v>1</v>
      </c>
      <c r="Q25" s="2381">
        <f t="shared" si="5"/>
        <v>33.333333333333336</v>
      </c>
      <c r="R25" s="956"/>
      <c r="S25" s="954"/>
      <c r="T25" s="1823">
        <v>33.333333333333336</v>
      </c>
      <c r="U25" s="805"/>
      <c r="V25" s="954"/>
      <c r="W25" s="954"/>
      <c r="X25" s="1166"/>
      <c r="Y25" s="1144"/>
      <c r="Z25" s="1124"/>
      <c r="AA25" s="1124"/>
      <c r="AB25" s="1124"/>
      <c r="AC25" s="1124"/>
      <c r="AD25" s="1124"/>
      <c r="AE25" s="1124"/>
      <c r="AF25" s="1124"/>
      <c r="AG25" s="1282">
        <f t="shared" si="4"/>
        <v>33.333333333333336</v>
      </c>
    </row>
    <row r="26" spans="1:33" ht="116.25" hidden="1" customHeight="1">
      <c r="A26" s="796">
        <v>1112</v>
      </c>
      <c r="B26" s="793" t="s">
        <v>640</v>
      </c>
      <c r="C26" s="1073" t="s">
        <v>641</v>
      </c>
      <c r="D26" s="1292"/>
      <c r="E26" s="1293">
        <v>5</v>
      </c>
      <c r="F26" s="1294">
        <v>43220</v>
      </c>
      <c r="G26" s="1294">
        <f t="shared" si="3"/>
        <v>43224</v>
      </c>
      <c r="H26" s="1292" t="s">
        <v>622</v>
      </c>
      <c r="I26" s="1293" t="s">
        <v>170</v>
      </c>
      <c r="J26" s="643" t="s">
        <v>642</v>
      </c>
      <c r="K26" s="1292" t="s">
        <v>647</v>
      </c>
      <c r="L26" s="1231">
        <v>23174</v>
      </c>
      <c r="M26" s="1292"/>
      <c r="N26" s="1292"/>
      <c r="O26" s="647">
        <v>588</v>
      </c>
      <c r="P26" s="1292">
        <v>1</v>
      </c>
      <c r="Q26" s="2381">
        <f t="shared" si="5"/>
        <v>588</v>
      </c>
      <c r="R26" s="956"/>
      <c r="S26" s="954"/>
      <c r="T26" s="805"/>
      <c r="U26" s="1823">
        <v>588</v>
      </c>
      <c r="V26" s="954"/>
      <c r="W26" s="954"/>
      <c r="X26" s="1166"/>
      <c r="Y26" s="1144"/>
      <c r="Z26" s="1124"/>
      <c r="AA26" s="1124"/>
      <c r="AB26" s="1124"/>
      <c r="AC26" s="1124"/>
      <c r="AD26" s="1124"/>
      <c r="AE26" s="1124"/>
      <c r="AF26" s="1124"/>
      <c r="AG26" s="1282">
        <f t="shared" si="4"/>
        <v>588</v>
      </c>
    </row>
    <row r="27" spans="1:33" ht="116.25" hidden="1" customHeight="1">
      <c r="A27" s="796">
        <v>1112</v>
      </c>
      <c r="B27" s="793" t="s">
        <v>640</v>
      </c>
      <c r="C27" s="1073" t="s">
        <v>641</v>
      </c>
      <c r="D27" s="1292"/>
      <c r="E27" s="1293">
        <v>5</v>
      </c>
      <c r="F27" s="1294">
        <v>43220</v>
      </c>
      <c r="G27" s="1294">
        <f t="shared" si="3"/>
        <v>43224</v>
      </c>
      <c r="H27" s="1292" t="s">
        <v>622</v>
      </c>
      <c r="I27" s="1293" t="s">
        <v>170</v>
      </c>
      <c r="J27" s="643" t="s">
        <v>642</v>
      </c>
      <c r="K27" s="1292" t="s">
        <v>648</v>
      </c>
      <c r="L27" s="1231">
        <v>23174</v>
      </c>
      <c r="M27" s="1292"/>
      <c r="N27" s="1292"/>
      <c r="O27" s="647">
        <v>653.33333333333337</v>
      </c>
      <c r="P27" s="1292">
        <v>1</v>
      </c>
      <c r="Q27" s="2381">
        <f t="shared" si="5"/>
        <v>653.33333333333337</v>
      </c>
      <c r="R27" s="956"/>
      <c r="S27" s="954"/>
      <c r="T27" s="805"/>
      <c r="U27" s="1823">
        <v>653.33333333333337</v>
      </c>
      <c r="V27" s="954"/>
      <c r="W27" s="954"/>
      <c r="X27" s="1166"/>
      <c r="Y27" s="1144"/>
      <c r="Z27" s="1124"/>
      <c r="AA27" s="1124"/>
      <c r="AB27" s="1124"/>
      <c r="AC27" s="1124"/>
      <c r="AD27" s="1124"/>
      <c r="AE27" s="1124"/>
      <c r="AF27" s="1124"/>
      <c r="AG27" s="1282">
        <f t="shared" si="4"/>
        <v>653.33333333333337</v>
      </c>
    </row>
    <row r="28" spans="1:33" ht="116.25" hidden="1" customHeight="1">
      <c r="A28" s="796">
        <v>1112</v>
      </c>
      <c r="B28" s="793" t="s">
        <v>640</v>
      </c>
      <c r="C28" s="1073" t="s">
        <v>641</v>
      </c>
      <c r="D28" s="1292"/>
      <c r="E28" s="1293">
        <v>5</v>
      </c>
      <c r="F28" s="1294">
        <v>43220</v>
      </c>
      <c r="G28" s="1294">
        <f t="shared" si="3"/>
        <v>43224</v>
      </c>
      <c r="H28" s="1292" t="s">
        <v>622</v>
      </c>
      <c r="I28" s="1293" t="s">
        <v>170</v>
      </c>
      <c r="J28" s="643" t="s">
        <v>642</v>
      </c>
      <c r="K28" s="1292" t="s">
        <v>649</v>
      </c>
      <c r="L28" s="1231">
        <v>23174</v>
      </c>
      <c r="M28" s="1292"/>
      <c r="N28" s="1292"/>
      <c r="O28" s="647">
        <v>490</v>
      </c>
      <c r="P28" s="1292">
        <v>1</v>
      </c>
      <c r="Q28" s="2381">
        <f t="shared" si="5"/>
        <v>490</v>
      </c>
      <c r="R28" s="956"/>
      <c r="S28" s="954"/>
      <c r="T28" s="805"/>
      <c r="U28" s="1823">
        <v>490</v>
      </c>
      <c r="V28" s="954"/>
      <c r="W28" s="954"/>
      <c r="X28" s="1166"/>
      <c r="Y28" s="1144"/>
      <c r="Z28" s="1124"/>
      <c r="AA28" s="1124"/>
      <c r="AB28" s="1124"/>
      <c r="AC28" s="1124"/>
      <c r="AD28" s="1124"/>
      <c r="AE28" s="1124"/>
      <c r="AF28" s="1124"/>
      <c r="AG28" s="1282">
        <f t="shared" si="4"/>
        <v>490</v>
      </c>
    </row>
    <row r="29" spans="1:33" ht="116.25" hidden="1" customHeight="1">
      <c r="A29" s="796">
        <v>1112</v>
      </c>
      <c r="B29" s="793" t="s">
        <v>640</v>
      </c>
      <c r="C29" s="1073" t="s">
        <v>641</v>
      </c>
      <c r="D29" s="1292"/>
      <c r="E29" s="1293">
        <v>5</v>
      </c>
      <c r="F29" s="1294">
        <v>43220</v>
      </c>
      <c r="G29" s="1294">
        <f t="shared" si="3"/>
        <v>43224</v>
      </c>
      <c r="H29" s="1292" t="s">
        <v>622</v>
      </c>
      <c r="I29" s="1293" t="s">
        <v>170</v>
      </c>
      <c r="J29" s="643" t="s">
        <v>642</v>
      </c>
      <c r="K29" s="1292" t="s">
        <v>650</v>
      </c>
      <c r="L29" s="1231">
        <v>23174</v>
      </c>
      <c r="M29" s="1292"/>
      <c r="N29" s="1292"/>
      <c r="O29" s="647">
        <v>326.66666666666669</v>
      </c>
      <c r="P29" s="1292">
        <v>1</v>
      </c>
      <c r="Q29" s="2381">
        <f t="shared" si="5"/>
        <v>326.66666666666669</v>
      </c>
      <c r="R29" s="956"/>
      <c r="S29" s="954"/>
      <c r="T29" s="805"/>
      <c r="U29" s="1823">
        <v>326.66666666666669</v>
      </c>
      <c r="V29" s="954"/>
      <c r="W29" s="954"/>
      <c r="X29" s="1166"/>
      <c r="Y29" s="1144"/>
      <c r="Z29" s="1124"/>
      <c r="AA29" s="1124"/>
      <c r="AB29" s="1124"/>
      <c r="AC29" s="1124"/>
      <c r="AD29" s="1124"/>
      <c r="AE29" s="1124"/>
      <c r="AF29" s="1124"/>
      <c r="AG29" s="1282">
        <f t="shared" si="4"/>
        <v>326.66666666666669</v>
      </c>
    </row>
    <row r="30" spans="1:33" ht="116.25" hidden="1" customHeight="1">
      <c r="A30" s="796">
        <v>1112</v>
      </c>
      <c r="B30" s="793" t="s">
        <v>640</v>
      </c>
      <c r="C30" s="1073" t="s">
        <v>641</v>
      </c>
      <c r="D30" s="1292"/>
      <c r="E30" s="1293">
        <v>5</v>
      </c>
      <c r="F30" s="1294">
        <v>43220</v>
      </c>
      <c r="G30" s="1294">
        <f t="shared" si="3"/>
        <v>43224</v>
      </c>
      <c r="H30" s="1292" t="s">
        <v>622</v>
      </c>
      <c r="I30" s="1293" t="s">
        <v>170</v>
      </c>
      <c r="J30" s="643" t="s">
        <v>642</v>
      </c>
      <c r="K30" s="1292" t="s">
        <v>651</v>
      </c>
      <c r="L30" s="1231">
        <v>23174</v>
      </c>
      <c r="M30" s="1292"/>
      <c r="N30" s="1292"/>
      <c r="O30" s="647">
        <v>6347</v>
      </c>
      <c r="P30" s="1292">
        <v>1</v>
      </c>
      <c r="Q30" s="2381">
        <f t="shared" si="5"/>
        <v>6347</v>
      </c>
      <c r="R30" s="956"/>
      <c r="S30" s="954"/>
      <c r="T30" s="1823">
        <v>6347</v>
      </c>
      <c r="U30" s="805"/>
      <c r="V30" s="954"/>
      <c r="W30" s="954"/>
      <c r="X30" s="1166"/>
      <c r="Y30" s="1144"/>
      <c r="Z30" s="1124"/>
      <c r="AA30" s="1124"/>
      <c r="AB30" s="1124"/>
      <c r="AC30" s="1124"/>
      <c r="AD30" s="1124"/>
      <c r="AE30" s="1124"/>
      <c r="AF30" s="1124"/>
      <c r="AG30" s="1282">
        <f t="shared" si="4"/>
        <v>6347</v>
      </c>
    </row>
    <row r="31" spans="1:33" ht="116.25" hidden="1" customHeight="1">
      <c r="A31" s="796">
        <v>1112</v>
      </c>
      <c r="B31" s="793" t="s">
        <v>640</v>
      </c>
      <c r="C31" s="1073" t="s">
        <v>641</v>
      </c>
      <c r="D31" s="1292"/>
      <c r="E31" s="1293">
        <v>5</v>
      </c>
      <c r="F31" s="1294">
        <v>43220</v>
      </c>
      <c r="G31" s="1294">
        <f t="shared" si="3"/>
        <v>43224</v>
      </c>
      <c r="H31" s="1292" t="s">
        <v>622</v>
      </c>
      <c r="I31" s="1293" t="s">
        <v>170</v>
      </c>
      <c r="J31" s="643" t="s">
        <v>642</v>
      </c>
      <c r="K31" s="1292" t="s">
        <v>652</v>
      </c>
      <c r="L31" s="1231">
        <v>23174</v>
      </c>
      <c r="M31" s="1292"/>
      <c r="N31" s="1292"/>
      <c r="O31" s="647">
        <v>924</v>
      </c>
      <c r="P31" s="1292">
        <v>1</v>
      </c>
      <c r="Q31" s="2381">
        <f t="shared" si="5"/>
        <v>924</v>
      </c>
      <c r="R31" s="956"/>
      <c r="S31" s="954"/>
      <c r="T31" s="805"/>
      <c r="U31" s="1823">
        <v>924</v>
      </c>
      <c r="V31" s="954"/>
      <c r="W31" s="954"/>
      <c r="X31" s="1166"/>
      <c r="Y31" s="1144"/>
      <c r="Z31" s="1124"/>
      <c r="AA31" s="1124"/>
      <c r="AB31" s="1124"/>
      <c r="AC31" s="1124"/>
      <c r="AD31" s="1124"/>
      <c r="AE31" s="1124"/>
      <c r="AF31" s="1124"/>
      <c r="AG31" s="1282">
        <f t="shared" si="4"/>
        <v>924</v>
      </c>
    </row>
    <row r="32" spans="1:33" ht="116.25" hidden="1" customHeight="1">
      <c r="A32" s="796">
        <v>1112</v>
      </c>
      <c r="B32" s="793" t="s">
        <v>640</v>
      </c>
      <c r="C32" s="1073" t="s">
        <v>641</v>
      </c>
      <c r="D32" s="1292"/>
      <c r="E32" s="1293">
        <v>5</v>
      </c>
      <c r="F32" s="1294">
        <v>43220</v>
      </c>
      <c r="G32" s="1294">
        <f t="shared" si="3"/>
        <v>43224</v>
      </c>
      <c r="H32" s="1292" t="s">
        <v>622</v>
      </c>
      <c r="I32" s="1293" t="s">
        <v>170</v>
      </c>
      <c r="J32" s="643" t="s">
        <v>642</v>
      </c>
      <c r="K32" s="1292" t="s">
        <v>653</v>
      </c>
      <c r="L32" s="1231">
        <v>23174</v>
      </c>
      <c r="M32" s="1292"/>
      <c r="N32" s="1292"/>
      <c r="O32" s="647">
        <v>1026.6666666666665</v>
      </c>
      <c r="P32" s="1292">
        <v>1</v>
      </c>
      <c r="Q32" s="2381">
        <f t="shared" si="5"/>
        <v>1026.6666666666665</v>
      </c>
      <c r="R32" s="956"/>
      <c r="S32" s="954"/>
      <c r="T32" s="805"/>
      <c r="U32" s="1823">
        <v>1026.6666666666665</v>
      </c>
      <c r="V32" s="954"/>
      <c r="W32" s="954"/>
      <c r="X32" s="1166"/>
      <c r="Y32" s="1144"/>
      <c r="Z32" s="1124"/>
      <c r="AA32" s="1124"/>
      <c r="AB32" s="1124"/>
      <c r="AC32" s="1124"/>
      <c r="AD32" s="1124"/>
      <c r="AE32" s="1124"/>
      <c r="AF32" s="1124"/>
      <c r="AG32" s="1282">
        <f t="shared" si="4"/>
        <v>1026.6666666666665</v>
      </c>
    </row>
    <row r="33" spans="1:33" ht="116.25" hidden="1" customHeight="1">
      <c r="A33" s="796">
        <v>1112</v>
      </c>
      <c r="B33" s="793" t="s">
        <v>640</v>
      </c>
      <c r="C33" s="1073" t="s">
        <v>641</v>
      </c>
      <c r="D33" s="1292"/>
      <c r="E33" s="1293">
        <v>5</v>
      </c>
      <c r="F33" s="1294">
        <v>43220</v>
      </c>
      <c r="G33" s="1294">
        <f t="shared" si="3"/>
        <v>43224</v>
      </c>
      <c r="H33" s="1292" t="s">
        <v>622</v>
      </c>
      <c r="I33" s="1293"/>
      <c r="J33" s="643"/>
      <c r="K33" s="1292" t="s">
        <v>654</v>
      </c>
      <c r="L33" s="1231">
        <v>23174</v>
      </c>
      <c r="M33" s="1292"/>
      <c r="N33" s="1292"/>
      <c r="O33" s="647">
        <v>770</v>
      </c>
      <c r="P33" s="1292">
        <v>1</v>
      </c>
      <c r="Q33" s="2381">
        <f t="shared" si="5"/>
        <v>770</v>
      </c>
      <c r="R33" s="956"/>
      <c r="S33" s="954"/>
      <c r="T33" s="805"/>
      <c r="U33" s="1823">
        <v>770</v>
      </c>
      <c r="V33" s="954"/>
      <c r="W33" s="954"/>
      <c r="X33" s="1166"/>
      <c r="Y33" s="1144"/>
      <c r="Z33" s="1124"/>
      <c r="AA33" s="1124"/>
      <c r="AB33" s="1124"/>
      <c r="AC33" s="1124"/>
      <c r="AD33" s="1124"/>
      <c r="AE33" s="1124"/>
      <c r="AF33" s="1124"/>
      <c r="AG33" s="1282">
        <f t="shared" si="4"/>
        <v>770</v>
      </c>
    </row>
    <row r="34" spans="1:33" ht="116.25" hidden="1" customHeight="1">
      <c r="A34" s="796">
        <v>1112</v>
      </c>
      <c r="B34" s="793" t="s">
        <v>640</v>
      </c>
      <c r="C34" s="1073" t="s">
        <v>641</v>
      </c>
      <c r="D34" s="1292"/>
      <c r="E34" s="1293">
        <v>5</v>
      </c>
      <c r="F34" s="1294">
        <v>43220</v>
      </c>
      <c r="G34" s="1294">
        <f t="shared" si="3"/>
        <v>43224</v>
      </c>
      <c r="H34" s="1292" t="s">
        <v>622</v>
      </c>
      <c r="I34" s="1293"/>
      <c r="J34" s="643"/>
      <c r="K34" s="1292" t="s">
        <v>655</v>
      </c>
      <c r="L34" s="1231">
        <v>23174</v>
      </c>
      <c r="M34" s="1292"/>
      <c r="N34" s="1292"/>
      <c r="O34" s="647">
        <v>513</v>
      </c>
      <c r="P34" s="1292">
        <v>1</v>
      </c>
      <c r="Q34" s="2381">
        <f t="shared" si="5"/>
        <v>513</v>
      </c>
      <c r="R34" s="956"/>
      <c r="S34" s="954"/>
      <c r="T34" s="805"/>
      <c r="U34" s="1823">
        <v>513</v>
      </c>
      <c r="V34" s="954"/>
      <c r="W34" s="954"/>
      <c r="X34" s="1166"/>
      <c r="Y34" s="1144"/>
      <c r="Z34" s="1124"/>
      <c r="AA34" s="1124"/>
      <c r="AB34" s="1124"/>
      <c r="AC34" s="1124"/>
      <c r="AD34" s="1124"/>
      <c r="AE34" s="1124"/>
      <c r="AF34" s="1124"/>
      <c r="AG34" s="1282">
        <f t="shared" si="4"/>
        <v>513</v>
      </c>
    </row>
    <row r="35" spans="1:33" ht="116.25" hidden="1" customHeight="1">
      <c r="A35" s="796">
        <v>1112</v>
      </c>
      <c r="B35" s="793" t="s">
        <v>640</v>
      </c>
      <c r="C35" s="1073" t="s">
        <v>641</v>
      </c>
      <c r="D35" s="1292"/>
      <c r="E35" s="1293">
        <v>5</v>
      </c>
      <c r="F35" s="1294">
        <v>43220</v>
      </c>
      <c r="G35" s="1294">
        <f t="shared" si="3"/>
        <v>43224</v>
      </c>
      <c r="H35" s="1292" t="s">
        <v>622</v>
      </c>
      <c r="I35" s="1293" t="s">
        <v>170</v>
      </c>
      <c r="J35" s="643" t="s">
        <v>642</v>
      </c>
      <c r="K35" s="1292" t="s">
        <v>656</v>
      </c>
      <c r="L35" s="1231">
        <v>23174</v>
      </c>
      <c r="M35" s="1292"/>
      <c r="N35" s="1292"/>
      <c r="O35" s="647">
        <v>1764</v>
      </c>
      <c r="P35" s="1292">
        <v>1</v>
      </c>
      <c r="Q35" s="2381">
        <f t="shared" si="5"/>
        <v>1764</v>
      </c>
      <c r="R35" s="956"/>
      <c r="S35" s="954"/>
      <c r="T35" s="805"/>
      <c r="U35" s="1823">
        <v>1764</v>
      </c>
      <c r="V35" s="954"/>
      <c r="W35" s="954"/>
      <c r="X35" s="1166"/>
      <c r="Y35" s="1144"/>
      <c r="Z35" s="1124"/>
      <c r="AA35" s="1124"/>
      <c r="AB35" s="1124"/>
      <c r="AC35" s="1124"/>
      <c r="AD35" s="1124"/>
      <c r="AE35" s="1124"/>
      <c r="AF35" s="1124"/>
      <c r="AG35" s="1282">
        <f t="shared" si="4"/>
        <v>1764</v>
      </c>
    </row>
    <row r="36" spans="1:33" ht="116.25" hidden="1" customHeight="1">
      <c r="A36" s="796">
        <v>1112</v>
      </c>
      <c r="B36" s="793" t="s">
        <v>640</v>
      </c>
      <c r="C36" s="1073" t="s">
        <v>641</v>
      </c>
      <c r="D36" s="1292"/>
      <c r="E36" s="1293">
        <v>5</v>
      </c>
      <c r="F36" s="1294">
        <v>43220</v>
      </c>
      <c r="G36" s="1294">
        <f t="shared" si="3"/>
        <v>43224</v>
      </c>
      <c r="H36" s="1292" t="s">
        <v>622</v>
      </c>
      <c r="I36" s="1293" t="s">
        <v>170</v>
      </c>
      <c r="J36" s="643" t="s">
        <v>642</v>
      </c>
      <c r="K36" s="1292" t="s">
        <v>657</v>
      </c>
      <c r="L36" s="1231">
        <v>23174</v>
      </c>
      <c r="M36" s="1292"/>
      <c r="N36" s="1292"/>
      <c r="O36" s="647">
        <v>1960</v>
      </c>
      <c r="P36" s="1292">
        <v>1</v>
      </c>
      <c r="Q36" s="2381">
        <f t="shared" si="5"/>
        <v>1960</v>
      </c>
      <c r="R36" s="956"/>
      <c r="S36" s="954"/>
      <c r="T36" s="805"/>
      <c r="U36" s="1823">
        <v>1960</v>
      </c>
      <c r="V36" s="954"/>
      <c r="W36" s="954"/>
      <c r="X36" s="1166"/>
      <c r="Y36" s="1144"/>
      <c r="Z36" s="1124"/>
      <c r="AA36" s="1124"/>
      <c r="AB36" s="1124"/>
      <c r="AC36" s="1124"/>
      <c r="AD36" s="1124"/>
      <c r="AE36" s="1124"/>
      <c r="AF36" s="1124"/>
      <c r="AG36" s="1282">
        <f t="shared" si="4"/>
        <v>1960</v>
      </c>
    </row>
    <row r="37" spans="1:33" ht="116.25" hidden="1" customHeight="1">
      <c r="A37" s="796">
        <v>1112</v>
      </c>
      <c r="B37" s="793" t="s">
        <v>640</v>
      </c>
      <c r="C37" s="1073" t="s">
        <v>641</v>
      </c>
      <c r="D37" s="1292"/>
      <c r="E37" s="1293">
        <v>5</v>
      </c>
      <c r="F37" s="1294">
        <v>43220</v>
      </c>
      <c r="G37" s="1294">
        <f t="shared" si="3"/>
        <v>43224</v>
      </c>
      <c r="H37" s="1292" t="s">
        <v>622</v>
      </c>
      <c r="I37" s="1293"/>
      <c r="J37" s="643"/>
      <c r="K37" s="1292" t="s">
        <v>658</v>
      </c>
      <c r="L37" s="1231">
        <v>23174</v>
      </c>
      <c r="M37" s="1292"/>
      <c r="N37" s="1292"/>
      <c r="O37" s="647">
        <v>1960</v>
      </c>
      <c r="P37" s="1292">
        <v>1</v>
      </c>
      <c r="Q37" s="2381">
        <f t="shared" si="5"/>
        <v>1960</v>
      </c>
      <c r="R37" s="956"/>
      <c r="S37" s="954"/>
      <c r="T37" s="805"/>
      <c r="U37" s="1823">
        <v>1960</v>
      </c>
      <c r="V37" s="954"/>
      <c r="W37" s="954"/>
      <c r="X37" s="1166"/>
      <c r="Y37" s="1144"/>
      <c r="Z37" s="1124"/>
      <c r="AA37" s="1124"/>
      <c r="AB37" s="1124"/>
      <c r="AC37" s="1124"/>
      <c r="AD37" s="1124"/>
      <c r="AE37" s="1124"/>
      <c r="AF37" s="1124"/>
      <c r="AG37" s="1282">
        <f t="shared" si="4"/>
        <v>1960</v>
      </c>
    </row>
    <row r="38" spans="1:33" ht="116.25" hidden="1" customHeight="1">
      <c r="A38" s="796">
        <v>1112</v>
      </c>
      <c r="B38" s="793" t="s">
        <v>640</v>
      </c>
      <c r="C38" s="1073" t="s">
        <v>641</v>
      </c>
      <c r="D38" s="1292"/>
      <c r="E38" s="1293">
        <v>5</v>
      </c>
      <c r="F38" s="1294">
        <v>43220</v>
      </c>
      <c r="G38" s="1294">
        <f t="shared" si="3"/>
        <v>43224</v>
      </c>
      <c r="H38" s="1292" t="s">
        <v>622</v>
      </c>
      <c r="I38" s="1293" t="s">
        <v>170</v>
      </c>
      <c r="J38" s="643" t="s">
        <v>642</v>
      </c>
      <c r="K38" s="1292" t="s">
        <v>659</v>
      </c>
      <c r="L38" s="1231">
        <v>23174</v>
      </c>
      <c r="M38" s="1292"/>
      <c r="N38" s="1292"/>
      <c r="O38" s="647">
        <v>84</v>
      </c>
      <c r="P38" s="1292">
        <v>1</v>
      </c>
      <c r="Q38" s="2381">
        <f t="shared" si="5"/>
        <v>84</v>
      </c>
      <c r="R38" s="956"/>
      <c r="S38" s="954"/>
      <c r="T38" s="1823">
        <v>84</v>
      </c>
      <c r="U38" s="805"/>
      <c r="V38" s="954"/>
      <c r="W38" s="954"/>
      <c r="X38" s="1166"/>
      <c r="Y38" s="1144"/>
      <c r="Z38" s="1124"/>
      <c r="AA38" s="1124"/>
      <c r="AB38" s="1124"/>
      <c r="AC38" s="1124"/>
      <c r="AD38" s="1124"/>
      <c r="AE38" s="1124"/>
      <c r="AF38" s="1124"/>
      <c r="AG38" s="1282">
        <f t="shared" si="4"/>
        <v>84</v>
      </c>
    </row>
    <row r="39" spans="1:33" ht="116.25" hidden="1" customHeight="1">
      <c r="A39" s="796">
        <v>1112</v>
      </c>
      <c r="B39" s="793" t="s">
        <v>640</v>
      </c>
      <c r="C39" s="1073" t="s">
        <v>641</v>
      </c>
      <c r="D39" s="1292"/>
      <c r="E39" s="1293">
        <v>5</v>
      </c>
      <c r="F39" s="1294">
        <v>43220</v>
      </c>
      <c r="G39" s="1294">
        <f t="shared" si="3"/>
        <v>43224</v>
      </c>
      <c r="H39" s="1292" t="s">
        <v>622</v>
      </c>
      <c r="I39" s="1293" t="s">
        <v>170</v>
      </c>
      <c r="J39" s="643" t="s">
        <v>642</v>
      </c>
      <c r="K39" s="1292" t="s">
        <v>660</v>
      </c>
      <c r="L39" s="1231">
        <v>23174</v>
      </c>
      <c r="M39" s="1292"/>
      <c r="N39" s="1292"/>
      <c r="O39" s="647">
        <v>93.333333333333343</v>
      </c>
      <c r="P39" s="1292">
        <v>1</v>
      </c>
      <c r="Q39" s="2381">
        <f t="shared" si="5"/>
        <v>93.333333333333343</v>
      </c>
      <c r="R39" s="956"/>
      <c r="S39" s="954"/>
      <c r="T39" s="1823">
        <v>93.333333333333343</v>
      </c>
      <c r="U39" s="805"/>
      <c r="V39" s="954"/>
      <c r="W39" s="954"/>
      <c r="X39" s="1166"/>
      <c r="Y39" s="1144"/>
      <c r="Z39" s="1124"/>
      <c r="AA39" s="1124"/>
      <c r="AB39" s="1124"/>
      <c r="AC39" s="1124"/>
      <c r="AD39" s="1124"/>
      <c r="AE39" s="1124"/>
      <c r="AF39" s="1124"/>
      <c r="AG39" s="1282">
        <f t="shared" si="4"/>
        <v>93.333333333333343</v>
      </c>
    </row>
    <row r="40" spans="1:33" ht="116.25" hidden="1" customHeight="1">
      <c r="A40" s="796">
        <v>1112</v>
      </c>
      <c r="B40" s="793" t="s">
        <v>640</v>
      </c>
      <c r="C40" s="1073" t="s">
        <v>641</v>
      </c>
      <c r="D40" s="1292"/>
      <c r="E40" s="1293">
        <v>5</v>
      </c>
      <c r="F40" s="1294">
        <v>43220</v>
      </c>
      <c r="G40" s="1294">
        <f t="shared" si="3"/>
        <v>43224</v>
      </c>
      <c r="H40" s="1292" t="s">
        <v>622</v>
      </c>
      <c r="I40" s="1293" t="s">
        <v>170</v>
      </c>
      <c r="J40" s="643" t="s">
        <v>642</v>
      </c>
      <c r="K40" s="1292" t="s">
        <v>661</v>
      </c>
      <c r="L40" s="1231">
        <v>23174</v>
      </c>
      <c r="M40" s="1292"/>
      <c r="N40" s="1292"/>
      <c r="O40" s="647">
        <v>70</v>
      </c>
      <c r="P40" s="1292">
        <v>1</v>
      </c>
      <c r="Q40" s="2381">
        <f t="shared" si="5"/>
        <v>70</v>
      </c>
      <c r="R40" s="956"/>
      <c r="S40" s="954"/>
      <c r="T40" s="1823">
        <v>70</v>
      </c>
      <c r="U40" s="805"/>
      <c r="V40" s="954"/>
      <c r="W40" s="954"/>
      <c r="X40" s="1166"/>
      <c r="Y40" s="1144"/>
      <c r="Z40" s="1124"/>
      <c r="AA40" s="1124"/>
      <c r="AB40" s="1124"/>
      <c r="AC40" s="1124"/>
      <c r="AD40" s="1124"/>
      <c r="AE40" s="1124"/>
      <c r="AF40" s="1124"/>
      <c r="AG40" s="1282">
        <f t="shared" si="4"/>
        <v>70</v>
      </c>
    </row>
    <row r="41" spans="1:33" ht="116.25" hidden="1" customHeight="1">
      <c r="A41" s="796">
        <v>1112</v>
      </c>
      <c r="B41" s="793" t="s">
        <v>640</v>
      </c>
      <c r="C41" s="1073" t="s">
        <v>641</v>
      </c>
      <c r="D41" s="1292"/>
      <c r="E41" s="1293">
        <v>5</v>
      </c>
      <c r="F41" s="1294">
        <v>43220</v>
      </c>
      <c r="G41" s="1294">
        <f t="shared" si="3"/>
        <v>43224</v>
      </c>
      <c r="H41" s="1292" t="s">
        <v>622</v>
      </c>
      <c r="I41" s="1293" t="s">
        <v>170</v>
      </c>
      <c r="J41" s="643" t="s">
        <v>642</v>
      </c>
      <c r="K41" s="1292" t="s">
        <v>662</v>
      </c>
      <c r="L41" s="1231">
        <v>23174</v>
      </c>
      <c r="M41" s="1292"/>
      <c r="N41" s="1292"/>
      <c r="O41" s="647">
        <v>46.666666666666671</v>
      </c>
      <c r="P41" s="1292">
        <v>1</v>
      </c>
      <c r="Q41" s="2381">
        <f t="shared" si="5"/>
        <v>46.666666666666671</v>
      </c>
      <c r="R41" s="956"/>
      <c r="S41" s="954"/>
      <c r="T41" s="1823">
        <v>46.666666666666671</v>
      </c>
      <c r="U41" s="805"/>
      <c r="V41" s="954"/>
      <c r="W41" s="954"/>
      <c r="X41" s="1166"/>
      <c r="Y41" s="1144"/>
      <c r="Z41" s="1124"/>
      <c r="AA41" s="1124"/>
      <c r="AB41" s="1124"/>
      <c r="AC41" s="1124"/>
      <c r="AD41" s="1124"/>
      <c r="AE41" s="1124"/>
      <c r="AF41" s="1124"/>
      <c r="AG41" s="1282">
        <f t="shared" si="4"/>
        <v>46.666666666666671</v>
      </c>
    </row>
    <row r="42" spans="1:33" ht="116.25" hidden="1" customHeight="1">
      <c r="A42" s="796">
        <v>1112</v>
      </c>
      <c r="B42" s="793" t="s">
        <v>640</v>
      </c>
      <c r="C42" s="1073" t="s">
        <v>641</v>
      </c>
      <c r="D42" s="1292"/>
      <c r="E42" s="1293">
        <v>5</v>
      </c>
      <c r="F42" s="1294">
        <v>43220</v>
      </c>
      <c r="G42" s="1294">
        <f t="shared" si="3"/>
        <v>43224</v>
      </c>
      <c r="H42" s="1292" t="s">
        <v>622</v>
      </c>
      <c r="I42" s="1293" t="s">
        <v>170</v>
      </c>
      <c r="J42" s="643" t="s">
        <v>642</v>
      </c>
      <c r="K42" s="1292" t="s">
        <v>663</v>
      </c>
      <c r="L42" s="1231">
        <v>23174</v>
      </c>
      <c r="M42" s="1292"/>
      <c r="N42" s="1292"/>
      <c r="O42" s="647">
        <v>1176</v>
      </c>
      <c r="P42" s="1292">
        <v>1</v>
      </c>
      <c r="Q42" s="2381">
        <f t="shared" si="5"/>
        <v>1176</v>
      </c>
      <c r="R42" s="956"/>
      <c r="S42" s="954"/>
      <c r="T42" s="805"/>
      <c r="U42" s="1823">
        <v>1176</v>
      </c>
      <c r="V42" s="954"/>
      <c r="W42" s="954"/>
      <c r="X42" s="1166"/>
      <c r="Y42" s="1144"/>
      <c r="Z42" s="1124"/>
      <c r="AA42" s="1124"/>
      <c r="AB42" s="1124"/>
      <c r="AC42" s="1124"/>
      <c r="AD42" s="1124"/>
      <c r="AE42" s="1124"/>
      <c r="AF42" s="1124"/>
      <c r="AG42" s="1282">
        <f t="shared" si="4"/>
        <v>1176</v>
      </c>
    </row>
    <row r="43" spans="1:33" ht="116.25" hidden="1" customHeight="1">
      <c r="A43" s="796">
        <v>1112</v>
      </c>
      <c r="B43" s="793" t="s">
        <v>640</v>
      </c>
      <c r="C43" s="1073" t="s">
        <v>641</v>
      </c>
      <c r="D43" s="1292"/>
      <c r="E43" s="1293">
        <v>5</v>
      </c>
      <c r="F43" s="1294">
        <v>43220</v>
      </c>
      <c r="G43" s="1294">
        <f t="shared" si="3"/>
        <v>43224</v>
      </c>
      <c r="H43" s="1292" t="s">
        <v>622</v>
      </c>
      <c r="I43" s="1293" t="s">
        <v>170</v>
      </c>
      <c r="J43" s="643" t="s">
        <v>642</v>
      </c>
      <c r="K43" s="1292" t="s">
        <v>664</v>
      </c>
      <c r="L43" s="1231">
        <v>23174</v>
      </c>
      <c r="M43" s="1292"/>
      <c r="N43" s="1292"/>
      <c r="O43" s="647">
        <v>1306.6666666666667</v>
      </c>
      <c r="P43" s="1292">
        <v>1</v>
      </c>
      <c r="Q43" s="2381">
        <f t="shared" si="5"/>
        <v>1306.6666666666667</v>
      </c>
      <c r="R43" s="956"/>
      <c r="S43" s="954"/>
      <c r="T43" s="805"/>
      <c r="U43" s="1823">
        <v>1306.6666666666667</v>
      </c>
      <c r="V43" s="954"/>
      <c r="W43" s="954"/>
      <c r="X43" s="1166"/>
      <c r="Y43" s="1144"/>
      <c r="Z43" s="1124"/>
      <c r="AA43" s="1124"/>
      <c r="AB43" s="1124"/>
      <c r="AC43" s="1124"/>
      <c r="AD43" s="1124"/>
      <c r="AE43" s="1124"/>
      <c r="AF43" s="1124"/>
      <c r="AG43" s="1282">
        <f t="shared" si="4"/>
        <v>1306.6666666666667</v>
      </c>
    </row>
    <row r="44" spans="1:33" ht="116.25" hidden="1" customHeight="1">
      <c r="A44" s="796">
        <v>1112</v>
      </c>
      <c r="B44" s="793" t="s">
        <v>640</v>
      </c>
      <c r="C44" s="1073" t="s">
        <v>641</v>
      </c>
      <c r="D44" s="1292"/>
      <c r="E44" s="1293">
        <v>5</v>
      </c>
      <c r="F44" s="1294">
        <v>43220</v>
      </c>
      <c r="G44" s="1294">
        <f t="shared" si="3"/>
        <v>43224</v>
      </c>
      <c r="H44" s="1292" t="s">
        <v>622</v>
      </c>
      <c r="I44" s="1293" t="s">
        <v>170</v>
      </c>
      <c r="J44" s="643" t="s">
        <v>642</v>
      </c>
      <c r="K44" s="1292" t="s">
        <v>665</v>
      </c>
      <c r="L44" s="1231">
        <v>23174</v>
      </c>
      <c r="M44" s="1292"/>
      <c r="N44" s="1292"/>
      <c r="O44" s="647">
        <v>373</v>
      </c>
      <c r="P44" s="1292">
        <v>1</v>
      </c>
      <c r="Q44" s="2381">
        <f t="shared" si="5"/>
        <v>373</v>
      </c>
      <c r="R44" s="956"/>
      <c r="S44" s="954"/>
      <c r="T44" s="1823">
        <v>373</v>
      </c>
      <c r="U44" s="805"/>
      <c r="V44" s="954"/>
      <c r="W44" s="954"/>
      <c r="X44" s="1166"/>
      <c r="Y44" s="1144"/>
      <c r="Z44" s="1124"/>
      <c r="AA44" s="1124"/>
      <c r="AB44" s="1124"/>
      <c r="AC44" s="1124"/>
      <c r="AD44" s="1124"/>
      <c r="AE44" s="1124"/>
      <c r="AF44" s="1124"/>
      <c r="AG44" s="1282">
        <f t="shared" si="4"/>
        <v>373</v>
      </c>
    </row>
    <row r="45" spans="1:33" ht="116.25" hidden="1" customHeight="1">
      <c r="A45" s="796">
        <v>1112</v>
      </c>
      <c r="B45" s="793" t="s">
        <v>640</v>
      </c>
      <c r="C45" s="1073" t="s">
        <v>641</v>
      </c>
      <c r="D45" s="1292"/>
      <c r="E45" s="1293">
        <v>5</v>
      </c>
      <c r="F45" s="1294">
        <v>43220</v>
      </c>
      <c r="G45" s="1294">
        <f t="shared" si="3"/>
        <v>43224</v>
      </c>
      <c r="H45" s="1292" t="s">
        <v>622</v>
      </c>
      <c r="I45" s="1293" t="s">
        <v>170</v>
      </c>
      <c r="J45" s="643" t="s">
        <v>642</v>
      </c>
      <c r="K45" s="1292" t="s">
        <v>638</v>
      </c>
      <c r="L45" s="1231">
        <v>23173</v>
      </c>
      <c r="M45" s="1292"/>
      <c r="N45" s="1292"/>
      <c r="O45" s="647">
        <v>833.33333333333337</v>
      </c>
      <c r="P45" s="1292">
        <v>1</v>
      </c>
      <c r="Q45" s="2381">
        <f t="shared" si="5"/>
        <v>833.33333333333337</v>
      </c>
      <c r="R45" s="956"/>
      <c r="S45" s="954"/>
      <c r="T45" s="1823">
        <v>833.33333333333337</v>
      </c>
      <c r="U45" s="805"/>
      <c r="V45" s="954"/>
      <c r="W45" s="954"/>
      <c r="X45" s="1166"/>
      <c r="Y45" s="1144"/>
      <c r="Z45" s="1124"/>
      <c r="AA45" s="1124"/>
      <c r="AB45" s="1124"/>
      <c r="AC45" s="1124"/>
      <c r="AD45" s="1124"/>
      <c r="AE45" s="1124"/>
      <c r="AF45" s="1124"/>
      <c r="AG45" s="1282">
        <f t="shared" si="4"/>
        <v>833.33333333333337</v>
      </c>
    </row>
    <row r="46" spans="1:33" ht="116.25" hidden="1" customHeight="1">
      <c r="A46" s="796">
        <v>1112</v>
      </c>
      <c r="B46" s="793" t="s">
        <v>640</v>
      </c>
      <c r="C46" s="1073" t="s">
        <v>666</v>
      </c>
      <c r="D46" s="1292"/>
      <c r="E46" s="1293">
        <v>1</v>
      </c>
      <c r="F46" s="1294">
        <v>43225</v>
      </c>
      <c r="G46" s="1294">
        <f t="shared" si="3"/>
        <v>43225</v>
      </c>
      <c r="H46" s="1292" t="s">
        <v>667</v>
      </c>
      <c r="I46" s="1293" t="s">
        <v>170</v>
      </c>
      <c r="J46" s="643" t="s">
        <v>642</v>
      </c>
      <c r="K46" s="1292" t="s">
        <v>668</v>
      </c>
      <c r="L46" s="1231">
        <v>23173</v>
      </c>
      <c r="M46" s="1292"/>
      <c r="N46" s="1292"/>
      <c r="O46" s="647">
        <v>333.33333333333331</v>
      </c>
      <c r="P46" s="1292">
        <v>1</v>
      </c>
      <c r="Q46" s="2381">
        <f t="shared" si="5"/>
        <v>333.33333333333331</v>
      </c>
      <c r="R46" s="956"/>
      <c r="S46" s="954"/>
      <c r="T46" s="805"/>
      <c r="U46" s="1823">
        <v>333.33333333333331</v>
      </c>
      <c r="V46" s="954"/>
      <c r="W46" s="954"/>
      <c r="X46" s="1166"/>
      <c r="Y46" s="1144"/>
      <c r="Z46" s="1124"/>
      <c r="AA46" s="1124"/>
      <c r="AB46" s="1124"/>
      <c r="AC46" s="1124"/>
      <c r="AD46" s="1124"/>
      <c r="AE46" s="1124"/>
      <c r="AF46" s="1124"/>
      <c r="AG46" s="1282">
        <f t="shared" si="4"/>
        <v>333.33333333333331</v>
      </c>
    </row>
    <row r="47" spans="1:33" ht="116.25" hidden="1" customHeight="1">
      <c r="A47" s="796">
        <v>1112</v>
      </c>
      <c r="B47" s="793" t="s">
        <v>640</v>
      </c>
      <c r="C47" s="1073" t="s">
        <v>666</v>
      </c>
      <c r="D47" s="1292"/>
      <c r="E47" s="1293">
        <v>1</v>
      </c>
      <c r="F47" s="1294">
        <v>43225</v>
      </c>
      <c r="G47" s="1294">
        <f t="shared" si="3"/>
        <v>43225</v>
      </c>
      <c r="H47" s="1292" t="s">
        <v>667</v>
      </c>
      <c r="I47" s="1293" t="s">
        <v>170</v>
      </c>
      <c r="J47" s="643" t="s">
        <v>642</v>
      </c>
      <c r="K47" s="1292" t="s">
        <v>670</v>
      </c>
      <c r="L47" s="1231">
        <v>23173</v>
      </c>
      <c r="M47" s="1292"/>
      <c r="N47" s="1292"/>
      <c r="O47" s="647">
        <v>466.66666666666669</v>
      </c>
      <c r="P47" s="1292">
        <v>1</v>
      </c>
      <c r="Q47" s="2381">
        <f t="shared" si="5"/>
        <v>466.66666666666669</v>
      </c>
      <c r="R47" s="956"/>
      <c r="S47" s="954"/>
      <c r="T47" s="805"/>
      <c r="U47" s="1823">
        <v>466.66666666666669</v>
      </c>
      <c r="V47" s="954"/>
      <c r="W47" s="954"/>
      <c r="X47" s="1166"/>
      <c r="Y47" s="1144"/>
      <c r="Z47" s="1124"/>
      <c r="AA47" s="1124"/>
      <c r="AB47" s="1124"/>
      <c r="AC47" s="1124"/>
      <c r="AD47" s="1124"/>
      <c r="AE47" s="1124"/>
      <c r="AF47" s="1124"/>
      <c r="AG47" s="1282">
        <f t="shared" si="4"/>
        <v>466.66666666666669</v>
      </c>
    </row>
    <row r="48" spans="1:33" ht="73.900000000000006" hidden="1" customHeight="1">
      <c r="A48" s="796">
        <v>1113</v>
      </c>
      <c r="B48" s="793" t="s">
        <v>671</v>
      </c>
      <c r="C48" s="1073" t="s">
        <v>672</v>
      </c>
      <c r="D48" s="1292"/>
      <c r="E48" s="1293">
        <v>5</v>
      </c>
      <c r="F48" s="1294">
        <v>43227</v>
      </c>
      <c r="G48" s="1294">
        <f t="shared" si="3"/>
        <v>43231</v>
      </c>
      <c r="H48" s="1292" t="s">
        <v>667</v>
      </c>
      <c r="I48" s="1293" t="s">
        <v>170</v>
      </c>
      <c r="J48" s="643" t="s">
        <v>673</v>
      </c>
      <c r="K48" s="1292" t="s">
        <v>674</v>
      </c>
      <c r="L48" s="1231">
        <v>23174</v>
      </c>
      <c r="M48" s="1292"/>
      <c r="N48" s="1292"/>
      <c r="O48" s="647">
        <v>588</v>
      </c>
      <c r="P48" s="1292">
        <v>1</v>
      </c>
      <c r="Q48" s="2381">
        <f t="shared" si="5"/>
        <v>588</v>
      </c>
      <c r="R48" s="956"/>
      <c r="S48" s="954"/>
      <c r="T48" s="954"/>
      <c r="U48" s="1823">
        <v>588</v>
      </c>
      <c r="V48" s="954"/>
      <c r="W48" s="954"/>
      <c r="X48" s="1166"/>
      <c r="Y48" s="1144"/>
      <c r="Z48" s="1124"/>
      <c r="AA48" s="1124"/>
      <c r="AB48" s="1124"/>
      <c r="AC48" s="1124"/>
      <c r="AD48" s="1124"/>
      <c r="AE48" s="1124"/>
      <c r="AF48" s="1124"/>
      <c r="AG48" s="1282">
        <f t="shared" si="4"/>
        <v>588</v>
      </c>
    </row>
    <row r="49" spans="1:33" ht="73.900000000000006" hidden="1" customHeight="1">
      <c r="A49" s="796">
        <v>1113</v>
      </c>
      <c r="B49" s="793" t="s">
        <v>671</v>
      </c>
      <c r="C49" s="1073" t="s">
        <v>672</v>
      </c>
      <c r="D49" s="1292"/>
      <c r="E49" s="1293">
        <v>5</v>
      </c>
      <c r="F49" s="1294">
        <v>43227</v>
      </c>
      <c r="G49" s="1294">
        <f t="shared" si="3"/>
        <v>43231</v>
      </c>
      <c r="H49" s="1292" t="s">
        <v>667</v>
      </c>
      <c r="I49" s="1293" t="s">
        <v>170</v>
      </c>
      <c r="J49" s="643" t="s">
        <v>673</v>
      </c>
      <c r="K49" s="1292" t="s">
        <v>675</v>
      </c>
      <c r="L49" s="1231">
        <v>23174</v>
      </c>
      <c r="M49" s="1292"/>
      <c r="N49" s="1292"/>
      <c r="O49" s="647">
        <v>653.33333333333337</v>
      </c>
      <c r="P49" s="1292">
        <v>1</v>
      </c>
      <c r="Q49" s="2381">
        <f t="shared" si="5"/>
        <v>653.33333333333337</v>
      </c>
      <c r="R49" s="956"/>
      <c r="S49" s="954"/>
      <c r="T49" s="954"/>
      <c r="U49" s="1823">
        <v>653.33333333333337</v>
      </c>
      <c r="V49" s="954"/>
      <c r="W49" s="954"/>
      <c r="X49" s="1166"/>
      <c r="Y49" s="1144"/>
      <c r="Z49" s="1124"/>
      <c r="AA49" s="1124"/>
      <c r="AB49" s="1124"/>
      <c r="AC49" s="1124"/>
      <c r="AD49" s="1124"/>
      <c r="AE49" s="1124"/>
      <c r="AF49" s="1124"/>
      <c r="AG49" s="1282">
        <f t="shared" si="4"/>
        <v>653.33333333333337</v>
      </c>
    </row>
    <row r="50" spans="1:33" ht="73.900000000000006" hidden="1" customHeight="1">
      <c r="A50" s="796">
        <v>1113</v>
      </c>
      <c r="B50" s="793" t="s">
        <v>671</v>
      </c>
      <c r="C50" s="1073" t="s">
        <v>672</v>
      </c>
      <c r="D50" s="1292"/>
      <c r="E50" s="1293">
        <v>5</v>
      </c>
      <c r="F50" s="1294">
        <v>43227</v>
      </c>
      <c r="G50" s="1294">
        <f t="shared" si="3"/>
        <v>43231</v>
      </c>
      <c r="H50" s="1292" t="s">
        <v>667</v>
      </c>
      <c r="I50" s="1293" t="s">
        <v>170</v>
      </c>
      <c r="J50" s="643" t="s">
        <v>673</v>
      </c>
      <c r="K50" s="1292" t="s">
        <v>676</v>
      </c>
      <c r="L50" s="1231">
        <v>23174</v>
      </c>
      <c r="M50" s="1292"/>
      <c r="N50" s="1292"/>
      <c r="O50" s="647">
        <v>653</v>
      </c>
      <c r="P50" s="1292">
        <v>1</v>
      </c>
      <c r="Q50" s="2381">
        <f t="shared" si="5"/>
        <v>653</v>
      </c>
      <c r="R50" s="956"/>
      <c r="S50" s="954"/>
      <c r="T50" s="954"/>
      <c r="U50" s="1823">
        <v>653</v>
      </c>
      <c r="V50" s="954"/>
      <c r="W50" s="954"/>
      <c r="X50" s="1166"/>
      <c r="Y50" s="1144"/>
      <c r="Z50" s="1124"/>
      <c r="AA50" s="1124"/>
      <c r="AB50" s="1124"/>
      <c r="AC50" s="1124"/>
      <c r="AD50" s="1124"/>
      <c r="AE50" s="1124"/>
      <c r="AF50" s="1124"/>
      <c r="AG50" s="1282">
        <f t="shared" si="4"/>
        <v>653</v>
      </c>
    </row>
    <row r="51" spans="1:33" ht="73.900000000000006" hidden="1" customHeight="1">
      <c r="A51" s="796">
        <v>1113</v>
      </c>
      <c r="B51" s="793" t="s">
        <v>671</v>
      </c>
      <c r="C51" s="1073" t="s">
        <v>672</v>
      </c>
      <c r="D51" s="1292"/>
      <c r="E51" s="1293">
        <v>5</v>
      </c>
      <c r="F51" s="1294">
        <v>43227</v>
      </c>
      <c r="G51" s="1294">
        <f t="shared" si="3"/>
        <v>43231</v>
      </c>
      <c r="H51" s="1292" t="s">
        <v>667</v>
      </c>
      <c r="I51" s="1293" t="s">
        <v>170</v>
      </c>
      <c r="J51" s="643" t="s">
        <v>673</v>
      </c>
      <c r="K51" s="1292" t="s">
        <v>677</v>
      </c>
      <c r="L51" s="1231">
        <v>23173</v>
      </c>
      <c r="M51" s="1292"/>
      <c r="N51" s="1292"/>
      <c r="O51" s="647">
        <v>3833</v>
      </c>
      <c r="P51" s="1292">
        <v>1</v>
      </c>
      <c r="Q51" s="2381">
        <f t="shared" si="5"/>
        <v>3833</v>
      </c>
      <c r="R51" s="956"/>
      <c r="S51" s="954"/>
      <c r="T51" s="954"/>
      <c r="U51" s="1823">
        <v>3833</v>
      </c>
      <c r="V51" s="954"/>
      <c r="W51" s="954"/>
      <c r="X51" s="1166"/>
      <c r="Y51" s="1144"/>
      <c r="Z51" s="1124"/>
      <c r="AA51" s="1124"/>
      <c r="AB51" s="1124"/>
      <c r="AC51" s="1124"/>
      <c r="AD51" s="1124"/>
      <c r="AE51" s="1124"/>
      <c r="AF51" s="1124"/>
      <c r="AG51" s="1282">
        <f t="shared" si="4"/>
        <v>3833</v>
      </c>
    </row>
    <row r="52" spans="1:33" ht="73.900000000000006" hidden="1" customHeight="1">
      <c r="A52" s="796">
        <v>1113</v>
      </c>
      <c r="B52" s="793" t="s">
        <v>671</v>
      </c>
      <c r="C52" s="1073" t="s">
        <v>672</v>
      </c>
      <c r="D52" s="1292"/>
      <c r="E52" s="1293">
        <v>5</v>
      </c>
      <c r="F52" s="1294">
        <v>43227</v>
      </c>
      <c r="G52" s="1294">
        <f t="shared" si="3"/>
        <v>43231</v>
      </c>
      <c r="H52" s="1292" t="s">
        <v>667</v>
      </c>
      <c r="I52" s="1293" t="s">
        <v>170</v>
      </c>
      <c r="J52" s="643" t="s">
        <v>673</v>
      </c>
      <c r="K52" s="1292" t="s">
        <v>678</v>
      </c>
      <c r="L52" s="1231">
        <v>23173</v>
      </c>
      <c r="M52" s="1292"/>
      <c r="N52" s="1292"/>
      <c r="O52" s="647">
        <v>766.66666666666674</v>
      </c>
      <c r="P52" s="1292">
        <v>1</v>
      </c>
      <c r="Q52" s="2381">
        <f t="shared" si="5"/>
        <v>766.66666666666674</v>
      </c>
      <c r="R52" s="956"/>
      <c r="S52" s="954"/>
      <c r="T52" s="954"/>
      <c r="U52" s="1823">
        <v>766.66666666666674</v>
      </c>
      <c r="V52" s="954"/>
      <c r="W52" s="954"/>
      <c r="X52" s="1166"/>
      <c r="Y52" s="1144"/>
      <c r="Z52" s="1124"/>
      <c r="AA52" s="1124"/>
      <c r="AB52" s="1124"/>
      <c r="AC52" s="1124"/>
      <c r="AD52" s="1124"/>
      <c r="AE52" s="1124"/>
      <c r="AF52" s="1124"/>
      <c r="AG52" s="1282">
        <f t="shared" si="4"/>
        <v>766.66666666666674</v>
      </c>
    </row>
    <row r="53" spans="1:33" ht="73.900000000000006" hidden="1" customHeight="1">
      <c r="A53" s="796">
        <v>1114</v>
      </c>
      <c r="B53" s="793" t="s">
        <v>679</v>
      </c>
      <c r="C53" s="1073" t="s">
        <v>680</v>
      </c>
      <c r="D53" s="1292"/>
      <c r="E53" s="1293">
        <v>5</v>
      </c>
      <c r="F53" s="1294">
        <v>43248</v>
      </c>
      <c r="G53" s="1294">
        <f t="shared" si="3"/>
        <v>43252</v>
      </c>
      <c r="H53" s="1292" t="s">
        <v>681</v>
      </c>
      <c r="I53" s="1293" t="s">
        <v>170</v>
      </c>
      <c r="J53" s="643" t="s">
        <v>682</v>
      </c>
      <c r="K53" s="1292" t="s">
        <v>683</v>
      </c>
      <c r="L53" s="1231">
        <v>23174</v>
      </c>
      <c r="M53" s="1292"/>
      <c r="N53" s="1292"/>
      <c r="O53" s="647">
        <v>588</v>
      </c>
      <c r="P53" s="1292">
        <v>1</v>
      </c>
      <c r="Q53" s="2381">
        <f t="shared" si="5"/>
        <v>588</v>
      </c>
      <c r="R53" s="956"/>
      <c r="S53" s="954"/>
      <c r="T53" s="954"/>
      <c r="U53" s="1823">
        <v>588</v>
      </c>
      <c r="V53" s="805"/>
      <c r="W53" s="954"/>
      <c r="X53" s="1166"/>
      <c r="Y53" s="1144"/>
      <c r="Z53" s="1124"/>
      <c r="AA53" s="1124"/>
      <c r="AB53" s="1124"/>
      <c r="AC53" s="1124"/>
      <c r="AD53" s="1124"/>
      <c r="AE53" s="1124"/>
      <c r="AF53" s="1124"/>
      <c r="AG53" s="1282">
        <f t="shared" si="4"/>
        <v>588</v>
      </c>
    </row>
    <row r="54" spans="1:33" ht="73.900000000000006" hidden="1" customHeight="1">
      <c r="A54" s="796">
        <v>1114</v>
      </c>
      <c r="B54" s="793" t="s">
        <v>679</v>
      </c>
      <c r="C54" s="1073" t="s">
        <v>680</v>
      </c>
      <c r="D54" s="1292"/>
      <c r="E54" s="1293">
        <v>5</v>
      </c>
      <c r="F54" s="1294">
        <v>43248</v>
      </c>
      <c r="G54" s="1294">
        <f t="shared" si="3"/>
        <v>43252</v>
      </c>
      <c r="H54" s="1292" t="s">
        <v>681</v>
      </c>
      <c r="I54" s="1293" t="s">
        <v>170</v>
      </c>
      <c r="J54" s="643" t="s">
        <v>682</v>
      </c>
      <c r="K54" s="1292" t="s">
        <v>684</v>
      </c>
      <c r="L54" s="1231">
        <v>23174</v>
      </c>
      <c r="M54" s="1292"/>
      <c r="N54" s="1292"/>
      <c r="O54" s="647">
        <v>653.33333333333337</v>
      </c>
      <c r="P54" s="1292">
        <v>1</v>
      </c>
      <c r="Q54" s="2381">
        <f t="shared" si="5"/>
        <v>653.33333333333337</v>
      </c>
      <c r="R54" s="956"/>
      <c r="S54" s="954"/>
      <c r="T54" s="954"/>
      <c r="U54" s="1823">
        <v>653.33333333333337</v>
      </c>
      <c r="V54" s="805"/>
      <c r="W54" s="954"/>
      <c r="X54" s="1166"/>
      <c r="Y54" s="1144"/>
      <c r="Z54" s="1124"/>
      <c r="AA54" s="1124"/>
      <c r="AB54" s="1124"/>
      <c r="AC54" s="1124"/>
      <c r="AD54" s="1124"/>
      <c r="AE54" s="1124"/>
      <c r="AF54" s="1124"/>
      <c r="AG54" s="1282">
        <f t="shared" si="4"/>
        <v>653.33333333333337</v>
      </c>
    </row>
    <row r="55" spans="1:33" ht="73.900000000000006" hidden="1" customHeight="1">
      <c r="A55" s="796">
        <v>1114</v>
      </c>
      <c r="B55" s="793" t="s">
        <v>679</v>
      </c>
      <c r="C55" s="1073" t="s">
        <v>680</v>
      </c>
      <c r="D55" s="1292"/>
      <c r="E55" s="1293">
        <v>5</v>
      </c>
      <c r="F55" s="1294">
        <v>43248</v>
      </c>
      <c r="G55" s="1294">
        <f t="shared" si="3"/>
        <v>43252</v>
      </c>
      <c r="H55" s="1292" t="s">
        <v>681</v>
      </c>
      <c r="I55" s="1293" t="s">
        <v>170</v>
      </c>
      <c r="J55" s="643" t="s">
        <v>682</v>
      </c>
      <c r="K55" s="1292" t="s">
        <v>685</v>
      </c>
      <c r="L55" s="1231">
        <v>23174</v>
      </c>
      <c r="M55" s="1292"/>
      <c r="N55" s="1292"/>
      <c r="O55" s="647">
        <v>490</v>
      </c>
      <c r="P55" s="1292">
        <v>1</v>
      </c>
      <c r="Q55" s="2381">
        <f t="shared" si="5"/>
        <v>490</v>
      </c>
      <c r="R55" s="956"/>
      <c r="S55" s="954"/>
      <c r="T55" s="954"/>
      <c r="U55" s="1823">
        <v>490</v>
      </c>
      <c r="V55" s="805"/>
      <c r="W55" s="954"/>
      <c r="X55" s="1166"/>
      <c r="Y55" s="1144"/>
      <c r="Z55" s="1124"/>
      <c r="AA55" s="1124"/>
      <c r="AB55" s="1124"/>
      <c r="AC55" s="1124"/>
      <c r="AD55" s="1124"/>
      <c r="AE55" s="1124"/>
      <c r="AF55" s="1124"/>
      <c r="AG55" s="1282">
        <f t="shared" si="4"/>
        <v>490</v>
      </c>
    </row>
    <row r="56" spans="1:33" ht="73.900000000000006" hidden="1" customHeight="1">
      <c r="A56" s="796">
        <v>1114</v>
      </c>
      <c r="B56" s="793" t="s">
        <v>679</v>
      </c>
      <c r="C56" s="1073" t="s">
        <v>680</v>
      </c>
      <c r="D56" s="1292"/>
      <c r="E56" s="1293">
        <v>5</v>
      </c>
      <c r="F56" s="1294">
        <v>43248</v>
      </c>
      <c r="G56" s="1294">
        <f t="shared" si="3"/>
        <v>43252</v>
      </c>
      <c r="H56" s="1292" t="s">
        <v>681</v>
      </c>
      <c r="I56" s="1293" t="s">
        <v>170</v>
      </c>
      <c r="J56" s="643" t="s">
        <v>682</v>
      </c>
      <c r="K56" s="1292" t="s">
        <v>686</v>
      </c>
      <c r="L56" s="1231">
        <v>23174</v>
      </c>
      <c r="M56" s="1292"/>
      <c r="N56" s="1292"/>
      <c r="O56" s="647">
        <v>326.66666666666669</v>
      </c>
      <c r="P56" s="1292">
        <v>1</v>
      </c>
      <c r="Q56" s="2381">
        <f t="shared" si="5"/>
        <v>326.66666666666669</v>
      </c>
      <c r="R56" s="956"/>
      <c r="S56" s="954"/>
      <c r="T56" s="954"/>
      <c r="U56" s="1823">
        <v>326.66666666666669</v>
      </c>
      <c r="V56" s="805"/>
      <c r="W56" s="954"/>
      <c r="X56" s="1166"/>
      <c r="Y56" s="1144"/>
      <c r="Z56" s="1124"/>
      <c r="AA56" s="1124"/>
      <c r="AB56" s="1124"/>
      <c r="AC56" s="1124"/>
      <c r="AD56" s="1124"/>
      <c r="AE56" s="1124"/>
      <c r="AF56" s="1124"/>
      <c r="AG56" s="1282">
        <f t="shared" si="4"/>
        <v>326.66666666666669</v>
      </c>
    </row>
    <row r="57" spans="1:33" ht="73.900000000000006" hidden="1" customHeight="1">
      <c r="A57" s="796">
        <v>1114</v>
      </c>
      <c r="B57" s="793" t="s">
        <v>679</v>
      </c>
      <c r="C57" s="1073" t="s">
        <v>680</v>
      </c>
      <c r="D57" s="1292"/>
      <c r="E57" s="1293">
        <v>5</v>
      </c>
      <c r="F57" s="1294">
        <v>43248</v>
      </c>
      <c r="G57" s="1294">
        <f t="shared" si="3"/>
        <v>43252</v>
      </c>
      <c r="H57" s="1292" t="s">
        <v>681</v>
      </c>
      <c r="I57" s="1293" t="s">
        <v>170</v>
      </c>
      <c r="J57" s="643" t="s">
        <v>682</v>
      </c>
      <c r="K57" s="1292" t="s">
        <v>687</v>
      </c>
      <c r="L57" s="1231">
        <v>23174</v>
      </c>
      <c r="M57" s="1292"/>
      <c r="N57" s="1292"/>
      <c r="O57" s="647">
        <v>2221</v>
      </c>
      <c r="P57" s="1292">
        <v>1</v>
      </c>
      <c r="Q57" s="2381">
        <f t="shared" si="5"/>
        <v>2221</v>
      </c>
      <c r="R57" s="956"/>
      <c r="S57" s="954"/>
      <c r="T57" s="954"/>
      <c r="U57" s="1823">
        <v>2221</v>
      </c>
      <c r="V57" s="805"/>
      <c r="W57" s="954"/>
      <c r="X57" s="1166"/>
      <c r="Y57" s="1144"/>
      <c r="Z57" s="1124"/>
      <c r="AA57" s="1124"/>
      <c r="AB57" s="1124"/>
      <c r="AC57" s="1124"/>
      <c r="AD57" s="1124"/>
      <c r="AE57" s="1124"/>
      <c r="AF57" s="1124"/>
      <c r="AG57" s="1282">
        <f t="shared" si="4"/>
        <v>2221</v>
      </c>
    </row>
    <row r="58" spans="1:33" ht="73.900000000000006" hidden="1" customHeight="1">
      <c r="A58" s="796">
        <v>1114</v>
      </c>
      <c r="B58" s="793" t="s">
        <v>679</v>
      </c>
      <c r="C58" s="1073" t="s">
        <v>680</v>
      </c>
      <c r="D58" s="1292"/>
      <c r="E58" s="1293">
        <v>5</v>
      </c>
      <c r="F58" s="1294">
        <v>43248</v>
      </c>
      <c r="G58" s="1294">
        <f t="shared" si="3"/>
        <v>43252</v>
      </c>
      <c r="H58" s="1292" t="s">
        <v>681</v>
      </c>
      <c r="I58" s="1293" t="s">
        <v>170</v>
      </c>
      <c r="J58" s="643" t="s">
        <v>682</v>
      </c>
      <c r="K58" s="1292" t="s">
        <v>688</v>
      </c>
      <c r="L58" s="1231">
        <v>23174</v>
      </c>
      <c r="M58" s="1292"/>
      <c r="N58" s="1292"/>
      <c r="O58" s="647">
        <v>1764</v>
      </c>
      <c r="P58" s="1292">
        <v>1</v>
      </c>
      <c r="Q58" s="2381">
        <f t="shared" si="5"/>
        <v>1764</v>
      </c>
      <c r="R58" s="956"/>
      <c r="S58" s="954"/>
      <c r="T58" s="954"/>
      <c r="U58" s="1823">
        <v>1764</v>
      </c>
      <c r="V58" s="805"/>
      <c r="W58" s="954"/>
      <c r="X58" s="1166"/>
      <c r="Y58" s="1144"/>
      <c r="Z58" s="1124"/>
      <c r="AA58" s="1124"/>
      <c r="AB58" s="1124"/>
      <c r="AC58" s="1124"/>
      <c r="AD58" s="1124"/>
      <c r="AE58" s="1124"/>
      <c r="AF58" s="1124"/>
      <c r="AG58" s="1282">
        <f t="shared" si="4"/>
        <v>1764</v>
      </c>
    </row>
    <row r="59" spans="1:33" ht="73.900000000000006" hidden="1" customHeight="1">
      <c r="A59" s="796">
        <v>1114</v>
      </c>
      <c r="B59" s="793" t="s">
        <v>679</v>
      </c>
      <c r="C59" s="1073" t="s">
        <v>680</v>
      </c>
      <c r="D59" s="1292"/>
      <c r="E59" s="1293">
        <v>5</v>
      </c>
      <c r="F59" s="1294">
        <v>43248</v>
      </c>
      <c r="G59" s="1294">
        <f t="shared" si="3"/>
        <v>43252</v>
      </c>
      <c r="H59" s="1292" t="s">
        <v>681</v>
      </c>
      <c r="I59" s="1293" t="s">
        <v>170</v>
      </c>
      <c r="J59" s="643" t="s">
        <v>682</v>
      </c>
      <c r="K59" s="1292" t="s">
        <v>689</v>
      </c>
      <c r="L59" s="1231">
        <v>23174</v>
      </c>
      <c r="M59" s="1292"/>
      <c r="N59" s="1292"/>
      <c r="O59" s="647">
        <v>1960</v>
      </c>
      <c r="P59" s="1292">
        <v>1</v>
      </c>
      <c r="Q59" s="2381">
        <f t="shared" si="5"/>
        <v>1960</v>
      </c>
      <c r="R59" s="956"/>
      <c r="S59" s="954"/>
      <c r="T59" s="954"/>
      <c r="U59" s="1823">
        <v>1960</v>
      </c>
      <c r="V59" s="805"/>
      <c r="W59" s="954"/>
      <c r="X59" s="1166"/>
      <c r="Y59" s="1144"/>
      <c r="Z59" s="1124"/>
      <c r="AA59" s="1124"/>
      <c r="AB59" s="1124"/>
      <c r="AC59" s="1124"/>
      <c r="AD59" s="1124"/>
      <c r="AE59" s="1124"/>
      <c r="AF59" s="1124"/>
      <c r="AG59" s="1282">
        <f t="shared" si="4"/>
        <v>1960</v>
      </c>
    </row>
    <row r="60" spans="1:33" ht="73.900000000000006" hidden="1" customHeight="1">
      <c r="A60" s="796">
        <v>1114</v>
      </c>
      <c r="B60" s="793" t="s">
        <v>679</v>
      </c>
      <c r="C60" s="1073" t="s">
        <v>680</v>
      </c>
      <c r="D60" s="1292"/>
      <c r="E60" s="1293">
        <v>5</v>
      </c>
      <c r="F60" s="1294">
        <v>43248</v>
      </c>
      <c r="G60" s="1294">
        <f t="shared" si="3"/>
        <v>43252</v>
      </c>
      <c r="H60" s="1292" t="s">
        <v>681</v>
      </c>
      <c r="I60" s="1293" t="s">
        <v>170</v>
      </c>
      <c r="J60" s="643" t="s">
        <v>682</v>
      </c>
      <c r="K60" s="1292" t="s">
        <v>690</v>
      </c>
      <c r="L60" s="1231">
        <v>23174</v>
      </c>
      <c r="M60" s="1292"/>
      <c r="N60" s="1292"/>
      <c r="O60" s="647">
        <v>1960</v>
      </c>
      <c r="P60" s="1292">
        <v>1</v>
      </c>
      <c r="Q60" s="2381">
        <f t="shared" si="5"/>
        <v>1960</v>
      </c>
      <c r="R60" s="956"/>
      <c r="S60" s="954"/>
      <c r="T60" s="954"/>
      <c r="U60" s="1823">
        <v>1960</v>
      </c>
      <c r="V60" s="805"/>
      <c r="W60" s="954"/>
      <c r="X60" s="1166"/>
      <c r="Y60" s="1144"/>
      <c r="Z60" s="1124"/>
      <c r="AA60" s="1124"/>
      <c r="AB60" s="1124"/>
      <c r="AC60" s="1124"/>
      <c r="AD60" s="1124"/>
      <c r="AE60" s="1124"/>
      <c r="AF60" s="1124"/>
      <c r="AG60" s="1282">
        <f t="shared" si="4"/>
        <v>1960</v>
      </c>
    </row>
    <row r="61" spans="1:33" ht="73.900000000000006" hidden="1" customHeight="1">
      <c r="A61" s="796">
        <v>1114</v>
      </c>
      <c r="B61" s="793" t="s">
        <v>679</v>
      </c>
      <c r="C61" s="1073" t="s">
        <v>680</v>
      </c>
      <c r="D61" s="1292"/>
      <c r="E61" s="1293">
        <v>5</v>
      </c>
      <c r="F61" s="1294">
        <v>43248</v>
      </c>
      <c r="G61" s="1294">
        <f t="shared" si="3"/>
        <v>43252</v>
      </c>
      <c r="H61" s="1292" t="s">
        <v>681</v>
      </c>
      <c r="I61" s="1293" t="s">
        <v>170</v>
      </c>
      <c r="J61" s="643" t="s">
        <v>682</v>
      </c>
      <c r="K61" s="1292" t="s">
        <v>691</v>
      </c>
      <c r="L61" s="1231">
        <v>23174</v>
      </c>
      <c r="M61" s="1292"/>
      <c r="N61" s="1292"/>
      <c r="O61" s="647">
        <v>8484</v>
      </c>
      <c r="P61" s="1292">
        <v>1</v>
      </c>
      <c r="Q61" s="2381">
        <f t="shared" si="5"/>
        <v>8484</v>
      </c>
      <c r="R61" s="956"/>
      <c r="S61" s="954"/>
      <c r="T61" s="954"/>
      <c r="U61" s="805"/>
      <c r="V61" s="1823">
        <v>8484</v>
      </c>
      <c r="W61" s="954"/>
      <c r="X61" s="1166"/>
      <c r="Y61" s="1144"/>
      <c r="Z61" s="1124"/>
      <c r="AA61" s="1124"/>
      <c r="AB61" s="1124"/>
      <c r="AC61" s="1124"/>
      <c r="AD61" s="1124"/>
      <c r="AE61" s="1124"/>
      <c r="AF61" s="1124"/>
      <c r="AG61" s="1282">
        <f t="shared" si="4"/>
        <v>8484</v>
      </c>
    </row>
    <row r="62" spans="1:33" ht="73.900000000000006" hidden="1" customHeight="1">
      <c r="A62" s="796">
        <v>1114</v>
      </c>
      <c r="B62" s="793" t="s">
        <v>679</v>
      </c>
      <c r="C62" s="1073" t="s">
        <v>680</v>
      </c>
      <c r="D62" s="1292"/>
      <c r="E62" s="1293">
        <v>5</v>
      </c>
      <c r="F62" s="1294">
        <v>43248</v>
      </c>
      <c r="G62" s="1294">
        <f t="shared" si="3"/>
        <v>43252</v>
      </c>
      <c r="H62" s="1292" t="s">
        <v>681</v>
      </c>
      <c r="I62" s="1293" t="s">
        <v>170</v>
      </c>
      <c r="J62" s="643" t="s">
        <v>682</v>
      </c>
      <c r="K62" s="1292" t="s">
        <v>692</v>
      </c>
      <c r="L62" s="1231">
        <v>23174</v>
      </c>
      <c r="M62" s="1292"/>
      <c r="N62" s="1292"/>
      <c r="O62" s="647">
        <v>9427</v>
      </c>
      <c r="P62" s="1292">
        <v>1</v>
      </c>
      <c r="Q62" s="2381">
        <f t="shared" si="5"/>
        <v>9427</v>
      </c>
      <c r="R62" s="956"/>
      <c r="S62" s="954"/>
      <c r="T62" s="954"/>
      <c r="U62" s="805"/>
      <c r="V62" s="1823">
        <v>9427</v>
      </c>
      <c r="W62" s="954"/>
      <c r="X62" s="1166"/>
      <c r="Y62" s="1144"/>
      <c r="Z62" s="1124"/>
      <c r="AA62" s="1124"/>
      <c r="AB62" s="1124"/>
      <c r="AC62" s="1124"/>
      <c r="AD62" s="1124"/>
      <c r="AE62" s="1124"/>
      <c r="AF62" s="1124"/>
      <c r="AG62" s="1282">
        <f t="shared" si="4"/>
        <v>9427</v>
      </c>
    </row>
    <row r="63" spans="1:33" ht="73.900000000000006" hidden="1" customHeight="1">
      <c r="A63" s="796">
        <v>1114</v>
      </c>
      <c r="B63" s="793" t="s">
        <v>679</v>
      </c>
      <c r="C63" s="1073" t="s">
        <v>680</v>
      </c>
      <c r="D63" s="1292"/>
      <c r="E63" s="1293">
        <v>5</v>
      </c>
      <c r="F63" s="1294">
        <v>43248</v>
      </c>
      <c r="G63" s="1294">
        <f t="shared" si="3"/>
        <v>43252</v>
      </c>
      <c r="H63" s="1292" t="s">
        <v>681</v>
      </c>
      <c r="I63" s="1293" t="s">
        <v>170</v>
      </c>
      <c r="J63" s="643" t="s">
        <v>682</v>
      </c>
      <c r="K63" s="1292" t="s">
        <v>693</v>
      </c>
      <c r="L63" s="1231">
        <v>23174</v>
      </c>
      <c r="M63" s="1292"/>
      <c r="N63" s="1292"/>
      <c r="O63" s="647">
        <v>1347</v>
      </c>
      <c r="P63" s="1292">
        <v>1</v>
      </c>
      <c r="Q63" s="2381">
        <f t="shared" si="5"/>
        <v>1347</v>
      </c>
      <c r="R63" s="956"/>
      <c r="S63" s="954"/>
      <c r="T63" s="954"/>
      <c r="U63" s="805"/>
      <c r="V63" s="1823">
        <v>1347</v>
      </c>
      <c r="W63" s="954"/>
      <c r="X63" s="1166"/>
      <c r="Y63" s="1144"/>
      <c r="Z63" s="1124"/>
      <c r="AA63" s="1124"/>
      <c r="AB63" s="1124"/>
      <c r="AC63" s="1124"/>
      <c r="AD63" s="1124"/>
      <c r="AE63" s="1124"/>
      <c r="AF63" s="1124"/>
      <c r="AG63" s="1282">
        <f t="shared" si="4"/>
        <v>1347</v>
      </c>
    </row>
    <row r="64" spans="1:33" ht="97.5" hidden="1" customHeight="1">
      <c r="A64" s="796">
        <v>1115</v>
      </c>
      <c r="B64" s="793" t="s">
        <v>694</v>
      </c>
      <c r="C64" s="1073" t="s">
        <v>695</v>
      </c>
      <c r="D64" s="1292"/>
      <c r="E64" s="1293">
        <v>10</v>
      </c>
      <c r="F64" s="1294">
        <v>43257</v>
      </c>
      <c r="G64" s="1294">
        <f t="shared" si="3"/>
        <v>43266</v>
      </c>
      <c r="H64" s="1292" t="s">
        <v>681</v>
      </c>
      <c r="I64" s="1293" t="s">
        <v>170</v>
      </c>
      <c r="J64" s="643" t="s">
        <v>696</v>
      </c>
      <c r="K64" s="1292" t="s">
        <v>697</v>
      </c>
      <c r="L64" s="1231">
        <v>23174</v>
      </c>
      <c r="M64" s="1292"/>
      <c r="N64" s="1292"/>
      <c r="O64" s="647">
        <v>420</v>
      </c>
      <c r="P64" s="1292">
        <v>1</v>
      </c>
      <c r="Q64" s="2381">
        <f t="shared" si="5"/>
        <v>420</v>
      </c>
      <c r="R64" s="956"/>
      <c r="S64" s="954"/>
      <c r="T64" s="954"/>
      <c r="U64" s="954"/>
      <c r="V64" s="1823">
        <v>420</v>
      </c>
      <c r="W64" s="805"/>
      <c r="X64" s="1166"/>
      <c r="Y64" s="1144"/>
      <c r="Z64" s="1124"/>
      <c r="AA64" s="1124"/>
      <c r="AB64" s="1124"/>
      <c r="AC64" s="1124"/>
      <c r="AD64" s="1124"/>
      <c r="AE64" s="1124"/>
      <c r="AF64" s="1124"/>
      <c r="AG64" s="1282">
        <f t="shared" si="4"/>
        <v>420</v>
      </c>
    </row>
    <row r="65" spans="1:33" ht="97.5" hidden="1" customHeight="1">
      <c r="A65" s="796">
        <v>1115</v>
      </c>
      <c r="B65" s="793" t="s">
        <v>694</v>
      </c>
      <c r="C65" s="1073" t="s">
        <v>695</v>
      </c>
      <c r="D65" s="1292"/>
      <c r="E65" s="1293">
        <v>10</v>
      </c>
      <c r="F65" s="1294">
        <v>43257</v>
      </c>
      <c r="G65" s="1294">
        <f t="shared" si="3"/>
        <v>43266</v>
      </c>
      <c r="H65" s="1292" t="s">
        <v>681</v>
      </c>
      <c r="I65" s="1293" t="s">
        <v>170</v>
      </c>
      <c r="J65" s="643" t="s">
        <v>696</v>
      </c>
      <c r="K65" s="1292" t="s">
        <v>698</v>
      </c>
      <c r="L65" s="1231">
        <v>23174</v>
      </c>
      <c r="M65" s="1292"/>
      <c r="N65" s="1292"/>
      <c r="O65" s="647">
        <v>466.66666666666669</v>
      </c>
      <c r="P65" s="1292">
        <v>1</v>
      </c>
      <c r="Q65" s="2381">
        <f t="shared" si="5"/>
        <v>466.66666666666669</v>
      </c>
      <c r="R65" s="956"/>
      <c r="S65" s="954"/>
      <c r="T65" s="954"/>
      <c r="U65" s="954"/>
      <c r="V65" s="1823">
        <v>466.66666666666669</v>
      </c>
      <c r="W65" s="805"/>
      <c r="X65" s="1166"/>
      <c r="Y65" s="1144"/>
      <c r="Z65" s="1124"/>
      <c r="AA65" s="1124"/>
      <c r="AB65" s="1124"/>
      <c r="AC65" s="1124"/>
      <c r="AD65" s="1124"/>
      <c r="AE65" s="1124"/>
      <c r="AF65" s="1124"/>
      <c r="AG65" s="1282">
        <f t="shared" si="4"/>
        <v>466.66666666666669</v>
      </c>
    </row>
    <row r="66" spans="1:33" ht="97.5" hidden="1" customHeight="1">
      <c r="A66" s="796">
        <v>1115</v>
      </c>
      <c r="B66" s="793" t="s">
        <v>694</v>
      </c>
      <c r="C66" s="1073" t="s">
        <v>695</v>
      </c>
      <c r="D66" s="1292"/>
      <c r="E66" s="1293">
        <v>10</v>
      </c>
      <c r="F66" s="1294">
        <v>43257</v>
      </c>
      <c r="G66" s="1294">
        <f t="shared" si="3"/>
        <v>43266</v>
      </c>
      <c r="H66" s="1292" t="s">
        <v>681</v>
      </c>
      <c r="I66" s="1293" t="s">
        <v>170</v>
      </c>
      <c r="J66" s="643" t="s">
        <v>696</v>
      </c>
      <c r="K66" s="1292" t="s">
        <v>699</v>
      </c>
      <c r="L66" s="1231">
        <v>23174</v>
      </c>
      <c r="M66" s="1292"/>
      <c r="N66" s="1292"/>
      <c r="O66" s="647">
        <v>350</v>
      </c>
      <c r="P66" s="1292">
        <v>1</v>
      </c>
      <c r="Q66" s="2381">
        <f t="shared" si="5"/>
        <v>350</v>
      </c>
      <c r="R66" s="956"/>
      <c r="S66" s="954"/>
      <c r="T66" s="954"/>
      <c r="U66" s="954"/>
      <c r="V66" s="1823">
        <v>350</v>
      </c>
      <c r="W66" s="805"/>
      <c r="X66" s="1166"/>
      <c r="Y66" s="1144"/>
      <c r="Z66" s="1124"/>
      <c r="AA66" s="1124"/>
      <c r="AB66" s="1124"/>
      <c r="AC66" s="1124"/>
      <c r="AD66" s="1124"/>
      <c r="AE66" s="1124"/>
      <c r="AF66" s="1124"/>
      <c r="AG66" s="1282">
        <f t="shared" si="4"/>
        <v>350</v>
      </c>
    </row>
    <row r="67" spans="1:33" ht="97.5" hidden="1" customHeight="1">
      <c r="A67" s="796">
        <v>1115</v>
      </c>
      <c r="B67" s="793" t="s">
        <v>694</v>
      </c>
      <c r="C67" s="1073" t="s">
        <v>695</v>
      </c>
      <c r="D67" s="1292"/>
      <c r="E67" s="1293">
        <v>10</v>
      </c>
      <c r="F67" s="1294">
        <v>43257</v>
      </c>
      <c r="G67" s="1294">
        <f t="shared" si="3"/>
        <v>43266</v>
      </c>
      <c r="H67" s="1292" t="s">
        <v>681</v>
      </c>
      <c r="I67" s="1293" t="s">
        <v>170</v>
      </c>
      <c r="J67" s="643" t="s">
        <v>696</v>
      </c>
      <c r="K67" s="1292" t="s">
        <v>700</v>
      </c>
      <c r="L67" s="1231">
        <v>23174</v>
      </c>
      <c r="M67" s="1292"/>
      <c r="N67" s="1292"/>
      <c r="O67" s="647">
        <v>233.33333333333334</v>
      </c>
      <c r="P67" s="1292">
        <v>1</v>
      </c>
      <c r="Q67" s="2381">
        <f t="shared" si="5"/>
        <v>233.33333333333334</v>
      </c>
      <c r="R67" s="956"/>
      <c r="S67" s="954"/>
      <c r="T67" s="954"/>
      <c r="U67" s="954"/>
      <c r="V67" s="1823">
        <v>233.33333333333334</v>
      </c>
      <c r="W67" s="805"/>
      <c r="X67" s="1166"/>
      <c r="Y67" s="1144"/>
      <c r="Z67" s="1124"/>
      <c r="AA67" s="1124"/>
      <c r="AB67" s="1124"/>
      <c r="AC67" s="1124"/>
      <c r="AD67" s="1124"/>
      <c r="AE67" s="1124"/>
      <c r="AF67" s="1124"/>
      <c r="AG67" s="1282">
        <f t="shared" si="4"/>
        <v>233.33333333333334</v>
      </c>
    </row>
    <row r="68" spans="1:33" ht="97.5" hidden="1" customHeight="1">
      <c r="A68" s="796">
        <v>1115</v>
      </c>
      <c r="B68" s="793" t="s">
        <v>694</v>
      </c>
      <c r="C68" s="1073" t="s">
        <v>695</v>
      </c>
      <c r="D68" s="1292"/>
      <c r="E68" s="1293">
        <v>10</v>
      </c>
      <c r="F68" s="1294">
        <v>43257</v>
      </c>
      <c r="G68" s="1294">
        <f t="shared" si="3"/>
        <v>43266</v>
      </c>
      <c r="H68" s="1292" t="s">
        <v>681</v>
      </c>
      <c r="I68" s="1293" t="s">
        <v>170</v>
      </c>
      <c r="J68" s="643" t="s">
        <v>696</v>
      </c>
      <c r="K68" s="1292" t="s">
        <v>683</v>
      </c>
      <c r="L68" s="1231">
        <v>23174</v>
      </c>
      <c r="M68" s="1292"/>
      <c r="N68" s="1292"/>
      <c r="O68" s="647">
        <v>1176</v>
      </c>
      <c r="P68" s="1292">
        <v>1</v>
      </c>
      <c r="Q68" s="2381">
        <f t="shared" si="5"/>
        <v>1176</v>
      </c>
      <c r="R68" s="956"/>
      <c r="S68" s="954"/>
      <c r="T68" s="954"/>
      <c r="U68" s="954"/>
      <c r="V68" s="1823">
        <v>1176</v>
      </c>
      <c r="W68" s="805"/>
      <c r="X68" s="1166"/>
      <c r="Y68" s="1144"/>
      <c r="Z68" s="1124"/>
      <c r="AA68" s="1124"/>
      <c r="AB68" s="1124"/>
      <c r="AC68" s="1124"/>
      <c r="AD68" s="1124"/>
      <c r="AE68" s="1124"/>
      <c r="AF68" s="1124"/>
      <c r="AG68" s="1282">
        <f t="shared" si="4"/>
        <v>1176</v>
      </c>
    </row>
    <row r="69" spans="1:33" ht="97.5" hidden="1" customHeight="1">
      <c r="A69" s="796">
        <v>1115</v>
      </c>
      <c r="B69" s="793" t="s">
        <v>694</v>
      </c>
      <c r="C69" s="1073" t="s">
        <v>695</v>
      </c>
      <c r="D69" s="1292"/>
      <c r="E69" s="1293">
        <v>10</v>
      </c>
      <c r="F69" s="1294">
        <v>43257</v>
      </c>
      <c r="G69" s="1294">
        <f t="shared" si="3"/>
        <v>43266</v>
      </c>
      <c r="H69" s="1292" t="s">
        <v>681</v>
      </c>
      <c r="I69" s="1293" t="s">
        <v>170</v>
      </c>
      <c r="J69" s="643" t="s">
        <v>696</v>
      </c>
      <c r="K69" s="1292" t="s">
        <v>684</v>
      </c>
      <c r="L69" s="1231">
        <v>23174</v>
      </c>
      <c r="M69" s="1292"/>
      <c r="N69" s="1292"/>
      <c r="O69" s="647">
        <v>1307</v>
      </c>
      <c r="P69" s="1292">
        <v>1</v>
      </c>
      <c r="Q69" s="2381">
        <f t="shared" si="5"/>
        <v>1307</v>
      </c>
      <c r="R69" s="956"/>
      <c r="S69" s="954"/>
      <c r="T69" s="954"/>
      <c r="U69" s="954"/>
      <c r="V69" s="1823">
        <v>1307</v>
      </c>
      <c r="W69" s="805"/>
      <c r="X69" s="1166"/>
      <c r="Y69" s="1144"/>
      <c r="Z69" s="1124"/>
      <c r="AA69" s="1124"/>
      <c r="AB69" s="1124"/>
      <c r="AC69" s="1124"/>
      <c r="AD69" s="1124"/>
      <c r="AE69" s="1124"/>
      <c r="AF69" s="1124"/>
      <c r="AG69" s="1282">
        <f t="shared" si="4"/>
        <v>1307</v>
      </c>
    </row>
    <row r="70" spans="1:33" ht="97.5" hidden="1" customHeight="1">
      <c r="A70" s="796">
        <v>1115</v>
      </c>
      <c r="B70" s="793" t="s">
        <v>694</v>
      </c>
      <c r="C70" s="1073" t="s">
        <v>695</v>
      </c>
      <c r="D70" s="1292"/>
      <c r="E70" s="1293">
        <v>10</v>
      </c>
      <c r="F70" s="1294">
        <v>43257</v>
      </c>
      <c r="G70" s="1294">
        <f t="shared" si="3"/>
        <v>43266</v>
      </c>
      <c r="H70" s="1292" t="s">
        <v>681</v>
      </c>
      <c r="I70" s="1293" t="s">
        <v>170</v>
      </c>
      <c r="J70" s="643" t="s">
        <v>696</v>
      </c>
      <c r="K70" s="1292" t="s">
        <v>685</v>
      </c>
      <c r="L70" s="1231">
        <v>23174</v>
      </c>
      <c r="M70" s="1292"/>
      <c r="N70" s="1292"/>
      <c r="O70" s="647">
        <v>980</v>
      </c>
      <c r="P70" s="1292">
        <v>1</v>
      </c>
      <c r="Q70" s="2381">
        <f t="shared" si="5"/>
        <v>980</v>
      </c>
      <c r="R70" s="956"/>
      <c r="S70" s="954"/>
      <c r="T70" s="954"/>
      <c r="U70" s="954"/>
      <c r="V70" s="1823">
        <v>980</v>
      </c>
      <c r="W70" s="805"/>
      <c r="X70" s="1166"/>
      <c r="Y70" s="1144"/>
      <c r="Z70" s="1124"/>
      <c r="AA70" s="1124"/>
      <c r="AB70" s="1124"/>
      <c r="AC70" s="1124"/>
      <c r="AD70" s="1124"/>
      <c r="AE70" s="1124"/>
      <c r="AF70" s="1124"/>
      <c r="AG70" s="1282">
        <f t="shared" si="4"/>
        <v>980</v>
      </c>
    </row>
    <row r="71" spans="1:33" ht="97.5" hidden="1" customHeight="1">
      <c r="A71" s="796">
        <v>1115</v>
      </c>
      <c r="B71" s="793" t="s">
        <v>694</v>
      </c>
      <c r="C71" s="1073" t="s">
        <v>695</v>
      </c>
      <c r="D71" s="1292"/>
      <c r="E71" s="1293">
        <v>10</v>
      </c>
      <c r="F71" s="1294">
        <v>43257</v>
      </c>
      <c r="G71" s="1294">
        <f t="shared" si="3"/>
        <v>43266</v>
      </c>
      <c r="H71" s="1292" t="s">
        <v>681</v>
      </c>
      <c r="I71" s="1293" t="s">
        <v>170</v>
      </c>
      <c r="J71" s="643" t="s">
        <v>696</v>
      </c>
      <c r="K71" s="1292" t="s">
        <v>686</v>
      </c>
      <c r="L71" s="1231">
        <v>23174</v>
      </c>
      <c r="M71" s="1292"/>
      <c r="N71" s="1292"/>
      <c r="O71" s="647">
        <v>653</v>
      </c>
      <c r="P71" s="1292">
        <v>1</v>
      </c>
      <c r="Q71" s="2381">
        <f t="shared" si="5"/>
        <v>653</v>
      </c>
      <c r="R71" s="956"/>
      <c r="S71" s="954"/>
      <c r="T71" s="954"/>
      <c r="U71" s="954"/>
      <c r="V71" s="1823">
        <v>653</v>
      </c>
      <c r="W71" s="805"/>
      <c r="X71" s="1166"/>
      <c r="Y71" s="1144"/>
      <c r="Z71" s="1124"/>
      <c r="AA71" s="1124"/>
      <c r="AB71" s="1124"/>
      <c r="AC71" s="1124"/>
      <c r="AD71" s="1124"/>
      <c r="AE71" s="1124"/>
      <c r="AF71" s="1124"/>
      <c r="AG71" s="1282">
        <f t="shared" si="4"/>
        <v>653</v>
      </c>
    </row>
    <row r="72" spans="1:33" ht="97.5" hidden="1" customHeight="1">
      <c r="A72" s="796">
        <v>1115</v>
      </c>
      <c r="B72" s="793" t="s">
        <v>694</v>
      </c>
      <c r="C72" s="1073" t="s">
        <v>695</v>
      </c>
      <c r="D72" s="1292"/>
      <c r="E72" s="1293">
        <v>10</v>
      </c>
      <c r="F72" s="1294">
        <v>43257</v>
      </c>
      <c r="G72" s="1294">
        <f t="shared" si="3"/>
        <v>43266</v>
      </c>
      <c r="H72" s="1292" t="s">
        <v>681</v>
      </c>
      <c r="I72" s="1293" t="s">
        <v>170</v>
      </c>
      <c r="J72" s="643" t="s">
        <v>696</v>
      </c>
      <c r="K72" s="1292" t="s">
        <v>701</v>
      </c>
      <c r="L72" s="1231">
        <v>23174</v>
      </c>
      <c r="M72" s="1292"/>
      <c r="N72" s="1292"/>
      <c r="O72" s="647">
        <v>4443</v>
      </c>
      <c r="P72" s="1292">
        <v>1</v>
      </c>
      <c r="Q72" s="2381">
        <f t="shared" si="5"/>
        <v>4443</v>
      </c>
      <c r="R72" s="956"/>
      <c r="S72" s="954"/>
      <c r="T72" s="954"/>
      <c r="U72" s="954"/>
      <c r="V72" s="1823">
        <v>4443</v>
      </c>
      <c r="W72" s="805"/>
      <c r="X72" s="1166"/>
      <c r="Y72" s="1144"/>
      <c r="Z72" s="1124"/>
      <c r="AA72" s="1124"/>
      <c r="AB72" s="1124"/>
      <c r="AC72" s="1124"/>
      <c r="AD72" s="1124"/>
      <c r="AE72" s="1124"/>
      <c r="AF72" s="1124"/>
      <c r="AG72" s="1282">
        <f t="shared" si="4"/>
        <v>4443</v>
      </c>
    </row>
    <row r="73" spans="1:33" ht="97.5" hidden="1" customHeight="1">
      <c r="A73" s="796">
        <v>1115</v>
      </c>
      <c r="B73" s="793" t="s">
        <v>694</v>
      </c>
      <c r="C73" s="1073" t="s">
        <v>695</v>
      </c>
      <c r="D73" s="1292"/>
      <c r="E73" s="1293">
        <v>10</v>
      </c>
      <c r="F73" s="1294">
        <v>43257</v>
      </c>
      <c r="G73" s="1294">
        <f t="shared" si="3"/>
        <v>43266</v>
      </c>
      <c r="H73" s="1292" t="s">
        <v>681</v>
      </c>
      <c r="I73" s="1293" t="s">
        <v>170</v>
      </c>
      <c r="J73" s="643" t="s">
        <v>696</v>
      </c>
      <c r="K73" s="1292" t="s">
        <v>702</v>
      </c>
      <c r="L73" s="1231">
        <v>23174</v>
      </c>
      <c r="M73" s="1292"/>
      <c r="N73" s="1292"/>
      <c r="O73" s="647">
        <v>3528</v>
      </c>
      <c r="P73" s="1292">
        <v>1</v>
      </c>
      <c r="Q73" s="2381">
        <f t="shared" si="5"/>
        <v>3528</v>
      </c>
      <c r="R73" s="956"/>
      <c r="S73" s="954"/>
      <c r="T73" s="954"/>
      <c r="U73" s="954"/>
      <c r="V73" s="1823">
        <v>3528</v>
      </c>
      <c r="W73" s="805"/>
      <c r="X73" s="1166"/>
      <c r="Y73" s="1144"/>
      <c r="Z73" s="1124"/>
      <c r="AA73" s="1124"/>
      <c r="AB73" s="1124"/>
      <c r="AC73" s="1124"/>
      <c r="AD73" s="1124"/>
      <c r="AE73" s="1124"/>
      <c r="AF73" s="1124"/>
      <c r="AG73" s="1282">
        <f t="shared" si="4"/>
        <v>3528</v>
      </c>
    </row>
    <row r="74" spans="1:33" ht="97.5" hidden="1" customHeight="1">
      <c r="A74" s="796">
        <v>1115</v>
      </c>
      <c r="B74" s="793" t="s">
        <v>694</v>
      </c>
      <c r="C74" s="1073" t="s">
        <v>695</v>
      </c>
      <c r="D74" s="1292"/>
      <c r="E74" s="1293">
        <v>10</v>
      </c>
      <c r="F74" s="1294">
        <v>43257</v>
      </c>
      <c r="G74" s="1294">
        <f t="shared" ref="G74:G88" si="6">F74+E74-1</f>
        <v>43266</v>
      </c>
      <c r="H74" s="1292" t="s">
        <v>681</v>
      </c>
      <c r="I74" s="1293" t="s">
        <v>170</v>
      </c>
      <c r="J74" s="643" t="s">
        <v>696</v>
      </c>
      <c r="K74" s="1292" t="s">
        <v>689</v>
      </c>
      <c r="L74" s="1231">
        <v>23174</v>
      </c>
      <c r="M74" s="1292"/>
      <c r="N74" s="1292"/>
      <c r="O74" s="647">
        <v>3920</v>
      </c>
      <c r="P74" s="1292">
        <v>1</v>
      </c>
      <c r="Q74" s="2381">
        <f t="shared" si="5"/>
        <v>3920</v>
      </c>
      <c r="R74" s="956"/>
      <c r="S74" s="954"/>
      <c r="T74" s="954"/>
      <c r="U74" s="954"/>
      <c r="V74" s="1823">
        <v>3920</v>
      </c>
      <c r="W74" s="805"/>
      <c r="X74" s="1166"/>
      <c r="Y74" s="1144"/>
      <c r="Z74" s="1124"/>
      <c r="AA74" s="1124"/>
      <c r="AB74" s="1124"/>
      <c r="AC74" s="1124"/>
      <c r="AD74" s="1124"/>
      <c r="AE74" s="1124"/>
      <c r="AF74" s="1124"/>
      <c r="AG74" s="1282">
        <f t="shared" ref="AG74:AG88" si="7">SUM(S74:AF74)</f>
        <v>3920</v>
      </c>
    </row>
    <row r="75" spans="1:33" ht="97.5" hidden="1" customHeight="1">
      <c r="A75" s="796">
        <v>1115</v>
      </c>
      <c r="B75" s="793" t="s">
        <v>694</v>
      </c>
      <c r="C75" s="1073" t="s">
        <v>695</v>
      </c>
      <c r="D75" s="1292"/>
      <c r="E75" s="1293">
        <v>10</v>
      </c>
      <c r="F75" s="1294">
        <v>43257</v>
      </c>
      <c r="G75" s="1294">
        <f t="shared" si="6"/>
        <v>43266</v>
      </c>
      <c r="H75" s="1292" t="s">
        <v>681</v>
      </c>
      <c r="I75" s="1293" t="s">
        <v>170</v>
      </c>
      <c r="J75" s="643" t="s">
        <v>696</v>
      </c>
      <c r="K75" s="1292" t="s">
        <v>690</v>
      </c>
      <c r="L75" s="1231">
        <v>23174</v>
      </c>
      <c r="M75" s="1292"/>
      <c r="N75" s="1292"/>
      <c r="O75" s="647">
        <v>1960</v>
      </c>
      <c r="P75" s="1292">
        <v>1</v>
      </c>
      <c r="Q75" s="2381">
        <f t="shared" ref="Q75:Q88" si="8">O75*P75</f>
        <v>1960</v>
      </c>
      <c r="R75" s="956"/>
      <c r="S75" s="954"/>
      <c r="T75" s="954"/>
      <c r="U75" s="954"/>
      <c r="V75" s="1823">
        <v>1960</v>
      </c>
      <c r="W75" s="805"/>
      <c r="X75" s="1166"/>
      <c r="Y75" s="1144"/>
      <c r="Z75" s="1124"/>
      <c r="AA75" s="1124"/>
      <c r="AB75" s="1124"/>
      <c r="AC75" s="1124"/>
      <c r="AD75" s="1124"/>
      <c r="AE75" s="1124"/>
      <c r="AF75" s="1124"/>
      <c r="AG75" s="1282">
        <f t="shared" si="7"/>
        <v>1960</v>
      </c>
    </row>
    <row r="76" spans="1:33" ht="97.5" hidden="1" customHeight="1">
      <c r="A76" s="796">
        <v>1115</v>
      </c>
      <c r="B76" s="793" t="s">
        <v>694</v>
      </c>
      <c r="C76" s="1073" t="s">
        <v>695</v>
      </c>
      <c r="D76" s="1292"/>
      <c r="E76" s="1293">
        <v>10</v>
      </c>
      <c r="F76" s="1294">
        <v>43257</v>
      </c>
      <c r="G76" s="1294">
        <f t="shared" si="6"/>
        <v>43266</v>
      </c>
      <c r="H76" s="1292" t="s">
        <v>681</v>
      </c>
      <c r="I76" s="1293" t="s">
        <v>170</v>
      </c>
      <c r="J76" s="643" t="s">
        <v>696</v>
      </c>
      <c r="K76" s="1292" t="s">
        <v>703</v>
      </c>
      <c r="L76" s="1231">
        <v>23174</v>
      </c>
      <c r="M76" s="1292"/>
      <c r="N76" s="1292"/>
      <c r="O76" s="647">
        <v>16968</v>
      </c>
      <c r="P76" s="1292">
        <v>1</v>
      </c>
      <c r="Q76" s="2381">
        <f t="shared" si="8"/>
        <v>16968</v>
      </c>
      <c r="R76" s="956"/>
      <c r="S76" s="954"/>
      <c r="T76" s="954"/>
      <c r="U76" s="954"/>
      <c r="V76" s="805"/>
      <c r="W76" s="1823">
        <v>16968</v>
      </c>
      <c r="X76" s="1166"/>
      <c r="Y76" s="1144"/>
      <c r="Z76" s="1124"/>
      <c r="AA76" s="1124"/>
      <c r="AB76" s="1124"/>
      <c r="AC76" s="1124"/>
      <c r="AD76" s="1124"/>
      <c r="AE76" s="1124"/>
      <c r="AF76" s="1124"/>
      <c r="AG76" s="1282">
        <f t="shared" si="7"/>
        <v>16968</v>
      </c>
    </row>
    <row r="77" spans="1:33" ht="97.5" hidden="1" customHeight="1">
      <c r="A77" s="796">
        <v>1115</v>
      </c>
      <c r="B77" s="793" t="s">
        <v>694</v>
      </c>
      <c r="C77" s="1073" t="s">
        <v>695</v>
      </c>
      <c r="D77" s="1292"/>
      <c r="E77" s="1293">
        <v>10</v>
      </c>
      <c r="F77" s="1294">
        <v>43257</v>
      </c>
      <c r="G77" s="1294">
        <f t="shared" si="6"/>
        <v>43266</v>
      </c>
      <c r="H77" s="1292" t="s">
        <v>681</v>
      </c>
      <c r="I77" s="1293" t="s">
        <v>170</v>
      </c>
      <c r="J77" s="643" t="s">
        <v>696</v>
      </c>
      <c r="K77" s="1292" t="s">
        <v>692</v>
      </c>
      <c r="L77" s="1231">
        <v>23174</v>
      </c>
      <c r="M77" s="1292"/>
      <c r="N77" s="1292"/>
      <c r="O77" s="647">
        <v>18853</v>
      </c>
      <c r="P77" s="1292">
        <v>1</v>
      </c>
      <c r="Q77" s="2381">
        <f t="shared" si="8"/>
        <v>18853</v>
      </c>
      <c r="R77" s="956"/>
      <c r="S77" s="954"/>
      <c r="T77" s="954"/>
      <c r="U77" s="954"/>
      <c r="V77" s="805"/>
      <c r="W77" s="1823">
        <v>18853</v>
      </c>
      <c r="X77" s="1166"/>
      <c r="Y77" s="1144"/>
      <c r="Z77" s="1124"/>
      <c r="AA77" s="1124"/>
      <c r="AB77" s="1124"/>
      <c r="AC77" s="1124"/>
      <c r="AD77" s="1124"/>
      <c r="AE77" s="1124"/>
      <c r="AF77" s="1124"/>
      <c r="AG77" s="1282">
        <f t="shared" si="7"/>
        <v>18853</v>
      </c>
    </row>
    <row r="78" spans="1:33" ht="97.5" hidden="1" customHeight="1">
      <c r="A78" s="796">
        <v>1115</v>
      </c>
      <c r="B78" s="793" t="s">
        <v>694</v>
      </c>
      <c r="C78" s="1073" t="s">
        <v>695</v>
      </c>
      <c r="D78" s="1292"/>
      <c r="E78" s="1293">
        <v>10</v>
      </c>
      <c r="F78" s="1294">
        <v>43257</v>
      </c>
      <c r="G78" s="1294">
        <f t="shared" si="6"/>
        <v>43266</v>
      </c>
      <c r="H78" s="1292" t="s">
        <v>681</v>
      </c>
      <c r="I78" s="1293" t="s">
        <v>170</v>
      </c>
      <c r="J78" s="643" t="s">
        <v>696</v>
      </c>
      <c r="K78" s="1292" t="s">
        <v>693</v>
      </c>
      <c r="L78" s="1231">
        <v>23174</v>
      </c>
      <c r="M78" s="1292"/>
      <c r="N78" s="1292"/>
      <c r="O78" s="647">
        <v>1347</v>
      </c>
      <c r="P78" s="1292">
        <v>1</v>
      </c>
      <c r="Q78" s="2381">
        <f t="shared" si="8"/>
        <v>1347</v>
      </c>
      <c r="R78" s="956"/>
      <c r="S78" s="954"/>
      <c r="T78" s="954"/>
      <c r="U78" s="954"/>
      <c r="V78" s="805"/>
      <c r="W78" s="1823">
        <v>1347</v>
      </c>
      <c r="X78" s="1166"/>
      <c r="Y78" s="1144"/>
      <c r="Z78" s="1124"/>
      <c r="AA78" s="1124"/>
      <c r="AB78" s="1124"/>
      <c r="AC78" s="1124"/>
      <c r="AD78" s="1124"/>
      <c r="AE78" s="1124"/>
      <c r="AF78" s="1124"/>
      <c r="AG78" s="1282">
        <f t="shared" si="7"/>
        <v>1347</v>
      </c>
    </row>
    <row r="79" spans="1:33" ht="97.5" hidden="1" customHeight="1">
      <c r="A79" s="796">
        <v>1115</v>
      </c>
      <c r="B79" s="793" t="s">
        <v>694</v>
      </c>
      <c r="C79" s="1073" t="s">
        <v>695</v>
      </c>
      <c r="D79" s="1292"/>
      <c r="E79" s="1293">
        <v>10</v>
      </c>
      <c r="F79" s="1294">
        <v>43257</v>
      </c>
      <c r="G79" s="1294">
        <f t="shared" si="6"/>
        <v>43266</v>
      </c>
      <c r="H79" s="1292" t="s">
        <v>681</v>
      </c>
      <c r="I79" s="1293" t="s">
        <v>170</v>
      </c>
      <c r="J79" s="643" t="s">
        <v>696</v>
      </c>
      <c r="K79" s="1292" t="s">
        <v>704</v>
      </c>
      <c r="L79" s="1231">
        <v>23173</v>
      </c>
      <c r="M79" s="1292"/>
      <c r="N79" s="1292"/>
      <c r="O79" s="647">
        <v>1117</v>
      </c>
      <c r="P79" s="1292">
        <v>1</v>
      </c>
      <c r="Q79" s="2381">
        <f t="shared" si="8"/>
        <v>1117</v>
      </c>
      <c r="R79" s="956"/>
      <c r="S79" s="954"/>
      <c r="T79" s="954"/>
      <c r="U79" s="954"/>
      <c r="V79" s="1823">
        <v>1117</v>
      </c>
      <c r="W79" s="805"/>
      <c r="X79" s="1166"/>
      <c r="Y79" s="1144"/>
      <c r="Z79" s="1124"/>
      <c r="AA79" s="1124"/>
      <c r="AB79" s="1124"/>
      <c r="AC79" s="1124"/>
      <c r="AD79" s="1124"/>
      <c r="AE79" s="1124"/>
      <c r="AF79" s="1124"/>
      <c r="AG79" s="1282">
        <f t="shared" si="7"/>
        <v>1117</v>
      </c>
    </row>
    <row r="80" spans="1:33" ht="97.5" hidden="1" customHeight="1">
      <c r="A80" s="796">
        <v>1115</v>
      </c>
      <c r="B80" s="793" t="s">
        <v>694</v>
      </c>
      <c r="C80" s="1073" t="s">
        <v>695</v>
      </c>
      <c r="D80" s="1292"/>
      <c r="E80" s="1293">
        <v>10</v>
      </c>
      <c r="F80" s="1294">
        <v>43257</v>
      </c>
      <c r="G80" s="1294">
        <f t="shared" si="6"/>
        <v>43266</v>
      </c>
      <c r="H80" s="1292" t="s">
        <v>681</v>
      </c>
      <c r="I80" s="1293" t="s">
        <v>170</v>
      </c>
      <c r="J80" s="643" t="s">
        <v>696</v>
      </c>
      <c r="K80" s="1292" t="s">
        <v>706</v>
      </c>
      <c r="L80" s="1231">
        <v>23173</v>
      </c>
      <c r="M80" s="1292"/>
      <c r="N80" s="1292"/>
      <c r="O80" s="647">
        <v>6450</v>
      </c>
      <c r="P80" s="1292">
        <v>1</v>
      </c>
      <c r="Q80" s="2381">
        <f t="shared" si="8"/>
        <v>6450</v>
      </c>
      <c r="R80" s="956"/>
      <c r="S80" s="954"/>
      <c r="T80" s="954"/>
      <c r="U80" s="954"/>
      <c r="V80" s="1823">
        <v>6450</v>
      </c>
      <c r="W80" s="805"/>
      <c r="X80" s="1166"/>
      <c r="Y80" s="1144"/>
      <c r="Z80" s="1124"/>
      <c r="AA80" s="1124"/>
      <c r="AB80" s="1124"/>
      <c r="AC80" s="1124"/>
      <c r="AD80" s="1124"/>
      <c r="AE80" s="1124"/>
      <c r="AF80" s="1124"/>
      <c r="AG80" s="1282">
        <f t="shared" si="7"/>
        <v>6450</v>
      </c>
    </row>
    <row r="81" spans="1:34" ht="97.5" hidden="1" customHeight="1">
      <c r="A81" s="796">
        <v>1115</v>
      </c>
      <c r="B81" s="793" t="s">
        <v>694</v>
      </c>
      <c r="C81" s="1073" t="s">
        <v>695</v>
      </c>
      <c r="D81" s="1292"/>
      <c r="E81" s="1293">
        <v>10</v>
      </c>
      <c r="F81" s="1294">
        <v>43257</v>
      </c>
      <c r="G81" s="1294">
        <f t="shared" si="6"/>
        <v>43266</v>
      </c>
      <c r="H81" s="1292" t="s">
        <v>681</v>
      </c>
      <c r="I81" s="1293" t="s">
        <v>170</v>
      </c>
      <c r="J81" s="643" t="s">
        <v>696</v>
      </c>
      <c r="K81" s="1292" t="s">
        <v>638</v>
      </c>
      <c r="L81" s="1231">
        <v>23173</v>
      </c>
      <c r="M81" s="1292"/>
      <c r="N81" s="1292"/>
      <c r="O81" s="647">
        <v>4300</v>
      </c>
      <c r="P81" s="1292">
        <v>1</v>
      </c>
      <c r="Q81" s="2381">
        <f t="shared" si="8"/>
        <v>4300</v>
      </c>
      <c r="R81" s="956"/>
      <c r="S81" s="954"/>
      <c r="T81" s="954"/>
      <c r="U81" s="954"/>
      <c r="V81" s="1823">
        <v>4300</v>
      </c>
      <c r="W81" s="805"/>
      <c r="X81" s="1166"/>
      <c r="Y81" s="1144"/>
      <c r="Z81" s="1124"/>
      <c r="AA81" s="1124"/>
      <c r="AB81" s="1124"/>
      <c r="AC81" s="1124"/>
      <c r="AD81" s="1124"/>
      <c r="AE81" s="1124"/>
      <c r="AF81" s="1124"/>
      <c r="AG81" s="1282">
        <f t="shared" si="7"/>
        <v>4300</v>
      </c>
    </row>
    <row r="82" spans="1:34" ht="73.900000000000006" hidden="1" customHeight="1">
      <c r="A82" s="796">
        <v>1116</v>
      </c>
      <c r="B82" s="793" t="s">
        <v>707</v>
      </c>
      <c r="C82" s="1073" t="s">
        <v>708</v>
      </c>
      <c r="D82" s="1292"/>
      <c r="E82" s="1293">
        <v>1</v>
      </c>
      <c r="F82" s="1294">
        <v>43315</v>
      </c>
      <c r="G82" s="1294">
        <f t="shared" si="6"/>
        <v>43315</v>
      </c>
      <c r="H82" s="1292" t="s">
        <v>667</v>
      </c>
      <c r="I82" s="1293" t="s">
        <v>170</v>
      </c>
      <c r="J82" s="643" t="s">
        <v>696</v>
      </c>
      <c r="K82" s="1292" t="s">
        <v>709</v>
      </c>
      <c r="L82" s="1231">
        <v>23174</v>
      </c>
      <c r="M82" s="1292"/>
      <c r="N82" s="1292"/>
      <c r="O82" s="647">
        <v>252</v>
      </c>
      <c r="P82" s="1292">
        <v>1</v>
      </c>
      <c r="Q82" s="2381">
        <f t="shared" si="8"/>
        <v>252</v>
      </c>
      <c r="R82" s="956"/>
      <c r="S82" s="954"/>
      <c r="T82" s="954"/>
      <c r="U82" s="954"/>
      <c r="V82" s="954"/>
      <c r="W82" s="954"/>
      <c r="X82" s="1824">
        <v>252</v>
      </c>
      <c r="Y82" s="1144"/>
      <c r="Z82" s="1124"/>
      <c r="AA82" s="1124"/>
      <c r="AB82" s="1124"/>
      <c r="AC82" s="1124"/>
      <c r="AD82" s="1124"/>
      <c r="AE82" s="1124"/>
      <c r="AF82" s="1124"/>
      <c r="AG82" s="1282">
        <f t="shared" si="7"/>
        <v>252</v>
      </c>
    </row>
    <row r="83" spans="1:34" ht="73.900000000000006" hidden="1" customHeight="1">
      <c r="A83" s="796">
        <v>1116</v>
      </c>
      <c r="B83" s="793" t="s">
        <v>707</v>
      </c>
      <c r="C83" s="1073" t="s">
        <v>708</v>
      </c>
      <c r="D83" s="1292"/>
      <c r="E83" s="1293">
        <v>1</v>
      </c>
      <c r="F83" s="1294">
        <v>43315</v>
      </c>
      <c r="G83" s="1294">
        <f t="shared" si="6"/>
        <v>43315</v>
      </c>
      <c r="H83" s="1292" t="s">
        <v>667</v>
      </c>
      <c r="I83" s="1293" t="s">
        <v>170</v>
      </c>
      <c r="J83" s="643" t="s">
        <v>696</v>
      </c>
      <c r="K83" s="1292" t="s">
        <v>710</v>
      </c>
      <c r="L83" s="1231">
        <v>23174</v>
      </c>
      <c r="M83" s="1292"/>
      <c r="N83" s="1292"/>
      <c r="O83" s="647">
        <v>280</v>
      </c>
      <c r="P83" s="1292">
        <v>1</v>
      </c>
      <c r="Q83" s="2381">
        <f t="shared" si="8"/>
        <v>280</v>
      </c>
      <c r="R83" s="956"/>
      <c r="S83" s="954"/>
      <c r="T83" s="954"/>
      <c r="U83" s="954"/>
      <c r="V83" s="954"/>
      <c r="W83" s="954"/>
      <c r="X83" s="1824">
        <v>280</v>
      </c>
      <c r="Y83" s="1144"/>
      <c r="Z83" s="1124"/>
      <c r="AA83" s="1124"/>
      <c r="AB83" s="1124"/>
      <c r="AC83" s="1124"/>
      <c r="AD83" s="1124"/>
      <c r="AE83" s="1124"/>
      <c r="AF83" s="1124"/>
      <c r="AG83" s="1282">
        <f t="shared" si="7"/>
        <v>280</v>
      </c>
    </row>
    <row r="84" spans="1:34" ht="73.900000000000006" hidden="1" customHeight="1">
      <c r="A84" s="796">
        <v>1116</v>
      </c>
      <c r="B84" s="793" t="s">
        <v>707</v>
      </c>
      <c r="C84" s="1073" t="s">
        <v>708</v>
      </c>
      <c r="D84" s="1292"/>
      <c r="E84" s="1293">
        <v>1</v>
      </c>
      <c r="F84" s="1294">
        <v>43315</v>
      </c>
      <c r="G84" s="1294">
        <f t="shared" si="6"/>
        <v>43315</v>
      </c>
      <c r="H84" s="1292" t="s">
        <v>667</v>
      </c>
      <c r="I84" s="1293" t="s">
        <v>170</v>
      </c>
      <c r="J84" s="643" t="s">
        <v>696</v>
      </c>
      <c r="K84" s="1292" t="s">
        <v>711</v>
      </c>
      <c r="L84" s="1231">
        <v>23174</v>
      </c>
      <c r="M84" s="1292"/>
      <c r="N84" s="1292"/>
      <c r="O84" s="647">
        <v>210</v>
      </c>
      <c r="P84" s="1292">
        <v>1</v>
      </c>
      <c r="Q84" s="2381">
        <f t="shared" si="8"/>
        <v>210</v>
      </c>
      <c r="R84" s="956"/>
      <c r="S84" s="954"/>
      <c r="T84" s="954"/>
      <c r="U84" s="954"/>
      <c r="V84" s="954"/>
      <c r="W84" s="954"/>
      <c r="X84" s="1824">
        <v>210</v>
      </c>
      <c r="Y84" s="1144"/>
      <c r="Z84" s="1124"/>
      <c r="AA84" s="1124"/>
      <c r="AB84" s="1124"/>
      <c r="AC84" s="1124"/>
      <c r="AD84" s="1124"/>
      <c r="AE84" s="1124"/>
      <c r="AF84" s="1124"/>
      <c r="AG84" s="1282">
        <f t="shared" si="7"/>
        <v>210</v>
      </c>
    </row>
    <row r="85" spans="1:34" ht="73.900000000000006" hidden="1" customHeight="1">
      <c r="A85" s="796">
        <v>1116</v>
      </c>
      <c r="B85" s="793" t="s">
        <v>707</v>
      </c>
      <c r="C85" s="1073" t="s">
        <v>708</v>
      </c>
      <c r="D85" s="1292"/>
      <c r="E85" s="1293">
        <v>1</v>
      </c>
      <c r="F85" s="1294">
        <v>43315</v>
      </c>
      <c r="G85" s="1294">
        <f t="shared" si="6"/>
        <v>43315</v>
      </c>
      <c r="H85" s="1292" t="s">
        <v>667</v>
      </c>
      <c r="I85" s="1293" t="s">
        <v>170</v>
      </c>
      <c r="J85" s="643" t="s">
        <v>696</v>
      </c>
      <c r="K85" s="1292" t="s">
        <v>712</v>
      </c>
      <c r="L85" s="1231">
        <v>23174</v>
      </c>
      <c r="M85" s="1292"/>
      <c r="N85" s="1292"/>
      <c r="O85" s="647">
        <v>140</v>
      </c>
      <c r="P85" s="1292">
        <v>1</v>
      </c>
      <c r="Q85" s="2381">
        <f t="shared" si="8"/>
        <v>140</v>
      </c>
      <c r="R85" s="956"/>
      <c r="S85" s="954"/>
      <c r="T85" s="954"/>
      <c r="U85" s="954"/>
      <c r="V85" s="954"/>
      <c r="W85" s="954"/>
      <c r="X85" s="1824">
        <v>140</v>
      </c>
      <c r="Y85" s="1144"/>
      <c r="Z85" s="1124"/>
      <c r="AA85" s="1124"/>
      <c r="AB85" s="1124"/>
      <c r="AC85" s="1124"/>
      <c r="AD85" s="1124"/>
      <c r="AE85" s="1124"/>
      <c r="AF85" s="1124"/>
      <c r="AG85" s="1282">
        <f t="shared" si="7"/>
        <v>140</v>
      </c>
    </row>
    <row r="86" spans="1:34" ht="73.900000000000006" hidden="1" customHeight="1">
      <c r="A86" s="796">
        <v>1116</v>
      </c>
      <c r="B86" s="793" t="s">
        <v>707</v>
      </c>
      <c r="C86" s="1073" t="s">
        <v>708</v>
      </c>
      <c r="D86" s="1292"/>
      <c r="E86" s="1293">
        <v>1</v>
      </c>
      <c r="F86" s="1294">
        <v>43315</v>
      </c>
      <c r="G86" s="1294">
        <f t="shared" si="6"/>
        <v>43315</v>
      </c>
      <c r="H86" s="1292" t="s">
        <v>667</v>
      </c>
      <c r="I86" s="1293" t="s">
        <v>170</v>
      </c>
      <c r="J86" s="643" t="s">
        <v>696</v>
      </c>
      <c r="K86" s="1292" t="s">
        <v>713</v>
      </c>
      <c r="L86" s="1231">
        <v>23174</v>
      </c>
      <c r="M86" s="1292"/>
      <c r="N86" s="1292"/>
      <c r="O86" s="647">
        <v>2221</v>
      </c>
      <c r="P86" s="1292">
        <v>1</v>
      </c>
      <c r="Q86" s="2381">
        <f t="shared" si="8"/>
        <v>2221</v>
      </c>
      <c r="R86" s="956"/>
      <c r="S86" s="954"/>
      <c r="T86" s="954"/>
      <c r="U86" s="954"/>
      <c r="V86" s="954"/>
      <c r="W86" s="954"/>
      <c r="X86" s="1824">
        <v>2221</v>
      </c>
      <c r="Y86" s="1144"/>
      <c r="Z86" s="1124"/>
      <c r="AA86" s="1124"/>
      <c r="AB86" s="1124"/>
      <c r="AC86" s="1124"/>
      <c r="AD86" s="1124"/>
      <c r="AE86" s="1124"/>
      <c r="AF86" s="1124"/>
      <c r="AG86" s="1282">
        <f t="shared" si="7"/>
        <v>2221</v>
      </c>
    </row>
    <row r="87" spans="1:34" ht="73.900000000000006" hidden="1" customHeight="1">
      <c r="A87" s="796">
        <v>1116</v>
      </c>
      <c r="B87" s="793" t="s">
        <v>707</v>
      </c>
      <c r="C87" s="1073" t="s">
        <v>708</v>
      </c>
      <c r="D87" s="1292"/>
      <c r="E87" s="1293">
        <v>1</v>
      </c>
      <c r="F87" s="1294">
        <v>43315</v>
      </c>
      <c r="G87" s="1294">
        <f t="shared" si="6"/>
        <v>43315</v>
      </c>
      <c r="H87" s="1292" t="s">
        <v>667</v>
      </c>
      <c r="I87" s="1293" t="s">
        <v>170</v>
      </c>
      <c r="J87" s="643" t="s">
        <v>696</v>
      </c>
      <c r="K87" s="1292" t="s">
        <v>714</v>
      </c>
      <c r="L87" s="1231">
        <v>23173</v>
      </c>
      <c r="M87" s="1292"/>
      <c r="N87" s="1292"/>
      <c r="O87" s="647">
        <v>333.33333333333331</v>
      </c>
      <c r="P87" s="1292">
        <v>1</v>
      </c>
      <c r="Q87" s="2381">
        <f t="shared" si="8"/>
        <v>333.33333333333331</v>
      </c>
      <c r="R87" s="956"/>
      <c r="S87" s="954"/>
      <c r="T87" s="954"/>
      <c r="U87" s="954"/>
      <c r="V87" s="954"/>
      <c r="W87" s="954"/>
      <c r="X87" s="1824">
        <v>333.33333333333331</v>
      </c>
      <c r="Y87" s="1144"/>
      <c r="Z87" s="1124"/>
      <c r="AA87" s="1124"/>
      <c r="AB87" s="1124"/>
      <c r="AC87" s="1124"/>
      <c r="AD87" s="1124"/>
      <c r="AE87" s="1124"/>
      <c r="AF87" s="1124"/>
      <c r="AG87" s="1282">
        <f t="shared" si="7"/>
        <v>333.33333333333331</v>
      </c>
    </row>
    <row r="88" spans="1:34" ht="73.900000000000006" hidden="1" customHeight="1">
      <c r="A88" s="796">
        <v>1116</v>
      </c>
      <c r="B88" s="793" t="s">
        <v>707</v>
      </c>
      <c r="C88" s="1073" t="s">
        <v>708</v>
      </c>
      <c r="D88" s="1292"/>
      <c r="E88" s="1293">
        <v>1</v>
      </c>
      <c r="F88" s="1294">
        <v>43315</v>
      </c>
      <c r="G88" s="1294">
        <f t="shared" si="6"/>
        <v>43315</v>
      </c>
      <c r="H88" s="1292" t="s">
        <v>667</v>
      </c>
      <c r="I88" s="1293" t="s">
        <v>170</v>
      </c>
      <c r="J88" s="643" t="s">
        <v>696</v>
      </c>
      <c r="K88" s="1292" t="s">
        <v>670</v>
      </c>
      <c r="L88" s="1231">
        <v>23173</v>
      </c>
      <c r="M88" s="1292"/>
      <c r="N88" s="1292"/>
      <c r="O88" s="647">
        <v>583.33333333333337</v>
      </c>
      <c r="P88" s="1292">
        <v>1</v>
      </c>
      <c r="Q88" s="2381">
        <f t="shared" si="8"/>
        <v>583.33333333333337</v>
      </c>
      <c r="R88" s="956"/>
      <c r="S88" s="954"/>
      <c r="T88" s="954"/>
      <c r="U88" s="954"/>
      <c r="V88" s="954"/>
      <c r="W88" s="954"/>
      <c r="X88" s="1824">
        <v>583.33333333333337</v>
      </c>
      <c r="Y88" s="1144"/>
      <c r="Z88" s="1124"/>
      <c r="AA88" s="1124"/>
      <c r="AB88" s="1124"/>
      <c r="AC88" s="1124"/>
      <c r="AD88" s="1124"/>
      <c r="AE88" s="1124"/>
      <c r="AF88" s="1124"/>
      <c r="AG88" s="1282">
        <f t="shared" si="7"/>
        <v>583.33333333333337</v>
      </c>
    </row>
    <row r="89" spans="1:34" ht="37.5" customHeight="1">
      <c r="A89" s="1300" t="s">
        <v>234</v>
      </c>
      <c r="B89" s="786"/>
      <c r="C89" s="786"/>
      <c r="D89" s="1300"/>
      <c r="E89" s="1300"/>
      <c r="F89" s="1300"/>
      <c r="G89" s="1300"/>
      <c r="H89" s="1300"/>
      <c r="I89" s="1300"/>
      <c r="J89" s="781"/>
      <c r="K89" s="1300"/>
      <c r="L89" s="1301"/>
      <c r="M89" s="1300"/>
      <c r="N89" s="1300"/>
      <c r="O89" s="1302"/>
      <c r="P89" s="1300"/>
      <c r="Q89" s="1303">
        <f>Q90+Q154</f>
        <v>314558.67633333337</v>
      </c>
      <c r="R89" s="1303"/>
      <c r="S89" s="1302">
        <f t="shared" ref="S89:AF89" si="9">S90+S154</f>
        <v>0</v>
      </c>
      <c r="T89" s="1302">
        <f t="shared" si="9"/>
        <v>78416.399666666664</v>
      </c>
      <c r="U89" s="1302">
        <f t="shared" si="9"/>
        <v>46733.999333333333</v>
      </c>
      <c r="V89" s="1302">
        <f t="shared" si="9"/>
        <v>111933.72499999999</v>
      </c>
      <c r="W89" s="1302">
        <f t="shared" si="9"/>
        <v>45901.552333333326</v>
      </c>
      <c r="X89" s="1302">
        <f t="shared" si="9"/>
        <v>7142</v>
      </c>
      <c r="Y89" s="1302">
        <f t="shared" si="9"/>
        <v>24431</v>
      </c>
      <c r="Z89" s="1302">
        <f t="shared" si="9"/>
        <v>0</v>
      </c>
      <c r="AA89" s="1302">
        <f t="shared" si="9"/>
        <v>0</v>
      </c>
      <c r="AB89" s="1302">
        <f t="shared" si="9"/>
        <v>0</v>
      </c>
      <c r="AC89" s="1302">
        <f t="shared" si="9"/>
        <v>0</v>
      </c>
      <c r="AD89" s="1302">
        <f t="shared" si="9"/>
        <v>0</v>
      </c>
      <c r="AE89" s="1302">
        <f t="shared" si="9"/>
        <v>0</v>
      </c>
      <c r="AF89" s="1302">
        <f t="shared" si="9"/>
        <v>0</v>
      </c>
      <c r="AG89" s="1302">
        <f>AG90+AG154</f>
        <v>314558.67633333331</v>
      </c>
      <c r="AH89" s="1018"/>
    </row>
    <row r="90" spans="1:34" ht="16.5" hidden="1" customHeight="1">
      <c r="A90" s="1324">
        <v>121</v>
      </c>
      <c r="B90" s="1462" t="s">
        <v>715</v>
      </c>
      <c r="C90" s="1497"/>
      <c r="D90" s="1306"/>
      <c r="E90" s="1306"/>
      <c r="F90" s="1306"/>
      <c r="G90" s="1306"/>
      <c r="H90" s="1306"/>
      <c r="I90" s="1306"/>
      <c r="J90" s="636"/>
      <c r="K90" s="1296"/>
      <c r="L90" s="1298"/>
      <c r="M90" s="1296"/>
      <c r="N90" s="1296"/>
      <c r="O90" s="1299"/>
      <c r="P90" s="1296"/>
      <c r="Q90" s="2806">
        <f>SUM(Q91:Q153)</f>
        <v>163711</v>
      </c>
      <c r="R90" s="960"/>
      <c r="S90" s="1307">
        <f t="shared" ref="S90:AF90" si="10">SUM(S91:S153)</f>
        <v>0</v>
      </c>
      <c r="T90" s="1307">
        <f t="shared" si="10"/>
        <v>65000</v>
      </c>
      <c r="U90" s="1307">
        <f t="shared" si="10"/>
        <v>14002</v>
      </c>
      <c r="V90" s="1307">
        <f t="shared" si="10"/>
        <v>31374</v>
      </c>
      <c r="W90" s="1307">
        <f t="shared" si="10"/>
        <v>21762</v>
      </c>
      <c r="X90" s="1307">
        <f t="shared" si="10"/>
        <v>7142</v>
      </c>
      <c r="Y90" s="1307">
        <f t="shared" si="10"/>
        <v>24431</v>
      </c>
      <c r="Z90" s="1307">
        <f t="shared" si="10"/>
        <v>0</v>
      </c>
      <c r="AA90" s="1307">
        <f t="shared" si="10"/>
        <v>0</v>
      </c>
      <c r="AB90" s="1307">
        <f t="shared" si="10"/>
        <v>0</v>
      </c>
      <c r="AC90" s="1307">
        <f t="shared" si="10"/>
        <v>0</v>
      </c>
      <c r="AD90" s="1307">
        <f t="shared" si="10"/>
        <v>0</v>
      </c>
      <c r="AE90" s="1307">
        <f t="shared" si="10"/>
        <v>0</v>
      </c>
      <c r="AF90" s="1307">
        <f t="shared" si="10"/>
        <v>0</v>
      </c>
      <c r="AG90" s="1307">
        <f>SUM(S90:AF90)</f>
        <v>163711</v>
      </c>
      <c r="AH90" s="1614"/>
    </row>
    <row r="91" spans="1:34" s="1826" customFormat="1" ht="72.75" hidden="1" customHeight="1">
      <c r="A91" s="683">
        <v>1211</v>
      </c>
      <c r="B91" s="1760" t="s">
        <v>716</v>
      </c>
      <c r="C91" s="1076" t="s">
        <v>717</v>
      </c>
      <c r="D91" s="1761"/>
      <c r="E91" s="1762">
        <f t="shared" ref="E91:E122" si="11">+G91-F91+1</f>
        <v>12</v>
      </c>
      <c r="F91" s="1763">
        <v>43220</v>
      </c>
      <c r="G91" s="1763">
        <v>43231</v>
      </c>
      <c r="H91" s="1764" t="s">
        <v>718</v>
      </c>
      <c r="I91" s="1762" t="s">
        <v>170</v>
      </c>
      <c r="J91" s="667" t="s">
        <v>719</v>
      </c>
      <c r="K91" s="1292" t="s">
        <v>720</v>
      </c>
      <c r="L91" s="1233">
        <v>23174</v>
      </c>
      <c r="M91" s="1761"/>
      <c r="N91" s="1761"/>
      <c r="O91" s="1765">
        <v>157</v>
      </c>
      <c r="P91" s="1761">
        <v>28</v>
      </c>
      <c r="Q91" s="2382">
        <f t="shared" ref="Q91:Q123" si="12">+O91*P91</f>
        <v>4396</v>
      </c>
      <c r="R91" s="2382"/>
      <c r="S91" s="1766"/>
      <c r="T91" s="1766"/>
      <c r="U91" s="1765">
        <v>4396</v>
      </c>
      <c r="V91" s="1766"/>
      <c r="W91" s="1766"/>
      <c r="X91" s="1767"/>
      <c r="Y91" s="1768"/>
      <c r="Z91" s="1825"/>
      <c r="AA91" s="1825"/>
      <c r="AB91" s="1825"/>
      <c r="AC91" s="1825"/>
      <c r="AD91" s="1825"/>
      <c r="AE91" s="1825"/>
      <c r="AF91" s="1825"/>
      <c r="AG91" s="1282">
        <f t="shared" ref="AG91:AG153" si="13">SUM(S91:AF91)</f>
        <v>4396</v>
      </c>
    </row>
    <row r="92" spans="1:34" s="1826" customFormat="1" ht="72.75" hidden="1" customHeight="1">
      <c r="A92" s="683">
        <v>1211</v>
      </c>
      <c r="B92" s="1760" t="s">
        <v>716</v>
      </c>
      <c r="C92" s="1076" t="s">
        <v>717</v>
      </c>
      <c r="D92" s="1761"/>
      <c r="E92" s="1762">
        <f t="shared" si="11"/>
        <v>12</v>
      </c>
      <c r="F92" s="1763">
        <f t="shared" ref="F92:F102" si="14">+F91</f>
        <v>43220</v>
      </c>
      <c r="G92" s="1763">
        <v>43231</v>
      </c>
      <c r="H92" s="1764" t="s">
        <v>718</v>
      </c>
      <c r="I92" s="1762" t="s">
        <v>170</v>
      </c>
      <c r="J92" s="667" t="s">
        <v>719</v>
      </c>
      <c r="K92" s="1769" t="s">
        <v>721</v>
      </c>
      <c r="L92" s="1233">
        <v>23174</v>
      </c>
      <c r="M92" s="1761"/>
      <c r="N92" s="1761"/>
      <c r="O92" s="1765">
        <v>162</v>
      </c>
      <c r="P92" s="1761">
        <v>28</v>
      </c>
      <c r="Q92" s="2382">
        <f t="shared" si="12"/>
        <v>4536</v>
      </c>
      <c r="R92" s="2382"/>
      <c r="S92" s="1766"/>
      <c r="T92" s="1766"/>
      <c r="U92" s="1765">
        <v>4536</v>
      </c>
      <c r="V92" s="1766"/>
      <c r="W92" s="1766"/>
      <c r="X92" s="1767"/>
      <c r="Y92" s="1768"/>
      <c r="Z92" s="1825"/>
      <c r="AA92" s="1825"/>
      <c r="AB92" s="1825"/>
      <c r="AC92" s="1825"/>
      <c r="AD92" s="1825"/>
      <c r="AE92" s="1825"/>
      <c r="AF92" s="1825"/>
      <c r="AG92" s="1282">
        <f t="shared" si="13"/>
        <v>4536</v>
      </c>
    </row>
    <row r="93" spans="1:34" s="1826" customFormat="1" ht="72.75" hidden="1" customHeight="1">
      <c r="A93" s="683">
        <v>1211</v>
      </c>
      <c r="B93" s="1760" t="s">
        <v>716</v>
      </c>
      <c r="C93" s="1076" t="s">
        <v>717</v>
      </c>
      <c r="D93" s="1761"/>
      <c r="E93" s="1762">
        <f t="shared" si="11"/>
        <v>12</v>
      </c>
      <c r="F93" s="1763">
        <f t="shared" si="14"/>
        <v>43220</v>
      </c>
      <c r="G93" s="1763">
        <v>43231</v>
      </c>
      <c r="H93" s="1764" t="s">
        <v>718</v>
      </c>
      <c r="I93" s="1762" t="s">
        <v>170</v>
      </c>
      <c r="J93" s="667" t="s">
        <v>719</v>
      </c>
      <c r="K93" s="1769" t="s">
        <v>722</v>
      </c>
      <c r="L93" s="1233">
        <v>23174</v>
      </c>
      <c r="M93" s="1761"/>
      <c r="N93" s="1761"/>
      <c r="O93" s="1765">
        <v>22</v>
      </c>
      <c r="P93" s="1761">
        <v>28</v>
      </c>
      <c r="Q93" s="2382">
        <f t="shared" si="12"/>
        <v>616</v>
      </c>
      <c r="R93" s="2382"/>
      <c r="S93" s="1766"/>
      <c r="T93" s="1766"/>
      <c r="U93" s="1765">
        <v>616</v>
      </c>
      <c r="V93" s="1766"/>
      <c r="W93" s="1766"/>
      <c r="X93" s="1767"/>
      <c r="Y93" s="1768"/>
      <c r="Z93" s="1825"/>
      <c r="AA93" s="1825"/>
      <c r="AB93" s="1825"/>
      <c r="AC93" s="1825"/>
      <c r="AD93" s="1825"/>
      <c r="AE93" s="1825"/>
      <c r="AF93" s="1825"/>
      <c r="AG93" s="1282">
        <f t="shared" si="13"/>
        <v>616</v>
      </c>
    </row>
    <row r="94" spans="1:34" s="1826" customFormat="1" ht="72.75" hidden="1" customHeight="1">
      <c r="A94" s="683">
        <v>1211</v>
      </c>
      <c r="B94" s="1760" t="s">
        <v>716</v>
      </c>
      <c r="C94" s="1076" t="s">
        <v>717</v>
      </c>
      <c r="D94" s="1761"/>
      <c r="E94" s="1762">
        <f t="shared" si="11"/>
        <v>12</v>
      </c>
      <c r="F94" s="1763">
        <f t="shared" si="14"/>
        <v>43220</v>
      </c>
      <c r="G94" s="1763">
        <v>43231</v>
      </c>
      <c r="H94" s="1764" t="s">
        <v>718</v>
      </c>
      <c r="I94" s="1762" t="s">
        <v>170</v>
      </c>
      <c r="J94" s="667" t="s">
        <v>719</v>
      </c>
      <c r="K94" s="1769" t="s">
        <v>415</v>
      </c>
      <c r="L94" s="1231">
        <v>23173</v>
      </c>
      <c r="M94" s="1761"/>
      <c r="N94" s="1761"/>
      <c r="O94" s="1765">
        <v>156</v>
      </c>
      <c r="P94" s="1761">
        <v>10</v>
      </c>
      <c r="Q94" s="2382">
        <f t="shared" si="12"/>
        <v>1560</v>
      </c>
      <c r="R94" s="2382"/>
      <c r="S94" s="1766"/>
      <c r="T94" s="1766"/>
      <c r="U94" s="1765">
        <v>1560</v>
      </c>
      <c r="V94" s="1766"/>
      <c r="W94" s="1766"/>
      <c r="X94" s="1767"/>
      <c r="Y94" s="1768"/>
      <c r="Z94" s="1825"/>
      <c r="AA94" s="1825"/>
      <c r="AB94" s="1825"/>
      <c r="AC94" s="1825"/>
      <c r="AD94" s="1825"/>
      <c r="AE94" s="1825"/>
      <c r="AF94" s="1825"/>
      <c r="AG94" s="1282">
        <f t="shared" si="13"/>
        <v>1560</v>
      </c>
    </row>
    <row r="95" spans="1:34" s="1826" customFormat="1" ht="72.75" hidden="1" customHeight="1">
      <c r="A95" s="683">
        <v>1211</v>
      </c>
      <c r="B95" s="1760" t="s">
        <v>716</v>
      </c>
      <c r="C95" s="1076" t="s">
        <v>717</v>
      </c>
      <c r="D95" s="1761"/>
      <c r="E95" s="1762">
        <f t="shared" si="11"/>
        <v>12</v>
      </c>
      <c r="F95" s="1763">
        <f t="shared" si="14"/>
        <v>43220</v>
      </c>
      <c r="G95" s="1763">
        <v>43231</v>
      </c>
      <c r="H95" s="1764" t="s">
        <v>718</v>
      </c>
      <c r="I95" s="1762" t="s">
        <v>170</v>
      </c>
      <c r="J95" s="667" t="s">
        <v>719</v>
      </c>
      <c r="K95" s="1769" t="s">
        <v>638</v>
      </c>
      <c r="L95" s="1233">
        <v>23173</v>
      </c>
      <c r="M95" s="1761"/>
      <c r="N95" s="1761"/>
      <c r="O95" s="1765">
        <v>10</v>
      </c>
      <c r="P95" s="1761">
        <v>28</v>
      </c>
      <c r="Q95" s="2382">
        <f t="shared" si="12"/>
        <v>280</v>
      </c>
      <c r="R95" s="2382"/>
      <c r="S95" s="1766"/>
      <c r="T95" s="1766"/>
      <c r="U95" s="1765">
        <v>280</v>
      </c>
      <c r="V95" s="1766"/>
      <c r="W95" s="1766"/>
      <c r="X95" s="1767"/>
      <c r="Y95" s="1768"/>
      <c r="Z95" s="1825"/>
      <c r="AA95" s="1825"/>
      <c r="AB95" s="1825"/>
      <c r="AC95" s="1825"/>
      <c r="AD95" s="1825"/>
      <c r="AE95" s="1825"/>
      <c r="AF95" s="1825"/>
      <c r="AG95" s="1282">
        <f t="shared" si="13"/>
        <v>280</v>
      </c>
    </row>
    <row r="96" spans="1:34" s="1826" customFormat="1" ht="72.75" hidden="1" customHeight="1">
      <c r="A96" s="683">
        <v>1211</v>
      </c>
      <c r="B96" s="1760" t="s">
        <v>716</v>
      </c>
      <c r="C96" s="1076" t="s">
        <v>717</v>
      </c>
      <c r="D96" s="1761"/>
      <c r="E96" s="1762">
        <f t="shared" si="11"/>
        <v>12</v>
      </c>
      <c r="F96" s="1763">
        <f t="shared" si="14"/>
        <v>43220</v>
      </c>
      <c r="G96" s="1763">
        <v>43231</v>
      </c>
      <c r="H96" s="1764" t="s">
        <v>718</v>
      </c>
      <c r="I96" s="1762" t="s">
        <v>170</v>
      </c>
      <c r="J96" s="667" t="s">
        <v>719</v>
      </c>
      <c r="K96" s="1769" t="s">
        <v>723</v>
      </c>
      <c r="L96" s="1233">
        <v>23174</v>
      </c>
      <c r="M96" s="1761"/>
      <c r="N96" s="1761"/>
      <c r="O96" s="1765">
        <v>281</v>
      </c>
      <c r="P96" s="1761">
        <v>4</v>
      </c>
      <c r="Q96" s="2382">
        <f t="shared" si="12"/>
        <v>1124</v>
      </c>
      <c r="R96" s="2382"/>
      <c r="S96" s="1766"/>
      <c r="T96" s="1766"/>
      <c r="U96" s="1765">
        <v>1124</v>
      </c>
      <c r="V96" s="1766"/>
      <c r="W96" s="1766"/>
      <c r="X96" s="1767"/>
      <c r="Y96" s="1768"/>
      <c r="Z96" s="1825"/>
      <c r="AA96" s="1825"/>
      <c r="AB96" s="1825"/>
      <c r="AC96" s="1825"/>
      <c r="AD96" s="1825"/>
      <c r="AE96" s="1825"/>
      <c r="AF96" s="1825"/>
      <c r="AG96" s="1282">
        <f t="shared" si="13"/>
        <v>1124</v>
      </c>
    </row>
    <row r="97" spans="1:33" s="1826" customFormat="1" ht="72.75" hidden="1" customHeight="1">
      <c r="A97" s="683">
        <v>1211</v>
      </c>
      <c r="B97" s="1760" t="s">
        <v>716</v>
      </c>
      <c r="C97" s="1076" t="s">
        <v>717</v>
      </c>
      <c r="D97" s="1761"/>
      <c r="E97" s="1762">
        <f t="shared" si="11"/>
        <v>12</v>
      </c>
      <c r="F97" s="1763">
        <f t="shared" si="14"/>
        <v>43220</v>
      </c>
      <c r="G97" s="1763">
        <v>43231</v>
      </c>
      <c r="H97" s="1764" t="s">
        <v>718</v>
      </c>
      <c r="I97" s="1762" t="s">
        <v>170</v>
      </c>
      <c r="J97" s="667" t="s">
        <v>719</v>
      </c>
      <c r="K97" s="1769" t="s">
        <v>724</v>
      </c>
      <c r="L97" s="1233">
        <v>23173</v>
      </c>
      <c r="M97" s="1761"/>
      <c r="N97" s="1761"/>
      <c r="O97" s="1765">
        <v>10</v>
      </c>
      <c r="P97" s="1761">
        <v>28</v>
      </c>
      <c r="Q97" s="2382">
        <f t="shared" si="12"/>
        <v>280</v>
      </c>
      <c r="R97" s="2382"/>
      <c r="S97" s="1766"/>
      <c r="T97" s="1766"/>
      <c r="U97" s="1765">
        <v>280</v>
      </c>
      <c r="V97" s="1766"/>
      <c r="W97" s="1766"/>
      <c r="X97" s="1767"/>
      <c r="Y97" s="1768"/>
      <c r="Z97" s="1825"/>
      <c r="AA97" s="1825"/>
      <c r="AB97" s="1825"/>
      <c r="AC97" s="1825"/>
      <c r="AD97" s="1825"/>
      <c r="AE97" s="1825"/>
      <c r="AF97" s="1825"/>
      <c r="AG97" s="1282">
        <f t="shared" si="13"/>
        <v>280</v>
      </c>
    </row>
    <row r="98" spans="1:33" s="1826" customFormat="1" ht="72.75" hidden="1" customHeight="1">
      <c r="A98" s="683">
        <v>1211</v>
      </c>
      <c r="B98" s="1760" t="s">
        <v>716</v>
      </c>
      <c r="C98" s="1076" t="s">
        <v>717</v>
      </c>
      <c r="D98" s="1761"/>
      <c r="E98" s="1762">
        <f t="shared" si="11"/>
        <v>12</v>
      </c>
      <c r="F98" s="1763">
        <f t="shared" si="14"/>
        <v>43220</v>
      </c>
      <c r="G98" s="1763">
        <v>43231</v>
      </c>
      <c r="H98" s="1764" t="s">
        <v>718</v>
      </c>
      <c r="I98" s="1762" t="s">
        <v>170</v>
      </c>
      <c r="J98" s="667" t="s">
        <v>719</v>
      </c>
      <c r="K98" s="1769" t="s">
        <v>725</v>
      </c>
      <c r="L98" s="1233">
        <v>23174</v>
      </c>
      <c r="M98" s="1761"/>
      <c r="N98" s="1761"/>
      <c r="O98" s="1765">
        <v>157</v>
      </c>
      <c r="P98" s="1761">
        <v>2</v>
      </c>
      <c r="Q98" s="2382">
        <f t="shared" si="12"/>
        <v>314</v>
      </c>
      <c r="R98" s="2382"/>
      <c r="S98" s="1766"/>
      <c r="T98" s="1766"/>
      <c r="U98" s="1765">
        <v>314</v>
      </c>
      <c r="V98" s="1766"/>
      <c r="W98" s="1766"/>
      <c r="X98" s="1767"/>
      <c r="Y98" s="1768"/>
      <c r="Z98" s="1825"/>
      <c r="AA98" s="1825"/>
      <c r="AB98" s="1825"/>
      <c r="AC98" s="1825"/>
      <c r="AD98" s="1825"/>
      <c r="AE98" s="1825"/>
      <c r="AF98" s="1825"/>
      <c r="AG98" s="1282">
        <f t="shared" si="13"/>
        <v>314</v>
      </c>
    </row>
    <row r="99" spans="1:33" s="1826" customFormat="1" ht="72.75" hidden="1" customHeight="1">
      <c r="A99" s="683">
        <v>1211</v>
      </c>
      <c r="B99" s="1760" t="s">
        <v>716</v>
      </c>
      <c r="C99" s="1076" t="s">
        <v>717</v>
      </c>
      <c r="D99" s="1761"/>
      <c r="E99" s="1762">
        <f t="shared" si="11"/>
        <v>12</v>
      </c>
      <c r="F99" s="1763">
        <f t="shared" si="14"/>
        <v>43220</v>
      </c>
      <c r="G99" s="1763">
        <v>43231</v>
      </c>
      <c r="H99" s="1764" t="s">
        <v>718</v>
      </c>
      <c r="I99" s="1762" t="s">
        <v>170</v>
      </c>
      <c r="J99" s="667" t="s">
        <v>719</v>
      </c>
      <c r="K99" s="1769" t="s">
        <v>726</v>
      </c>
      <c r="L99" s="1233">
        <v>23174</v>
      </c>
      <c r="M99" s="1761"/>
      <c r="N99" s="1761"/>
      <c r="O99" s="1765">
        <v>162</v>
      </c>
      <c r="P99" s="1761">
        <v>2</v>
      </c>
      <c r="Q99" s="2382">
        <f t="shared" si="12"/>
        <v>324</v>
      </c>
      <c r="R99" s="2382"/>
      <c r="S99" s="1766"/>
      <c r="T99" s="1766"/>
      <c r="U99" s="1765">
        <v>324</v>
      </c>
      <c r="V99" s="1766"/>
      <c r="W99" s="1766"/>
      <c r="X99" s="1767"/>
      <c r="Y99" s="1768"/>
      <c r="Z99" s="1825"/>
      <c r="AA99" s="1825"/>
      <c r="AB99" s="1825"/>
      <c r="AC99" s="1825"/>
      <c r="AD99" s="1825"/>
      <c r="AE99" s="1825"/>
      <c r="AF99" s="1825"/>
      <c r="AG99" s="1282">
        <f t="shared" si="13"/>
        <v>324</v>
      </c>
    </row>
    <row r="100" spans="1:33" s="1826" customFormat="1" ht="72.75" hidden="1" customHeight="1">
      <c r="A100" s="683">
        <v>1211</v>
      </c>
      <c r="B100" s="1760" t="s">
        <v>716</v>
      </c>
      <c r="C100" s="1076" t="s">
        <v>717</v>
      </c>
      <c r="D100" s="1761"/>
      <c r="E100" s="1762">
        <f t="shared" si="11"/>
        <v>12</v>
      </c>
      <c r="F100" s="1763">
        <f t="shared" si="14"/>
        <v>43220</v>
      </c>
      <c r="G100" s="1763">
        <v>43231</v>
      </c>
      <c r="H100" s="1764" t="s">
        <v>718</v>
      </c>
      <c r="I100" s="1762" t="s">
        <v>170</v>
      </c>
      <c r="J100" s="667" t="s">
        <v>719</v>
      </c>
      <c r="K100" s="1769" t="s">
        <v>727</v>
      </c>
      <c r="L100" s="1233">
        <v>23174</v>
      </c>
      <c r="M100" s="1761"/>
      <c r="N100" s="1761"/>
      <c r="O100" s="1765">
        <v>131</v>
      </c>
      <c r="P100" s="1761">
        <v>2</v>
      </c>
      <c r="Q100" s="2382">
        <f t="shared" si="12"/>
        <v>262</v>
      </c>
      <c r="R100" s="2382"/>
      <c r="S100" s="1766"/>
      <c r="T100" s="1766"/>
      <c r="U100" s="1765">
        <v>262</v>
      </c>
      <c r="V100" s="1766"/>
      <c r="W100" s="1766"/>
      <c r="X100" s="1767"/>
      <c r="Y100" s="1768"/>
      <c r="Z100" s="1825"/>
      <c r="AA100" s="1825"/>
      <c r="AB100" s="1825"/>
      <c r="AC100" s="1825"/>
      <c r="AD100" s="1825"/>
      <c r="AE100" s="1825"/>
      <c r="AF100" s="1825"/>
      <c r="AG100" s="1282">
        <f t="shared" si="13"/>
        <v>262</v>
      </c>
    </row>
    <row r="101" spans="1:33" s="1826" customFormat="1" ht="72.75" hidden="1" customHeight="1">
      <c r="A101" s="683">
        <v>1211</v>
      </c>
      <c r="B101" s="1760" t="s">
        <v>716</v>
      </c>
      <c r="C101" s="1076" t="s">
        <v>717</v>
      </c>
      <c r="D101" s="1761"/>
      <c r="E101" s="1762">
        <f t="shared" si="11"/>
        <v>12</v>
      </c>
      <c r="F101" s="1763">
        <f t="shared" si="14"/>
        <v>43220</v>
      </c>
      <c r="G101" s="1763">
        <v>43231</v>
      </c>
      <c r="H101" s="1764" t="s">
        <v>718</v>
      </c>
      <c r="I101" s="1762" t="s">
        <v>170</v>
      </c>
      <c r="J101" s="667" t="s">
        <v>719</v>
      </c>
      <c r="K101" s="1769" t="s">
        <v>728</v>
      </c>
      <c r="L101" s="1233">
        <v>23174</v>
      </c>
      <c r="M101" s="1761"/>
      <c r="N101" s="1761"/>
      <c r="O101" s="1765">
        <v>81</v>
      </c>
      <c r="P101" s="1761">
        <v>2</v>
      </c>
      <c r="Q101" s="2382">
        <f t="shared" si="12"/>
        <v>162</v>
      </c>
      <c r="R101" s="2382"/>
      <c r="S101" s="1766"/>
      <c r="T101" s="1766"/>
      <c r="U101" s="1765">
        <v>162</v>
      </c>
      <c r="V101" s="1766"/>
      <c r="W101" s="1766"/>
      <c r="X101" s="1767"/>
      <c r="Y101" s="1768"/>
      <c r="Z101" s="1825"/>
      <c r="AA101" s="1825"/>
      <c r="AB101" s="1825"/>
      <c r="AC101" s="1825"/>
      <c r="AD101" s="1825"/>
      <c r="AE101" s="1825"/>
      <c r="AF101" s="1825"/>
      <c r="AG101" s="1282">
        <f t="shared" si="13"/>
        <v>162</v>
      </c>
    </row>
    <row r="102" spans="1:33" s="1826" customFormat="1" ht="72.75" hidden="1" customHeight="1">
      <c r="A102" s="683">
        <v>1211</v>
      </c>
      <c r="B102" s="1760" t="s">
        <v>716</v>
      </c>
      <c r="C102" s="1076" t="s">
        <v>717</v>
      </c>
      <c r="D102" s="1761"/>
      <c r="E102" s="1762">
        <f t="shared" si="11"/>
        <v>12</v>
      </c>
      <c r="F102" s="1763">
        <f t="shared" si="14"/>
        <v>43220</v>
      </c>
      <c r="G102" s="1763">
        <v>43231</v>
      </c>
      <c r="H102" s="1764" t="s">
        <v>718</v>
      </c>
      <c r="I102" s="1762" t="s">
        <v>170</v>
      </c>
      <c r="J102" s="667" t="s">
        <v>719</v>
      </c>
      <c r="K102" s="1769" t="s">
        <v>729</v>
      </c>
      <c r="L102" s="1233">
        <v>23174</v>
      </c>
      <c r="M102" s="1761"/>
      <c r="N102" s="1761"/>
      <c r="O102" s="1765">
        <v>74</v>
      </c>
      <c r="P102" s="1761">
        <v>2</v>
      </c>
      <c r="Q102" s="2382">
        <f t="shared" si="12"/>
        <v>148</v>
      </c>
      <c r="R102" s="2382"/>
      <c r="S102" s="1766"/>
      <c r="T102" s="1766"/>
      <c r="U102" s="1765">
        <v>148</v>
      </c>
      <c r="V102" s="1766"/>
      <c r="W102" s="1766"/>
      <c r="X102" s="1767"/>
      <c r="Y102" s="1768"/>
      <c r="Z102" s="1825"/>
      <c r="AA102" s="1825"/>
      <c r="AB102" s="1825"/>
      <c r="AC102" s="1825"/>
      <c r="AD102" s="1825"/>
      <c r="AE102" s="1825"/>
      <c r="AF102" s="1825"/>
      <c r="AG102" s="1282">
        <f t="shared" si="13"/>
        <v>148</v>
      </c>
    </row>
    <row r="103" spans="1:33" s="1826" customFormat="1" ht="72" hidden="1" customHeight="1">
      <c r="A103" s="683">
        <v>1212</v>
      </c>
      <c r="B103" s="1770" t="s">
        <v>730</v>
      </c>
      <c r="C103" s="1076" t="s">
        <v>731</v>
      </c>
      <c r="D103" s="1761"/>
      <c r="E103" s="1762">
        <f t="shared" si="11"/>
        <v>5</v>
      </c>
      <c r="F103" s="1763">
        <v>43248</v>
      </c>
      <c r="G103" s="1763">
        <f t="shared" ref="G103:G111" si="15">+F103+5-1</f>
        <v>43252</v>
      </c>
      <c r="H103" s="1764" t="s">
        <v>732</v>
      </c>
      <c r="I103" s="1762" t="s">
        <v>170</v>
      </c>
      <c r="J103" s="667" t="s">
        <v>719</v>
      </c>
      <c r="K103" s="1769" t="s">
        <v>733</v>
      </c>
      <c r="L103" s="1233">
        <v>23174</v>
      </c>
      <c r="M103" s="1761"/>
      <c r="N103" s="1761"/>
      <c r="O103" s="1765">
        <v>101</v>
      </c>
      <c r="P103" s="1761">
        <v>49</v>
      </c>
      <c r="Q103" s="2382">
        <f t="shared" si="12"/>
        <v>4949</v>
      </c>
      <c r="R103" s="2382"/>
      <c r="S103" s="1766"/>
      <c r="T103" s="1766"/>
      <c r="U103" s="1766"/>
      <c r="V103" s="1765">
        <v>4949</v>
      </c>
      <c r="W103" s="1766"/>
      <c r="X103" s="1767"/>
      <c r="Y103" s="1768"/>
      <c r="Z103" s="1825"/>
      <c r="AA103" s="1825"/>
      <c r="AB103" s="1825"/>
      <c r="AC103" s="1825"/>
      <c r="AD103" s="1825"/>
      <c r="AE103" s="1825"/>
      <c r="AF103" s="1825"/>
      <c r="AG103" s="1282">
        <f t="shared" si="13"/>
        <v>4949</v>
      </c>
    </row>
    <row r="104" spans="1:33" s="1826" customFormat="1" ht="72" hidden="1" customHeight="1">
      <c r="A104" s="683">
        <v>1212</v>
      </c>
      <c r="B104" s="1770" t="s">
        <v>730</v>
      </c>
      <c r="C104" s="1076" t="s">
        <v>731</v>
      </c>
      <c r="D104" s="1761"/>
      <c r="E104" s="1762">
        <f t="shared" si="11"/>
        <v>5</v>
      </c>
      <c r="F104" s="1763">
        <v>43248</v>
      </c>
      <c r="G104" s="1763">
        <f t="shared" si="15"/>
        <v>43252</v>
      </c>
      <c r="H104" s="1764" t="s">
        <v>732</v>
      </c>
      <c r="I104" s="1762" t="s">
        <v>170</v>
      </c>
      <c r="J104" s="667" t="s">
        <v>719</v>
      </c>
      <c r="K104" s="1769" t="s">
        <v>721</v>
      </c>
      <c r="L104" s="1233">
        <v>23174</v>
      </c>
      <c r="M104" s="1761"/>
      <c r="N104" s="1761"/>
      <c r="O104" s="1765">
        <v>100</v>
      </c>
      <c r="P104" s="1761">
        <v>49</v>
      </c>
      <c r="Q104" s="2382">
        <f t="shared" si="12"/>
        <v>4900</v>
      </c>
      <c r="R104" s="2382"/>
      <c r="S104" s="1766"/>
      <c r="T104" s="1766"/>
      <c r="U104" s="1766"/>
      <c r="V104" s="1765">
        <v>4900</v>
      </c>
      <c r="W104" s="1766"/>
      <c r="X104" s="1767"/>
      <c r="Y104" s="1768"/>
      <c r="Z104" s="1825"/>
      <c r="AA104" s="1825"/>
      <c r="AB104" s="1825"/>
      <c r="AC104" s="1825"/>
      <c r="AD104" s="1825"/>
      <c r="AE104" s="1825"/>
      <c r="AF104" s="1825"/>
      <c r="AG104" s="1282">
        <f t="shared" si="13"/>
        <v>4900</v>
      </c>
    </row>
    <row r="105" spans="1:33" s="1826" customFormat="1" ht="72" hidden="1" customHeight="1">
      <c r="A105" s="683">
        <v>1212</v>
      </c>
      <c r="B105" s="1770" t="s">
        <v>730</v>
      </c>
      <c r="C105" s="1076" t="s">
        <v>731</v>
      </c>
      <c r="D105" s="1761"/>
      <c r="E105" s="1762">
        <f t="shared" si="11"/>
        <v>5</v>
      </c>
      <c r="F105" s="1763">
        <v>43248</v>
      </c>
      <c r="G105" s="1763">
        <f t="shared" si="15"/>
        <v>43252</v>
      </c>
      <c r="H105" s="1764" t="s">
        <v>732</v>
      </c>
      <c r="I105" s="1762" t="s">
        <v>170</v>
      </c>
      <c r="J105" s="667" t="s">
        <v>719</v>
      </c>
      <c r="K105" s="1769" t="s">
        <v>734</v>
      </c>
      <c r="L105" s="1231">
        <v>23173</v>
      </c>
      <c r="M105" s="1761"/>
      <c r="N105" s="1761"/>
      <c r="O105" s="1765">
        <v>875</v>
      </c>
      <c r="P105" s="1761">
        <v>7</v>
      </c>
      <c r="Q105" s="2382">
        <f t="shared" si="12"/>
        <v>6125</v>
      </c>
      <c r="R105" s="2382"/>
      <c r="S105" s="1766"/>
      <c r="T105" s="1766"/>
      <c r="U105" s="1766"/>
      <c r="V105" s="1765">
        <v>6125</v>
      </c>
      <c r="W105" s="1766"/>
      <c r="X105" s="1767"/>
      <c r="Y105" s="1768"/>
      <c r="Z105" s="1825"/>
      <c r="AA105" s="1825"/>
      <c r="AB105" s="1825"/>
      <c r="AC105" s="1825"/>
      <c r="AD105" s="1825"/>
      <c r="AE105" s="1825"/>
      <c r="AF105" s="1825"/>
      <c r="AG105" s="1282">
        <f t="shared" si="13"/>
        <v>6125</v>
      </c>
    </row>
    <row r="106" spans="1:33" s="1826" customFormat="1" ht="72" hidden="1" customHeight="1">
      <c r="A106" s="683">
        <v>1212</v>
      </c>
      <c r="B106" s="1770" t="s">
        <v>730</v>
      </c>
      <c r="C106" s="1076" t="s">
        <v>731</v>
      </c>
      <c r="D106" s="1761"/>
      <c r="E106" s="1762">
        <f t="shared" si="11"/>
        <v>5</v>
      </c>
      <c r="F106" s="1763">
        <v>43248</v>
      </c>
      <c r="G106" s="1763">
        <f t="shared" si="15"/>
        <v>43252</v>
      </c>
      <c r="H106" s="1764" t="s">
        <v>732</v>
      </c>
      <c r="I106" s="1762" t="s">
        <v>170</v>
      </c>
      <c r="J106" s="667" t="s">
        <v>719</v>
      </c>
      <c r="K106" s="1769" t="s">
        <v>735</v>
      </c>
      <c r="L106" s="1233">
        <v>23174</v>
      </c>
      <c r="M106" s="1761"/>
      <c r="N106" s="1761"/>
      <c r="O106" s="1765">
        <v>510</v>
      </c>
      <c r="P106" s="1761">
        <v>7</v>
      </c>
      <c r="Q106" s="2382">
        <f t="shared" si="12"/>
        <v>3570</v>
      </c>
      <c r="R106" s="2382"/>
      <c r="S106" s="1766"/>
      <c r="T106" s="1766"/>
      <c r="U106" s="1766"/>
      <c r="V106" s="1765">
        <v>3570</v>
      </c>
      <c r="W106" s="1766"/>
      <c r="X106" s="1767"/>
      <c r="Y106" s="1768"/>
      <c r="Z106" s="1825"/>
      <c r="AA106" s="1825"/>
      <c r="AB106" s="1825"/>
      <c r="AC106" s="1825"/>
      <c r="AD106" s="1825"/>
      <c r="AE106" s="1825"/>
      <c r="AF106" s="1825"/>
      <c r="AG106" s="1282">
        <f t="shared" si="13"/>
        <v>3570</v>
      </c>
    </row>
    <row r="107" spans="1:33" s="1826" customFormat="1" ht="72" hidden="1" customHeight="1">
      <c r="A107" s="683">
        <v>1212</v>
      </c>
      <c r="B107" s="1770" t="s">
        <v>730</v>
      </c>
      <c r="C107" s="1076" t="s">
        <v>731</v>
      </c>
      <c r="D107" s="1761"/>
      <c r="E107" s="1762">
        <f t="shared" si="11"/>
        <v>5</v>
      </c>
      <c r="F107" s="1763">
        <v>43248</v>
      </c>
      <c r="G107" s="1763">
        <f t="shared" si="15"/>
        <v>43252</v>
      </c>
      <c r="H107" s="1764" t="s">
        <v>732</v>
      </c>
      <c r="I107" s="1762" t="s">
        <v>170</v>
      </c>
      <c r="J107" s="667" t="s">
        <v>719</v>
      </c>
      <c r="K107" s="1769" t="s">
        <v>725</v>
      </c>
      <c r="L107" s="1233">
        <v>23174</v>
      </c>
      <c r="M107" s="1761"/>
      <c r="N107" s="1761"/>
      <c r="O107" s="1765">
        <v>101</v>
      </c>
      <c r="P107" s="1761">
        <v>14</v>
      </c>
      <c r="Q107" s="2382">
        <f t="shared" si="12"/>
        <v>1414</v>
      </c>
      <c r="R107" s="2382"/>
      <c r="S107" s="1766"/>
      <c r="T107" s="1766"/>
      <c r="U107" s="1766"/>
      <c r="V107" s="1765">
        <v>1414</v>
      </c>
      <c r="W107" s="1766"/>
      <c r="X107" s="1767"/>
      <c r="Y107" s="1768"/>
      <c r="Z107" s="1825"/>
      <c r="AA107" s="1825"/>
      <c r="AB107" s="1825"/>
      <c r="AC107" s="1825"/>
      <c r="AD107" s="1825"/>
      <c r="AE107" s="1825"/>
      <c r="AF107" s="1825"/>
      <c r="AG107" s="1282">
        <f t="shared" si="13"/>
        <v>1414</v>
      </c>
    </row>
    <row r="108" spans="1:33" s="1826" customFormat="1" ht="72" hidden="1" customHeight="1">
      <c r="A108" s="683">
        <v>1212</v>
      </c>
      <c r="B108" s="1770" t="s">
        <v>730</v>
      </c>
      <c r="C108" s="1076" t="s">
        <v>731</v>
      </c>
      <c r="D108" s="1761"/>
      <c r="E108" s="1762">
        <f t="shared" si="11"/>
        <v>5</v>
      </c>
      <c r="F108" s="1763">
        <v>43248</v>
      </c>
      <c r="G108" s="1763">
        <f t="shared" si="15"/>
        <v>43252</v>
      </c>
      <c r="H108" s="1764" t="s">
        <v>732</v>
      </c>
      <c r="I108" s="1762" t="s">
        <v>170</v>
      </c>
      <c r="J108" s="667" t="s">
        <v>719</v>
      </c>
      <c r="K108" s="1769" t="s">
        <v>726</v>
      </c>
      <c r="L108" s="1233">
        <v>23174</v>
      </c>
      <c r="M108" s="1761"/>
      <c r="N108" s="1761"/>
      <c r="O108" s="1765">
        <v>100</v>
      </c>
      <c r="P108" s="1761">
        <v>14</v>
      </c>
      <c r="Q108" s="2382">
        <f t="shared" si="12"/>
        <v>1400</v>
      </c>
      <c r="R108" s="2382"/>
      <c r="S108" s="1766"/>
      <c r="T108" s="1766"/>
      <c r="U108" s="1766"/>
      <c r="V108" s="1765">
        <v>1400</v>
      </c>
      <c r="W108" s="1766"/>
      <c r="X108" s="1767"/>
      <c r="Y108" s="1768"/>
      <c r="Z108" s="1825"/>
      <c r="AA108" s="1825"/>
      <c r="AB108" s="1825"/>
      <c r="AC108" s="1825"/>
      <c r="AD108" s="1825"/>
      <c r="AE108" s="1825"/>
      <c r="AF108" s="1825"/>
      <c r="AG108" s="1282">
        <f t="shared" si="13"/>
        <v>1400</v>
      </c>
    </row>
    <row r="109" spans="1:33" s="1826" customFormat="1" ht="72" hidden="1" customHeight="1">
      <c r="A109" s="683">
        <v>1212</v>
      </c>
      <c r="B109" s="1770" t="s">
        <v>730</v>
      </c>
      <c r="C109" s="1076" t="s">
        <v>731</v>
      </c>
      <c r="D109" s="1761"/>
      <c r="E109" s="1762">
        <f t="shared" si="11"/>
        <v>5</v>
      </c>
      <c r="F109" s="1763">
        <v>43248</v>
      </c>
      <c r="G109" s="1763">
        <f t="shared" si="15"/>
        <v>43252</v>
      </c>
      <c r="H109" s="1764" t="s">
        <v>732</v>
      </c>
      <c r="I109" s="1762" t="s">
        <v>170</v>
      </c>
      <c r="J109" s="667" t="s">
        <v>719</v>
      </c>
      <c r="K109" s="1769" t="s">
        <v>727</v>
      </c>
      <c r="L109" s="1233">
        <v>23174</v>
      </c>
      <c r="M109" s="1761"/>
      <c r="N109" s="1761"/>
      <c r="O109" s="1765">
        <v>84</v>
      </c>
      <c r="P109" s="1761">
        <v>14</v>
      </c>
      <c r="Q109" s="2382">
        <f t="shared" si="12"/>
        <v>1176</v>
      </c>
      <c r="R109" s="2382"/>
      <c r="S109" s="1766"/>
      <c r="T109" s="1766"/>
      <c r="U109" s="1766"/>
      <c r="V109" s="1765">
        <v>1176</v>
      </c>
      <c r="W109" s="1766"/>
      <c r="X109" s="1767"/>
      <c r="Y109" s="1768"/>
      <c r="Z109" s="1825"/>
      <c r="AA109" s="1825"/>
      <c r="AB109" s="1825"/>
      <c r="AC109" s="1825"/>
      <c r="AD109" s="1825"/>
      <c r="AE109" s="1825"/>
      <c r="AF109" s="1825"/>
      <c r="AG109" s="1282">
        <f t="shared" si="13"/>
        <v>1176</v>
      </c>
    </row>
    <row r="110" spans="1:33" s="1826" customFormat="1" ht="72" hidden="1" customHeight="1">
      <c r="A110" s="683">
        <v>1212</v>
      </c>
      <c r="B110" s="1770" t="s">
        <v>730</v>
      </c>
      <c r="C110" s="1076" t="s">
        <v>731</v>
      </c>
      <c r="D110" s="1761"/>
      <c r="E110" s="1762">
        <f t="shared" si="11"/>
        <v>5</v>
      </c>
      <c r="F110" s="1763">
        <v>43248</v>
      </c>
      <c r="G110" s="1763">
        <f t="shared" si="15"/>
        <v>43252</v>
      </c>
      <c r="H110" s="1764" t="s">
        <v>732</v>
      </c>
      <c r="I110" s="1762" t="s">
        <v>170</v>
      </c>
      <c r="J110" s="667" t="s">
        <v>719</v>
      </c>
      <c r="K110" s="1769" t="s">
        <v>736</v>
      </c>
      <c r="L110" s="1233">
        <v>23174</v>
      </c>
      <c r="M110" s="1761"/>
      <c r="N110" s="1761"/>
      <c r="O110" s="1765">
        <v>50</v>
      </c>
      <c r="P110" s="1761">
        <v>14</v>
      </c>
      <c r="Q110" s="2382">
        <f t="shared" si="12"/>
        <v>700</v>
      </c>
      <c r="R110" s="2382"/>
      <c r="S110" s="1766"/>
      <c r="T110" s="1766"/>
      <c r="U110" s="1766"/>
      <c r="V110" s="1765">
        <v>700</v>
      </c>
      <c r="W110" s="1766"/>
      <c r="X110" s="1767"/>
      <c r="Y110" s="1768"/>
      <c r="Z110" s="1825"/>
      <c r="AA110" s="1825"/>
      <c r="AB110" s="1825"/>
      <c r="AC110" s="1825"/>
      <c r="AD110" s="1825"/>
      <c r="AE110" s="1825"/>
      <c r="AF110" s="1825"/>
      <c r="AG110" s="1282">
        <f t="shared" si="13"/>
        <v>700</v>
      </c>
    </row>
    <row r="111" spans="1:33" s="1826" customFormat="1" ht="72" hidden="1" customHeight="1">
      <c r="A111" s="683">
        <v>1212</v>
      </c>
      <c r="B111" s="1770" t="s">
        <v>730</v>
      </c>
      <c r="C111" s="1076" t="s">
        <v>731</v>
      </c>
      <c r="D111" s="1761"/>
      <c r="E111" s="1762">
        <f t="shared" si="11"/>
        <v>5</v>
      </c>
      <c r="F111" s="1763">
        <v>43248</v>
      </c>
      <c r="G111" s="1763">
        <f t="shared" si="15"/>
        <v>43252</v>
      </c>
      <c r="H111" s="1764" t="s">
        <v>732</v>
      </c>
      <c r="I111" s="1762" t="s">
        <v>170</v>
      </c>
      <c r="J111" s="667" t="s">
        <v>719</v>
      </c>
      <c r="K111" s="1769" t="s">
        <v>737</v>
      </c>
      <c r="L111" s="1233">
        <v>23174</v>
      </c>
      <c r="M111" s="1761"/>
      <c r="N111" s="1761"/>
      <c r="O111" s="1765">
        <v>510</v>
      </c>
      <c r="P111" s="1761">
        <v>14</v>
      </c>
      <c r="Q111" s="2382">
        <f t="shared" si="12"/>
        <v>7140</v>
      </c>
      <c r="R111" s="2382"/>
      <c r="S111" s="1766"/>
      <c r="T111" s="1766"/>
      <c r="U111" s="1766"/>
      <c r="V111" s="1765">
        <v>7140</v>
      </c>
      <c r="W111" s="1766"/>
      <c r="X111" s="1767"/>
      <c r="Y111" s="1768"/>
      <c r="Z111" s="1825"/>
      <c r="AA111" s="1825"/>
      <c r="AB111" s="1825"/>
      <c r="AC111" s="1825"/>
      <c r="AD111" s="1825"/>
      <c r="AE111" s="1825"/>
      <c r="AF111" s="1825"/>
      <c r="AG111" s="1282">
        <f t="shared" si="13"/>
        <v>7140</v>
      </c>
    </row>
    <row r="112" spans="1:33" s="1826" customFormat="1" ht="72" hidden="1" customHeight="1">
      <c r="A112" s="683">
        <v>1213</v>
      </c>
      <c r="B112" s="1770" t="s">
        <v>738</v>
      </c>
      <c r="C112" s="1076" t="s">
        <v>739</v>
      </c>
      <c r="D112" s="1761"/>
      <c r="E112" s="1762">
        <f t="shared" si="11"/>
        <v>26</v>
      </c>
      <c r="F112" s="1763">
        <v>43262</v>
      </c>
      <c r="G112" s="1763">
        <v>43287</v>
      </c>
      <c r="H112" s="1764"/>
      <c r="I112" s="1762" t="s">
        <v>170</v>
      </c>
      <c r="J112" s="667" t="s">
        <v>719</v>
      </c>
      <c r="K112" s="1769" t="s">
        <v>740</v>
      </c>
      <c r="L112" s="1233">
        <v>23174</v>
      </c>
      <c r="M112" s="1761"/>
      <c r="N112" s="1761"/>
      <c r="O112" s="1765">
        <v>214</v>
      </c>
      <c r="P112" s="1761">
        <v>28</v>
      </c>
      <c r="Q112" s="2382">
        <f t="shared" si="12"/>
        <v>5992</v>
      </c>
      <c r="R112" s="2382"/>
      <c r="S112" s="1766"/>
      <c r="T112" s="1766"/>
      <c r="U112" s="1766"/>
      <c r="V112" s="1766"/>
      <c r="W112" s="1765">
        <v>5992</v>
      </c>
      <c r="X112" s="1767"/>
      <c r="Y112" s="1768"/>
      <c r="Z112" s="1825"/>
      <c r="AA112" s="1825"/>
      <c r="AB112" s="1825"/>
      <c r="AC112" s="1825"/>
      <c r="AD112" s="1825"/>
      <c r="AE112" s="1825"/>
      <c r="AF112" s="1825"/>
      <c r="AG112" s="1282">
        <f t="shared" si="13"/>
        <v>5992</v>
      </c>
    </row>
    <row r="113" spans="1:33" s="1826" customFormat="1" ht="72" hidden="1" customHeight="1">
      <c r="A113" s="683">
        <v>1213</v>
      </c>
      <c r="B113" s="1770" t="s">
        <v>738</v>
      </c>
      <c r="C113" s="1076" t="s">
        <v>739</v>
      </c>
      <c r="D113" s="1761"/>
      <c r="E113" s="1762">
        <f t="shared" si="11"/>
        <v>26</v>
      </c>
      <c r="F113" s="1763">
        <v>43262</v>
      </c>
      <c r="G113" s="1763">
        <v>43287</v>
      </c>
      <c r="H113" s="1764"/>
      <c r="I113" s="1762" t="s">
        <v>170</v>
      </c>
      <c r="J113" s="667" t="s">
        <v>719</v>
      </c>
      <c r="K113" s="1769" t="s">
        <v>741</v>
      </c>
      <c r="L113" s="1233">
        <v>23174</v>
      </c>
      <c r="M113" s="1761"/>
      <c r="N113" s="1761"/>
      <c r="O113" s="1765">
        <v>225</v>
      </c>
      <c r="P113" s="1761">
        <v>28</v>
      </c>
      <c r="Q113" s="2382">
        <f t="shared" si="12"/>
        <v>6300</v>
      </c>
      <c r="R113" s="2382"/>
      <c r="S113" s="1766"/>
      <c r="T113" s="1766"/>
      <c r="U113" s="1766"/>
      <c r="V113" s="1766"/>
      <c r="W113" s="1765">
        <v>6300</v>
      </c>
      <c r="X113" s="1767"/>
      <c r="Y113" s="1768"/>
      <c r="Z113" s="1825"/>
      <c r="AA113" s="1825"/>
      <c r="AB113" s="1825"/>
      <c r="AC113" s="1825"/>
      <c r="AD113" s="1825"/>
      <c r="AE113" s="1825"/>
      <c r="AF113" s="1825"/>
      <c r="AG113" s="1282">
        <f t="shared" si="13"/>
        <v>6300</v>
      </c>
    </row>
    <row r="114" spans="1:33" s="1826" customFormat="1" ht="72" hidden="1" customHeight="1">
      <c r="A114" s="683">
        <v>1213</v>
      </c>
      <c r="B114" s="1770" t="s">
        <v>738</v>
      </c>
      <c r="C114" s="1076" t="s">
        <v>739</v>
      </c>
      <c r="D114" s="1761"/>
      <c r="E114" s="1762">
        <f t="shared" si="11"/>
        <v>26</v>
      </c>
      <c r="F114" s="1763">
        <v>43262</v>
      </c>
      <c r="G114" s="1763">
        <v>43287</v>
      </c>
      <c r="H114" s="1764"/>
      <c r="I114" s="1762" t="s">
        <v>170</v>
      </c>
      <c r="J114" s="667" t="s">
        <v>719</v>
      </c>
      <c r="K114" s="1769" t="s">
        <v>742</v>
      </c>
      <c r="L114" s="1233">
        <v>23174</v>
      </c>
      <c r="M114" s="1761"/>
      <c r="N114" s="1761"/>
      <c r="O114" s="1765">
        <v>38</v>
      </c>
      <c r="P114" s="1761">
        <v>28</v>
      </c>
      <c r="Q114" s="2382">
        <f t="shared" si="12"/>
        <v>1064</v>
      </c>
      <c r="R114" s="2382"/>
      <c r="S114" s="1766"/>
      <c r="T114" s="1766"/>
      <c r="U114" s="1766"/>
      <c r="V114" s="1766"/>
      <c r="W114" s="1765">
        <v>1064</v>
      </c>
      <c r="X114" s="1767"/>
      <c r="Y114" s="1768"/>
      <c r="Z114" s="1825"/>
      <c r="AA114" s="1825"/>
      <c r="AB114" s="1825"/>
      <c r="AC114" s="1825"/>
      <c r="AD114" s="1825"/>
      <c r="AE114" s="1825"/>
      <c r="AF114" s="1825"/>
      <c r="AG114" s="1282">
        <f t="shared" si="13"/>
        <v>1064</v>
      </c>
    </row>
    <row r="115" spans="1:33" s="1826" customFormat="1" ht="72" hidden="1" customHeight="1">
      <c r="A115" s="683">
        <v>1213</v>
      </c>
      <c r="B115" s="1770" t="s">
        <v>738</v>
      </c>
      <c r="C115" s="1076" t="s">
        <v>739</v>
      </c>
      <c r="D115" s="1761"/>
      <c r="E115" s="1762">
        <f t="shared" si="11"/>
        <v>26</v>
      </c>
      <c r="F115" s="1763">
        <v>43262</v>
      </c>
      <c r="G115" s="1763">
        <v>43287</v>
      </c>
      <c r="H115" s="1764"/>
      <c r="I115" s="1762" t="s">
        <v>170</v>
      </c>
      <c r="J115" s="667" t="s">
        <v>719</v>
      </c>
      <c r="K115" s="1769" t="s">
        <v>743</v>
      </c>
      <c r="L115" s="1233">
        <v>23174</v>
      </c>
      <c r="M115" s="1761"/>
      <c r="N115" s="1761"/>
      <c r="O115" s="1765">
        <v>214</v>
      </c>
      <c r="P115" s="1761">
        <v>2</v>
      </c>
      <c r="Q115" s="2382">
        <f t="shared" si="12"/>
        <v>428</v>
      </c>
      <c r="R115" s="2382"/>
      <c r="S115" s="1766"/>
      <c r="T115" s="1766"/>
      <c r="U115" s="1766"/>
      <c r="V115" s="1766"/>
      <c r="W115" s="1765">
        <v>428</v>
      </c>
      <c r="X115" s="1767"/>
      <c r="Y115" s="1768"/>
      <c r="Z115" s="1825"/>
      <c r="AA115" s="1825"/>
      <c r="AB115" s="1825"/>
      <c r="AC115" s="1825"/>
      <c r="AD115" s="1825"/>
      <c r="AE115" s="1825"/>
      <c r="AF115" s="1825"/>
      <c r="AG115" s="1282">
        <f t="shared" si="13"/>
        <v>428</v>
      </c>
    </row>
    <row r="116" spans="1:33" s="1826" customFormat="1" ht="72" hidden="1" customHeight="1">
      <c r="A116" s="683">
        <v>1213</v>
      </c>
      <c r="B116" s="1770" t="s">
        <v>738</v>
      </c>
      <c r="C116" s="1076" t="s">
        <v>739</v>
      </c>
      <c r="D116" s="1761"/>
      <c r="E116" s="1762">
        <f t="shared" si="11"/>
        <v>26</v>
      </c>
      <c r="F116" s="1763">
        <v>43262</v>
      </c>
      <c r="G116" s="1763">
        <v>43287</v>
      </c>
      <c r="H116" s="1764"/>
      <c r="I116" s="1762" t="s">
        <v>170</v>
      </c>
      <c r="J116" s="667" t="s">
        <v>719</v>
      </c>
      <c r="K116" s="1769" t="s">
        <v>744</v>
      </c>
      <c r="L116" s="1233">
        <v>23174</v>
      </c>
      <c r="M116" s="1761"/>
      <c r="N116" s="1761"/>
      <c r="O116" s="1765">
        <v>225</v>
      </c>
      <c r="P116" s="1761">
        <v>2</v>
      </c>
      <c r="Q116" s="2382">
        <f t="shared" si="12"/>
        <v>450</v>
      </c>
      <c r="R116" s="2382"/>
      <c r="S116" s="1766"/>
      <c r="T116" s="1766"/>
      <c r="U116" s="1766"/>
      <c r="V116" s="1766"/>
      <c r="W116" s="1765">
        <v>450</v>
      </c>
      <c r="X116" s="1767"/>
      <c r="Y116" s="1768"/>
      <c r="Z116" s="1825"/>
      <c r="AA116" s="1825"/>
      <c r="AB116" s="1825"/>
      <c r="AC116" s="1825"/>
      <c r="AD116" s="1825"/>
      <c r="AE116" s="1825"/>
      <c r="AF116" s="1825"/>
      <c r="AG116" s="1282">
        <f t="shared" si="13"/>
        <v>450</v>
      </c>
    </row>
    <row r="117" spans="1:33" s="1826" customFormat="1" ht="72" hidden="1" customHeight="1">
      <c r="A117" s="683">
        <v>1213</v>
      </c>
      <c r="B117" s="1770" t="s">
        <v>738</v>
      </c>
      <c r="C117" s="1076" t="s">
        <v>739</v>
      </c>
      <c r="D117" s="1761"/>
      <c r="E117" s="1762">
        <f t="shared" si="11"/>
        <v>26</v>
      </c>
      <c r="F117" s="1763">
        <v>43262</v>
      </c>
      <c r="G117" s="1763">
        <v>43287</v>
      </c>
      <c r="H117" s="1764"/>
      <c r="I117" s="1762" t="s">
        <v>170</v>
      </c>
      <c r="J117" s="667" t="s">
        <v>719</v>
      </c>
      <c r="K117" s="1769" t="s">
        <v>745</v>
      </c>
      <c r="L117" s="1233">
        <v>23174</v>
      </c>
      <c r="M117" s="1761"/>
      <c r="N117" s="1761"/>
      <c r="O117" s="1765">
        <v>255</v>
      </c>
      <c r="P117" s="1761">
        <v>2</v>
      </c>
      <c r="Q117" s="2382">
        <f t="shared" si="12"/>
        <v>510</v>
      </c>
      <c r="R117" s="2382"/>
      <c r="S117" s="1766"/>
      <c r="T117" s="1766"/>
      <c r="U117" s="1766"/>
      <c r="V117" s="1766"/>
      <c r="W117" s="1765">
        <v>510</v>
      </c>
      <c r="X117" s="1767"/>
      <c r="Y117" s="1768"/>
      <c r="Z117" s="1825"/>
      <c r="AA117" s="1825"/>
      <c r="AB117" s="1825"/>
      <c r="AC117" s="1825"/>
      <c r="AD117" s="1825"/>
      <c r="AE117" s="1825"/>
      <c r="AF117" s="1825"/>
      <c r="AG117" s="1282">
        <f t="shared" si="13"/>
        <v>510</v>
      </c>
    </row>
    <row r="118" spans="1:33" s="1826" customFormat="1" ht="72" hidden="1" customHeight="1">
      <c r="A118" s="683">
        <v>1213</v>
      </c>
      <c r="B118" s="1770" t="s">
        <v>738</v>
      </c>
      <c r="C118" s="1076" t="s">
        <v>739</v>
      </c>
      <c r="D118" s="1761"/>
      <c r="E118" s="1762">
        <f t="shared" si="11"/>
        <v>26</v>
      </c>
      <c r="F118" s="1763">
        <v>43262</v>
      </c>
      <c r="G118" s="1763">
        <v>43287</v>
      </c>
      <c r="H118" s="1764"/>
      <c r="I118" s="1762" t="s">
        <v>170</v>
      </c>
      <c r="J118" s="667" t="s">
        <v>719</v>
      </c>
      <c r="K118" s="1769" t="s">
        <v>727</v>
      </c>
      <c r="L118" s="1233">
        <v>23174</v>
      </c>
      <c r="M118" s="1761"/>
      <c r="N118" s="1761"/>
      <c r="O118" s="1765">
        <v>178</v>
      </c>
      <c r="P118" s="1761">
        <v>2</v>
      </c>
      <c r="Q118" s="2382">
        <f t="shared" si="12"/>
        <v>356</v>
      </c>
      <c r="R118" s="2382"/>
      <c r="S118" s="1766"/>
      <c r="T118" s="1766"/>
      <c r="U118" s="1766"/>
      <c r="V118" s="1766"/>
      <c r="W118" s="1765">
        <v>356</v>
      </c>
      <c r="X118" s="1767"/>
      <c r="Y118" s="1768"/>
      <c r="Z118" s="1825"/>
      <c r="AA118" s="1825"/>
      <c r="AB118" s="1825"/>
      <c r="AC118" s="1825"/>
      <c r="AD118" s="1825"/>
      <c r="AE118" s="1825"/>
      <c r="AF118" s="1825"/>
      <c r="AG118" s="1282">
        <f t="shared" si="13"/>
        <v>356</v>
      </c>
    </row>
    <row r="119" spans="1:33" s="1826" customFormat="1" ht="72" hidden="1" customHeight="1">
      <c r="A119" s="683">
        <v>1213</v>
      </c>
      <c r="B119" s="1770" t="s">
        <v>738</v>
      </c>
      <c r="C119" s="1076" t="s">
        <v>739</v>
      </c>
      <c r="D119" s="1761"/>
      <c r="E119" s="1762">
        <f t="shared" si="11"/>
        <v>26</v>
      </c>
      <c r="F119" s="1763">
        <v>43262</v>
      </c>
      <c r="G119" s="1763">
        <v>43287</v>
      </c>
      <c r="H119" s="1764"/>
      <c r="I119" s="1762" t="s">
        <v>170</v>
      </c>
      <c r="J119" s="667" t="s">
        <v>719</v>
      </c>
      <c r="K119" s="1769" t="s">
        <v>736</v>
      </c>
      <c r="L119" s="1233">
        <v>23174</v>
      </c>
      <c r="M119" s="1761"/>
      <c r="N119" s="1761"/>
      <c r="O119" s="1765">
        <v>112</v>
      </c>
      <c r="P119" s="1761">
        <v>2</v>
      </c>
      <c r="Q119" s="2382">
        <f t="shared" si="12"/>
        <v>224</v>
      </c>
      <c r="R119" s="2382"/>
      <c r="S119" s="1766"/>
      <c r="T119" s="1766"/>
      <c r="U119" s="1766"/>
      <c r="V119" s="1766"/>
      <c r="W119" s="1765">
        <v>224</v>
      </c>
      <c r="X119" s="1767"/>
      <c r="Y119" s="1768"/>
      <c r="Z119" s="1825"/>
      <c r="AA119" s="1825"/>
      <c r="AB119" s="1825"/>
      <c r="AC119" s="1825"/>
      <c r="AD119" s="1825"/>
      <c r="AE119" s="1825"/>
      <c r="AF119" s="1825"/>
      <c r="AG119" s="1282">
        <f t="shared" si="13"/>
        <v>224</v>
      </c>
    </row>
    <row r="120" spans="1:33" s="1826" customFormat="1" ht="72" hidden="1" customHeight="1">
      <c r="A120" s="683">
        <v>1213</v>
      </c>
      <c r="B120" s="1770" t="s">
        <v>738</v>
      </c>
      <c r="C120" s="1076" t="s">
        <v>739</v>
      </c>
      <c r="D120" s="1761"/>
      <c r="E120" s="1762">
        <f t="shared" si="11"/>
        <v>26</v>
      </c>
      <c r="F120" s="1763">
        <v>43262</v>
      </c>
      <c r="G120" s="1763">
        <v>43287</v>
      </c>
      <c r="H120" s="1764"/>
      <c r="I120" s="1762" t="s">
        <v>170</v>
      </c>
      <c r="J120" s="667" t="s">
        <v>719</v>
      </c>
      <c r="K120" s="1769" t="s">
        <v>302</v>
      </c>
      <c r="L120" s="1233">
        <v>23173</v>
      </c>
      <c r="M120" s="1761"/>
      <c r="N120" s="1761"/>
      <c r="O120" s="1765">
        <v>15</v>
      </c>
      <c r="P120" s="1761">
        <v>28</v>
      </c>
      <c r="Q120" s="2382">
        <f t="shared" si="12"/>
        <v>420</v>
      </c>
      <c r="R120" s="2382"/>
      <c r="S120" s="1766"/>
      <c r="T120" s="1766"/>
      <c r="U120" s="1766"/>
      <c r="V120" s="1766"/>
      <c r="W120" s="1765">
        <v>420</v>
      </c>
      <c r="X120" s="1767"/>
      <c r="Y120" s="1768"/>
      <c r="Z120" s="1825"/>
      <c r="AA120" s="1825"/>
      <c r="AB120" s="1825"/>
      <c r="AC120" s="1825"/>
      <c r="AD120" s="1825"/>
      <c r="AE120" s="1825"/>
      <c r="AF120" s="1825"/>
      <c r="AG120" s="1282">
        <f t="shared" si="13"/>
        <v>420</v>
      </c>
    </row>
    <row r="121" spans="1:33" s="1826" customFormat="1" ht="63.75" hidden="1" customHeight="1">
      <c r="A121" s="683">
        <v>1213</v>
      </c>
      <c r="B121" s="1770" t="s">
        <v>738</v>
      </c>
      <c r="C121" s="1076" t="s">
        <v>739</v>
      </c>
      <c r="D121" s="1761"/>
      <c r="E121" s="1762">
        <f t="shared" si="11"/>
        <v>26</v>
      </c>
      <c r="F121" s="1763">
        <v>43262</v>
      </c>
      <c r="G121" s="1763">
        <v>43287</v>
      </c>
      <c r="H121" s="1764"/>
      <c r="I121" s="1762" t="s">
        <v>170</v>
      </c>
      <c r="J121" s="667" t="s">
        <v>719</v>
      </c>
      <c r="K121" s="1771" t="s">
        <v>486</v>
      </c>
      <c r="L121" s="1231">
        <v>23173</v>
      </c>
      <c r="M121" s="1761"/>
      <c r="N121" s="1761"/>
      <c r="O121" s="1765">
        <v>156</v>
      </c>
      <c r="P121" s="1761">
        <v>15</v>
      </c>
      <c r="Q121" s="2382">
        <f t="shared" si="12"/>
        <v>2340</v>
      </c>
      <c r="R121" s="2382"/>
      <c r="S121" s="1766"/>
      <c r="T121" s="1766"/>
      <c r="U121" s="1766"/>
      <c r="V121" s="1766"/>
      <c r="W121" s="1765">
        <v>2340</v>
      </c>
      <c r="X121" s="1767"/>
      <c r="Y121" s="1768"/>
      <c r="Z121" s="1825"/>
      <c r="AA121" s="1825"/>
      <c r="AB121" s="1825"/>
      <c r="AC121" s="1825"/>
      <c r="AD121" s="1825"/>
      <c r="AE121" s="1825"/>
      <c r="AF121" s="1825"/>
      <c r="AG121" s="1282">
        <f t="shared" si="13"/>
        <v>2340</v>
      </c>
    </row>
    <row r="122" spans="1:33" s="1826" customFormat="1" ht="63.75" hidden="1" customHeight="1">
      <c r="A122" s="683">
        <v>1213</v>
      </c>
      <c r="B122" s="1770" t="s">
        <v>738</v>
      </c>
      <c r="C122" s="1076" t="s">
        <v>739</v>
      </c>
      <c r="D122" s="1761"/>
      <c r="E122" s="1762">
        <f t="shared" si="11"/>
        <v>26</v>
      </c>
      <c r="F122" s="1763">
        <v>43262</v>
      </c>
      <c r="G122" s="1763">
        <v>43287</v>
      </c>
      <c r="H122" s="1764"/>
      <c r="I122" s="1762" t="s">
        <v>170</v>
      </c>
      <c r="J122" s="667" t="s">
        <v>719</v>
      </c>
      <c r="K122" s="1738" t="s">
        <v>723</v>
      </c>
      <c r="L122" s="1233">
        <v>23174</v>
      </c>
      <c r="M122" s="1761"/>
      <c r="N122" s="1761"/>
      <c r="O122" s="1765">
        <v>281</v>
      </c>
      <c r="P122" s="1761">
        <v>2</v>
      </c>
      <c r="Q122" s="2382">
        <f t="shared" si="12"/>
        <v>562</v>
      </c>
      <c r="R122" s="2382"/>
      <c r="S122" s="1766"/>
      <c r="T122" s="1766"/>
      <c r="U122" s="1766"/>
      <c r="V122" s="1766"/>
      <c r="W122" s="1765">
        <v>562</v>
      </c>
      <c r="X122" s="1767"/>
      <c r="Y122" s="1768"/>
      <c r="Z122" s="1825"/>
      <c r="AA122" s="1825"/>
      <c r="AB122" s="1825"/>
      <c r="AC122" s="1825"/>
      <c r="AD122" s="1825"/>
      <c r="AE122" s="1825"/>
      <c r="AF122" s="1825"/>
      <c r="AG122" s="1282">
        <f t="shared" si="13"/>
        <v>562</v>
      </c>
    </row>
    <row r="123" spans="1:33" s="1826" customFormat="1" ht="63.75" hidden="1" customHeight="1">
      <c r="A123" s="683">
        <v>1213</v>
      </c>
      <c r="B123" s="1770" t="s">
        <v>738</v>
      </c>
      <c r="C123" s="1076" t="s">
        <v>739</v>
      </c>
      <c r="D123" s="1761"/>
      <c r="E123" s="1762"/>
      <c r="F123" s="1763"/>
      <c r="G123" s="1763"/>
      <c r="H123" s="1764"/>
      <c r="I123" s="1762" t="s">
        <v>170</v>
      </c>
      <c r="J123" s="667" t="s">
        <v>719</v>
      </c>
      <c r="K123" s="2265" t="s">
        <v>1013</v>
      </c>
      <c r="L123" s="1233">
        <v>23173</v>
      </c>
      <c r="M123" s="1761"/>
      <c r="N123" s="1761"/>
      <c r="O123" s="1765">
        <v>1</v>
      </c>
      <c r="P123" s="1761">
        <v>60</v>
      </c>
      <c r="Q123" s="2382">
        <f t="shared" si="12"/>
        <v>60</v>
      </c>
      <c r="R123" s="2382"/>
      <c r="S123" s="1766"/>
      <c r="T123" s="1766"/>
      <c r="U123" s="1766"/>
      <c r="V123" s="1766"/>
      <c r="W123" s="1765">
        <v>60</v>
      </c>
      <c r="X123" s="1767"/>
      <c r="Y123" s="1768"/>
      <c r="Z123" s="1825"/>
      <c r="AA123" s="1825"/>
      <c r="AB123" s="1825"/>
      <c r="AC123" s="1825"/>
      <c r="AD123" s="1825"/>
      <c r="AE123" s="1825"/>
      <c r="AF123" s="1825"/>
      <c r="AG123" s="1282">
        <f t="shared" si="13"/>
        <v>60</v>
      </c>
    </row>
    <row r="124" spans="1:33" s="1826" customFormat="1" ht="58.5" hidden="1" customHeight="1">
      <c r="A124" s="683">
        <v>1214</v>
      </c>
      <c r="B124" s="1772" t="s">
        <v>747</v>
      </c>
      <c r="C124" s="1076" t="s">
        <v>748</v>
      </c>
      <c r="D124" s="1761"/>
      <c r="E124" s="1762">
        <f>+G124-F124+1</f>
        <v>3</v>
      </c>
      <c r="F124" s="1763">
        <v>43304</v>
      </c>
      <c r="G124" s="1763">
        <f>+F124+3-1</f>
        <v>43306</v>
      </c>
      <c r="H124" s="1764"/>
      <c r="I124" s="1762" t="s">
        <v>170</v>
      </c>
      <c r="J124" s="667"/>
      <c r="K124" s="1738" t="s">
        <v>670</v>
      </c>
      <c r="L124" s="1233">
        <v>23173</v>
      </c>
      <c r="M124" s="1761"/>
      <c r="N124" s="1761"/>
      <c r="O124" s="1765">
        <v>48</v>
      </c>
      <c r="P124" s="1761">
        <v>40</v>
      </c>
      <c r="Q124" s="2382">
        <f>+O124*P124</f>
        <v>1920</v>
      </c>
      <c r="R124" s="2382"/>
      <c r="S124" s="1766"/>
      <c r="T124" s="1766"/>
      <c r="U124" s="1766"/>
      <c r="V124" s="1766"/>
      <c r="W124" s="1765">
        <v>1920</v>
      </c>
      <c r="X124" s="1767"/>
      <c r="Y124" s="1768"/>
      <c r="Z124" s="1825"/>
      <c r="AA124" s="1825"/>
      <c r="AB124" s="1825"/>
      <c r="AC124" s="1825"/>
      <c r="AD124" s="1825"/>
      <c r="AE124" s="1825"/>
      <c r="AF124" s="1825"/>
      <c r="AG124" s="1282">
        <f t="shared" si="13"/>
        <v>1920</v>
      </c>
    </row>
    <row r="125" spans="1:33" s="1826" customFormat="1" ht="58.5" hidden="1" customHeight="1">
      <c r="A125" s="683">
        <v>1214</v>
      </c>
      <c r="B125" s="1772" t="s">
        <v>747</v>
      </c>
      <c r="C125" s="1076" t="s">
        <v>748</v>
      </c>
      <c r="D125" s="1761"/>
      <c r="E125" s="1762">
        <f>+G125-F125+1</f>
        <v>3</v>
      </c>
      <c r="F125" s="1763">
        <v>43304</v>
      </c>
      <c r="G125" s="1763">
        <f>+F125+3-1</f>
        <v>43306</v>
      </c>
      <c r="H125" s="1764"/>
      <c r="I125" s="1762" t="s">
        <v>170</v>
      </c>
      <c r="J125" s="667"/>
      <c r="K125" s="1773" t="s">
        <v>638</v>
      </c>
      <c r="L125" s="1233">
        <v>23173</v>
      </c>
      <c r="M125" s="1761"/>
      <c r="N125" s="1761"/>
      <c r="O125" s="1765">
        <v>5</v>
      </c>
      <c r="P125" s="1761">
        <v>40</v>
      </c>
      <c r="Q125" s="2382">
        <f>+O125*P125</f>
        <v>200</v>
      </c>
      <c r="R125" s="2382"/>
      <c r="S125" s="1766"/>
      <c r="T125" s="1766"/>
      <c r="U125" s="1766"/>
      <c r="V125" s="1766"/>
      <c r="W125" s="1765">
        <v>200</v>
      </c>
      <c r="X125" s="1767"/>
      <c r="Y125" s="1768"/>
      <c r="Z125" s="1825"/>
      <c r="AA125" s="1825"/>
      <c r="AB125" s="1825"/>
      <c r="AC125" s="1825"/>
      <c r="AD125" s="1825"/>
      <c r="AE125" s="1825"/>
      <c r="AF125" s="1825"/>
      <c r="AG125" s="1282">
        <f t="shared" si="13"/>
        <v>200</v>
      </c>
    </row>
    <row r="126" spans="1:33" s="1826" customFormat="1" ht="58.5" hidden="1" customHeight="1">
      <c r="A126" s="683">
        <v>1214</v>
      </c>
      <c r="B126" s="1772" t="s">
        <v>747</v>
      </c>
      <c r="C126" s="1076" t="s">
        <v>748</v>
      </c>
      <c r="D126" s="1761"/>
      <c r="E126" s="1762">
        <f>+G126-F126+1</f>
        <v>3</v>
      </c>
      <c r="F126" s="1763">
        <v>43304</v>
      </c>
      <c r="G126" s="1763">
        <f>+F126+3-1</f>
        <v>43306</v>
      </c>
      <c r="H126" s="1764"/>
      <c r="I126" s="1762" t="s">
        <v>170</v>
      </c>
      <c r="J126" s="667"/>
      <c r="K126" s="1771" t="s">
        <v>486</v>
      </c>
      <c r="L126" s="1231">
        <v>23173</v>
      </c>
      <c r="M126" s="1761"/>
      <c r="N126" s="1761"/>
      <c r="O126" s="1765">
        <v>312</v>
      </c>
      <c r="P126" s="1761">
        <v>3</v>
      </c>
      <c r="Q126" s="2382">
        <f>+O126*P126</f>
        <v>936</v>
      </c>
      <c r="R126" s="2382"/>
      <c r="S126" s="1766"/>
      <c r="T126" s="1766"/>
      <c r="U126" s="1766"/>
      <c r="V126" s="1766"/>
      <c r="W126" s="1765">
        <v>936</v>
      </c>
      <c r="X126" s="1767"/>
      <c r="Y126" s="1768"/>
      <c r="Z126" s="1825"/>
      <c r="AA126" s="1825"/>
      <c r="AB126" s="1825"/>
      <c r="AC126" s="1825"/>
      <c r="AD126" s="1825"/>
      <c r="AE126" s="1825"/>
      <c r="AF126" s="1825"/>
      <c r="AG126" s="1282">
        <f t="shared" si="13"/>
        <v>936</v>
      </c>
    </row>
    <row r="127" spans="1:33" s="1826" customFormat="1" ht="75.75" hidden="1" customHeight="1">
      <c r="A127" s="683">
        <v>1215</v>
      </c>
      <c r="B127" s="1772" t="s">
        <v>749</v>
      </c>
      <c r="C127" s="1076" t="s">
        <v>750</v>
      </c>
      <c r="D127" s="1761"/>
      <c r="E127" s="1762">
        <f t="shared" ref="E127:E153" si="16">+G127-F127+1</f>
        <v>6</v>
      </c>
      <c r="F127" s="1763">
        <v>43318</v>
      </c>
      <c r="G127" s="1763">
        <f t="shared" ref="G127:G136" si="17">F127+6-1</f>
        <v>43323</v>
      </c>
      <c r="H127" s="1764"/>
      <c r="I127" s="1762" t="s">
        <v>170</v>
      </c>
      <c r="J127" s="667"/>
      <c r="K127" s="1738" t="s">
        <v>751</v>
      </c>
      <c r="L127" s="1233">
        <v>23174</v>
      </c>
      <c r="M127" s="1761"/>
      <c r="N127" s="1761"/>
      <c r="O127" s="1765">
        <v>67</v>
      </c>
      <c r="P127" s="1761">
        <v>26</v>
      </c>
      <c r="Q127" s="2382">
        <f t="shared" ref="Q127:Q151" si="18">+O127*P127</f>
        <v>1742</v>
      </c>
      <c r="R127" s="2382"/>
      <c r="S127" s="1766"/>
      <c r="T127" s="1766"/>
      <c r="U127" s="1766"/>
      <c r="V127" s="1766"/>
      <c r="W127" s="1766"/>
      <c r="X127" s="1774">
        <v>1742</v>
      </c>
      <c r="Y127" s="1768"/>
      <c r="Z127" s="1825"/>
      <c r="AA127" s="1825"/>
      <c r="AB127" s="1825"/>
      <c r="AC127" s="1825"/>
      <c r="AD127" s="1825"/>
      <c r="AE127" s="1825"/>
      <c r="AF127" s="1825"/>
      <c r="AG127" s="1282">
        <f t="shared" si="13"/>
        <v>1742</v>
      </c>
    </row>
    <row r="128" spans="1:33" s="1826" customFormat="1" ht="75.75" hidden="1" customHeight="1">
      <c r="A128" s="683">
        <v>1215</v>
      </c>
      <c r="B128" s="1772" t="s">
        <v>749</v>
      </c>
      <c r="C128" s="1076" t="s">
        <v>750</v>
      </c>
      <c r="D128" s="1761"/>
      <c r="E128" s="1762">
        <f t="shared" si="16"/>
        <v>6</v>
      </c>
      <c r="F128" s="1763">
        <v>43318</v>
      </c>
      <c r="G128" s="1763">
        <f t="shared" si="17"/>
        <v>43323</v>
      </c>
      <c r="H128" s="1764"/>
      <c r="I128" s="1762" t="s">
        <v>170</v>
      </c>
      <c r="J128" s="667"/>
      <c r="K128" s="1773" t="s">
        <v>752</v>
      </c>
      <c r="L128" s="1233">
        <v>23174</v>
      </c>
      <c r="M128" s="1761"/>
      <c r="N128" s="1761"/>
      <c r="O128" s="1765">
        <v>63</v>
      </c>
      <c r="P128" s="1761">
        <v>26</v>
      </c>
      <c r="Q128" s="2382">
        <f t="shared" si="18"/>
        <v>1638</v>
      </c>
      <c r="R128" s="2382"/>
      <c r="S128" s="1766"/>
      <c r="T128" s="1766"/>
      <c r="U128" s="1766"/>
      <c r="V128" s="1766"/>
      <c r="W128" s="1766"/>
      <c r="X128" s="1774">
        <v>1638</v>
      </c>
      <c r="Y128" s="1768"/>
      <c r="Z128" s="1825"/>
      <c r="AA128" s="1825"/>
      <c r="AB128" s="1825"/>
      <c r="AC128" s="1825"/>
      <c r="AD128" s="1825"/>
      <c r="AE128" s="1825"/>
      <c r="AF128" s="1825"/>
      <c r="AG128" s="1282">
        <f t="shared" si="13"/>
        <v>1638</v>
      </c>
    </row>
    <row r="129" spans="1:33" s="1826" customFormat="1" ht="75.75" hidden="1" customHeight="1">
      <c r="A129" s="683">
        <v>1215</v>
      </c>
      <c r="B129" s="1772" t="s">
        <v>749</v>
      </c>
      <c r="C129" s="1076" t="s">
        <v>750</v>
      </c>
      <c r="D129" s="1761"/>
      <c r="E129" s="1762">
        <f t="shared" si="16"/>
        <v>6</v>
      </c>
      <c r="F129" s="1763">
        <v>43318</v>
      </c>
      <c r="G129" s="1763">
        <f t="shared" si="17"/>
        <v>43323</v>
      </c>
      <c r="H129" s="1764"/>
      <c r="I129" s="1762" t="s">
        <v>170</v>
      </c>
      <c r="J129" s="667"/>
      <c r="K129" s="1769" t="s">
        <v>753</v>
      </c>
      <c r="L129" s="1233">
        <v>23174</v>
      </c>
      <c r="M129" s="1761"/>
      <c r="N129" s="1761"/>
      <c r="O129" s="1765">
        <v>38</v>
      </c>
      <c r="P129" s="1761">
        <v>26</v>
      </c>
      <c r="Q129" s="2382">
        <f t="shared" si="18"/>
        <v>988</v>
      </c>
      <c r="R129" s="2382"/>
      <c r="S129" s="1766"/>
      <c r="T129" s="1766"/>
      <c r="U129" s="1766"/>
      <c r="V129" s="1766"/>
      <c r="W129" s="1766"/>
      <c r="X129" s="1774">
        <v>988</v>
      </c>
      <c r="Y129" s="1768"/>
      <c r="Z129" s="1825"/>
      <c r="AA129" s="1825"/>
      <c r="AB129" s="1825"/>
      <c r="AC129" s="1825"/>
      <c r="AD129" s="1825"/>
      <c r="AE129" s="1825"/>
      <c r="AF129" s="1825"/>
      <c r="AG129" s="1282">
        <f t="shared" si="13"/>
        <v>988</v>
      </c>
    </row>
    <row r="130" spans="1:33" s="1826" customFormat="1" ht="75.75" hidden="1" customHeight="1">
      <c r="A130" s="683">
        <v>1215</v>
      </c>
      <c r="B130" s="1772" t="s">
        <v>749</v>
      </c>
      <c r="C130" s="1076" t="s">
        <v>750</v>
      </c>
      <c r="D130" s="1761"/>
      <c r="E130" s="1762">
        <f t="shared" si="16"/>
        <v>6</v>
      </c>
      <c r="F130" s="1763">
        <v>43318</v>
      </c>
      <c r="G130" s="1763">
        <f t="shared" si="17"/>
        <v>43323</v>
      </c>
      <c r="H130" s="1764"/>
      <c r="I130" s="1762" t="s">
        <v>170</v>
      </c>
      <c r="J130" s="667"/>
      <c r="K130" s="1769" t="s">
        <v>743</v>
      </c>
      <c r="L130" s="1233">
        <v>23174</v>
      </c>
      <c r="M130" s="1761"/>
      <c r="N130" s="1761"/>
      <c r="O130" s="1765">
        <v>67</v>
      </c>
      <c r="P130" s="1761">
        <v>2</v>
      </c>
      <c r="Q130" s="2382">
        <f t="shared" si="18"/>
        <v>134</v>
      </c>
      <c r="R130" s="2382"/>
      <c r="S130" s="1766"/>
      <c r="T130" s="1766"/>
      <c r="U130" s="1766"/>
      <c r="V130" s="1766"/>
      <c r="W130" s="1766"/>
      <c r="X130" s="1774">
        <v>134</v>
      </c>
      <c r="Y130" s="1768"/>
      <c r="Z130" s="1825"/>
      <c r="AA130" s="1825"/>
      <c r="AB130" s="1825"/>
      <c r="AC130" s="1825"/>
      <c r="AD130" s="1825"/>
      <c r="AE130" s="1825"/>
      <c r="AF130" s="1825"/>
      <c r="AG130" s="1282">
        <f t="shared" si="13"/>
        <v>134</v>
      </c>
    </row>
    <row r="131" spans="1:33" s="1826" customFormat="1" ht="75.75" hidden="1" customHeight="1">
      <c r="A131" s="683">
        <v>1215</v>
      </c>
      <c r="B131" s="1772" t="s">
        <v>749</v>
      </c>
      <c r="C131" s="1076" t="s">
        <v>750</v>
      </c>
      <c r="D131" s="1761"/>
      <c r="E131" s="1762">
        <f t="shared" si="16"/>
        <v>6</v>
      </c>
      <c r="F131" s="1763">
        <v>43318</v>
      </c>
      <c r="G131" s="1763">
        <f t="shared" si="17"/>
        <v>43323</v>
      </c>
      <c r="H131" s="1764"/>
      <c r="I131" s="1762" t="s">
        <v>170</v>
      </c>
      <c r="J131" s="667"/>
      <c r="K131" s="1769" t="s">
        <v>754</v>
      </c>
      <c r="L131" s="1233">
        <v>23174</v>
      </c>
      <c r="M131" s="1761"/>
      <c r="N131" s="1761"/>
      <c r="O131" s="1765">
        <v>63</v>
      </c>
      <c r="P131" s="1761">
        <v>2</v>
      </c>
      <c r="Q131" s="2382">
        <f t="shared" si="18"/>
        <v>126</v>
      </c>
      <c r="R131" s="2382"/>
      <c r="S131" s="1766"/>
      <c r="T131" s="1766"/>
      <c r="U131" s="1766"/>
      <c r="V131" s="1766"/>
      <c r="W131" s="1766"/>
      <c r="X131" s="1774">
        <v>126</v>
      </c>
      <c r="Y131" s="1768"/>
      <c r="Z131" s="1825"/>
      <c r="AA131" s="1825"/>
      <c r="AB131" s="1825"/>
      <c r="AC131" s="1825"/>
      <c r="AD131" s="1825"/>
      <c r="AE131" s="1825"/>
      <c r="AF131" s="1825"/>
      <c r="AG131" s="1282">
        <f t="shared" si="13"/>
        <v>126</v>
      </c>
    </row>
    <row r="132" spans="1:33" s="1826" customFormat="1" ht="75.75" hidden="1" customHeight="1">
      <c r="A132" s="683">
        <v>1215</v>
      </c>
      <c r="B132" s="1772" t="s">
        <v>749</v>
      </c>
      <c r="C132" s="1076" t="s">
        <v>750</v>
      </c>
      <c r="D132" s="1761"/>
      <c r="E132" s="1762">
        <f t="shared" si="16"/>
        <v>6</v>
      </c>
      <c r="F132" s="1763">
        <v>43318</v>
      </c>
      <c r="G132" s="1763">
        <f t="shared" si="17"/>
        <v>43323</v>
      </c>
      <c r="H132" s="1764"/>
      <c r="I132" s="1762" t="s">
        <v>170</v>
      </c>
      <c r="J132" s="667"/>
      <c r="K132" s="1769" t="s">
        <v>729</v>
      </c>
      <c r="L132" s="1233">
        <v>23174</v>
      </c>
      <c r="M132" s="1761"/>
      <c r="N132" s="1761"/>
      <c r="O132" s="1765">
        <v>255</v>
      </c>
      <c r="P132" s="1761">
        <v>2</v>
      </c>
      <c r="Q132" s="2382">
        <f t="shared" si="18"/>
        <v>510</v>
      </c>
      <c r="R132" s="2382"/>
      <c r="S132" s="1766"/>
      <c r="T132" s="1766"/>
      <c r="U132" s="1766"/>
      <c r="V132" s="1766"/>
      <c r="W132" s="1766"/>
      <c r="X132" s="1774">
        <v>510</v>
      </c>
      <c r="Y132" s="1768"/>
      <c r="Z132" s="1825"/>
      <c r="AA132" s="1825"/>
      <c r="AB132" s="1825"/>
      <c r="AC132" s="1825"/>
      <c r="AD132" s="1825"/>
      <c r="AE132" s="1825"/>
      <c r="AF132" s="1825"/>
      <c r="AG132" s="1282">
        <f t="shared" si="13"/>
        <v>510</v>
      </c>
    </row>
    <row r="133" spans="1:33" s="1826" customFormat="1" ht="75.75" hidden="1" customHeight="1">
      <c r="A133" s="683">
        <v>1215</v>
      </c>
      <c r="B133" s="1772" t="s">
        <v>749</v>
      </c>
      <c r="C133" s="1076" t="s">
        <v>750</v>
      </c>
      <c r="D133" s="1761"/>
      <c r="E133" s="1762">
        <f t="shared" si="16"/>
        <v>6</v>
      </c>
      <c r="F133" s="1763">
        <v>43318</v>
      </c>
      <c r="G133" s="1763">
        <f t="shared" si="17"/>
        <v>43323</v>
      </c>
      <c r="H133" s="1764"/>
      <c r="I133" s="1762" t="s">
        <v>170</v>
      </c>
      <c r="J133" s="667"/>
      <c r="K133" s="1769" t="s">
        <v>302</v>
      </c>
      <c r="L133" s="1233">
        <v>23173</v>
      </c>
      <c r="M133" s="1761"/>
      <c r="N133" s="1761"/>
      <c r="O133" s="1765">
        <v>5</v>
      </c>
      <c r="P133" s="1761">
        <v>26</v>
      </c>
      <c r="Q133" s="2382">
        <f t="shared" si="18"/>
        <v>130</v>
      </c>
      <c r="R133" s="2382"/>
      <c r="S133" s="1766"/>
      <c r="T133" s="1766"/>
      <c r="U133" s="1766"/>
      <c r="V133" s="1766"/>
      <c r="W133" s="1766"/>
      <c r="X133" s="1774">
        <v>130</v>
      </c>
      <c r="Y133" s="1768"/>
      <c r="Z133" s="1825"/>
      <c r="AA133" s="1825"/>
      <c r="AB133" s="1825"/>
      <c r="AC133" s="1825"/>
      <c r="AD133" s="1825"/>
      <c r="AE133" s="1825"/>
      <c r="AF133" s="1825"/>
      <c r="AG133" s="1282">
        <f t="shared" si="13"/>
        <v>130</v>
      </c>
    </row>
    <row r="134" spans="1:33" s="1826" customFormat="1" ht="75.75" hidden="1" customHeight="1">
      <c r="A134" s="683">
        <v>1215</v>
      </c>
      <c r="B134" s="1772" t="s">
        <v>749</v>
      </c>
      <c r="C134" s="1076" t="s">
        <v>750</v>
      </c>
      <c r="D134" s="1761"/>
      <c r="E134" s="1762">
        <f t="shared" si="16"/>
        <v>6</v>
      </c>
      <c r="F134" s="1763">
        <v>43318</v>
      </c>
      <c r="G134" s="1763">
        <f t="shared" si="17"/>
        <v>43323</v>
      </c>
      <c r="H134" s="1764"/>
      <c r="I134" s="1762" t="s">
        <v>170</v>
      </c>
      <c r="J134" s="667"/>
      <c r="K134" s="1769" t="s">
        <v>486</v>
      </c>
      <c r="L134" s="1231">
        <v>23173</v>
      </c>
      <c r="M134" s="1761"/>
      <c r="N134" s="1761"/>
      <c r="O134" s="1765">
        <v>156</v>
      </c>
      <c r="P134" s="1761">
        <v>6</v>
      </c>
      <c r="Q134" s="2382">
        <f t="shared" si="18"/>
        <v>936</v>
      </c>
      <c r="R134" s="2382"/>
      <c r="S134" s="1766"/>
      <c r="T134" s="1766"/>
      <c r="U134" s="1766"/>
      <c r="V134" s="1766"/>
      <c r="W134" s="1766"/>
      <c r="X134" s="1774">
        <v>936</v>
      </c>
      <c r="Y134" s="1768"/>
      <c r="Z134" s="1825"/>
      <c r="AA134" s="1825"/>
      <c r="AB134" s="1825"/>
      <c r="AC134" s="1825"/>
      <c r="AD134" s="1825"/>
      <c r="AE134" s="1825"/>
      <c r="AF134" s="1825"/>
      <c r="AG134" s="1282">
        <f t="shared" si="13"/>
        <v>936</v>
      </c>
    </row>
    <row r="135" spans="1:33" s="1826" customFormat="1" ht="75.75" hidden="1" customHeight="1">
      <c r="A135" s="683">
        <v>1215</v>
      </c>
      <c r="B135" s="1772" t="s">
        <v>749</v>
      </c>
      <c r="C135" s="1076" t="s">
        <v>750</v>
      </c>
      <c r="D135" s="1761"/>
      <c r="E135" s="1762">
        <f t="shared" si="16"/>
        <v>6</v>
      </c>
      <c r="F135" s="1763">
        <v>43318</v>
      </c>
      <c r="G135" s="1763">
        <f t="shared" si="17"/>
        <v>43323</v>
      </c>
      <c r="H135" s="1764"/>
      <c r="I135" s="1762" t="s">
        <v>170</v>
      </c>
      <c r="J135" s="667"/>
      <c r="K135" s="1769" t="s">
        <v>723</v>
      </c>
      <c r="L135" s="1233">
        <v>23174</v>
      </c>
      <c r="M135" s="1761"/>
      <c r="N135" s="1761"/>
      <c r="O135" s="1765">
        <v>169</v>
      </c>
      <c r="P135" s="1761">
        <v>2</v>
      </c>
      <c r="Q135" s="2382">
        <f t="shared" si="18"/>
        <v>338</v>
      </c>
      <c r="R135" s="2382"/>
      <c r="S135" s="1766"/>
      <c r="T135" s="1766"/>
      <c r="U135" s="1766"/>
      <c r="V135" s="1766"/>
      <c r="W135" s="1766"/>
      <c r="X135" s="1774">
        <v>338</v>
      </c>
      <c r="Y135" s="1768"/>
      <c r="Z135" s="1825"/>
      <c r="AA135" s="1825"/>
      <c r="AB135" s="1825"/>
      <c r="AC135" s="1825"/>
      <c r="AD135" s="1825"/>
      <c r="AE135" s="1825"/>
      <c r="AF135" s="1825"/>
      <c r="AG135" s="1282">
        <f t="shared" si="13"/>
        <v>338</v>
      </c>
    </row>
    <row r="136" spans="1:33" s="1826" customFormat="1" ht="75.75" hidden="1" customHeight="1">
      <c r="A136" s="683">
        <v>1215</v>
      </c>
      <c r="B136" s="1772" t="s">
        <v>749</v>
      </c>
      <c r="C136" s="1076" t="s">
        <v>750</v>
      </c>
      <c r="D136" s="1761"/>
      <c r="E136" s="1762">
        <f t="shared" si="16"/>
        <v>6</v>
      </c>
      <c r="F136" s="1763">
        <v>43318</v>
      </c>
      <c r="G136" s="1763">
        <f t="shared" si="17"/>
        <v>43323</v>
      </c>
      <c r="H136" s="1764"/>
      <c r="I136" s="1762" t="s">
        <v>170</v>
      </c>
      <c r="J136" s="667"/>
      <c r="K136" s="1769" t="s">
        <v>755</v>
      </c>
      <c r="L136" s="1233">
        <v>23173</v>
      </c>
      <c r="M136" s="1761"/>
      <c r="N136" s="1761"/>
      <c r="O136" s="1765">
        <v>10</v>
      </c>
      <c r="P136" s="1761">
        <v>60</v>
      </c>
      <c r="Q136" s="2382">
        <f t="shared" si="18"/>
        <v>600</v>
      </c>
      <c r="R136" s="2382"/>
      <c r="S136" s="1766"/>
      <c r="T136" s="1766"/>
      <c r="U136" s="1766"/>
      <c r="V136" s="1766"/>
      <c r="W136" s="1766"/>
      <c r="X136" s="1774">
        <v>600</v>
      </c>
      <c r="Y136" s="1768"/>
      <c r="Z136" s="1825"/>
      <c r="AA136" s="1825"/>
      <c r="AB136" s="1825"/>
      <c r="AC136" s="1825"/>
      <c r="AD136" s="1825"/>
      <c r="AE136" s="1825"/>
      <c r="AF136" s="1825"/>
      <c r="AG136" s="1282">
        <f t="shared" si="13"/>
        <v>600</v>
      </c>
    </row>
    <row r="137" spans="1:33" s="1826" customFormat="1" ht="75.75" hidden="1" customHeight="1">
      <c r="A137" s="683">
        <v>1216</v>
      </c>
      <c r="B137" s="1770" t="s">
        <v>756</v>
      </c>
      <c r="C137" s="1076" t="s">
        <v>757</v>
      </c>
      <c r="D137" s="1761"/>
      <c r="E137" s="1762">
        <f t="shared" si="16"/>
        <v>27</v>
      </c>
      <c r="F137" s="1763">
        <v>43332</v>
      </c>
      <c r="G137" s="1763">
        <v>43358</v>
      </c>
      <c r="H137" s="1764"/>
      <c r="I137" s="1762" t="s">
        <v>170</v>
      </c>
      <c r="J137" s="667"/>
      <c r="K137" s="1769" t="s">
        <v>758</v>
      </c>
      <c r="L137" s="1233">
        <v>23174</v>
      </c>
      <c r="M137" s="1761"/>
      <c r="N137" s="1761"/>
      <c r="O137" s="1765">
        <v>214</v>
      </c>
      <c r="P137" s="1761">
        <v>31</v>
      </c>
      <c r="Q137" s="2382">
        <f t="shared" si="18"/>
        <v>6634</v>
      </c>
      <c r="R137" s="2382"/>
      <c r="S137" s="1766"/>
      <c r="T137" s="1766"/>
      <c r="U137" s="1766"/>
      <c r="V137" s="1766"/>
      <c r="W137" s="1766"/>
      <c r="X137" s="1767"/>
      <c r="Y137" s="1739">
        <v>6634</v>
      </c>
      <c r="Z137" s="1825"/>
      <c r="AA137" s="1825"/>
      <c r="AB137" s="1825"/>
      <c r="AC137" s="1825"/>
      <c r="AD137" s="1825"/>
      <c r="AE137" s="1825"/>
      <c r="AF137" s="1825"/>
      <c r="AG137" s="1282">
        <f t="shared" si="13"/>
        <v>6634</v>
      </c>
    </row>
    <row r="138" spans="1:33" s="1826" customFormat="1" ht="75.75" hidden="1" customHeight="1">
      <c r="A138" s="683">
        <v>1216</v>
      </c>
      <c r="B138" s="1770" t="s">
        <v>756</v>
      </c>
      <c r="C138" s="1076" t="s">
        <v>757</v>
      </c>
      <c r="D138" s="1761"/>
      <c r="E138" s="1762">
        <f t="shared" si="16"/>
        <v>27</v>
      </c>
      <c r="F138" s="1763">
        <v>43332</v>
      </c>
      <c r="G138" s="1763">
        <v>43358</v>
      </c>
      <c r="H138" s="1764"/>
      <c r="I138" s="1762" t="s">
        <v>170</v>
      </c>
      <c r="J138" s="667"/>
      <c r="K138" s="1769" t="s">
        <v>759</v>
      </c>
      <c r="L138" s="1233">
        <v>23174</v>
      </c>
      <c r="M138" s="1761"/>
      <c r="N138" s="1761"/>
      <c r="O138" s="1765">
        <v>225</v>
      </c>
      <c r="P138" s="1761">
        <v>31</v>
      </c>
      <c r="Q138" s="2382">
        <f t="shared" si="18"/>
        <v>6975</v>
      </c>
      <c r="R138" s="2382"/>
      <c r="S138" s="1766"/>
      <c r="T138" s="1766"/>
      <c r="U138" s="1766"/>
      <c r="V138" s="1766"/>
      <c r="W138" s="1766"/>
      <c r="X138" s="1767"/>
      <c r="Y138" s="1739">
        <v>6975</v>
      </c>
      <c r="Z138" s="1825"/>
      <c r="AA138" s="1825"/>
      <c r="AB138" s="1825"/>
      <c r="AC138" s="1825"/>
      <c r="AD138" s="1825"/>
      <c r="AE138" s="1825"/>
      <c r="AF138" s="1825"/>
      <c r="AG138" s="1282">
        <f t="shared" si="13"/>
        <v>6975</v>
      </c>
    </row>
    <row r="139" spans="1:33" s="1826" customFormat="1" ht="75.75" hidden="1" customHeight="1">
      <c r="A139" s="683">
        <v>1216</v>
      </c>
      <c r="B139" s="1770" t="s">
        <v>756</v>
      </c>
      <c r="C139" s="1076" t="s">
        <v>757</v>
      </c>
      <c r="D139" s="1761"/>
      <c r="E139" s="1762">
        <f t="shared" si="16"/>
        <v>27</v>
      </c>
      <c r="F139" s="1763">
        <v>43332</v>
      </c>
      <c r="G139" s="1763">
        <v>43358</v>
      </c>
      <c r="H139" s="1764"/>
      <c r="I139" s="1762" t="s">
        <v>170</v>
      </c>
      <c r="J139" s="667"/>
      <c r="K139" s="1769" t="s">
        <v>760</v>
      </c>
      <c r="L139" s="1233">
        <v>23174</v>
      </c>
      <c r="M139" s="1761"/>
      <c r="N139" s="1761"/>
      <c r="O139" s="1765">
        <v>37</v>
      </c>
      <c r="P139" s="1761">
        <v>31</v>
      </c>
      <c r="Q139" s="2382">
        <f t="shared" si="18"/>
        <v>1147</v>
      </c>
      <c r="R139" s="2382"/>
      <c r="S139" s="1766"/>
      <c r="T139" s="1766"/>
      <c r="U139" s="1766"/>
      <c r="V139" s="1766"/>
      <c r="W139" s="1766"/>
      <c r="X139" s="1767"/>
      <c r="Y139" s="1739">
        <v>1147</v>
      </c>
      <c r="Z139" s="1825"/>
      <c r="AA139" s="1825"/>
      <c r="AB139" s="1825"/>
      <c r="AC139" s="1825"/>
      <c r="AD139" s="1825"/>
      <c r="AE139" s="1825"/>
      <c r="AF139" s="1825"/>
      <c r="AG139" s="1282">
        <f t="shared" si="13"/>
        <v>1147</v>
      </c>
    </row>
    <row r="140" spans="1:33" s="1826" customFormat="1" ht="75.75" hidden="1" customHeight="1">
      <c r="A140" s="683">
        <v>1216</v>
      </c>
      <c r="B140" s="1770" t="s">
        <v>756</v>
      </c>
      <c r="C140" s="1076" t="s">
        <v>757</v>
      </c>
      <c r="D140" s="1761"/>
      <c r="E140" s="1762">
        <f t="shared" si="16"/>
        <v>27</v>
      </c>
      <c r="F140" s="1763">
        <v>43332</v>
      </c>
      <c r="G140" s="1763">
        <v>43358</v>
      </c>
      <c r="H140" s="1764"/>
      <c r="I140" s="1762" t="s">
        <v>170</v>
      </c>
      <c r="J140" s="667"/>
      <c r="K140" s="1769" t="s">
        <v>743</v>
      </c>
      <c r="L140" s="1233">
        <v>23174</v>
      </c>
      <c r="M140" s="1761"/>
      <c r="N140" s="1761"/>
      <c r="O140" s="1765">
        <v>214</v>
      </c>
      <c r="P140" s="1761">
        <v>2</v>
      </c>
      <c r="Q140" s="2382">
        <f t="shared" si="18"/>
        <v>428</v>
      </c>
      <c r="R140" s="2382"/>
      <c r="S140" s="1766"/>
      <c r="T140" s="1766"/>
      <c r="U140" s="1766"/>
      <c r="V140" s="1766"/>
      <c r="W140" s="1766"/>
      <c r="X140" s="1767"/>
      <c r="Y140" s="1739">
        <v>428</v>
      </c>
      <c r="Z140" s="1825"/>
      <c r="AA140" s="1825"/>
      <c r="AB140" s="1825"/>
      <c r="AC140" s="1825"/>
      <c r="AD140" s="1825"/>
      <c r="AE140" s="1825"/>
      <c r="AF140" s="1825"/>
      <c r="AG140" s="1282">
        <f t="shared" si="13"/>
        <v>428</v>
      </c>
    </row>
    <row r="141" spans="1:33" s="1826" customFormat="1" ht="75.75" hidden="1" customHeight="1">
      <c r="A141" s="683">
        <v>1216</v>
      </c>
      <c r="B141" s="1770" t="s">
        <v>756</v>
      </c>
      <c r="C141" s="1076" t="s">
        <v>757</v>
      </c>
      <c r="D141" s="1761"/>
      <c r="E141" s="1762">
        <f t="shared" si="16"/>
        <v>27</v>
      </c>
      <c r="F141" s="1763">
        <v>43332</v>
      </c>
      <c r="G141" s="1763">
        <v>43358</v>
      </c>
      <c r="H141" s="1764"/>
      <c r="I141" s="1762" t="s">
        <v>170</v>
      </c>
      <c r="J141" s="667"/>
      <c r="K141" s="1769" t="s">
        <v>744</v>
      </c>
      <c r="L141" s="1233">
        <v>23174</v>
      </c>
      <c r="M141" s="1761"/>
      <c r="N141" s="1761"/>
      <c r="O141" s="1765">
        <v>225</v>
      </c>
      <c r="P141" s="1761">
        <v>2</v>
      </c>
      <c r="Q141" s="2382">
        <f t="shared" si="18"/>
        <v>450</v>
      </c>
      <c r="R141" s="2382"/>
      <c r="S141" s="1766"/>
      <c r="T141" s="1766"/>
      <c r="U141" s="1766"/>
      <c r="V141" s="1766"/>
      <c r="W141" s="1766"/>
      <c r="X141" s="1767"/>
      <c r="Y141" s="1739">
        <v>450</v>
      </c>
      <c r="Z141" s="1825"/>
      <c r="AA141" s="1825"/>
      <c r="AB141" s="1825"/>
      <c r="AC141" s="1825"/>
      <c r="AD141" s="1825"/>
      <c r="AE141" s="1825"/>
      <c r="AF141" s="1825"/>
      <c r="AG141" s="1282">
        <f t="shared" si="13"/>
        <v>450</v>
      </c>
    </row>
    <row r="142" spans="1:33" s="1826" customFormat="1" ht="75.75" hidden="1" customHeight="1">
      <c r="A142" s="683">
        <v>1216</v>
      </c>
      <c r="B142" s="1770" t="s">
        <v>756</v>
      </c>
      <c r="C142" s="1076" t="s">
        <v>757</v>
      </c>
      <c r="D142" s="1761"/>
      <c r="E142" s="1762">
        <f t="shared" si="16"/>
        <v>27</v>
      </c>
      <c r="F142" s="1763">
        <v>43332</v>
      </c>
      <c r="G142" s="1763">
        <v>43358</v>
      </c>
      <c r="H142" s="1764"/>
      <c r="I142" s="1762" t="s">
        <v>170</v>
      </c>
      <c r="J142" s="667"/>
      <c r="K142" s="1769" t="s">
        <v>745</v>
      </c>
      <c r="L142" s="1233">
        <v>23174</v>
      </c>
      <c r="M142" s="1761"/>
      <c r="N142" s="1761"/>
      <c r="O142" s="1765">
        <v>255</v>
      </c>
      <c r="P142" s="1761">
        <v>2</v>
      </c>
      <c r="Q142" s="2382">
        <f t="shared" si="18"/>
        <v>510</v>
      </c>
      <c r="R142" s="2382"/>
      <c r="S142" s="1766"/>
      <c r="T142" s="1766"/>
      <c r="U142" s="1766"/>
      <c r="V142" s="1766"/>
      <c r="W142" s="1766"/>
      <c r="X142" s="1767"/>
      <c r="Y142" s="1739">
        <v>510</v>
      </c>
      <c r="Z142" s="1825"/>
      <c r="AA142" s="1825"/>
      <c r="AB142" s="1825"/>
      <c r="AC142" s="1825"/>
      <c r="AD142" s="1825"/>
      <c r="AE142" s="1825"/>
      <c r="AF142" s="1825"/>
      <c r="AG142" s="1282">
        <f t="shared" si="13"/>
        <v>510</v>
      </c>
    </row>
    <row r="143" spans="1:33" s="1826" customFormat="1" ht="75.75" hidden="1" customHeight="1">
      <c r="A143" s="683">
        <v>1216</v>
      </c>
      <c r="B143" s="1770" t="s">
        <v>756</v>
      </c>
      <c r="C143" s="1076" t="s">
        <v>757</v>
      </c>
      <c r="D143" s="1761"/>
      <c r="E143" s="1762">
        <f t="shared" si="16"/>
        <v>27</v>
      </c>
      <c r="F143" s="1763">
        <v>43332</v>
      </c>
      <c r="G143" s="1763">
        <v>43358</v>
      </c>
      <c r="H143" s="1764"/>
      <c r="I143" s="1762" t="s">
        <v>170</v>
      </c>
      <c r="J143" s="667"/>
      <c r="K143" s="1769" t="s">
        <v>727</v>
      </c>
      <c r="L143" s="1233">
        <v>23174</v>
      </c>
      <c r="M143" s="1761"/>
      <c r="N143" s="1761"/>
      <c r="O143" s="1765">
        <v>178</v>
      </c>
      <c r="P143" s="1761">
        <v>2</v>
      </c>
      <c r="Q143" s="2382">
        <f t="shared" si="18"/>
        <v>356</v>
      </c>
      <c r="R143" s="2382"/>
      <c r="S143" s="1766"/>
      <c r="T143" s="1766"/>
      <c r="U143" s="1766"/>
      <c r="V143" s="1766"/>
      <c r="W143" s="1766"/>
      <c r="X143" s="1767"/>
      <c r="Y143" s="1739">
        <v>356</v>
      </c>
      <c r="Z143" s="1825"/>
      <c r="AA143" s="1825"/>
      <c r="AB143" s="1825"/>
      <c r="AC143" s="1825"/>
      <c r="AD143" s="1825"/>
      <c r="AE143" s="1825"/>
      <c r="AF143" s="1825"/>
      <c r="AG143" s="1282">
        <f t="shared" si="13"/>
        <v>356</v>
      </c>
    </row>
    <row r="144" spans="1:33" s="1826" customFormat="1" ht="75.75" hidden="1" customHeight="1">
      <c r="A144" s="683">
        <v>1216</v>
      </c>
      <c r="B144" s="1770" t="s">
        <v>756</v>
      </c>
      <c r="C144" s="1076" t="s">
        <v>757</v>
      </c>
      <c r="D144" s="1761"/>
      <c r="E144" s="1762">
        <f t="shared" si="16"/>
        <v>27</v>
      </c>
      <c r="F144" s="1763">
        <v>43332</v>
      </c>
      <c r="G144" s="1763">
        <v>43358</v>
      </c>
      <c r="H144" s="1764"/>
      <c r="I144" s="1762" t="s">
        <v>170</v>
      </c>
      <c r="J144" s="667"/>
      <c r="K144" s="1769" t="s">
        <v>736</v>
      </c>
      <c r="L144" s="1233">
        <v>23174</v>
      </c>
      <c r="M144" s="1761"/>
      <c r="N144" s="1761"/>
      <c r="O144" s="1765">
        <v>112</v>
      </c>
      <c r="P144" s="1761">
        <v>2</v>
      </c>
      <c r="Q144" s="2382">
        <f t="shared" si="18"/>
        <v>224</v>
      </c>
      <c r="R144" s="2382"/>
      <c r="S144" s="1766"/>
      <c r="T144" s="1766"/>
      <c r="U144" s="1766"/>
      <c r="V144" s="1766"/>
      <c r="W144" s="1766"/>
      <c r="X144" s="1767"/>
      <c r="Y144" s="1739">
        <v>224</v>
      </c>
      <c r="Z144" s="1825"/>
      <c r="AA144" s="1825"/>
      <c r="AB144" s="1825"/>
      <c r="AC144" s="1825"/>
      <c r="AD144" s="1825"/>
      <c r="AE144" s="1825"/>
      <c r="AF144" s="1825"/>
      <c r="AG144" s="1282">
        <f t="shared" si="13"/>
        <v>224</v>
      </c>
    </row>
    <row r="145" spans="1:33" s="1826" customFormat="1" ht="75.75" hidden="1" customHeight="1">
      <c r="A145" s="683">
        <v>1216</v>
      </c>
      <c r="B145" s="1770" t="s">
        <v>756</v>
      </c>
      <c r="C145" s="1076" t="s">
        <v>757</v>
      </c>
      <c r="D145" s="1761"/>
      <c r="E145" s="1762">
        <f t="shared" si="16"/>
        <v>27</v>
      </c>
      <c r="F145" s="1763">
        <v>43332</v>
      </c>
      <c r="G145" s="1763">
        <v>43358</v>
      </c>
      <c r="H145" s="1764"/>
      <c r="I145" s="1762" t="s">
        <v>170</v>
      </c>
      <c r="J145" s="667"/>
      <c r="K145" s="1769" t="s">
        <v>302</v>
      </c>
      <c r="L145" s="1233">
        <v>23173</v>
      </c>
      <c r="M145" s="1761"/>
      <c r="N145" s="1761"/>
      <c r="O145" s="1765">
        <v>15</v>
      </c>
      <c r="P145" s="1761">
        <v>30</v>
      </c>
      <c r="Q145" s="2382">
        <f t="shared" si="18"/>
        <v>450</v>
      </c>
      <c r="R145" s="2382"/>
      <c r="S145" s="1766"/>
      <c r="T145" s="1766"/>
      <c r="U145" s="1766"/>
      <c r="V145" s="1766"/>
      <c r="W145" s="1766"/>
      <c r="X145" s="1767"/>
      <c r="Y145" s="1739">
        <v>450</v>
      </c>
      <c r="Z145" s="1825"/>
      <c r="AA145" s="1825"/>
      <c r="AB145" s="1825"/>
      <c r="AC145" s="1825"/>
      <c r="AD145" s="1825"/>
      <c r="AE145" s="1825"/>
      <c r="AF145" s="1825"/>
      <c r="AG145" s="1282">
        <f t="shared" si="13"/>
        <v>450</v>
      </c>
    </row>
    <row r="146" spans="1:33" s="1826" customFormat="1" ht="75.75" hidden="1" customHeight="1">
      <c r="A146" s="683">
        <v>1216</v>
      </c>
      <c r="B146" s="1770" t="s">
        <v>756</v>
      </c>
      <c r="C146" s="1076" t="s">
        <v>757</v>
      </c>
      <c r="D146" s="1761"/>
      <c r="E146" s="1762">
        <f t="shared" si="16"/>
        <v>27</v>
      </c>
      <c r="F146" s="1763">
        <v>43332</v>
      </c>
      <c r="G146" s="1763">
        <v>43358</v>
      </c>
      <c r="H146" s="1764"/>
      <c r="I146" s="1762" t="s">
        <v>170</v>
      </c>
      <c r="J146" s="667"/>
      <c r="K146" s="1769" t="s">
        <v>486</v>
      </c>
      <c r="L146" s="1231">
        <v>23173</v>
      </c>
      <c r="M146" s="1761"/>
      <c r="N146" s="1761"/>
      <c r="O146" s="1765">
        <v>156</v>
      </c>
      <c r="P146" s="1761">
        <v>15</v>
      </c>
      <c r="Q146" s="2382">
        <f t="shared" si="18"/>
        <v>2340</v>
      </c>
      <c r="R146" s="2382"/>
      <c r="S146" s="1766"/>
      <c r="T146" s="1766"/>
      <c r="U146" s="1766"/>
      <c r="V146" s="1766"/>
      <c r="W146" s="1766"/>
      <c r="X146" s="1767"/>
      <c r="Y146" s="1739">
        <v>2340</v>
      </c>
      <c r="Z146" s="1825"/>
      <c r="AA146" s="1825"/>
      <c r="AB146" s="1825"/>
      <c r="AC146" s="1825"/>
      <c r="AD146" s="1825"/>
      <c r="AE146" s="1825"/>
      <c r="AF146" s="1825"/>
      <c r="AG146" s="1282">
        <f t="shared" si="13"/>
        <v>2340</v>
      </c>
    </row>
    <row r="147" spans="1:33" s="1826" customFormat="1" ht="75.75" hidden="1" customHeight="1">
      <c r="A147" s="683">
        <v>1216</v>
      </c>
      <c r="B147" s="1770" t="s">
        <v>756</v>
      </c>
      <c r="C147" s="1076" t="s">
        <v>757</v>
      </c>
      <c r="D147" s="1761"/>
      <c r="E147" s="1762">
        <f t="shared" si="16"/>
        <v>27</v>
      </c>
      <c r="F147" s="1763">
        <v>43332</v>
      </c>
      <c r="G147" s="1763">
        <v>43358</v>
      </c>
      <c r="H147" s="1764"/>
      <c r="I147" s="1762" t="s">
        <v>170</v>
      </c>
      <c r="J147" s="667"/>
      <c r="K147" s="1769" t="s">
        <v>723</v>
      </c>
      <c r="L147" s="1233">
        <v>23174</v>
      </c>
      <c r="M147" s="1761"/>
      <c r="N147" s="1761"/>
      <c r="O147" s="1765">
        <v>281</v>
      </c>
      <c r="P147" s="1761">
        <v>2</v>
      </c>
      <c r="Q147" s="2382">
        <f t="shared" si="18"/>
        <v>562</v>
      </c>
      <c r="R147" s="2382"/>
      <c r="S147" s="1766"/>
      <c r="T147" s="1766"/>
      <c r="U147" s="1766"/>
      <c r="V147" s="1766"/>
      <c r="W147" s="1766"/>
      <c r="X147" s="1767"/>
      <c r="Y147" s="1739">
        <v>562</v>
      </c>
      <c r="Z147" s="1825"/>
      <c r="AA147" s="1825"/>
      <c r="AB147" s="1825"/>
      <c r="AC147" s="1825"/>
      <c r="AD147" s="1825"/>
      <c r="AE147" s="1825"/>
      <c r="AF147" s="1825"/>
      <c r="AG147" s="1282">
        <f t="shared" si="13"/>
        <v>562</v>
      </c>
    </row>
    <row r="148" spans="1:33" s="1826" customFormat="1" ht="75.75" hidden="1" customHeight="1">
      <c r="A148" s="683">
        <v>1216</v>
      </c>
      <c r="B148" s="1770" t="s">
        <v>756</v>
      </c>
      <c r="C148" s="1076" t="s">
        <v>757</v>
      </c>
      <c r="D148" s="1761"/>
      <c r="E148" s="1762">
        <f t="shared" si="16"/>
        <v>27</v>
      </c>
      <c r="F148" s="1763">
        <v>43332</v>
      </c>
      <c r="G148" s="1763">
        <v>43358</v>
      </c>
      <c r="H148" s="1764"/>
      <c r="I148" s="1762" t="s">
        <v>170</v>
      </c>
      <c r="J148" s="667"/>
      <c r="K148" s="1769" t="s">
        <v>761</v>
      </c>
      <c r="L148" s="1233">
        <v>23173</v>
      </c>
      <c r="M148" s="1761"/>
      <c r="N148" s="1761"/>
      <c r="O148" s="1765">
        <v>10</v>
      </c>
      <c r="P148" s="1761">
        <v>50</v>
      </c>
      <c r="Q148" s="2382">
        <f t="shared" si="18"/>
        <v>500</v>
      </c>
      <c r="R148" s="2382"/>
      <c r="S148" s="1766"/>
      <c r="T148" s="1766"/>
      <c r="U148" s="1766"/>
      <c r="V148" s="1766"/>
      <c r="W148" s="1766"/>
      <c r="X148" s="1767"/>
      <c r="Y148" s="1739">
        <v>500</v>
      </c>
      <c r="Z148" s="1825"/>
      <c r="AA148" s="1825"/>
      <c r="AB148" s="1825"/>
      <c r="AC148" s="1825"/>
      <c r="AD148" s="1825"/>
      <c r="AE148" s="1825"/>
      <c r="AF148" s="1825"/>
      <c r="AG148" s="1282">
        <f t="shared" si="13"/>
        <v>500</v>
      </c>
    </row>
    <row r="149" spans="1:33" s="1826" customFormat="1" ht="75.75" hidden="1" customHeight="1">
      <c r="A149" s="683">
        <v>1216</v>
      </c>
      <c r="B149" s="1770" t="s">
        <v>756</v>
      </c>
      <c r="C149" s="1076" t="s">
        <v>757</v>
      </c>
      <c r="D149" s="1761"/>
      <c r="E149" s="1762">
        <f t="shared" si="16"/>
        <v>27</v>
      </c>
      <c r="F149" s="1763">
        <v>43332</v>
      </c>
      <c r="G149" s="1763">
        <v>43358</v>
      </c>
      <c r="H149" s="1764"/>
      <c r="I149" s="1762" t="s">
        <v>170</v>
      </c>
      <c r="J149" s="667"/>
      <c r="K149" s="1769" t="s">
        <v>762</v>
      </c>
      <c r="L149" s="1233">
        <v>23173</v>
      </c>
      <c r="M149" s="1761"/>
      <c r="N149" s="1761"/>
      <c r="O149" s="1765">
        <v>15</v>
      </c>
      <c r="P149" s="1761">
        <v>50</v>
      </c>
      <c r="Q149" s="2382">
        <f t="shared" si="18"/>
        <v>750</v>
      </c>
      <c r="R149" s="2382"/>
      <c r="S149" s="1766"/>
      <c r="T149" s="1766"/>
      <c r="U149" s="1766"/>
      <c r="V149" s="1766"/>
      <c r="W149" s="1766"/>
      <c r="X149" s="1767"/>
      <c r="Y149" s="1739">
        <v>750</v>
      </c>
      <c r="Z149" s="1825"/>
      <c r="AA149" s="1825"/>
      <c r="AB149" s="1825"/>
      <c r="AC149" s="1825"/>
      <c r="AD149" s="1825"/>
      <c r="AE149" s="1825"/>
      <c r="AF149" s="1825"/>
      <c r="AG149" s="1282">
        <f t="shared" si="13"/>
        <v>750</v>
      </c>
    </row>
    <row r="150" spans="1:33" s="1826" customFormat="1" ht="75.75" hidden="1" customHeight="1">
      <c r="A150" s="683">
        <v>1216</v>
      </c>
      <c r="B150" s="1770" t="s">
        <v>756</v>
      </c>
      <c r="C150" s="1076" t="s">
        <v>757</v>
      </c>
      <c r="D150" s="1761"/>
      <c r="E150" s="1762">
        <f t="shared" si="16"/>
        <v>27</v>
      </c>
      <c r="F150" s="1763">
        <v>43332</v>
      </c>
      <c r="G150" s="1763">
        <v>43358</v>
      </c>
      <c r="H150" s="1764"/>
      <c r="I150" s="1762" t="s">
        <v>170</v>
      </c>
      <c r="J150" s="667"/>
      <c r="K150" s="1769" t="s">
        <v>763</v>
      </c>
      <c r="L150" s="1233">
        <v>23173</v>
      </c>
      <c r="M150" s="1761"/>
      <c r="N150" s="1761"/>
      <c r="O150" s="1765">
        <v>10</v>
      </c>
      <c r="P150" s="1761">
        <f>22+114+28+23+10+10</f>
        <v>207</v>
      </c>
      <c r="Q150" s="2382">
        <f t="shared" si="18"/>
        <v>2070</v>
      </c>
      <c r="R150" s="2382"/>
      <c r="S150" s="1766"/>
      <c r="T150" s="1766"/>
      <c r="U150" s="1766"/>
      <c r="V150" s="1766"/>
      <c r="W150" s="1766"/>
      <c r="X150" s="1767"/>
      <c r="Y150" s="1739">
        <v>2070</v>
      </c>
      <c r="Z150" s="1825"/>
      <c r="AA150" s="1825"/>
      <c r="AB150" s="1825"/>
      <c r="AC150" s="1825"/>
      <c r="AD150" s="1825"/>
      <c r="AE150" s="1825"/>
      <c r="AF150" s="1825"/>
      <c r="AG150" s="1282">
        <f t="shared" si="13"/>
        <v>2070</v>
      </c>
    </row>
    <row r="151" spans="1:33" s="1826" customFormat="1" ht="75.75" hidden="1" customHeight="1">
      <c r="A151" s="683">
        <v>1216</v>
      </c>
      <c r="B151" s="1770" t="s">
        <v>756</v>
      </c>
      <c r="C151" s="1076" t="s">
        <v>757</v>
      </c>
      <c r="D151" s="1761"/>
      <c r="E151" s="1762">
        <f t="shared" si="16"/>
        <v>27</v>
      </c>
      <c r="F151" s="1763">
        <v>43332</v>
      </c>
      <c r="G151" s="1763">
        <v>43358</v>
      </c>
      <c r="H151" s="1764"/>
      <c r="I151" s="1762" t="s">
        <v>170</v>
      </c>
      <c r="J151" s="667"/>
      <c r="K151" s="1769" t="s">
        <v>764</v>
      </c>
      <c r="L151" s="1233">
        <v>23173</v>
      </c>
      <c r="M151" s="1761"/>
      <c r="N151" s="1761"/>
      <c r="O151" s="1765">
        <v>5</v>
      </c>
      <c r="P151" s="1761">
        <v>207</v>
      </c>
      <c r="Q151" s="2382">
        <f t="shared" si="18"/>
        <v>1035</v>
      </c>
      <c r="R151" s="2382"/>
      <c r="S151" s="1766"/>
      <c r="T151" s="1766"/>
      <c r="U151" s="1766"/>
      <c r="V151" s="1766"/>
      <c r="W151" s="1766"/>
      <c r="X151" s="1767"/>
      <c r="Y151" s="1739">
        <v>1035</v>
      </c>
      <c r="Z151" s="1825"/>
      <c r="AA151" s="1825"/>
      <c r="AB151" s="1825"/>
      <c r="AC151" s="1825"/>
      <c r="AD151" s="1825"/>
      <c r="AE151" s="1825"/>
      <c r="AF151" s="1825"/>
      <c r="AG151" s="1282">
        <f t="shared" si="13"/>
        <v>1035</v>
      </c>
    </row>
    <row r="152" spans="1:33" s="1826" customFormat="1" ht="75.75" hidden="1" customHeight="1">
      <c r="A152" s="683">
        <v>1217</v>
      </c>
      <c r="B152" s="1770" t="s">
        <v>499</v>
      </c>
      <c r="C152" s="1076" t="s">
        <v>767</v>
      </c>
      <c r="D152" s="1761"/>
      <c r="E152" s="1762">
        <f t="shared" si="16"/>
        <v>189</v>
      </c>
      <c r="F152" s="1763">
        <v>43185</v>
      </c>
      <c r="G152" s="1763">
        <v>43373</v>
      </c>
      <c r="H152" s="1764"/>
      <c r="I152" s="1762" t="s">
        <v>768</v>
      </c>
      <c r="J152" s="667"/>
      <c r="K152" s="1769"/>
      <c r="L152" s="1233">
        <v>2313</v>
      </c>
      <c r="M152" s="1761"/>
      <c r="N152" s="1761"/>
      <c r="O152" s="1765">
        <v>50000</v>
      </c>
      <c r="P152" s="1761"/>
      <c r="Q152" s="2382">
        <v>50000</v>
      </c>
      <c r="R152" s="2382"/>
      <c r="S152" s="1766"/>
      <c r="T152" s="1765">
        <v>50000</v>
      </c>
      <c r="U152" s="1766"/>
      <c r="V152" s="1766"/>
      <c r="W152" s="1766"/>
      <c r="X152" s="1767"/>
      <c r="Y152" s="1768"/>
      <c r="Z152" s="1825"/>
      <c r="AA152" s="1825"/>
      <c r="AB152" s="1825"/>
      <c r="AC152" s="1825"/>
      <c r="AD152" s="1825"/>
      <c r="AE152" s="1825"/>
      <c r="AF152" s="1825"/>
      <c r="AG152" s="1282">
        <f t="shared" si="13"/>
        <v>50000</v>
      </c>
    </row>
    <row r="153" spans="1:33" s="1826" customFormat="1" ht="57.75" hidden="1" customHeight="1">
      <c r="A153" s="683">
        <v>1218</v>
      </c>
      <c r="B153" s="1770" t="s">
        <v>769</v>
      </c>
      <c r="C153" s="1076" t="s">
        <v>770</v>
      </c>
      <c r="D153" s="1761"/>
      <c r="E153" s="1762">
        <f t="shared" si="16"/>
        <v>189</v>
      </c>
      <c r="F153" s="1763">
        <v>43185</v>
      </c>
      <c r="G153" s="1763">
        <v>43373</v>
      </c>
      <c r="H153" s="1764"/>
      <c r="I153" s="1762" t="s">
        <v>768</v>
      </c>
      <c r="J153" s="667"/>
      <c r="K153" s="1769"/>
      <c r="L153" s="1233">
        <v>2313</v>
      </c>
      <c r="M153" s="1761"/>
      <c r="N153" s="1761"/>
      <c r="O153" s="1765">
        <v>15000</v>
      </c>
      <c r="P153" s="1761"/>
      <c r="Q153" s="2382">
        <v>15000</v>
      </c>
      <c r="R153" s="2382"/>
      <c r="S153" s="1766"/>
      <c r="T153" s="1765">
        <v>15000</v>
      </c>
      <c r="U153" s="1766"/>
      <c r="V153" s="1766"/>
      <c r="W153" s="1766"/>
      <c r="X153" s="1767"/>
      <c r="Y153" s="1768"/>
      <c r="Z153" s="1825"/>
      <c r="AA153" s="1825"/>
      <c r="AB153" s="1825"/>
      <c r="AC153" s="1825"/>
      <c r="AD153" s="1825"/>
      <c r="AE153" s="1825"/>
      <c r="AF153" s="1825"/>
      <c r="AG153" s="1282">
        <f t="shared" si="13"/>
        <v>15000</v>
      </c>
    </row>
    <row r="154" spans="1:33" ht="16.5" hidden="1" customHeight="1">
      <c r="A154" s="1324">
        <v>122</v>
      </c>
      <c r="B154" s="1463" t="s">
        <v>771</v>
      </c>
      <c r="C154" s="1498"/>
      <c r="D154" s="1325"/>
      <c r="E154" s="1325"/>
      <c r="F154" s="1325"/>
      <c r="G154" s="1325"/>
      <c r="H154" s="1325"/>
      <c r="I154" s="1325"/>
      <c r="J154" s="636"/>
      <c r="K154" s="1296"/>
      <c r="L154" s="1298"/>
      <c r="M154" s="1326"/>
      <c r="N154" s="1297"/>
      <c r="O154" s="1327"/>
      <c r="P154" s="1328"/>
      <c r="Q154" s="2348">
        <f>SUM(Q155:Q221)</f>
        <v>150847.67633333337</v>
      </c>
      <c r="R154" s="790"/>
      <c r="S154" s="1329">
        <f t="shared" ref="S154:AF154" si="19">SUM(S155:S221)</f>
        <v>0</v>
      </c>
      <c r="T154" s="1329">
        <f t="shared" si="19"/>
        <v>13416.399666666666</v>
      </c>
      <c r="U154" s="1329">
        <f t="shared" si="19"/>
        <v>32731.999333333333</v>
      </c>
      <c r="V154" s="1329">
        <f t="shared" si="19"/>
        <v>80559.724999999991</v>
      </c>
      <c r="W154" s="1329">
        <f t="shared" si="19"/>
        <v>24139.552333333329</v>
      </c>
      <c r="X154" s="1329">
        <f t="shared" si="19"/>
        <v>0</v>
      </c>
      <c r="Y154" s="1329">
        <f t="shared" si="19"/>
        <v>0</v>
      </c>
      <c r="Z154" s="1329">
        <f t="shared" si="19"/>
        <v>0</v>
      </c>
      <c r="AA154" s="1329">
        <f t="shared" si="19"/>
        <v>0</v>
      </c>
      <c r="AB154" s="1329">
        <f t="shared" si="19"/>
        <v>0</v>
      </c>
      <c r="AC154" s="1329">
        <f t="shared" si="19"/>
        <v>0</v>
      </c>
      <c r="AD154" s="1329">
        <f t="shared" si="19"/>
        <v>0</v>
      </c>
      <c r="AE154" s="1329">
        <f t="shared" si="19"/>
        <v>0</v>
      </c>
      <c r="AF154" s="1329">
        <f t="shared" si="19"/>
        <v>0</v>
      </c>
      <c r="AG154" s="1329">
        <f>SUM(S154:AF154)</f>
        <v>150847.67633333331</v>
      </c>
    </row>
    <row r="155" spans="1:33" ht="57.75" hidden="1" customHeight="1">
      <c r="A155" s="796">
        <v>1221</v>
      </c>
      <c r="B155" s="858" t="s">
        <v>772</v>
      </c>
      <c r="C155" s="1074" t="s">
        <v>773</v>
      </c>
      <c r="D155" s="805"/>
      <c r="E155" s="796">
        <v>10</v>
      </c>
      <c r="F155" s="1775">
        <v>43206</v>
      </c>
      <c r="G155" s="1775">
        <f>F155+E155</f>
        <v>43216</v>
      </c>
      <c r="H155" s="805" t="s">
        <v>774</v>
      </c>
      <c r="I155" s="796" t="s">
        <v>170</v>
      </c>
      <c r="J155" s="792"/>
      <c r="K155" s="805" t="s">
        <v>775</v>
      </c>
      <c r="L155" s="1776">
        <v>23174</v>
      </c>
      <c r="M155" s="805"/>
      <c r="N155" s="805"/>
      <c r="O155" s="954">
        <v>4536</v>
      </c>
      <c r="P155" s="805">
        <v>1</v>
      </c>
      <c r="Q155" s="1778">
        <f t="shared" ref="Q155:Q181" si="20">O155*P155</f>
        <v>4536</v>
      </c>
      <c r="R155" s="1777"/>
      <c r="S155" s="1778"/>
      <c r="T155" s="1727">
        <v>4536</v>
      </c>
      <c r="U155" s="1779"/>
      <c r="V155" s="805"/>
      <c r="W155" s="1777"/>
      <c r="X155" s="1780"/>
      <c r="Y155" s="1124"/>
      <c r="Z155" s="1124"/>
      <c r="AA155" s="1124"/>
      <c r="AB155" s="1124"/>
      <c r="AC155" s="1124"/>
      <c r="AD155" s="1124"/>
      <c r="AE155" s="1124"/>
      <c r="AF155" s="1124"/>
      <c r="AG155" s="1282">
        <f t="shared" ref="AG155:AG218" si="21">SUM(S155:AF155)</f>
        <v>4536</v>
      </c>
    </row>
    <row r="156" spans="1:33" ht="57.75" hidden="1" customHeight="1">
      <c r="A156" s="796">
        <v>1221</v>
      </c>
      <c r="B156" s="858" t="s">
        <v>772</v>
      </c>
      <c r="C156" s="1074" t="s">
        <v>773</v>
      </c>
      <c r="D156" s="805"/>
      <c r="E156" s="796">
        <v>10</v>
      </c>
      <c r="F156" s="1775">
        <v>43206</v>
      </c>
      <c r="G156" s="1775">
        <f t="shared" ref="G156:G161" si="22">F156+E156</f>
        <v>43216</v>
      </c>
      <c r="H156" s="805" t="s">
        <v>774</v>
      </c>
      <c r="I156" s="796" t="s">
        <v>170</v>
      </c>
      <c r="J156" s="792"/>
      <c r="K156" s="805" t="s">
        <v>776</v>
      </c>
      <c r="L156" s="1776">
        <v>23174</v>
      </c>
      <c r="M156" s="805"/>
      <c r="N156" s="805"/>
      <c r="O156" s="954">
        <v>1320</v>
      </c>
      <c r="P156" s="805">
        <v>1</v>
      </c>
      <c r="Q156" s="1778">
        <f t="shared" si="20"/>
        <v>1320</v>
      </c>
      <c r="R156" s="1777"/>
      <c r="S156" s="1778"/>
      <c r="T156" s="1727">
        <v>1320</v>
      </c>
      <c r="U156" s="1779"/>
      <c r="V156" s="805"/>
      <c r="W156" s="1777"/>
      <c r="X156" s="1781"/>
      <c r="Y156" s="1124"/>
      <c r="Z156" s="1124"/>
      <c r="AA156" s="1124"/>
      <c r="AB156" s="1124"/>
      <c r="AC156" s="1124"/>
      <c r="AD156" s="1124"/>
      <c r="AE156" s="1124"/>
      <c r="AF156" s="1124"/>
      <c r="AG156" s="1282">
        <f t="shared" si="21"/>
        <v>1320</v>
      </c>
    </row>
    <row r="157" spans="1:33" ht="57.75" hidden="1" customHeight="1">
      <c r="A157" s="796">
        <v>1221</v>
      </c>
      <c r="B157" s="858" t="s">
        <v>772</v>
      </c>
      <c r="C157" s="1074" t="s">
        <v>773</v>
      </c>
      <c r="D157" s="805"/>
      <c r="E157" s="796">
        <v>10</v>
      </c>
      <c r="F157" s="1775">
        <v>43206</v>
      </c>
      <c r="G157" s="1775">
        <f t="shared" si="22"/>
        <v>43216</v>
      </c>
      <c r="H157" s="805" t="s">
        <v>774</v>
      </c>
      <c r="I157" s="796" t="s">
        <v>170</v>
      </c>
      <c r="J157" s="792"/>
      <c r="K157" s="805" t="s">
        <v>777</v>
      </c>
      <c r="L157" s="1776">
        <v>23174</v>
      </c>
      <c r="M157" s="805"/>
      <c r="N157" s="805"/>
      <c r="O157" s="954">
        <v>260</v>
      </c>
      <c r="P157" s="805">
        <v>1</v>
      </c>
      <c r="Q157" s="1778">
        <f t="shared" si="20"/>
        <v>260</v>
      </c>
      <c r="R157" s="1777"/>
      <c r="S157" s="1778"/>
      <c r="T157" s="1727">
        <v>260</v>
      </c>
      <c r="U157" s="1779"/>
      <c r="V157" s="805"/>
      <c r="W157" s="1777"/>
      <c r="X157" s="1781"/>
      <c r="Y157" s="1124"/>
      <c r="Z157" s="1124"/>
      <c r="AA157" s="1124"/>
      <c r="AB157" s="1124"/>
      <c r="AC157" s="1124"/>
      <c r="AD157" s="1124"/>
      <c r="AE157" s="1124"/>
      <c r="AF157" s="1124"/>
      <c r="AG157" s="1282">
        <f t="shared" si="21"/>
        <v>260</v>
      </c>
    </row>
    <row r="158" spans="1:33" ht="57.75" hidden="1" customHeight="1">
      <c r="A158" s="796">
        <v>1221</v>
      </c>
      <c r="B158" s="858" t="s">
        <v>772</v>
      </c>
      <c r="C158" s="1074" t="s">
        <v>773</v>
      </c>
      <c r="D158" s="805"/>
      <c r="E158" s="796">
        <v>10</v>
      </c>
      <c r="F158" s="1775">
        <v>43206</v>
      </c>
      <c r="G158" s="1775">
        <f t="shared" si="22"/>
        <v>43216</v>
      </c>
      <c r="H158" s="805" t="s">
        <v>774</v>
      </c>
      <c r="I158" s="796" t="s">
        <v>170</v>
      </c>
      <c r="J158" s="792"/>
      <c r="K158" s="805" t="s">
        <v>778</v>
      </c>
      <c r="L158" s="1776">
        <v>23174</v>
      </c>
      <c r="M158" s="805"/>
      <c r="N158" s="805"/>
      <c r="O158" s="954">
        <v>4573.333333333333</v>
      </c>
      <c r="P158" s="805">
        <v>1</v>
      </c>
      <c r="Q158" s="1778">
        <f t="shared" si="20"/>
        <v>4573.333333333333</v>
      </c>
      <c r="R158" s="1777"/>
      <c r="S158" s="1778"/>
      <c r="T158" s="954">
        <v>4573.333333333333</v>
      </c>
      <c r="U158" s="1779"/>
      <c r="V158" s="805"/>
      <c r="W158" s="1777"/>
      <c r="X158" s="1781"/>
      <c r="Y158" s="1124"/>
      <c r="Z158" s="1124"/>
      <c r="AA158" s="1124"/>
      <c r="AB158" s="1124"/>
      <c r="AC158" s="1124"/>
      <c r="AD158" s="1124"/>
      <c r="AE158" s="1124"/>
      <c r="AF158" s="1124"/>
      <c r="AG158" s="1282">
        <f t="shared" si="21"/>
        <v>4573.333333333333</v>
      </c>
    </row>
    <row r="159" spans="1:33" ht="57.75" hidden="1" customHeight="1">
      <c r="A159" s="796">
        <v>1221</v>
      </c>
      <c r="B159" s="858" t="s">
        <v>772</v>
      </c>
      <c r="C159" s="1074" t="s">
        <v>773</v>
      </c>
      <c r="D159" s="805"/>
      <c r="E159" s="796">
        <v>10</v>
      </c>
      <c r="F159" s="1775">
        <v>43206</v>
      </c>
      <c r="G159" s="1775">
        <f t="shared" si="22"/>
        <v>43216</v>
      </c>
      <c r="H159" s="805" t="s">
        <v>774</v>
      </c>
      <c r="I159" s="796" t="s">
        <v>170</v>
      </c>
      <c r="J159" s="792"/>
      <c r="K159" s="805" t="s">
        <v>779</v>
      </c>
      <c r="L159" s="1776">
        <v>23174</v>
      </c>
      <c r="M159" s="805"/>
      <c r="N159" s="805"/>
      <c r="O159" s="954">
        <v>153.33333333333334</v>
      </c>
      <c r="P159" s="805">
        <v>1</v>
      </c>
      <c r="Q159" s="1778">
        <f t="shared" si="20"/>
        <v>153.33333333333334</v>
      </c>
      <c r="R159" s="1777"/>
      <c r="S159" s="1778"/>
      <c r="T159" s="1727">
        <v>153.33333333333334</v>
      </c>
      <c r="U159" s="1779"/>
      <c r="V159" s="805"/>
      <c r="W159" s="1777"/>
      <c r="X159" s="1781"/>
      <c r="Y159" s="1124"/>
      <c r="Z159" s="1124"/>
      <c r="AA159" s="1124"/>
      <c r="AB159" s="1124"/>
      <c r="AC159" s="1124"/>
      <c r="AD159" s="1124"/>
      <c r="AE159" s="1124"/>
      <c r="AF159" s="1124"/>
      <c r="AG159" s="1282">
        <f t="shared" si="21"/>
        <v>153.33333333333334</v>
      </c>
    </row>
    <row r="160" spans="1:33" ht="57.75" hidden="1" customHeight="1">
      <c r="A160" s="796">
        <v>1221</v>
      </c>
      <c r="B160" s="858" t="s">
        <v>772</v>
      </c>
      <c r="C160" s="1074" t="s">
        <v>773</v>
      </c>
      <c r="D160" s="805"/>
      <c r="E160" s="796">
        <v>10</v>
      </c>
      <c r="F160" s="1775">
        <v>43206</v>
      </c>
      <c r="G160" s="1775">
        <f t="shared" si="22"/>
        <v>43216</v>
      </c>
      <c r="H160" s="805" t="s">
        <v>774</v>
      </c>
      <c r="I160" s="796" t="s">
        <v>170</v>
      </c>
      <c r="J160" s="792"/>
      <c r="K160" s="805" t="s">
        <v>780</v>
      </c>
      <c r="L160" s="1776">
        <v>23174</v>
      </c>
      <c r="M160" s="805"/>
      <c r="N160" s="805"/>
      <c r="O160" s="954">
        <v>238</v>
      </c>
      <c r="P160" s="805">
        <v>1</v>
      </c>
      <c r="Q160" s="1778">
        <f t="shared" si="20"/>
        <v>238</v>
      </c>
      <c r="R160" s="1777"/>
      <c r="S160" s="1778"/>
      <c r="T160" s="1727">
        <v>238</v>
      </c>
      <c r="U160" s="1779"/>
      <c r="V160" s="805"/>
      <c r="W160" s="1777"/>
      <c r="X160" s="1781"/>
      <c r="Y160" s="1124"/>
      <c r="Z160" s="1124"/>
      <c r="AA160" s="1124"/>
      <c r="AB160" s="1124"/>
      <c r="AC160" s="1124"/>
      <c r="AD160" s="1124"/>
      <c r="AE160" s="1124"/>
      <c r="AF160" s="1124"/>
      <c r="AG160" s="1282">
        <f t="shared" si="21"/>
        <v>238</v>
      </c>
    </row>
    <row r="161" spans="1:33" ht="57.75" hidden="1" customHeight="1">
      <c r="A161" s="796">
        <v>1221</v>
      </c>
      <c r="B161" s="858" t="s">
        <v>772</v>
      </c>
      <c r="C161" s="1074" t="s">
        <v>773</v>
      </c>
      <c r="D161" s="805"/>
      <c r="E161" s="796">
        <v>10</v>
      </c>
      <c r="F161" s="1775">
        <v>43206</v>
      </c>
      <c r="G161" s="1775">
        <f t="shared" si="22"/>
        <v>43216</v>
      </c>
      <c r="H161" s="805" t="s">
        <v>774</v>
      </c>
      <c r="I161" s="796" t="s">
        <v>170</v>
      </c>
      <c r="J161" s="792"/>
      <c r="K161" s="805" t="s">
        <v>781</v>
      </c>
      <c r="L161" s="1776">
        <v>23174</v>
      </c>
      <c r="M161" s="805"/>
      <c r="N161" s="805"/>
      <c r="O161" s="954">
        <v>594.73333333333335</v>
      </c>
      <c r="P161" s="805">
        <v>1</v>
      </c>
      <c r="Q161" s="1778">
        <f t="shared" si="20"/>
        <v>594.73333333333335</v>
      </c>
      <c r="R161" s="1777"/>
      <c r="S161" s="1778"/>
      <c r="T161" s="1727">
        <v>594.73333333333335</v>
      </c>
      <c r="U161" s="1779"/>
      <c r="V161" s="805"/>
      <c r="W161" s="1777"/>
      <c r="X161" s="1781"/>
      <c r="Y161" s="1124"/>
      <c r="Z161" s="1124"/>
      <c r="AA161" s="1124"/>
      <c r="AB161" s="1124"/>
      <c r="AC161" s="1124"/>
      <c r="AD161" s="1124"/>
      <c r="AE161" s="1124"/>
      <c r="AF161" s="1124"/>
      <c r="AG161" s="1282">
        <f t="shared" si="21"/>
        <v>594.73333333333335</v>
      </c>
    </row>
    <row r="162" spans="1:33" ht="57.75" hidden="1" customHeight="1">
      <c r="A162" s="796">
        <v>1221</v>
      </c>
      <c r="B162" s="858" t="s">
        <v>772</v>
      </c>
      <c r="C162" s="1074" t="s">
        <v>773</v>
      </c>
      <c r="D162" s="805"/>
      <c r="E162" s="796"/>
      <c r="F162" s="1775"/>
      <c r="G162" s="1775"/>
      <c r="H162" s="805" t="s">
        <v>774</v>
      </c>
      <c r="I162" s="796" t="s">
        <v>170</v>
      </c>
      <c r="J162" s="792"/>
      <c r="K162" s="1292" t="s">
        <v>782</v>
      </c>
      <c r="L162" s="1776">
        <v>23173</v>
      </c>
      <c r="M162" s="805"/>
      <c r="N162" s="805"/>
      <c r="O162" s="954">
        <v>74.332999999999998</v>
      </c>
      <c r="P162" s="805">
        <v>1</v>
      </c>
      <c r="Q162" s="1778">
        <f t="shared" si="20"/>
        <v>74.332999999999998</v>
      </c>
      <c r="R162" s="1777"/>
      <c r="S162" s="1778"/>
      <c r="T162" s="1727">
        <v>74.332999999999998</v>
      </c>
      <c r="U162" s="1779"/>
      <c r="V162" s="805"/>
      <c r="W162" s="1777"/>
      <c r="X162" s="1781"/>
      <c r="Y162" s="1124"/>
      <c r="Z162" s="1124"/>
      <c r="AA162" s="1124"/>
      <c r="AB162" s="1124"/>
      <c r="AC162" s="1124"/>
      <c r="AD162" s="1124"/>
      <c r="AE162" s="1124"/>
      <c r="AF162" s="1124"/>
      <c r="AG162" s="1282">
        <f t="shared" si="21"/>
        <v>74.332999999999998</v>
      </c>
    </row>
    <row r="163" spans="1:33" ht="57.75" hidden="1" customHeight="1">
      <c r="A163" s="796">
        <v>1221</v>
      </c>
      <c r="B163" s="858" t="s">
        <v>772</v>
      </c>
      <c r="C163" s="1074" t="s">
        <v>773</v>
      </c>
      <c r="D163" s="805"/>
      <c r="E163" s="796"/>
      <c r="F163" s="1782"/>
      <c r="G163" s="1782"/>
      <c r="H163" s="805" t="s">
        <v>774</v>
      </c>
      <c r="I163" s="796" t="s">
        <v>170</v>
      </c>
      <c r="J163" s="792"/>
      <c r="K163" s="805" t="s">
        <v>415</v>
      </c>
      <c r="L163" s="1776">
        <v>23173</v>
      </c>
      <c r="M163" s="805"/>
      <c r="N163" s="805"/>
      <c r="O163" s="954">
        <v>1666.6666666666667</v>
      </c>
      <c r="P163" s="805">
        <v>1</v>
      </c>
      <c r="Q163" s="1778">
        <f t="shared" si="20"/>
        <v>1666.6666666666667</v>
      </c>
      <c r="R163" s="1777"/>
      <c r="S163" s="1778"/>
      <c r="T163" s="1727">
        <v>1666.6666666666667</v>
      </c>
      <c r="U163" s="1779"/>
      <c r="V163" s="805"/>
      <c r="W163" s="1777"/>
      <c r="X163" s="1781"/>
      <c r="Y163" s="1124"/>
      <c r="Z163" s="1124"/>
      <c r="AA163" s="1124"/>
      <c r="AB163" s="1124"/>
      <c r="AC163" s="1124"/>
      <c r="AD163" s="1124"/>
      <c r="AE163" s="1124"/>
      <c r="AF163" s="1124"/>
      <c r="AG163" s="1282">
        <f t="shared" si="21"/>
        <v>1666.6666666666667</v>
      </c>
    </row>
    <row r="164" spans="1:33" ht="57.75" hidden="1" customHeight="1">
      <c r="A164" s="796">
        <v>1222</v>
      </c>
      <c r="B164" s="793" t="s">
        <v>783</v>
      </c>
      <c r="C164" s="857" t="s">
        <v>784</v>
      </c>
      <c r="D164" s="805"/>
      <c r="E164" s="796">
        <v>10</v>
      </c>
      <c r="F164" s="1775">
        <v>43227</v>
      </c>
      <c r="G164" s="1775">
        <f>F164+E164</f>
        <v>43237</v>
      </c>
      <c r="H164" s="805" t="s">
        <v>785</v>
      </c>
      <c r="I164" s="796" t="s">
        <v>170</v>
      </c>
      <c r="J164" s="792"/>
      <c r="K164" s="805" t="s">
        <v>775</v>
      </c>
      <c r="L164" s="1776">
        <v>23174</v>
      </c>
      <c r="M164" s="805"/>
      <c r="N164" s="805"/>
      <c r="O164" s="954">
        <v>4956</v>
      </c>
      <c r="P164" s="805">
        <v>1</v>
      </c>
      <c r="Q164" s="1778">
        <f t="shared" si="20"/>
        <v>4956</v>
      </c>
      <c r="R164" s="1777"/>
      <c r="S164" s="1778"/>
      <c r="T164" s="1778"/>
      <c r="U164" s="954">
        <v>4956</v>
      </c>
      <c r="V164" s="805"/>
      <c r="W164" s="805"/>
      <c r="X164" s="1781"/>
      <c r="Y164" s="1124"/>
      <c r="Z164" s="1124"/>
      <c r="AA164" s="1124"/>
      <c r="AB164" s="1124"/>
      <c r="AC164" s="1124"/>
      <c r="AD164" s="1124"/>
      <c r="AE164" s="1124"/>
      <c r="AF164" s="1124"/>
      <c r="AG164" s="1282">
        <f t="shared" si="21"/>
        <v>4956</v>
      </c>
    </row>
    <row r="165" spans="1:33" ht="57.75" hidden="1" customHeight="1">
      <c r="A165" s="796">
        <v>1222</v>
      </c>
      <c r="B165" s="793" t="s">
        <v>783</v>
      </c>
      <c r="C165" s="857" t="s">
        <v>784</v>
      </c>
      <c r="D165" s="805"/>
      <c r="E165" s="796">
        <v>10</v>
      </c>
      <c r="F165" s="1775">
        <v>43227</v>
      </c>
      <c r="G165" s="1775">
        <f t="shared" ref="G165:G170" si="23">F165+E165</f>
        <v>43237</v>
      </c>
      <c r="H165" s="805" t="s">
        <v>785</v>
      </c>
      <c r="I165" s="796" t="s">
        <v>170</v>
      </c>
      <c r="J165" s="792"/>
      <c r="K165" s="805" t="s">
        <v>777</v>
      </c>
      <c r="L165" s="1776">
        <v>23174</v>
      </c>
      <c r="M165" s="805"/>
      <c r="N165" s="805"/>
      <c r="O165" s="954">
        <v>290</v>
      </c>
      <c r="P165" s="805">
        <v>1</v>
      </c>
      <c r="Q165" s="1778">
        <f t="shared" si="20"/>
        <v>290</v>
      </c>
      <c r="R165" s="1777"/>
      <c r="S165" s="1778"/>
      <c r="T165" s="1778"/>
      <c r="U165" s="954">
        <v>290</v>
      </c>
      <c r="V165" s="805"/>
      <c r="W165" s="805"/>
      <c r="X165" s="1781"/>
      <c r="Y165" s="1124"/>
      <c r="Z165" s="1124"/>
      <c r="AA165" s="1124"/>
      <c r="AB165" s="1124"/>
      <c r="AC165" s="1124"/>
      <c r="AD165" s="1124"/>
      <c r="AE165" s="1124"/>
      <c r="AF165" s="1124"/>
      <c r="AG165" s="1282">
        <f t="shared" si="21"/>
        <v>290</v>
      </c>
    </row>
    <row r="166" spans="1:33" ht="57.75" hidden="1" customHeight="1">
      <c r="A166" s="796">
        <v>1222</v>
      </c>
      <c r="B166" s="793" t="s">
        <v>783</v>
      </c>
      <c r="C166" s="857" t="s">
        <v>784</v>
      </c>
      <c r="D166" s="805"/>
      <c r="E166" s="796">
        <v>10</v>
      </c>
      <c r="F166" s="1775">
        <v>43227</v>
      </c>
      <c r="G166" s="1775">
        <f t="shared" si="23"/>
        <v>43237</v>
      </c>
      <c r="H166" s="805" t="s">
        <v>785</v>
      </c>
      <c r="I166" s="796" t="s">
        <v>170</v>
      </c>
      <c r="J166" s="792"/>
      <c r="K166" s="805" t="s">
        <v>776</v>
      </c>
      <c r="L166" s="1776">
        <v>23174</v>
      </c>
      <c r="M166" s="805"/>
      <c r="N166" s="805"/>
      <c r="O166" s="954">
        <v>1440</v>
      </c>
      <c r="P166" s="805">
        <v>1</v>
      </c>
      <c r="Q166" s="1778">
        <f t="shared" si="20"/>
        <v>1440</v>
      </c>
      <c r="R166" s="1777"/>
      <c r="S166" s="1778"/>
      <c r="T166" s="1778"/>
      <c r="U166" s="954">
        <v>1440</v>
      </c>
      <c r="V166" s="805"/>
      <c r="W166" s="805"/>
      <c r="X166" s="1781"/>
      <c r="Y166" s="1124"/>
      <c r="Z166" s="1124"/>
      <c r="AA166" s="1124"/>
      <c r="AB166" s="1124"/>
      <c r="AC166" s="1124"/>
      <c r="AD166" s="1124"/>
      <c r="AE166" s="1124"/>
      <c r="AF166" s="1124"/>
      <c r="AG166" s="1282">
        <f t="shared" si="21"/>
        <v>1440</v>
      </c>
    </row>
    <row r="167" spans="1:33" ht="57.75" hidden="1" customHeight="1">
      <c r="A167" s="796">
        <v>1222</v>
      </c>
      <c r="B167" s="793" t="s">
        <v>783</v>
      </c>
      <c r="C167" s="857" t="s">
        <v>784</v>
      </c>
      <c r="D167" s="805"/>
      <c r="E167" s="796">
        <v>10</v>
      </c>
      <c r="F167" s="1775">
        <v>43227</v>
      </c>
      <c r="G167" s="1775">
        <f t="shared" si="23"/>
        <v>43237</v>
      </c>
      <c r="H167" s="805" t="s">
        <v>785</v>
      </c>
      <c r="I167" s="796" t="s">
        <v>170</v>
      </c>
      <c r="J167" s="792"/>
      <c r="K167" s="805" t="s">
        <v>778</v>
      </c>
      <c r="L167" s="1776">
        <v>23174</v>
      </c>
      <c r="M167" s="805"/>
      <c r="N167" s="805"/>
      <c r="O167" s="954">
        <v>5040</v>
      </c>
      <c r="P167" s="805">
        <v>1</v>
      </c>
      <c r="Q167" s="1778">
        <f t="shared" si="20"/>
        <v>5040</v>
      </c>
      <c r="R167" s="1777"/>
      <c r="S167" s="1778"/>
      <c r="T167" s="1778"/>
      <c r="U167" s="954">
        <v>5040</v>
      </c>
      <c r="V167" s="805"/>
      <c r="W167" s="805"/>
      <c r="X167" s="1781"/>
      <c r="Y167" s="1124"/>
      <c r="Z167" s="1124"/>
      <c r="AA167" s="1124"/>
      <c r="AB167" s="1124"/>
      <c r="AC167" s="1124"/>
      <c r="AD167" s="1124"/>
      <c r="AE167" s="1124"/>
      <c r="AF167" s="1124"/>
      <c r="AG167" s="1282">
        <f t="shared" si="21"/>
        <v>5040</v>
      </c>
    </row>
    <row r="168" spans="1:33" ht="57.75" hidden="1" customHeight="1">
      <c r="A168" s="796">
        <v>1222</v>
      </c>
      <c r="B168" s="793" t="s">
        <v>783</v>
      </c>
      <c r="C168" s="857" t="s">
        <v>784</v>
      </c>
      <c r="D168" s="805"/>
      <c r="E168" s="796">
        <v>10</v>
      </c>
      <c r="F168" s="1775">
        <v>43227</v>
      </c>
      <c r="G168" s="1775">
        <f t="shared" si="23"/>
        <v>43237</v>
      </c>
      <c r="H168" s="805" t="s">
        <v>785</v>
      </c>
      <c r="I168" s="796" t="s">
        <v>170</v>
      </c>
      <c r="J168" s="792"/>
      <c r="K168" s="805" t="s">
        <v>779</v>
      </c>
      <c r="L168" s="1776">
        <v>23174</v>
      </c>
      <c r="M168" s="805"/>
      <c r="N168" s="805"/>
      <c r="O168" s="954">
        <v>173.33333333333334</v>
      </c>
      <c r="P168" s="805">
        <v>1</v>
      </c>
      <c r="Q168" s="1778">
        <f t="shared" si="20"/>
        <v>173.33333333333334</v>
      </c>
      <c r="R168" s="1777"/>
      <c r="S168" s="1778"/>
      <c r="T168" s="1778"/>
      <c r="U168" s="954">
        <v>173.33333333333334</v>
      </c>
      <c r="V168" s="805"/>
      <c r="W168" s="805"/>
      <c r="X168" s="1781"/>
      <c r="Y168" s="1124"/>
      <c r="Z168" s="1124"/>
      <c r="AA168" s="1124"/>
      <c r="AB168" s="1124"/>
      <c r="AC168" s="1124"/>
      <c r="AD168" s="1124"/>
      <c r="AE168" s="1124"/>
      <c r="AF168" s="1124"/>
      <c r="AG168" s="1282">
        <f t="shared" si="21"/>
        <v>173.33333333333334</v>
      </c>
    </row>
    <row r="169" spans="1:33" ht="57.75" hidden="1" customHeight="1">
      <c r="A169" s="796">
        <v>1222</v>
      </c>
      <c r="B169" s="793" t="s">
        <v>783</v>
      </c>
      <c r="C169" s="857" t="s">
        <v>784</v>
      </c>
      <c r="D169" s="805"/>
      <c r="E169" s="796">
        <v>10</v>
      </c>
      <c r="F169" s="1775">
        <v>43227</v>
      </c>
      <c r="G169" s="1775">
        <f t="shared" si="23"/>
        <v>43237</v>
      </c>
      <c r="H169" s="805" t="s">
        <v>785</v>
      </c>
      <c r="I169" s="796" t="s">
        <v>170</v>
      </c>
      <c r="J169" s="792"/>
      <c r="K169" s="805" t="s">
        <v>780</v>
      </c>
      <c r="L169" s="1776">
        <v>23174</v>
      </c>
      <c r="M169" s="805"/>
      <c r="N169" s="805"/>
      <c r="O169" s="954">
        <v>816</v>
      </c>
      <c r="P169" s="805">
        <v>1</v>
      </c>
      <c r="Q169" s="1778">
        <f t="shared" si="20"/>
        <v>816</v>
      </c>
      <c r="R169" s="1777"/>
      <c r="S169" s="1778"/>
      <c r="T169" s="1778"/>
      <c r="U169" s="954">
        <v>816</v>
      </c>
      <c r="V169" s="805"/>
      <c r="W169" s="805"/>
      <c r="X169" s="1781"/>
      <c r="Y169" s="1124"/>
      <c r="Z169" s="1124"/>
      <c r="AA169" s="1124"/>
      <c r="AB169" s="1124"/>
      <c r="AC169" s="1124"/>
      <c r="AD169" s="1124"/>
      <c r="AE169" s="1124"/>
      <c r="AF169" s="1124"/>
      <c r="AG169" s="1282">
        <f t="shared" si="21"/>
        <v>816</v>
      </c>
    </row>
    <row r="170" spans="1:33" ht="57.75" hidden="1" customHeight="1">
      <c r="A170" s="796">
        <v>1222</v>
      </c>
      <c r="B170" s="793" t="s">
        <v>783</v>
      </c>
      <c r="C170" s="857" t="s">
        <v>784</v>
      </c>
      <c r="D170" s="805"/>
      <c r="E170" s="796">
        <v>10</v>
      </c>
      <c r="F170" s="1775">
        <v>43227</v>
      </c>
      <c r="G170" s="1775">
        <f t="shared" si="23"/>
        <v>43237</v>
      </c>
      <c r="H170" s="805" t="s">
        <v>785</v>
      </c>
      <c r="I170" s="796" t="s">
        <v>170</v>
      </c>
      <c r="J170" s="792"/>
      <c r="K170" s="805" t="s">
        <v>781</v>
      </c>
      <c r="L170" s="1776">
        <v>23174</v>
      </c>
      <c r="M170" s="805"/>
      <c r="N170" s="805"/>
      <c r="O170" s="954">
        <v>1301.6666666666667</v>
      </c>
      <c r="P170" s="805">
        <v>1</v>
      </c>
      <c r="Q170" s="1778">
        <f t="shared" si="20"/>
        <v>1301.6666666666667</v>
      </c>
      <c r="R170" s="1777"/>
      <c r="S170" s="1778"/>
      <c r="T170" s="1778"/>
      <c r="U170" s="954">
        <v>1301.6666666666667</v>
      </c>
      <c r="V170" s="805"/>
      <c r="W170" s="805"/>
      <c r="X170" s="1781"/>
      <c r="Y170" s="1124"/>
      <c r="Z170" s="1124"/>
      <c r="AA170" s="1124"/>
      <c r="AB170" s="1124"/>
      <c r="AC170" s="1124"/>
      <c r="AD170" s="1124"/>
      <c r="AE170" s="1124"/>
      <c r="AF170" s="1124"/>
      <c r="AG170" s="1282">
        <f t="shared" si="21"/>
        <v>1301.6666666666667</v>
      </c>
    </row>
    <row r="171" spans="1:33" ht="57.75" hidden="1" customHeight="1">
      <c r="A171" s="796">
        <v>1222</v>
      </c>
      <c r="B171" s="793" t="s">
        <v>783</v>
      </c>
      <c r="C171" s="857" t="s">
        <v>784</v>
      </c>
      <c r="D171" s="805"/>
      <c r="E171" s="796"/>
      <c r="F171" s="1775"/>
      <c r="G171" s="1775"/>
      <c r="H171" s="805" t="s">
        <v>785</v>
      </c>
      <c r="I171" s="796" t="s">
        <v>170</v>
      </c>
      <c r="J171" s="792"/>
      <c r="K171" s="1292" t="s">
        <v>782</v>
      </c>
      <c r="L171" s="1776">
        <v>23173</v>
      </c>
      <c r="M171" s="805"/>
      <c r="N171" s="805"/>
      <c r="O171" s="954">
        <v>74.332999999999998</v>
      </c>
      <c r="P171" s="805">
        <v>1</v>
      </c>
      <c r="Q171" s="1778">
        <f t="shared" si="20"/>
        <v>74.332999999999998</v>
      </c>
      <c r="R171" s="1777"/>
      <c r="S171" s="1778"/>
      <c r="T171" s="1778"/>
      <c r="U171" s="954">
        <v>74.332999999999998</v>
      </c>
      <c r="V171" s="805"/>
      <c r="W171" s="805"/>
      <c r="X171" s="1781"/>
      <c r="Y171" s="1124"/>
      <c r="Z171" s="1124"/>
      <c r="AA171" s="1124"/>
      <c r="AB171" s="1124"/>
      <c r="AC171" s="1124"/>
      <c r="AD171" s="1124"/>
      <c r="AE171" s="1124"/>
      <c r="AF171" s="1124"/>
      <c r="AG171" s="1282">
        <f t="shared" si="21"/>
        <v>74.332999999999998</v>
      </c>
    </row>
    <row r="172" spans="1:33" ht="57.75" hidden="1" customHeight="1">
      <c r="A172" s="796">
        <v>1222</v>
      </c>
      <c r="B172" s="793" t="s">
        <v>783</v>
      </c>
      <c r="C172" s="857" t="s">
        <v>784</v>
      </c>
      <c r="D172" s="805"/>
      <c r="E172" s="796"/>
      <c r="F172" s="1775"/>
      <c r="G172" s="796"/>
      <c r="H172" s="805" t="s">
        <v>785</v>
      </c>
      <c r="I172" s="796" t="s">
        <v>170</v>
      </c>
      <c r="J172" s="792"/>
      <c r="K172" s="805" t="s">
        <v>415</v>
      </c>
      <c r="L172" s="1776">
        <v>23173</v>
      </c>
      <c r="M172" s="805"/>
      <c r="N172" s="805"/>
      <c r="O172" s="954">
        <v>1666.6666666666667</v>
      </c>
      <c r="P172" s="805">
        <v>1</v>
      </c>
      <c r="Q172" s="1778">
        <f t="shared" si="20"/>
        <v>1666.6666666666667</v>
      </c>
      <c r="R172" s="1777"/>
      <c r="S172" s="1778"/>
      <c r="T172" s="1778"/>
      <c r="U172" s="954">
        <v>1666.6666666666667</v>
      </c>
      <c r="V172" s="805"/>
      <c r="W172" s="805"/>
      <c r="X172" s="1781"/>
      <c r="Y172" s="1124"/>
      <c r="Z172" s="1124"/>
      <c r="AA172" s="1124"/>
      <c r="AB172" s="1124"/>
      <c r="AC172" s="1124"/>
      <c r="AD172" s="1124"/>
      <c r="AE172" s="1124"/>
      <c r="AF172" s="1124"/>
      <c r="AG172" s="1282">
        <f t="shared" si="21"/>
        <v>1666.6666666666667</v>
      </c>
    </row>
    <row r="173" spans="1:33" ht="57.75" hidden="1" customHeight="1">
      <c r="A173" s="796">
        <v>1223</v>
      </c>
      <c r="B173" s="793" t="s">
        <v>786</v>
      </c>
      <c r="C173" s="857" t="s">
        <v>787</v>
      </c>
      <c r="D173" s="805"/>
      <c r="E173" s="796">
        <v>10</v>
      </c>
      <c r="F173" s="1775">
        <v>43262</v>
      </c>
      <c r="G173" s="1775">
        <f>F173+E173</f>
        <v>43272</v>
      </c>
      <c r="H173" s="805" t="s">
        <v>785</v>
      </c>
      <c r="I173" s="796" t="s">
        <v>170</v>
      </c>
      <c r="J173" s="792"/>
      <c r="K173" s="805" t="s">
        <v>775</v>
      </c>
      <c r="L173" s="1776">
        <v>23174</v>
      </c>
      <c r="M173" s="805"/>
      <c r="N173" s="805"/>
      <c r="O173" s="954">
        <v>4956</v>
      </c>
      <c r="P173" s="805">
        <v>1</v>
      </c>
      <c r="Q173" s="1778">
        <f t="shared" si="20"/>
        <v>4956</v>
      </c>
      <c r="R173" s="1777"/>
      <c r="S173" s="1778"/>
      <c r="T173" s="1778"/>
      <c r="U173" s="954">
        <v>4956</v>
      </c>
      <c r="V173" s="805"/>
      <c r="W173" s="805"/>
      <c r="X173" s="1781"/>
      <c r="Y173" s="1124"/>
      <c r="Z173" s="1124"/>
      <c r="AA173" s="1124"/>
      <c r="AB173" s="1124"/>
      <c r="AC173" s="1124"/>
      <c r="AD173" s="1124"/>
      <c r="AE173" s="1124"/>
      <c r="AF173" s="1124"/>
      <c r="AG173" s="1282">
        <f t="shared" si="21"/>
        <v>4956</v>
      </c>
    </row>
    <row r="174" spans="1:33" ht="57.75" hidden="1" customHeight="1">
      <c r="A174" s="796">
        <v>1223</v>
      </c>
      <c r="B174" s="793" t="s">
        <v>786</v>
      </c>
      <c r="C174" s="857" t="s">
        <v>787</v>
      </c>
      <c r="D174" s="805"/>
      <c r="E174" s="796">
        <v>10</v>
      </c>
      <c r="F174" s="1775">
        <v>43262</v>
      </c>
      <c r="G174" s="1775">
        <f t="shared" ref="G174:G179" si="24">F174+E174</f>
        <v>43272</v>
      </c>
      <c r="H174" s="805" t="s">
        <v>785</v>
      </c>
      <c r="I174" s="796" t="s">
        <v>170</v>
      </c>
      <c r="J174" s="792"/>
      <c r="K174" s="805" t="s">
        <v>777</v>
      </c>
      <c r="L174" s="1776">
        <v>23174</v>
      </c>
      <c r="M174" s="805"/>
      <c r="N174" s="805"/>
      <c r="O174" s="954">
        <v>290</v>
      </c>
      <c r="P174" s="805">
        <v>1</v>
      </c>
      <c r="Q174" s="1778">
        <f t="shared" si="20"/>
        <v>290</v>
      </c>
      <c r="R174" s="1777"/>
      <c r="S174" s="1778"/>
      <c r="T174" s="1778"/>
      <c r="U174" s="954">
        <v>290</v>
      </c>
      <c r="V174" s="805"/>
      <c r="W174" s="805"/>
      <c r="X174" s="1781"/>
      <c r="Y174" s="1124"/>
      <c r="Z174" s="1124"/>
      <c r="AA174" s="1124"/>
      <c r="AB174" s="1124"/>
      <c r="AC174" s="1124"/>
      <c r="AD174" s="1124"/>
      <c r="AE174" s="1124"/>
      <c r="AF174" s="1124"/>
      <c r="AG174" s="1282">
        <f t="shared" si="21"/>
        <v>290</v>
      </c>
    </row>
    <row r="175" spans="1:33" ht="57.75" hidden="1" customHeight="1">
      <c r="A175" s="796">
        <v>1223</v>
      </c>
      <c r="B175" s="793" t="s">
        <v>786</v>
      </c>
      <c r="C175" s="857" t="s">
        <v>787</v>
      </c>
      <c r="D175" s="805"/>
      <c r="E175" s="796">
        <v>10</v>
      </c>
      <c r="F175" s="1775">
        <v>43262</v>
      </c>
      <c r="G175" s="1775">
        <f t="shared" si="24"/>
        <v>43272</v>
      </c>
      <c r="H175" s="805" t="s">
        <v>785</v>
      </c>
      <c r="I175" s="796" t="s">
        <v>170</v>
      </c>
      <c r="J175" s="792"/>
      <c r="K175" s="805" t="s">
        <v>776</v>
      </c>
      <c r="L175" s="1776">
        <v>23174</v>
      </c>
      <c r="M175" s="805"/>
      <c r="N175" s="805"/>
      <c r="O175" s="954">
        <v>1440</v>
      </c>
      <c r="P175" s="805">
        <v>1</v>
      </c>
      <c r="Q175" s="1778">
        <f t="shared" si="20"/>
        <v>1440</v>
      </c>
      <c r="R175" s="1777"/>
      <c r="S175" s="1778"/>
      <c r="T175" s="1778"/>
      <c r="U175" s="954">
        <v>1440</v>
      </c>
      <c r="V175" s="805"/>
      <c r="W175" s="805"/>
      <c r="X175" s="1781"/>
      <c r="Y175" s="1124"/>
      <c r="Z175" s="1124"/>
      <c r="AA175" s="1124"/>
      <c r="AB175" s="1124"/>
      <c r="AC175" s="1124"/>
      <c r="AD175" s="1124"/>
      <c r="AE175" s="1124"/>
      <c r="AF175" s="1124"/>
      <c r="AG175" s="1282">
        <f t="shared" si="21"/>
        <v>1440</v>
      </c>
    </row>
    <row r="176" spans="1:33" ht="57.75" hidden="1" customHeight="1">
      <c r="A176" s="796">
        <v>1223</v>
      </c>
      <c r="B176" s="793" t="s">
        <v>786</v>
      </c>
      <c r="C176" s="857" t="s">
        <v>787</v>
      </c>
      <c r="D176" s="805"/>
      <c r="E176" s="796">
        <v>10</v>
      </c>
      <c r="F176" s="1775">
        <v>43262</v>
      </c>
      <c r="G176" s="1775">
        <f t="shared" si="24"/>
        <v>43272</v>
      </c>
      <c r="H176" s="805" t="s">
        <v>785</v>
      </c>
      <c r="I176" s="796" t="s">
        <v>170</v>
      </c>
      <c r="J176" s="792"/>
      <c r="K176" s="805" t="s">
        <v>778</v>
      </c>
      <c r="L176" s="1776">
        <v>23174</v>
      </c>
      <c r="M176" s="805"/>
      <c r="N176" s="805"/>
      <c r="O176" s="954">
        <v>5040</v>
      </c>
      <c r="P176" s="805">
        <v>1</v>
      </c>
      <c r="Q176" s="1778">
        <f t="shared" si="20"/>
        <v>5040</v>
      </c>
      <c r="R176" s="1777"/>
      <c r="S176" s="1778"/>
      <c r="T176" s="1778"/>
      <c r="U176" s="954">
        <v>5040</v>
      </c>
      <c r="V176" s="805"/>
      <c r="W176" s="805"/>
      <c r="X176" s="1781"/>
      <c r="Y176" s="1124"/>
      <c r="Z176" s="1124"/>
      <c r="AA176" s="1124"/>
      <c r="AB176" s="1124"/>
      <c r="AC176" s="1124"/>
      <c r="AD176" s="1124"/>
      <c r="AE176" s="1124"/>
      <c r="AF176" s="1124"/>
      <c r="AG176" s="1282">
        <f t="shared" si="21"/>
        <v>5040</v>
      </c>
    </row>
    <row r="177" spans="1:33" ht="57.75" hidden="1" customHeight="1">
      <c r="A177" s="796">
        <v>1223</v>
      </c>
      <c r="B177" s="793" t="s">
        <v>786</v>
      </c>
      <c r="C177" s="857" t="s">
        <v>787</v>
      </c>
      <c r="D177" s="805"/>
      <c r="E177" s="796">
        <v>10</v>
      </c>
      <c r="F177" s="1775">
        <v>43262</v>
      </c>
      <c r="G177" s="1775">
        <f t="shared" si="24"/>
        <v>43272</v>
      </c>
      <c r="H177" s="805" t="s">
        <v>785</v>
      </c>
      <c r="I177" s="796" t="s">
        <v>170</v>
      </c>
      <c r="J177" s="792"/>
      <c r="K177" s="805" t="s">
        <v>779</v>
      </c>
      <c r="L177" s="1776">
        <v>23174</v>
      </c>
      <c r="M177" s="805"/>
      <c r="N177" s="805"/>
      <c r="O177" s="954">
        <v>173.33333333333334</v>
      </c>
      <c r="P177" s="805">
        <v>1</v>
      </c>
      <c r="Q177" s="1778">
        <f t="shared" si="20"/>
        <v>173.33333333333334</v>
      </c>
      <c r="R177" s="1777"/>
      <c r="S177" s="1778"/>
      <c r="T177" s="1778"/>
      <c r="U177" s="954">
        <v>173.33333333333334</v>
      </c>
      <c r="V177" s="805"/>
      <c r="W177" s="805"/>
      <c r="X177" s="1781"/>
      <c r="Y177" s="1124"/>
      <c r="Z177" s="1124"/>
      <c r="AA177" s="1124"/>
      <c r="AB177" s="1124"/>
      <c r="AC177" s="1124"/>
      <c r="AD177" s="1124"/>
      <c r="AE177" s="1124"/>
      <c r="AF177" s="1124"/>
      <c r="AG177" s="1282">
        <f t="shared" si="21"/>
        <v>173.33333333333334</v>
      </c>
    </row>
    <row r="178" spans="1:33" ht="57.75" hidden="1" customHeight="1">
      <c r="A178" s="796">
        <v>1223</v>
      </c>
      <c r="B178" s="793" t="s">
        <v>786</v>
      </c>
      <c r="C178" s="857" t="s">
        <v>787</v>
      </c>
      <c r="D178" s="805"/>
      <c r="E178" s="796">
        <v>10</v>
      </c>
      <c r="F178" s="1775">
        <v>43262</v>
      </c>
      <c r="G178" s="1775">
        <f t="shared" si="24"/>
        <v>43272</v>
      </c>
      <c r="H178" s="805" t="s">
        <v>785</v>
      </c>
      <c r="I178" s="796" t="s">
        <v>170</v>
      </c>
      <c r="J178" s="792"/>
      <c r="K178" s="805" t="s">
        <v>780</v>
      </c>
      <c r="L178" s="1776">
        <v>23174</v>
      </c>
      <c r="M178" s="805"/>
      <c r="N178" s="805"/>
      <c r="O178" s="954">
        <v>816</v>
      </c>
      <c r="P178" s="805">
        <v>1</v>
      </c>
      <c r="Q178" s="1778">
        <f t="shared" si="20"/>
        <v>816</v>
      </c>
      <c r="R178" s="1777"/>
      <c r="S178" s="1778"/>
      <c r="T178" s="1778"/>
      <c r="U178" s="954">
        <v>816</v>
      </c>
      <c r="V178" s="805"/>
      <c r="W178" s="805"/>
      <c r="X178" s="1781"/>
      <c r="Y178" s="1124"/>
      <c r="Z178" s="1124"/>
      <c r="AA178" s="1124"/>
      <c r="AB178" s="1124"/>
      <c r="AC178" s="1124"/>
      <c r="AD178" s="1124"/>
      <c r="AE178" s="1124"/>
      <c r="AF178" s="1124"/>
      <c r="AG178" s="1282">
        <f t="shared" si="21"/>
        <v>816</v>
      </c>
    </row>
    <row r="179" spans="1:33" ht="57.75" hidden="1" customHeight="1">
      <c r="A179" s="796">
        <v>1223</v>
      </c>
      <c r="B179" s="793" t="s">
        <v>786</v>
      </c>
      <c r="C179" s="857" t="s">
        <v>787</v>
      </c>
      <c r="D179" s="805"/>
      <c r="E179" s="796">
        <v>10</v>
      </c>
      <c r="F179" s="1775">
        <v>43262</v>
      </c>
      <c r="G179" s="1775">
        <f t="shared" si="24"/>
        <v>43272</v>
      </c>
      <c r="H179" s="805" t="s">
        <v>785</v>
      </c>
      <c r="I179" s="796" t="s">
        <v>170</v>
      </c>
      <c r="J179" s="792"/>
      <c r="K179" s="805" t="s">
        <v>781</v>
      </c>
      <c r="L179" s="1776">
        <v>23174</v>
      </c>
      <c r="M179" s="805"/>
      <c r="N179" s="805"/>
      <c r="O179" s="954">
        <v>1301.6666666666667</v>
      </c>
      <c r="P179" s="805">
        <v>1</v>
      </c>
      <c r="Q179" s="1778">
        <f t="shared" si="20"/>
        <v>1301.6666666666667</v>
      </c>
      <c r="R179" s="1777"/>
      <c r="S179" s="1778"/>
      <c r="T179" s="1778"/>
      <c r="U179" s="954">
        <v>1301.6666666666667</v>
      </c>
      <c r="V179" s="805"/>
      <c r="W179" s="805"/>
      <c r="X179" s="1781"/>
      <c r="Y179" s="1124"/>
      <c r="Z179" s="1124"/>
      <c r="AA179" s="1124"/>
      <c r="AB179" s="1124"/>
      <c r="AC179" s="1124"/>
      <c r="AD179" s="1124"/>
      <c r="AE179" s="1124"/>
      <c r="AF179" s="1124"/>
      <c r="AG179" s="1282">
        <f t="shared" si="21"/>
        <v>1301.6666666666667</v>
      </c>
    </row>
    <row r="180" spans="1:33" ht="57.75" hidden="1" customHeight="1">
      <c r="A180" s="796">
        <v>1223</v>
      </c>
      <c r="B180" s="793" t="s">
        <v>786</v>
      </c>
      <c r="C180" s="857" t="s">
        <v>787</v>
      </c>
      <c r="D180" s="805"/>
      <c r="E180" s="796"/>
      <c r="F180" s="1775"/>
      <c r="G180" s="1775"/>
      <c r="H180" s="805" t="s">
        <v>785</v>
      </c>
      <c r="I180" s="796" t="s">
        <v>170</v>
      </c>
      <c r="J180" s="792"/>
      <c r="K180" s="1292" t="s">
        <v>782</v>
      </c>
      <c r="L180" s="1776">
        <v>23173</v>
      </c>
      <c r="M180" s="805"/>
      <c r="N180" s="805"/>
      <c r="O180" s="954">
        <v>74.332999999999998</v>
      </c>
      <c r="P180" s="805">
        <v>1</v>
      </c>
      <c r="Q180" s="1778">
        <f t="shared" si="20"/>
        <v>74.332999999999998</v>
      </c>
      <c r="R180" s="1777"/>
      <c r="S180" s="1778"/>
      <c r="T180" s="1778"/>
      <c r="U180" s="954">
        <v>74.332999999999998</v>
      </c>
      <c r="V180" s="805"/>
      <c r="W180" s="805"/>
      <c r="X180" s="1781"/>
      <c r="Y180" s="1124"/>
      <c r="Z180" s="1124"/>
      <c r="AA180" s="1124"/>
      <c r="AB180" s="1124"/>
      <c r="AC180" s="1124"/>
      <c r="AD180" s="1124"/>
      <c r="AE180" s="1124"/>
      <c r="AF180" s="1124"/>
      <c r="AG180" s="1282">
        <f t="shared" si="21"/>
        <v>74.332999999999998</v>
      </c>
    </row>
    <row r="181" spans="1:33" ht="57.75" hidden="1" customHeight="1">
      <c r="A181" s="796">
        <v>1223</v>
      </c>
      <c r="B181" s="793" t="s">
        <v>786</v>
      </c>
      <c r="C181" s="857" t="s">
        <v>787</v>
      </c>
      <c r="D181" s="805"/>
      <c r="E181" s="796"/>
      <c r="F181" s="1775"/>
      <c r="G181" s="1775"/>
      <c r="H181" s="805" t="s">
        <v>785</v>
      </c>
      <c r="I181" s="796" t="s">
        <v>170</v>
      </c>
      <c r="J181" s="792"/>
      <c r="K181" s="805" t="s">
        <v>415</v>
      </c>
      <c r="L181" s="1776">
        <v>23173</v>
      </c>
      <c r="M181" s="805"/>
      <c r="N181" s="805"/>
      <c r="O181" s="954">
        <v>1666.6666666666667</v>
      </c>
      <c r="P181" s="805">
        <v>1</v>
      </c>
      <c r="Q181" s="1778">
        <f t="shared" si="20"/>
        <v>1666.6666666666667</v>
      </c>
      <c r="R181" s="1777"/>
      <c r="S181" s="1778"/>
      <c r="T181" s="1778"/>
      <c r="U181" s="954">
        <v>1666.6666666666667</v>
      </c>
      <c r="V181" s="805"/>
      <c r="W181" s="805"/>
      <c r="X181" s="1781"/>
      <c r="Y181" s="1124"/>
      <c r="Z181" s="1124"/>
      <c r="AA181" s="1124"/>
      <c r="AB181" s="1124"/>
      <c r="AC181" s="1124"/>
      <c r="AD181" s="1124"/>
      <c r="AE181" s="1124"/>
      <c r="AF181" s="1124"/>
      <c r="AG181" s="1282">
        <f t="shared" si="21"/>
        <v>1666.6666666666667</v>
      </c>
    </row>
    <row r="182" spans="1:33" ht="57.75" hidden="1" customHeight="1">
      <c r="A182" s="796">
        <v>1224</v>
      </c>
      <c r="B182" s="793" t="s">
        <v>788</v>
      </c>
      <c r="C182" s="1074" t="s">
        <v>789</v>
      </c>
      <c r="D182" s="805"/>
      <c r="E182" s="796">
        <v>1</v>
      </c>
      <c r="F182" s="1775">
        <v>43279</v>
      </c>
      <c r="G182" s="1775">
        <f>F182+E182-1</f>
        <v>43279</v>
      </c>
      <c r="H182" s="805" t="s">
        <v>790</v>
      </c>
      <c r="I182" s="796" t="s">
        <v>170</v>
      </c>
      <c r="J182" s="792"/>
      <c r="K182" s="805" t="s">
        <v>670</v>
      </c>
      <c r="L182" s="1776">
        <v>23173</v>
      </c>
      <c r="M182" s="805"/>
      <c r="N182" s="805"/>
      <c r="O182" s="954">
        <v>666.66666666666663</v>
      </c>
      <c r="P182" s="805">
        <v>1</v>
      </c>
      <c r="Q182" s="1778">
        <f>O182*P182</f>
        <v>666.66666666666663</v>
      </c>
      <c r="R182" s="1777"/>
      <c r="S182" s="1778"/>
      <c r="T182" s="1779"/>
      <c r="U182" s="954">
        <v>666.66666666666663</v>
      </c>
      <c r="V182" s="805"/>
      <c r="W182" s="805"/>
      <c r="X182" s="1781"/>
      <c r="Y182" s="1124"/>
      <c r="Z182" s="1124"/>
      <c r="AA182" s="1124"/>
      <c r="AB182" s="1124"/>
      <c r="AC182" s="1124"/>
      <c r="AD182" s="1124"/>
      <c r="AE182" s="1124"/>
      <c r="AF182" s="1124"/>
      <c r="AG182" s="1282">
        <f t="shared" si="21"/>
        <v>666.66666666666663</v>
      </c>
    </row>
    <row r="183" spans="1:33" ht="57.75" hidden="1" customHeight="1">
      <c r="A183" s="796">
        <v>1224</v>
      </c>
      <c r="B183" s="793" t="s">
        <v>788</v>
      </c>
      <c r="C183" s="1074" t="s">
        <v>789</v>
      </c>
      <c r="D183" s="805"/>
      <c r="E183" s="796">
        <v>1</v>
      </c>
      <c r="F183" s="1775">
        <v>43279</v>
      </c>
      <c r="G183" s="1775">
        <f>F183+E183-1</f>
        <v>43279</v>
      </c>
      <c r="H183" s="805" t="s">
        <v>790</v>
      </c>
      <c r="I183" s="796" t="s">
        <v>170</v>
      </c>
      <c r="J183" s="792"/>
      <c r="K183" s="805" t="s">
        <v>415</v>
      </c>
      <c r="L183" s="1776">
        <v>23173</v>
      </c>
      <c r="M183" s="805"/>
      <c r="N183" s="805"/>
      <c r="O183" s="954">
        <v>333.33333333333331</v>
      </c>
      <c r="P183" s="805">
        <v>1</v>
      </c>
      <c r="Q183" s="1778">
        <f>O183*P183</f>
        <v>333.33333333333331</v>
      </c>
      <c r="R183" s="1777"/>
      <c r="S183" s="1778"/>
      <c r="T183" s="1778"/>
      <c r="U183" s="954">
        <v>333.33333333333331</v>
      </c>
      <c r="V183" s="805"/>
      <c r="W183" s="805"/>
      <c r="X183" s="1781"/>
      <c r="Y183" s="1124"/>
      <c r="Z183" s="1124"/>
      <c r="AA183" s="1124"/>
      <c r="AB183" s="1124"/>
      <c r="AC183" s="1124"/>
      <c r="AD183" s="1124"/>
      <c r="AE183" s="1124"/>
      <c r="AF183" s="1124"/>
      <c r="AG183" s="1282">
        <f t="shared" si="21"/>
        <v>333.33333333333331</v>
      </c>
    </row>
    <row r="184" spans="1:33" ht="57.75" hidden="1" customHeight="1">
      <c r="A184" s="796">
        <v>1224</v>
      </c>
      <c r="B184" s="793" t="s">
        <v>788</v>
      </c>
      <c r="C184" s="1074" t="s">
        <v>789</v>
      </c>
      <c r="D184" s="805"/>
      <c r="E184" s="796">
        <v>1</v>
      </c>
      <c r="F184" s="1775">
        <v>43279</v>
      </c>
      <c r="G184" s="1775">
        <f>F184+E184-1</f>
        <v>43279</v>
      </c>
      <c r="H184" s="805" t="s">
        <v>790</v>
      </c>
      <c r="I184" s="796" t="s">
        <v>170</v>
      </c>
      <c r="J184" s="792"/>
      <c r="K184" s="805" t="s">
        <v>638</v>
      </c>
      <c r="L184" s="1776">
        <v>23173</v>
      </c>
      <c r="M184" s="805"/>
      <c r="N184" s="805"/>
      <c r="O184" s="954">
        <v>216</v>
      </c>
      <c r="P184" s="805">
        <v>1</v>
      </c>
      <c r="Q184" s="1778">
        <f>O184*P184</f>
        <v>216</v>
      </c>
      <c r="R184" s="1777"/>
      <c r="S184" s="1778"/>
      <c r="T184" s="1778"/>
      <c r="U184" s="954">
        <v>216</v>
      </c>
      <c r="V184" s="805"/>
      <c r="W184" s="805"/>
      <c r="X184" s="1781"/>
      <c r="Y184" s="1124"/>
      <c r="Z184" s="1124"/>
      <c r="AA184" s="1124"/>
      <c r="AB184" s="1124"/>
      <c r="AC184" s="1124"/>
      <c r="AD184" s="1124"/>
      <c r="AE184" s="1124"/>
      <c r="AF184" s="1124"/>
      <c r="AG184" s="1282">
        <f t="shared" si="21"/>
        <v>216</v>
      </c>
    </row>
    <row r="185" spans="1:33" ht="57.75" hidden="1" customHeight="1">
      <c r="A185" s="796">
        <v>1225</v>
      </c>
      <c r="B185" s="793" t="s">
        <v>791</v>
      </c>
      <c r="C185" s="1074" t="s">
        <v>792</v>
      </c>
      <c r="D185" s="805"/>
      <c r="E185" s="796"/>
      <c r="F185" s="1775">
        <v>43283</v>
      </c>
      <c r="G185" s="796"/>
      <c r="H185" s="805" t="s">
        <v>793</v>
      </c>
      <c r="I185" s="796" t="s">
        <v>170</v>
      </c>
      <c r="J185" s="792"/>
      <c r="K185" s="805" t="s">
        <v>794</v>
      </c>
      <c r="L185" s="1776">
        <v>23173</v>
      </c>
      <c r="M185" s="805"/>
      <c r="N185" s="805"/>
      <c r="O185" s="954">
        <v>12705</v>
      </c>
      <c r="P185" s="805">
        <v>1</v>
      </c>
      <c r="Q185" s="1778">
        <f>O185*P185</f>
        <v>12705</v>
      </c>
      <c r="R185" s="1777"/>
      <c r="S185" s="1778"/>
      <c r="T185" s="1778"/>
      <c r="U185" s="1778"/>
      <c r="V185" s="1778">
        <v>12705</v>
      </c>
      <c r="W185" s="1778"/>
      <c r="X185" s="1783"/>
      <c r="Y185" s="1743"/>
      <c r="Z185" s="1743"/>
      <c r="AA185" s="1743"/>
      <c r="AB185" s="1743"/>
      <c r="AC185" s="1743"/>
      <c r="AD185" s="1743"/>
      <c r="AE185" s="1743"/>
      <c r="AF185" s="1743"/>
      <c r="AG185" s="1282">
        <f t="shared" si="21"/>
        <v>12705</v>
      </c>
    </row>
    <row r="186" spans="1:33" ht="57.75" hidden="1" customHeight="1">
      <c r="A186" s="796">
        <v>1226</v>
      </c>
      <c r="B186" s="793" t="s">
        <v>795</v>
      </c>
      <c r="C186" s="1074" t="s">
        <v>796</v>
      </c>
      <c r="D186" s="805"/>
      <c r="E186" s="796">
        <v>5</v>
      </c>
      <c r="F186" s="1775">
        <v>43297</v>
      </c>
      <c r="G186" s="1775">
        <f>F186+E186</f>
        <v>43302</v>
      </c>
      <c r="H186" s="805" t="s">
        <v>785</v>
      </c>
      <c r="I186" s="796" t="s">
        <v>170</v>
      </c>
      <c r="J186" s="792"/>
      <c r="K186" s="805" t="s">
        <v>797</v>
      </c>
      <c r="L186" s="1776">
        <v>23174</v>
      </c>
      <c r="M186" s="805"/>
      <c r="N186" s="805"/>
      <c r="O186" s="954">
        <v>1680</v>
      </c>
      <c r="P186" s="805">
        <v>1</v>
      </c>
      <c r="Q186" s="1778">
        <f t="shared" ref="Q186:Q194" si="25">O186*P186</f>
        <v>1680</v>
      </c>
      <c r="R186" s="1777"/>
      <c r="S186" s="1778"/>
      <c r="T186" s="1778"/>
      <c r="U186" s="1779"/>
      <c r="V186" s="954">
        <v>1680</v>
      </c>
      <c r="W186" s="805"/>
      <c r="X186" s="1781"/>
      <c r="Y186" s="1124"/>
      <c r="Z186" s="1124"/>
      <c r="AA186" s="1124"/>
      <c r="AB186" s="1124"/>
      <c r="AC186" s="1124"/>
      <c r="AD186" s="1124"/>
      <c r="AE186" s="1124"/>
      <c r="AF186" s="1124"/>
      <c r="AG186" s="1282">
        <f t="shared" si="21"/>
        <v>1680</v>
      </c>
    </row>
    <row r="187" spans="1:33" ht="57.75" hidden="1" customHeight="1">
      <c r="A187" s="796">
        <v>1226</v>
      </c>
      <c r="B187" s="793" t="s">
        <v>795</v>
      </c>
      <c r="C187" s="1074" t="s">
        <v>796</v>
      </c>
      <c r="D187" s="805"/>
      <c r="E187" s="796">
        <v>5</v>
      </c>
      <c r="F187" s="1775">
        <v>43297</v>
      </c>
      <c r="G187" s="1775">
        <f t="shared" ref="G187:G192" si="26">F187+E187</f>
        <v>43302</v>
      </c>
      <c r="H187" s="805" t="s">
        <v>785</v>
      </c>
      <c r="I187" s="796" t="s">
        <v>170</v>
      </c>
      <c r="J187" s="792"/>
      <c r="K187" s="805" t="s">
        <v>798</v>
      </c>
      <c r="L187" s="1776">
        <v>23174</v>
      </c>
      <c r="M187" s="805"/>
      <c r="N187" s="805"/>
      <c r="O187" s="954">
        <v>900</v>
      </c>
      <c r="P187" s="805">
        <v>1</v>
      </c>
      <c r="Q187" s="1778">
        <f t="shared" si="25"/>
        <v>900</v>
      </c>
      <c r="R187" s="1777"/>
      <c r="S187" s="1778"/>
      <c r="T187" s="1778"/>
      <c r="U187" s="1779"/>
      <c r="V187" s="954">
        <v>900</v>
      </c>
      <c r="W187" s="805"/>
      <c r="X187" s="1781"/>
      <c r="Y187" s="1124"/>
      <c r="Z187" s="1124"/>
      <c r="AA187" s="1124"/>
      <c r="AB187" s="1124"/>
      <c r="AC187" s="1124"/>
      <c r="AD187" s="1124"/>
      <c r="AE187" s="1124"/>
      <c r="AF187" s="1124"/>
      <c r="AG187" s="1282">
        <f t="shared" si="21"/>
        <v>900</v>
      </c>
    </row>
    <row r="188" spans="1:33" ht="57.75" hidden="1" customHeight="1">
      <c r="A188" s="796">
        <v>1226</v>
      </c>
      <c r="B188" s="793" t="s">
        <v>795</v>
      </c>
      <c r="C188" s="1074" t="s">
        <v>796</v>
      </c>
      <c r="D188" s="805"/>
      <c r="E188" s="796">
        <v>5</v>
      </c>
      <c r="F188" s="1775">
        <v>43297</v>
      </c>
      <c r="G188" s="1775">
        <f t="shared" si="26"/>
        <v>43302</v>
      </c>
      <c r="H188" s="805" t="s">
        <v>785</v>
      </c>
      <c r="I188" s="796" t="s">
        <v>170</v>
      </c>
      <c r="J188" s="792"/>
      <c r="K188" s="805" t="s">
        <v>799</v>
      </c>
      <c r="L188" s="1776">
        <v>23174</v>
      </c>
      <c r="M188" s="805"/>
      <c r="N188" s="805"/>
      <c r="O188" s="954">
        <v>120</v>
      </c>
      <c r="P188" s="805">
        <v>1</v>
      </c>
      <c r="Q188" s="1778">
        <f t="shared" si="25"/>
        <v>120</v>
      </c>
      <c r="R188" s="1777"/>
      <c r="S188" s="1778"/>
      <c r="T188" s="1778"/>
      <c r="U188" s="1779"/>
      <c r="V188" s="954">
        <v>120</v>
      </c>
      <c r="W188" s="805"/>
      <c r="X188" s="1781"/>
      <c r="Y188" s="1124"/>
      <c r="Z188" s="1124"/>
      <c r="AA188" s="1124"/>
      <c r="AB188" s="1124"/>
      <c r="AC188" s="1124"/>
      <c r="AD188" s="1124"/>
      <c r="AE188" s="1124"/>
      <c r="AF188" s="1124"/>
      <c r="AG188" s="1282">
        <f t="shared" si="21"/>
        <v>120</v>
      </c>
    </row>
    <row r="189" spans="1:33" ht="57.75" hidden="1" customHeight="1">
      <c r="A189" s="796">
        <v>1226</v>
      </c>
      <c r="B189" s="793" t="s">
        <v>795</v>
      </c>
      <c r="C189" s="1074" t="s">
        <v>796</v>
      </c>
      <c r="D189" s="805"/>
      <c r="E189" s="796">
        <v>5</v>
      </c>
      <c r="F189" s="1775">
        <v>43297</v>
      </c>
      <c r="G189" s="1775">
        <f t="shared" si="26"/>
        <v>43302</v>
      </c>
      <c r="H189" s="805" t="s">
        <v>785</v>
      </c>
      <c r="I189" s="796" t="s">
        <v>170</v>
      </c>
      <c r="J189" s="792"/>
      <c r="K189" s="805" t="s">
        <v>800</v>
      </c>
      <c r="L189" s="1776">
        <v>23174</v>
      </c>
      <c r="M189" s="805"/>
      <c r="N189" s="805"/>
      <c r="O189" s="954">
        <v>773.33333333333337</v>
      </c>
      <c r="P189" s="805">
        <v>1</v>
      </c>
      <c r="Q189" s="1778">
        <f t="shared" si="25"/>
        <v>773.33333333333337</v>
      </c>
      <c r="R189" s="1777"/>
      <c r="S189" s="1778"/>
      <c r="T189" s="1778"/>
      <c r="U189" s="1779"/>
      <c r="V189" s="954">
        <v>773.33333333333337</v>
      </c>
      <c r="W189" s="805"/>
      <c r="X189" s="1781"/>
      <c r="Y189" s="1124"/>
      <c r="Z189" s="1124"/>
      <c r="AA189" s="1124"/>
      <c r="AB189" s="1124"/>
      <c r="AC189" s="1124"/>
      <c r="AD189" s="1124"/>
      <c r="AE189" s="1124"/>
      <c r="AF189" s="1124"/>
      <c r="AG189" s="1282">
        <f t="shared" si="21"/>
        <v>773.33333333333337</v>
      </c>
    </row>
    <row r="190" spans="1:33" ht="57.75" hidden="1" customHeight="1">
      <c r="A190" s="796">
        <v>1226</v>
      </c>
      <c r="B190" s="793" t="s">
        <v>795</v>
      </c>
      <c r="C190" s="1074" t="s">
        <v>796</v>
      </c>
      <c r="D190" s="805"/>
      <c r="E190" s="796">
        <v>5</v>
      </c>
      <c r="F190" s="1775">
        <v>43297</v>
      </c>
      <c r="G190" s="1775">
        <f t="shared" si="26"/>
        <v>43302</v>
      </c>
      <c r="H190" s="805" t="s">
        <v>785</v>
      </c>
      <c r="I190" s="796" t="s">
        <v>170</v>
      </c>
      <c r="J190" s="792"/>
      <c r="K190" s="805" t="s">
        <v>801</v>
      </c>
      <c r="L190" s="1776">
        <v>23174</v>
      </c>
      <c r="M190" s="805"/>
      <c r="N190" s="805"/>
      <c r="O190" s="954">
        <v>106.66666666666667</v>
      </c>
      <c r="P190" s="805">
        <v>1</v>
      </c>
      <c r="Q190" s="1778">
        <f t="shared" si="25"/>
        <v>106.66666666666667</v>
      </c>
      <c r="R190" s="1777"/>
      <c r="S190" s="1778"/>
      <c r="T190" s="1778"/>
      <c r="U190" s="1779"/>
      <c r="V190" s="954">
        <v>106.66666666666667</v>
      </c>
      <c r="W190" s="805"/>
      <c r="X190" s="1781"/>
      <c r="Y190" s="1124"/>
      <c r="Z190" s="1124"/>
      <c r="AA190" s="1124"/>
      <c r="AB190" s="1124"/>
      <c r="AC190" s="1124"/>
      <c r="AD190" s="1124"/>
      <c r="AE190" s="1124"/>
      <c r="AF190" s="1124"/>
      <c r="AG190" s="1282">
        <f t="shared" si="21"/>
        <v>106.66666666666667</v>
      </c>
    </row>
    <row r="191" spans="1:33" ht="57.75" hidden="1" customHeight="1">
      <c r="A191" s="796">
        <v>1226</v>
      </c>
      <c r="B191" s="793" t="s">
        <v>795</v>
      </c>
      <c r="C191" s="1074" t="s">
        <v>796</v>
      </c>
      <c r="D191" s="805"/>
      <c r="E191" s="796">
        <v>5</v>
      </c>
      <c r="F191" s="1775">
        <v>43297</v>
      </c>
      <c r="G191" s="1775">
        <f t="shared" si="26"/>
        <v>43302</v>
      </c>
      <c r="H191" s="805" t="s">
        <v>785</v>
      </c>
      <c r="I191" s="796" t="s">
        <v>170</v>
      </c>
      <c r="J191" s="792"/>
      <c r="K191" s="805" t="s">
        <v>802</v>
      </c>
      <c r="L191" s="1776">
        <v>23174</v>
      </c>
      <c r="M191" s="805"/>
      <c r="N191" s="805"/>
      <c r="O191" s="954">
        <v>816</v>
      </c>
      <c r="P191" s="805">
        <v>1</v>
      </c>
      <c r="Q191" s="1778">
        <f t="shared" si="25"/>
        <v>816</v>
      </c>
      <c r="R191" s="1777"/>
      <c r="S191" s="1778"/>
      <c r="T191" s="1778"/>
      <c r="U191" s="1779"/>
      <c r="V191" s="954">
        <v>816</v>
      </c>
      <c r="W191" s="805"/>
      <c r="X191" s="1781"/>
      <c r="Y191" s="1124"/>
      <c r="Z191" s="1124"/>
      <c r="AA191" s="1124"/>
      <c r="AB191" s="1124"/>
      <c r="AC191" s="1124"/>
      <c r="AD191" s="1124"/>
      <c r="AE191" s="1124"/>
      <c r="AF191" s="1124"/>
      <c r="AG191" s="1282">
        <f t="shared" si="21"/>
        <v>816</v>
      </c>
    </row>
    <row r="192" spans="1:33" ht="57.75" hidden="1" customHeight="1">
      <c r="A192" s="796">
        <v>1226</v>
      </c>
      <c r="B192" s="793" t="s">
        <v>795</v>
      </c>
      <c r="C192" s="1074" t="s">
        <v>796</v>
      </c>
      <c r="D192" s="805"/>
      <c r="E192" s="796">
        <v>5</v>
      </c>
      <c r="F192" s="1775">
        <v>43297</v>
      </c>
      <c r="G192" s="1775">
        <f t="shared" si="26"/>
        <v>43302</v>
      </c>
      <c r="H192" s="805" t="s">
        <v>785</v>
      </c>
      <c r="I192" s="796" t="s">
        <v>170</v>
      </c>
      <c r="J192" s="792"/>
      <c r="K192" s="805" t="s">
        <v>803</v>
      </c>
      <c r="L192" s="1776">
        <v>23174</v>
      </c>
      <c r="M192" s="805"/>
      <c r="N192" s="805"/>
      <c r="O192" s="954">
        <v>480</v>
      </c>
      <c r="P192" s="805">
        <v>1</v>
      </c>
      <c r="Q192" s="1778">
        <f t="shared" si="25"/>
        <v>480</v>
      </c>
      <c r="R192" s="1777"/>
      <c r="S192" s="1778"/>
      <c r="T192" s="1778"/>
      <c r="U192" s="1779"/>
      <c r="V192" s="954">
        <v>480</v>
      </c>
      <c r="W192" s="805"/>
      <c r="X192" s="1781"/>
      <c r="Y192" s="1124"/>
      <c r="Z192" s="1124"/>
      <c r="AA192" s="1124"/>
      <c r="AB192" s="1124"/>
      <c r="AC192" s="1124"/>
      <c r="AD192" s="1124"/>
      <c r="AE192" s="1124"/>
      <c r="AF192" s="1124"/>
      <c r="AG192" s="1282">
        <f t="shared" si="21"/>
        <v>480</v>
      </c>
    </row>
    <row r="193" spans="1:33" ht="57.75" hidden="1" customHeight="1">
      <c r="A193" s="796">
        <v>1226</v>
      </c>
      <c r="B193" s="793" t="s">
        <v>795</v>
      </c>
      <c r="C193" s="1074" t="s">
        <v>796</v>
      </c>
      <c r="D193" s="805"/>
      <c r="E193" s="796"/>
      <c r="F193" s="1775"/>
      <c r="G193" s="1775"/>
      <c r="H193" s="805" t="s">
        <v>785</v>
      </c>
      <c r="I193" s="796" t="s">
        <v>170</v>
      </c>
      <c r="J193" s="792"/>
      <c r="K193" s="805" t="s">
        <v>415</v>
      </c>
      <c r="L193" s="1776">
        <v>23173</v>
      </c>
      <c r="M193" s="805"/>
      <c r="N193" s="805"/>
      <c r="O193" s="954">
        <v>833.33333333333337</v>
      </c>
      <c r="P193" s="805">
        <v>1</v>
      </c>
      <c r="Q193" s="1778">
        <f t="shared" si="25"/>
        <v>833.33333333333337</v>
      </c>
      <c r="R193" s="1777"/>
      <c r="S193" s="1778"/>
      <c r="T193" s="1778"/>
      <c r="U193" s="1779"/>
      <c r="V193" s="954">
        <v>833.33333333333337</v>
      </c>
      <c r="W193" s="805"/>
      <c r="X193" s="1781"/>
      <c r="Y193" s="1124"/>
      <c r="Z193" s="1124"/>
      <c r="AA193" s="1124"/>
      <c r="AB193" s="1124"/>
      <c r="AC193" s="1124"/>
      <c r="AD193" s="1124"/>
      <c r="AE193" s="1124"/>
      <c r="AF193" s="1124"/>
      <c r="AG193" s="1282">
        <f t="shared" si="21"/>
        <v>833.33333333333337</v>
      </c>
    </row>
    <row r="194" spans="1:33" ht="57.75" hidden="1" customHeight="1">
      <c r="A194" s="796">
        <v>1226</v>
      </c>
      <c r="B194" s="793" t="s">
        <v>795</v>
      </c>
      <c r="C194" s="1074" t="s">
        <v>796</v>
      </c>
      <c r="D194" s="805"/>
      <c r="E194" s="796"/>
      <c r="F194" s="1775"/>
      <c r="G194" s="1775"/>
      <c r="H194" s="805" t="s">
        <v>785</v>
      </c>
      <c r="I194" s="796" t="s">
        <v>170</v>
      </c>
      <c r="J194" s="792"/>
      <c r="K194" s="805" t="s">
        <v>804</v>
      </c>
      <c r="L194" s="1776">
        <v>23173</v>
      </c>
      <c r="M194" s="805"/>
      <c r="N194" s="805"/>
      <c r="O194" s="954">
        <v>35.833333333333336</v>
      </c>
      <c r="P194" s="805">
        <v>1</v>
      </c>
      <c r="Q194" s="1778">
        <f t="shared" si="25"/>
        <v>35.833333333333336</v>
      </c>
      <c r="R194" s="1777"/>
      <c r="S194" s="1778"/>
      <c r="T194" s="1778"/>
      <c r="U194" s="1779"/>
      <c r="V194" s="954">
        <v>35.833333333333336</v>
      </c>
      <c r="W194" s="805"/>
      <c r="X194" s="1781"/>
      <c r="Y194" s="1124"/>
      <c r="Z194" s="1124"/>
      <c r="AA194" s="1124"/>
      <c r="AB194" s="1124"/>
      <c r="AC194" s="1124"/>
      <c r="AD194" s="1124"/>
      <c r="AE194" s="1124"/>
      <c r="AF194" s="1124"/>
      <c r="AG194" s="1282">
        <f t="shared" si="21"/>
        <v>35.833333333333336</v>
      </c>
    </row>
    <row r="195" spans="1:33" ht="57.75" hidden="1" customHeight="1">
      <c r="A195" s="796">
        <v>1227</v>
      </c>
      <c r="B195" s="793" t="s">
        <v>805</v>
      </c>
      <c r="C195" s="1074" t="s">
        <v>806</v>
      </c>
      <c r="D195" s="805"/>
      <c r="E195" s="796"/>
      <c r="F195" s="1775">
        <v>43304</v>
      </c>
      <c r="G195" s="796"/>
      <c r="H195" s="805" t="s">
        <v>793</v>
      </c>
      <c r="I195" s="796" t="s">
        <v>170</v>
      </c>
      <c r="J195" s="792"/>
      <c r="K195" s="805" t="s">
        <v>807</v>
      </c>
      <c r="L195" s="1776">
        <v>23173</v>
      </c>
      <c r="M195" s="805"/>
      <c r="N195" s="805"/>
      <c r="O195" s="954">
        <v>1089</v>
      </c>
      <c r="P195" s="805">
        <v>1</v>
      </c>
      <c r="Q195" s="1779">
        <f>P195*O195</f>
        <v>1089</v>
      </c>
      <c r="R195" s="1777"/>
      <c r="S195" s="1784"/>
      <c r="T195" s="1784"/>
      <c r="U195" s="1784"/>
      <c r="V195" s="1779">
        <v>1089</v>
      </c>
      <c r="W195" s="1784"/>
      <c r="X195" s="1785"/>
      <c r="Y195" s="1786"/>
      <c r="Z195" s="1786"/>
      <c r="AA195" s="1786"/>
      <c r="AB195" s="1786"/>
      <c r="AC195" s="1786"/>
      <c r="AD195" s="1786"/>
      <c r="AE195" s="1786"/>
      <c r="AF195" s="1786"/>
      <c r="AG195" s="1282">
        <f t="shared" si="21"/>
        <v>1089</v>
      </c>
    </row>
    <row r="196" spans="1:33" ht="57.75" hidden="1" customHeight="1">
      <c r="A196" s="796">
        <v>1228</v>
      </c>
      <c r="B196" s="793" t="s">
        <v>808</v>
      </c>
      <c r="C196" s="1074" t="s">
        <v>809</v>
      </c>
      <c r="D196" s="805"/>
      <c r="E196" s="796">
        <v>10</v>
      </c>
      <c r="F196" s="1775">
        <v>43318</v>
      </c>
      <c r="G196" s="1775">
        <f>F196+E196</f>
        <v>43328</v>
      </c>
      <c r="H196" s="805" t="s">
        <v>810</v>
      </c>
      <c r="I196" s="796" t="s">
        <v>170</v>
      </c>
      <c r="J196" s="792"/>
      <c r="K196" s="805" t="s">
        <v>811</v>
      </c>
      <c r="L196" s="1776">
        <v>23174</v>
      </c>
      <c r="M196" s="805"/>
      <c r="N196" s="805"/>
      <c r="O196" s="954">
        <v>36000</v>
      </c>
      <c r="P196" s="805">
        <v>1</v>
      </c>
      <c r="Q196" s="1779">
        <f t="shared" ref="Q196:Q212" si="27">O196*P196</f>
        <v>36000</v>
      </c>
      <c r="R196" s="1777"/>
      <c r="S196" s="1778"/>
      <c r="T196" s="1778"/>
      <c r="U196" s="1779"/>
      <c r="V196" s="954">
        <v>36000</v>
      </c>
      <c r="W196" s="805"/>
      <c r="X196" s="1781"/>
      <c r="Y196" s="1124"/>
      <c r="Z196" s="1124"/>
      <c r="AA196" s="1124"/>
      <c r="AB196" s="1124"/>
      <c r="AC196" s="1124"/>
      <c r="AD196" s="1124"/>
      <c r="AE196" s="1124"/>
      <c r="AF196" s="1124"/>
      <c r="AG196" s="1282">
        <f t="shared" si="21"/>
        <v>36000</v>
      </c>
    </row>
    <row r="197" spans="1:33" ht="57.75" hidden="1" customHeight="1">
      <c r="A197" s="796">
        <v>1228</v>
      </c>
      <c r="B197" s="793" t="s">
        <v>808</v>
      </c>
      <c r="C197" s="1074" t="s">
        <v>809</v>
      </c>
      <c r="D197" s="805"/>
      <c r="E197" s="796">
        <v>10</v>
      </c>
      <c r="F197" s="1775">
        <v>43318</v>
      </c>
      <c r="G197" s="1775">
        <f t="shared" ref="G197:G202" si="28">F197+E197</f>
        <v>43328</v>
      </c>
      <c r="H197" s="805" t="s">
        <v>810</v>
      </c>
      <c r="I197" s="796" t="s">
        <v>170</v>
      </c>
      <c r="J197" s="792"/>
      <c r="K197" s="805" t="s">
        <v>812</v>
      </c>
      <c r="L197" s="1776">
        <v>23174</v>
      </c>
      <c r="N197" s="805"/>
      <c r="O197" s="954">
        <v>7920</v>
      </c>
      <c r="P197" s="805">
        <v>1</v>
      </c>
      <c r="Q197" s="1779">
        <f t="shared" si="27"/>
        <v>7920</v>
      </c>
      <c r="R197" s="1777"/>
      <c r="S197" s="1778"/>
      <c r="T197" s="1778"/>
      <c r="U197" s="1779"/>
      <c r="V197" s="954">
        <v>7920</v>
      </c>
      <c r="W197" s="805"/>
      <c r="X197" s="1781"/>
      <c r="Y197" s="1124"/>
      <c r="Z197" s="1124"/>
      <c r="AA197" s="1124"/>
      <c r="AB197" s="1124"/>
      <c r="AC197" s="1124"/>
      <c r="AD197" s="1124"/>
      <c r="AE197" s="1124"/>
      <c r="AF197" s="1124"/>
      <c r="AG197" s="1282">
        <f t="shared" si="21"/>
        <v>7920</v>
      </c>
    </row>
    <row r="198" spans="1:33" ht="57.75" hidden="1" customHeight="1">
      <c r="A198" s="796">
        <v>1228</v>
      </c>
      <c r="B198" s="793" t="s">
        <v>808</v>
      </c>
      <c r="C198" s="1074" t="s">
        <v>809</v>
      </c>
      <c r="D198" s="805"/>
      <c r="E198" s="796">
        <v>10</v>
      </c>
      <c r="F198" s="1775">
        <v>43318</v>
      </c>
      <c r="G198" s="1775">
        <f t="shared" si="28"/>
        <v>43328</v>
      </c>
      <c r="H198" s="805" t="s">
        <v>810</v>
      </c>
      <c r="I198" s="796" t="s">
        <v>170</v>
      </c>
      <c r="J198" s="792"/>
      <c r="K198" s="805" t="s">
        <v>813</v>
      </c>
      <c r="L198" s="1776">
        <v>23174</v>
      </c>
      <c r="M198" s="805"/>
      <c r="N198" s="805"/>
      <c r="O198" s="954">
        <v>600</v>
      </c>
      <c r="P198" s="805">
        <v>1</v>
      </c>
      <c r="Q198" s="1779">
        <f t="shared" si="27"/>
        <v>600</v>
      </c>
      <c r="R198" s="1777"/>
      <c r="S198" s="1778"/>
      <c r="T198" s="1778"/>
      <c r="U198" s="1779"/>
      <c r="V198" s="954">
        <v>600</v>
      </c>
      <c r="W198" s="805"/>
      <c r="X198" s="1781"/>
      <c r="Y198" s="1124"/>
      <c r="Z198" s="1124"/>
      <c r="AA198" s="1124"/>
      <c r="AB198" s="1124"/>
      <c r="AC198" s="1124"/>
      <c r="AD198" s="1124"/>
      <c r="AE198" s="1124"/>
      <c r="AF198" s="1124"/>
      <c r="AG198" s="1282">
        <f t="shared" si="21"/>
        <v>600</v>
      </c>
    </row>
    <row r="199" spans="1:33" ht="57.75" hidden="1" customHeight="1">
      <c r="A199" s="796">
        <v>1228</v>
      </c>
      <c r="B199" s="793" t="s">
        <v>808</v>
      </c>
      <c r="C199" s="1074" t="s">
        <v>809</v>
      </c>
      <c r="D199" s="805"/>
      <c r="E199" s="796">
        <v>10</v>
      </c>
      <c r="F199" s="1775">
        <v>43318</v>
      </c>
      <c r="G199" s="1775">
        <f t="shared" si="28"/>
        <v>43328</v>
      </c>
      <c r="H199" s="805" t="s">
        <v>810</v>
      </c>
      <c r="I199" s="796" t="s">
        <v>170</v>
      </c>
      <c r="J199" s="792"/>
      <c r="K199" s="805" t="s">
        <v>814</v>
      </c>
      <c r="L199" s="1776">
        <v>23174</v>
      </c>
      <c r="M199" s="805"/>
      <c r="N199" s="805"/>
      <c r="O199" s="954">
        <v>6600</v>
      </c>
      <c r="P199" s="805">
        <v>1</v>
      </c>
      <c r="Q199" s="1779">
        <f t="shared" si="27"/>
        <v>6600</v>
      </c>
      <c r="R199" s="1777"/>
      <c r="S199" s="1778"/>
      <c r="T199" s="1778"/>
      <c r="U199" s="1779"/>
      <c r="V199" s="954">
        <v>6600</v>
      </c>
      <c r="W199" s="805"/>
      <c r="X199" s="1781"/>
      <c r="Y199" s="1124"/>
      <c r="Z199" s="1124"/>
      <c r="AA199" s="1124"/>
      <c r="AB199" s="1124"/>
      <c r="AC199" s="1124"/>
      <c r="AD199" s="1124"/>
      <c r="AE199" s="1124"/>
      <c r="AF199" s="1124"/>
      <c r="AG199" s="1282">
        <f t="shared" si="21"/>
        <v>6600</v>
      </c>
    </row>
    <row r="200" spans="1:33" ht="57.75" hidden="1" customHeight="1">
      <c r="A200" s="796">
        <v>1228</v>
      </c>
      <c r="B200" s="793" t="s">
        <v>808</v>
      </c>
      <c r="C200" s="1074" t="s">
        <v>809</v>
      </c>
      <c r="D200" s="805"/>
      <c r="E200" s="796">
        <v>10</v>
      </c>
      <c r="F200" s="1775">
        <v>43318</v>
      </c>
      <c r="G200" s="1775">
        <f t="shared" si="28"/>
        <v>43328</v>
      </c>
      <c r="H200" s="805" t="s">
        <v>810</v>
      </c>
      <c r="I200" s="796" t="s">
        <v>170</v>
      </c>
      <c r="J200" s="792"/>
      <c r="K200" s="805" t="s">
        <v>815</v>
      </c>
      <c r="L200" s="1776">
        <v>23174</v>
      </c>
      <c r="M200" s="805"/>
      <c r="N200" s="805"/>
      <c r="O200" s="954">
        <v>300</v>
      </c>
      <c r="P200" s="805">
        <v>1</v>
      </c>
      <c r="Q200" s="1779">
        <f t="shared" si="27"/>
        <v>300</v>
      </c>
      <c r="R200" s="1777"/>
      <c r="S200" s="1778"/>
      <c r="T200" s="1778"/>
      <c r="U200" s="1779"/>
      <c r="V200" s="954">
        <v>300</v>
      </c>
      <c r="W200" s="805"/>
      <c r="X200" s="1781"/>
      <c r="Y200" s="1124"/>
      <c r="Z200" s="1124"/>
      <c r="AA200" s="1124"/>
      <c r="AB200" s="1124"/>
      <c r="AC200" s="1124"/>
      <c r="AD200" s="1124"/>
      <c r="AE200" s="1124"/>
      <c r="AF200" s="1124"/>
      <c r="AG200" s="1282">
        <f t="shared" si="21"/>
        <v>300</v>
      </c>
    </row>
    <row r="201" spans="1:33" ht="57.75" hidden="1" customHeight="1">
      <c r="A201" s="796">
        <v>1228</v>
      </c>
      <c r="B201" s="793" t="s">
        <v>808</v>
      </c>
      <c r="C201" s="1074" t="s">
        <v>809</v>
      </c>
      <c r="D201" s="805"/>
      <c r="E201" s="796">
        <v>10</v>
      </c>
      <c r="F201" s="1775">
        <v>43318</v>
      </c>
      <c r="G201" s="1775">
        <f t="shared" si="28"/>
        <v>43328</v>
      </c>
      <c r="H201" s="805" t="s">
        <v>810</v>
      </c>
      <c r="I201" s="796" t="s">
        <v>170</v>
      </c>
      <c r="J201" s="792"/>
      <c r="K201" s="805" t="s">
        <v>816</v>
      </c>
      <c r="L201" s="1776">
        <v>23174</v>
      </c>
      <c r="M201" s="805"/>
      <c r="N201" s="805"/>
      <c r="O201" s="954">
        <v>2720</v>
      </c>
      <c r="P201" s="805">
        <v>1</v>
      </c>
      <c r="Q201" s="1779">
        <f t="shared" si="27"/>
        <v>2720</v>
      </c>
      <c r="R201" s="1777"/>
      <c r="S201" s="1778"/>
      <c r="T201" s="1778"/>
      <c r="U201" s="1779"/>
      <c r="V201" s="954">
        <v>2720</v>
      </c>
      <c r="W201" s="805"/>
      <c r="X201" s="1781"/>
      <c r="Y201" s="1124"/>
      <c r="Z201" s="1124"/>
      <c r="AA201" s="1124"/>
      <c r="AB201" s="1124"/>
      <c r="AC201" s="1124"/>
      <c r="AD201" s="1124"/>
      <c r="AE201" s="1124"/>
      <c r="AF201" s="1124"/>
      <c r="AG201" s="1282">
        <f t="shared" si="21"/>
        <v>2720</v>
      </c>
    </row>
    <row r="202" spans="1:33" ht="57.75" hidden="1" customHeight="1">
      <c r="A202" s="796">
        <v>1228</v>
      </c>
      <c r="B202" s="793" t="s">
        <v>808</v>
      </c>
      <c r="C202" s="1074" t="s">
        <v>809</v>
      </c>
      <c r="D202" s="805"/>
      <c r="E202" s="796">
        <v>10</v>
      </c>
      <c r="F202" s="1775">
        <v>43318</v>
      </c>
      <c r="G202" s="1775">
        <f t="shared" si="28"/>
        <v>43328</v>
      </c>
      <c r="H202" s="805" t="s">
        <v>810</v>
      </c>
      <c r="I202" s="796" t="s">
        <v>170</v>
      </c>
      <c r="J202" s="792"/>
      <c r="K202" s="805" t="s">
        <v>817</v>
      </c>
      <c r="L202" s="1776">
        <v>23174</v>
      </c>
      <c r="M202" s="805"/>
      <c r="N202" s="805"/>
      <c r="O202" s="954">
        <v>6674.9333333333334</v>
      </c>
      <c r="P202" s="805">
        <v>1</v>
      </c>
      <c r="Q202" s="1779">
        <f t="shared" si="27"/>
        <v>6674.9333333333334</v>
      </c>
      <c r="R202" s="1777"/>
      <c r="S202" s="1778"/>
      <c r="T202" s="1778"/>
      <c r="U202" s="1779"/>
      <c r="V202" s="954">
        <v>6674.9333333333334</v>
      </c>
      <c r="W202" s="805"/>
      <c r="X202" s="1781"/>
      <c r="Y202" s="1124"/>
      <c r="Z202" s="1124"/>
      <c r="AA202" s="1124"/>
      <c r="AB202" s="1124"/>
      <c r="AC202" s="1124"/>
      <c r="AD202" s="1124"/>
      <c r="AE202" s="1124"/>
      <c r="AF202" s="1124"/>
      <c r="AG202" s="1282">
        <f t="shared" si="21"/>
        <v>6674.9333333333334</v>
      </c>
    </row>
    <row r="203" spans="1:33" ht="57.75" hidden="1" customHeight="1">
      <c r="A203" s="796">
        <v>1228</v>
      </c>
      <c r="B203" s="793" t="s">
        <v>808</v>
      </c>
      <c r="C203" s="1074" t="s">
        <v>809</v>
      </c>
      <c r="D203" s="805"/>
      <c r="E203" s="796">
        <v>45</v>
      </c>
      <c r="F203" s="1775"/>
      <c r="G203" s="1775"/>
      <c r="H203" s="805" t="s">
        <v>810</v>
      </c>
      <c r="I203" s="796" t="s">
        <v>170</v>
      </c>
      <c r="J203" s="792"/>
      <c r="K203" s="805" t="s">
        <v>818</v>
      </c>
      <c r="L203" s="1776">
        <v>23173</v>
      </c>
      <c r="M203" s="805"/>
      <c r="N203" s="805"/>
      <c r="O203" s="954">
        <v>205.625</v>
      </c>
      <c r="P203" s="805">
        <v>1</v>
      </c>
      <c r="Q203" s="1779">
        <f t="shared" si="27"/>
        <v>205.625</v>
      </c>
      <c r="R203" s="1777"/>
      <c r="S203" s="1778"/>
      <c r="T203" s="1778"/>
      <c r="U203" s="1779"/>
      <c r="V203" s="954">
        <v>205.625</v>
      </c>
      <c r="W203" s="805"/>
      <c r="X203" s="1781"/>
      <c r="Y203" s="1124"/>
      <c r="Z203" s="1124"/>
      <c r="AA203" s="1124"/>
      <c r="AB203" s="1124"/>
      <c r="AC203" s="1124"/>
      <c r="AD203" s="1124"/>
      <c r="AE203" s="1124"/>
      <c r="AF203" s="1124"/>
      <c r="AG203" s="1282">
        <f t="shared" si="21"/>
        <v>205.625</v>
      </c>
    </row>
    <row r="204" spans="1:33" ht="57.75" hidden="1" customHeight="1">
      <c r="A204" s="796">
        <v>1229</v>
      </c>
      <c r="B204" s="793" t="s">
        <v>819</v>
      </c>
      <c r="C204" s="857" t="s">
        <v>820</v>
      </c>
      <c r="D204" s="805"/>
      <c r="E204" s="796">
        <v>10</v>
      </c>
      <c r="F204" s="1775">
        <v>43339</v>
      </c>
      <c r="G204" s="1775">
        <f>F204+E204</f>
        <v>43349</v>
      </c>
      <c r="H204" s="805" t="s">
        <v>774</v>
      </c>
      <c r="I204" s="796" t="s">
        <v>170</v>
      </c>
      <c r="J204" s="792"/>
      <c r="K204" s="805" t="s">
        <v>821</v>
      </c>
      <c r="L204" s="1776">
        <v>23174</v>
      </c>
      <c r="M204" s="805"/>
      <c r="N204" s="805"/>
      <c r="O204" s="954">
        <v>1320</v>
      </c>
      <c r="P204" s="805">
        <v>1</v>
      </c>
      <c r="Q204" s="1779">
        <f t="shared" si="27"/>
        <v>1320</v>
      </c>
      <c r="R204" s="1777"/>
      <c r="S204" s="1778"/>
      <c r="T204" s="1778"/>
      <c r="U204" s="1779"/>
      <c r="V204" s="805"/>
      <c r="W204" s="954">
        <v>1320</v>
      </c>
      <c r="X204" s="1781"/>
      <c r="Y204" s="1124"/>
      <c r="Z204" s="1124"/>
      <c r="AA204" s="1124"/>
      <c r="AB204" s="1124"/>
      <c r="AC204" s="1124"/>
      <c r="AD204" s="1124"/>
      <c r="AE204" s="1124"/>
      <c r="AF204" s="1124"/>
      <c r="AG204" s="1282">
        <f t="shared" si="21"/>
        <v>1320</v>
      </c>
    </row>
    <row r="205" spans="1:33" ht="57.75" hidden="1" customHeight="1">
      <c r="A205" s="796">
        <v>1229</v>
      </c>
      <c r="B205" s="793" t="s">
        <v>819</v>
      </c>
      <c r="C205" s="857" t="s">
        <v>820</v>
      </c>
      <c r="D205" s="805"/>
      <c r="E205" s="796">
        <v>10</v>
      </c>
      <c r="F205" s="1775">
        <v>43339</v>
      </c>
      <c r="G205" s="1775">
        <f t="shared" ref="G205:G210" si="29">F205+E205</f>
        <v>43349</v>
      </c>
      <c r="H205" s="805" t="s">
        <v>774</v>
      </c>
      <c r="I205" s="796" t="s">
        <v>170</v>
      </c>
      <c r="J205" s="792"/>
      <c r="K205" s="805" t="s">
        <v>822</v>
      </c>
      <c r="L205" s="1776">
        <v>23174</v>
      </c>
      <c r="M205" s="805"/>
      <c r="N205" s="805"/>
      <c r="O205" s="954">
        <v>5724</v>
      </c>
      <c r="P205" s="805">
        <v>1</v>
      </c>
      <c r="Q205" s="1779">
        <f t="shared" si="27"/>
        <v>5724</v>
      </c>
      <c r="R205" s="1777"/>
      <c r="S205" s="1778"/>
      <c r="T205" s="1778"/>
      <c r="U205" s="1779"/>
      <c r="V205" s="805"/>
      <c r="W205" s="954">
        <v>5724</v>
      </c>
      <c r="X205" s="1781"/>
      <c r="Y205" s="1124"/>
      <c r="Z205" s="1124"/>
      <c r="AA205" s="1124"/>
      <c r="AB205" s="1124"/>
      <c r="AC205" s="1124"/>
      <c r="AD205" s="1124"/>
      <c r="AE205" s="1124"/>
      <c r="AF205" s="1124"/>
      <c r="AG205" s="1282">
        <f t="shared" si="21"/>
        <v>5724</v>
      </c>
    </row>
    <row r="206" spans="1:33" ht="57.75" hidden="1" customHeight="1">
      <c r="A206" s="796">
        <v>1229</v>
      </c>
      <c r="B206" s="793" t="s">
        <v>819</v>
      </c>
      <c r="C206" s="857" t="s">
        <v>820</v>
      </c>
      <c r="D206" s="805"/>
      <c r="E206" s="796">
        <v>10</v>
      </c>
      <c r="F206" s="1775">
        <v>43339</v>
      </c>
      <c r="G206" s="1775">
        <f t="shared" si="29"/>
        <v>43349</v>
      </c>
      <c r="H206" s="805" t="s">
        <v>774</v>
      </c>
      <c r="I206" s="796" t="s">
        <v>170</v>
      </c>
      <c r="J206" s="792"/>
      <c r="K206" s="805" t="s">
        <v>799</v>
      </c>
      <c r="L206" s="1776">
        <v>23174</v>
      </c>
      <c r="M206" s="805"/>
      <c r="N206" s="805"/>
      <c r="O206" s="954">
        <v>260</v>
      </c>
      <c r="P206" s="805">
        <v>1</v>
      </c>
      <c r="Q206" s="1779">
        <f t="shared" si="27"/>
        <v>260</v>
      </c>
      <c r="R206" s="1777"/>
      <c r="S206" s="1778"/>
      <c r="T206" s="1778"/>
      <c r="U206" s="1779"/>
      <c r="V206" s="805"/>
      <c r="W206" s="954">
        <v>260</v>
      </c>
      <c r="X206" s="1781"/>
      <c r="Y206" s="1124"/>
      <c r="Z206" s="1124"/>
      <c r="AA206" s="1124"/>
      <c r="AB206" s="1124"/>
      <c r="AC206" s="1124"/>
      <c r="AD206" s="1124"/>
      <c r="AE206" s="1124"/>
      <c r="AF206" s="1124"/>
      <c r="AG206" s="1282">
        <f t="shared" si="21"/>
        <v>260</v>
      </c>
    </row>
    <row r="207" spans="1:33" ht="57.75" hidden="1" customHeight="1">
      <c r="A207" s="796">
        <v>1229</v>
      </c>
      <c r="B207" s="793" t="s">
        <v>819</v>
      </c>
      <c r="C207" s="857" t="s">
        <v>820</v>
      </c>
      <c r="D207" s="805"/>
      <c r="E207" s="796">
        <v>10</v>
      </c>
      <c r="F207" s="1775">
        <v>43339</v>
      </c>
      <c r="G207" s="1775">
        <f t="shared" si="29"/>
        <v>43349</v>
      </c>
      <c r="H207" s="805" t="s">
        <v>774</v>
      </c>
      <c r="I207" s="796" t="s">
        <v>170</v>
      </c>
      <c r="J207" s="792"/>
      <c r="K207" s="805" t="s">
        <v>823</v>
      </c>
      <c r="L207" s="1776">
        <v>23174</v>
      </c>
      <c r="M207" s="805"/>
      <c r="N207" s="805"/>
      <c r="O207" s="954">
        <v>5773.333333333333</v>
      </c>
      <c r="P207" s="805">
        <v>1</v>
      </c>
      <c r="Q207" s="1779">
        <f t="shared" si="27"/>
        <v>5773.333333333333</v>
      </c>
      <c r="R207" s="1777"/>
      <c r="S207" s="1778"/>
      <c r="T207" s="1778"/>
      <c r="U207" s="1779"/>
      <c r="V207" s="805"/>
      <c r="W207" s="954">
        <v>5773.333333333333</v>
      </c>
      <c r="X207" s="1781"/>
      <c r="Y207" s="1124"/>
      <c r="Z207" s="1124"/>
      <c r="AA207" s="1124"/>
      <c r="AB207" s="1124"/>
      <c r="AC207" s="1124"/>
      <c r="AD207" s="1124"/>
      <c r="AE207" s="1124"/>
      <c r="AF207" s="1124"/>
      <c r="AG207" s="1282">
        <f t="shared" si="21"/>
        <v>5773.333333333333</v>
      </c>
    </row>
    <row r="208" spans="1:33" ht="57.75" hidden="1" customHeight="1">
      <c r="A208" s="796">
        <v>1229</v>
      </c>
      <c r="B208" s="793" t="s">
        <v>819</v>
      </c>
      <c r="C208" s="857" t="s">
        <v>820</v>
      </c>
      <c r="D208" s="805"/>
      <c r="E208" s="796">
        <v>10</v>
      </c>
      <c r="F208" s="1775">
        <v>43339</v>
      </c>
      <c r="G208" s="1775">
        <f t="shared" si="29"/>
        <v>43349</v>
      </c>
      <c r="H208" s="805" t="s">
        <v>774</v>
      </c>
      <c r="I208" s="796" t="s">
        <v>170</v>
      </c>
      <c r="J208" s="792"/>
      <c r="K208" s="805" t="s">
        <v>779</v>
      </c>
      <c r="L208" s="1776">
        <v>23174</v>
      </c>
      <c r="M208" s="805"/>
      <c r="N208" s="805"/>
      <c r="O208" s="954">
        <v>153.33333333333334</v>
      </c>
      <c r="P208" s="805">
        <v>1</v>
      </c>
      <c r="Q208" s="1779">
        <f t="shared" si="27"/>
        <v>153.33333333333334</v>
      </c>
      <c r="R208" s="1777"/>
      <c r="S208" s="1778"/>
      <c r="T208" s="1778"/>
      <c r="U208" s="1779"/>
      <c r="V208" s="805"/>
      <c r="W208" s="954">
        <v>153.33333333333334</v>
      </c>
      <c r="X208" s="1781"/>
      <c r="Y208" s="1124"/>
      <c r="Z208" s="1124"/>
      <c r="AA208" s="1124"/>
      <c r="AB208" s="1124"/>
      <c r="AC208" s="1124"/>
      <c r="AD208" s="1124"/>
      <c r="AE208" s="1124"/>
      <c r="AF208" s="1124"/>
      <c r="AG208" s="1282">
        <f t="shared" si="21"/>
        <v>153.33333333333334</v>
      </c>
    </row>
    <row r="209" spans="1:33" ht="57.75" hidden="1" customHeight="1">
      <c r="A209" s="796">
        <v>1229</v>
      </c>
      <c r="B209" s="793" t="s">
        <v>819</v>
      </c>
      <c r="C209" s="857" t="s">
        <v>820</v>
      </c>
      <c r="D209" s="805"/>
      <c r="E209" s="796">
        <v>10</v>
      </c>
      <c r="F209" s="1775">
        <v>43339</v>
      </c>
      <c r="G209" s="1775">
        <f t="shared" si="29"/>
        <v>43349</v>
      </c>
      <c r="H209" s="805" t="s">
        <v>774</v>
      </c>
      <c r="I209" s="796" t="s">
        <v>170</v>
      </c>
      <c r="J209" s="792"/>
      <c r="K209" s="805" t="s">
        <v>824</v>
      </c>
      <c r="L209" s="1776">
        <v>23174</v>
      </c>
      <c r="M209" s="805"/>
      <c r="N209" s="805"/>
      <c r="O209" s="954">
        <v>238</v>
      </c>
      <c r="P209" s="805">
        <v>1</v>
      </c>
      <c r="Q209" s="1779">
        <f t="shared" si="27"/>
        <v>238</v>
      </c>
      <c r="R209" s="1777"/>
      <c r="S209" s="1778"/>
      <c r="T209" s="1778"/>
      <c r="U209" s="1779"/>
      <c r="V209" s="805"/>
      <c r="W209" s="954">
        <v>238</v>
      </c>
      <c r="X209" s="1781"/>
      <c r="Y209" s="1124"/>
      <c r="Z209" s="1124"/>
      <c r="AA209" s="1124"/>
      <c r="AB209" s="1124"/>
      <c r="AC209" s="1124"/>
      <c r="AD209" s="1124"/>
      <c r="AE209" s="1124"/>
      <c r="AF209" s="1124"/>
      <c r="AG209" s="1282">
        <f t="shared" si="21"/>
        <v>238</v>
      </c>
    </row>
    <row r="210" spans="1:33" ht="57.75" hidden="1" customHeight="1">
      <c r="A210" s="796">
        <v>1229</v>
      </c>
      <c r="B210" s="793" t="s">
        <v>819</v>
      </c>
      <c r="C210" s="857" t="s">
        <v>820</v>
      </c>
      <c r="D210" s="805"/>
      <c r="E210" s="796">
        <v>10</v>
      </c>
      <c r="F210" s="1775">
        <v>43339</v>
      </c>
      <c r="G210" s="1775">
        <f t="shared" si="29"/>
        <v>43349</v>
      </c>
      <c r="H210" s="805" t="s">
        <v>774</v>
      </c>
      <c r="I210" s="796" t="s">
        <v>170</v>
      </c>
      <c r="J210" s="792"/>
      <c r="K210" s="805" t="s">
        <v>825</v>
      </c>
      <c r="L210" s="1776">
        <v>23174</v>
      </c>
      <c r="M210" s="805"/>
      <c r="N210" s="805"/>
      <c r="O210" s="954">
        <v>501.66666666666669</v>
      </c>
      <c r="P210" s="805">
        <v>1</v>
      </c>
      <c r="Q210" s="1779">
        <f t="shared" si="27"/>
        <v>501.66666666666669</v>
      </c>
      <c r="R210" s="1777"/>
      <c r="S210" s="1778"/>
      <c r="T210" s="1778"/>
      <c r="U210" s="1779"/>
      <c r="V210" s="805"/>
      <c r="W210" s="954">
        <v>501.66666666666669</v>
      </c>
      <c r="X210" s="1781"/>
      <c r="Y210" s="1124"/>
      <c r="Z210" s="1124"/>
      <c r="AA210" s="1124"/>
      <c r="AB210" s="1124"/>
      <c r="AC210" s="1124"/>
      <c r="AD210" s="1124"/>
      <c r="AE210" s="1124"/>
      <c r="AF210" s="1124"/>
      <c r="AG210" s="1282">
        <f t="shared" si="21"/>
        <v>501.66666666666669</v>
      </c>
    </row>
    <row r="211" spans="1:33" ht="57.75" hidden="1" customHeight="1">
      <c r="A211" s="796">
        <v>1229</v>
      </c>
      <c r="B211" s="793" t="s">
        <v>819</v>
      </c>
      <c r="C211" s="857" t="s">
        <v>820</v>
      </c>
      <c r="D211" s="805"/>
      <c r="E211" s="796"/>
      <c r="F211" s="1775"/>
      <c r="G211" s="1775"/>
      <c r="H211" s="805" t="s">
        <v>774</v>
      </c>
      <c r="I211" s="796" t="s">
        <v>170</v>
      </c>
      <c r="J211" s="792"/>
      <c r="K211" s="1292" t="s">
        <v>818</v>
      </c>
      <c r="L211" s="1776">
        <v>23173</v>
      </c>
      <c r="M211" s="805"/>
      <c r="N211" s="805"/>
      <c r="O211" s="954">
        <v>534.88800000000003</v>
      </c>
      <c r="P211" s="1779">
        <v>1</v>
      </c>
      <c r="Q211" s="1779">
        <f t="shared" si="27"/>
        <v>534.88800000000003</v>
      </c>
      <c r="R211" s="1777"/>
      <c r="S211" s="1778"/>
      <c r="T211" s="1778"/>
      <c r="U211" s="1779"/>
      <c r="V211" s="805"/>
      <c r="W211" s="954">
        <v>534.88800000000003</v>
      </c>
      <c r="X211" s="1781"/>
      <c r="Y211" s="1124"/>
      <c r="Z211" s="1124"/>
      <c r="AA211" s="1124"/>
      <c r="AB211" s="1124"/>
      <c r="AC211" s="1124"/>
      <c r="AD211" s="1124"/>
      <c r="AE211" s="1124"/>
      <c r="AF211" s="1124"/>
      <c r="AG211" s="1282">
        <f t="shared" si="21"/>
        <v>534.88800000000003</v>
      </c>
    </row>
    <row r="212" spans="1:33" ht="57.75" hidden="1" customHeight="1">
      <c r="A212" s="796">
        <v>1229</v>
      </c>
      <c r="B212" s="793" t="s">
        <v>819</v>
      </c>
      <c r="C212" s="857" t="s">
        <v>820</v>
      </c>
      <c r="D212" s="805"/>
      <c r="E212" s="796"/>
      <c r="F212" s="796"/>
      <c r="G212" s="796"/>
      <c r="H212" s="805" t="s">
        <v>774</v>
      </c>
      <c r="I212" s="796" t="s">
        <v>170</v>
      </c>
      <c r="J212" s="792"/>
      <c r="K212" s="805" t="s">
        <v>415</v>
      </c>
      <c r="L212" s="1776">
        <v>23173</v>
      </c>
      <c r="M212" s="805"/>
      <c r="N212" s="805"/>
      <c r="O212" s="954">
        <v>1666.6666666666667</v>
      </c>
      <c r="P212" s="805">
        <v>1</v>
      </c>
      <c r="Q212" s="1779">
        <f t="shared" si="27"/>
        <v>1666.6666666666667</v>
      </c>
      <c r="R212" s="1777"/>
      <c r="S212" s="1778"/>
      <c r="T212" s="1778"/>
      <c r="U212" s="1779"/>
      <c r="V212" s="805"/>
      <c r="W212" s="954">
        <v>1666.6666666666667</v>
      </c>
      <c r="X212" s="1781"/>
      <c r="Y212" s="1124"/>
      <c r="Z212" s="1124"/>
      <c r="AA212" s="1124"/>
      <c r="AB212" s="1124"/>
      <c r="AC212" s="1124"/>
      <c r="AD212" s="1124"/>
      <c r="AE212" s="1124"/>
      <c r="AF212" s="1124"/>
      <c r="AG212" s="1282">
        <f t="shared" si="21"/>
        <v>1666.6666666666667</v>
      </c>
    </row>
    <row r="213" spans="1:33" ht="57.75" hidden="1" customHeight="1">
      <c r="A213" s="796">
        <v>1230</v>
      </c>
      <c r="B213" s="793" t="s">
        <v>826</v>
      </c>
      <c r="C213" s="1074" t="s">
        <v>827</v>
      </c>
      <c r="D213" s="805"/>
      <c r="E213" s="796">
        <v>5</v>
      </c>
      <c r="F213" s="1775">
        <v>43360</v>
      </c>
      <c r="G213" s="1775">
        <f>F213+E213</f>
        <v>43365</v>
      </c>
      <c r="H213" s="805" t="s">
        <v>785</v>
      </c>
      <c r="I213" s="796" t="s">
        <v>170</v>
      </c>
      <c r="J213" s="792"/>
      <c r="K213" s="805" t="s">
        <v>828</v>
      </c>
      <c r="L213" s="1776">
        <v>23174</v>
      </c>
      <c r="M213" s="805"/>
      <c r="N213" s="805"/>
      <c r="O213" s="954">
        <v>2520</v>
      </c>
      <c r="P213" s="805">
        <v>1</v>
      </c>
      <c r="Q213" s="1779">
        <f>O213*P213</f>
        <v>2520</v>
      </c>
      <c r="R213" s="1777"/>
      <c r="S213" s="1778"/>
      <c r="T213" s="1778"/>
      <c r="U213" s="1779"/>
      <c r="V213" s="805"/>
      <c r="W213" s="954">
        <v>2520</v>
      </c>
      <c r="X213" s="1781"/>
      <c r="Y213" s="1124"/>
      <c r="Z213" s="1124"/>
      <c r="AA213" s="1124"/>
      <c r="AB213" s="1124"/>
      <c r="AC213" s="1124"/>
      <c r="AD213" s="1124"/>
      <c r="AE213" s="1124"/>
      <c r="AF213" s="1124"/>
      <c r="AG213" s="1282">
        <f t="shared" si="21"/>
        <v>2520</v>
      </c>
    </row>
    <row r="214" spans="1:33" ht="57.75" hidden="1" customHeight="1">
      <c r="A214" s="796">
        <v>1230</v>
      </c>
      <c r="B214" s="793" t="s">
        <v>826</v>
      </c>
      <c r="C214" s="1074" t="s">
        <v>827</v>
      </c>
      <c r="D214" s="805"/>
      <c r="E214" s="796">
        <v>5</v>
      </c>
      <c r="F214" s="1775">
        <v>43360</v>
      </c>
      <c r="G214" s="1775">
        <f t="shared" ref="G214:G219" si="30">F214+E214</f>
        <v>43365</v>
      </c>
      <c r="H214" s="805" t="s">
        <v>785</v>
      </c>
      <c r="I214" s="796" t="s">
        <v>170</v>
      </c>
      <c r="J214" s="792"/>
      <c r="K214" s="805" t="s">
        <v>829</v>
      </c>
      <c r="L214" s="1776">
        <v>23174</v>
      </c>
      <c r="M214" s="805"/>
      <c r="N214" s="805"/>
      <c r="O214" s="954">
        <v>1236</v>
      </c>
      <c r="P214" s="805">
        <v>1</v>
      </c>
      <c r="Q214" s="1779">
        <f>O214*P214</f>
        <v>1236</v>
      </c>
      <c r="R214" s="1777"/>
      <c r="S214" s="1778"/>
      <c r="T214" s="1778"/>
      <c r="U214" s="1779"/>
      <c r="V214" s="805"/>
      <c r="W214" s="954">
        <v>1236</v>
      </c>
      <c r="X214" s="1781"/>
      <c r="Y214" s="1124"/>
      <c r="Z214" s="1124"/>
      <c r="AA214" s="1124"/>
      <c r="AB214" s="1124"/>
      <c r="AC214" s="1124"/>
      <c r="AD214" s="1124"/>
      <c r="AE214" s="1124"/>
      <c r="AF214" s="1124"/>
      <c r="AG214" s="1282">
        <f t="shared" si="21"/>
        <v>1236</v>
      </c>
    </row>
    <row r="215" spans="1:33" ht="57.75" hidden="1" customHeight="1">
      <c r="A215" s="796">
        <v>1230</v>
      </c>
      <c r="B215" s="793" t="s">
        <v>826</v>
      </c>
      <c r="C215" s="1074" t="s">
        <v>827</v>
      </c>
      <c r="D215" s="805"/>
      <c r="E215" s="796">
        <v>5</v>
      </c>
      <c r="F215" s="1775">
        <v>43360</v>
      </c>
      <c r="G215" s="1775">
        <f t="shared" si="30"/>
        <v>43365</v>
      </c>
      <c r="H215" s="805" t="s">
        <v>785</v>
      </c>
      <c r="I215" s="796" t="s">
        <v>170</v>
      </c>
      <c r="J215" s="792"/>
      <c r="K215" s="805" t="s">
        <v>830</v>
      </c>
      <c r="L215" s="1776">
        <v>23174</v>
      </c>
      <c r="M215" s="805"/>
      <c r="N215" s="805"/>
      <c r="O215" s="954">
        <v>260</v>
      </c>
      <c r="P215" s="805">
        <v>1</v>
      </c>
      <c r="Q215" s="1779">
        <f>O215*P215</f>
        <v>260</v>
      </c>
      <c r="R215" s="1777"/>
      <c r="S215" s="1778"/>
      <c r="T215" s="1778"/>
      <c r="U215" s="1779"/>
      <c r="V215" s="805"/>
      <c r="W215" s="954">
        <v>260</v>
      </c>
      <c r="X215" s="1781"/>
      <c r="Y215" s="1124"/>
      <c r="Z215" s="1124"/>
      <c r="AA215" s="1124"/>
      <c r="AB215" s="1124"/>
      <c r="AC215" s="1124"/>
      <c r="AD215" s="1124"/>
      <c r="AE215" s="1124"/>
      <c r="AF215" s="1124"/>
      <c r="AG215" s="1282">
        <f t="shared" si="21"/>
        <v>260</v>
      </c>
    </row>
    <row r="216" spans="1:33" ht="57.75" hidden="1" customHeight="1">
      <c r="A216" s="796">
        <v>1230</v>
      </c>
      <c r="B216" s="793" t="s">
        <v>826</v>
      </c>
      <c r="C216" s="1074" t="s">
        <v>827</v>
      </c>
      <c r="D216" s="805"/>
      <c r="E216" s="796">
        <v>5</v>
      </c>
      <c r="F216" s="1775">
        <v>43360</v>
      </c>
      <c r="G216" s="1775">
        <f t="shared" si="30"/>
        <v>43365</v>
      </c>
      <c r="H216" s="805" t="s">
        <v>785</v>
      </c>
      <c r="I216" s="796" t="s">
        <v>170</v>
      </c>
      <c r="J216" s="792"/>
      <c r="K216" s="805" t="s">
        <v>831</v>
      </c>
      <c r="L216" s="1776">
        <v>23174</v>
      </c>
      <c r="M216" s="805"/>
      <c r="N216" s="805"/>
      <c r="O216" s="954">
        <v>1173.3333333333333</v>
      </c>
      <c r="P216" s="805">
        <v>1</v>
      </c>
      <c r="Q216" s="1779">
        <f>O216*P216</f>
        <v>1173.3333333333333</v>
      </c>
      <c r="R216" s="1777"/>
      <c r="S216" s="1778"/>
      <c r="T216" s="1778"/>
      <c r="U216" s="1779"/>
      <c r="V216" s="805"/>
      <c r="W216" s="954">
        <v>1173.3333333333333</v>
      </c>
      <c r="X216" s="1781"/>
      <c r="Y216" s="1124"/>
      <c r="Z216" s="1124"/>
      <c r="AA216" s="1124"/>
      <c r="AB216" s="1124"/>
      <c r="AC216" s="1124"/>
      <c r="AD216" s="1124"/>
      <c r="AE216" s="1124"/>
      <c r="AF216" s="1124"/>
      <c r="AG216" s="1282">
        <f t="shared" si="21"/>
        <v>1173.3333333333333</v>
      </c>
    </row>
    <row r="217" spans="1:33" ht="57.75" hidden="1" customHeight="1">
      <c r="A217" s="796">
        <v>1230</v>
      </c>
      <c r="B217" s="793" t="s">
        <v>826</v>
      </c>
      <c r="C217" s="1074" t="s">
        <v>827</v>
      </c>
      <c r="D217" s="805"/>
      <c r="E217" s="796">
        <v>5</v>
      </c>
      <c r="F217" s="1775">
        <v>43360</v>
      </c>
      <c r="G217" s="1775">
        <f t="shared" si="30"/>
        <v>43365</v>
      </c>
      <c r="H217" s="805" t="s">
        <v>785</v>
      </c>
      <c r="I217" s="796" t="s">
        <v>170</v>
      </c>
      <c r="J217" s="792"/>
      <c r="K217" s="805" t="s">
        <v>832</v>
      </c>
      <c r="L217" s="1776">
        <v>23174</v>
      </c>
      <c r="M217" s="805"/>
      <c r="N217" s="805"/>
      <c r="O217" s="954">
        <v>146.66666666666666</v>
      </c>
      <c r="P217" s="805">
        <v>1</v>
      </c>
      <c r="Q217" s="1779">
        <f>P217*O217</f>
        <v>146.66666666666666</v>
      </c>
      <c r="R217" s="1777"/>
      <c r="S217" s="1778"/>
      <c r="T217" s="1778"/>
      <c r="U217" s="1779"/>
      <c r="V217" s="805"/>
      <c r="W217" s="954">
        <v>146.66666666666666</v>
      </c>
      <c r="X217" s="1781"/>
      <c r="Y217" s="1124"/>
      <c r="Z217" s="1124"/>
      <c r="AA217" s="1124"/>
      <c r="AB217" s="1124"/>
      <c r="AC217" s="1124"/>
      <c r="AD217" s="1124"/>
      <c r="AE217" s="1124"/>
      <c r="AF217" s="1124"/>
      <c r="AG217" s="1282">
        <f t="shared" si="21"/>
        <v>146.66666666666666</v>
      </c>
    </row>
    <row r="218" spans="1:33" ht="57.75" hidden="1" customHeight="1">
      <c r="A218" s="796">
        <v>1230</v>
      </c>
      <c r="B218" s="793" t="s">
        <v>826</v>
      </c>
      <c r="C218" s="1074" t="s">
        <v>827</v>
      </c>
      <c r="D218" s="805"/>
      <c r="E218" s="796">
        <v>5</v>
      </c>
      <c r="F218" s="1775">
        <v>43360</v>
      </c>
      <c r="G218" s="1775">
        <f t="shared" si="30"/>
        <v>43365</v>
      </c>
      <c r="H218" s="805" t="s">
        <v>785</v>
      </c>
      <c r="I218" s="796" t="s">
        <v>170</v>
      </c>
      <c r="J218" s="792"/>
      <c r="K218" s="805" t="s">
        <v>833</v>
      </c>
      <c r="L218" s="1776">
        <v>23174</v>
      </c>
      <c r="M218" s="805"/>
      <c r="N218" s="805"/>
      <c r="O218" s="954">
        <v>1088</v>
      </c>
      <c r="P218" s="805">
        <v>1</v>
      </c>
      <c r="Q218" s="1779">
        <f>P218*O218</f>
        <v>1088</v>
      </c>
      <c r="R218" s="1777"/>
      <c r="S218" s="1778"/>
      <c r="T218" s="1778"/>
      <c r="U218" s="1779"/>
      <c r="V218" s="805"/>
      <c r="W218" s="954">
        <v>1088</v>
      </c>
      <c r="X218" s="1781"/>
      <c r="Y218" s="1124"/>
      <c r="Z218" s="1124"/>
      <c r="AA218" s="1124"/>
      <c r="AB218" s="1124"/>
      <c r="AC218" s="1124"/>
      <c r="AD218" s="1124"/>
      <c r="AE218" s="1124"/>
      <c r="AF218" s="1124"/>
      <c r="AG218" s="1282">
        <f t="shared" si="21"/>
        <v>1088</v>
      </c>
    </row>
    <row r="219" spans="1:33" ht="57.75" hidden="1" customHeight="1">
      <c r="A219" s="796">
        <v>1230</v>
      </c>
      <c r="B219" s="793" t="s">
        <v>826</v>
      </c>
      <c r="C219" s="1074" t="s">
        <v>827</v>
      </c>
      <c r="D219" s="805"/>
      <c r="E219" s="796">
        <v>5</v>
      </c>
      <c r="F219" s="1775">
        <v>43360</v>
      </c>
      <c r="G219" s="1775">
        <f t="shared" si="30"/>
        <v>43365</v>
      </c>
      <c r="H219" s="805" t="s">
        <v>785</v>
      </c>
      <c r="I219" s="796" t="s">
        <v>170</v>
      </c>
      <c r="J219" s="792"/>
      <c r="K219" s="805" t="s">
        <v>834</v>
      </c>
      <c r="L219" s="1776">
        <v>23174</v>
      </c>
      <c r="M219" s="805"/>
      <c r="N219" s="805"/>
      <c r="O219" s="954">
        <v>680</v>
      </c>
      <c r="P219" s="805">
        <v>1</v>
      </c>
      <c r="Q219" s="1779">
        <f>O219*P219</f>
        <v>680</v>
      </c>
      <c r="R219" s="1777"/>
      <c r="S219" s="1778"/>
      <c r="T219" s="1778"/>
      <c r="U219" s="1779"/>
      <c r="V219" s="805"/>
      <c r="W219" s="954">
        <v>680</v>
      </c>
      <c r="X219" s="1781"/>
      <c r="Y219" s="1124"/>
      <c r="Z219" s="1124"/>
      <c r="AA219" s="1124"/>
      <c r="AB219" s="1124"/>
      <c r="AC219" s="1124"/>
      <c r="AD219" s="1124"/>
      <c r="AE219" s="1124"/>
      <c r="AF219" s="1124"/>
      <c r="AG219" s="1282">
        <f>SUM(S219:AF219)</f>
        <v>680</v>
      </c>
    </row>
    <row r="220" spans="1:33" ht="57.75" hidden="1" customHeight="1">
      <c r="A220" s="796">
        <v>1230</v>
      </c>
      <c r="B220" s="793" t="s">
        <v>826</v>
      </c>
      <c r="C220" s="1074" t="s">
        <v>827</v>
      </c>
      <c r="D220" s="805"/>
      <c r="E220" s="796"/>
      <c r="F220" s="1775"/>
      <c r="G220" s="1775"/>
      <c r="H220" s="805" t="s">
        <v>785</v>
      </c>
      <c r="I220" s="796" t="s">
        <v>170</v>
      </c>
      <c r="J220" s="792"/>
      <c r="K220" s="1292" t="s">
        <v>835</v>
      </c>
      <c r="L220" s="1776">
        <v>23173</v>
      </c>
      <c r="M220" s="805"/>
      <c r="N220" s="805"/>
      <c r="O220" s="954">
        <v>30.331</v>
      </c>
      <c r="P220" s="805">
        <v>1</v>
      </c>
      <c r="Q220" s="1779">
        <f>O220*P220</f>
        <v>30.331</v>
      </c>
      <c r="R220" s="1777"/>
      <c r="S220" s="1778"/>
      <c r="T220" s="1778"/>
      <c r="U220" s="1779"/>
      <c r="V220" s="805"/>
      <c r="W220" s="954">
        <v>30.331</v>
      </c>
      <c r="X220" s="1781"/>
      <c r="Y220" s="1124"/>
      <c r="Z220" s="1124"/>
      <c r="AA220" s="1124"/>
      <c r="AB220" s="1124"/>
      <c r="AC220" s="1124"/>
      <c r="AD220" s="1124"/>
      <c r="AE220" s="1124"/>
      <c r="AF220" s="1124"/>
      <c r="AG220" s="1282">
        <f>SUM(S220:AF220)</f>
        <v>30.331</v>
      </c>
    </row>
    <row r="221" spans="1:33" ht="57.75" hidden="1" customHeight="1">
      <c r="A221" s="796">
        <v>1230</v>
      </c>
      <c r="B221" s="793" t="s">
        <v>826</v>
      </c>
      <c r="C221" s="1074" t="s">
        <v>827</v>
      </c>
      <c r="D221" s="805"/>
      <c r="E221" s="796"/>
      <c r="F221" s="796"/>
      <c r="G221" s="796"/>
      <c r="H221" s="805" t="s">
        <v>785</v>
      </c>
      <c r="I221" s="796" t="s">
        <v>170</v>
      </c>
      <c r="J221" s="792"/>
      <c r="K221" s="805" t="s">
        <v>415</v>
      </c>
      <c r="L221" s="1776">
        <v>23173</v>
      </c>
      <c r="M221" s="805"/>
      <c r="N221" s="805"/>
      <c r="O221" s="954">
        <v>833.33333333333337</v>
      </c>
      <c r="P221" s="805">
        <v>1</v>
      </c>
      <c r="Q221" s="1779">
        <f>O221*P221</f>
        <v>833.33333333333337</v>
      </c>
      <c r="R221" s="1777"/>
      <c r="S221" s="1778"/>
      <c r="T221" s="1778"/>
      <c r="U221" s="1779"/>
      <c r="V221" s="805"/>
      <c r="W221" s="954">
        <v>833.33333333333337</v>
      </c>
      <c r="X221" s="1781"/>
      <c r="Y221" s="1124"/>
      <c r="Z221" s="1124"/>
      <c r="AA221" s="1124"/>
      <c r="AB221" s="1124"/>
      <c r="AC221" s="1124"/>
      <c r="AD221" s="1124"/>
      <c r="AE221" s="1124"/>
      <c r="AF221" s="1124"/>
      <c r="AG221" s="1282">
        <f>SUM(S221:AF221)</f>
        <v>833.33333333333337</v>
      </c>
    </row>
    <row r="222" spans="1:33" ht="33.75" customHeight="1">
      <c r="A222" s="1827" t="s">
        <v>235</v>
      </c>
      <c r="B222" s="1517"/>
      <c r="C222" s="1828"/>
      <c r="D222" s="1829"/>
      <c r="E222" s="1829"/>
      <c r="F222" s="1829"/>
      <c r="G222" s="1829"/>
      <c r="H222" s="1829"/>
      <c r="I222" s="1830"/>
      <c r="J222" s="835"/>
      <c r="K222" s="1815"/>
      <c r="L222" s="1817"/>
      <c r="M222" s="1818"/>
      <c r="N222" s="1819"/>
      <c r="O222" s="1820"/>
      <c r="P222" s="1819"/>
      <c r="Q222" s="1822">
        <f>Q223+Q302+Q345</f>
        <v>688782.5104266667</v>
      </c>
      <c r="R222" s="1822">
        <f>+R223+R302+R345</f>
        <v>688782.21</v>
      </c>
      <c r="S222" s="1821">
        <f t="shared" ref="S222:AG222" si="31">S223+S302+S345</f>
        <v>0</v>
      </c>
      <c r="T222" s="1821">
        <f t="shared" si="31"/>
        <v>1700</v>
      </c>
      <c r="U222" s="1821">
        <f t="shared" si="31"/>
        <v>152563.84376000002</v>
      </c>
      <c r="V222" s="1821">
        <f t="shared" si="31"/>
        <v>137838.66666666669</v>
      </c>
      <c r="W222" s="1821">
        <f t="shared" si="31"/>
        <v>64436</v>
      </c>
      <c r="X222" s="1831">
        <f t="shared" si="31"/>
        <v>109804</v>
      </c>
      <c r="Y222" s="1832">
        <f t="shared" si="31"/>
        <v>187000</v>
      </c>
      <c r="Z222" s="1833">
        <f t="shared" si="31"/>
        <v>11600</v>
      </c>
      <c r="AA222" s="1833">
        <f t="shared" si="31"/>
        <v>11640</v>
      </c>
      <c r="AB222" s="1833">
        <f t="shared" si="31"/>
        <v>500</v>
      </c>
      <c r="AC222" s="1833">
        <f t="shared" si="31"/>
        <v>500</v>
      </c>
      <c r="AD222" s="1833">
        <f t="shared" si="31"/>
        <v>10200</v>
      </c>
      <c r="AE222" s="1833">
        <f t="shared" si="31"/>
        <v>500</v>
      </c>
      <c r="AF222" s="1833">
        <f t="shared" si="31"/>
        <v>500</v>
      </c>
      <c r="AG222" s="1821">
        <f t="shared" si="31"/>
        <v>688782.5104266667</v>
      </c>
    </row>
    <row r="223" spans="1:33" ht="37.5" customHeight="1">
      <c r="A223" s="1540" t="s">
        <v>236</v>
      </c>
      <c r="B223" s="1461"/>
      <c r="C223" s="1500"/>
      <c r="D223" s="1335"/>
      <c r="E223" s="1335"/>
      <c r="F223" s="1335"/>
      <c r="G223" s="1335"/>
      <c r="H223" s="1335"/>
      <c r="I223" s="1336"/>
      <c r="J223" s="273"/>
      <c r="K223" s="1248"/>
      <c r="L223" s="1269"/>
      <c r="M223" s="1270"/>
      <c r="N223" s="1268"/>
      <c r="O223" s="1271"/>
      <c r="P223" s="1268"/>
      <c r="Q223" s="1273">
        <f>+Q224+Q233+Q245+Q264+Q283</f>
        <v>300354.41666666669</v>
      </c>
      <c r="R223" s="1273">
        <f>+'[2]Compil Costing PPA 3 millions'!F7</f>
        <v>300354.12</v>
      </c>
      <c r="S223" s="1272">
        <f>+S224+S233+S245+S264+S283</f>
        <v>0</v>
      </c>
      <c r="T223" s="1272">
        <f>+T224+T233+T245+T264+T283</f>
        <v>0</v>
      </c>
      <c r="U223" s="1272">
        <f t="shared" ref="U223:AF223" si="32">+U224+U233+U245+U264+U283</f>
        <v>79470.75</v>
      </c>
      <c r="V223" s="1272">
        <f t="shared" si="32"/>
        <v>40583.666666666672</v>
      </c>
      <c r="W223" s="1272">
        <f t="shared" si="32"/>
        <v>54436</v>
      </c>
      <c r="X223" s="1272">
        <f t="shared" si="32"/>
        <v>45624</v>
      </c>
      <c r="Y223" s="1272">
        <f t="shared" si="32"/>
        <v>77200</v>
      </c>
      <c r="Z223" s="1272">
        <f t="shared" si="32"/>
        <v>0</v>
      </c>
      <c r="AA223" s="1272">
        <f t="shared" si="32"/>
        <v>3040</v>
      </c>
      <c r="AB223" s="1272">
        <f t="shared" si="32"/>
        <v>0</v>
      </c>
      <c r="AC223" s="1272">
        <f t="shared" si="32"/>
        <v>0</v>
      </c>
      <c r="AD223" s="1272">
        <f t="shared" si="32"/>
        <v>0</v>
      </c>
      <c r="AE223" s="1272">
        <f t="shared" si="32"/>
        <v>0</v>
      </c>
      <c r="AF223" s="1272">
        <f t="shared" si="32"/>
        <v>0</v>
      </c>
      <c r="AG223" s="1272">
        <f>+AG224+AG233+AG245+AG264+AG283</f>
        <v>300354.41666666669</v>
      </c>
    </row>
    <row r="224" spans="1:33" ht="29.25" hidden="1" customHeight="1">
      <c r="A224" s="1275">
        <v>211</v>
      </c>
      <c r="B224" s="995" t="s">
        <v>59</v>
      </c>
      <c r="C224" s="1083"/>
      <c r="D224" s="1339"/>
      <c r="E224" s="1340"/>
      <c r="F224" s="1340"/>
      <c r="G224" s="1340"/>
      <c r="H224" s="1339"/>
      <c r="I224" s="1341"/>
      <c r="J224" s="283"/>
      <c r="K224" s="1278"/>
      <c r="L224" s="1279"/>
      <c r="M224" s="1280"/>
      <c r="N224" s="1277"/>
      <c r="O224" s="1281"/>
      <c r="P224" s="1277"/>
      <c r="Q224" s="547">
        <f>SUM(Q225:Q232)</f>
        <v>32625.75</v>
      </c>
      <c r="R224" s="287"/>
      <c r="S224" s="1282">
        <f t="shared" ref="S224:AF224" si="33">SUM(S225:S232)</f>
        <v>0</v>
      </c>
      <c r="T224" s="1282">
        <f t="shared" si="33"/>
        <v>0</v>
      </c>
      <c r="U224" s="1282">
        <f t="shared" si="33"/>
        <v>32625.75</v>
      </c>
      <c r="V224" s="1282">
        <f t="shared" si="33"/>
        <v>0</v>
      </c>
      <c r="W224" s="1282">
        <f t="shared" si="33"/>
        <v>0</v>
      </c>
      <c r="X224" s="1282">
        <f t="shared" si="33"/>
        <v>0</v>
      </c>
      <c r="Y224" s="1282">
        <f t="shared" si="33"/>
        <v>0</v>
      </c>
      <c r="Z224" s="1282">
        <f t="shared" si="33"/>
        <v>0</v>
      </c>
      <c r="AA224" s="1282">
        <f t="shared" si="33"/>
        <v>0</v>
      </c>
      <c r="AB224" s="1282">
        <f t="shared" si="33"/>
        <v>0</v>
      </c>
      <c r="AC224" s="1282">
        <f t="shared" si="33"/>
        <v>0</v>
      </c>
      <c r="AD224" s="1282">
        <f t="shared" si="33"/>
        <v>0</v>
      </c>
      <c r="AE224" s="1282">
        <f t="shared" si="33"/>
        <v>0</v>
      </c>
      <c r="AF224" s="1282">
        <f t="shared" si="33"/>
        <v>0</v>
      </c>
      <c r="AG224" s="1282">
        <f>SUM(S224:AF224)</f>
        <v>32625.75</v>
      </c>
    </row>
    <row r="225" spans="1:33" ht="32.25" hidden="1" customHeight="1">
      <c r="A225" s="294">
        <v>2111</v>
      </c>
      <c r="B225" s="291" t="s">
        <v>59</v>
      </c>
      <c r="C225" s="824" t="s">
        <v>293</v>
      </c>
      <c r="D225" s="326"/>
      <c r="E225" s="294">
        <v>5</v>
      </c>
      <c r="F225" s="293">
        <v>43221</v>
      </c>
      <c r="G225" s="293">
        <f>+E225+F225</f>
        <v>43226</v>
      </c>
      <c r="H225" s="293" t="s">
        <v>294</v>
      </c>
      <c r="I225" s="294" t="s">
        <v>171</v>
      </c>
      <c r="J225" s="307" t="s">
        <v>295</v>
      </c>
      <c r="K225" s="326" t="s">
        <v>296</v>
      </c>
      <c r="L225" s="1237">
        <v>23174</v>
      </c>
      <c r="M225" s="326"/>
      <c r="N225" s="294"/>
      <c r="O225" s="354">
        <v>1800</v>
      </c>
      <c r="P225" s="294">
        <v>3</v>
      </c>
      <c r="Q225" s="299">
        <f t="shared" ref="Q225:Q232" si="34">+O225*P225</f>
        <v>5400</v>
      </c>
      <c r="R225" s="299"/>
      <c r="S225" s="355"/>
      <c r="T225" s="355"/>
      <c r="U225" s="355">
        <v>5400</v>
      </c>
      <c r="V225" s="355"/>
      <c r="W225" s="355"/>
      <c r="X225" s="1137"/>
      <c r="Y225" s="1126"/>
      <c r="Z225" s="1194"/>
      <c r="AA225" s="1194"/>
      <c r="AB225" s="1194"/>
      <c r="AC225" s="1124"/>
      <c r="AD225" s="1124"/>
      <c r="AE225" s="1152"/>
      <c r="AF225" s="1124"/>
      <c r="AG225" s="1282">
        <f t="shared" ref="AG225:AG232" si="35">SUM(S225:AF225)</f>
        <v>5400</v>
      </c>
    </row>
    <row r="226" spans="1:33" ht="32.25" hidden="1" customHeight="1">
      <c r="A226" s="294">
        <v>2111</v>
      </c>
      <c r="B226" s="291" t="s">
        <v>59</v>
      </c>
      <c r="C226" s="824" t="s">
        <v>293</v>
      </c>
      <c r="D226" s="326"/>
      <c r="E226" s="294">
        <v>5</v>
      </c>
      <c r="F226" s="293">
        <v>43221</v>
      </c>
      <c r="G226" s="293">
        <f t="shared" ref="G226:G232" si="36">+E226+F226</f>
        <v>43226</v>
      </c>
      <c r="H226" s="293" t="s">
        <v>294</v>
      </c>
      <c r="I226" s="294" t="s">
        <v>171</v>
      </c>
      <c r="J226" s="307" t="s">
        <v>295</v>
      </c>
      <c r="K226" s="326" t="s">
        <v>297</v>
      </c>
      <c r="L226" s="1237">
        <v>23174</v>
      </c>
      <c r="M226" s="326"/>
      <c r="N226" s="294"/>
      <c r="O226" s="354">
        <v>177.33333333333334</v>
      </c>
      <c r="P226" s="294">
        <v>3</v>
      </c>
      <c r="Q226" s="299">
        <f t="shared" si="34"/>
        <v>532</v>
      </c>
      <c r="R226" s="299"/>
      <c r="S226" s="355"/>
      <c r="T226" s="355"/>
      <c r="U226" s="355">
        <v>532</v>
      </c>
      <c r="V226" s="355"/>
      <c r="W226" s="355"/>
      <c r="X226" s="1137"/>
      <c r="Y226" s="1126"/>
      <c r="Z226" s="1194"/>
      <c r="AA226" s="1194"/>
      <c r="AB226" s="1194"/>
      <c r="AC226" s="1124"/>
      <c r="AD226" s="1124"/>
      <c r="AE226" s="1152"/>
      <c r="AF226" s="1124"/>
      <c r="AG226" s="1282">
        <f t="shared" si="35"/>
        <v>532</v>
      </c>
    </row>
    <row r="227" spans="1:33" ht="32.25" hidden="1" customHeight="1">
      <c r="A227" s="294">
        <v>2111</v>
      </c>
      <c r="B227" s="291" t="s">
        <v>59</v>
      </c>
      <c r="C227" s="824" t="s">
        <v>293</v>
      </c>
      <c r="D227" s="326"/>
      <c r="E227" s="294">
        <v>5</v>
      </c>
      <c r="F227" s="293">
        <v>43221</v>
      </c>
      <c r="G227" s="293">
        <f t="shared" si="36"/>
        <v>43226</v>
      </c>
      <c r="H227" s="293" t="s">
        <v>294</v>
      </c>
      <c r="I227" s="294" t="s">
        <v>171</v>
      </c>
      <c r="J227" s="307" t="s">
        <v>295</v>
      </c>
      <c r="K227" s="326" t="s">
        <v>298</v>
      </c>
      <c r="L227" s="1237">
        <v>23174</v>
      </c>
      <c r="M227" s="326"/>
      <c r="N227" s="294"/>
      <c r="O227" s="354">
        <v>224</v>
      </c>
      <c r="P227" s="294">
        <v>3</v>
      </c>
      <c r="Q227" s="299">
        <f t="shared" si="34"/>
        <v>672</v>
      </c>
      <c r="R227" s="299"/>
      <c r="S227" s="355"/>
      <c r="T227" s="355"/>
      <c r="U227" s="355">
        <v>672</v>
      </c>
      <c r="V227" s="355"/>
      <c r="W227" s="355"/>
      <c r="X227" s="1137"/>
      <c r="Y227" s="1126"/>
      <c r="Z227" s="1194"/>
      <c r="AA227" s="1194"/>
      <c r="AB227" s="1194"/>
      <c r="AC227" s="1124"/>
      <c r="AD227" s="1124"/>
      <c r="AE227" s="1152"/>
      <c r="AF227" s="1124"/>
      <c r="AG227" s="1282">
        <f t="shared" si="35"/>
        <v>672</v>
      </c>
    </row>
    <row r="228" spans="1:33" ht="32.25" hidden="1" customHeight="1">
      <c r="A228" s="294">
        <v>2111</v>
      </c>
      <c r="B228" s="291" t="s">
        <v>59</v>
      </c>
      <c r="C228" s="824" t="s">
        <v>293</v>
      </c>
      <c r="D228" s="326"/>
      <c r="E228" s="294">
        <v>5</v>
      </c>
      <c r="F228" s="293">
        <v>43221</v>
      </c>
      <c r="G228" s="293">
        <f t="shared" si="36"/>
        <v>43226</v>
      </c>
      <c r="H228" s="293" t="s">
        <v>294</v>
      </c>
      <c r="I228" s="294" t="s">
        <v>171</v>
      </c>
      <c r="J228" s="307" t="s">
        <v>295</v>
      </c>
      <c r="K228" s="326" t="s">
        <v>299</v>
      </c>
      <c r="L228" s="1237">
        <v>23174</v>
      </c>
      <c r="M228" s="326"/>
      <c r="N228" s="294"/>
      <c r="O228" s="354">
        <v>166.66666666666666</v>
      </c>
      <c r="P228" s="294">
        <v>3</v>
      </c>
      <c r="Q228" s="299">
        <f t="shared" si="34"/>
        <v>500</v>
      </c>
      <c r="R228" s="299"/>
      <c r="S228" s="355"/>
      <c r="T228" s="355"/>
      <c r="U228" s="355">
        <v>500</v>
      </c>
      <c r="V228" s="355"/>
      <c r="W228" s="355"/>
      <c r="X228" s="1137"/>
      <c r="Y228" s="1126"/>
      <c r="Z228" s="1194"/>
      <c r="AA228" s="1194"/>
      <c r="AB228" s="1194"/>
      <c r="AC228" s="1124"/>
      <c r="AD228" s="1124"/>
      <c r="AE228" s="1152"/>
      <c r="AF228" s="1124"/>
      <c r="AG228" s="1282">
        <f t="shared" si="35"/>
        <v>500</v>
      </c>
    </row>
    <row r="229" spans="1:33" ht="32.25" hidden="1" customHeight="1">
      <c r="A229" s="294">
        <v>2111</v>
      </c>
      <c r="B229" s="291" t="s">
        <v>59</v>
      </c>
      <c r="C229" s="824" t="s">
        <v>293</v>
      </c>
      <c r="D229" s="326"/>
      <c r="E229" s="294">
        <v>5</v>
      </c>
      <c r="F229" s="293">
        <v>43221</v>
      </c>
      <c r="G229" s="293">
        <f t="shared" si="36"/>
        <v>43226</v>
      </c>
      <c r="H229" s="293" t="s">
        <v>294</v>
      </c>
      <c r="I229" s="294" t="s">
        <v>171</v>
      </c>
      <c r="J229" s="307" t="s">
        <v>295</v>
      </c>
      <c r="K229" s="326" t="s">
        <v>300</v>
      </c>
      <c r="L229" s="1237">
        <v>23174</v>
      </c>
      <c r="M229" s="326"/>
      <c r="N229" s="294"/>
      <c r="O229" s="354">
        <v>426.66666666666669</v>
      </c>
      <c r="P229" s="294">
        <v>3</v>
      </c>
      <c r="Q229" s="299">
        <f t="shared" si="34"/>
        <v>1280</v>
      </c>
      <c r="R229" s="299"/>
      <c r="S229" s="355"/>
      <c r="T229" s="355"/>
      <c r="U229" s="355">
        <v>1280</v>
      </c>
      <c r="V229" s="355"/>
      <c r="W229" s="355"/>
      <c r="X229" s="1137"/>
      <c r="Y229" s="1126"/>
      <c r="Z229" s="1194"/>
      <c r="AA229" s="1194"/>
      <c r="AB229" s="1194"/>
      <c r="AC229" s="1124"/>
      <c r="AD229" s="1124"/>
      <c r="AE229" s="1152"/>
      <c r="AF229" s="1124"/>
      <c r="AG229" s="1282">
        <f t="shared" si="35"/>
        <v>1280</v>
      </c>
    </row>
    <row r="230" spans="1:33" ht="32.25" hidden="1" customHeight="1">
      <c r="A230" s="294">
        <v>2111</v>
      </c>
      <c r="B230" s="291" t="s">
        <v>59</v>
      </c>
      <c r="C230" s="824" t="s">
        <v>293</v>
      </c>
      <c r="D230" s="326"/>
      <c r="E230" s="294">
        <v>5</v>
      </c>
      <c r="F230" s="293">
        <v>43221</v>
      </c>
      <c r="G230" s="293">
        <f t="shared" si="36"/>
        <v>43226</v>
      </c>
      <c r="H230" s="293" t="s">
        <v>294</v>
      </c>
      <c r="I230" s="294" t="s">
        <v>171</v>
      </c>
      <c r="J230" s="307" t="s">
        <v>295</v>
      </c>
      <c r="K230" s="326" t="s">
        <v>301</v>
      </c>
      <c r="L230" s="1237">
        <v>23173</v>
      </c>
      <c r="M230" s="326"/>
      <c r="N230" s="294"/>
      <c r="O230" s="354">
        <v>166.66666666666666</v>
      </c>
      <c r="P230" s="294">
        <v>3</v>
      </c>
      <c r="Q230" s="299">
        <f t="shared" si="34"/>
        <v>500</v>
      </c>
      <c r="R230" s="299"/>
      <c r="S230" s="355"/>
      <c r="T230" s="355"/>
      <c r="U230" s="355">
        <v>500</v>
      </c>
      <c r="V230" s="355"/>
      <c r="W230" s="355"/>
      <c r="X230" s="1137"/>
      <c r="Y230" s="1126"/>
      <c r="Z230" s="1194"/>
      <c r="AA230" s="1194"/>
      <c r="AB230" s="1194"/>
      <c r="AC230" s="1124"/>
      <c r="AD230" s="1124"/>
      <c r="AE230" s="1152"/>
      <c r="AF230" s="1124"/>
      <c r="AG230" s="1282">
        <f t="shared" si="35"/>
        <v>500</v>
      </c>
    </row>
    <row r="231" spans="1:33" ht="32.25" hidden="1" customHeight="1">
      <c r="A231" s="294">
        <v>2111</v>
      </c>
      <c r="B231" s="291" t="s">
        <v>59</v>
      </c>
      <c r="C231" s="824" t="s">
        <v>293</v>
      </c>
      <c r="D231" s="326"/>
      <c r="E231" s="294">
        <v>5</v>
      </c>
      <c r="F231" s="293">
        <v>43221</v>
      </c>
      <c r="G231" s="293">
        <f t="shared" si="36"/>
        <v>43226</v>
      </c>
      <c r="H231" s="293" t="s">
        <v>294</v>
      </c>
      <c r="I231" s="294" t="s">
        <v>171</v>
      </c>
      <c r="J231" s="307" t="s">
        <v>295</v>
      </c>
      <c r="K231" s="326" t="s">
        <v>302</v>
      </c>
      <c r="L231" s="1237">
        <v>23173</v>
      </c>
      <c r="M231" s="326"/>
      <c r="N231" s="294"/>
      <c r="O231" s="354">
        <v>343.66666666666669</v>
      </c>
      <c r="P231" s="294">
        <v>3</v>
      </c>
      <c r="Q231" s="299">
        <f t="shared" si="34"/>
        <v>1031</v>
      </c>
      <c r="R231" s="299"/>
      <c r="S231" s="355"/>
      <c r="T231" s="355"/>
      <c r="U231" s="355">
        <v>1031</v>
      </c>
      <c r="V231" s="355"/>
      <c r="W231" s="355"/>
      <c r="X231" s="1137"/>
      <c r="Y231" s="1126"/>
      <c r="Z231" s="1194"/>
      <c r="AA231" s="1194"/>
      <c r="AB231" s="1194"/>
      <c r="AC231" s="1124"/>
      <c r="AD231" s="1124"/>
      <c r="AE231" s="1152"/>
      <c r="AF231" s="1124"/>
      <c r="AG231" s="1282">
        <f t="shared" si="35"/>
        <v>1031</v>
      </c>
    </row>
    <row r="232" spans="1:33" ht="32.25" hidden="1" customHeight="1">
      <c r="A232" s="294">
        <v>2112</v>
      </c>
      <c r="B232" s="291" t="s">
        <v>303</v>
      </c>
      <c r="C232" s="824" t="s">
        <v>304</v>
      </c>
      <c r="D232" s="326"/>
      <c r="E232" s="294">
        <v>60</v>
      </c>
      <c r="F232" s="293">
        <v>43221</v>
      </c>
      <c r="G232" s="293">
        <f t="shared" si="36"/>
        <v>43281</v>
      </c>
      <c r="H232" s="293" t="s">
        <v>294</v>
      </c>
      <c r="I232" s="294" t="s">
        <v>171</v>
      </c>
      <c r="J232" s="307" t="s">
        <v>295</v>
      </c>
      <c r="K232" s="326" t="s">
        <v>305</v>
      </c>
      <c r="L232" s="1237">
        <v>2461</v>
      </c>
      <c r="M232" s="326"/>
      <c r="N232" s="294"/>
      <c r="O232" s="354">
        <v>504.68333333333334</v>
      </c>
      <c r="P232" s="294">
        <v>45</v>
      </c>
      <c r="Q232" s="299">
        <f t="shared" si="34"/>
        <v>22710.75</v>
      </c>
      <c r="R232" s="299"/>
      <c r="S232" s="355"/>
      <c r="T232" s="355"/>
      <c r="U232" s="355">
        <v>22710.75</v>
      </c>
      <c r="V232" s="355"/>
      <c r="W232" s="355"/>
      <c r="X232" s="1137"/>
      <c r="Y232" s="1126"/>
      <c r="Z232" s="1194"/>
      <c r="AA232" s="1194"/>
      <c r="AB232" s="1194"/>
      <c r="AC232" s="1124"/>
      <c r="AD232" s="1124"/>
      <c r="AE232" s="1152"/>
      <c r="AF232" s="1124"/>
      <c r="AG232" s="1282">
        <f t="shared" si="35"/>
        <v>22710.75</v>
      </c>
    </row>
    <row r="233" spans="1:33" ht="29.25" hidden="1" customHeight="1">
      <c r="A233" s="1275">
        <v>212</v>
      </c>
      <c r="B233" s="995" t="s">
        <v>306</v>
      </c>
      <c r="C233" s="1083"/>
      <c r="D233" s="1339"/>
      <c r="E233" s="1340"/>
      <c r="F233" s="1340"/>
      <c r="G233" s="1340"/>
      <c r="H233" s="1339"/>
      <c r="I233" s="1341"/>
      <c r="J233" s="283"/>
      <c r="K233" s="1278"/>
      <c r="L233" s="1279"/>
      <c r="M233" s="1280"/>
      <c r="N233" s="1277"/>
      <c r="O233" s="1281"/>
      <c r="P233" s="1277"/>
      <c r="Q233" s="547">
        <f>SUM(Q234:Q244)</f>
        <v>39681</v>
      </c>
      <c r="R233" s="287"/>
      <c r="S233" s="1282">
        <f t="shared" ref="S233:AF233" si="37">SUM(S234:S244)</f>
        <v>0</v>
      </c>
      <c r="T233" s="1282">
        <f t="shared" si="37"/>
        <v>0</v>
      </c>
      <c r="U233" s="1282">
        <f t="shared" si="37"/>
        <v>11347.666666666666</v>
      </c>
      <c r="V233" s="1282">
        <f t="shared" si="37"/>
        <v>0</v>
      </c>
      <c r="W233" s="1282">
        <f t="shared" si="37"/>
        <v>28333.333333333336</v>
      </c>
      <c r="X233" s="1282">
        <f t="shared" si="37"/>
        <v>0</v>
      </c>
      <c r="Y233" s="1282">
        <f t="shared" si="37"/>
        <v>0</v>
      </c>
      <c r="Z233" s="1282">
        <f t="shared" si="37"/>
        <v>0</v>
      </c>
      <c r="AA233" s="1282">
        <f t="shared" si="37"/>
        <v>0</v>
      </c>
      <c r="AB233" s="1282">
        <f t="shared" si="37"/>
        <v>0</v>
      </c>
      <c r="AC233" s="1282">
        <f t="shared" si="37"/>
        <v>0</v>
      </c>
      <c r="AD233" s="1282">
        <f t="shared" si="37"/>
        <v>0</v>
      </c>
      <c r="AE233" s="1282">
        <f t="shared" si="37"/>
        <v>0</v>
      </c>
      <c r="AF233" s="1282">
        <f t="shared" si="37"/>
        <v>0</v>
      </c>
      <c r="AG233" s="1282">
        <f>SUM(S233:AF233)</f>
        <v>39681</v>
      </c>
    </row>
    <row r="234" spans="1:33" ht="32.25" hidden="1" customHeight="1">
      <c r="A234" s="294">
        <v>2121</v>
      </c>
      <c r="B234" s="291" t="s">
        <v>60</v>
      </c>
      <c r="C234" s="824" t="s">
        <v>307</v>
      </c>
      <c r="D234" s="326"/>
      <c r="E234" s="294">
        <v>2</v>
      </c>
      <c r="F234" s="293">
        <v>43227</v>
      </c>
      <c r="G234" s="293">
        <f t="shared" ref="G234:G244" si="38">+E234+F234</f>
        <v>43229</v>
      </c>
      <c r="H234" s="293" t="s">
        <v>294</v>
      </c>
      <c r="I234" s="294" t="s">
        <v>171</v>
      </c>
      <c r="J234" s="307" t="s">
        <v>295</v>
      </c>
      <c r="K234" s="326" t="s">
        <v>308</v>
      </c>
      <c r="L234" s="1237">
        <v>23173</v>
      </c>
      <c r="M234" s="326"/>
      <c r="N234" s="294"/>
      <c r="O234" s="1110">
        <v>270</v>
      </c>
      <c r="P234" s="294">
        <v>1</v>
      </c>
      <c r="Q234" s="299">
        <v>90</v>
      </c>
      <c r="R234" s="299"/>
      <c r="S234" s="355"/>
      <c r="T234" s="355"/>
      <c r="U234" s="355">
        <v>90</v>
      </c>
      <c r="V234" s="355"/>
      <c r="W234" s="355"/>
      <c r="X234" s="1137"/>
      <c r="Y234" s="1126"/>
      <c r="Z234" s="1194"/>
      <c r="AA234" s="1194"/>
      <c r="AB234" s="1194"/>
      <c r="AC234" s="1124"/>
      <c r="AD234" s="1124"/>
      <c r="AE234" s="1152"/>
      <c r="AF234" s="1124"/>
      <c r="AG234" s="1282">
        <f t="shared" ref="AG234:AG244" si="39">SUM(S234:AF234)</f>
        <v>90</v>
      </c>
    </row>
    <row r="235" spans="1:33" ht="32.25" hidden="1" customHeight="1">
      <c r="A235" s="294">
        <v>2121</v>
      </c>
      <c r="B235" s="291" t="s">
        <v>60</v>
      </c>
      <c r="C235" s="824" t="s">
        <v>307</v>
      </c>
      <c r="D235" s="326"/>
      <c r="E235" s="294">
        <v>2</v>
      </c>
      <c r="F235" s="293">
        <v>43227</v>
      </c>
      <c r="G235" s="293">
        <f t="shared" si="38"/>
        <v>43229</v>
      </c>
      <c r="H235" s="293" t="s">
        <v>294</v>
      </c>
      <c r="I235" s="294" t="s">
        <v>171</v>
      </c>
      <c r="J235" s="307" t="s">
        <v>295</v>
      </c>
      <c r="K235" s="326" t="s">
        <v>309</v>
      </c>
      <c r="L235" s="1237">
        <v>23173</v>
      </c>
      <c r="M235" s="326"/>
      <c r="N235" s="294"/>
      <c r="O235" s="1110">
        <v>1260</v>
      </c>
      <c r="P235" s="294">
        <v>1</v>
      </c>
      <c r="Q235" s="299">
        <v>420</v>
      </c>
      <c r="R235" s="299"/>
      <c r="S235" s="355"/>
      <c r="T235" s="355"/>
      <c r="U235" s="355">
        <v>420</v>
      </c>
      <c r="V235" s="355"/>
      <c r="W235" s="355"/>
      <c r="X235" s="1137"/>
      <c r="Y235" s="1126"/>
      <c r="Z235" s="1194"/>
      <c r="AA235" s="1194"/>
      <c r="AB235" s="1194"/>
      <c r="AC235" s="1124"/>
      <c r="AD235" s="1124"/>
      <c r="AE235" s="1152"/>
      <c r="AF235" s="1124"/>
      <c r="AG235" s="1282">
        <f t="shared" si="39"/>
        <v>420</v>
      </c>
    </row>
    <row r="236" spans="1:33" ht="32.25" hidden="1" customHeight="1">
      <c r="A236" s="294">
        <v>2121</v>
      </c>
      <c r="B236" s="291" t="s">
        <v>60</v>
      </c>
      <c r="C236" s="824" t="s">
        <v>307</v>
      </c>
      <c r="D236" s="326"/>
      <c r="E236" s="294">
        <v>2</v>
      </c>
      <c r="F236" s="293">
        <v>43227</v>
      </c>
      <c r="G236" s="293">
        <f t="shared" si="38"/>
        <v>43229</v>
      </c>
      <c r="H236" s="293" t="s">
        <v>294</v>
      </c>
      <c r="I236" s="294" t="s">
        <v>171</v>
      </c>
      <c r="J236" s="307" t="s">
        <v>295</v>
      </c>
      <c r="K236" s="1094" t="s">
        <v>310</v>
      </c>
      <c r="L236" s="1237">
        <v>23174</v>
      </c>
      <c r="M236" s="326"/>
      <c r="N236" s="294"/>
      <c r="O236" s="1110">
        <v>11400</v>
      </c>
      <c r="P236" s="294">
        <v>1</v>
      </c>
      <c r="Q236" s="299">
        <v>3800</v>
      </c>
      <c r="R236" s="299"/>
      <c r="S236" s="355"/>
      <c r="T236" s="355"/>
      <c r="U236" s="355">
        <v>3800</v>
      </c>
      <c r="V236" s="355"/>
      <c r="W236" s="355"/>
      <c r="X236" s="1137"/>
      <c r="Y236" s="1126"/>
      <c r="Z236" s="1194"/>
      <c r="AA236" s="1194"/>
      <c r="AB236" s="1194"/>
      <c r="AC236" s="1124"/>
      <c r="AD236" s="1124"/>
      <c r="AE236" s="1152"/>
      <c r="AF236" s="1124"/>
      <c r="AG236" s="1282">
        <f t="shared" si="39"/>
        <v>3800</v>
      </c>
    </row>
    <row r="237" spans="1:33" ht="32.25" hidden="1" customHeight="1">
      <c r="A237" s="294">
        <v>2121</v>
      </c>
      <c r="B237" s="291" t="s">
        <v>60</v>
      </c>
      <c r="C237" s="824" t="s">
        <v>307</v>
      </c>
      <c r="D237" s="326"/>
      <c r="E237" s="294">
        <v>2</v>
      </c>
      <c r="F237" s="293">
        <v>43227</v>
      </c>
      <c r="G237" s="293">
        <f t="shared" si="38"/>
        <v>43229</v>
      </c>
      <c r="H237" s="293" t="s">
        <v>294</v>
      </c>
      <c r="I237" s="294" t="s">
        <v>171</v>
      </c>
      <c r="J237" s="307" t="s">
        <v>295</v>
      </c>
      <c r="K237" s="326" t="s">
        <v>311</v>
      </c>
      <c r="L237" s="1237">
        <v>23174</v>
      </c>
      <c r="M237" s="326"/>
      <c r="N237" s="294"/>
      <c r="O237" s="1110">
        <v>1200</v>
      </c>
      <c r="P237" s="294">
        <v>1</v>
      </c>
      <c r="Q237" s="299">
        <v>400</v>
      </c>
      <c r="R237" s="299"/>
      <c r="S237" s="355"/>
      <c r="T237" s="355"/>
      <c r="U237" s="355">
        <v>400</v>
      </c>
      <c r="V237" s="355"/>
      <c r="W237" s="355"/>
      <c r="X237" s="1137"/>
      <c r="Y237" s="1126"/>
      <c r="Z237" s="1194"/>
      <c r="AA237" s="1194"/>
      <c r="AB237" s="1194"/>
      <c r="AC237" s="1124"/>
      <c r="AD237" s="1124"/>
      <c r="AE237" s="1152"/>
      <c r="AF237" s="1124"/>
      <c r="AG237" s="1282">
        <f t="shared" si="39"/>
        <v>400</v>
      </c>
    </row>
    <row r="238" spans="1:33" ht="32.25" hidden="1" customHeight="1">
      <c r="A238" s="294">
        <v>2121</v>
      </c>
      <c r="B238" s="291" t="s">
        <v>60</v>
      </c>
      <c r="C238" s="824" t="s">
        <v>307</v>
      </c>
      <c r="D238" s="326"/>
      <c r="E238" s="294">
        <v>2</v>
      </c>
      <c r="F238" s="293">
        <v>43227</v>
      </c>
      <c r="G238" s="293">
        <f t="shared" si="38"/>
        <v>43229</v>
      </c>
      <c r="H238" s="293" t="s">
        <v>294</v>
      </c>
      <c r="I238" s="294" t="s">
        <v>171</v>
      </c>
      <c r="J238" s="307" t="s">
        <v>295</v>
      </c>
      <c r="K238" s="326" t="s">
        <v>301</v>
      </c>
      <c r="L238" s="1237">
        <v>23173</v>
      </c>
      <c r="M238" s="326"/>
      <c r="N238" s="294"/>
      <c r="O238" s="1110">
        <v>900</v>
      </c>
      <c r="P238" s="294">
        <v>1</v>
      </c>
      <c r="Q238" s="299">
        <v>300</v>
      </c>
      <c r="R238" s="299"/>
      <c r="S238" s="355"/>
      <c r="T238" s="355"/>
      <c r="U238" s="355">
        <v>300</v>
      </c>
      <c r="V238" s="355"/>
      <c r="W238" s="355"/>
      <c r="X238" s="1137"/>
      <c r="Y238" s="1126"/>
      <c r="Z238" s="1194"/>
      <c r="AA238" s="1194"/>
      <c r="AB238" s="1194"/>
      <c r="AC238" s="1124"/>
      <c r="AD238" s="1124"/>
      <c r="AE238" s="1152"/>
      <c r="AF238" s="1124"/>
      <c r="AG238" s="1282">
        <f t="shared" si="39"/>
        <v>300</v>
      </c>
    </row>
    <row r="239" spans="1:33" ht="32.25" hidden="1" customHeight="1">
      <c r="A239" s="294">
        <v>2121</v>
      </c>
      <c r="B239" s="291" t="s">
        <v>60</v>
      </c>
      <c r="C239" s="824" t="s">
        <v>307</v>
      </c>
      <c r="D239" s="326"/>
      <c r="E239" s="294">
        <v>2</v>
      </c>
      <c r="F239" s="293">
        <v>43227</v>
      </c>
      <c r="G239" s="293">
        <f t="shared" si="38"/>
        <v>43229</v>
      </c>
      <c r="H239" s="293" t="s">
        <v>294</v>
      </c>
      <c r="I239" s="294" t="s">
        <v>171</v>
      </c>
      <c r="J239" s="307" t="s">
        <v>295</v>
      </c>
      <c r="K239" s="1094" t="s">
        <v>312</v>
      </c>
      <c r="L239" s="1237">
        <v>23173</v>
      </c>
      <c r="M239" s="326"/>
      <c r="N239" s="294"/>
      <c r="O239" s="1110">
        <v>300</v>
      </c>
      <c r="P239" s="294">
        <v>1</v>
      </c>
      <c r="Q239" s="299">
        <v>100</v>
      </c>
      <c r="R239" s="299"/>
      <c r="S239" s="355"/>
      <c r="T239" s="355"/>
      <c r="U239" s="355">
        <v>100</v>
      </c>
      <c r="V239" s="355"/>
      <c r="W239" s="355"/>
      <c r="X239" s="1137"/>
      <c r="Y239" s="1126"/>
      <c r="Z239" s="1194"/>
      <c r="AA239" s="1194"/>
      <c r="AB239" s="1194"/>
      <c r="AC239" s="1124"/>
      <c r="AD239" s="1124"/>
      <c r="AE239" s="1152"/>
      <c r="AF239" s="1124"/>
      <c r="AG239" s="1282">
        <f t="shared" si="39"/>
        <v>100</v>
      </c>
    </row>
    <row r="240" spans="1:33" ht="32.25" hidden="1" customHeight="1">
      <c r="A240" s="294">
        <v>2121</v>
      </c>
      <c r="B240" s="291" t="s">
        <v>60</v>
      </c>
      <c r="C240" s="824" t="s">
        <v>307</v>
      </c>
      <c r="D240" s="326"/>
      <c r="E240" s="294">
        <v>2</v>
      </c>
      <c r="F240" s="293">
        <v>43227</v>
      </c>
      <c r="G240" s="293">
        <f t="shared" si="38"/>
        <v>43229</v>
      </c>
      <c r="H240" s="293" t="s">
        <v>294</v>
      </c>
      <c r="I240" s="294" t="s">
        <v>171</v>
      </c>
      <c r="J240" s="307" t="s">
        <v>295</v>
      </c>
      <c r="K240" s="326" t="s">
        <v>302</v>
      </c>
      <c r="L240" s="1237">
        <v>23173</v>
      </c>
      <c r="M240" s="326"/>
      <c r="N240" s="294"/>
      <c r="O240" s="1110">
        <v>713</v>
      </c>
      <c r="P240" s="294">
        <v>1</v>
      </c>
      <c r="Q240" s="299">
        <v>237.66666666666666</v>
      </c>
      <c r="R240" s="299"/>
      <c r="S240" s="355"/>
      <c r="T240" s="355"/>
      <c r="U240" s="355">
        <v>237.66666666666666</v>
      </c>
      <c r="V240" s="355"/>
      <c r="W240" s="355"/>
      <c r="X240" s="1137"/>
      <c r="Y240" s="1126"/>
      <c r="Z240" s="1194"/>
      <c r="AA240" s="1194"/>
      <c r="AB240" s="1194"/>
      <c r="AC240" s="1124"/>
      <c r="AD240" s="1124"/>
      <c r="AE240" s="1152"/>
      <c r="AF240" s="1124"/>
      <c r="AG240" s="1282">
        <f t="shared" si="39"/>
        <v>237.66666666666666</v>
      </c>
    </row>
    <row r="241" spans="1:33" ht="32.25" hidden="1" customHeight="1">
      <c r="A241" s="294">
        <v>2122</v>
      </c>
      <c r="B241" s="291" t="s">
        <v>313</v>
      </c>
      <c r="C241" s="1834" t="s">
        <v>314</v>
      </c>
      <c r="D241" s="326"/>
      <c r="E241" s="294">
        <v>60</v>
      </c>
      <c r="F241" s="293">
        <v>43221</v>
      </c>
      <c r="G241" s="293">
        <f t="shared" si="38"/>
        <v>43281</v>
      </c>
      <c r="H241" s="293" t="s">
        <v>294</v>
      </c>
      <c r="I241" s="294" t="s">
        <v>171</v>
      </c>
      <c r="J241" s="307" t="s">
        <v>295</v>
      </c>
      <c r="K241" s="326" t="s">
        <v>315</v>
      </c>
      <c r="L241" s="1237">
        <v>2313</v>
      </c>
      <c r="M241" s="326"/>
      <c r="N241" s="294"/>
      <c r="O241" s="354">
        <v>3333.3333333333335</v>
      </c>
      <c r="P241" s="294">
        <v>1</v>
      </c>
      <c r="Q241" s="299">
        <f>+O241*P241</f>
        <v>3333.3333333333335</v>
      </c>
      <c r="R241" s="299"/>
      <c r="S241" s="355"/>
      <c r="T241" s="355"/>
      <c r="U241" s="355">
        <v>3333.3333333333335</v>
      </c>
      <c r="V241" s="355"/>
      <c r="W241" s="355"/>
      <c r="X241" s="1137"/>
      <c r="Y241" s="1126"/>
      <c r="Z241" s="1194"/>
      <c r="AA241" s="1194"/>
      <c r="AB241" s="1194"/>
      <c r="AC241" s="1124"/>
      <c r="AD241" s="1124"/>
      <c r="AE241" s="1152"/>
      <c r="AF241" s="1124"/>
      <c r="AG241" s="1282">
        <f t="shared" si="39"/>
        <v>3333.3333333333335</v>
      </c>
    </row>
    <row r="242" spans="1:33" ht="32.25" hidden="1" customHeight="1">
      <c r="A242" s="294">
        <v>2123</v>
      </c>
      <c r="B242" s="291" t="s">
        <v>316</v>
      </c>
      <c r="C242" s="1834" t="s">
        <v>314</v>
      </c>
      <c r="D242" s="326"/>
      <c r="E242" s="294">
        <v>60</v>
      </c>
      <c r="F242" s="293">
        <v>43221</v>
      </c>
      <c r="G242" s="293">
        <f t="shared" si="38"/>
        <v>43281</v>
      </c>
      <c r="H242" s="293" t="s">
        <v>294</v>
      </c>
      <c r="I242" s="294" t="s">
        <v>171</v>
      </c>
      <c r="J242" s="307" t="s">
        <v>295</v>
      </c>
      <c r="K242" s="326" t="s">
        <v>317</v>
      </c>
      <c r="L242" s="1237">
        <v>2313</v>
      </c>
      <c r="M242" s="326"/>
      <c r="N242" s="294"/>
      <c r="O242" s="354">
        <v>2666.6666666666665</v>
      </c>
      <c r="P242" s="294">
        <v>1</v>
      </c>
      <c r="Q242" s="299">
        <f>+O242*P242</f>
        <v>2666.6666666666665</v>
      </c>
      <c r="R242" s="299"/>
      <c r="S242" s="355"/>
      <c r="T242" s="355"/>
      <c r="U242" s="355">
        <v>2666.6666666666665</v>
      </c>
      <c r="V242" s="355"/>
      <c r="W242" s="355"/>
      <c r="X242" s="1137"/>
      <c r="Y242" s="1126"/>
      <c r="Z242" s="1194"/>
      <c r="AA242" s="1194"/>
      <c r="AB242" s="1194"/>
      <c r="AC242" s="1124"/>
      <c r="AD242" s="1124"/>
      <c r="AE242" s="1152"/>
      <c r="AF242" s="1124"/>
      <c r="AG242" s="1282">
        <f t="shared" si="39"/>
        <v>2666.6666666666665</v>
      </c>
    </row>
    <row r="243" spans="1:33" ht="32.25" hidden="1" customHeight="1">
      <c r="A243" s="294">
        <v>2124</v>
      </c>
      <c r="B243" s="291" t="s">
        <v>318</v>
      </c>
      <c r="C243" s="1834" t="s">
        <v>319</v>
      </c>
      <c r="D243" s="326"/>
      <c r="E243" s="294">
        <v>15</v>
      </c>
      <c r="F243" s="293">
        <v>43283</v>
      </c>
      <c r="G243" s="293">
        <f t="shared" si="38"/>
        <v>43298</v>
      </c>
      <c r="H243" s="293" t="s">
        <v>294</v>
      </c>
      <c r="I243" s="294" t="s">
        <v>171</v>
      </c>
      <c r="J243" s="307" t="s">
        <v>295</v>
      </c>
      <c r="K243" s="1787" t="s">
        <v>320</v>
      </c>
      <c r="L243" s="1237">
        <v>23173</v>
      </c>
      <c r="M243" s="326"/>
      <c r="N243" s="294"/>
      <c r="O243" s="354">
        <v>16666.666666666668</v>
      </c>
      <c r="P243" s="354">
        <v>0.5</v>
      </c>
      <c r="Q243" s="299">
        <f>+O243*P243</f>
        <v>8333.3333333333339</v>
      </c>
      <c r="R243" s="299"/>
      <c r="S243" s="355"/>
      <c r="T243" s="355"/>
      <c r="U243" s="355"/>
      <c r="V243" s="355"/>
      <c r="W243" s="355">
        <v>8333.3333333333339</v>
      </c>
      <c r="X243" s="1137"/>
      <c r="Y243" s="1126"/>
      <c r="Z243" s="1194"/>
      <c r="AA243" s="1194"/>
      <c r="AB243" s="1194"/>
      <c r="AC243" s="1124"/>
      <c r="AD243" s="1124"/>
      <c r="AE243" s="1152"/>
      <c r="AF243" s="1124"/>
      <c r="AG243" s="1282">
        <f t="shared" si="39"/>
        <v>8333.3333333333339</v>
      </c>
    </row>
    <row r="244" spans="1:33" ht="32.25" hidden="1" customHeight="1">
      <c r="A244" s="294">
        <v>2125</v>
      </c>
      <c r="B244" s="291" t="s">
        <v>61</v>
      </c>
      <c r="C244" s="1835" t="s">
        <v>321</v>
      </c>
      <c r="D244" s="326"/>
      <c r="E244" s="294">
        <v>15</v>
      </c>
      <c r="F244" s="293">
        <v>43304</v>
      </c>
      <c r="G244" s="293">
        <f t="shared" si="38"/>
        <v>43319</v>
      </c>
      <c r="H244" s="293" t="s">
        <v>294</v>
      </c>
      <c r="I244" s="294" t="s">
        <v>171</v>
      </c>
      <c r="J244" s="307" t="s">
        <v>295</v>
      </c>
      <c r="K244" s="326" t="s">
        <v>322</v>
      </c>
      <c r="L244" s="1237">
        <v>2315</v>
      </c>
      <c r="M244" s="326"/>
      <c r="N244" s="294"/>
      <c r="O244" s="354">
        <v>333.33333333333331</v>
      </c>
      <c r="P244" s="294">
        <v>60</v>
      </c>
      <c r="Q244" s="299">
        <f>+O244*P244</f>
        <v>20000</v>
      </c>
      <c r="R244" s="299"/>
      <c r="S244" s="355"/>
      <c r="T244" s="355"/>
      <c r="U244" s="355"/>
      <c r="V244" s="355"/>
      <c r="W244" s="355">
        <v>20000</v>
      </c>
      <c r="X244" s="1137"/>
      <c r="Y244" s="1126"/>
      <c r="Z244" s="1194"/>
      <c r="AA244" s="1194"/>
      <c r="AB244" s="1194"/>
      <c r="AC244" s="1124"/>
      <c r="AD244" s="1124"/>
      <c r="AE244" s="1152"/>
      <c r="AF244" s="1124"/>
      <c r="AG244" s="1282">
        <f t="shared" si="39"/>
        <v>20000</v>
      </c>
    </row>
    <row r="245" spans="1:33" ht="29.25" hidden="1" customHeight="1">
      <c r="A245" s="1275">
        <v>213</v>
      </c>
      <c r="B245" s="995" t="s">
        <v>323</v>
      </c>
      <c r="C245" s="1083"/>
      <c r="D245" s="1339"/>
      <c r="E245" s="1340"/>
      <c r="F245" s="1340"/>
      <c r="G245" s="1340"/>
      <c r="H245" s="1339"/>
      <c r="I245" s="1341"/>
      <c r="J245" s="283"/>
      <c r="K245" s="1278"/>
      <c r="L245" s="1279"/>
      <c r="M245" s="1280"/>
      <c r="N245" s="1277"/>
      <c r="O245" s="1281"/>
      <c r="P245" s="1277"/>
      <c r="Q245" s="547">
        <f>SUM(Q246:Q263)</f>
        <v>127504</v>
      </c>
      <c r="R245" s="287"/>
      <c r="S245" s="1282">
        <f t="shared" ref="S245:AF245" si="40">SUM(S246:S263)</f>
        <v>0</v>
      </c>
      <c r="T245" s="1282">
        <f t="shared" si="40"/>
        <v>0</v>
      </c>
      <c r="U245" s="1282">
        <f t="shared" si="40"/>
        <v>0</v>
      </c>
      <c r="V245" s="1282">
        <f t="shared" si="40"/>
        <v>0</v>
      </c>
      <c r="W245" s="1282">
        <f t="shared" si="40"/>
        <v>4680</v>
      </c>
      <c r="X245" s="1342">
        <f t="shared" si="40"/>
        <v>45624</v>
      </c>
      <c r="Y245" s="1343">
        <f t="shared" si="40"/>
        <v>77200</v>
      </c>
      <c r="Z245" s="1151">
        <f t="shared" si="40"/>
        <v>0</v>
      </c>
      <c r="AA245" s="1151">
        <f t="shared" si="40"/>
        <v>0</v>
      </c>
      <c r="AB245" s="1151">
        <f t="shared" si="40"/>
        <v>0</v>
      </c>
      <c r="AC245" s="1151">
        <f t="shared" si="40"/>
        <v>0</v>
      </c>
      <c r="AD245" s="1151">
        <f t="shared" si="40"/>
        <v>0</v>
      </c>
      <c r="AE245" s="1151">
        <f t="shared" si="40"/>
        <v>0</v>
      </c>
      <c r="AF245" s="1151">
        <f t="shared" si="40"/>
        <v>0</v>
      </c>
      <c r="AG245" s="1151">
        <f>SUM(S245:AF245)</f>
        <v>127504</v>
      </c>
    </row>
    <row r="246" spans="1:33" ht="47.25" hidden="1">
      <c r="A246" s="294">
        <v>2131</v>
      </c>
      <c r="B246" s="291" t="s">
        <v>62</v>
      </c>
      <c r="C246" s="1834" t="s">
        <v>324</v>
      </c>
      <c r="D246" s="326"/>
      <c r="E246" s="294">
        <v>1</v>
      </c>
      <c r="F246" s="293">
        <v>43318</v>
      </c>
      <c r="G246" s="293">
        <f t="shared" ref="G246:G263" si="41">+E246+F246</f>
        <v>43319</v>
      </c>
      <c r="H246" s="293" t="s">
        <v>294</v>
      </c>
      <c r="I246" s="294" t="s">
        <v>171</v>
      </c>
      <c r="J246" s="307" t="s">
        <v>295</v>
      </c>
      <c r="K246" s="1094" t="s">
        <v>296</v>
      </c>
      <c r="L246" s="1237">
        <v>23174</v>
      </c>
      <c r="M246" s="326"/>
      <c r="N246" s="294"/>
      <c r="O246" s="354">
        <v>36</v>
      </c>
      <c r="P246" s="887">
        <v>60</v>
      </c>
      <c r="Q246" s="299">
        <f t="shared" ref="Q246:Q263" si="42">+O246*P246</f>
        <v>2160</v>
      </c>
      <c r="R246" s="299"/>
      <c r="S246" s="355"/>
      <c r="T246" s="355"/>
      <c r="U246" s="355"/>
      <c r="V246" s="355"/>
      <c r="W246" s="355">
        <v>1080</v>
      </c>
      <c r="X246" s="1137">
        <v>1080</v>
      </c>
      <c r="Y246" s="1126"/>
      <c r="Z246" s="1194"/>
      <c r="AA246" s="1194"/>
      <c r="AB246" s="1194"/>
      <c r="AC246" s="1124"/>
      <c r="AD246" s="1124"/>
      <c r="AE246" s="1152"/>
      <c r="AF246" s="1124"/>
      <c r="AG246" s="1282">
        <f t="shared" ref="AG246:AG263" si="43">SUM(S246:AF246)</f>
        <v>2160</v>
      </c>
    </row>
    <row r="247" spans="1:33" ht="47.25" hidden="1">
      <c r="A247" s="294">
        <v>2131</v>
      </c>
      <c r="B247" s="291" t="s">
        <v>62</v>
      </c>
      <c r="C247" s="1834" t="s">
        <v>324</v>
      </c>
      <c r="D247" s="326"/>
      <c r="E247" s="294">
        <v>1</v>
      </c>
      <c r="F247" s="293">
        <v>43304</v>
      </c>
      <c r="G247" s="293">
        <f t="shared" si="41"/>
        <v>43305</v>
      </c>
      <c r="H247" s="293" t="s">
        <v>294</v>
      </c>
      <c r="I247" s="294" t="s">
        <v>171</v>
      </c>
      <c r="J247" s="307" t="s">
        <v>295</v>
      </c>
      <c r="K247" s="1094" t="s">
        <v>325</v>
      </c>
      <c r="L247" s="1237">
        <v>23174</v>
      </c>
      <c r="M247" s="326"/>
      <c r="N247" s="294"/>
      <c r="O247" s="354">
        <v>10</v>
      </c>
      <c r="P247" s="887">
        <v>60</v>
      </c>
      <c r="Q247" s="299">
        <f t="shared" si="42"/>
        <v>600</v>
      </c>
      <c r="R247" s="299"/>
      <c r="S247" s="355"/>
      <c r="T247" s="355"/>
      <c r="U247" s="355"/>
      <c r="V247" s="355"/>
      <c r="W247" s="355">
        <v>300</v>
      </c>
      <c r="X247" s="1137">
        <v>300</v>
      </c>
      <c r="Y247" s="1126"/>
      <c r="Z247" s="1194"/>
      <c r="AA247" s="1194"/>
      <c r="AB247" s="1194"/>
      <c r="AC247" s="1124"/>
      <c r="AD247" s="1124"/>
      <c r="AE247" s="1152"/>
      <c r="AF247" s="1124"/>
      <c r="AG247" s="1282">
        <f t="shared" si="43"/>
        <v>600</v>
      </c>
    </row>
    <row r="248" spans="1:33" ht="47.25" hidden="1">
      <c r="A248" s="294">
        <v>2131</v>
      </c>
      <c r="B248" s="291" t="s">
        <v>62</v>
      </c>
      <c r="C248" s="1834" t="s">
        <v>324</v>
      </c>
      <c r="D248" s="326"/>
      <c r="E248" s="294">
        <v>1</v>
      </c>
      <c r="F248" s="293">
        <v>43304</v>
      </c>
      <c r="G248" s="293">
        <f t="shared" si="41"/>
        <v>43305</v>
      </c>
      <c r="H248" s="293" t="s">
        <v>294</v>
      </c>
      <c r="I248" s="294" t="s">
        <v>171</v>
      </c>
      <c r="J248" s="307" t="s">
        <v>295</v>
      </c>
      <c r="K248" s="1094" t="s">
        <v>326</v>
      </c>
      <c r="L248" s="1237">
        <v>23174</v>
      </c>
      <c r="M248" s="326"/>
      <c r="N248" s="294"/>
      <c r="O248" s="354">
        <v>100</v>
      </c>
      <c r="P248" s="887">
        <v>60</v>
      </c>
      <c r="Q248" s="299">
        <f t="shared" si="42"/>
        <v>6000</v>
      </c>
      <c r="R248" s="299"/>
      <c r="S248" s="355"/>
      <c r="T248" s="355"/>
      <c r="U248" s="355"/>
      <c r="V248" s="355"/>
      <c r="W248" s="355">
        <v>3000</v>
      </c>
      <c r="X248" s="1137">
        <v>3000</v>
      </c>
      <c r="Y248" s="1126"/>
      <c r="Z248" s="1194"/>
      <c r="AA248" s="1194"/>
      <c r="AB248" s="1194"/>
      <c r="AC248" s="1124"/>
      <c r="AD248" s="1124"/>
      <c r="AE248" s="1152"/>
      <c r="AF248" s="1124"/>
      <c r="AG248" s="1282">
        <f t="shared" si="43"/>
        <v>6000</v>
      </c>
    </row>
    <row r="249" spans="1:33" ht="47.25" hidden="1">
      <c r="A249" s="294">
        <v>2131</v>
      </c>
      <c r="B249" s="291" t="s">
        <v>62</v>
      </c>
      <c r="C249" s="1834" t="s">
        <v>324</v>
      </c>
      <c r="D249" s="326"/>
      <c r="E249" s="294">
        <v>1</v>
      </c>
      <c r="F249" s="293">
        <v>43304</v>
      </c>
      <c r="G249" s="293">
        <f t="shared" si="41"/>
        <v>43305</v>
      </c>
      <c r="H249" s="293" t="s">
        <v>294</v>
      </c>
      <c r="I249" s="294" t="s">
        <v>171</v>
      </c>
      <c r="J249" s="307" t="s">
        <v>295</v>
      </c>
      <c r="K249" s="1094" t="s">
        <v>312</v>
      </c>
      <c r="L249" s="1237">
        <v>23173</v>
      </c>
      <c r="M249" s="326"/>
      <c r="N249" s="294"/>
      <c r="O249" s="354">
        <v>10</v>
      </c>
      <c r="P249" s="887">
        <v>60</v>
      </c>
      <c r="Q249" s="299">
        <f t="shared" si="42"/>
        <v>600</v>
      </c>
      <c r="R249" s="299"/>
      <c r="S249" s="355"/>
      <c r="T249" s="355"/>
      <c r="U249" s="355"/>
      <c r="V249" s="355"/>
      <c r="W249" s="355">
        <v>300</v>
      </c>
      <c r="X249" s="1137">
        <v>300</v>
      </c>
      <c r="Y249" s="1126"/>
      <c r="Z249" s="1194"/>
      <c r="AA249" s="1194"/>
      <c r="AB249" s="1194"/>
      <c r="AC249" s="1124"/>
      <c r="AD249" s="1124"/>
      <c r="AE249" s="1152"/>
      <c r="AF249" s="1124"/>
      <c r="AG249" s="1282">
        <f t="shared" si="43"/>
        <v>600</v>
      </c>
    </row>
    <row r="250" spans="1:33" ht="32.25" hidden="1" customHeight="1">
      <c r="A250" s="294">
        <v>2132</v>
      </c>
      <c r="B250" s="291" t="s">
        <v>63</v>
      </c>
      <c r="C250" s="1834" t="s">
        <v>327</v>
      </c>
      <c r="D250" s="326"/>
      <c r="E250" s="294">
        <v>3</v>
      </c>
      <c r="F250" s="293">
        <v>43318</v>
      </c>
      <c r="G250" s="293">
        <f t="shared" si="41"/>
        <v>43321</v>
      </c>
      <c r="H250" s="293" t="s">
        <v>294</v>
      </c>
      <c r="I250" s="294" t="s">
        <v>171</v>
      </c>
      <c r="J250" s="307" t="s">
        <v>295</v>
      </c>
      <c r="K250" s="1094" t="s">
        <v>328</v>
      </c>
      <c r="L250" s="1237">
        <v>23174</v>
      </c>
      <c r="M250" s="326"/>
      <c r="N250" s="294"/>
      <c r="O250" s="354">
        <v>380</v>
      </c>
      <c r="P250" s="887">
        <v>3</v>
      </c>
      <c r="Q250" s="299">
        <f t="shared" si="42"/>
        <v>1140</v>
      </c>
      <c r="R250" s="299"/>
      <c r="S250" s="355"/>
      <c r="T250" s="355"/>
      <c r="U250" s="355"/>
      <c r="V250" s="355"/>
      <c r="W250" s="355"/>
      <c r="X250" s="1137">
        <v>1140</v>
      </c>
      <c r="Y250" s="1126"/>
      <c r="Z250" s="1194"/>
      <c r="AA250" s="1194"/>
      <c r="AB250" s="1194"/>
      <c r="AC250" s="1124"/>
      <c r="AD250" s="1124"/>
      <c r="AE250" s="1152"/>
      <c r="AF250" s="1124"/>
      <c r="AG250" s="1282">
        <f t="shared" si="43"/>
        <v>1140</v>
      </c>
    </row>
    <row r="251" spans="1:33" ht="32.25" hidden="1" customHeight="1">
      <c r="A251" s="294">
        <v>2132</v>
      </c>
      <c r="B251" s="291" t="s">
        <v>63</v>
      </c>
      <c r="C251" s="1834" t="s">
        <v>327</v>
      </c>
      <c r="D251" s="326"/>
      <c r="E251" s="294">
        <v>3</v>
      </c>
      <c r="F251" s="293">
        <v>43318</v>
      </c>
      <c r="G251" s="293">
        <f t="shared" si="41"/>
        <v>43321</v>
      </c>
      <c r="H251" s="293" t="s">
        <v>294</v>
      </c>
      <c r="I251" s="294" t="s">
        <v>171</v>
      </c>
      <c r="J251" s="307" t="s">
        <v>295</v>
      </c>
      <c r="K251" s="1094" t="s">
        <v>325</v>
      </c>
      <c r="L251" s="1237">
        <v>23174</v>
      </c>
      <c r="M251" s="326"/>
      <c r="N251" s="294"/>
      <c r="O251" s="354">
        <v>96.666666666666671</v>
      </c>
      <c r="P251" s="887">
        <v>3</v>
      </c>
      <c r="Q251" s="299">
        <f t="shared" si="42"/>
        <v>290</v>
      </c>
      <c r="R251" s="299"/>
      <c r="S251" s="355"/>
      <c r="T251" s="355"/>
      <c r="U251" s="355"/>
      <c r="V251" s="355"/>
      <c r="W251" s="355"/>
      <c r="X251" s="1137">
        <v>290</v>
      </c>
      <c r="Y251" s="1126"/>
      <c r="Z251" s="1194"/>
      <c r="AA251" s="1194"/>
      <c r="AB251" s="1194"/>
      <c r="AC251" s="1124"/>
      <c r="AD251" s="1124"/>
      <c r="AE251" s="1152"/>
      <c r="AF251" s="1124"/>
      <c r="AG251" s="1282">
        <f t="shared" si="43"/>
        <v>290</v>
      </c>
    </row>
    <row r="252" spans="1:33" ht="32.25" hidden="1" customHeight="1">
      <c r="A252" s="294">
        <v>2132</v>
      </c>
      <c r="B252" s="291" t="s">
        <v>63</v>
      </c>
      <c r="C252" s="1834" t="s">
        <v>327</v>
      </c>
      <c r="D252" s="326"/>
      <c r="E252" s="294">
        <v>3</v>
      </c>
      <c r="F252" s="293">
        <v>43318</v>
      </c>
      <c r="G252" s="293">
        <f t="shared" si="41"/>
        <v>43321</v>
      </c>
      <c r="H252" s="293" t="s">
        <v>294</v>
      </c>
      <c r="I252" s="294" t="s">
        <v>171</v>
      </c>
      <c r="J252" s="307" t="s">
        <v>295</v>
      </c>
      <c r="K252" s="1094" t="s">
        <v>329</v>
      </c>
      <c r="L252" s="1237">
        <v>23174</v>
      </c>
      <c r="M252" s="326"/>
      <c r="N252" s="294"/>
      <c r="O252" s="354">
        <v>1000</v>
      </c>
      <c r="P252" s="887">
        <v>3</v>
      </c>
      <c r="Q252" s="299">
        <f t="shared" si="42"/>
        <v>3000</v>
      </c>
      <c r="R252" s="299"/>
      <c r="S252" s="355"/>
      <c r="T252" s="355"/>
      <c r="U252" s="355"/>
      <c r="V252" s="355"/>
      <c r="W252" s="355"/>
      <c r="X252" s="1137">
        <v>3000</v>
      </c>
      <c r="Y252" s="1126"/>
      <c r="Z252" s="1194"/>
      <c r="AA252" s="1194"/>
      <c r="AB252" s="1194"/>
      <c r="AC252" s="1124"/>
      <c r="AD252" s="1124"/>
      <c r="AE252" s="1152"/>
      <c r="AF252" s="1124"/>
      <c r="AG252" s="1282">
        <f t="shared" si="43"/>
        <v>3000</v>
      </c>
    </row>
    <row r="253" spans="1:33" ht="32.25" hidden="1" customHeight="1">
      <c r="A253" s="294">
        <v>2132</v>
      </c>
      <c r="B253" s="291" t="s">
        <v>63</v>
      </c>
      <c r="C253" s="1834" t="s">
        <v>327</v>
      </c>
      <c r="D253" s="326"/>
      <c r="E253" s="294">
        <v>3</v>
      </c>
      <c r="F253" s="293">
        <v>43318</v>
      </c>
      <c r="G253" s="293">
        <f t="shared" si="41"/>
        <v>43321</v>
      </c>
      <c r="H253" s="293" t="s">
        <v>294</v>
      </c>
      <c r="I253" s="294" t="s">
        <v>171</v>
      </c>
      <c r="J253" s="307" t="s">
        <v>295</v>
      </c>
      <c r="K253" s="1094" t="s">
        <v>326</v>
      </c>
      <c r="L253" s="1237">
        <v>23174</v>
      </c>
      <c r="M253" s="294"/>
      <c r="N253" s="294"/>
      <c r="O253" s="354">
        <v>100</v>
      </c>
      <c r="P253" s="887">
        <v>3</v>
      </c>
      <c r="Q253" s="299">
        <f t="shared" si="42"/>
        <v>300</v>
      </c>
      <c r="R253" s="299"/>
      <c r="S253" s="355"/>
      <c r="T253" s="355"/>
      <c r="U253" s="355"/>
      <c r="V253" s="355"/>
      <c r="W253" s="355"/>
      <c r="X253" s="1137">
        <v>300</v>
      </c>
      <c r="Y253" s="1126"/>
      <c r="Z253" s="1194"/>
      <c r="AA253" s="1194"/>
      <c r="AB253" s="1194"/>
      <c r="AC253" s="1124"/>
      <c r="AD253" s="1124"/>
      <c r="AE253" s="1152"/>
      <c r="AF253" s="1124"/>
      <c r="AG253" s="1282">
        <f t="shared" si="43"/>
        <v>300</v>
      </c>
    </row>
    <row r="254" spans="1:33" ht="32.25" hidden="1" customHeight="1">
      <c r="A254" s="294">
        <v>2133</v>
      </c>
      <c r="B254" s="291" t="s">
        <v>64</v>
      </c>
      <c r="C254" s="1835" t="s">
        <v>330</v>
      </c>
      <c r="D254" s="326"/>
      <c r="E254" s="294">
        <v>2</v>
      </c>
      <c r="F254" s="293">
        <v>43325</v>
      </c>
      <c r="G254" s="293">
        <f t="shared" si="41"/>
        <v>43327</v>
      </c>
      <c r="H254" s="293" t="s">
        <v>294</v>
      </c>
      <c r="I254" s="294" t="s">
        <v>171</v>
      </c>
      <c r="J254" s="307" t="s">
        <v>295</v>
      </c>
      <c r="K254" s="1094" t="s">
        <v>296</v>
      </c>
      <c r="L254" s="1237">
        <v>23174</v>
      </c>
      <c r="M254" s="294"/>
      <c r="N254" s="294"/>
      <c r="O254" s="354">
        <v>900</v>
      </c>
      <c r="P254" s="887">
        <v>3</v>
      </c>
      <c r="Q254" s="299">
        <f t="shared" si="42"/>
        <v>2700</v>
      </c>
      <c r="R254" s="299"/>
      <c r="S254" s="355"/>
      <c r="T254" s="355"/>
      <c r="U254" s="355"/>
      <c r="V254" s="355"/>
      <c r="W254" s="355"/>
      <c r="X254" s="1137">
        <v>2700</v>
      </c>
      <c r="Y254" s="1126"/>
      <c r="Z254" s="1194"/>
      <c r="AA254" s="1194"/>
      <c r="AB254" s="1194"/>
      <c r="AC254" s="1124"/>
      <c r="AD254" s="1124"/>
      <c r="AE254" s="1152"/>
      <c r="AF254" s="1124"/>
      <c r="AG254" s="1282">
        <f t="shared" si="43"/>
        <v>2700</v>
      </c>
    </row>
    <row r="255" spans="1:33" ht="32.25" hidden="1" customHeight="1">
      <c r="A255" s="294">
        <v>2133</v>
      </c>
      <c r="B255" s="291" t="s">
        <v>64</v>
      </c>
      <c r="C255" s="1835" t="s">
        <v>330</v>
      </c>
      <c r="D255" s="326"/>
      <c r="E255" s="294">
        <v>2</v>
      </c>
      <c r="F255" s="293">
        <v>43325</v>
      </c>
      <c r="G255" s="293">
        <f t="shared" si="41"/>
        <v>43327</v>
      </c>
      <c r="H255" s="293" t="s">
        <v>294</v>
      </c>
      <c r="I255" s="294" t="s">
        <v>171</v>
      </c>
      <c r="J255" s="307" t="s">
        <v>295</v>
      </c>
      <c r="K255" s="1094" t="s">
        <v>297</v>
      </c>
      <c r="L255" s="1237">
        <v>23174</v>
      </c>
      <c r="M255" s="294"/>
      <c r="N255" s="294"/>
      <c r="O255" s="354">
        <v>101.33333333333333</v>
      </c>
      <c r="P255" s="887">
        <v>3</v>
      </c>
      <c r="Q255" s="299">
        <f t="shared" si="42"/>
        <v>304</v>
      </c>
      <c r="R255" s="299"/>
      <c r="S255" s="355"/>
      <c r="T255" s="355"/>
      <c r="U255" s="355"/>
      <c r="V255" s="355"/>
      <c r="W255" s="355"/>
      <c r="X255" s="1137">
        <v>304</v>
      </c>
      <c r="Y255" s="1126"/>
      <c r="Z255" s="1194"/>
      <c r="AA255" s="1194"/>
      <c r="AB255" s="1194"/>
      <c r="AC255" s="1124"/>
      <c r="AD255" s="1124"/>
      <c r="AE255" s="1152"/>
      <c r="AF255" s="1124"/>
      <c r="AG255" s="1282">
        <f t="shared" si="43"/>
        <v>304</v>
      </c>
    </row>
    <row r="256" spans="1:33" ht="32.25" hidden="1" customHeight="1">
      <c r="A256" s="294">
        <v>2133</v>
      </c>
      <c r="B256" s="291" t="s">
        <v>64</v>
      </c>
      <c r="C256" s="1835" t="s">
        <v>330</v>
      </c>
      <c r="D256" s="326"/>
      <c r="E256" s="294">
        <v>2</v>
      </c>
      <c r="F256" s="293">
        <v>43325</v>
      </c>
      <c r="G256" s="293">
        <f t="shared" si="41"/>
        <v>43327</v>
      </c>
      <c r="H256" s="293" t="s">
        <v>294</v>
      </c>
      <c r="I256" s="294" t="s">
        <v>171</v>
      </c>
      <c r="J256" s="307" t="s">
        <v>295</v>
      </c>
      <c r="K256" s="1094" t="s">
        <v>331</v>
      </c>
      <c r="L256" s="1237">
        <v>23174</v>
      </c>
      <c r="M256" s="294"/>
      <c r="N256" s="294"/>
      <c r="O256" s="354">
        <v>112</v>
      </c>
      <c r="P256" s="887">
        <v>3</v>
      </c>
      <c r="Q256" s="299">
        <f t="shared" si="42"/>
        <v>336</v>
      </c>
      <c r="R256" s="299"/>
      <c r="S256" s="355"/>
      <c r="T256" s="355"/>
      <c r="U256" s="355"/>
      <c r="V256" s="355"/>
      <c r="W256" s="355"/>
      <c r="X256" s="1137">
        <v>336</v>
      </c>
      <c r="Y256" s="1126"/>
      <c r="Z256" s="1194"/>
      <c r="AA256" s="1194"/>
      <c r="AB256" s="1194"/>
      <c r="AC256" s="1124"/>
      <c r="AD256" s="1124"/>
      <c r="AE256" s="1152"/>
      <c r="AF256" s="1124"/>
      <c r="AG256" s="1282">
        <f t="shared" si="43"/>
        <v>336</v>
      </c>
    </row>
    <row r="257" spans="1:33" ht="32.25" hidden="1" customHeight="1">
      <c r="A257" s="294">
        <v>2133</v>
      </c>
      <c r="B257" s="291" t="s">
        <v>64</v>
      </c>
      <c r="C257" s="1835" t="s">
        <v>330</v>
      </c>
      <c r="D257" s="326"/>
      <c r="E257" s="294">
        <v>2</v>
      </c>
      <c r="F257" s="293">
        <v>43325</v>
      </c>
      <c r="G257" s="293">
        <f t="shared" si="41"/>
        <v>43327</v>
      </c>
      <c r="H257" s="293" t="s">
        <v>294</v>
      </c>
      <c r="I257" s="294" t="s">
        <v>171</v>
      </c>
      <c r="J257" s="307" t="s">
        <v>295</v>
      </c>
      <c r="K257" s="1094" t="s">
        <v>332</v>
      </c>
      <c r="L257" s="1237">
        <v>23174</v>
      </c>
      <c r="M257" s="294"/>
      <c r="N257" s="294"/>
      <c r="O257" s="354">
        <v>166.66666666666666</v>
      </c>
      <c r="P257" s="887">
        <v>3</v>
      </c>
      <c r="Q257" s="299">
        <f t="shared" si="42"/>
        <v>500</v>
      </c>
      <c r="R257" s="299"/>
      <c r="S257" s="355"/>
      <c r="T257" s="355"/>
      <c r="U257" s="355"/>
      <c r="V257" s="355"/>
      <c r="W257" s="355"/>
      <c r="X257" s="1137">
        <v>500</v>
      </c>
      <c r="Y257" s="1126"/>
      <c r="Z257" s="1194"/>
      <c r="AA257" s="1194"/>
      <c r="AB257" s="1194"/>
      <c r="AC257" s="1124"/>
      <c r="AD257" s="1124"/>
      <c r="AE257" s="1152"/>
      <c r="AF257" s="1124"/>
      <c r="AG257" s="1282">
        <f t="shared" si="43"/>
        <v>500</v>
      </c>
    </row>
    <row r="258" spans="1:33" ht="32.25" hidden="1" customHeight="1">
      <c r="A258" s="294">
        <v>2133</v>
      </c>
      <c r="B258" s="291" t="s">
        <v>64</v>
      </c>
      <c r="C258" s="1835" t="s">
        <v>330</v>
      </c>
      <c r="D258" s="326"/>
      <c r="E258" s="294">
        <v>2</v>
      </c>
      <c r="F258" s="293">
        <v>43325</v>
      </c>
      <c r="G258" s="293">
        <f t="shared" si="41"/>
        <v>43327</v>
      </c>
      <c r="H258" s="293" t="s">
        <v>294</v>
      </c>
      <c r="I258" s="294" t="s">
        <v>171</v>
      </c>
      <c r="J258" s="307" t="s">
        <v>295</v>
      </c>
      <c r="K258" s="1094" t="s">
        <v>311</v>
      </c>
      <c r="L258" s="1237">
        <v>23174</v>
      </c>
      <c r="M258" s="294"/>
      <c r="N258" s="294"/>
      <c r="O258" s="354">
        <v>426.66666666666669</v>
      </c>
      <c r="P258" s="887">
        <v>3</v>
      </c>
      <c r="Q258" s="299">
        <f t="shared" si="42"/>
        <v>1280</v>
      </c>
      <c r="R258" s="299"/>
      <c r="S258" s="355"/>
      <c r="T258" s="355"/>
      <c r="U258" s="355"/>
      <c r="V258" s="355"/>
      <c r="W258" s="355"/>
      <c r="X258" s="1137">
        <v>1280</v>
      </c>
      <c r="Y258" s="1126"/>
      <c r="Z258" s="1194"/>
      <c r="AA258" s="1194"/>
      <c r="AB258" s="1194"/>
      <c r="AC258" s="1124"/>
      <c r="AD258" s="1124"/>
      <c r="AE258" s="1152"/>
      <c r="AF258" s="1124"/>
      <c r="AG258" s="1282">
        <f t="shared" si="43"/>
        <v>1280</v>
      </c>
    </row>
    <row r="259" spans="1:33" ht="32.25" hidden="1" customHeight="1">
      <c r="A259" s="294">
        <v>2133</v>
      </c>
      <c r="B259" s="291" t="s">
        <v>64</v>
      </c>
      <c r="C259" s="1835" t="s">
        <v>330</v>
      </c>
      <c r="D259" s="326"/>
      <c r="E259" s="294">
        <v>2</v>
      </c>
      <c r="F259" s="293">
        <v>43325</v>
      </c>
      <c r="G259" s="293">
        <f t="shared" si="41"/>
        <v>43327</v>
      </c>
      <c r="H259" s="293" t="s">
        <v>294</v>
      </c>
      <c r="I259" s="294" t="s">
        <v>171</v>
      </c>
      <c r="J259" s="307" t="s">
        <v>295</v>
      </c>
      <c r="K259" s="1094" t="s">
        <v>301</v>
      </c>
      <c r="L259" s="1237">
        <v>23173</v>
      </c>
      <c r="M259" s="294"/>
      <c r="N259" s="294"/>
      <c r="O259" s="354">
        <v>33.333333333333336</v>
      </c>
      <c r="P259" s="887">
        <v>3</v>
      </c>
      <c r="Q259" s="299">
        <f t="shared" si="42"/>
        <v>100</v>
      </c>
      <c r="R259" s="299"/>
      <c r="S259" s="355"/>
      <c r="T259" s="355"/>
      <c r="U259" s="355"/>
      <c r="V259" s="355"/>
      <c r="W259" s="355"/>
      <c r="X259" s="1137">
        <v>100</v>
      </c>
      <c r="Y259" s="1126"/>
      <c r="Z259" s="1194"/>
      <c r="AA259" s="1194"/>
      <c r="AB259" s="1194"/>
      <c r="AC259" s="1124"/>
      <c r="AD259" s="1124"/>
      <c r="AE259" s="1152"/>
      <c r="AF259" s="1124"/>
      <c r="AG259" s="1282">
        <f t="shared" si="43"/>
        <v>100</v>
      </c>
    </row>
    <row r="260" spans="1:33" ht="32.25" hidden="1" customHeight="1">
      <c r="A260" s="294">
        <v>2133</v>
      </c>
      <c r="B260" s="291" t="s">
        <v>64</v>
      </c>
      <c r="C260" s="1835" t="s">
        <v>330</v>
      </c>
      <c r="D260" s="326"/>
      <c r="E260" s="294">
        <v>2</v>
      </c>
      <c r="F260" s="293">
        <v>43325</v>
      </c>
      <c r="G260" s="293">
        <f t="shared" si="41"/>
        <v>43327</v>
      </c>
      <c r="H260" s="293" t="s">
        <v>294</v>
      </c>
      <c r="I260" s="294" t="s">
        <v>171</v>
      </c>
      <c r="J260" s="307" t="s">
        <v>295</v>
      </c>
      <c r="K260" s="1094" t="s">
        <v>302</v>
      </c>
      <c r="L260" s="1237">
        <v>23173</v>
      </c>
      <c r="M260" s="294"/>
      <c r="N260" s="294"/>
      <c r="O260" s="354">
        <v>237.66666666666666</v>
      </c>
      <c r="P260" s="887">
        <v>3</v>
      </c>
      <c r="Q260" s="299">
        <f t="shared" si="42"/>
        <v>713</v>
      </c>
      <c r="R260" s="299"/>
      <c r="S260" s="355"/>
      <c r="T260" s="355"/>
      <c r="U260" s="355"/>
      <c r="V260" s="355"/>
      <c r="W260" s="355"/>
      <c r="X260" s="1137">
        <v>713</v>
      </c>
      <c r="Y260" s="1126"/>
      <c r="Z260" s="1194"/>
      <c r="AA260" s="1194"/>
      <c r="AB260" s="1194"/>
      <c r="AC260" s="1124"/>
      <c r="AD260" s="1124"/>
      <c r="AE260" s="1152"/>
      <c r="AF260" s="1124"/>
      <c r="AG260" s="1282">
        <f t="shared" si="43"/>
        <v>713</v>
      </c>
    </row>
    <row r="261" spans="1:33" ht="32.25" hidden="1" customHeight="1">
      <c r="A261" s="294">
        <v>2134</v>
      </c>
      <c r="B261" s="291" t="s">
        <v>333</v>
      </c>
      <c r="C261" s="1834" t="s">
        <v>334</v>
      </c>
      <c r="D261" s="326"/>
      <c r="E261" s="294">
        <v>15</v>
      </c>
      <c r="F261" s="293">
        <v>43304</v>
      </c>
      <c r="G261" s="293">
        <f t="shared" si="41"/>
        <v>43319</v>
      </c>
      <c r="H261" s="293" t="s">
        <v>294</v>
      </c>
      <c r="I261" s="294" t="s">
        <v>171</v>
      </c>
      <c r="J261" s="307" t="s">
        <v>295</v>
      </c>
      <c r="K261" s="1787" t="s">
        <v>335</v>
      </c>
      <c r="L261" s="1788">
        <v>2461</v>
      </c>
      <c r="M261" s="294"/>
      <c r="N261" s="294"/>
      <c r="O261" s="354">
        <v>504.68333333333334</v>
      </c>
      <c r="P261" s="887">
        <v>60</v>
      </c>
      <c r="Q261" s="299">
        <f t="shared" si="42"/>
        <v>30281</v>
      </c>
      <c r="R261" s="299"/>
      <c r="S261" s="355"/>
      <c r="T261" s="355"/>
      <c r="U261" s="355"/>
      <c r="V261" s="355"/>
      <c r="W261" s="355"/>
      <c r="X261" s="1137">
        <v>30281</v>
      </c>
      <c r="Y261" s="1126"/>
      <c r="Z261" s="1194"/>
      <c r="AA261" s="1194"/>
      <c r="AB261" s="1194"/>
      <c r="AC261" s="1124"/>
      <c r="AD261" s="1124"/>
      <c r="AE261" s="1152"/>
      <c r="AF261" s="1124"/>
      <c r="AG261" s="1282">
        <f t="shared" si="43"/>
        <v>30281</v>
      </c>
    </row>
    <row r="262" spans="1:33" ht="32.25" hidden="1" customHeight="1">
      <c r="A262" s="294">
        <v>2135</v>
      </c>
      <c r="B262" s="291" t="s">
        <v>65</v>
      </c>
      <c r="C262" s="1834" t="s">
        <v>336</v>
      </c>
      <c r="D262" s="326"/>
      <c r="E262" s="294">
        <v>30</v>
      </c>
      <c r="F262" s="293">
        <v>43346</v>
      </c>
      <c r="G262" s="293">
        <f t="shared" si="41"/>
        <v>43376</v>
      </c>
      <c r="H262" s="293" t="s">
        <v>294</v>
      </c>
      <c r="I262" s="294" t="s">
        <v>171</v>
      </c>
      <c r="J262" s="307" t="s">
        <v>295</v>
      </c>
      <c r="K262" s="326" t="s">
        <v>337</v>
      </c>
      <c r="L262" s="1237">
        <v>6552</v>
      </c>
      <c r="M262" s="326"/>
      <c r="N262" s="294"/>
      <c r="O262" s="354">
        <v>1166.6666666666667</v>
      </c>
      <c r="P262" s="887">
        <v>60</v>
      </c>
      <c r="Q262" s="299">
        <f t="shared" si="42"/>
        <v>70000</v>
      </c>
      <c r="R262" s="299"/>
      <c r="S262" s="355"/>
      <c r="T262" s="355"/>
      <c r="U262" s="355"/>
      <c r="V262" s="355"/>
      <c r="W262" s="355"/>
      <c r="X262" s="1137"/>
      <c r="Y262" s="1126">
        <v>70000</v>
      </c>
      <c r="Z262" s="1194"/>
      <c r="AA262" s="1194"/>
      <c r="AB262" s="1194"/>
      <c r="AC262" s="1124"/>
      <c r="AD262" s="1124"/>
      <c r="AE262" s="1152"/>
      <c r="AF262" s="1124"/>
      <c r="AG262" s="1282">
        <f t="shared" si="43"/>
        <v>70000</v>
      </c>
    </row>
    <row r="263" spans="1:33" ht="32.25" hidden="1" customHeight="1">
      <c r="A263" s="294">
        <v>2136</v>
      </c>
      <c r="B263" s="291" t="s">
        <v>66</v>
      </c>
      <c r="C263" s="1835" t="s">
        <v>338</v>
      </c>
      <c r="D263" s="326"/>
      <c r="E263" s="294">
        <v>30</v>
      </c>
      <c r="F263" s="293">
        <v>43346</v>
      </c>
      <c r="G263" s="293">
        <f t="shared" si="41"/>
        <v>43376</v>
      </c>
      <c r="H263" s="293" t="s">
        <v>294</v>
      </c>
      <c r="I263" s="294" t="s">
        <v>171</v>
      </c>
      <c r="J263" s="307" t="s">
        <v>295</v>
      </c>
      <c r="K263" s="326" t="s">
        <v>339</v>
      </c>
      <c r="L263" s="1789">
        <v>6565</v>
      </c>
      <c r="M263" s="326"/>
      <c r="N263" s="294"/>
      <c r="O263" s="354">
        <v>60</v>
      </c>
      <c r="P263" s="887">
        <v>120</v>
      </c>
      <c r="Q263" s="299">
        <f t="shared" si="42"/>
        <v>7200</v>
      </c>
      <c r="R263" s="299"/>
      <c r="S263" s="355"/>
      <c r="T263" s="355"/>
      <c r="U263" s="355"/>
      <c r="V263" s="355"/>
      <c r="W263" s="355"/>
      <c r="X263" s="1137"/>
      <c r="Y263" s="1126">
        <v>7200</v>
      </c>
      <c r="Z263" s="1194"/>
      <c r="AA263" s="1194"/>
      <c r="AB263" s="1194"/>
      <c r="AC263" s="1124"/>
      <c r="AD263" s="1124"/>
      <c r="AE263" s="1152"/>
      <c r="AF263" s="1124"/>
      <c r="AG263" s="1282">
        <f t="shared" si="43"/>
        <v>7200</v>
      </c>
    </row>
    <row r="264" spans="1:33" ht="29.25" hidden="1" customHeight="1">
      <c r="A264" s="1275">
        <v>214</v>
      </c>
      <c r="B264" s="995" t="s">
        <v>340</v>
      </c>
      <c r="C264" s="1083"/>
      <c r="D264" s="1339"/>
      <c r="E264" s="1340"/>
      <c r="F264" s="1340"/>
      <c r="G264" s="1340"/>
      <c r="H264" s="1339"/>
      <c r="I264" s="1341"/>
      <c r="J264" s="283"/>
      <c r="K264" s="1278"/>
      <c r="L264" s="1279"/>
      <c r="M264" s="1280"/>
      <c r="N264" s="1277"/>
      <c r="O264" s="1281"/>
      <c r="P264" s="1277"/>
      <c r="Q264" s="547">
        <f>SUM(Q265:Q282)</f>
        <v>47057.333333333336</v>
      </c>
      <c r="R264" s="287"/>
      <c r="S264" s="1282">
        <f t="shared" ref="S264:AF264" si="44">SUM(S265:S282)</f>
        <v>0</v>
      </c>
      <c r="T264" s="1282">
        <f t="shared" si="44"/>
        <v>0</v>
      </c>
      <c r="U264" s="1282">
        <f t="shared" si="44"/>
        <v>22594.666666666668</v>
      </c>
      <c r="V264" s="1282">
        <f t="shared" si="44"/>
        <v>0</v>
      </c>
      <c r="W264" s="1282">
        <f t="shared" si="44"/>
        <v>21422.666666666668</v>
      </c>
      <c r="X264" s="1342">
        <f t="shared" si="44"/>
        <v>0</v>
      </c>
      <c r="Y264" s="1343">
        <f t="shared" si="44"/>
        <v>0</v>
      </c>
      <c r="Z264" s="1151">
        <f t="shared" si="44"/>
        <v>0</v>
      </c>
      <c r="AA264" s="1151">
        <f t="shared" si="44"/>
        <v>3040</v>
      </c>
      <c r="AB264" s="1151">
        <f t="shared" si="44"/>
        <v>0</v>
      </c>
      <c r="AC264" s="1151">
        <f t="shared" si="44"/>
        <v>0</v>
      </c>
      <c r="AD264" s="1151">
        <f t="shared" si="44"/>
        <v>0</v>
      </c>
      <c r="AE264" s="1151">
        <f t="shared" si="44"/>
        <v>0</v>
      </c>
      <c r="AF264" s="1151">
        <f t="shared" si="44"/>
        <v>0</v>
      </c>
      <c r="AG264" s="1151">
        <f>SUM(S264:AF264)</f>
        <v>47057.333333333336</v>
      </c>
    </row>
    <row r="265" spans="1:33" ht="32.25" hidden="1" customHeight="1">
      <c r="A265" s="294">
        <v>2141</v>
      </c>
      <c r="B265" s="291" t="s">
        <v>341</v>
      </c>
      <c r="C265" s="1834" t="s">
        <v>342</v>
      </c>
      <c r="D265" s="326"/>
      <c r="E265" s="294">
        <v>5</v>
      </c>
      <c r="F265" s="293">
        <v>43227</v>
      </c>
      <c r="G265" s="293">
        <f t="shared" ref="G265:G282" si="45">+E265+F265</f>
        <v>43232</v>
      </c>
      <c r="H265" s="293" t="s">
        <v>294</v>
      </c>
      <c r="I265" s="294" t="s">
        <v>171</v>
      </c>
      <c r="J265" s="307" t="s">
        <v>295</v>
      </c>
      <c r="K265" s="936" t="s">
        <v>343</v>
      </c>
      <c r="L265" s="1237">
        <v>23173</v>
      </c>
      <c r="M265" s="294"/>
      <c r="N265" s="294"/>
      <c r="O265" s="354">
        <v>770</v>
      </c>
      <c r="P265" s="1836">
        <v>2</v>
      </c>
      <c r="Q265" s="299">
        <f t="shared" ref="Q265:Q282" si="46">+O265*P265</f>
        <v>1540</v>
      </c>
      <c r="R265" s="299"/>
      <c r="S265" s="355"/>
      <c r="T265" s="355"/>
      <c r="U265" s="355">
        <v>1540</v>
      </c>
      <c r="V265" s="355"/>
      <c r="W265" s="355"/>
      <c r="X265" s="1137"/>
      <c r="Y265" s="1126"/>
      <c r="Z265" s="1194"/>
      <c r="AA265" s="1194"/>
      <c r="AB265" s="1194"/>
      <c r="AC265" s="1124"/>
      <c r="AD265" s="1124"/>
      <c r="AE265" s="1152"/>
      <c r="AF265" s="1124"/>
      <c r="AG265" s="1282">
        <f t="shared" ref="AG265:AG282" si="47">SUM(S265:AF265)</f>
        <v>1540</v>
      </c>
    </row>
    <row r="266" spans="1:33" ht="32.25" hidden="1" customHeight="1">
      <c r="A266" s="294">
        <v>2141</v>
      </c>
      <c r="B266" s="291" t="s">
        <v>341</v>
      </c>
      <c r="C266" s="1834" t="s">
        <v>342</v>
      </c>
      <c r="D266" s="326"/>
      <c r="E266" s="294">
        <v>5</v>
      </c>
      <c r="F266" s="293">
        <v>43227</v>
      </c>
      <c r="G266" s="293">
        <f t="shared" si="45"/>
        <v>43232</v>
      </c>
      <c r="H266" s="293" t="s">
        <v>294</v>
      </c>
      <c r="I266" s="294" t="s">
        <v>171</v>
      </c>
      <c r="J266" s="307" t="s">
        <v>295</v>
      </c>
      <c r="K266" s="936" t="s">
        <v>344</v>
      </c>
      <c r="L266" s="1237">
        <v>23173</v>
      </c>
      <c r="M266" s="294"/>
      <c r="N266" s="294"/>
      <c r="O266" s="354">
        <v>165</v>
      </c>
      <c r="P266" s="1836">
        <v>2</v>
      </c>
      <c r="Q266" s="299">
        <f t="shared" si="46"/>
        <v>330</v>
      </c>
      <c r="R266" s="299"/>
      <c r="S266" s="355"/>
      <c r="T266" s="355"/>
      <c r="U266" s="355">
        <v>330</v>
      </c>
      <c r="V266" s="355"/>
      <c r="W266" s="355"/>
      <c r="X266" s="1137"/>
      <c r="Y266" s="1126"/>
      <c r="Z266" s="1194"/>
      <c r="AA266" s="1194"/>
      <c r="AB266" s="1194"/>
      <c r="AC266" s="1124"/>
      <c r="AD266" s="1124"/>
      <c r="AE266" s="1152"/>
      <c r="AF266" s="1124"/>
      <c r="AG266" s="1282">
        <f t="shared" si="47"/>
        <v>330</v>
      </c>
    </row>
    <row r="267" spans="1:33" ht="32.25" hidden="1" customHeight="1">
      <c r="A267" s="294">
        <v>2141</v>
      </c>
      <c r="B267" s="291" t="s">
        <v>341</v>
      </c>
      <c r="C267" s="1834" t="s">
        <v>342</v>
      </c>
      <c r="D267" s="326"/>
      <c r="E267" s="294">
        <v>5</v>
      </c>
      <c r="F267" s="293">
        <v>43227</v>
      </c>
      <c r="G267" s="293">
        <f t="shared" si="45"/>
        <v>43232</v>
      </c>
      <c r="H267" s="293" t="s">
        <v>294</v>
      </c>
      <c r="I267" s="294" t="s">
        <v>171</v>
      </c>
      <c r="J267" s="307" t="s">
        <v>295</v>
      </c>
      <c r="K267" s="936" t="s">
        <v>310</v>
      </c>
      <c r="L267" s="1237">
        <v>23174</v>
      </c>
      <c r="M267" s="887"/>
      <c r="N267" s="294"/>
      <c r="O267" s="354">
        <v>5320</v>
      </c>
      <c r="P267" s="1836">
        <v>2</v>
      </c>
      <c r="Q267" s="299">
        <f t="shared" si="46"/>
        <v>10640</v>
      </c>
      <c r="R267" s="299"/>
      <c r="S267" s="355"/>
      <c r="T267" s="355"/>
      <c r="U267" s="355">
        <v>10640</v>
      </c>
      <c r="V267" s="355"/>
      <c r="W267" s="355"/>
      <c r="X267" s="1137"/>
      <c r="Y267" s="1126"/>
      <c r="Z267" s="1194"/>
      <c r="AA267" s="1194"/>
      <c r="AB267" s="1194"/>
      <c r="AC267" s="1124"/>
      <c r="AD267" s="1124"/>
      <c r="AE267" s="1152"/>
      <c r="AF267" s="1124"/>
      <c r="AG267" s="1282">
        <f t="shared" si="47"/>
        <v>10640</v>
      </c>
    </row>
    <row r="268" spans="1:33" ht="32.25" hidden="1" customHeight="1">
      <c r="A268" s="294">
        <v>2141</v>
      </c>
      <c r="B268" s="291" t="s">
        <v>341</v>
      </c>
      <c r="C268" s="1834" t="s">
        <v>342</v>
      </c>
      <c r="D268" s="326"/>
      <c r="E268" s="294">
        <v>5</v>
      </c>
      <c r="F268" s="293">
        <v>43227</v>
      </c>
      <c r="G268" s="293">
        <f t="shared" si="45"/>
        <v>43232</v>
      </c>
      <c r="H268" s="293" t="s">
        <v>294</v>
      </c>
      <c r="I268" s="294" t="s">
        <v>171</v>
      </c>
      <c r="J268" s="307" t="s">
        <v>295</v>
      </c>
      <c r="K268" s="936" t="s">
        <v>345</v>
      </c>
      <c r="L268" s="1237">
        <v>23174</v>
      </c>
      <c r="M268" s="294"/>
      <c r="N268" s="294"/>
      <c r="O268" s="354">
        <v>532</v>
      </c>
      <c r="P268" s="1836">
        <v>2</v>
      </c>
      <c r="Q268" s="299">
        <f t="shared" si="46"/>
        <v>1064</v>
      </c>
      <c r="R268" s="299"/>
      <c r="S268" s="355"/>
      <c r="T268" s="355"/>
      <c r="U268" s="355">
        <v>1064</v>
      </c>
      <c r="V268" s="355"/>
      <c r="W268" s="355"/>
      <c r="X268" s="1137"/>
      <c r="Y268" s="1126"/>
      <c r="Z268" s="1194"/>
      <c r="AA268" s="1194"/>
      <c r="AB268" s="1194"/>
      <c r="AC268" s="1124"/>
      <c r="AD268" s="1124"/>
      <c r="AE268" s="1152"/>
      <c r="AF268" s="1124"/>
      <c r="AG268" s="1282">
        <f t="shared" si="47"/>
        <v>1064</v>
      </c>
    </row>
    <row r="269" spans="1:33" ht="32.25" hidden="1" customHeight="1">
      <c r="A269" s="294">
        <v>2141</v>
      </c>
      <c r="B269" s="291" t="s">
        <v>341</v>
      </c>
      <c r="C269" s="1834" t="s">
        <v>342</v>
      </c>
      <c r="D269" s="326"/>
      <c r="E269" s="294">
        <v>5</v>
      </c>
      <c r="F269" s="293">
        <v>43227</v>
      </c>
      <c r="G269" s="293">
        <f t="shared" si="45"/>
        <v>43232</v>
      </c>
      <c r="H269" s="293" t="s">
        <v>294</v>
      </c>
      <c r="I269" s="294" t="s">
        <v>171</v>
      </c>
      <c r="J269" s="307" t="s">
        <v>295</v>
      </c>
      <c r="K269" s="936" t="s">
        <v>300</v>
      </c>
      <c r="L269" s="1237">
        <v>23174</v>
      </c>
      <c r="M269" s="294"/>
      <c r="N269" s="294"/>
      <c r="O269" s="354">
        <v>1000</v>
      </c>
      <c r="P269" s="1836">
        <v>2</v>
      </c>
      <c r="Q269" s="299">
        <f t="shared" si="46"/>
        <v>2000</v>
      </c>
      <c r="R269" s="299"/>
      <c r="S269" s="355"/>
      <c r="T269" s="355"/>
      <c r="U269" s="355">
        <v>2000</v>
      </c>
      <c r="V269" s="355"/>
      <c r="W269" s="355"/>
      <c r="X269" s="1137"/>
      <c r="Y269" s="1126"/>
      <c r="Z269" s="1194"/>
      <c r="AA269" s="1194"/>
      <c r="AB269" s="1194"/>
      <c r="AC269" s="1124"/>
      <c r="AD269" s="1124"/>
      <c r="AE269" s="1152"/>
      <c r="AF269" s="1124"/>
      <c r="AG269" s="1282">
        <f t="shared" si="47"/>
        <v>2000</v>
      </c>
    </row>
    <row r="270" spans="1:33" ht="32.25" hidden="1" customHeight="1">
      <c r="A270" s="294">
        <v>2141</v>
      </c>
      <c r="B270" s="291" t="s">
        <v>341</v>
      </c>
      <c r="C270" s="1834" t="s">
        <v>342</v>
      </c>
      <c r="D270" s="326"/>
      <c r="E270" s="294">
        <v>5</v>
      </c>
      <c r="F270" s="293">
        <v>43227</v>
      </c>
      <c r="G270" s="293">
        <f t="shared" si="45"/>
        <v>43232</v>
      </c>
      <c r="H270" s="293" t="s">
        <v>294</v>
      </c>
      <c r="I270" s="294" t="s">
        <v>171</v>
      </c>
      <c r="J270" s="307" t="s">
        <v>295</v>
      </c>
      <c r="K270" s="936" t="s">
        <v>346</v>
      </c>
      <c r="L270" s="1237">
        <v>23174</v>
      </c>
      <c r="M270" s="887"/>
      <c r="N270" s="294"/>
      <c r="O270" s="354">
        <v>1000</v>
      </c>
      <c r="P270" s="1836">
        <v>2</v>
      </c>
      <c r="Q270" s="299">
        <f t="shared" si="46"/>
        <v>2000</v>
      </c>
      <c r="R270" s="299"/>
      <c r="S270" s="355"/>
      <c r="T270" s="355"/>
      <c r="U270" s="355">
        <v>2000</v>
      </c>
      <c r="V270" s="355"/>
      <c r="W270" s="355"/>
      <c r="X270" s="1137"/>
      <c r="Y270" s="1126"/>
      <c r="Z270" s="1194"/>
      <c r="AA270" s="1194"/>
      <c r="AB270" s="1194"/>
      <c r="AC270" s="1124"/>
      <c r="AD270" s="1124"/>
      <c r="AE270" s="1152"/>
      <c r="AF270" s="1124"/>
      <c r="AG270" s="1282">
        <f t="shared" si="47"/>
        <v>2000</v>
      </c>
    </row>
    <row r="271" spans="1:33" ht="32.25" hidden="1" customHeight="1">
      <c r="A271" s="294">
        <v>2141</v>
      </c>
      <c r="B271" s="291" t="s">
        <v>341</v>
      </c>
      <c r="C271" s="1834" t="s">
        <v>342</v>
      </c>
      <c r="D271" s="326"/>
      <c r="E271" s="294">
        <v>5</v>
      </c>
      <c r="F271" s="293">
        <v>43227</v>
      </c>
      <c r="G271" s="293">
        <f t="shared" si="45"/>
        <v>43232</v>
      </c>
      <c r="H271" s="293" t="s">
        <v>294</v>
      </c>
      <c r="I271" s="294" t="s">
        <v>171</v>
      </c>
      <c r="J271" s="307" t="s">
        <v>295</v>
      </c>
      <c r="K271" s="936" t="s">
        <v>301</v>
      </c>
      <c r="L271" s="1237">
        <v>23173</v>
      </c>
      <c r="M271" s="294"/>
      <c r="N271" s="294"/>
      <c r="O271" s="354">
        <v>500</v>
      </c>
      <c r="P271" s="1836">
        <v>2</v>
      </c>
      <c r="Q271" s="299">
        <f t="shared" si="46"/>
        <v>1000</v>
      </c>
      <c r="R271" s="299"/>
      <c r="S271" s="355"/>
      <c r="T271" s="355"/>
      <c r="U271" s="355">
        <v>1000</v>
      </c>
      <c r="V271" s="355"/>
      <c r="W271" s="355"/>
      <c r="X271" s="1137"/>
      <c r="Y271" s="1126"/>
      <c r="Z271" s="1194"/>
      <c r="AA271" s="1194"/>
      <c r="AB271" s="1194"/>
      <c r="AC271" s="1124"/>
      <c r="AD271" s="1124"/>
      <c r="AE271" s="1152"/>
      <c r="AF271" s="1124"/>
      <c r="AG271" s="1282">
        <f t="shared" si="47"/>
        <v>1000</v>
      </c>
    </row>
    <row r="272" spans="1:33" ht="32.25" hidden="1" customHeight="1">
      <c r="A272" s="294">
        <v>2141</v>
      </c>
      <c r="B272" s="291" t="s">
        <v>341</v>
      </c>
      <c r="C272" s="1834" t="s">
        <v>342</v>
      </c>
      <c r="D272" s="326"/>
      <c r="E272" s="294">
        <v>5</v>
      </c>
      <c r="F272" s="293">
        <v>43227</v>
      </c>
      <c r="G272" s="293">
        <f t="shared" si="45"/>
        <v>43232</v>
      </c>
      <c r="H272" s="293" t="s">
        <v>294</v>
      </c>
      <c r="I272" s="294" t="s">
        <v>171</v>
      </c>
      <c r="J272" s="307" t="s">
        <v>295</v>
      </c>
      <c r="K272" s="936" t="s">
        <v>302</v>
      </c>
      <c r="L272" s="1237">
        <v>23173</v>
      </c>
      <c r="M272" s="326"/>
      <c r="N272" s="294"/>
      <c r="O272" s="354">
        <v>677</v>
      </c>
      <c r="P272" s="1836">
        <v>2</v>
      </c>
      <c r="Q272" s="299">
        <f t="shared" si="46"/>
        <v>1354</v>
      </c>
      <c r="R272" s="299"/>
      <c r="S272" s="355"/>
      <c r="T272" s="355"/>
      <c r="U272" s="355">
        <v>1354</v>
      </c>
      <c r="V272" s="355"/>
      <c r="W272" s="355"/>
      <c r="X272" s="1137"/>
      <c r="Y272" s="1126"/>
      <c r="Z272" s="1194"/>
      <c r="AA272" s="1194"/>
      <c r="AB272" s="1194"/>
      <c r="AC272" s="1124"/>
      <c r="AD272" s="1124"/>
      <c r="AE272" s="1152"/>
      <c r="AF272" s="1124"/>
      <c r="AG272" s="1282">
        <f t="shared" si="47"/>
        <v>1354</v>
      </c>
    </row>
    <row r="273" spans="1:33" ht="32.25" hidden="1" customHeight="1">
      <c r="A273" s="294">
        <v>2141</v>
      </c>
      <c r="B273" s="291" t="s">
        <v>341</v>
      </c>
      <c r="C273" s="1834" t="s">
        <v>314</v>
      </c>
      <c r="D273" s="326"/>
      <c r="E273" s="294">
        <v>5</v>
      </c>
      <c r="F273" s="293">
        <v>43227</v>
      </c>
      <c r="G273" s="293">
        <f t="shared" si="45"/>
        <v>43232</v>
      </c>
      <c r="H273" s="293" t="s">
        <v>294</v>
      </c>
      <c r="I273" s="294" t="s">
        <v>171</v>
      </c>
      <c r="J273" s="307" t="s">
        <v>295</v>
      </c>
      <c r="K273" s="326" t="s">
        <v>315</v>
      </c>
      <c r="L273" s="1237">
        <v>2313</v>
      </c>
      <c r="M273" s="326"/>
      <c r="N273" s="294"/>
      <c r="O273" s="354">
        <v>2666.6666666666665</v>
      </c>
      <c r="P273" s="294">
        <v>1</v>
      </c>
      <c r="Q273" s="299">
        <f t="shared" si="46"/>
        <v>2666.6666666666665</v>
      </c>
      <c r="R273" s="299"/>
      <c r="S273" s="355"/>
      <c r="T273" s="355"/>
      <c r="U273" s="355">
        <v>2666.6666666666665</v>
      </c>
      <c r="V273" s="355"/>
      <c r="W273" s="355"/>
      <c r="X273" s="1137"/>
      <c r="Y273" s="1126"/>
      <c r="Z273" s="1194"/>
      <c r="AA273" s="1194"/>
      <c r="AB273" s="1194"/>
      <c r="AC273" s="1124"/>
      <c r="AD273" s="1124"/>
      <c r="AE273" s="1152"/>
      <c r="AF273" s="1124"/>
      <c r="AG273" s="1282">
        <f t="shared" si="47"/>
        <v>2666.6666666666665</v>
      </c>
    </row>
    <row r="274" spans="1:33" ht="32.25" hidden="1" customHeight="1">
      <c r="A274" s="294">
        <v>2142</v>
      </c>
      <c r="B274" s="291" t="s">
        <v>347</v>
      </c>
      <c r="C274" s="1835" t="s">
        <v>348</v>
      </c>
      <c r="D274" s="326"/>
      <c r="E274" s="294">
        <v>10</v>
      </c>
      <c r="F274" s="293">
        <v>43283</v>
      </c>
      <c r="G274" s="293">
        <f t="shared" si="45"/>
        <v>43293</v>
      </c>
      <c r="H274" s="293" t="s">
        <v>294</v>
      </c>
      <c r="I274" s="294" t="s">
        <v>171</v>
      </c>
      <c r="J274" s="307" t="s">
        <v>295</v>
      </c>
      <c r="K274" s="1837" t="s">
        <v>301</v>
      </c>
      <c r="L274" s="1237">
        <v>23173</v>
      </c>
      <c r="M274" s="326"/>
      <c r="N274" s="294"/>
      <c r="O274" s="354">
        <v>166.66666666666666</v>
      </c>
      <c r="P274" s="294">
        <v>4</v>
      </c>
      <c r="Q274" s="299">
        <f t="shared" si="46"/>
        <v>666.66666666666663</v>
      </c>
      <c r="R274" s="299"/>
      <c r="S274" s="355"/>
      <c r="T274" s="355"/>
      <c r="U274" s="355"/>
      <c r="V274" s="355"/>
      <c r="W274" s="355">
        <v>666.66666666666663</v>
      </c>
      <c r="X274" s="1137"/>
      <c r="Y274" s="1126"/>
      <c r="Z274" s="1194"/>
      <c r="AA274" s="1194"/>
      <c r="AB274" s="1194"/>
      <c r="AC274" s="1124"/>
      <c r="AD274" s="1124"/>
      <c r="AE274" s="1152"/>
      <c r="AF274" s="1124"/>
      <c r="AG274" s="1282">
        <f t="shared" si="47"/>
        <v>666.66666666666663</v>
      </c>
    </row>
    <row r="275" spans="1:33" ht="32.25" hidden="1" customHeight="1">
      <c r="A275" s="294">
        <v>2142</v>
      </c>
      <c r="B275" s="291" t="s">
        <v>347</v>
      </c>
      <c r="C275" s="1835" t="s">
        <v>348</v>
      </c>
      <c r="D275" s="326"/>
      <c r="E275" s="294">
        <v>10</v>
      </c>
      <c r="F275" s="293">
        <v>43283</v>
      </c>
      <c r="G275" s="293">
        <f t="shared" si="45"/>
        <v>43293</v>
      </c>
      <c r="H275" s="293" t="s">
        <v>294</v>
      </c>
      <c r="I275" s="294" t="s">
        <v>171</v>
      </c>
      <c r="J275" s="307" t="s">
        <v>295</v>
      </c>
      <c r="K275" s="1837" t="s">
        <v>302</v>
      </c>
      <c r="L275" s="1237">
        <v>23173</v>
      </c>
      <c r="M275" s="326"/>
      <c r="N275" s="294"/>
      <c r="O275" s="354">
        <v>870.33333333333337</v>
      </c>
      <c r="P275" s="294">
        <v>4</v>
      </c>
      <c r="Q275" s="299">
        <f t="shared" si="46"/>
        <v>3481.3333333333335</v>
      </c>
      <c r="R275" s="299"/>
      <c r="S275" s="355"/>
      <c r="T275" s="355"/>
      <c r="U275" s="355"/>
      <c r="V275" s="355"/>
      <c r="W275" s="355">
        <v>3481.3333333333335</v>
      </c>
      <c r="X275" s="1137"/>
      <c r="Y275" s="1126"/>
      <c r="Z275" s="1194"/>
      <c r="AA275" s="1194"/>
      <c r="AB275" s="1194"/>
      <c r="AC275" s="1124"/>
      <c r="AD275" s="1124"/>
      <c r="AE275" s="1152"/>
      <c r="AF275" s="1124"/>
      <c r="AG275" s="1282">
        <f t="shared" si="47"/>
        <v>3481.3333333333335</v>
      </c>
    </row>
    <row r="276" spans="1:33" ht="32.25" hidden="1" customHeight="1">
      <c r="A276" s="294">
        <v>2142</v>
      </c>
      <c r="B276" s="291" t="s">
        <v>347</v>
      </c>
      <c r="C276" s="1835" t="s">
        <v>348</v>
      </c>
      <c r="D276" s="326"/>
      <c r="E276" s="294">
        <v>10</v>
      </c>
      <c r="F276" s="293">
        <v>43283</v>
      </c>
      <c r="G276" s="293">
        <f t="shared" si="45"/>
        <v>43293</v>
      </c>
      <c r="H276" s="293" t="s">
        <v>294</v>
      </c>
      <c r="I276" s="294" t="s">
        <v>171</v>
      </c>
      <c r="J276" s="307" t="s">
        <v>295</v>
      </c>
      <c r="K276" s="1837" t="s">
        <v>296</v>
      </c>
      <c r="L276" s="1237">
        <v>23174</v>
      </c>
      <c r="M276" s="326"/>
      <c r="N276" s="294"/>
      <c r="O276" s="354">
        <v>3000</v>
      </c>
      <c r="P276" s="294">
        <v>4</v>
      </c>
      <c r="Q276" s="299">
        <f t="shared" si="46"/>
        <v>12000</v>
      </c>
      <c r="R276" s="299"/>
      <c r="S276" s="355"/>
      <c r="T276" s="355"/>
      <c r="U276" s="355"/>
      <c r="V276" s="355"/>
      <c r="W276" s="355">
        <v>12000</v>
      </c>
      <c r="X276" s="1137"/>
      <c r="Y276" s="1126"/>
      <c r="Z276" s="1194"/>
      <c r="AA276" s="1194"/>
      <c r="AB276" s="1194"/>
      <c r="AC276" s="1124"/>
      <c r="AD276" s="1124"/>
      <c r="AE276" s="1152"/>
      <c r="AF276" s="1124"/>
      <c r="AG276" s="1282">
        <f t="shared" si="47"/>
        <v>12000</v>
      </c>
    </row>
    <row r="277" spans="1:33" ht="32.25" hidden="1" customHeight="1">
      <c r="A277" s="294">
        <v>2142</v>
      </c>
      <c r="B277" s="291" t="s">
        <v>347</v>
      </c>
      <c r="C277" s="1835" t="s">
        <v>348</v>
      </c>
      <c r="D277" s="326"/>
      <c r="E277" s="294">
        <v>10</v>
      </c>
      <c r="F277" s="293">
        <v>43283</v>
      </c>
      <c r="G277" s="293">
        <f t="shared" si="45"/>
        <v>43293</v>
      </c>
      <c r="H277" s="293" t="s">
        <v>294</v>
      </c>
      <c r="I277" s="294" t="s">
        <v>171</v>
      </c>
      <c r="J277" s="307" t="s">
        <v>295</v>
      </c>
      <c r="K277" s="1837" t="s">
        <v>349</v>
      </c>
      <c r="L277" s="1237">
        <v>23174</v>
      </c>
      <c r="M277" s="326"/>
      <c r="N277" s="294"/>
      <c r="O277" s="354">
        <v>304</v>
      </c>
      <c r="P277" s="294">
        <v>4</v>
      </c>
      <c r="Q277" s="299">
        <f t="shared" si="46"/>
        <v>1216</v>
      </c>
      <c r="R277" s="299"/>
      <c r="S277" s="355"/>
      <c r="T277" s="355"/>
      <c r="U277" s="355"/>
      <c r="V277" s="355"/>
      <c r="W277" s="355">
        <v>1216</v>
      </c>
      <c r="X277" s="1137"/>
      <c r="Y277" s="1126"/>
      <c r="Z277" s="1194"/>
      <c r="AA277" s="1194"/>
      <c r="AB277" s="1194"/>
      <c r="AC277" s="1124"/>
      <c r="AD277" s="1124"/>
      <c r="AE277" s="1152"/>
      <c r="AF277" s="1124"/>
      <c r="AG277" s="1282">
        <f t="shared" si="47"/>
        <v>1216</v>
      </c>
    </row>
    <row r="278" spans="1:33" ht="32.25" hidden="1" customHeight="1">
      <c r="A278" s="294">
        <v>2142</v>
      </c>
      <c r="B278" s="291" t="s">
        <v>347</v>
      </c>
      <c r="C278" s="1835" t="s">
        <v>348</v>
      </c>
      <c r="D278" s="326"/>
      <c r="E278" s="294">
        <v>10</v>
      </c>
      <c r="F278" s="293">
        <v>43283</v>
      </c>
      <c r="G278" s="293">
        <f t="shared" si="45"/>
        <v>43293</v>
      </c>
      <c r="H278" s="293" t="s">
        <v>294</v>
      </c>
      <c r="I278" s="294" t="s">
        <v>171</v>
      </c>
      <c r="J278" s="307" t="s">
        <v>295</v>
      </c>
      <c r="K278" s="1837" t="s">
        <v>298</v>
      </c>
      <c r="L278" s="1237">
        <v>23174</v>
      </c>
      <c r="M278" s="326"/>
      <c r="N278" s="294"/>
      <c r="O278" s="354">
        <v>448</v>
      </c>
      <c r="P278" s="294">
        <v>4</v>
      </c>
      <c r="Q278" s="299">
        <f t="shared" si="46"/>
        <v>1792</v>
      </c>
      <c r="R278" s="299"/>
      <c r="S278" s="355"/>
      <c r="T278" s="355"/>
      <c r="U278" s="355"/>
      <c r="V278" s="355"/>
      <c r="W278" s="355">
        <v>1792</v>
      </c>
      <c r="X278" s="1137"/>
      <c r="Y278" s="1126"/>
      <c r="Z278" s="1194"/>
      <c r="AA278" s="1194"/>
      <c r="AB278" s="1194"/>
      <c r="AC278" s="1124"/>
      <c r="AD278" s="1124"/>
      <c r="AE278" s="1152"/>
      <c r="AF278" s="1124"/>
      <c r="AG278" s="1282">
        <f t="shared" si="47"/>
        <v>1792</v>
      </c>
    </row>
    <row r="279" spans="1:33" ht="32.25" hidden="1" customHeight="1">
      <c r="A279" s="294">
        <v>2142</v>
      </c>
      <c r="B279" s="291" t="s">
        <v>347</v>
      </c>
      <c r="C279" s="1835" t="s">
        <v>348</v>
      </c>
      <c r="D279" s="326"/>
      <c r="E279" s="294">
        <v>10</v>
      </c>
      <c r="F279" s="293">
        <v>43283</v>
      </c>
      <c r="G279" s="293">
        <f t="shared" si="45"/>
        <v>43293</v>
      </c>
      <c r="H279" s="293" t="s">
        <v>294</v>
      </c>
      <c r="I279" s="294" t="s">
        <v>171</v>
      </c>
      <c r="J279" s="307" t="s">
        <v>295</v>
      </c>
      <c r="K279" s="1837" t="s">
        <v>350</v>
      </c>
      <c r="L279" s="1237">
        <v>23174</v>
      </c>
      <c r="M279" s="326"/>
      <c r="N279" s="294"/>
      <c r="O279" s="354">
        <v>166.66666666666666</v>
      </c>
      <c r="P279" s="294">
        <v>4</v>
      </c>
      <c r="Q279" s="299">
        <f t="shared" si="46"/>
        <v>666.66666666666663</v>
      </c>
      <c r="R279" s="299"/>
      <c r="S279" s="355"/>
      <c r="T279" s="355"/>
      <c r="U279" s="355"/>
      <c r="V279" s="355"/>
      <c r="W279" s="355">
        <v>666.66666666666663</v>
      </c>
      <c r="X279" s="1137"/>
      <c r="Y279" s="1126"/>
      <c r="Z279" s="1194"/>
      <c r="AA279" s="1194"/>
      <c r="AB279" s="1194"/>
      <c r="AC279" s="1124"/>
      <c r="AD279" s="1124"/>
      <c r="AE279" s="1152"/>
      <c r="AF279" s="1124"/>
      <c r="AG279" s="1282">
        <f t="shared" si="47"/>
        <v>666.66666666666663</v>
      </c>
    </row>
    <row r="280" spans="1:33" ht="32.25" hidden="1" customHeight="1">
      <c r="A280" s="294">
        <v>2142</v>
      </c>
      <c r="B280" s="291" t="s">
        <v>347</v>
      </c>
      <c r="C280" s="1835" t="s">
        <v>348</v>
      </c>
      <c r="D280" s="326"/>
      <c r="E280" s="294">
        <v>10</v>
      </c>
      <c r="F280" s="293">
        <v>43283</v>
      </c>
      <c r="G280" s="293">
        <f t="shared" si="45"/>
        <v>43293</v>
      </c>
      <c r="H280" s="293" t="s">
        <v>294</v>
      </c>
      <c r="I280" s="294" t="s">
        <v>171</v>
      </c>
      <c r="J280" s="307" t="s">
        <v>295</v>
      </c>
      <c r="K280" s="1837" t="s">
        <v>300</v>
      </c>
      <c r="L280" s="1237">
        <v>23174</v>
      </c>
      <c r="M280" s="326"/>
      <c r="N280" s="294"/>
      <c r="O280" s="354">
        <v>400</v>
      </c>
      <c r="P280" s="294">
        <v>4</v>
      </c>
      <c r="Q280" s="299">
        <f t="shared" si="46"/>
        <v>1600</v>
      </c>
      <c r="R280" s="299"/>
      <c r="S280" s="355"/>
      <c r="T280" s="355"/>
      <c r="U280" s="355"/>
      <c r="V280" s="355"/>
      <c r="W280" s="355">
        <v>1600</v>
      </c>
      <c r="X280" s="1137"/>
      <c r="Y280" s="1126"/>
      <c r="Z280" s="1194"/>
      <c r="AA280" s="1194"/>
      <c r="AB280" s="1194"/>
      <c r="AC280" s="1124"/>
      <c r="AD280" s="1124"/>
      <c r="AE280" s="1152"/>
      <c r="AF280" s="1124"/>
      <c r="AG280" s="1282">
        <f t="shared" si="47"/>
        <v>1600</v>
      </c>
    </row>
    <row r="281" spans="1:33" ht="32.25" hidden="1" customHeight="1">
      <c r="A281" s="294">
        <v>2143</v>
      </c>
      <c r="B281" s="291" t="s">
        <v>69</v>
      </c>
      <c r="C281" s="1835" t="s">
        <v>351</v>
      </c>
      <c r="D281" s="326"/>
      <c r="E281" s="294">
        <v>1</v>
      </c>
      <c r="F281" s="293">
        <v>43409</v>
      </c>
      <c r="G281" s="293">
        <f t="shared" si="45"/>
        <v>43410</v>
      </c>
      <c r="H281" s="293" t="s">
        <v>294</v>
      </c>
      <c r="I281" s="294" t="s">
        <v>171</v>
      </c>
      <c r="J281" s="307" t="s">
        <v>295</v>
      </c>
      <c r="K281" s="326" t="s">
        <v>296</v>
      </c>
      <c r="L281" s="1237">
        <v>23174</v>
      </c>
      <c r="M281" s="326"/>
      <c r="N281" s="294"/>
      <c r="O281" s="1557">
        <v>24</v>
      </c>
      <c r="P281" s="887">
        <v>60</v>
      </c>
      <c r="Q281" s="299">
        <f t="shared" si="46"/>
        <v>1440</v>
      </c>
      <c r="R281" s="299"/>
      <c r="S281" s="355"/>
      <c r="T281" s="355"/>
      <c r="U281" s="355"/>
      <c r="V281" s="355"/>
      <c r="W281" s="355"/>
      <c r="X281" s="1137"/>
      <c r="Y281" s="1126"/>
      <c r="Z281" s="1194"/>
      <c r="AA281" s="1126">
        <v>1440</v>
      </c>
      <c r="AB281" s="1194"/>
      <c r="AC281" s="1124"/>
      <c r="AD281" s="1124"/>
      <c r="AE281" s="1152"/>
      <c r="AF281" s="1124"/>
      <c r="AG281" s="1282">
        <f t="shared" si="47"/>
        <v>1440</v>
      </c>
    </row>
    <row r="282" spans="1:33" ht="32.25" hidden="1" customHeight="1">
      <c r="A282" s="294">
        <v>2143</v>
      </c>
      <c r="B282" s="291" t="s">
        <v>69</v>
      </c>
      <c r="C282" s="1835" t="s">
        <v>351</v>
      </c>
      <c r="D282" s="326"/>
      <c r="E282" s="294">
        <v>1</v>
      </c>
      <c r="F282" s="293">
        <v>43409</v>
      </c>
      <c r="G282" s="293">
        <f t="shared" si="45"/>
        <v>43410</v>
      </c>
      <c r="H282" s="293" t="s">
        <v>294</v>
      </c>
      <c r="I282" s="294" t="s">
        <v>171</v>
      </c>
      <c r="J282" s="307" t="s">
        <v>295</v>
      </c>
      <c r="K282" s="326" t="s">
        <v>352</v>
      </c>
      <c r="L282" s="1237">
        <v>23174</v>
      </c>
      <c r="M282" s="326"/>
      <c r="N282" s="294"/>
      <c r="O282" s="1557">
        <v>26.666666666666668</v>
      </c>
      <c r="P282" s="887">
        <v>60</v>
      </c>
      <c r="Q282" s="299">
        <f t="shared" si="46"/>
        <v>1600</v>
      </c>
      <c r="R282" s="299"/>
      <c r="S282" s="355"/>
      <c r="T282" s="355"/>
      <c r="U282" s="355"/>
      <c r="V282" s="355"/>
      <c r="W282" s="355"/>
      <c r="X282" s="1137"/>
      <c r="Y282" s="1126"/>
      <c r="Z282" s="1194"/>
      <c r="AA282" s="1126">
        <v>1600</v>
      </c>
      <c r="AB282" s="1194"/>
      <c r="AC282" s="1124"/>
      <c r="AD282" s="1124"/>
      <c r="AE282" s="1152"/>
      <c r="AF282" s="1124"/>
      <c r="AG282" s="1282">
        <f t="shared" si="47"/>
        <v>1600</v>
      </c>
    </row>
    <row r="283" spans="1:33" ht="29.25" hidden="1" customHeight="1">
      <c r="A283" s="1275">
        <v>215</v>
      </c>
      <c r="B283" s="995" t="s">
        <v>353</v>
      </c>
      <c r="C283" s="1083"/>
      <c r="D283" s="1339"/>
      <c r="E283" s="1340"/>
      <c r="F283" s="1340"/>
      <c r="G283" s="1340"/>
      <c r="H283" s="1339"/>
      <c r="I283" s="1341"/>
      <c r="J283" s="283"/>
      <c r="K283" s="1278"/>
      <c r="L283" s="1279"/>
      <c r="M283" s="1280"/>
      <c r="N283" s="1277"/>
      <c r="O283" s="1281"/>
      <c r="P283" s="1277"/>
      <c r="Q283" s="547">
        <f>SUM(Q284:Q301)</f>
        <v>53486.333333333343</v>
      </c>
      <c r="R283" s="287"/>
      <c r="S283" s="1282">
        <f t="shared" ref="S283:AF283" si="48">SUM(S284:S301)</f>
        <v>0</v>
      </c>
      <c r="T283" s="1282">
        <f t="shared" si="48"/>
        <v>0</v>
      </c>
      <c r="U283" s="1282">
        <f t="shared" si="48"/>
        <v>12902.666666666664</v>
      </c>
      <c r="V283" s="1282">
        <f t="shared" si="48"/>
        <v>40583.666666666672</v>
      </c>
      <c r="W283" s="1282">
        <f t="shared" si="48"/>
        <v>0</v>
      </c>
      <c r="X283" s="1342">
        <f t="shared" si="48"/>
        <v>0</v>
      </c>
      <c r="Y283" s="1343">
        <f t="shared" si="48"/>
        <v>0</v>
      </c>
      <c r="Z283" s="1151">
        <f t="shared" si="48"/>
        <v>0</v>
      </c>
      <c r="AA283" s="1151">
        <f t="shared" si="48"/>
        <v>0</v>
      </c>
      <c r="AB283" s="1151">
        <f t="shared" si="48"/>
        <v>0</v>
      </c>
      <c r="AC283" s="1151">
        <f t="shared" si="48"/>
        <v>0</v>
      </c>
      <c r="AD283" s="1151">
        <f t="shared" si="48"/>
        <v>0</v>
      </c>
      <c r="AE283" s="1151">
        <f t="shared" si="48"/>
        <v>0</v>
      </c>
      <c r="AF283" s="1151">
        <f t="shared" si="48"/>
        <v>0</v>
      </c>
      <c r="AG283" s="1151">
        <f>SUM(S283:AF283)</f>
        <v>53486.333333333336</v>
      </c>
    </row>
    <row r="284" spans="1:33" ht="32.25" hidden="1" customHeight="1">
      <c r="A284" s="294">
        <v>2151</v>
      </c>
      <c r="B284" s="291" t="s">
        <v>70</v>
      </c>
      <c r="C284" s="1834" t="s">
        <v>307</v>
      </c>
      <c r="D284" s="326"/>
      <c r="E284" s="294">
        <v>2</v>
      </c>
      <c r="F284" s="293">
        <v>43269</v>
      </c>
      <c r="G284" s="293">
        <f t="shared" ref="G284:G301" si="49">+E284+F284</f>
        <v>43271</v>
      </c>
      <c r="H284" s="293" t="s">
        <v>294</v>
      </c>
      <c r="I284" s="294" t="s">
        <v>171</v>
      </c>
      <c r="J284" s="307" t="s">
        <v>295</v>
      </c>
      <c r="K284" s="326" t="s">
        <v>309</v>
      </c>
      <c r="L284" s="1237">
        <v>23173</v>
      </c>
      <c r="M284" s="294"/>
      <c r="N284" s="294"/>
      <c r="O284" s="354">
        <v>205.33333333333334</v>
      </c>
      <c r="P284" s="887">
        <v>3</v>
      </c>
      <c r="Q284" s="299">
        <f t="shared" ref="Q284:Q301" si="50">+O284*P284</f>
        <v>616</v>
      </c>
      <c r="R284" s="299"/>
      <c r="S284" s="355"/>
      <c r="T284" s="355"/>
      <c r="U284" s="355"/>
      <c r="V284" s="355">
        <v>616</v>
      </c>
      <c r="W284" s="355"/>
      <c r="X284" s="1137"/>
      <c r="Y284" s="1126"/>
      <c r="Z284" s="1194"/>
      <c r="AA284" s="1194"/>
      <c r="AB284" s="1194"/>
      <c r="AC284" s="1124"/>
      <c r="AD284" s="1124"/>
      <c r="AE284" s="1152"/>
      <c r="AF284" s="1124"/>
      <c r="AG284" s="1282">
        <f t="shared" ref="AG284:AG301" si="51">SUM(S284:AF284)</f>
        <v>616</v>
      </c>
    </row>
    <row r="285" spans="1:33" ht="32.25" hidden="1" customHeight="1">
      <c r="A285" s="294">
        <v>2151</v>
      </c>
      <c r="B285" s="291" t="s">
        <v>70</v>
      </c>
      <c r="C285" s="1834" t="s">
        <v>307</v>
      </c>
      <c r="D285" s="326"/>
      <c r="E285" s="294">
        <v>2</v>
      </c>
      <c r="F285" s="293">
        <v>43269</v>
      </c>
      <c r="G285" s="293">
        <f t="shared" si="49"/>
        <v>43271</v>
      </c>
      <c r="H285" s="293" t="s">
        <v>294</v>
      </c>
      <c r="I285" s="294" t="s">
        <v>171</v>
      </c>
      <c r="J285" s="307" t="s">
        <v>295</v>
      </c>
      <c r="K285" s="326" t="s">
        <v>308</v>
      </c>
      <c r="L285" s="1237">
        <v>23173</v>
      </c>
      <c r="M285" s="326"/>
      <c r="N285" s="294"/>
      <c r="O285" s="354">
        <v>44</v>
      </c>
      <c r="P285" s="887">
        <v>3</v>
      </c>
      <c r="Q285" s="299">
        <f t="shared" si="50"/>
        <v>132</v>
      </c>
      <c r="R285" s="299"/>
      <c r="S285" s="355"/>
      <c r="T285" s="355"/>
      <c r="U285" s="355"/>
      <c r="V285" s="355">
        <v>132</v>
      </c>
      <c r="W285" s="355"/>
      <c r="X285" s="1137"/>
      <c r="Y285" s="1126"/>
      <c r="Z285" s="1194"/>
      <c r="AA285" s="1194"/>
      <c r="AB285" s="1194"/>
      <c r="AC285" s="1124"/>
      <c r="AD285" s="1124"/>
      <c r="AE285" s="1152"/>
      <c r="AF285" s="1124"/>
      <c r="AG285" s="1282">
        <f t="shared" si="51"/>
        <v>132</v>
      </c>
    </row>
    <row r="286" spans="1:33" ht="32.25" hidden="1" customHeight="1">
      <c r="A286" s="294">
        <v>2151</v>
      </c>
      <c r="B286" s="291" t="s">
        <v>70</v>
      </c>
      <c r="C286" s="1834" t="s">
        <v>307</v>
      </c>
      <c r="D286" s="326"/>
      <c r="E286" s="294">
        <v>2</v>
      </c>
      <c r="F286" s="293">
        <v>43269</v>
      </c>
      <c r="G286" s="293">
        <f t="shared" si="49"/>
        <v>43271</v>
      </c>
      <c r="H286" s="293" t="s">
        <v>294</v>
      </c>
      <c r="I286" s="294" t="s">
        <v>171</v>
      </c>
      <c r="J286" s="307" t="s">
        <v>295</v>
      </c>
      <c r="K286" s="326" t="s">
        <v>296</v>
      </c>
      <c r="L286" s="1237">
        <v>23174</v>
      </c>
      <c r="M286" s="326"/>
      <c r="N286" s="294"/>
      <c r="O286" s="354">
        <v>480</v>
      </c>
      <c r="P286" s="887">
        <v>3</v>
      </c>
      <c r="Q286" s="299">
        <f t="shared" si="50"/>
        <v>1440</v>
      </c>
      <c r="R286" s="299"/>
      <c r="S286" s="355"/>
      <c r="T286" s="355"/>
      <c r="U286" s="355"/>
      <c r="V286" s="355">
        <v>1440</v>
      </c>
      <c r="W286" s="355"/>
      <c r="X286" s="1137"/>
      <c r="Y286" s="1126"/>
      <c r="Z286" s="1194"/>
      <c r="AA286" s="1194"/>
      <c r="AB286" s="1194"/>
      <c r="AC286" s="1124"/>
      <c r="AD286" s="1124"/>
      <c r="AE286" s="1152"/>
      <c r="AF286" s="1124"/>
      <c r="AG286" s="1282">
        <f t="shared" si="51"/>
        <v>1440</v>
      </c>
    </row>
    <row r="287" spans="1:33" ht="32.25" hidden="1" customHeight="1">
      <c r="A287" s="294">
        <v>2151</v>
      </c>
      <c r="B287" s="291" t="s">
        <v>70</v>
      </c>
      <c r="C287" s="1834" t="s">
        <v>307</v>
      </c>
      <c r="D287" s="326"/>
      <c r="E287" s="294">
        <v>2</v>
      </c>
      <c r="F287" s="293">
        <v>43269</v>
      </c>
      <c r="G287" s="293">
        <f t="shared" si="49"/>
        <v>43271</v>
      </c>
      <c r="H287" s="293" t="s">
        <v>294</v>
      </c>
      <c r="I287" s="294" t="s">
        <v>171</v>
      </c>
      <c r="J287" s="307" t="s">
        <v>295</v>
      </c>
      <c r="K287" s="326" t="s">
        <v>354</v>
      </c>
      <c r="L287" s="1237">
        <v>23174</v>
      </c>
      <c r="M287" s="326"/>
      <c r="N287" s="294"/>
      <c r="O287" s="354">
        <v>202.66666666666666</v>
      </c>
      <c r="P287" s="887">
        <v>3</v>
      </c>
      <c r="Q287" s="299">
        <f t="shared" si="50"/>
        <v>608</v>
      </c>
      <c r="R287" s="299"/>
      <c r="S287" s="355"/>
      <c r="T287" s="355"/>
      <c r="U287" s="355"/>
      <c r="V287" s="355">
        <v>608</v>
      </c>
      <c r="W287" s="355"/>
      <c r="X287" s="1137"/>
      <c r="Y287" s="1126"/>
      <c r="Z287" s="1194"/>
      <c r="AA287" s="1194"/>
      <c r="AB287" s="1194"/>
      <c r="AC287" s="1124"/>
      <c r="AD287" s="1124"/>
      <c r="AE287" s="1152"/>
      <c r="AF287" s="1124"/>
      <c r="AG287" s="1282">
        <f t="shared" si="51"/>
        <v>608</v>
      </c>
    </row>
    <row r="288" spans="1:33" ht="32.25" hidden="1" customHeight="1">
      <c r="A288" s="294">
        <v>2151</v>
      </c>
      <c r="B288" s="291" t="s">
        <v>70</v>
      </c>
      <c r="C288" s="1834" t="s">
        <v>307</v>
      </c>
      <c r="D288" s="326"/>
      <c r="E288" s="294">
        <v>2</v>
      </c>
      <c r="F288" s="293">
        <v>43269</v>
      </c>
      <c r="G288" s="293">
        <f t="shared" si="49"/>
        <v>43271</v>
      </c>
      <c r="H288" s="293" t="s">
        <v>294</v>
      </c>
      <c r="I288" s="294" t="s">
        <v>171</v>
      </c>
      <c r="J288" s="307" t="s">
        <v>295</v>
      </c>
      <c r="K288" s="326" t="s">
        <v>355</v>
      </c>
      <c r="L288" s="1237">
        <v>23174</v>
      </c>
      <c r="M288" s="326"/>
      <c r="N288" s="294"/>
      <c r="O288" s="354">
        <v>333.33333333333331</v>
      </c>
      <c r="P288" s="887">
        <v>3</v>
      </c>
      <c r="Q288" s="299">
        <f t="shared" si="50"/>
        <v>1000</v>
      </c>
      <c r="R288" s="299"/>
      <c r="S288" s="355"/>
      <c r="T288" s="355"/>
      <c r="U288" s="355"/>
      <c r="V288" s="355">
        <v>1000</v>
      </c>
      <c r="W288" s="355"/>
      <c r="X288" s="1137"/>
      <c r="Y288" s="1126"/>
      <c r="Z288" s="1194"/>
      <c r="AA288" s="1194"/>
      <c r="AB288" s="1194"/>
      <c r="AC288" s="1124"/>
      <c r="AD288" s="1124"/>
      <c r="AE288" s="1152"/>
      <c r="AF288" s="1124"/>
      <c r="AG288" s="1282">
        <f t="shared" si="51"/>
        <v>1000</v>
      </c>
    </row>
    <row r="289" spans="1:33" ht="32.25" hidden="1" customHeight="1">
      <c r="A289" s="294">
        <v>2151</v>
      </c>
      <c r="B289" s="291" t="s">
        <v>70</v>
      </c>
      <c r="C289" s="1834" t="s">
        <v>307</v>
      </c>
      <c r="D289" s="326"/>
      <c r="E289" s="294">
        <v>2</v>
      </c>
      <c r="F289" s="293">
        <v>43269</v>
      </c>
      <c r="G289" s="293">
        <f t="shared" si="49"/>
        <v>43271</v>
      </c>
      <c r="H289" s="293" t="s">
        <v>294</v>
      </c>
      <c r="I289" s="294" t="s">
        <v>171</v>
      </c>
      <c r="J289" s="307" t="s">
        <v>295</v>
      </c>
      <c r="K289" s="326" t="s">
        <v>356</v>
      </c>
      <c r="L289" s="1237">
        <v>23174</v>
      </c>
      <c r="M289" s="326"/>
      <c r="N289" s="294"/>
      <c r="O289" s="354">
        <v>133.33333333333334</v>
      </c>
      <c r="P289" s="887">
        <v>3</v>
      </c>
      <c r="Q289" s="299">
        <f t="shared" si="50"/>
        <v>400</v>
      </c>
      <c r="R289" s="299"/>
      <c r="S289" s="355"/>
      <c r="T289" s="355"/>
      <c r="U289" s="355"/>
      <c r="V289" s="355">
        <v>400</v>
      </c>
      <c r="W289" s="355"/>
      <c r="X289" s="1137"/>
      <c r="Y289" s="1126"/>
      <c r="Z289" s="1194"/>
      <c r="AA289" s="1194"/>
      <c r="AB289" s="1194"/>
      <c r="AC289" s="1124"/>
      <c r="AD289" s="1124"/>
      <c r="AE289" s="1152"/>
      <c r="AF289" s="1124"/>
      <c r="AG289" s="1282">
        <f t="shared" si="51"/>
        <v>400</v>
      </c>
    </row>
    <row r="290" spans="1:33" ht="32.25" hidden="1" customHeight="1">
      <c r="A290" s="294">
        <v>2151</v>
      </c>
      <c r="B290" s="291" t="s">
        <v>70</v>
      </c>
      <c r="C290" s="1834" t="s">
        <v>307</v>
      </c>
      <c r="D290" s="326"/>
      <c r="E290" s="294">
        <v>2</v>
      </c>
      <c r="F290" s="293">
        <v>43269</v>
      </c>
      <c r="G290" s="293">
        <f t="shared" si="49"/>
        <v>43271</v>
      </c>
      <c r="H290" s="293" t="s">
        <v>294</v>
      </c>
      <c r="I290" s="294" t="s">
        <v>171</v>
      </c>
      <c r="J290" s="307" t="s">
        <v>295</v>
      </c>
      <c r="K290" s="326" t="s">
        <v>301</v>
      </c>
      <c r="L290" s="1237">
        <v>23173</v>
      </c>
      <c r="M290" s="326"/>
      <c r="N290" s="294"/>
      <c r="O290" s="354">
        <v>200</v>
      </c>
      <c r="P290" s="887">
        <v>3</v>
      </c>
      <c r="Q290" s="299">
        <f t="shared" si="50"/>
        <v>600</v>
      </c>
      <c r="R290" s="299"/>
      <c r="S290" s="355"/>
      <c r="T290" s="355"/>
      <c r="U290" s="355"/>
      <c r="V290" s="355">
        <v>600</v>
      </c>
      <c r="W290" s="355"/>
      <c r="X290" s="1137"/>
      <c r="Y290" s="1126"/>
      <c r="Z290" s="1194"/>
      <c r="AA290" s="1194"/>
      <c r="AB290" s="1194"/>
      <c r="AC290" s="1124"/>
      <c r="AD290" s="1124"/>
      <c r="AE290" s="1152"/>
      <c r="AF290" s="1124"/>
      <c r="AG290" s="1282">
        <f t="shared" si="51"/>
        <v>600</v>
      </c>
    </row>
    <row r="291" spans="1:33" ht="32.25" hidden="1" customHeight="1">
      <c r="A291" s="294">
        <v>2151</v>
      </c>
      <c r="B291" s="291" t="s">
        <v>70</v>
      </c>
      <c r="C291" s="1834" t="s">
        <v>307</v>
      </c>
      <c r="D291" s="326"/>
      <c r="E291" s="294">
        <v>2</v>
      </c>
      <c r="F291" s="293">
        <v>43269</v>
      </c>
      <c r="G291" s="293">
        <f t="shared" si="49"/>
        <v>43271</v>
      </c>
      <c r="H291" s="293" t="s">
        <v>294</v>
      </c>
      <c r="I291" s="294" t="s">
        <v>171</v>
      </c>
      <c r="J291" s="307" t="s">
        <v>295</v>
      </c>
      <c r="K291" s="326" t="s">
        <v>302</v>
      </c>
      <c r="L291" s="1237">
        <v>23173</v>
      </c>
      <c r="M291" s="326"/>
      <c r="N291" s="294"/>
      <c r="O291" s="354">
        <v>207</v>
      </c>
      <c r="P291" s="887">
        <v>3</v>
      </c>
      <c r="Q291" s="299">
        <f t="shared" si="50"/>
        <v>621</v>
      </c>
      <c r="R291" s="299"/>
      <c r="S291" s="355"/>
      <c r="T291" s="355"/>
      <c r="U291" s="355"/>
      <c r="V291" s="355">
        <v>621</v>
      </c>
      <c r="W291" s="355"/>
      <c r="X291" s="1137"/>
      <c r="Y291" s="1126"/>
      <c r="Z291" s="1194"/>
      <c r="AA291" s="1194"/>
      <c r="AB291" s="1194"/>
      <c r="AC291" s="1124"/>
      <c r="AD291" s="1124"/>
      <c r="AE291" s="1152"/>
      <c r="AF291" s="1124"/>
      <c r="AG291" s="1282">
        <f t="shared" si="51"/>
        <v>621</v>
      </c>
    </row>
    <row r="292" spans="1:33" ht="32.25" hidden="1" customHeight="1">
      <c r="A292" s="294">
        <v>2152</v>
      </c>
      <c r="B292" s="291" t="s">
        <v>71</v>
      </c>
      <c r="C292" s="1835" t="s">
        <v>307</v>
      </c>
      <c r="D292" s="326"/>
      <c r="E292" s="294">
        <v>5</v>
      </c>
      <c r="F292" s="293">
        <v>43234</v>
      </c>
      <c r="G292" s="293">
        <f t="shared" si="49"/>
        <v>43239</v>
      </c>
      <c r="H292" s="293" t="s">
        <v>294</v>
      </c>
      <c r="I292" s="294" t="s">
        <v>171</v>
      </c>
      <c r="J292" s="307" t="s">
        <v>295</v>
      </c>
      <c r="K292" s="326" t="s">
        <v>309</v>
      </c>
      <c r="L292" s="1237">
        <v>23173</v>
      </c>
      <c r="M292" s="326"/>
      <c r="N292" s="294"/>
      <c r="O292" s="354">
        <v>933.33333333333337</v>
      </c>
      <c r="P292" s="294">
        <v>1</v>
      </c>
      <c r="Q292" s="299">
        <f t="shared" si="50"/>
        <v>933.33333333333337</v>
      </c>
      <c r="R292" s="299"/>
      <c r="S292" s="355"/>
      <c r="T292" s="355"/>
      <c r="U292" s="355">
        <v>933.33333333333337</v>
      </c>
      <c r="V292" s="355"/>
      <c r="W292" s="355"/>
      <c r="X292" s="1137"/>
      <c r="Y292" s="1126"/>
      <c r="Z292" s="1194"/>
      <c r="AA292" s="1194"/>
      <c r="AB292" s="1194"/>
      <c r="AC292" s="1124"/>
      <c r="AD292" s="1124"/>
      <c r="AE292" s="1152"/>
      <c r="AF292" s="1124"/>
      <c r="AG292" s="1282">
        <f t="shared" si="51"/>
        <v>933.33333333333337</v>
      </c>
    </row>
    <row r="293" spans="1:33" ht="32.25" hidden="1" customHeight="1">
      <c r="A293" s="294">
        <v>2152</v>
      </c>
      <c r="B293" s="291" t="s">
        <v>71</v>
      </c>
      <c r="C293" s="1835" t="s">
        <v>307</v>
      </c>
      <c r="D293" s="326"/>
      <c r="E293" s="294">
        <v>5</v>
      </c>
      <c r="F293" s="293">
        <v>43234</v>
      </c>
      <c r="G293" s="293">
        <f t="shared" si="49"/>
        <v>43239</v>
      </c>
      <c r="H293" s="293" t="s">
        <v>294</v>
      </c>
      <c r="I293" s="294" t="s">
        <v>171</v>
      </c>
      <c r="J293" s="307" t="s">
        <v>295</v>
      </c>
      <c r="K293" s="326" t="s">
        <v>308</v>
      </c>
      <c r="L293" s="1237">
        <v>23173</v>
      </c>
      <c r="M293" s="326"/>
      <c r="N293" s="294"/>
      <c r="O293" s="354">
        <v>200</v>
      </c>
      <c r="P293" s="294">
        <v>1</v>
      </c>
      <c r="Q293" s="299">
        <f t="shared" si="50"/>
        <v>200</v>
      </c>
      <c r="R293" s="299"/>
      <c r="S293" s="355"/>
      <c r="T293" s="355"/>
      <c r="U293" s="355">
        <v>200</v>
      </c>
      <c r="V293" s="355"/>
      <c r="W293" s="355"/>
      <c r="X293" s="1137"/>
      <c r="Y293" s="1126"/>
      <c r="Z293" s="1194"/>
      <c r="AA293" s="1194"/>
      <c r="AB293" s="1194"/>
      <c r="AC293" s="1124"/>
      <c r="AD293" s="1124"/>
      <c r="AE293" s="1152"/>
      <c r="AF293" s="1124"/>
      <c r="AG293" s="1282">
        <f t="shared" si="51"/>
        <v>200</v>
      </c>
    </row>
    <row r="294" spans="1:33" ht="32.25" hidden="1" customHeight="1">
      <c r="A294" s="294">
        <v>2152</v>
      </c>
      <c r="B294" s="291" t="s">
        <v>71</v>
      </c>
      <c r="C294" s="1835" t="s">
        <v>307</v>
      </c>
      <c r="D294" s="326"/>
      <c r="E294" s="294">
        <v>5</v>
      </c>
      <c r="F294" s="293">
        <v>43234</v>
      </c>
      <c r="G294" s="293">
        <f t="shared" si="49"/>
        <v>43239</v>
      </c>
      <c r="H294" s="293" t="s">
        <v>294</v>
      </c>
      <c r="I294" s="294" t="s">
        <v>171</v>
      </c>
      <c r="J294" s="307" t="s">
        <v>295</v>
      </c>
      <c r="K294" s="936" t="s">
        <v>357</v>
      </c>
      <c r="L294" s="1237">
        <v>23174</v>
      </c>
      <c r="M294" s="326"/>
      <c r="N294" s="294"/>
      <c r="O294" s="354">
        <v>7093.333333333333</v>
      </c>
      <c r="P294" s="294">
        <v>1</v>
      </c>
      <c r="Q294" s="299">
        <f t="shared" si="50"/>
        <v>7093.333333333333</v>
      </c>
      <c r="R294" s="299"/>
      <c r="S294" s="355"/>
      <c r="T294" s="355"/>
      <c r="U294" s="355">
        <v>7093.333333333333</v>
      </c>
      <c r="V294" s="355"/>
      <c r="W294" s="355"/>
      <c r="X294" s="1137"/>
      <c r="Y294" s="1126"/>
      <c r="Z294" s="1194"/>
      <c r="AA294" s="1194"/>
      <c r="AB294" s="1194"/>
      <c r="AC294" s="1124"/>
      <c r="AD294" s="1124"/>
      <c r="AE294" s="1152"/>
      <c r="AF294" s="1124"/>
      <c r="AG294" s="1282">
        <f t="shared" si="51"/>
        <v>7093.333333333333</v>
      </c>
    </row>
    <row r="295" spans="1:33" ht="32.25" hidden="1" customHeight="1">
      <c r="A295" s="294">
        <v>2152</v>
      </c>
      <c r="B295" s="291" t="s">
        <v>71</v>
      </c>
      <c r="C295" s="1835" t="s">
        <v>307</v>
      </c>
      <c r="D295" s="326"/>
      <c r="E295" s="294">
        <v>5</v>
      </c>
      <c r="F295" s="293">
        <v>43234</v>
      </c>
      <c r="G295" s="293">
        <f t="shared" si="49"/>
        <v>43239</v>
      </c>
      <c r="H295" s="293" t="s">
        <v>294</v>
      </c>
      <c r="I295" s="294" t="s">
        <v>171</v>
      </c>
      <c r="J295" s="307" t="s">
        <v>295</v>
      </c>
      <c r="K295" s="936" t="s">
        <v>346</v>
      </c>
      <c r="L295" s="1237">
        <v>23174</v>
      </c>
      <c r="M295" s="326"/>
      <c r="N295" s="294"/>
      <c r="O295" s="354">
        <v>2666.6666666666665</v>
      </c>
      <c r="P295" s="294">
        <v>1</v>
      </c>
      <c r="Q295" s="299">
        <f t="shared" si="50"/>
        <v>2666.6666666666665</v>
      </c>
      <c r="R295" s="299"/>
      <c r="S295" s="355"/>
      <c r="T295" s="355"/>
      <c r="U295" s="355">
        <v>2666.6666666666665</v>
      </c>
      <c r="V295" s="355"/>
      <c r="W295" s="355"/>
      <c r="X295" s="1137"/>
      <c r="Y295" s="1126"/>
      <c r="Z295" s="1194"/>
      <c r="AA295" s="1194"/>
      <c r="AB295" s="1194"/>
      <c r="AC295" s="1124"/>
      <c r="AD295" s="1124"/>
      <c r="AE295" s="1152"/>
      <c r="AF295" s="1124"/>
      <c r="AG295" s="1282">
        <f t="shared" si="51"/>
        <v>2666.6666666666665</v>
      </c>
    </row>
    <row r="296" spans="1:33" ht="32.25" hidden="1" customHeight="1">
      <c r="A296" s="294">
        <v>2152</v>
      </c>
      <c r="B296" s="291" t="s">
        <v>71</v>
      </c>
      <c r="C296" s="1835" t="s">
        <v>307</v>
      </c>
      <c r="D296" s="326"/>
      <c r="E296" s="294">
        <v>5</v>
      </c>
      <c r="F296" s="293">
        <v>43234</v>
      </c>
      <c r="G296" s="293">
        <f t="shared" si="49"/>
        <v>43239</v>
      </c>
      <c r="H296" s="293" t="s">
        <v>294</v>
      </c>
      <c r="I296" s="294" t="s">
        <v>171</v>
      </c>
      <c r="J296" s="307" t="s">
        <v>295</v>
      </c>
      <c r="K296" s="1838" t="s">
        <v>358</v>
      </c>
      <c r="L296" s="1237">
        <v>23174</v>
      </c>
      <c r="M296" s="326"/>
      <c r="N296" s="294"/>
      <c r="O296" s="354">
        <v>1066.6666666666667</v>
      </c>
      <c r="P296" s="294">
        <v>1</v>
      </c>
      <c r="Q296" s="299">
        <f t="shared" si="50"/>
        <v>1066.6666666666667</v>
      </c>
      <c r="R296" s="299"/>
      <c r="S296" s="355"/>
      <c r="T296" s="355"/>
      <c r="U296" s="355">
        <v>1066.6666666666667</v>
      </c>
      <c r="V296" s="355"/>
      <c r="W296" s="355"/>
      <c r="X296" s="1137"/>
      <c r="Y296" s="1126"/>
      <c r="Z296" s="1194"/>
      <c r="AA296" s="1194"/>
      <c r="AB296" s="1194"/>
      <c r="AC296" s="1124"/>
      <c r="AD296" s="1124"/>
      <c r="AE296" s="1152"/>
      <c r="AF296" s="1124"/>
      <c r="AG296" s="1282">
        <f t="shared" si="51"/>
        <v>1066.6666666666667</v>
      </c>
    </row>
    <row r="297" spans="1:33" ht="32.25" hidden="1" customHeight="1">
      <c r="A297" s="294">
        <v>2152</v>
      </c>
      <c r="B297" s="291" t="s">
        <v>71</v>
      </c>
      <c r="C297" s="1835" t="s">
        <v>307</v>
      </c>
      <c r="D297" s="326"/>
      <c r="E297" s="294">
        <v>5</v>
      </c>
      <c r="F297" s="293">
        <v>43234</v>
      </c>
      <c r="G297" s="293">
        <f t="shared" si="49"/>
        <v>43239</v>
      </c>
      <c r="H297" s="293" t="s">
        <v>294</v>
      </c>
      <c r="I297" s="294" t="s">
        <v>171</v>
      </c>
      <c r="J297" s="307" t="s">
        <v>295</v>
      </c>
      <c r="K297" s="936" t="s">
        <v>301</v>
      </c>
      <c r="L297" s="1237">
        <v>23173</v>
      </c>
      <c r="M297" s="326"/>
      <c r="N297" s="294"/>
      <c r="O297" s="354">
        <v>666.66666666666663</v>
      </c>
      <c r="P297" s="294">
        <v>1</v>
      </c>
      <c r="Q297" s="299">
        <f t="shared" si="50"/>
        <v>666.66666666666663</v>
      </c>
      <c r="R297" s="299"/>
      <c r="S297" s="355"/>
      <c r="T297" s="355"/>
      <c r="U297" s="355">
        <v>666.66666666666663</v>
      </c>
      <c r="V297" s="355"/>
      <c r="W297" s="355"/>
      <c r="X297" s="1137"/>
      <c r="Y297" s="1126"/>
      <c r="Z297" s="1194"/>
      <c r="AA297" s="1194"/>
      <c r="AB297" s="1194"/>
      <c r="AC297" s="1124"/>
      <c r="AD297" s="1124"/>
      <c r="AE297" s="1152"/>
      <c r="AF297" s="1124"/>
      <c r="AG297" s="1282">
        <f t="shared" si="51"/>
        <v>666.66666666666663</v>
      </c>
    </row>
    <row r="298" spans="1:33" ht="32.25" hidden="1" customHeight="1">
      <c r="A298" s="294">
        <v>2152</v>
      </c>
      <c r="B298" s="291" t="s">
        <v>71</v>
      </c>
      <c r="C298" s="1835" t="s">
        <v>307</v>
      </c>
      <c r="D298" s="326"/>
      <c r="E298" s="294">
        <v>5</v>
      </c>
      <c r="F298" s="293">
        <v>43234</v>
      </c>
      <c r="G298" s="293">
        <f t="shared" si="49"/>
        <v>43239</v>
      </c>
      <c r="H298" s="293" t="s">
        <v>294</v>
      </c>
      <c r="I298" s="294" t="s">
        <v>171</v>
      </c>
      <c r="J298" s="307" t="s">
        <v>295</v>
      </c>
      <c r="K298" s="936" t="s">
        <v>302</v>
      </c>
      <c r="L298" s="1237">
        <v>23173</v>
      </c>
      <c r="M298" s="326"/>
      <c r="N298" s="294"/>
      <c r="O298" s="354">
        <v>276</v>
      </c>
      <c r="P298" s="294">
        <v>1</v>
      </c>
      <c r="Q298" s="299">
        <f t="shared" si="50"/>
        <v>276</v>
      </c>
      <c r="R298" s="299"/>
      <c r="S298" s="355"/>
      <c r="T298" s="355"/>
      <c r="U298" s="355">
        <v>276</v>
      </c>
      <c r="V298" s="355"/>
      <c r="W298" s="355"/>
      <c r="X298" s="1137"/>
      <c r="Y298" s="1126"/>
      <c r="Z298" s="1194"/>
      <c r="AA298" s="1194"/>
      <c r="AB298" s="1194"/>
      <c r="AC298" s="1124"/>
      <c r="AD298" s="1124"/>
      <c r="AE298" s="1152"/>
      <c r="AF298" s="1124"/>
      <c r="AG298" s="1282">
        <f t="shared" si="51"/>
        <v>276</v>
      </c>
    </row>
    <row r="299" spans="1:33" ht="32.25" hidden="1" customHeight="1">
      <c r="A299" s="294">
        <v>2153</v>
      </c>
      <c r="B299" s="291" t="s">
        <v>72</v>
      </c>
      <c r="C299" s="824" t="s">
        <v>359</v>
      </c>
      <c r="D299" s="326"/>
      <c r="E299" s="294">
        <v>30</v>
      </c>
      <c r="F299" s="293">
        <v>43255</v>
      </c>
      <c r="G299" s="293">
        <f t="shared" si="49"/>
        <v>43285</v>
      </c>
      <c r="H299" s="293" t="s">
        <v>294</v>
      </c>
      <c r="I299" s="294" t="s">
        <v>171</v>
      </c>
      <c r="J299" s="307" t="s">
        <v>295</v>
      </c>
      <c r="K299" s="326" t="s">
        <v>360</v>
      </c>
      <c r="L299" s="1237">
        <v>23172</v>
      </c>
      <c r="M299" s="326"/>
      <c r="N299" s="294"/>
      <c r="O299" s="354">
        <v>133333.33333333334</v>
      </c>
      <c r="P299" s="294">
        <v>0.2</v>
      </c>
      <c r="Q299" s="299">
        <f t="shared" si="50"/>
        <v>26666.666666666672</v>
      </c>
      <c r="R299" s="299"/>
      <c r="S299" s="355"/>
      <c r="T299" s="355"/>
      <c r="U299" s="355"/>
      <c r="V299" s="355">
        <v>26666.666666666672</v>
      </c>
      <c r="W299" s="355"/>
      <c r="X299" s="1137"/>
      <c r="Y299" s="1126"/>
      <c r="Z299" s="1194"/>
      <c r="AA299" s="1194"/>
      <c r="AB299" s="1194"/>
      <c r="AC299" s="1124"/>
      <c r="AD299" s="1124"/>
      <c r="AE299" s="1152"/>
      <c r="AF299" s="1124"/>
      <c r="AG299" s="1282">
        <f t="shared" si="51"/>
        <v>26666.666666666672</v>
      </c>
    </row>
    <row r="300" spans="1:33" ht="32.25" hidden="1" customHeight="1">
      <c r="A300" s="294">
        <v>2154</v>
      </c>
      <c r="B300" s="291" t="s">
        <v>73</v>
      </c>
      <c r="C300" s="824" t="s">
        <v>361</v>
      </c>
      <c r="D300" s="326"/>
      <c r="E300" s="294">
        <v>30</v>
      </c>
      <c r="F300" s="293">
        <v>43255</v>
      </c>
      <c r="G300" s="293">
        <f t="shared" si="49"/>
        <v>43285</v>
      </c>
      <c r="H300" s="293" t="s">
        <v>294</v>
      </c>
      <c r="I300" s="294" t="s">
        <v>171</v>
      </c>
      <c r="J300" s="307" t="s">
        <v>295</v>
      </c>
      <c r="K300" s="326" t="s">
        <v>360</v>
      </c>
      <c r="L300" s="1237">
        <v>23172</v>
      </c>
      <c r="M300" s="326"/>
      <c r="N300" s="294"/>
      <c r="O300" s="354">
        <v>2000</v>
      </c>
      <c r="P300" s="294">
        <v>3</v>
      </c>
      <c r="Q300" s="299">
        <f t="shared" si="50"/>
        <v>6000</v>
      </c>
      <c r="R300" s="299"/>
      <c r="S300" s="355"/>
      <c r="T300" s="355"/>
      <c r="U300" s="355"/>
      <c r="V300" s="355">
        <v>6000</v>
      </c>
      <c r="W300" s="355"/>
      <c r="X300" s="1137"/>
      <c r="Y300" s="1126"/>
      <c r="Z300" s="1194"/>
      <c r="AA300" s="1194"/>
      <c r="AB300" s="1194"/>
      <c r="AC300" s="1124"/>
      <c r="AD300" s="1124"/>
      <c r="AE300" s="1152"/>
      <c r="AF300" s="1124"/>
      <c r="AG300" s="1282">
        <f t="shared" si="51"/>
        <v>6000</v>
      </c>
    </row>
    <row r="301" spans="1:33" ht="32.25" hidden="1" customHeight="1">
      <c r="A301" s="294">
        <v>2155</v>
      </c>
      <c r="B301" s="291" t="s">
        <v>74</v>
      </c>
      <c r="C301" s="1834" t="s">
        <v>362</v>
      </c>
      <c r="D301" s="326"/>
      <c r="E301" s="294">
        <v>30</v>
      </c>
      <c r="F301" s="293">
        <v>43255</v>
      </c>
      <c r="G301" s="293">
        <f t="shared" si="49"/>
        <v>43285</v>
      </c>
      <c r="H301" s="293" t="s">
        <v>294</v>
      </c>
      <c r="I301" s="294" t="s">
        <v>171</v>
      </c>
      <c r="J301" s="307" t="s">
        <v>295</v>
      </c>
      <c r="K301" s="326" t="s">
        <v>360</v>
      </c>
      <c r="L301" s="1237">
        <v>23172</v>
      </c>
      <c r="M301" s="326"/>
      <c r="N301" s="294"/>
      <c r="O301" s="354">
        <v>833.33333333333337</v>
      </c>
      <c r="P301" s="294">
        <v>3</v>
      </c>
      <c r="Q301" s="299">
        <f t="shared" si="50"/>
        <v>2500</v>
      </c>
      <c r="R301" s="299"/>
      <c r="S301" s="355"/>
      <c r="T301" s="355"/>
      <c r="U301" s="355"/>
      <c r="V301" s="355">
        <v>2500</v>
      </c>
      <c r="W301" s="355"/>
      <c r="X301" s="1137"/>
      <c r="Y301" s="1126"/>
      <c r="Z301" s="1194"/>
      <c r="AA301" s="1194"/>
      <c r="AB301" s="1194"/>
      <c r="AC301" s="1124"/>
      <c r="AD301" s="1124"/>
      <c r="AE301" s="1152"/>
      <c r="AF301" s="1124"/>
      <c r="AG301" s="1282">
        <f t="shared" si="51"/>
        <v>2500</v>
      </c>
    </row>
    <row r="302" spans="1:33" ht="37.5" customHeight="1">
      <c r="A302" s="1248" t="s">
        <v>237</v>
      </c>
      <c r="B302" s="274"/>
      <c r="C302" s="278"/>
      <c r="D302" s="1270"/>
      <c r="E302" s="1270"/>
      <c r="F302" s="1270"/>
      <c r="G302" s="1270"/>
      <c r="H302" s="1270"/>
      <c r="I302" s="1270"/>
      <c r="J302" s="273"/>
      <c r="K302" s="1248"/>
      <c r="L302" s="1269"/>
      <c r="M302" s="1270"/>
      <c r="N302" s="1268"/>
      <c r="O302" s="1271"/>
      <c r="P302" s="1268"/>
      <c r="Q302" s="1273">
        <f>Q303+Q313+Q325+Q342</f>
        <v>300000</v>
      </c>
      <c r="R302" s="1273">
        <f>+'[2]Compil Costing PPA 3 millions'!F8</f>
        <v>300000</v>
      </c>
      <c r="S302" s="1272">
        <f t="shared" ref="S302:AG302" si="52">S303+S313+S325+S342</f>
        <v>0</v>
      </c>
      <c r="T302" s="1272">
        <f t="shared" si="52"/>
        <v>1700</v>
      </c>
      <c r="U302" s="1272">
        <f t="shared" si="52"/>
        <v>17480</v>
      </c>
      <c r="V302" s="1272">
        <f t="shared" si="52"/>
        <v>64440</v>
      </c>
      <c r="W302" s="1272">
        <f t="shared" si="52"/>
        <v>10000</v>
      </c>
      <c r="X302" s="1337">
        <f t="shared" si="52"/>
        <v>64180</v>
      </c>
      <c r="Y302" s="1338">
        <f t="shared" si="52"/>
        <v>109800</v>
      </c>
      <c r="Z302" s="1071">
        <f t="shared" si="52"/>
        <v>11600</v>
      </c>
      <c r="AA302" s="1071">
        <f t="shared" si="52"/>
        <v>8600</v>
      </c>
      <c r="AB302" s="1071">
        <f t="shared" si="52"/>
        <v>500</v>
      </c>
      <c r="AC302" s="1071">
        <f t="shared" si="52"/>
        <v>500</v>
      </c>
      <c r="AD302" s="1071">
        <f t="shared" si="52"/>
        <v>10200</v>
      </c>
      <c r="AE302" s="1071">
        <f t="shared" si="52"/>
        <v>500</v>
      </c>
      <c r="AF302" s="1071">
        <f t="shared" si="52"/>
        <v>500</v>
      </c>
      <c r="AG302" s="1272">
        <f t="shared" si="52"/>
        <v>300000</v>
      </c>
    </row>
    <row r="303" spans="1:33" s="280" customFormat="1" ht="16.5" hidden="1" customHeight="1">
      <c r="A303" s="1324">
        <v>221</v>
      </c>
      <c r="B303" s="806" t="s">
        <v>238</v>
      </c>
      <c r="C303" s="1502"/>
      <c r="D303" s="1345"/>
      <c r="E303" s="1345"/>
      <c r="F303" s="1345"/>
      <c r="G303" s="1345"/>
      <c r="H303" s="1345"/>
      <c r="I303" s="1345"/>
      <c r="J303" s="635"/>
      <c r="K303" s="1296"/>
      <c r="L303" s="1347"/>
      <c r="M303" s="1348"/>
      <c r="N303" s="1297"/>
      <c r="O303" s="1349"/>
      <c r="P303" s="1346"/>
      <c r="Q303" s="2810">
        <f>SUM(Q304:Q312)</f>
        <v>42960</v>
      </c>
      <c r="R303" s="790"/>
      <c r="S303" s="1350">
        <f t="shared" ref="S303:AF303" si="53">SUM(S304:S312)</f>
        <v>0</v>
      </c>
      <c r="T303" s="1350">
        <f t="shared" si="53"/>
        <v>240</v>
      </c>
      <c r="U303" s="1350">
        <f t="shared" si="53"/>
        <v>0</v>
      </c>
      <c r="V303" s="1350">
        <f t="shared" si="53"/>
        <v>740</v>
      </c>
      <c r="W303" s="1350">
        <f t="shared" si="53"/>
        <v>0</v>
      </c>
      <c r="X303" s="1351">
        <f t="shared" si="53"/>
        <v>12480</v>
      </c>
      <c r="Y303" s="1352">
        <f t="shared" si="53"/>
        <v>10300</v>
      </c>
      <c r="Z303" s="1195">
        <f t="shared" si="53"/>
        <v>11100</v>
      </c>
      <c r="AA303" s="1195">
        <f t="shared" si="53"/>
        <v>8100</v>
      </c>
      <c r="AB303" s="1195">
        <f t="shared" si="53"/>
        <v>0</v>
      </c>
      <c r="AC303" s="1195">
        <f t="shared" si="53"/>
        <v>0</v>
      </c>
      <c r="AD303" s="1195">
        <f t="shared" si="53"/>
        <v>0</v>
      </c>
      <c r="AE303" s="1195">
        <f t="shared" si="53"/>
        <v>0</v>
      </c>
      <c r="AF303" s="1195">
        <f t="shared" si="53"/>
        <v>0</v>
      </c>
      <c r="AG303" s="1350">
        <f>SUM(S303:AF303)</f>
        <v>42960</v>
      </c>
    </row>
    <row r="304" spans="1:33" s="280" customFormat="1" hidden="1">
      <c r="A304" s="796">
        <v>2211</v>
      </c>
      <c r="B304" s="808" t="s">
        <v>845</v>
      </c>
      <c r="C304" s="793" t="s">
        <v>846</v>
      </c>
      <c r="D304" s="797"/>
      <c r="E304" s="796">
        <v>15</v>
      </c>
      <c r="F304" s="795">
        <v>43199</v>
      </c>
      <c r="G304" s="795">
        <f>+F304+E304</f>
        <v>43214</v>
      </c>
      <c r="H304" s="795" t="s">
        <v>368</v>
      </c>
      <c r="I304" s="796" t="s">
        <v>169</v>
      </c>
      <c r="J304" s="794" t="s">
        <v>174</v>
      </c>
      <c r="K304" s="805" t="s">
        <v>847</v>
      </c>
      <c r="L304" s="1240">
        <v>23173</v>
      </c>
      <c r="M304" s="780"/>
      <c r="N304" s="796" t="s">
        <v>366</v>
      </c>
      <c r="O304" s="1107">
        <v>80</v>
      </c>
      <c r="P304" s="796">
        <v>3</v>
      </c>
      <c r="Q304" s="800">
        <f>+P304*O304</f>
        <v>240</v>
      </c>
      <c r="R304" s="800"/>
      <c r="S304" s="799"/>
      <c r="T304" s="1107">
        <v>240</v>
      </c>
      <c r="U304" s="799"/>
      <c r="V304" s="799"/>
      <c r="W304" s="799"/>
      <c r="X304" s="1179"/>
      <c r="Y304" s="1154"/>
      <c r="Z304" s="1165"/>
      <c r="AA304" s="1165"/>
      <c r="AB304" s="1165"/>
      <c r="AC304" s="1152"/>
      <c r="AD304" s="1152"/>
      <c r="AE304" s="1152"/>
      <c r="AF304" s="1152"/>
      <c r="AG304" s="1282">
        <f t="shared" ref="AG304:AG312" si="54">SUM(S304:AF304)</f>
        <v>240</v>
      </c>
    </row>
    <row r="305" spans="1:33" s="280" customFormat="1" hidden="1">
      <c r="A305" s="796">
        <v>2211</v>
      </c>
      <c r="B305" s="808" t="s">
        <v>845</v>
      </c>
      <c r="C305" s="1503" t="s">
        <v>848</v>
      </c>
      <c r="D305" s="797" t="s">
        <v>849</v>
      </c>
      <c r="E305" s="796">
        <v>150</v>
      </c>
      <c r="F305" s="795">
        <f>+G304</f>
        <v>43214</v>
      </c>
      <c r="G305" s="795">
        <f>+G304+E305</f>
        <v>43364</v>
      </c>
      <c r="H305" s="795" t="s">
        <v>368</v>
      </c>
      <c r="I305" s="796" t="s">
        <v>174</v>
      </c>
      <c r="J305" s="794" t="s">
        <v>169</v>
      </c>
      <c r="K305" s="1543" t="s">
        <v>365</v>
      </c>
      <c r="L305" s="1240">
        <v>2313</v>
      </c>
      <c r="M305" s="780"/>
      <c r="N305" s="796" t="s">
        <v>366</v>
      </c>
      <c r="O305" s="1107">
        <v>27000</v>
      </c>
      <c r="P305" s="796">
        <v>1</v>
      </c>
      <c r="Q305" s="800">
        <f>+O305*P305</f>
        <v>27000</v>
      </c>
      <c r="R305" s="800"/>
      <c r="S305" s="799"/>
      <c r="T305" s="799"/>
      <c r="U305" s="799"/>
      <c r="V305" s="799"/>
      <c r="W305" s="315"/>
      <c r="X305" s="1137">
        <v>5400</v>
      </c>
      <c r="Y305" s="1126">
        <v>5400</v>
      </c>
      <c r="Z305" s="1126">
        <v>8100</v>
      </c>
      <c r="AA305" s="1165">
        <v>8100</v>
      </c>
      <c r="AB305" s="1165"/>
      <c r="AC305" s="1152"/>
      <c r="AD305" s="1152"/>
      <c r="AE305" s="1152"/>
      <c r="AF305" s="1152"/>
      <c r="AG305" s="1282">
        <f t="shared" si="54"/>
        <v>27000</v>
      </c>
    </row>
    <row r="306" spans="1:33" s="280" customFormat="1" hidden="1">
      <c r="A306" s="796">
        <v>2212</v>
      </c>
      <c r="B306" s="808" t="s">
        <v>850</v>
      </c>
      <c r="C306" s="793" t="s">
        <v>846</v>
      </c>
      <c r="D306" s="797"/>
      <c r="E306" s="796">
        <v>20</v>
      </c>
      <c r="F306" s="795">
        <v>43226</v>
      </c>
      <c r="G306" s="795">
        <v>43246</v>
      </c>
      <c r="H306" s="795" t="s">
        <v>368</v>
      </c>
      <c r="I306" s="796" t="s">
        <v>169</v>
      </c>
      <c r="J306" s="794" t="s">
        <v>174</v>
      </c>
      <c r="K306" s="805" t="s">
        <v>847</v>
      </c>
      <c r="L306" s="1240">
        <v>23173</v>
      </c>
      <c r="M306" s="780"/>
      <c r="N306" s="796" t="s">
        <v>366</v>
      </c>
      <c r="O306" s="1107">
        <v>80</v>
      </c>
      <c r="P306" s="796">
        <v>3</v>
      </c>
      <c r="Q306" s="800">
        <f t="shared" ref="Q306:Q312" si="55">O306*P306</f>
        <v>240</v>
      </c>
      <c r="R306" s="800"/>
      <c r="S306" s="799"/>
      <c r="T306" s="799"/>
      <c r="U306" s="799"/>
      <c r="V306" s="1107">
        <v>240</v>
      </c>
      <c r="W306" s="799"/>
      <c r="X306" s="1179"/>
      <c r="Y306" s="1154"/>
      <c r="Z306" s="1165"/>
      <c r="AA306" s="1165"/>
      <c r="AB306" s="1165"/>
      <c r="AC306" s="1152"/>
      <c r="AD306" s="1152"/>
      <c r="AE306" s="1152"/>
      <c r="AF306" s="1152"/>
      <c r="AG306" s="1282">
        <f t="shared" si="54"/>
        <v>240</v>
      </c>
    </row>
    <row r="307" spans="1:33" s="280" customFormat="1" hidden="1">
      <c r="A307" s="796">
        <v>2212</v>
      </c>
      <c r="B307" s="808" t="s">
        <v>851</v>
      </c>
      <c r="C307" s="1503" t="s">
        <v>852</v>
      </c>
      <c r="D307" s="797" t="s">
        <v>849</v>
      </c>
      <c r="E307" s="796">
        <v>95</v>
      </c>
      <c r="F307" s="795">
        <v>43249</v>
      </c>
      <c r="G307" s="795">
        <v>43341</v>
      </c>
      <c r="H307" s="795" t="s">
        <v>368</v>
      </c>
      <c r="I307" s="796" t="s">
        <v>174</v>
      </c>
      <c r="J307" s="794" t="s">
        <v>169</v>
      </c>
      <c r="K307" s="805" t="s">
        <v>365</v>
      </c>
      <c r="L307" s="1240">
        <v>2313</v>
      </c>
      <c r="M307" s="780"/>
      <c r="N307" s="796" t="s">
        <v>366</v>
      </c>
      <c r="O307" s="1353">
        <v>5000</v>
      </c>
      <c r="P307" s="797">
        <v>1</v>
      </c>
      <c r="Q307" s="2811">
        <f t="shared" si="55"/>
        <v>5000</v>
      </c>
      <c r="R307" s="800"/>
      <c r="S307" s="799"/>
      <c r="T307" s="799"/>
      <c r="U307" s="799"/>
      <c r="V307" s="1107">
        <v>500</v>
      </c>
      <c r="W307" s="799"/>
      <c r="X307" s="1179">
        <v>2000</v>
      </c>
      <c r="Y307" s="1154">
        <v>2500</v>
      </c>
      <c r="Z307" s="1165"/>
      <c r="AA307" s="1165"/>
      <c r="AB307" s="1165"/>
      <c r="AC307" s="1152"/>
      <c r="AD307" s="1152"/>
      <c r="AE307" s="1152"/>
      <c r="AF307" s="1152"/>
      <c r="AG307" s="1282">
        <f t="shared" si="54"/>
        <v>5000</v>
      </c>
    </row>
    <row r="308" spans="1:33" s="280" customFormat="1" hidden="1">
      <c r="A308" s="796">
        <v>2213</v>
      </c>
      <c r="B308" s="808" t="s">
        <v>853</v>
      </c>
      <c r="C308" s="793" t="s">
        <v>846</v>
      </c>
      <c r="D308" s="797"/>
      <c r="E308" s="796">
        <v>20</v>
      </c>
      <c r="F308" s="795">
        <v>43288</v>
      </c>
      <c r="G308" s="795">
        <v>43308</v>
      </c>
      <c r="H308" s="795" t="s">
        <v>368</v>
      </c>
      <c r="I308" s="796" t="s">
        <v>169</v>
      </c>
      <c r="J308" s="794" t="s">
        <v>174</v>
      </c>
      <c r="K308" s="805" t="s">
        <v>847</v>
      </c>
      <c r="L308" s="1240">
        <v>23173</v>
      </c>
      <c r="M308" s="780"/>
      <c r="N308" s="796" t="s">
        <v>366</v>
      </c>
      <c r="O308" s="1353">
        <v>80</v>
      </c>
      <c r="P308" s="797">
        <v>3</v>
      </c>
      <c r="Q308" s="2811">
        <f t="shared" si="55"/>
        <v>240</v>
      </c>
      <c r="R308" s="800"/>
      <c r="S308" s="799"/>
      <c r="T308" s="799"/>
      <c r="U308" s="799"/>
      <c r="V308" s="799"/>
      <c r="W308" s="799"/>
      <c r="X308" s="1179">
        <v>240</v>
      </c>
      <c r="Y308" s="1154"/>
      <c r="Z308" s="1165"/>
      <c r="AA308" s="1165"/>
      <c r="AB308" s="1165"/>
      <c r="AC308" s="1152"/>
      <c r="AD308" s="1152"/>
      <c r="AE308" s="1152"/>
      <c r="AF308" s="1152"/>
      <c r="AG308" s="1282">
        <f t="shared" si="54"/>
        <v>240</v>
      </c>
    </row>
    <row r="309" spans="1:33" s="280" customFormat="1" hidden="1">
      <c r="A309" s="796">
        <v>2213</v>
      </c>
      <c r="B309" s="808" t="s">
        <v>854</v>
      </c>
      <c r="C309" s="793" t="s">
        <v>367</v>
      </c>
      <c r="D309" s="797" t="s">
        <v>849</v>
      </c>
      <c r="E309" s="796">
        <v>95</v>
      </c>
      <c r="F309" s="795">
        <v>43309</v>
      </c>
      <c r="G309" s="795">
        <v>43403</v>
      </c>
      <c r="H309" s="795" t="s">
        <v>368</v>
      </c>
      <c r="I309" s="796" t="s">
        <v>174</v>
      </c>
      <c r="J309" s="794" t="s">
        <v>169</v>
      </c>
      <c r="K309" s="805" t="s">
        <v>365</v>
      </c>
      <c r="L309" s="1240">
        <v>2313</v>
      </c>
      <c r="M309" s="780"/>
      <c r="N309" s="796" t="s">
        <v>366</v>
      </c>
      <c r="O309" s="1353">
        <v>6000</v>
      </c>
      <c r="P309" s="797">
        <v>1</v>
      </c>
      <c r="Q309" s="2811">
        <f t="shared" si="55"/>
        <v>6000</v>
      </c>
      <c r="R309" s="800"/>
      <c r="S309" s="799"/>
      <c r="T309" s="799"/>
      <c r="U309" s="799"/>
      <c r="V309" s="799"/>
      <c r="W309" s="799"/>
      <c r="X309" s="1179">
        <v>600</v>
      </c>
      <c r="Y309" s="1154">
        <v>2400</v>
      </c>
      <c r="Z309" s="1165">
        <v>3000</v>
      </c>
      <c r="AA309" s="1165"/>
      <c r="AB309" s="1165"/>
      <c r="AC309" s="1152"/>
      <c r="AD309" s="1152"/>
      <c r="AE309" s="1152"/>
      <c r="AF309" s="1152"/>
      <c r="AG309" s="1282">
        <f t="shared" si="54"/>
        <v>6000</v>
      </c>
    </row>
    <row r="310" spans="1:33" s="280" customFormat="1" ht="47.25" hidden="1">
      <c r="A310" s="796">
        <v>2214</v>
      </c>
      <c r="B310" s="808" t="s">
        <v>855</v>
      </c>
      <c r="C310" s="793" t="s">
        <v>856</v>
      </c>
      <c r="D310" s="813"/>
      <c r="E310" s="796">
        <v>5</v>
      </c>
      <c r="F310" s="816">
        <v>43318</v>
      </c>
      <c r="G310" s="816">
        <v>43321</v>
      </c>
      <c r="H310" s="795" t="s">
        <v>368</v>
      </c>
      <c r="I310" s="796" t="s">
        <v>174</v>
      </c>
      <c r="J310" s="792" t="s">
        <v>169</v>
      </c>
      <c r="K310" s="805" t="s">
        <v>486</v>
      </c>
      <c r="L310" s="1240">
        <v>23173</v>
      </c>
      <c r="M310" s="780"/>
      <c r="N310" s="796" t="s">
        <v>366</v>
      </c>
      <c r="O310" s="1115">
        <v>343</v>
      </c>
      <c r="P310" s="797">
        <v>1</v>
      </c>
      <c r="Q310" s="800">
        <f t="shared" si="55"/>
        <v>343</v>
      </c>
      <c r="R310" s="800"/>
      <c r="S310" s="799"/>
      <c r="T310" s="799"/>
      <c r="U310" s="799"/>
      <c r="V310" s="799"/>
      <c r="W310" s="799"/>
      <c r="X310" s="1180">
        <v>343</v>
      </c>
      <c r="Y310" s="1154"/>
      <c r="Z310" s="1165"/>
      <c r="AA310" s="1165"/>
      <c r="AB310" s="1165"/>
      <c r="AC310" s="1152"/>
      <c r="AD310" s="1152"/>
      <c r="AE310" s="1152"/>
      <c r="AF310" s="1152"/>
      <c r="AG310" s="1282">
        <f t="shared" si="54"/>
        <v>343</v>
      </c>
    </row>
    <row r="311" spans="1:33" s="280" customFormat="1" ht="47.25" hidden="1">
      <c r="A311" s="796">
        <v>2214</v>
      </c>
      <c r="B311" s="808" t="s">
        <v>855</v>
      </c>
      <c r="C311" s="793" t="s">
        <v>856</v>
      </c>
      <c r="D311" s="813"/>
      <c r="E311" s="796">
        <v>5</v>
      </c>
      <c r="F311" s="816">
        <v>43318</v>
      </c>
      <c r="G311" s="816">
        <v>43321</v>
      </c>
      <c r="H311" s="795" t="s">
        <v>368</v>
      </c>
      <c r="I311" s="796" t="s">
        <v>169</v>
      </c>
      <c r="J311" s="792" t="s">
        <v>174</v>
      </c>
      <c r="K311" s="1544" t="s">
        <v>857</v>
      </c>
      <c r="L311" s="1241">
        <v>23174</v>
      </c>
      <c r="M311" s="296"/>
      <c r="N311" s="294"/>
      <c r="O311" s="1354">
        <v>3657</v>
      </c>
      <c r="P311" s="295">
        <v>1</v>
      </c>
      <c r="Q311" s="299">
        <f t="shared" si="55"/>
        <v>3657</v>
      </c>
      <c r="R311" s="299"/>
      <c r="S311" s="298"/>
      <c r="T311" s="298"/>
      <c r="U311" s="298"/>
      <c r="V311" s="298"/>
      <c r="W311" s="298"/>
      <c r="X311" s="1355">
        <v>3657</v>
      </c>
      <c r="Y311" s="1154"/>
      <c r="Z311" s="1165"/>
      <c r="AA311" s="1165"/>
      <c r="AB311" s="1165"/>
      <c r="AC311" s="1152"/>
      <c r="AD311" s="1152"/>
      <c r="AE311" s="1152"/>
      <c r="AF311" s="1152"/>
      <c r="AG311" s="1282">
        <f t="shared" si="54"/>
        <v>3657</v>
      </c>
    </row>
    <row r="312" spans="1:33" s="280" customFormat="1" hidden="1">
      <c r="A312" s="294">
        <v>2215</v>
      </c>
      <c r="B312" s="820" t="s">
        <v>858</v>
      </c>
      <c r="C312" s="291" t="s">
        <v>859</v>
      </c>
      <c r="D312" s="294" t="s">
        <v>514</v>
      </c>
      <c r="E312" s="295">
        <v>20</v>
      </c>
      <c r="F312" s="293">
        <v>43288</v>
      </c>
      <c r="G312" s="293">
        <v>43308</v>
      </c>
      <c r="H312" s="293" t="s">
        <v>368</v>
      </c>
      <c r="I312" s="294" t="s">
        <v>174</v>
      </c>
      <c r="J312" s="292" t="s">
        <v>169</v>
      </c>
      <c r="K312" s="326" t="s">
        <v>860</v>
      </c>
      <c r="L312" s="1241">
        <v>23173</v>
      </c>
      <c r="M312" s="296"/>
      <c r="N312" s="294"/>
      <c r="O312" s="1357">
        <v>80</v>
      </c>
      <c r="P312" s="295">
        <v>3</v>
      </c>
      <c r="Q312" s="854">
        <f t="shared" si="55"/>
        <v>240</v>
      </c>
      <c r="R312" s="299"/>
      <c r="S312" s="298"/>
      <c r="T312" s="298"/>
      <c r="U312" s="298"/>
      <c r="V312" s="298"/>
      <c r="W312" s="298"/>
      <c r="X312" s="1179">
        <v>240</v>
      </c>
      <c r="Y312" s="1154"/>
      <c r="Z312" s="1165"/>
      <c r="AA312" s="1165"/>
      <c r="AB312" s="1165"/>
      <c r="AC312" s="1152"/>
      <c r="AD312" s="1152"/>
      <c r="AE312" s="1152"/>
      <c r="AF312" s="1152"/>
      <c r="AG312" s="1282">
        <f t="shared" si="54"/>
        <v>240</v>
      </c>
    </row>
    <row r="313" spans="1:33" ht="33.75" hidden="1" customHeight="1">
      <c r="A313" s="1275">
        <v>222</v>
      </c>
      <c r="B313" s="508" t="s">
        <v>861</v>
      </c>
      <c r="C313" s="1559"/>
      <c r="D313" s="822"/>
      <c r="E313" s="822"/>
      <c r="F313" s="822"/>
      <c r="G313" s="822"/>
      <c r="H313" s="822"/>
      <c r="I313" s="822"/>
      <c r="J313" s="508"/>
      <c r="K313" s="1560"/>
      <c r="L313" s="1561"/>
      <c r="M313" s="822"/>
      <c r="N313" s="822"/>
      <c r="O313" s="1562"/>
      <c r="P313" s="822"/>
      <c r="Q313" s="2812">
        <f>SUM(Q314:Q324)</f>
        <v>24920.000000000004</v>
      </c>
      <c r="R313" s="2813"/>
      <c r="S313" s="1562">
        <f t="shared" ref="S313:AF313" si="56">SUM(S314:S324)</f>
        <v>0</v>
      </c>
      <c r="T313" s="1562">
        <f t="shared" si="56"/>
        <v>720</v>
      </c>
      <c r="U313" s="1562">
        <f t="shared" si="56"/>
        <v>500</v>
      </c>
      <c r="V313" s="1562">
        <f t="shared" si="56"/>
        <v>500</v>
      </c>
      <c r="W313" s="1562">
        <f t="shared" si="56"/>
        <v>9000</v>
      </c>
      <c r="X313" s="1562">
        <f t="shared" si="56"/>
        <v>500</v>
      </c>
      <c r="Y313" s="1562">
        <f t="shared" si="56"/>
        <v>500</v>
      </c>
      <c r="Z313" s="1563">
        <f t="shared" si="56"/>
        <v>500</v>
      </c>
      <c r="AA313" s="1563">
        <f t="shared" si="56"/>
        <v>500</v>
      </c>
      <c r="AB313" s="1563">
        <f t="shared" si="56"/>
        <v>500</v>
      </c>
      <c r="AC313" s="1563">
        <f t="shared" si="56"/>
        <v>500</v>
      </c>
      <c r="AD313" s="1563">
        <f t="shared" si="56"/>
        <v>10200</v>
      </c>
      <c r="AE313" s="1563">
        <f t="shared" si="56"/>
        <v>500</v>
      </c>
      <c r="AF313" s="1563">
        <f t="shared" si="56"/>
        <v>500</v>
      </c>
      <c r="AG313" s="1901">
        <f>SUM(S313:AF313)</f>
        <v>24920</v>
      </c>
    </row>
    <row r="314" spans="1:33" ht="45" hidden="1" customHeight="1">
      <c r="A314" s="294">
        <v>2221</v>
      </c>
      <c r="B314" s="291" t="s">
        <v>862</v>
      </c>
      <c r="C314" s="291" t="s">
        <v>846</v>
      </c>
      <c r="D314" s="821"/>
      <c r="E314" s="294">
        <v>20</v>
      </c>
      <c r="F314" s="293">
        <v>43199</v>
      </c>
      <c r="G314" s="293">
        <v>43219</v>
      </c>
      <c r="H314" s="293" t="s">
        <v>368</v>
      </c>
      <c r="I314" s="294" t="s">
        <v>169</v>
      </c>
      <c r="J314" s="307" t="s">
        <v>174</v>
      </c>
      <c r="K314" s="326" t="s">
        <v>847</v>
      </c>
      <c r="L314" s="1237">
        <v>23173</v>
      </c>
      <c r="M314" s="326"/>
      <c r="N314" s="294"/>
      <c r="O314" s="354">
        <v>80</v>
      </c>
      <c r="P314" s="294">
        <v>3</v>
      </c>
      <c r="Q314" s="299">
        <f t="shared" ref="Q314:Q324" si="57">O314*P314</f>
        <v>240</v>
      </c>
      <c r="R314" s="299"/>
      <c r="S314" s="355"/>
      <c r="T314" s="355">
        <v>240</v>
      </c>
      <c r="U314" s="355"/>
      <c r="V314" s="355"/>
      <c r="W314" s="355"/>
      <c r="X314" s="1137"/>
      <c r="Y314" s="1126"/>
      <c r="Z314" s="1124"/>
      <c r="AA314" s="1124"/>
      <c r="AB314" s="1124"/>
      <c r="AC314" s="1124"/>
      <c r="AD314" s="1124"/>
      <c r="AE314" s="1124"/>
      <c r="AF314" s="1124"/>
      <c r="AG314" s="1282">
        <f t="shared" ref="AG314:AG324" si="58">SUM(S314:AF314)</f>
        <v>240</v>
      </c>
    </row>
    <row r="315" spans="1:33" ht="72" hidden="1" customHeight="1">
      <c r="A315" s="294">
        <v>2221</v>
      </c>
      <c r="B315" s="291" t="s">
        <v>862</v>
      </c>
      <c r="C315" s="291" t="s">
        <v>863</v>
      </c>
      <c r="D315" s="821"/>
      <c r="E315" s="294">
        <f>56+365</f>
        <v>421</v>
      </c>
      <c r="F315" s="293">
        <v>43181</v>
      </c>
      <c r="G315" s="293">
        <v>43581</v>
      </c>
      <c r="H315" s="293" t="s">
        <v>368</v>
      </c>
      <c r="I315" s="294" t="s">
        <v>174</v>
      </c>
      <c r="J315" s="307" t="s">
        <v>169</v>
      </c>
      <c r="K315" s="326" t="s">
        <v>864</v>
      </c>
      <c r="L315" s="1237">
        <v>23171</v>
      </c>
      <c r="M315" s="326"/>
      <c r="N315" s="294"/>
      <c r="O315" s="354">
        <v>250</v>
      </c>
      <c r="P315" s="294">
        <v>12</v>
      </c>
      <c r="Q315" s="299">
        <f t="shared" si="57"/>
        <v>3000</v>
      </c>
      <c r="R315" s="299"/>
      <c r="S315" s="355"/>
      <c r="T315" s="355"/>
      <c r="U315" s="355">
        <v>250</v>
      </c>
      <c r="V315" s="355">
        <v>250</v>
      </c>
      <c r="W315" s="355">
        <v>250</v>
      </c>
      <c r="X315" s="1137">
        <v>250</v>
      </c>
      <c r="Y315" s="1126">
        <v>250</v>
      </c>
      <c r="Z315" s="1126">
        <v>250</v>
      </c>
      <c r="AA315" s="1126">
        <v>250</v>
      </c>
      <c r="AB315" s="1126">
        <v>250</v>
      </c>
      <c r="AC315" s="1126">
        <v>250</v>
      </c>
      <c r="AD315" s="1126">
        <v>250</v>
      </c>
      <c r="AE315" s="1126">
        <v>250</v>
      </c>
      <c r="AF315" s="1126">
        <v>250</v>
      </c>
      <c r="AG315" s="1282">
        <f t="shared" si="58"/>
        <v>3000</v>
      </c>
    </row>
    <row r="316" spans="1:33" ht="31.5" hidden="1">
      <c r="A316" s="294">
        <v>2222</v>
      </c>
      <c r="B316" s="291" t="s">
        <v>865</v>
      </c>
      <c r="C316" s="291" t="s">
        <v>846</v>
      </c>
      <c r="D316" s="821"/>
      <c r="E316" s="294">
        <v>20</v>
      </c>
      <c r="F316" s="293">
        <v>43199</v>
      </c>
      <c r="G316" s="293">
        <v>43219</v>
      </c>
      <c r="H316" s="293" t="s">
        <v>368</v>
      </c>
      <c r="I316" s="294" t="s">
        <v>169</v>
      </c>
      <c r="J316" s="307" t="s">
        <v>174</v>
      </c>
      <c r="K316" s="326" t="s">
        <v>847</v>
      </c>
      <c r="L316" s="1237">
        <v>23173</v>
      </c>
      <c r="M316" s="326"/>
      <c r="N316" s="294"/>
      <c r="O316" s="354">
        <v>80</v>
      </c>
      <c r="P316" s="294">
        <v>3</v>
      </c>
      <c r="Q316" s="299">
        <f t="shared" si="57"/>
        <v>240</v>
      </c>
      <c r="R316" s="299"/>
      <c r="S316" s="355"/>
      <c r="T316" s="355">
        <v>240</v>
      </c>
      <c r="U316" s="355"/>
      <c r="V316" s="355"/>
      <c r="W316" s="355"/>
      <c r="X316" s="1137"/>
      <c r="Y316" s="1126"/>
      <c r="Z316" s="1124"/>
      <c r="AA316" s="1124"/>
      <c r="AB316" s="1124"/>
      <c r="AC316" s="1124"/>
      <c r="AD316" s="1124"/>
      <c r="AE316" s="1124"/>
      <c r="AF316" s="1124"/>
      <c r="AG316" s="1282">
        <f t="shared" si="58"/>
        <v>240</v>
      </c>
    </row>
    <row r="317" spans="1:33" ht="31.5" hidden="1">
      <c r="A317" s="294">
        <v>2222</v>
      </c>
      <c r="B317" s="291" t="s">
        <v>865</v>
      </c>
      <c r="C317" s="291" t="s">
        <v>866</v>
      </c>
      <c r="D317" s="821"/>
      <c r="E317" s="294">
        <f>56+365</f>
        <v>421</v>
      </c>
      <c r="F317" s="293">
        <v>43181</v>
      </c>
      <c r="G317" s="293">
        <v>43581</v>
      </c>
      <c r="H317" s="293" t="s">
        <v>368</v>
      </c>
      <c r="I317" s="294" t="s">
        <v>174</v>
      </c>
      <c r="J317" s="307" t="s">
        <v>169</v>
      </c>
      <c r="K317" s="326" t="s">
        <v>864</v>
      </c>
      <c r="L317" s="1237">
        <v>23171</v>
      </c>
      <c r="M317" s="326"/>
      <c r="N317" s="294"/>
      <c r="O317" s="354">
        <v>250</v>
      </c>
      <c r="P317" s="294">
        <v>12</v>
      </c>
      <c r="Q317" s="299">
        <f t="shared" si="57"/>
        <v>3000</v>
      </c>
      <c r="R317" s="299"/>
      <c r="S317" s="355"/>
      <c r="T317" s="355"/>
      <c r="U317" s="355">
        <v>250</v>
      </c>
      <c r="V317" s="355">
        <v>250</v>
      </c>
      <c r="W317" s="355">
        <v>250</v>
      </c>
      <c r="X317" s="1137">
        <v>250</v>
      </c>
      <c r="Y317" s="1126">
        <v>250</v>
      </c>
      <c r="Z317" s="1126">
        <v>250</v>
      </c>
      <c r="AA317" s="1126">
        <v>250</v>
      </c>
      <c r="AB317" s="1126">
        <v>250</v>
      </c>
      <c r="AC317" s="1126">
        <v>250</v>
      </c>
      <c r="AD317" s="1126">
        <v>250</v>
      </c>
      <c r="AE317" s="1126">
        <v>250</v>
      </c>
      <c r="AF317" s="1126">
        <v>250</v>
      </c>
      <c r="AG317" s="1282">
        <f t="shared" si="58"/>
        <v>3000</v>
      </c>
    </row>
    <row r="318" spans="1:33" ht="31.5" hidden="1">
      <c r="A318" s="294">
        <v>2223</v>
      </c>
      <c r="B318" s="824" t="s">
        <v>99</v>
      </c>
      <c r="C318" s="291" t="s">
        <v>846</v>
      </c>
      <c r="D318" s="821"/>
      <c r="E318" s="294">
        <v>20</v>
      </c>
      <c r="F318" s="293">
        <v>43196</v>
      </c>
      <c r="G318" s="293">
        <v>43215</v>
      </c>
      <c r="H318" s="293" t="s">
        <v>368</v>
      </c>
      <c r="I318" s="294" t="s">
        <v>867</v>
      </c>
      <c r="J318" s="307" t="s">
        <v>169</v>
      </c>
      <c r="K318" s="326" t="s">
        <v>847</v>
      </c>
      <c r="L318" s="1237">
        <v>23173</v>
      </c>
      <c r="M318" s="326"/>
      <c r="N318" s="294"/>
      <c r="O318" s="354">
        <v>80</v>
      </c>
      <c r="P318" s="294">
        <v>3</v>
      </c>
      <c r="Q318" s="299">
        <f t="shared" si="57"/>
        <v>240</v>
      </c>
      <c r="R318" s="299"/>
      <c r="S318" s="355"/>
      <c r="T318" s="355">
        <v>240</v>
      </c>
      <c r="U318" s="355"/>
      <c r="V318" s="355"/>
      <c r="W318" s="355"/>
      <c r="X318" s="1137"/>
      <c r="Y318" s="1126"/>
      <c r="Z318" s="1124"/>
      <c r="AA318" s="1124"/>
      <c r="AB318" s="1124"/>
      <c r="AC318" s="1124"/>
      <c r="AD318" s="1124"/>
      <c r="AE318" s="1124"/>
      <c r="AF318" s="1124"/>
      <c r="AG318" s="1282">
        <f t="shared" si="58"/>
        <v>240</v>
      </c>
    </row>
    <row r="319" spans="1:33" ht="31.5" hidden="1">
      <c r="A319" s="294">
        <v>2223</v>
      </c>
      <c r="B319" s="824" t="s">
        <v>99</v>
      </c>
      <c r="C319" s="291" t="s">
        <v>868</v>
      </c>
      <c r="D319" s="821"/>
      <c r="E319" s="294">
        <v>2</v>
      </c>
      <c r="F319" s="293">
        <v>43279</v>
      </c>
      <c r="G319" s="293">
        <f>+F319+E319</f>
        <v>43281</v>
      </c>
      <c r="H319" s="293" t="s">
        <v>869</v>
      </c>
      <c r="I319" s="294" t="s">
        <v>174</v>
      </c>
      <c r="J319" s="306" t="s">
        <v>169</v>
      </c>
      <c r="K319" s="326" t="s">
        <v>365</v>
      </c>
      <c r="L319" s="1237">
        <v>2313</v>
      </c>
      <c r="M319" s="326"/>
      <c r="N319" s="294"/>
      <c r="O319" s="354">
        <v>2711.4</v>
      </c>
      <c r="P319" s="294">
        <v>1</v>
      </c>
      <c r="Q319" s="299">
        <f t="shared" si="57"/>
        <v>2711.4</v>
      </c>
      <c r="R319" s="299"/>
      <c r="S319" s="355"/>
      <c r="T319" s="355"/>
      <c r="U319" s="355"/>
      <c r="V319" s="355"/>
      <c r="W319" s="354">
        <v>2711.4</v>
      </c>
      <c r="X319" s="1137"/>
      <c r="Y319" s="1126"/>
      <c r="Z319" s="1124"/>
      <c r="AA319" s="1124"/>
      <c r="AB319" s="1124"/>
      <c r="AC319" s="1124"/>
      <c r="AD319" s="1124"/>
      <c r="AE319" s="1124"/>
      <c r="AF319" s="1124"/>
      <c r="AG319" s="1282">
        <f t="shared" si="58"/>
        <v>2711.4</v>
      </c>
    </row>
    <row r="320" spans="1:33" ht="31.5" hidden="1">
      <c r="A320" s="294">
        <v>2223</v>
      </c>
      <c r="B320" s="824" t="s">
        <v>99</v>
      </c>
      <c r="C320" s="291" t="s">
        <v>868</v>
      </c>
      <c r="D320" s="821"/>
      <c r="E320" s="294">
        <v>2</v>
      </c>
      <c r="F320" s="293">
        <v>43279</v>
      </c>
      <c r="G320" s="293">
        <f>+F320+E320</f>
        <v>43281</v>
      </c>
      <c r="H320" s="293" t="s">
        <v>869</v>
      </c>
      <c r="I320" s="293" t="s">
        <v>169</v>
      </c>
      <c r="J320" s="307" t="s">
        <v>174</v>
      </c>
      <c r="K320" s="326" t="s">
        <v>486</v>
      </c>
      <c r="L320" s="1237">
        <v>23173</v>
      </c>
      <c r="M320" s="326"/>
      <c r="N320" s="294"/>
      <c r="O320" s="354">
        <v>257.33</v>
      </c>
      <c r="P320" s="294">
        <v>1</v>
      </c>
      <c r="Q320" s="299">
        <f t="shared" si="57"/>
        <v>257.33</v>
      </c>
      <c r="R320" s="299"/>
      <c r="S320" s="355"/>
      <c r="T320" s="355"/>
      <c r="U320" s="355"/>
      <c r="V320" s="355"/>
      <c r="W320" s="354">
        <v>257.33</v>
      </c>
      <c r="X320" s="1137"/>
      <c r="Y320" s="1126"/>
      <c r="Z320" s="1124"/>
      <c r="AA320" s="1124"/>
      <c r="AB320" s="1124"/>
      <c r="AC320" s="1124"/>
      <c r="AD320" s="1124"/>
      <c r="AE320" s="1124"/>
      <c r="AF320" s="1124"/>
      <c r="AG320" s="1282">
        <f t="shared" si="58"/>
        <v>257.33</v>
      </c>
    </row>
    <row r="321" spans="1:33" ht="31.5" hidden="1">
      <c r="A321" s="294">
        <v>2223</v>
      </c>
      <c r="B321" s="824" t="s">
        <v>99</v>
      </c>
      <c r="C321" s="291" t="s">
        <v>868</v>
      </c>
      <c r="D321" s="821"/>
      <c r="E321" s="294">
        <v>2</v>
      </c>
      <c r="F321" s="293">
        <v>43279</v>
      </c>
      <c r="G321" s="293">
        <f>+F321+E321</f>
        <v>43281</v>
      </c>
      <c r="H321" s="293" t="s">
        <v>869</v>
      </c>
      <c r="I321" s="293" t="s">
        <v>169</v>
      </c>
      <c r="J321" s="307" t="s">
        <v>174</v>
      </c>
      <c r="K321" s="1544" t="s">
        <v>857</v>
      </c>
      <c r="L321" s="1237">
        <v>23174</v>
      </c>
      <c r="M321" s="326"/>
      <c r="N321" s="294"/>
      <c r="O321" s="354">
        <v>5531.27</v>
      </c>
      <c r="P321" s="294">
        <v>1</v>
      </c>
      <c r="Q321" s="299">
        <f t="shared" si="57"/>
        <v>5531.27</v>
      </c>
      <c r="R321" s="299"/>
      <c r="S321" s="355"/>
      <c r="T321" s="355"/>
      <c r="U321" s="355"/>
      <c r="V321" s="355"/>
      <c r="W321" s="354">
        <v>5531.27</v>
      </c>
      <c r="X321" s="1137"/>
      <c r="Y321" s="1126"/>
      <c r="Z321" s="1124"/>
      <c r="AA321" s="1124"/>
      <c r="AB321" s="1124"/>
      <c r="AC321" s="1124"/>
      <c r="AD321" s="1124"/>
      <c r="AE321" s="1124"/>
      <c r="AF321" s="1124"/>
      <c r="AG321" s="1282">
        <f t="shared" si="58"/>
        <v>5531.27</v>
      </c>
    </row>
    <row r="322" spans="1:33" ht="31.5" hidden="1">
      <c r="A322" s="294">
        <v>2224</v>
      </c>
      <c r="B322" s="824" t="s">
        <v>99</v>
      </c>
      <c r="C322" s="291" t="s">
        <v>870</v>
      </c>
      <c r="D322" s="821"/>
      <c r="E322" s="294">
        <v>2</v>
      </c>
      <c r="F322" s="293">
        <v>43500</v>
      </c>
      <c r="G322" s="293">
        <f>+F322+E322</f>
        <v>43502</v>
      </c>
      <c r="H322" s="293" t="s">
        <v>871</v>
      </c>
      <c r="I322" s="294" t="s">
        <v>174</v>
      </c>
      <c r="J322" s="306" t="s">
        <v>169</v>
      </c>
      <c r="K322" s="326" t="s">
        <v>365</v>
      </c>
      <c r="L322" s="1237">
        <v>2313</v>
      </c>
      <c r="M322" s="326"/>
      <c r="N322" s="294"/>
      <c r="O322" s="354">
        <v>2711.4</v>
      </c>
      <c r="P322" s="294">
        <v>1</v>
      </c>
      <c r="Q322" s="299">
        <f t="shared" si="57"/>
        <v>2711.4</v>
      </c>
      <c r="R322" s="299"/>
      <c r="S322" s="355"/>
      <c r="T322" s="355"/>
      <c r="U322" s="355"/>
      <c r="V322" s="355"/>
      <c r="W322" s="355"/>
      <c r="X322" s="1137"/>
      <c r="Y322" s="1126"/>
      <c r="Z322" s="1124"/>
      <c r="AA322" s="1124"/>
      <c r="AB322" s="1124"/>
      <c r="AC322" s="1124"/>
      <c r="AD322" s="355">
        <v>2711.4</v>
      </c>
      <c r="AE322" s="1124"/>
      <c r="AF322" s="1124"/>
      <c r="AG322" s="1282">
        <f t="shared" si="58"/>
        <v>2711.4</v>
      </c>
    </row>
    <row r="323" spans="1:33" ht="31.5" hidden="1">
      <c r="A323" s="294">
        <v>2224</v>
      </c>
      <c r="B323" s="824" t="s">
        <v>99</v>
      </c>
      <c r="C323" s="291" t="s">
        <v>870</v>
      </c>
      <c r="D323" s="821"/>
      <c r="E323" s="294">
        <v>2</v>
      </c>
      <c r="F323" s="293">
        <v>43500</v>
      </c>
      <c r="G323" s="293">
        <v>43502</v>
      </c>
      <c r="H323" s="293" t="s">
        <v>871</v>
      </c>
      <c r="I323" s="293" t="s">
        <v>169</v>
      </c>
      <c r="J323" s="307" t="s">
        <v>174</v>
      </c>
      <c r="K323" s="326" t="s">
        <v>486</v>
      </c>
      <c r="L323" s="1237">
        <v>23173</v>
      </c>
      <c r="M323" s="326"/>
      <c r="N323" s="294"/>
      <c r="O323" s="354">
        <v>431.33</v>
      </c>
      <c r="P323" s="294">
        <v>1</v>
      </c>
      <c r="Q323" s="299">
        <f t="shared" si="57"/>
        <v>431.33</v>
      </c>
      <c r="R323" s="299"/>
      <c r="S323" s="355"/>
      <c r="T323" s="355"/>
      <c r="U323" s="355"/>
      <c r="V323" s="355"/>
      <c r="W323" s="355"/>
      <c r="X323" s="1137"/>
      <c r="Y323" s="1126"/>
      <c r="Z323" s="1124"/>
      <c r="AA323" s="1124"/>
      <c r="AB323" s="1124"/>
      <c r="AC323" s="1124"/>
      <c r="AD323" s="355">
        <v>431.33</v>
      </c>
      <c r="AE323" s="1124"/>
      <c r="AF323" s="1124"/>
      <c r="AG323" s="1282">
        <f t="shared" si="58"/>
        <v>431.33</v>
      </c>
    </row>
    <row r="324" spans="1:33" ht="31.5" hidden="1">
      <c r="A324" s="294">
        <v>2224</v>
      </c>
      <c r="B324" s="824" t="s">
        <v>99</v>
      </c>
      <c r="C324" s="291" t="s">
        <v>870</v>
      </c>
      <c r="D324" s="821"/>
      <c r="E324" s="294">
        <v>2</v>
      </c>
      <c r="F324" s="293">
        <v>43500</v>
      </c>
      <c r="G324" s="293">
        <v>43502</v>
      </c>
      <c r="H324" s="293" t="s">
        <v>871</v>
      </c>
      <c r="I324" s="293" t="s">
        <v>169</v>
      </c>
      <c r="J324" s="307" t="s">
        <v>174</v>
      </c>
      <c r="K324" s="1544" t="s">
        <v>857</v>
      </c>
      <c r="L324" s="1237">
        <v>23174</v>
      </c>
      <c r="M324" s="326"/>
      <c r="N324" s="294"/>
      <c r="O324" s="354">
        <v>6557.27</v>
      </c>
      <c r="P324" s="294">
        <v>1</v>
      </c>
      <c r="Q324" s="299">
        <f t="shared" si="57"/>
        <v>6557.27</v>
      </c>
      <c r="R324" s="299"/>
      <c r="S324" s="355"/>
      <c r="T324" s="355"/>
      <c r="U324" s="355"/>
      <c r="V324" s="355"/>
      <c r="W324" s="355"/>
      <c r="X324" s="1137"/>
      <c r="Y324" s="1126"/>
      <c r="Z324" s="1124"/>
      <c r="AA324" s="1124"/>
      <c r="AB324" s="1124"/>
      <c r="AC324" s="1124"/>
      <c r="AD324" s="355">
        <v>6557.27</v>
      </c>
      <c r="AE324" s="1124"/>
      <c r="AF324" s="1124"/>
      <c r="AG324" s="1282">
        <f t="shared" si="58"/>
        <v>6557.27</v>
      </c>
    </row>
    <row r="325" spans="1:33" s="280" customFormat="1" ht="38.25" hidden="1" customHeight="1">
      <c r="A325" s="1275">
        <v>223</v>
      </c>
      <c r="B325" s="508" t="s">
        <v>872</v>
      </c>
      <c r="C325" s="1504"/>
      <c r="D325" s="1358"/>
      <c r="E325" s="1358"/>
      <c r="F325" s="1358"/>
      <c r="G325" s="1358"/>
      <c r="H325" s="1358"/>
      <c r="I325" s="1358"/>
      <c r="J325" s="523"/>
      <c r="K325" s="1560"/>
      <c r="L325" s="1359"/>
      <c r="M325" s="1358"/>
      <c r="N325" s="1358"/>
      <c r="O325" s="1360"/>
      <c r="P325" s="1358"/>
      <c r="Q325" s="2812">
        <f>SUM(Q326:Q341)</f>
        <v>209880</v>
      </c>
      <c r="R325" s="2814"/>
      <c r="S325" s="1562">
        <f t="shared" ref="S325:AF325" si="59">SUM(S326:S341)</f>
        <v>0</v>
      </c>
      <c r="T325" s="1562">
        <f t="shared" si="59"/>
        <v>740</v>
      </c>
      <c r="U325" s="1562">
        <f t="shared" si="59"/>
        <v>16740</v>
      </c>
      <c r="V325" s="1562">
        <f t="shared" si="59"/>
        <v>63200</v>
      </c>
      <c r="W325" s="1562">
        <f t="shared" si="59"/>
        <v>1000</v>
      </c>
      <c r="X325" s="1562">
        <f t="shared" si="59"/>
        <v>40200</v>
      </c>
      <c r="Y325" s="1562">
        <f t="shared" si="59"/>
        <v>88000</v>
      </c>
      <c r="Z325" s="1562">
        <f t="shared" si="59"/>
        <v>0</v>
      </c>
      <c r="AA325" s="1562">
        <f t="shared" si="59"/>
        <v>0</v>
      </c>
      <c r="AB325" s="1562">
        <f t="shared" si="59"/>
        <v>0</v>
      </c>
      <c r="AC325" s="1562">
        <f t="shared" si="59"/>
        <v>0</v>
      </c>
      <c r="AD325" s="1562">
        <f t="shared" si="59"/>
        <v>0</v>
      </c>
      <c r="AE325" s="1562">
        <f t="shared" si="59"/>
        <v>0</v>
      </c>
      <c r="AF325" s="1562">
        <f t="shared" si="59"/>
        <v>0</v>
      </c>
      <c r="AG325" s="1902">
        <f>SUM(S325:AF325)</f>
        <v>209880</v>
      </c>
    </row>
    <row r="326" spans="1:33" s="833" customFormat="1" ht="31.5" hidden="1">
      <c r="A326" s="294">
        <v>2231</v>
      </c>
      <c r="B326" s="820" t="s">
        <v>1027</v>
      </c>
      <c r="C326" s="291" t="s">
        <v>846</v>
      </c>
      <c r="D326" s="295" t="s">
        <v>849</v>
      </c>
      <c r="E326" s="294">
        <v>20</v>
      </c>
      <c r="F326" s="829">
        <v>43196</v>
      </c>
      <c r="G326" s="829">
        <v>43215</v>
      </c>
      <c r="H326" s="294" t="s">
        <v>368</v>
      </c>
      <c r="I326" s="294" t="s">
        <v>169</v>
      </c>
      <c r="J326" s="307" t="s">
        <v>174</v>
      </c>
      <c r="K326" s="326" t="s">
        <v>847</v>
      </c>
      <c r="L326" s="1241">
        <v>23173</v>
      </c>
      <c r="M326" s="830"/>
      <c r="N326" s="569"/>
      <c r="O326" s="355">
        <v>80</v>
      </c>
      <c r="P326" s="294">
        <v>3</v>
      </c>
      <c r="Q326" s="299">
        <f>O326*P326</f>
        <v>240</v>
      </c>
      <c r="R326" s="831"/>
      <c r="S326" s="494"/>
      <c r="T326" s="294">
        <v>240</v>
      </c>
      <c r="U326" s="494"/>
      <c r="V326" s="494"/>
      <c r="W326" s="494"/>
      <c r="X326" s="1181"/>
      <c r="Y326" s="1196"/>
      <c r="Z326" s="1155"/>
      <c r="AA326" s="1155"/>
      <c r="AB326" s="1155"/>
      <c r="AC326" s="1155"/>
      <c r="AD326" s="1155"/>
      <c r="AE326" s="1155"/>
      <c r="AF326" s="1155"/>
      <c r="AG326" s="1282">
        <f t="shared" ref="AG326:AG341" si="60">SUM(S326:AF326)</f>
        <v>240</v>
      </c>
    </row>
    <row r="327" spans="1:33" s="280" customFormat="1" ht="31.5" hidden="1">
      <c r="A327" s="294">
        <v>2231</v>
      </c>
      <c r="B327" s="820" t="s">
        <v>1027</v>
      </c>
      <c r="C327" s="291" t="s">
        <v>875</v>
      </c>
      <c r="D327" s="294" t="s">
        <v>849</v>
      </c>
      <c r="E327" s="294">
        <v>30</v>
      </c>
      <c r="F327" s="293">
        <v>43205</v>
      </c>
      <c r="G327" s="293">
        <v>43235</v>
      </c>
      <c r="H327" s="293" t="s">
        <v>368</v>
      </c>
      <c r="I327" s="294" t="s">
        <v>174</v>
      </c>
      <c r="J327" s="307" t="s">
        <v>169</v>
      </c>
      <c r="K327" s="326" t="s">
        <v>365</v>
      </c>
      <c r="L327" s="1237">
        <v>2313</v>
      </c>
      <c r="M327" s="296"/>
      <c r="N327" s="294"/>
      <c r="O327" s="355">
        <v>5000</v>
      </c>
      <c r="P327" s="294">
        <v>1</v>
      </c>
      <c r="Q327" s="299">
        <f>O327*P327</f>
        <v>5000</v>
      </c>
      <c r="R327" s="299"/>
      <c r="S327" s="298"/>
      <c r="T327" s="294">
        <v>500</v>
      </c>
      <c r="U327" s="294">
        <v>4500</v>
      </c>
      <c r="V327" s="298"/>
      <c r="W327" s="298"/>
      <c r="X327" s="1179"/>
      <c r="Y327" s="1154"/>
      <c r="Z327" s="1152"/>
      <c r="AA327" s="1152"/>
      <c r="AB327" s="1152"/>
      <c r="AC327" s="1152"/>
      <c r="AD327" s="1152"/>
      <c r="AE327" s="1152"/>
      <c r="AF327" s="1152"/>
      <c r="AG327" s="1282">
        <f t="shared" si="60"/>
        <v>5000</v>
      </c>
    </row>
    <row r="328" spans="1:33" s="280" customFormat="1" ht="31.5" hidden="1">
      <c r="A328" s="294">
        <v>2232</v>
      </c>
      <c r="B328" s="834" t="s">
        <v>1028</v>
      </c>
      <c r="C328" s="291" t="s">
        <v>878</v>
      </c>
      <c r="D328" s="821"/>
      <c r="E328" s="1363">
        <v>66</v>
      </c>
      <c r="F328" s="293">
        <v>43195</v>
      </c>
      <c r="G328" s="293">
        <f>F328+E328</f>
        <v>43261</v>
      </c>
      <c r="H328" s="293" t="s">
        <v>368</v>
      </c>
      <c r="I328" s="294" t="s">
        <v>169</v>
      </c>
      <c r="J328" s="307" t="s">
        <v>174</v>
      </c>
      <c r="K328" s="326" t="s">
        <v>879</v>
      </c>
      <c r="L328" s="1241">
        <v>2463</v>
      </c>
      <c r="M328" s="296"/>
      <c r="N328" s="294"/>
      <c r="O328" s="1357">
        <v>1500</v>
      </c>
      <c r="P328" s="295">
        <v>4</v>
      </c>
      <c r="Q328" s="854">
        <f>O328*P328</f>
        <v>6000</v>
      </c>
      <c r="R328" s="299"/>
      <c r="S328" s="298"/>
      <c r="T328" s="298"/>
      <c r="U328" s="298"/>
      <c r="V328" s="298">
        <v>6000</v>
      </c>
      <c r="W328" s="298"/>
      <c r="X328" s="1179"/>
      <c r="Y328" s="1154"/>
      <c r="Z328" s="1152"/>
      <c r="AA328" s="1152"/>
      <c r="AB328" s="1152"/>
      <c r="AC328" s="1152"/>
      <c r="AD328" s="1152"/>
      <c r="AE328" s="1152"/>
      <c r="AF328" s="1152"/>
      <c r="AG328" s="1282">
        <f t="shared" si="60"/>
        <v>6000</v>
      </c>
    </row>
    <row r="329" spans="1:33" s="280" customFormat="1" ht="31.5" hidden="1">
      <c r="A329" s="294">
        <v>2232</v>
      </c>
      <c r="B329" s="291" t="s">
        <v>1029</v>
      </c>
      <c r="C329" s="291" t="s">
        <v>881</v>
      </c>
      <c r="D329" s="821"/>
      <c r="E329" s="1363">
        <v>77</v>
      </c>
      <c r="F329" s="293">
        <v>43196</v>
      </c>
      <c r="G329" s="293">
        <f>F329+E329</f>
        <v>43273</v>
      </c>
      <c r="H329" s="293" t="s">
        <v>368</v>
      </c>
      <c r="I329" s="294" t="s">
        <v>169</v>
      </c>
      <c r="J329" s="307" t="s">
        <v>174</v>
      </c>
      <c r="K329" s="326" t="s">
        <v>320</v>
      </c>
      <c r="L329" s="1241">
        <v>23173</v>
      </c>
      <c r="M329" s="296"/>
      <c r="N329" s="294"/>
      <c r="O329" s="1357">
        <v>2000</v>
      </c>
      <c r="P329" s="295">
        <v>1</v>
      </c>
      <c r="Q329" s="854">
        <f>O329*P329</f>
        <v>2000</v>
      </c>
      <c r="R329" s="299"/>
      <c r="S329" s="298"/>
      <c r="T329" s="298"/>
      <c r="U329" s="298"/>
      <c r="V329" s="298">
        <v>2000</v>
      </c>
      <c r="W329" s="298"/>
      <c r="X329" s="1179"/>
      <c r="Y329" s="1154"/>
      <c r="Z329" s="1152"/>
      <c r="AA329" s="1152"/>
      <c r="AB329" s="1152"/>
      <c r="AC329" s="1152"/>
      <c r="AD329" s="1152"/>
      <c r="AE329" s="1152"/>
      <c r="AF329" s="1152"/>
      <c r="AG329" s="1282">
        <f t="shared" si="60"/>
        <v>2000</v>
      </c>
    </row>
    <row r="330" spans="1:33" s="280" customFormat="1" ht="31.5" hidden="1">
      <c r="A330" s="294">
        <v>2232</v>
      </c>
      <c r="B330" s="834" t="s">
        <v>1030</v>
      </c>
      <c r="C330" s="291" t="s">
        <v>883</v>
      </c>
      <c r="D330" s="821"/>
      <c r="E330" s="1363">
        <v>125</v>
      </c>
      <c r="F330" s="293">
        <v>43196</v>
      </c>
      <c r="G330" s="293">
        <f>F330+E330</f>
        <v>43321</v>
      </c>
      <c r="H330" s="293" t="s">
        <v>368</v>
      </c>
      <c r="I330" s="294" t="s">
        <v>169</v>
      </c>
      <c r="J330" s="307" t="s">
        <v>884</v>
      </c>
      <c r="K330" s="326" t="s">
        <v>879</v>
      </c>
      <c r="L330" s="1241">
        <v>2463</v>
      </c>
      <c r="M330" s="296"/>
      <c r="N330" s="294"/>
      <c r="O330" s="1357">
        <v>19200</v>
      </c>
      <c r="P330" s="295">
        <v>1</v>
      </c>
      <c r="Q330" s="854">
        <f>O330*P330</f>
        <v>19200</v>
      </c>
      <c r="R330" s="299"/>
      <c r="S330" s="298"/>
      <c r="T330" s="298"/>
      <c r="U330" s="298"/>
      <c r="V330" s="298"/>
      <c r="W330" s="298"/>
      <c r="X330" s="1179">
        <v>19200</v>
      </c>
      <c r="Y330" s="1154"/>
      <c r="Z330" s="1152"/>
      <c r="AA330" s="1152"/>
      <c r="AB330" s="1152"/>
      <c r="AC330" s="1152"/>
      <c r="AD330" s="1152"/>
      <c r="AE330" s="1152"/>
      <c r="AF330" s="1152"/>
      <c r="AG330" s="1282">
        <f t="shared" si="60"/>
        <v>19200</v>
      </c>
    </row>
    <row r="331" spans="1:33" s="280" customFormat="1" ht="31.5" hidden="1">
      <c r="A331" s="294">
        <v>2233</v>
      </c>
      <c r="B331" s="291" t="s">
        <v>1031</v>
      </c>
      <c r="C331" s="291" t="s">
        <v>887</v>
      </c>
      <c r="D331" s="357"/>
      <c r="E331" s="294">
        <v>1</v>
      </c>
      <c r="F331" s="293">
        <v>43235</v>
      </c>
      <c r="G331" s="293">
        <v>43235</v>
      </c>
      <c r="H331" s="293" t="s">
        <v>368</v>
      </c>
      <c r="I331" s="294" t="s">
        <v>867</v>
      </c>
      <c r="J331" s="307" t="s">
        <v>169</v>
      </c>
      <c r="K331" s="326" t="s">
        <v>320</v>
      </c>
      <c r="L331" s="1241">
        <v>23173</v>
      </c>
      <c r="N331" s="341"/>
      <c r="O331" s="1364">
        <v>3000</v>
      </c>
      <c r="P331" s="342">
        <v>1</v>
      </c>
      <c r="Q331" s="854">
        <f t="shared" ref="Q331:Q340" si="61">O331*P331</f>
        <v>3000</v>
      </c>
      <c r="R331" s="344"/>
      <c r="S331" s="315"/>
      <c r="T331" s="315"/>
      <c r="U331" s="298">
        <v>3000</v>
      </c>
      <c r="V331" s="1154"/>
      <c r="W331" s="1154"/>
      <c r="X331" s="1154"/>
      <c r="Y331" s="1154"/>
      <c r="Z331" s="1152"/>
      <c r="AA331" s="1152"/>
      <c r="AB331" s="1152"/>
      <c r="AC331" s="1152"/>
      <c r="AD331" s="1152"/>
      <c r="AE331" s="1152"/>
      <c r="AF331" s="1152"/>
      <c r="AG331" s="1282">
        <f t="shared" si="60"/>
        <v>3000</v>
      </c>
    </row>
    <row r="332" spans="1:33" s="280" customFormat="1" ht="31.5" hidden="1">
      <c r="A332" s="294">
        <v>2233</v>
      </c>
      <c r="B332" s="291" t="s">
        <v>1031</v>
      </c>
      <c r="C332" s="291" t="s">
        <v>887</v>
      </c>
      <c r="D332" s="821"/>
      <c r="E332" s="294">
        <v>1</v>
      </c>
      <c r="F332" s="293">
        <v>43235</v>
      </c>
      <c r="G332" s="293">
        <v>43235</v>
      </c>
      <c r="H332" s="293" t="s">
        <v>368</v>
      </c>
      <c r="I332" s="294" t="s">
        <v>169</v>
      </c>
      <c r="J332" s="307" t="s">
        <v>867</v>
      </c>
      <c r="K332" s="326" t="s">
        <v>888</v>
      </c>
      <c r="L332" s="1241">
        <v>23174</v>
      </c>
      <c r="M332" s="296"/>
      <c r="N332" s="294"/>
      <c r="O332" s="1357">
        <v>9000</v>
      </c>
      <c r="P332" s="342">
        <v>1</v>
      </c>
      <c r="Q332" s="854">
        <f t="shared" si="61"/>
        <v>9000</v>
      </c>
      <c r="R332" s="299"/>
      <c r="S332" s="298"/>
      <c r="T332" s="298"/>
      <c r="U332" s="298">
        <v>9000</v>
      </c>
      <c r="V332" s="298"/>
      <c r="W332" s="298"/>
      <c r="X332" s="1179"/>
      <c r="Y332" s="1154"/>
      <c r="Z332" s="1152"/>
      <c r="AA332" s="1152"/>
      <c r="AB332" s="1152"/>
      <c r="AC332" s="1152"/>
      <c r="AD332" s="1152"/>
      <c r="AE332" s="1152"/>
      <c r="AF332" s="1152"/>
      <c r="AG332" s="1282">
        <f t="shared" si="60"/>
        <v>9000</v>
      </c>
    </row>
    <row r="333" spans="1:33" s="280" customFormat="1" ht="31.5" hidden="1">
      <c r="A333" s="294">
        <v>2233</v>
      </c>
      <c r="B333" s="291" t="s">
        <v>1032</v>
      </c>
      <c r="C333" s="291" t="s">
        <v>846</v>
      </c>
      <c r="D333" s="294"/>
      <c r="E333" s="294">
        <v>20</v>
      </c>
      <c r="F333" s="293">
        <v>43235</v>
      </c>
      <c r="G333" s="293">
        <v>43256</v>
      </c>
      <c r="H333" s="293" t="s">
        <v>368</v>
      </c>
      <c r="I333" s="294" t="s">
        <v>867</v>
      </c>
      <c r="J333" s="307" t="s">
        <v>169</v>
      </c>
      <c r="K333" s="326" t="s">
        <v>847</v>
      </c>
      <c r="L333" s="1241">
        <v>23173</v>
      </c>
      <c r="M333" s="296"/>
      <c r="N333" s="294"/>
      <c r="O333" s="1357">
        <v>80</v>
      </c>
      <c r="P333" s="295">
        <v>3</v>
      </c>
      <c r="Q333" s="854">
        <f t="shared" si="61"/>
        <v>240</v>
      </c>
      <c r="R333" s="299"/>
      <c r="S333" s="298"/>
      <c r="T333" s="298"/>
      <c r="U333" s="298">
        <v>240</v>
      </c>
      <c r="V333" s="298"/>
      <c r="W333" s="298"/>
      <c r="X333" s="1179"/>
      <c r="Y333" s="1154"/>
      <c r="Z333" s="1152"/>
      <c r="AA333" s="1152"/>
      <c r="AB333" s="1152"/>
      <c r="AC333" s="1152"/>
      <c r="AD333" s="1152"/>
      <c r="AE333" s="1152"/>
      <c r="AF333" s="1152"/>
      <c r="AG333" s="1282">
        <f t="shared" si="60"/>
        <v>240</v>
      </c>
    </row>
    <row r="334" spans="1:33" s="280" customFormat="1" ht="31.5" hidden="1">
      <c r="A334" s="294">
        <v>2233</v>
      </c>
      <c r="B334" s="291" t="s">
        <v>1032</v>
      </c>
      <c r="C334" s="291" t="s">
        <v>890</v>
      </c>
      <c r="D334" s="821"/>
      <c r="E334" s="294">
        <v>66</v>
      </c>
      <c r="F334" s="293">
        <v>43257</v>
      </c>
      <c r="G334" s="293">
        <v>43278</v>
      </c>
      <c r="H334" s="293" t="s">
        <v>368</v>
      </c>
      <c r="I334" s="294" t="s">
        <v>867</v>
      </c>
      <c r="J334" s="307" t="s">
        <v>169</v>
      </c>
      <c r="K334" s="326" t="s">
        <v>302</v>
      </c>
      <c r="L334" s="1241">
        <v>23173</v>
      </c>
      <c r="M334" s="296"/>
      <c r="N334" s="294"/>
      <c r="O334" s="1357">
        <v>8000</v>
      </c>
      <c r="P334" s="295">
        <v>2</v>
      </c>
      <c r="Q334" s="854">
        <f t="shared" si="61"/>
        <v>16000</v>
      </c>
      <c r="R334" s="299"/>
      <c r="S334" s="298"/>
      <c r="T334" s="298"/>
      <c r="U334" s="298"/>
      <c r="V334" s="298">
        <v>16000</v>
      </c>
      <c r="W334" s="298"/>
      <c r="X334" s="1179"/>
      <c r="Y334" s="1154"/>
      <c r="Z334" s="1152"/>
      <c r="AA334" s="1152"/>
      <c r="AB334" s="1152"/>
      <c r="AC334" s="1152"/>
      <c r="AD334" s="1152"/>
      <c r="AE334" s="1152"/>
      <c r="AF334" s="1152"/>
      <c r="AG334" s="1282">
        <f t="shared" si="60"/>
        <v>16000</v>
      </c>
    </row>
    <row r="335" spans="1:33" s="280" customFormat="1" ht="31.5" hidden="1">
      <c r="A335" s="294">
        <v>2233</v>
      </c>
      <c r="B335" s="291" t="s">
        <v>1033</v>
      </c>
      <c r="C335" s="291" t="s">
        <v>892</v>
      </c>
      <c r="D335" s="821"/>
      <c r="E335" s="294">
        <v>6</v>
      </c>
      <c r="F335" s="293">
        <v>43241</v>
      </c>
      <c r="G335" s="293">
        <v>43246</v>
      </c>
      <c r="H335" s="293" t="s">
        <v>368</v>
      </c>
      <c r="I335" s="294" t="s">
        <v>867</v>
      </c>
      <c r="J335" s="307" t="s">
        <v>169</v>
      </c>
      <c r="K335" s="326" t="s">
        <v>486</v>
      </c>
      <c r="L335" s="1241">
        <v>23173</v>
      </c>
      <c r="M335" s="296"/>
      <c r="N335" s="294"/>
      <c r="O335" s="1357">
        <v>1081</v>
      </c>
      <c r="P335" s="295">
        <v>4</v>
      </c>
      <c r="Q335" s="854">
        <f t="shared" si="61"/>
        <v>4324</v>
      </c>
      <c r="R335" s="299"/>
      <c r="S335" s="298"/>
      <c r="T335" s="298"/>
      <c r="U335" s="298"/>
      <c r="V335" s="298">
        <v>4324</v>
      </c>
      <c r="W335" s="298"/>
      <c r="X335" s="1179"/>
      <c r="Y335" s="1154"/>
      <c r="Z335" s="1152"/>
      <c r="AA335" s="1152"/>
      <c r="AB335" s="1152"/>
      <c r="AC335" s="1152"/>
      <c r="AD335" s="1152"/>
      <c r="AE335" s="1152"/>
      <c r="AF335" s="1152"/>
      <c r="AG335" s="1282">
        <f t="shared" si="60"/>
        <v>4324</v>
      </c>
    </row>
    <row r="336" spans="1:33" s="280" customFormat="1" ht="31.5" hidden="1">
      <c r="A336" s="294">
        <v>2233</v>
      </c>
      <c r="B336" s="291" t="s">
        <v>1033</v>
      </c>
      <c r="C336" s="291" t="s">
        <v>892</v>
      </c>
      <c r="D336" s="821"/>
      <c r="E336" s="294">
        <v>6</v>
      </c>
      <c r="F336" s="293">
        <v>43241</v>
      </c>
      <c r="G336" s="293">
        <v>43246</v>
      </c>
      <c r="H336" s="293" t="s">
        <v>368</v>
      </c>
      <c r="I336" s="294" t="s">
        <v>169</v>
      </c>
      <c r="J336" s="307" t="s">
        <v>867</v>
      </c>
      <c r="K336" s="326" t="s">
        <v>888</v>
      </c>
      <c r="L336" s="1241">
        <v>23174</v>
      </c>
      <c r="M336" s="296"/>
      <c r="N336" s="294"/>
      <c r="O336" s="1357">
        <v>8659</v>
      </c>
      <c r="P336" s="295">
        <v>4</v>
      </c>
      <c r="Q336" s="854">
        <f t="shared" si="61"/>
        <v>34636</v>
      </c>
      <c r="R336" s="299"/>
      <c r="S336" s="298"/>
      <c r="T336" s="298"/>
      <c r="U336" s="298"/>
      <c r="V336" s="298">
        <v>34636</v>
      </c>
      <c r="W336" s="298"/>
      <c r="X336" s="1179"/>
      <c r="Y336" s="1154"/>
      <c r="Z336" s="1152"/>
      <c r="AA336" s="1152"/>
      <c r="AB336" s="1152"/>
      <c r="AC336" s="1152"/>
      <c r="AD336" s="1152"/>
      <c r="AE336" s="1152"/>
      <c r="AF336" s="1152"/>
      <c r="AG336" s="1282">
        <f t="shared" si="60"/>
        <v>34636</v>
      </c>
    </row>
    <row r="337" spans="1:33" s="280" customFormat="1" ht="31.5" hidden="1">
      <c r="A337" s="294">
        <v>2233</v>
      </c>
      <c r="B337" s="291" t="s">
        <v>1034</v>
      </c>
      <c r="C337" s="291" t="s">
        <v>894</v>
      </c>
      <c r="D337" s="821"/>
      <c r="E337" s="294">
        <v>2</v>
      </c>
      <c r="F337" s="293">
        <v>43283</v>
      </c>
      <c r="G337" s="293">
        <v>43284</v>
      </c>
      <c r="H337" s="293" t="s">
        <v>895</v>
      </c>
      <c r="I337" s="294" t="s">
        <v>169</v>
      </c>
      <c r="J337" s="307" t="s">
        <v>867</v>
      </c>
      <c r="K337" s="326" t="s">
        <v>896</v>
      </c>
      <c r="L337" s="1241">
        <v>23173</v>
      </c>
      <c r="M337" s="296"/>
      <c r="N337" s="294"/>
      <c r="O337" s="1357">
        <v>1000</v>
      </c>
      <c r="P337" s="295">
        <v>1</v>
      </c>
      <c r="Q337" s="854">
        <f t="shared" si="61"/>
        <v>1000</v>
      </c>
      <c r="R337" s="299"/>
      <c r="S337" s="298"/>
      <c r="T337" s="298"/>
      <c r="U337" s="298"/>
      <c r="V337" s="298"/>
      <c r="W337" s="298">
        <v>1000</v>
      </c>
      <c r="X337" s="1179"/>
      <c r="Y337" s="1154"/>
      <c r="Z337" s="1152"/>
      <c r="AA337" s="1152"/>
      <c r="AB337" s="1152"/>
      <c r="AC337" s="1152"/>
      <c r="AD337" s="1152"/>
      <c r="AE337" s="1152"/>
      <c r="AF337" s="1152"/>
      <c r="AG337" s="1282">
        <f t="shared" si="60"/>
        <v>1000</v>
      </c>
    </row>
    <row r="338" spans="1:33" s="280" customFormat="1" ht="43.5" hidden="1" customHeight="1">
      <c r="A338" s="294">
        <v>2233</v>
      </c>
      <c r="B338" s="291" t="s">
        <v>1035</v>
      </c>
      <c r="C338" s="291" t="s">
        <v>897</v>
      </c>
      <c r="D338" s="821"/>
      <c r="E338" s="294">
        <v>2</v>
      </c>
      <c r="F338" s="293">
        <v>43318</v>
      </c>
      <c r="G338" s="293">
        <v>43321</v>
      </c>
      <c r="H338" s="293" t="s">
        <v>895</v>
      </c>
      <c r="I338" s="294" t="s">
        <v>867</v>
      </c>
      <c r="J338" s="307" t="s">
        <v>169</v>
      </c>
      <c r="K338" s="326" t="s">
        <v>888</v>
      </c>
      <c r="L338" s="1241">
        <v>23174</v>
      </c>
      <c r="M338" s="296"/>
      <c r="N338" s="294"/>
      <c r="O338" s="1357">
        <v>1000</v>
      </c>
      <c r="P338" s="295">
        <v>20</v>
      </c>
      <c r="Q338" s="854">
        <f t="shared" si="61"/>
        <v>20000</v>
      </c>
      <c r="R338" s="299"/>
      <c r="S338" s="298"/>
      <c r="T338" s="298"/>
      <c r="U338" s="298"/>
      <c r="V338" s="298"/>
      <c r="W338" s="298"/>
      <c r="X338" s="1179">
        <v>20000</v>
      </c>
      <c r="Y338" s="1154"/>
      <c r="Z338" s="1152"/>
      <c r="AA338" s="1152"/>
      <c r="AB338" s="1152"/>
      <c r="AC338" s="1152"/>
      <c r="AD338" s="1152"/>
      <c r="AE338" s="1152"/>
      <c r="AF338" s="1152"/>
      <c r="AG338" s="1282">
        <f t="shared" si="60"/>
        <v>20000</v>
      </c>
    </row>
    <row r="339" spans="1:33" s="280" customFormat="1" ht="31.5" hidden="1">
      <c r="A339" s="294">
        <v>2233</v>
      </c>
      <c r="B339" s="291" t="s">
        <v>1036</v>
      </c>
      <c r="C339" s="291" t="s">
        <v>894</v>
      </c>
      <c r="D339" s="821"/>
      <c r="E339" s="294">
        <v>2</v>
      </c>
      <c r="F339" s="293" t="s">
        <v>899</v>
      </c>
      <c r="G339" s="293" t="s">
        <v>900</v>
      </c>
      <c r="H339" s="293" t="s">
        <v>895</v>
      </c>
      <c r="I339" s="294" t="s">
        <v>169</v>
      </c>
      <c r="J339" s="307" t="s">
        <v>867</v>
      </c>
      <c r="K339" s="326" t="s">
        <v>896</v>
      </c>
      <c r="L339" s="1241">
        <v>23173</v>
      </c>
      <c r="M339" s="296"/>
      <c r="N339" s="294"/>
      <c r="O339" s="1357">
        <v>1000</v>
      </c>
      <c r="P339" s="295">
        <v>1</v>
      </c>
      <c r="Q339" s="854">
        <f t="shared" si="61"/>
        <v>1000</v>
      </c>
      <c r="R339" s="299"/>
      <c r="S339" s="298"/>
      <c r="T339" s="298"/>
      <c r="U339" s="298"/>
      <c r="V339" s="298"/>
      <c r="W339" s="298"/>
      <c r="X339" s="1179">
        <v>1000</v>
      </c>
      <c r="Y339" s="1154"/>
      <c r="Z339" s="1152"/>
      <c r="AA339" s="1152"/>
      <c r="AB339" s="1152"/>
      <c r="AC339" s="1152"/>
      <c r="AD339" s="1152"/>
      <c r="AE339" s="1152"/>
      <c r="AF339" s="1152"/>
      <c r="AG339" s="1282">
        <f t="shared" si="60"/>
        <v>1000</v>
      </c>
    </row>
    <row r="340" spans="1:33" s="280" customFormat="1" ht="42.75" hidden="1" customHeight="1">
      <c r="A340" s="294">
        <v>2233</v>
      </c>
      <c r="B340" s="291" t="s">
        <v>1037</v>
      </c>
      <c r="C340" s="291" t="s">
        <v>901</v>
      </c>
      <c r="D340" s="821"/>
      <c r="E340" s="1363">
        <v>30</v>
      </c>
      <c r="F340" s="293" t="s">
        <v>902</v>
      </c>
      <c r="G340" s="293">
        <v>43359</v>
      </c>
      <c r="H340" s="293" t="s">
        <v>895</v>
      </c>
      <c r="I340" s="294" t="s">
        <v>867</v>
      </c>
      <c r="J340" s="307" t="s">
        <v>169</v>
      </c>
      <c r="K340" s="326" t="s">
        <v>888</v>
      </c>
      <c r="L340" s="1241">
        <v>23174</v>
      </c>
      <c r="M340" s="296"/>
      <c r="N340" s="294"/>
      <c r="O340" s="1357">
        <v>440</v>
      </c>
      <c r="P340" s="295">
        <v>200</v>
      </c>
      <c r="Q340" s="854">
        <f t="shared" si="61"/>
        <v>88000</v>
      </c>
      <c r="R340" s="299"/>
      <c r="S340" s="298"/>
      <c r="T340" s="298"/>
      <c r="U340" s="298"/>
      <c r="V340" s="298"/>
      <c r="W340" s="298"/>
      <c r="X340" s="1179"/>
      <c r="Y340" s="1154">
        <v>88000</v>
      </c>
      <c r="Z340" s="1152"/>
      <c r="AA340" s="1152"/>
      <c r="AB340" s="1152"/>
      <c r="AC340" s="1152"/>
      <c r="AD340" s="1152"/>
      <c r="AE340" s="1152"/>
      <c r="AF340" s="1152"/>
      <c r="AG340" s="1282">
        <f t="shared" si="60"/>
        <v>88000</v>
      </c>
    </row>
    <row r="341" spans="1:33" s="280" customFormat="1" ht="31.5" hidden="1">
      <c r="A341" s="294">
        <v>2234</v>
      </c>
      <c r="B341" s="820" t="s">
        <v>1038</v>
      </c>
      <c r="C341" s="291" t="s">
        <v>846</v>
      </c>
      <c r="D341" s="821"/>
      <c r="E341" s="295">
        <v>45</v>
      </c>
      <c r="F341" s="293">
        <v>43200</v>
      </c>
      <c r="G341" s="293">
        <v>43245</v>
      </c>
      <c r="H341" s="293" t="s">
        <v>368</v>
      </c>
      <c r="I341" s="294" t="s">
        <v>174</v>
      </c>
      <c r="J341" s="307" t="s">
        <v>169</v>
      </c>
      <c r="K341" s="326" t="s">
        <v>847</v>
      </c>
      <c r="L341" s="1241">
        <v>23173</v>
      </c>
      <c r="M341" s="296"/>
      <c r="N341" s="294"/>
      <c r="O341" s="355">
        <v>80</v>
      </c>
      <c r="P341" s="294">
        <v>3</v>
      </c>
      <c r="Q341" s="299">
        <f>O341*P341</f>
        <v>240</v>
      </c>
      <c r="R341" s="299"/>
      <c r="S341" s="298"/>
      <c r="T341" s="298"/>
      <c r="U341" s="298"/>
      <c r="V341" s="294">
        <v>240</v>
      </c>
      <c r="W341" s="298"/>
      <c r="X341" s="1179"/>
      <c r="Y341" s="1154"/>
      <c r="Z341" s="1152"/>
      <c r="AA341" s="1152"/>
      <c r="AB341" s="1152"/>
      <c r="AC341" s="1152"/>
      <c r="AD341" s="1152"/>
      <c r="AE341" s="1152"/>
      <c r="AF341" s="1152"/>
      <c r="AG341" s="1282">
        <f t="shared" si="60"/>
        <v>240</v>
      </c>
    </row>
    <row r="342" spans="1:33" s="280" customFormat="1" hidden="1">
      <c r="A342" s="1275">
        <v>224</v>
      </c>
      <c r="B342" s="823" t="s">
        <v>905</v>
      </c>
      <c r="C342" s="1506"/>
      <c r="D342" s="1365"/>
      <c r="E342" s="1365"/>
      <c r="F342" s="1365"/>
      <c r="G342" s="1365"/>
      <c r="H342" s="1365"/>
      <c r="I342" s="1366"/>
      <c r="J342" s="1489"/>
      <c r="K342" s="1001"/>
      <c r="L342" s="1242"/>
      <c r="M342" s="514"/>
      <c r="N342" s="512"/>
      <c r="O342" s="1367"/>
      <c r="P342" s="513"/>
      <c r="Q342" s="2815">
        <f>SUM(Q343:Q344)</f>
        <v>22240</v>
      </c>
      <c r="R342" s="1097"/>
      <c r="S342" s="548">
        <f t="shared" ref="S342:AF342" si="62">SUM(S343:S344)</f>
        <v>0</v>
      </c>
      <c r="T342" s="548">
        <f t="shared" si="62"/>
        <v>0</v>
      </c>
      <c r="U342" s="548">
        <f t="shared" si="62"/>
        <v>240</v>
      </c>
      <c r="V342" s="548">
        <f t="shared" si="62"/>
        <v>0</v>
      </c>
      <c r="W342" s="548">
        <f t="shared" si="62"/>
        <v>0</v>
      </c>
      <c r="X342" s="548">
        <f t="shared" si="62"/>
        <v>11000</v>
      </c>
      <c r="Y342" s="548">
        <f t="shared" si="62"/>
        <v>11000</v>
      </c>
      <c r="Z342" s="548">
        <f t="shared" si="62"/>
        <v>0</v>
      </c>
      <c r="AA342" s="548">
        <f t="shared" si="62"/>
        <v>0</v>
      </c>
      <c r="AB342" s="548">
        <f t="shared" si="62"/>
        <v>0</v>
      </c>
      <c r="AC342" s="548">
        <f t="shared" si="62"/>
        <v>0</v>
      </c>
      <c r="AD342" s="548">
        <f t="shared" si="62"/>
        <v>0</v>
      </c>
      <c r="AE342" s="548">
        <f t="shared" si="62"/>
        <v>0</v>
      </c>
      <c r="AF342" s="548">
        <f t="shared" si="62"/>
        <v>0</v>
      </c>
      <c r="AG342" s="548">
        <f>SUM(S342:AF342)</f>
        <v>22240</v>
      </c>
    </row>
    <row r="343" spans="1:33" s="280" customFormat="1" hidden="1">
      <c r="A343" s="294">
        <v>2241</v>
      </c>
      <c r="B343" s="291" t="s">
        <v>906</v>
      </c>
      <c r="C343" s="291" t="s">
        <v>907</v>
      </c>
      <c r="D343" s="821"/>
      <c r="E343" s="1363">
        <v>20</v>
      </c>
      <c r="F343" s="293">
        <v>43212</v>
      </c>
      <c r="G343" s="293">
        <v>43231</v>
      </c>
      <c r="H343" s="293" t="s">
        <v>368</v>
      </c>
      <c r="I343" s="294" t="s">
        <v>169</v>
      </c>
      <c r="J343" s="307" t="s">
        <v>174</v>
      </c>
      <c r="K343" s="326" t="s">
        <v>847</v>
      </c>
      <c r="L343" s="1241">
        <v>23173</v>
      </c>
      <c r="M343" s="296"/>
      <c r="N343" s="294"/>
      <c r="O343" s="1357">
        <v>80</v>
      </c>
      <c r="P343" s="295">
        <v>3</v>
      </c>
      <c r="Q343" s="854">
        <f>O343*P343</f>
        <v>240</v>
      </c>
      <c r="R343" s="299"/>
      <c r="S343" s="298"/>
      <c r="T343" s="298"/>
      <c r="U343" s="298">
        <v>240</v>
      </c>
      <c r="V343" s="315"/>
      <c r="W343" s="298"/>
      <c r="X343" s="1179"/>
      <c r="Y343" s="1154"/>
      <c r="Z343" s="1152"/>
      <c r="AA343" s="1152"/>
      <c r="AB343" s="1152"/>
      <c r="AC343" s="1152"/>
      <c r="AD343" s="1152"/>
      <c r="AE343" s="1152"/>
      <c r="AF343" s="1152"/>
      <c r="AG343" s="1282">
        <f>SUM(S343:AF343)</f>
        <v>240</v>
      </c>
    </row>
    <row r="344" spans="1:33" s="280" customFormat="1" ht="31.5" hidden="1">
      <c r="A344" s="294">
        <v>2241</v>
      </c>
      <c r="B344" s="291" t="s">
        <v>906</v>
      </c>
      <c r="C344" s="291" t="s">
        <v>908</v>
      </c>
      <c r="D344" s="821"/>
      <c r="E344" s="1363">
        <v>115</v>
      </c>
      <c r="F344" s="293">
        <v>43232</v>
      </c>
      <c r="G344" s="293">
        <v>43346</v>
      </c>
      <c r="H344" s="293" t="s">
        <v>368</v>
      </c>
      <c r="I344" s="294" t="s">
        <v>174</v>
      </c>
      <c r="J344" s="307" t="s">
        <v>169</v>
      </c>
      <c r="K344" s="326" t="s">
        <v>365</v>
      </c>
      <c r="L344" s="1237">
        <v>2313</v>
      </c>
      <c r="M344" s="296"/>
      <c r="N344" s="294"/>
      <c r="O344" s="1357">
        <v>22000</v>
      </c>
      <c r="P344" s="295">
        <v>1</v>
      </c>
      <c r="Q344" s="854">
        <f>O344*P344</f>
        <v>22000</v>
      </c>
      <c r="R344" s="299"/>
      <c r="S344" s="298"/>
      <c r="T344" s="298"/>
      <c r="U344" s="298"/>
      <c r="V344" s="298"/>
      <c r="W344" s="298"/>
      <c r="X344" s="1179">
        <v>11000</v>
      </c>
      <c r="Y344" s="1154">
        <v>11000</v>
      </c>
      <c r="Z344" s="1152"/>
      <c r="AA344" s="1152"/>
      <c r="AB344" s="1152"/>
      <c r="AC344" s="1152"/>
      <c r="AD344" s="1152"/>
      <c r="AE344" s="1152"/>
      <c r="AF344" s="1152"/>
      <c r="AG344" s="1282">
        <f>SUM(S344:AF344)</f>
        <v>22000</v>
      </c>
    </row>
    <row r="345" spans="1:33" ht="37.5" customHeight="1">
      <c r="A345" s="1248" t="s">
        <v>240</v>
      </c>
      <c r="B345" s="274"/>
      <c r="C345" s="278"/>
      <c r="D345" s="1270"/>
      <c r="E345" s="1270"/>
      <c r="F345" s="1270"/>
      <c r="G345" s="1270"/>
      <c r="H345" s="1270"/>
      <c r="I345" s="1270"/>
      <c r="J345" s="273"/>
      <c r="K345" s="1248"/>
      <c r="L345" s="1269"/>
      <c r="M345" s="1270"/>
      <c r="N345" s="1268"/>
      <c r="O345" s="1271"/>
      <c r="P345" s="1268"/>
      <c r="Q345" s="1273">
        <f>Q346+Q349+Q353+Q356+Q358</f>
        <v>88428.093760000003</v>
      </c>
      <c r="R345" s="1273">
        <v>88428.09</v>
      </c>
      <c r="S345" s="1272">
        <f t="shared" ref="S345:AF345" si="63">S346+S349+S353+S356+S358</f>
        <v>0</v>
      </c>
      <c r="T345" s="1272">
        <f t="shared" si="63"/>
        <v>0</v>
      </c>
      <c r="U345" s="1272">
        <f t="shared" si="63"/>
        <v>55613.093760000011</v>
      </c>
      <c r="V345" s="1272">
        <f t="shared" si="63"/>
        <v>32815</v>
      </c>
      <c r="W345" s="1272">
        <f t="shared" si="63"/>
        <v>0</v>
      </c>
      <c r="X345" s="1272">
        <f t="shared" si="63"/>
        <v>0</v>
      </c>
      <c r="Y345" s="1272">
        <f t="shared" si="63"/>
        <v>0</v>
      </c>
      <c r="Z345" s="276">
        <f t="shared" si="63"/>
        <v>0</v>
      </c>
      <c r="AA345" s="276">
        <f t="shared" si="63"/>
        <v>0</v>
      </c>
      <c r="AB345" s="276">
        <f t="shared" si="63"/>
        <v>0</v>
      </c>
      <c r="AC345" s="276">
        <f t="shared" si="63"/>
        <v>0</v>
      </c>
      <c r="AD345" s="276">
        <f t="shared" si="63"/>
        <v>0</v>
      </c>
      <c r="AE345" s="276">
        <f t="shared" si="63"/>
        <v>0</v>
      </c>
      <c r="AF345" s="276">
        <f t="shared" si="63"/>
        <v>0</v>
      </c>
      <c r="AG345" s="1272">
        <f>AG346+AG349+AG353+AG356+AG358</f>
        <v>88428.093760000003</v>
      </c>
    </row>
    <row r="346" spans="1:33" ht="16.5" hidden="1" customHeight="1">
      <c r="A346" s="1275">
        <v>231</v>
      </c>
      <c r="B346" s="359" t="s">
        <v>511</v>
      </c>
      <c r="C346" s="1021"/>
      <c r="D346" s="1280"/>
      <c r="E346" s="1280"/>
      <c r="F346" s="1280"/>
      <c r="G346" s="1280"/>
      <c r="H346" s="1280"/>
      <c r="I346" s="1280"/>
      <c r="J346" s="283"/>
      <c r="K346" s="1278"/>
      <c r="L346" s="1279"/>
      <c r="M346" s="1280"/>
      <c r="N346" s="1277"/>
      <c r="O346" s="1281"/>
      <c r="P346" s="1277"/>
      <c r="Q346" s="547">
        <f>SUM(Q347:Q348)</f>
        <v>45378.293760000008</v>
      </c>
      <c r="R346" s="287"/>
      <c r="S346" s="1282">
        <f t="shared" ref="S346:AF346" si="64">SUM(S347:S348)</f>
        <v>0</v>
      </c>
      <c r="T346" s="1282">
        <f t="shared" si="64"/>
        <v>0</v>
      </c>
      <c r="U346" s="1282">
        <f t="shared" si="64"/>
        <v>45378.293760000008</v>
      </c>
      <c r="V346" s="1282">
        <f t="shared" si="64"/>
        <v>0</v>
      </c>
      <c r="W346" s="1282">
        <f t="shared" si="64"/>
        <v>0</v>
      </c>
      <c r="X346" s="1282">
        <f t="shared" si="64"/>
        <v>0</v>
      </c>
      <c r="Y346" s="1282">
        <f t="shared" si="64"/>
        <v>0</v>
      </c>
      <c r="Z346" s="546">
        <f t="shared" si="64"/>
        <v>0</v>
      </c>
      <c r="AA346" s="546">
        <f t="shared" si="64"/>
        <v>0</v>
      </c>
      <c r="AB346" s="546">
        <f t="shared" si="64"/>
        <v>0</v>
      </c>
      <c r="AC346" s="546">
        <f t="shared" si="64"/>
        <v>0</v>
      </c>
      <c r="AD346" s="546">
        <f t="shared" si="64"/>
        <v>0</v>
      </c>
      <c r="AE346" s="546">
        <f t="shared" si="64"/>
        <v>0</v>
      </c>
      <c r="AF346" s="546">
        <f t="shared" si="64"/>
        <v>0</v>
      </c>
      <c r="AG346" s="1282">
        <f t="shared" ref="AG346:AG359" si="65">SUM(S346:AF346)</f>
        <v>45378.293760000008</v>
      </c>
    </row>
    <row r="347" spans="1:33" ht="31.5" hidden="1">
      <c r="A347" s="294">
        <v>2311</v>
      </c>
      <c r="B347" s="481" t="s">
        <v>512</v>
      </c>
      <c r="C347" s="1084" t="s">
        <v>513</v>
      </c>
      <c r="D347" s="506" t="s">
        <v>514</v>
      </c>
      <c r="E347" s="506">
        <v>150</v>
      </c>
      <c r="F347" s="1368">
        <v>43193</v>
      </c>
      <c r="G347" s="1368">
        <f>E347+F347</f>
        <v>43343</v>
      </c>
      <c r="H347" s="506" t="s">
        <v>515</v>
      </c>
      <c r="I347" s="506" t="s">
        <v>516</v>
      </c>
      <c r="J347" s="482" t="s">
        <v>517</v>
      </c>
      <c r="K347" s="1369" t="s">
        <v>518</v>
      </c>
      <c r="L347" s="1244">
        <v>23173</v>
      </c>
      <c r="M347" s="506"/>
      <c r="N347" s="506" t="s">
        <v>366</v>
      </c>
      <c r="O347" s="517">
        <v>0.12</v>
      </c>
      <c r="P347" s="486">
        <v>52301.824000000001</v>
      </c>
      <c r="Q347" s="486">
        <f>O347*P347</f>
        <v>6276.2188799999994</v>
      </c>
      <c r="R347" s="486"/>
      <c r="S347" s="487"/>
      <c r="T347" s="488"/>
      <c r="U347" s="487">
        <v>6276.2188799999994</v>
      </c>
      <c r="V347" s="487"/>
      <c r="W347" s="487"/>
      <c r="X347" s="1138"/>
      <c r="Y347" s="1156"/>
      <c r="Z347" s="1124"/>
      <c r="AA347" s="1124"/>
      <c r="AB347" s="1124"/>
      <c r="AC347" s="1124"/>
      <c r="AD347" s="1124"/>
      <c r="AE347" s="1124"/>
      <c r="AF347" s="1124"/>
      <c r="AG347" s="1282">
        <f t="shared" si="65"/>
        <v>6276.2188799999994</v>
      </c>
    </row>
    <row r="348" spans="1:33" ht="31.5" hidden="1">
      <c r="A348" s="294">
        <v>2312</v>
      </c>
      <c r="B348" s="481" t="s">
        <v>519</v>
      </c>
      <c r="C348" s="1084" t="s">
        <v>520</v>
      </c>
      <c r="D348" s="506" t="s">
        <v>514</v>
      </c>
      <c r="E348" s="506">
        <v>150</v>
      </c>
      <c r="F348" s="1368">
        <v>43193</v>
      </c>
      <c r="G348" s="1368">
        <f>E348+F348</f>
        <v>43343</v>
      </c>
      <c r="H348" s="506" t="s">
        <v>515</v>
      </c>
      <c r="I348" s="506" t="s">
        <v>516</v>
      </c>
      <c r="J348" s="482" t="s">
        <v>517</v>
      </c>
      <c r="K348" s="1369" t="s">
        <v>521</v>
      </c>
      <c r="L348" s="1244">
        <v>23173</v>
      </c>
      <c r="M348" s="1370"/>
      <c r="N348" s="506" t="s">
        <v>366</v>
      </c>
      <c r="O348" s="1371">
        <v>0.11</v>
      </c>
      <c r="P348" s="1372">
        <v>355473.40800000005</v>
      </c>
      <c r="Q348" s="486">
        <f>O348*P348</f>
        <v>39102.074880000007</v>
      </c>
      <c r="R348" s="486"/>
      <c r="S348" s="487"/>
      <c r="T348" s="488"/>
      <c r="U348" s="487">
        <v>39102.074880000007</v>
      </c>
      <c r="V348" s="487"/>
      <c r="W348" s="487"/>
      <c r="X348" s="1138"/>
      <c r="Y348" s="1156"/>
      <c r="Z348" s="1124"/>
      <c r="AA348" s="1124"/>
      <c r="AB348" s="1124"/>
      <c r="AC348" s="1124"/>
      <c r="AD348" s="1124"/>
      <c r="AE348" s="1124"/>
      <c r="AF348" s="1124"/>
      <c r="AG348" s="1282">
        <f t="shared" si="65"/>
        <v>39102.074880000007</v>
      </c>
    </row>
    <row r="349" spans="1:33" ht="31.5" hidden="1">
      <c r="A349" s="1275">
        <v>232</v>
      </c>
      <c r="B349" s="981" t="s">
        <v>522</v>
      </c>
      <c r="C349" s="1507"/>
      <c r="D349" s="1280"/>
      <c r="E349" s="1277"/>
      <c r="F349" s="1277"/>
      <c r="G349" s="1277"/>
      <c r="H349" s="1280"/>
      <c r="I349" s="1277"/>
      <c r="J349" s="283"/>
      <c r="K349" s="1278"/>
      <c r="L349" s="1279"/>
      <c r="M349" s="1280"/>
      <c r="N349" s="1277"/>
      <c r="O349" s="1281"/>
      <c r="P349" s="1277"/>
      <c r="Q349" s="547">
        <f>SUM(Q350:Q352)</f>
        <v>32475</v>
      </c>
      <c r="R349" s="287"/>
      <c r="S349" s="1282">
        <f t="shared" ref="S349:AF349" si="66">SUM(S350:S352)</f>
        <v>0</v>
      </c>
      <c r="T349" s="1282">
        <f t="shared" si="66"/>
        <v>0</v>
      </c>
      <c r="U349" s="1282">
        <f t="shared" si="66"/>
        <v>0</v>
      </c>
      <c r="V349" s="1282">
        <f t="shared" si="66"/>
        <v>32475</v>
      </c>
      <c r="W349" s="1282">
        <f t="shared" si="66"/>
        <v>0</v>
      </c>
      <c r="X349" s="1282">
        <f t="shared" si="66"/>
        <v>0</v>
      </c>
      <c r="Y349" s="1282">
        <f t="shared" si="66"/>
        <v>0</v>
      </c>
      <c r="Z349" s="546">
        <f t="shared" si="66"/>
        <v>0</v>
      </c>
      <c r="AA349" s="546">
        <f t="shared" si="66"/>
        <v>0</v>
      </c>
      <c r="AB349" s="546">
        <f t="shared" si="66"/>
        <v>0</v>
      </c>
      <c r="AC349" s="546">
        <f t="shared" si="66"/>
        <v>0</v>
      </c>
      <c r="AD349" s="546">
        <f t="shared" si="66"/>
        <v>0</v>
      </c>
      <c r="AE349" s="546">
        <f t="shared" si="66"/>
        <v>0</v>
      </c>
      <c r="AF349" s="546">
        <f t="shared" si="66"/>
        <v>0</v>
      </c>
      <c r="AG349" s="1282">
        <f t="shared" si="65"/>
        <v>32475</v>
      </c>
    </row>
    <row r="350" spans="1:33" ht="69" hidden="1" customHeight="1">
      <c r="A350" s="294">
        <v>2321</v>
      </c>
      <c r="B350" s="481" t="s">
        <v>523</v>
      </c>
      <c r="C350" s="1084" t="s">
        <v>524</v>
      </c>
      <c r="D350" s="506" t="s">
        <v>514</v>
      </c>
      <c r="E350" s="506">
        <v>56</v>
      </c>
      <c r="F350" s="1368">
        <v>43210</v>
      </c>
      <c r="G350" s="1368">
        <f>E350+F350</f>
        <v>43266</v>
      </c>
      <c r="H350" s="506" t="s">
        <v>525</v>
      </c>
      <c r="I350" s="506" t="s">
        <v>526</v>
      </c>
      <c r="J350" s="482" t="s">
        <v>526</v>
      </c>
      <c r="K350" s="1373" t="s">
        <v>527</v>
      </c>
      <c r="L350" s="1244">
        <v>23174</v>
      </c>
      <c r="M350" s="1370"/>
      <c r="N350" s="506" t="s">
        <v>366</v>
      </c>
      <c r="O350" s="1371">
        <v>2104</v>
      </c>
      <c r="P350" s="506">
        <v>12</v>
      </c>
      <c r="Q350" s="486">
        <f>O350*P350</f>
        <v>25248</v>
      </c>
      <c r="R350" s="486"/>
      <c r="S350" s="487"/>
      <c r="T350" s="487"/>
      <c r="U350" s="487"/>
      <c r="V350" s="488">
        <v>25248</v>
      </c>
      <c r="W350" s="487"/>
      <c r="X350" s="1138"/>
      <c r="Y350" s="1156"/>
      <c r="Z350" s="1124"/>
      <c r="AA350" s="1124"/>
      <c r="AB350" s="1124"/>
      <c r="AC350" s="1124"/>
      <c r="AD350" s="1124"/>
      <c r="AE350" s="1124"/>
      <c r="AF350" s="1124"/>
      <c r="AG350" s="1282">
        <f t="shared" si="65"/>
        <v>25248</v>
      </c>
    </row>
    <row r="351" spans="1:33" ht="47.25" hidden="1">
      <c r="A351" s="294">
        <v>2322</v>
      </c>
      <c r="B351" s="481" t="s">
        <v>523</v>
      </c>
      <c r="C351" s="1084" t="s">
        <v>528</v>
      </c>
      <c r="D351" s="506" t="s">
        <v>514</v>
      </c>
      <c r="E351" s="506">
        <v>56</v>
      </c>
      <c r="F351" s="1368">
        <v>43210</v>
      </c>
      <c r="G351" s="1368">
        <f>E351+F351</f>
        <v>43266</v>
      </c>
      <c r="H351" s="506" t="s">
        <v>529</v>
      </c>
      <c r="I351" s="506" t="s">
        <v>526</v>
      </c>
      <c r="J351" s="482" t="s">
        <v>295</v>
      </c>
      <c r="K351" s="1373" t="s">
        <v>530</v>
      </c>
      <c r="L351" s="1244">
        <v>23174</v>
      </c>
      <c r="M351" s="1370"/>
      <c r="N351" s="506" t="s">
        <v>366</v>
      </c>
      <c r="O351" s="1371">
        <v>6440</v>
      </c>
      <c r="P351" s="506">
        <v>1</v>
      </c>
      <c r="Q351" s="486">
        <f>O351*P351</f>
        <v>6440</v>
      </c>
      <c r="R351" s="486"/>
      <c r="S351" s="487"/>
      <c r="T351" s="487"/>
      <c r="U351" s="487"/>
      <c r="V351" s="488">
        <v>6440</v>
      </c>
      <c r="W351" s="487"/>
      <c r="X351" s="1138"/>
      <c r="Y351" s="1156"/>
      <c r="Z351" s="1124"/>
      <c r="AA351" s="1124"/>
      <c r="AB351" s="1124"/>
      <c r="AC351" s="1124"/>
      <c r="AD351" s="1124"/>
      <c r="AE351" s="1124"/>
      <c r="AF351" s="1124"/>
      <c r="AG351" s="1282">
        <f t="shared" si="65"/>
        <v>6440</v>
      </c>
    </row>
    <row r="352" spans="1:33" ht="47.25" hidden="1">
      <c r="A352" s="294">
        <v>2322</v>
      </c>
      <c r="B352" s="481" t="s">
        <v>523</v>
      </c>
      <c r="C352" s="1084" t="s">
        <v>531</v>
      </c>
      <c r="D352" s="506" t="s">
        <v>514</v>
      </c>
      <c r="E352" s="506">
        <v>56</v>
      </c>
      <c r="F352" s="1368">
        <v>43210</v>
      </c>
      <c r="G352" s="1368">
        <f>E352+F352</f>
        <v>43266</v>
      </c>
      <c r="H352" s="506" t="s">
        <v>529</v>
      </c>
      <c r="I352" s="506" t="s">
        <v>526</v>
      </c>
      <c r="J352" s="482" t="s">
        <v>532</v>
      </c>
      <c r="K352" s="1373" t="s">
        <v>533</v>
      </c>
      <c r="L352" s="1244">
        <v>23172</v>
      </c>
      <c r="M352" s="1370"/>
      <c r="N352" s="506" t="s">
        <v>366</v>
      </c>
      <c r="O352" s="1371">
        <v>787</v>
      </c>
      <c r="P352" s="506">
        <v>1</v>
      </c>
      <c r="Q352" s="486">
        <f>O352*P352</f>
        <v>787</v>
      </c>
      <c r="R352" s="486"/>
      <c r="S352" s="487"/>
      <c r="T352" s="487"/>
      <c r="U352" s="487"/>
      <c r="V352" s="488">
        <v>787</v>
      </c>
      <c r="W352" s="487"/>
      <c r="X352" s="1138"/>
      <c r="Y352" s="1156"/>
      <c r="Z352" s="1124"/>
      <c r="AA352" s="1124"/>
      <c r="AB352" s="1124"/>
      <c r="AC352" s="1124"/>
      <c r="AD352" s="1124"/>
      <c r="AE352" s="1124"/>
      <c r="AF352" s="1124"/>
      <c r="AG352" s="1282">
        <f t="shared" si="65"/>
        <v>787</v>
      </c>
    </row>
    <row r="353" spans="1:33" ht="16.5" hidden="1" customHeight="1">
      <c r="A353" s="1275">
        <v>233</v>
      </c>
      <c r="B353" s="981" t="s">
        <v>534</v>
      </c>
      <c r="C353" s="1507"/>
      <c r="D353" s="1277"/>
      <c r="E353" s="1277"/>
      <c r="F353" s="1277"/>
      <c r="G353" s="1277"/>
      <c r="H353" s="1280"/>
      <c r="I353" s="1277"/>
      <c r="J353" s="283"/>
      <c r="K353" s="1278"/>
      <c r="L353" s="1279"/>
      <c r="M353" s="1280"/>
      <c r="N353" s="1277"/>
      <c r="O353" s="1281"/>
      <c r="P353" s="1277"/>
      <c r="Q353" s="547">
        <f>SUM(Q354:Q355)</f>
        <v>3957.8</v>
      </c>
      <c r="R353" s="287"/>
      <c r="S353" s="1282">
        <f t="shared" ref="S353:AF353" si="67">SUM(S354:S355)</f>
        <v>0</v>
      </c>
      <c r="T353" s="1282">
        <f t="shared" si="67"/>
        <v>0</v>
      </c>
      <c r="U353" s="1282">
        <f t="shared" si="67"/>
        <v>3957.8</v>
      </c>
      <c r="V353" s="1282">
        <f t="shared" si="67"/>
        <v>0</v>
      </c>
      <c r="W353" s="1282">
        <f t="shared" si="67"/>
        <v>0</v>
      </c>
      <c r="X353" s="1282">
        <f t="shared" si="67"/>
        <v>0</v>
      </c>
      <c r="Y353" s="1282">
        <f t="shared" si="67"/>
        <v>0</v>
      </c>
      <c r="Z353" s="546">
        <f t="shared" si="67"/>
        <v>0</v>
      </c>
      <c r="AA353" s="546">
        <f t="shared" si="67"/>
        <v>0</v>
      </c>
      <c r="AB353" s="546">
        <f t="shared" si="67"/>
        <v>0</v>
      </c>
      <c r="AC353" s="546">
        <f t="shared" si="67"/>
        <v>0</v>
      </c>
      <c r="AD353" s="546">
        <f t="shared" si="67"/>
        <v>0</v>
      </c>
      <c r="AE353" s="546">
        <f t="shared" si="67"/>
        <v>0</v>
      </c>
      <c r="AF353" s="546">
        <f t="shared" si="67"/>
        <v>0</v>
      </c>
      <c r="AG353" s="1282">
        <f t="shared" si="65"/>
        <v>3957.8</v>
      </c>
    </row>
    <row r="354" spans="1:33" hidden="1">
      <c r="A354" s="294">
        <v>2331</v>
      </c>
      <c r="B354" s="481" t="s">
        <v>535</v>
      </c>
      <c r="C354" s="1084" t="s">
        <v>536</v>
      </c>
      <c r="D354" s="506" t="s">
        <v>514</v>
      </c>
      <c r="E354" s="506">
        <v>6</v>
      </c>
      <c r="F354" s="1374">
        <v>43233</v>
      </c>
      <c r="G354" s="1368">
        <f>E354+F354</f>
        <v>43239</v>
      </c>
      <c r="H354" s="506" t="s">
        <v>525</v>
      </c>
      <c r="I354" s="1375" t="s">
        <v>526</v>
      </c>
      <c r="J354" s="502" t="s">
        <v>537</v>
      </c>
      <c r="K354" s="1373" t="s">
        <v>527</v>
      </c>
      <c r="L354" s="1244">
        <v>23174</v>
      </c>
      <c r="M354" s="1376"/>
      <c r="N354" s="506" t="s">
        <v>366</v>
      </c>
      <c r="O354" s="1371">
        <v>3477.8</v>
      </c>
      <c r="P354" s="506">
        <v>1</v>
      </c>
      <c r="Q354" s="486">
        <f>O354*P354</f>
        <v>3477.8</v>
      </c>
      <c r="R354" s="486"/>
      <c r="S354" s="487"/>
      <c r="T354" s="487"/>
      <c r="U354" s="488">
        <v>3477.8</v>
      </c>
      <c r="V354" s="487"/>
      <c r="W354" s="487"/>
      <c r="X354" s="1138"/>
      <c r="Y354" s="1156"/>
      <c r="Z354" s="1156"/>
      <c r="AA354" s="1156"/>
      <c r="AB354" s="1156"/>
      <c r="AC354" s="1156"/>
      <c r="AD354" s="1156"/>
      <c r="AE354" s="1156"/>
      <c r="AF354" s="1156"/>
      <c r="AG354" s="1282">
        <f t="shared" si="65"/>
        <v>3477.8</v>
      </c>
    </row>
    <row r="355" spans="1:33" hidden="1">
      <c r="A355" s="294">
        <v>2332</v>
      </c>
      <c r="B355" s="481" t="s">
        <v>535</v>
      </c>
      <c r="C355" s="1084" t="s">
        <v>536</v>
      </c>
      <c r="D355" s="506" t="s">
        <v>514</v>
      </c>
      <c r="E355" s="506">
        <v>4</v>
      </c>
      <c r="F355" s="1374">
        <v>43234</v>
      </c>
      <c r="G355" s="1368">
        <f>E355+F355</f>
        <v>43238</v>
      </c>
      <c r="H355" s="506" t="s">
        <v>525</v>
      </c>
      <c r="I355" s="1375" t="s">
        <v>526</v>
      </c>
      <c r="J355" s="2266" t="s">
        <v>537</v>
      </c>
      <c r="K355" s="1705" t="s">
        <v>538</v>
      </c>
      <c r="L355" s="2267">
        <v>23172</v>
      </c>
      <c r="M355" s="1370"/>
      <c r="N355" s="506" t="s">
        <v>366</v>
      </c>
      <c r="O355" s="1371">
        <v>480</v>
      </c>
      <c r="P355" s="506">
        <v>1</v>
      </c>
      <c r="Q355" s="486">
        <f>O355*P355</f>
        <v>480</v>
      </c>
      <c r="R355" s="486"/>
      <c r="S355" s="487"/>
      <c r="T355" s="487"/>
      <c r="U355" s="488">
        <v>480</v>
      </c>
      <c r="V355" s="487"/>
      <c r="W355" s="487"/>
      <c r="X355" s="1138"/>
      <c r="Y355" s="1156"/>
      <c r="Z355" s="1156"/>
      <c r="AA355" s="1156"/>
      <c r="AB355" s="1156"/>
      <c r="AC355" s="1156"/>
      <c r="AD355" s="1156"/>
      <c r="AE355" s="1156"/>
      <c r="AF355" s="1156"/>
      <c r="AG355" s="1282">
        <f t="shared" si="65"/>
        <v>480</v>
      </c>
    </row>
    <row r="356" spans="1:33" ht="35.25" hidden="1" customHeight="1">
      <c r="A356" s="1275">
        <v>234</v>
      </c>
      <c r="B356" s="981" t="s">
        <v>539</v>
      </c>
      <c r="C356" s="1507"/>
      <c r="D356" s="1280"/>
      <c r="E356" s="1277"/>
      <c r="F356" s="1277"/>
      <c r="G356" s="1277"/>
      <c r="H356" s="1280"/>
      <c r="I356" s="1277"/>
      <c r="J356" s="283"/>
      <c r="K356" s="2181"/>
      <c r="L356" s="1279"/>
      <c r="M356" s="1280"/>
      <c r="N356" s="1277"/>
      <c r="O356" s="1281"/>
      <c r="P356" s="1277"/>
      <c r="Q356" s="547">
        <f>SUM(Q357)</f>
        <v>6277</v>
      </c>
      <c r="R356" s="287"/>
      <c r="S356" s="1282">
        <f t="shared" ref="S356:AF356" si="68">SUM(S357)</f>
        <v>0</v>
      </c>
      <c r="T356" s="1282">
        <f t="shared" si="68"/>
        <v>0</v>
      </c>
      <c r="U356" s="1282">
        <f t="shared" si="68"/>
        <v>6277</v>
      </c>
      <c r="V356" s="1282">
        <f t="shared" si="68"/>
        <v>0</v>
      </c>
      <c r="W356" s="1282">
        <f t="shared" si="68"/>
        <v>0</v>
      </c>
      <c r="X356" s="1282">
        <f t="shared" si="68"/>
        <v>0</v>
      </c>
      <c r="Y356" s="1282">
        <f t="shared" si="68"/>
        <v>0</v>
      </c>
      <c r="Z356" s="546">
        <f t="shared" si="68"/>
        <v>0</v>
      </c>
      <c r="AA356" s="546">
        <f t="shared" si="68"/>
        <v>0</v>
      </c>
      <c r="AB356" s="546">
        <f t="shared" si="68"/>
        <v>0</v>
      </c>
      <c r="AC356" s="546">
        <f t="shared" si="68"/>
        <v>0</v>
      </c>
      <c r="AD356" s="546">
        <f t="shared" si="68"/>
        <v>0</v>
      </c>
      <c r="AE356" s="546">
        <f t="shared" si="68"/>
        <v>0</v>
      </c>
      <c r="AF356" s="546">
        <f t="shared" si="68"/>
        <v>0</v>
      </c>
      <c r="AG356" s="1282">
        <f t="shared" si="65"/>
        <v>6277</v>
      </c>
    </row>
    <row r="357" spans="1:33" ht="47.25" hidden="1">
      <c r="A357" s="328">
        <v>2341</v>
      </c>
      <c r="B357" s="497" t="s">
        <v>540</v>
      </c>
      <c r="C357" s="1085" t="s">
        <v>541</v>
      </c>
      <c r="D357" s="1377" t="s">
        <v>542</v>
      </c>
      <c r="E357" s="1375">
        <v>135</v>
      </c>
      <c r="F357" s="1374">
        <v>43193</v>
      </c>
      <c r="G357" s="1374">
        <f>E357+F357</f>
        <v>43328</v>
      </c>
      <c r="H357" s="1375" t="s">
        <v>525</v>
      </c>
      <c r="I357" s="1375" t="s">
        <v>169</v>
      </c>
      <c r="J357" s="482" t="s">
        <v>526</v>
      </c>
      <c r="K357" s="1373" t="s">
        <v>543</v>
      </c>
      <c r="L357" s="1244">
        <v>2463</v>
      </c>
      <c r="M357" s="1370"/>
      <c r="N357" s="506" t="s">
        <v>366</v>
      </c>
      <c r="O357" s="1371">
        <v>6277</v>
      </c>
      <c r="P357" s="569">
        <v>1</v>
      </c>
      <c r="Q357" s="486">
        <f>O357*P357</f>
        <v>6277</v>
      </c>
      <c r="R357" s="486"/>
      <c r="S357" s="487"/>
      <c r="T357" s="488"/>
      <c r="U357" s="487">
        <v>6277</v>
      </c>
      <c r="V357" s="487"/>
      <c r="W357" s="487"/>
      <c r="X357" s="1138"/>
      <c r="Y357" s="1156"/>
      <c r="Z357" s="1156"/>
      <c r="AA357" s="1156"/>
      <c r="AB357" s="1156"/>
      <c r="AC357" s="1156"/>
      <c r="AD357" s="1156"/>
      <c r="AE357" s="1156"/>
      <c r="AF357" s="1156"/>
      <c r="AG357" s="1282">
        <f t="shared" si="65"/>
        <v>6277</v>
      </c>
    </row>
    <row r="358" spans="1:33" hidden="1">
      <c r="A358" s="1275">
        <v>235</v>
      </c>
      <c r="B358" s="981" t="s">
        <v>544</v>
      </c>
      <c r="C358" s="1508"/>
      <c r="D358" s="822"/>
      <c r="E358" s="1275"/>
      <c r="F358" s="511"/>
      <c r="G358" s="511"/>
      <c r="H358" s="511"/>
      <c r="I358" s="512"/>
      <c r="J358" s="1490"/>
      <c r="K358" s="1001"/>
      <c r="L358" s="1243"/>
      <c r="M358" s="1001"/>
      <c r="N358" s="512"/>
      <c r="O358" s="1002"/>
      <c r="P358" s="512"/>
      <c r="Q358" s="2816">
        <f>SUM(Q359)</f>
        <v>340</v>
      </c>
      <c r="R358" s="287"/>
      <c r="S358" s="1109">
        <f t="shared" ref="S358:AF358" si="69">SUM(S359)</f>
        <v>0</v>
      </c>
      <c r="T358" s="1109">
        <f t="shared" si="69"/>
        <v>0</v>
      </c>
      <c r="U358" s="1109">
        <f t="shared" si="69"/>
        <v>0</v>
      </c>
      <c r="V358" s="1109">
        <f t="shared" si="69"/>
        <v>340</v>
      </c>
      <c r="W358" s="1109">
        <f t="shared" si="69"/>
        <v>0</v>
      </c>
      <c r="X358" s="1109">
        <f t="shared" si="69"/>
        <v>0</v>
      </c>
      <c r="Y358" s="1109">
        <f t="shared" si="69"/>
        <v>0</v>
      </c>
      <c r="Z358" s="1109">
        <f t="shared" si="69"/>
        <v>0</v>
      </c>
      <c r="AA358" s="1109">
        <f t="shared" si="69"/>
        <v>0</v>
      </c>
      <c r="AB358" s="1109">
        <f t="shared" si="69"/>
        <v>0</v>
      </c>
      <c r="AC358" s="1109">
        <f t="shared" si="69"/>
        <v>0</v>
      </c>
      <c r="AD358" s="1109">
        <f t="shared" si="69"/>
        <v>0</v>
      </c>
      <c r="AE358" s="1109">
        <f t="shared" si="69"/>
        <v>0</v>
      </c>
      <c r="AF358" s="1109">
        <f t="shared" si="69"/>
        <v>0</v>
      </c>
      <c r="AG358" s="1282">
        <f t="shared" si="65"/>
        <v>340</v>
      </c>
    </row>
    <row r="359" spans="1:33" ht="31.5" hidden="1">
      <c r="A359" s="294">
        <v>2351</v>
      </c>
      <c r="B359" s="497" t="s">
        <v>545</v>
      </c>
      <c r="C359" s="1085" t="s">
        <v>546</v>
      </c>
      <c r="D359" s="506" t="s">
        <v>514</v>
      </c>
      <c r="E359" s="506">
        <v>70</v>
      </c>
      <c r="F359" s="1374">
        <v>43248</v>
      </c>
      <c r="G359" s="1374">
        <f>E359+F359</f>
        <v>43318</v>
      </c>
      <c r="H359" s="506" t="s">
        <v>529</v>
      </c>
      <c r="I359" s="1375" t="s">
        <v>169</v>
      </c>
      <c r="J359" s="482" t="s">
        <v>526</v>
      </c>
      <c r="K359" s="1369" t="s">
        <v>547</v>
      </c>
      <c r="L359" s="1244">
        <v>23173</v>
      </c>
      <c r="M359" s="326"/>
      <c r="N359" s="506" t="s">
        <v>366</v>
      </c>
      <c r="O359" s="517">
        <v>340</v>
      </c>
      <c r="P359" s="506">
        <v>1</v>
      </c>
      <c r="Q359" s="486">
        <f>O359*P359</f>
        <v>340</v>
      </c>
      <c r="R359" s="518"/>
      <c r="S359" s="487"/>
      <c r="T359" s="487"/>
      <c r="U359" s="488"/>
      <c r="V359" s="487">
        <v>340</v>
      </c>
      <c r="W359" s="487"/>
      <c r="X359" s="1138"/>
      <c r="Y359" s="1156"/>
      <c r="Z359" s="1156"/>
      <c r="AA359" s="1156"/>
      <c r="AB359" s="1156"/>
      <c r="AC359" s="1156"/>
      <c r="AD359" s="1156"/>
      <c r="AE359" s="1156"/>
      <c r="AF359" s="1156"/>
      <c r="AG359" s="1282">
        <f t="shared" si="65"/>
        <v>340</v>
      </c>
    </row>
    <row r="360" spans="1:33" ht="33.75" customHeight="1">
      <c r="A360" s="1815" t="s">
        <v>241</v>
      </c>
      <c r="B360" s="836"/>
      <c r="C360" s="1816"/>
      <c r="D360" s="1818"/>
      <c r="E360" s="1818"/>
      <c r="F360" s="1818"/>
      <c r="G360" s="1818"/>
      <c r="H360" s="1818"/>
      <c r="I360" s="1818"/>
      <c r="J360" s="835"/>
      <c r="K360" s="1815"/>
      <c r="L360" s="1817"/>
      <c r="M360" s="1818"/>
      <c r="N360" s="1819"/>
      <c r="O360" s="1820"/>
      <c r="P360" s="1819"/>
      <c r="Q360" s="1822">
        <f>Q361+Q392</f>
        <v>129720.37666666668</v>
      </c>
      <c r="R360" s="1822">
        <f>+R361+R392</f>
        <v>129240.07333333333</v>
      </c>
      <c r="S360" s="1821">
        <f t="shared" ref="S360:AG360" si="70">S361+S392</f>
        <v>0</v>
      </c>
      <c r="T360" s="1821">
        <f t="shared" si="70"/>
        <v>0</v>
      </c>
      <c r="U360" s="1821">
        <f t="shared" si="70"/>
        <v>6219</v>
      </c>
      <c r="V360" s="1821">
        <f t="shared" si="70"/>
        <v>7696.0000000000009</v>
      </c>
      <c r="W360" s="1821">
        <f t="shared" si="70"/>
        <v>56065.666666666672</v>
      </c>
      <c r="X360" s="1821">
        <f t="shared" si="70"/>
        <v>37073.043333333335</v>
      </c>
      <c r="Y360" s="1821">
        <f t="shared" si="70"/>
        <v>0</v>
      </c>
      <c r="Z360" s="838">
        <f t="shared" si="70"/>
        <v>22666.666666666668</v>
      </c>
      <c r="AA360" s="838">
        <f t="shared" si="70"/>
        <v>0</v>
      </c>
      <c r="AB360" s="838">
        <f t="shared" si="70"/>
        <v>0</v>
      </c>
      <c r="AC360" s="838">
        <f t="shared" si="70"/>
        <v>0</v>
      </c>
      <c r="AD360" s="838">
        <f t="shared" si="70"/>
        <v>0</v>
      </c>
      <c r="AE360" s="838">
        <f t="shared" si="70"/>
        <v>0</v>
      </c>
      <c r="AF360" s="838">
        <f t="shared" si="70"/>
        <v>0</v>
      </c>
      <c r="AG360" s="1821">
        <f t="shared" si="70"/>
        <v>129720.37666666668</v>
      </c>
    </row>
    <row r="361" spans="1:33" ht="24.75" customHeight="1">
      <c r="A361" s="1248" t="s">
        <v>242</v>
      </c>
      <c r="B361" s="274"/>
      <c r="C361" s="278"/>
      <c r="D361" s="1270"/>
      <c r="E361" s="1270"/>
      <c r="F361" s="1270"/>
      <c r="G361" s="1270"/>
      <c r="H361" s="1270"/>
      <c r="I361" s="1270"/>
      <c r="J361" s="273"/>
      <c r="K361" s="1248"/>
      <c r="L361" s="1269"/>
      <c r="M361" s="1270"/>
      <c r="N361" s="1268"/>
      <c r="O361" s="1271"/>
      <c r="P361" s="1268"/>
      <c r="Q361" s="1273">
        <f>+Q362</f>
        <v>29720.666666666668</v>
      </c>
      <c r="R361" s="1273">
        <f>+'[3]Compil Costing PPA 3 millions'!F11</f>
        <v>29240.073333333334</v>
      </c>
      <c r="S361" s="1272">
        <f t="shared" ref="S361:AF361" si="71">+S362</f>
        <v>0</v>
      </c>
      <c r="T361" s="1272">
        <f t="shared" si="71"/>
        <v>0</v>
      </c>
      <c r="U361" s="1272">
        <f t="shared" si="71"/>
        <v>6219</v>
      </c>
      <c r="V361" s="1272">
        <f t="shared" si="71"/>
        <v>7696.0000000000009</v>
      </c>
      <c r="W361" s="1272">
        <f t="shared" si="71"/>
        <v>5028.0000000000009</v>
      </c>
      <c r="X361" s="1272">
        <f t="shared" si="71"/>
        <v>10777.666666666666</v>
      </c>
      <c r="Y361" s="1272">
        <f t="shared" si="71"/>
        <v>0</v>
      </c>
      <c r="Z361" s="276">
        <f t="shared" si="71"/>
        <v>0</v>
      </c>
      <c r="AA361" s="276">
        <f t="shared" si="71"/>
        <v>0</v>
      </c>
      <c r="AB361" s="276">
        <f t="shared" si="71"/>
        <v>0</v>
      </c>
      <c r="AC361" s="276">
        <f t="shared" si="71"/>
        <v>0</v>
      </c>
      <c r="AD361" s="276">
        <f t="shared" si="71"/>
        <v>0</v>
      </c>
      <c r="AE361" s="276">
        <f t="shared" si="71"/>
        <v>0</v>
      </c>
      <c r="AF361" s="276">
        <f t="shared" si="71"/>
        <v>0</v>
      </c>
      <c r="AG361" s="1272">
        <f>+AG362</f>
        <v>29720.666666666664</v>
      </c>
    </row>
    <row r="362" spans="1:33" s="1725" customFormat="1" ht="31.5" hidden="1">
      <c r="A362" s="1790">
        <v>311</v>
      </c>
      <c r="B362" s="1791" t="s">
        <v>243</v>
      </c>
      <c r="C362" s="1792"/>
      <c r="D362" s="1793"/>
      <c r="E362" s="1794"/>
      <c r="F362" s="1794"/>
      <c r="G362" s="1794"/>
      <c r="H362" s="1793"/>
      <c r="I362" s="1794"/>
      <c r="J362" s="1795"/>
      <c r="K362" s="1796"/>
      <c r="L362" s="1797"/>
      <c r="M362" s="1793"/>
      <c r="N362" s="1794"/>
      <c r="O362" s="1885"/>
      <c r="P362" s="1886"/>
      <c r="Q362" s="2817">
        <f>SUM(Q363:Q391)</f>
        <v>29720.666666666668</v>
      </c>
      <c r="R362" s="2818"/>
      <c r="S362" s="1798">
        <f t="shared" ref="S362:AF362" si="72">SUM(S363:S391)</f>
        <v>0</v>
      </c>
      <c r="T362" s="1798">
        <f t="shared" si="72"/>
        <v>0</v>
      </c>
      <c r="U362" s="1798">
        <f t="shared" si="72"/>
        <v>6219</v>
      </c>
      <c r="V362" s="1798">
        <f t="shared" si="72"/>
        <v>7696.0000000000009</v>
      </c>
      <c r="W362" s="1798">
        <f t="shared" si="72"/>
        <v>5028.0000000000009</v>
      </c>
      <c r="X362" s="1798">
        <f t="shared" si="72"/>
        <v>10777.666666666666</v>
      </c>
      <c r="Y362" s="1798">
        <f t="shared" si="72"/>
        <v>0</v>
      </c>
      <c r="Z362" s="1800">
        <f t="shared" si="72"/>
        <v>0</v>
      </c>
      <c r="AA362" s="1800">
        <f t="shared" si="72"/>
        <v>0</v>
      </c>
      <c r="AB362" s="1800">
        <f t="shared" si="72"/>
        <v>0</v>
      </c>
      <c r="AC362" s="1800">
        <f t="shared" si="72"/>
        <v>0</v>
      </c>
      <c r="AD362" s="1800">
        <f t="shared" si="72"/>
        <v>0</v>
      </c>
      <c r="AE362" s="1800">
        <f t="shared" si="72"/>
        <v>0</v>
      </c>
      <c r="AF362" s="1800">
        <f t="shared" si="72"/>
        <v>0</v>
      </c>
      <c r="AG362" s="1887">
        <f>SUM(S362:AF362)</f>
        <v>29720.666666666664</v>
      </c>
    </row>
    <row r="363" spans="1:33" s="1725" customFormat="1" ht="57" hidden="1" customHeight="1">
      <c r="A363" s="1839">
        <v>3111</v>
      </c>
      <c r="B363" s="1889" t="s">
        <v>244</v>
      </c>
      <c r="C363" s="1840" t="s">
        <v>245</v>
      </c>
      <c r="D363" s="1890" t="s">
        <v>246</v>
      </c>
      <c r="E363" s="1802">
        <f>70+55</f>
        <v>125</v>
      </c>
      <c r="F363" s="1801">
        <v>43193</v>
      </c>
      <c r="G363" s="1801">
        <f>+F363+E363</f>
        <v>43318</v>
      </c>
      <c r="H363" s="1802" t="s">
        <v>247</v>
      </c>
      <c r="I363" s="1802" t="s">
        <v>176</v>
      </c>
      <c r="J363" s="1803" t="s">
        <v>169</v>
      </c>
      <c r="K363" s="1544" t="s">
        <v>248</v>
      </c>
      <c r="L363" s="1804">
        <v>2313</v>
      </c>
      <c r="M363" s="1544"/>
      <c r="N363" s="1883">
        <v>2313</v>
      </c>
      <c r="O363" s="1737">
        <v>10643</v>
      </c>
      <c r="P363" s="1736">
        <v>1</v>
      </c>
      <c r="Q363" s="2819">
        <f>O363*P363</f>
        <v>10643</v>
      </c>
      <c r="R363" s="2820"/>
      <c r="S363" s="1806"/>
      <c r="T363" s="1806"/>
      <c r="U363" s="1806"/>
      <c r="V363" s="1806"/>
      <c r="W363" s="1806"/>
      <c r="X363" s="1807">
        <v>10643</v>
      </c>
      <c r="Y363" s="1808"/>
      <c r="Z363" s="1735"/>
      <c r="AA363" s="1735"/>
      <c r="AB363" s="1735"/>
      <c r="AC363" s="1735"/>
      <c r="AD363" s="1735"/>
      <c r="AE363" s="1735"/>
      <c r="AF363" s="1735"/>
      <c r="AG363" s="1282">
        <f t="shared" ref="AG363:AG391" si="73">SUM(S363:AF363)</f>
        <v>10643</v>
      </c>
    </row>
    <row r="364" spans="1:33" s="1725" customFormat="1" ht="57" hidden="1" customHeight="1">
      <c r="A364" s="1839">
        <v>3112</v>
      </c>
      <c r="B364" s="1889" t="s">
        <v>249</v>
      </c>
      <c r="C364" s="1840" t="s">
        <v>250</v>
      </c>
      <c r="D364" s="1890"/>
      <c r="E364" s="1802">
        <v>10</v>
      </c>
      <c r="F364" s="1801">
        <v>43238</v>
      </c>
      <c r="G364" s="1801">
        <f t="shared" ref="G364:G391" si="74">F364+E364</f>
        <v>43248</v>
      </c>
      <c r="H364" s="1802" t="s">
        <v>247</v>
      </c>
      <c r="I364" s="1802" t="s">
        <v>169</v>
      </c>
      <c r="J364" s="1803" t="s">
        <v>176</v>
      </c>
      <c r="K364" s="1544" t="s">
        <v>252</v>
      </c>
      <c r="L364" s="1804">
        <v>23174</v>
      </c>
      <c r="M364" s="1544"/>
      <c r="N364" s="1883">
        <v>23174</v>
      </c>
      <c r="O364" s="1721">
        <v>12</v>
      </c>
      <c r="P364" s="1736">
        <f>15*7</f>
        <v>105</v>
      </c>
      <c r="Q364" s="2819">
        <f t="shared" ref="Q364:Q371" si="75">O364*P364</f>
        <v>1260</v>
      </c>
      <c r="R364" s="2820"/>
      <c r="S364" s="1806"/>
      <c r="T364" s="1806"/>
      <c r="U364" s="1806">
        <v>1260</v>
      </c>
      <c r="V364" s="1806"/>
      <c r="W364" s="1806"/>
      <c r="X364" s="1807"/>
      <c r="Y364" s="1808"/>
      <c r="Z364" s="1735"/>
      <c r="AA364" s="1735"/>
      <c r="AB364" s="1735"/>
      <c r="AC364" s="1735"/>
      <c r="AD364" s="1735"/>
      <c r="AE364" s="1735"/>
      <c r="AF364" s="1735"/>
      <c r="AG364" s="1282">
        <f t="shared" si="73"/>
        <v>1260</v>
      </c>
    </row>
    <row r="365" spans="1:33" s="1725" customFormat="1" ht="57" hidden="1" customHeight="1">
      <c r="A365" s="1839">
        <v>3112</v>
      </c>
      <c r="B365" s="1889" t="s">
        <v>249</v>
      </c>
      <c r="C365" s="1840" t="s">
        <v>250</v>
      </c>
      <c r="D365" s="1890"/>
      <c r="E365" s="1802">
        <v>10</v>
      </c>
      <c r="F365" s="1801">
        <v>43238</v>
      </c>
      <c r="G365" s="1801">
        <f t="shared" si="74"/>
        <v>43248</v>
      </c>
      <c r="H365" s="1802" t="s">
        <v>247</v>
      </c>
      <c r="I365" s="1802" t="s">
        <v>169</v>
      </c>
      <c r="J365" s="1803" t="s">
        <v>176</v>
      </c>
      <c r="K365" s="1544" t="s">
        <v>253</v>
      </c>
      <c r="L365" s="1804">
        <v>23174</v>
      </c>
      <c r="M365" s="1544"/>
      <c r="N365" s="1802">
        <v>23174</v>
      </c>
      <c r="O365" s="1809">
        <v>13.333333333333334</v>
      </c>
      <c r="P365" s="1888">
        <f>15*7</f>
        <v>105</v>
      </c>
      <c r="Q365" s="2821">
        <f t="shared" si="75"/>
        <v>1400</v>
      </c>
      <c r="R365" s="2822"/>
      <c r="S365" s="1806"/>
      <c r="T365" s="1806"/>
      <c r="U365" s="1806">
        <v>1400</v>
      </c>
      <c r="V365" s="1806"/>
      <c r="W365" s="1806"/>
      <c r="X365" s="1807"/>
      <c r="Y365" s="1808"/>
      <c r="Z365" s="1735"/>
      <c r="AA365" s="1735"/>
      <c r="AB365" s="1735"/>
      <c r="AC365" s="1735"/>
      <c r="AD365" s="1735"/>
      <c r="AE365" s="1735"/>
      <c r="AF365" s="1735"/>
      <c r="AG365" s="1282">
        <f t="shared" si="73"/>
        <v>1400</v>
      </c>
    </row>
    <row r="366" spans="1:33" s="1725" customFormat="1" ht="57" hidden="1" customHeight="1">
      <c r="A366" s="1839">
        <v>3112</v>
      </c>
      <c r="B366" s="1889" t="s">
        <v>249</v>
      </c>
      <c r="C366" s="1840" t="s">
        <v>250</v>
      </c>
      <c r="D366" s="1890"/>
      <c r="E366" s="1802">
        <v>10</v>
      </c>
      <c r="F366" s="1801">
        <v>43238</v>
      </c>
      <c r="G366" s="1801">
        <f t="shared" si="74"/>
        <v>43248</v>
      </c>
      <c r="H366" s="1802" t="s">
        <v>247</v>
      </c>
      <c r="I366" s="1802" t="s">
        <v>169</v>
      </c>
      <c r="J366" s="1803" t="s">
        <v>176</v>
      </c>
      <c r="K366" s="2264" t="s">
        <v>254</v>
      </c>
      <c r="L366" s="1804">
        <v>23174</v>
      </c>
      <c r="M366" s="1544"/>
      <c r="N366" s="1802">
        <v>23174</v>
      </c>
      <c r="O366" s="1841">
        <v>10</v>
      </c>
      <c r="P366" s="887">
        <v>15</v>
      </c>
      <c r="Q366" s="2823">
        <f t="shared" si="75"/>
        <v>150</v>
      </c>
      <c r="R366" s="2822"/>
      <c r="S366" s="1806"/>
      <c r="T366" s="1806"/>
      <c r="U366" s="1806">
        <v>150</v>
      </c>
      <c r="V366" s="1806"/>
      <c r="W366" s="1806"/>
      <c r="X366" s="1807"/>
      <c r="Y366" s="1808"/>
      <c r="Z366" s="1735"/>
      <c r="AA366" s="1735"/>
      <c r="AB366" s="1735"/>
      <c r="AC366" s="1735"/>
      <c r="AD366" s="1735"/>
      <c r="AE366" s="1735"/>
      <c r="AF366" s="1735"/>
      <c r="AG366" s="1282">
        <f t="shared" si="73"/>
        <v>150</v>
      </c>
    </row>
    <row r="367" spans="1:33" s="1725" customFormat="1" ht="57" hidden="1" customHeight="1">
      <c r="A367" s="1839">
        <v>3112</v>
      </c>
      <c r="B367" s="1889" t="s">
        <v>249</v>
      </c>
      <c r="C367" s="1840" t="s">
        <v>250</v>
      </c>
      <c r="D367" s="1890"/>
      <c r="E367" s="1802">
        <v>10</v>
      </c>
      <c r="F367" s="1801">
        <v>43238</v>
      </c>
      <c r="G367" s="1801">
        <f t="shared" si="74"/>
        <v>43248</v>
      </c>
      <c r="H367" s="1802" t="s">
        <v>247</v>
      </c>
      <c r="I367" s="1802" t="s">
        <v>169</v>
      </c>
      <c r="J367" s="2263" t="s">
        <v>176</v>
      </c>
      <c r="K367" s="1735" t="s">
        <v>255</v>
      </c>
      <c r="L367" s="1892">
        <v>23174</v>
      </c>
      <c r="M367" s="1544"/>
      <c r="N367" s="1802">
        <v>23174</v>
      </c>
      <c r="O367" s="1841">
        <v>0.4</v>
      </c>
      <c r="P367" s="887">
        <v>170</v>
      </c>
      <c r="Q367" s="2823">
        <f t="shared" si="75"/>
        <v>68</v>
      </c>
      <c r="R367" s="2822"/>
      <c r="S367" s="1806"/>
      <c r="T367" s="1806"/>
      <c r="U367" s="1806">
        <v>68</v>
      </c>
      <c r="V367" s="1806"/>
      <c r="W367" s="1806"/>
      <c r="X367" s="1807"/>
      <c r="Y367" s="1808"/>
      <c r="Z367" s="1735"/>
      <c r="AA367" s="1735"/>
      <c r="AB367" s="1735"/>
      <c r="AC367" s="1735"/>
      <c r="AD367" s="1735"/>
      <c r="AE367" s="1735"/>
      <c r="AF367" s="1735"/>
      <c r="AG367" s="1282">
        <f t="shared" si="73"/>
        <v>68</v>
      </c>
    </row>
    <row r="368" spans="1:33" s="1725" customFormat="1" ht="57" hidden="1" customHeight="1">
      <c r="A368" s="1839">
        <v>3112</v>
      </c>
      <c r="B368" s="1889" t="s">
        <v>249</v>
      </c>
      <c r="C368" s="1840" t="s">
        <v>250</v>
      </c>
      <c r="D368" s="1890"/>
      <c r="E368" s="1802">
        <v>45</v>
      </c>
      <c r="F368" s="1801">
        <v>43193</v>
      </c>
      <c r="G368" s="1801">
        <f t="shared" si="74"/>
        <v>43238</v>
      </c>
      <c r="H368" s="1802" t="s">
        <v>247</v>
      </c>
      <c r="I368" s="1802" t="s">
        <v>169</v>
      </c>
      <c r="J368" s="1803" t="s">
        <v>176</v>
      </c>
      <c r="K368" s="326" t="s">
        <v>256</v>
      </c>
      <c r="L368" s="1804">
        <v>23173</v>
      </c>
      <c r="M368" s="1544"/>
      <c r="N368" s="1802">
        <v>23173</v>
      </c>
      <c r="O368" s="1841">
        <v>255</v>
      </c>
      <c r="P368" s="887">
        <v>1</v>
      </c>
      <c r="Q368" s="2823">
        <f t="shared" si="75"/>
        <v>255</v>
      </c>
      <c r="R368" s="2822"/>
      <c r="S368" s="1806"/>
      <c r="T368" s="1806"/>
      <c r="U368" s="1806">
        <v>255</v>
      </c>
      <c r="V368" s="1806"/>
      <c r="W368" s="1806"/>
      <c r="X368" s="1807"/>
      <c r="Y368" s="1808"/>
      <c r="Z368" s="1735"/>
      <c r="AA368" s="1735"/>
      <c r="AB368" s="1735"/>
      <c r="AC368" s="1735"/>
      <c r="AD368" s="1735"/>
      <c r="AE368" s="1735"/>
      <c r="AF368" s="1735"/>
      <c r="AG368" s="1282">
        <f t="shared" si="73"/>
        <v>255</v>
      </c>
    </row>
    <row r="369" spans="1:33" s="1725" customFormat="1" ht="57" hidden="1" customHeight="1">
      <c r="A369" s="1839">
        <v>3112</v>
      </c>
      <c r="B369" s="1889" t="s">
        <v>249</v>
      </c>
      <c r="C369" s="1840" t="s">
        <v>250</v>
      </c>
      <c r="D369" s="1890"/>
      <c r="E369" s="1802">
        <v>10</v>
      </c>
      <c r="F369" s="1801">
        <v>43238</v>
      </c>
      <c r="G369" s="1801">
        <f t="shared" si="74"/>
        <v>43248</v>
      </c>
      <c r="H369" s="1802" t="s">
        <v>247</v>
      </c>
      <c r="I369" s="1802" t="s">
        <v>169</v>
      </c>
      <c r="J369" s="2263" t="s">
        <v>176</v>
      </c>
      <c r="K369" s="1735" t="s">
        <v>257</v>
      </c>
      <c r="L369" s="2268">
        <v>23173</v>
      </c>
      <c r="M369" s="1544"/>
      <c r="N369" s="1802">
        <v>23172</v>
      </c>
      <c r="O369" s="1841">
        <v>66.666666666666671</v>
      </c>
      <c r="P369" s="887">
        <v>5</v>
      </c>
      <c r="Q369" s="2823">
        <f t="shared" si="75"/>
        <v>333.33333333333337</v>
      </c>
      <c r="R369" s="2822"/>
      <c r="S369" s="1806"/>
      <c r="T369" s="1806"/>
      <c r="U369" s="1806">
        <v>333.33333333333337</v>
      </c>
      <c r="V369" s="1806"/>
      <c r="W369" s="1806"/>
      <c r="X369" s="1807"/>
      <c r="Y369" s="1808"/>
      <c r="Z369" s="1735"/>
      <c r="AA369" s="1735"/>
      <c r="AB369" s="1735"/>
      <c r="AC369" s="1735"/>
      <c r="AD369" s="1735"/>
      <c r="AE369" s="1735"/>
      <c r="AF369" s="1735"/>
      <c r="AG369" s="1282">
        <f t="shared" si="73"/>
        <v>333.33333333333337</v>
      </c>
    </row>
    <row r="370" spans="1:33" s="1725" customFormat="1" ht="57" hidden="1" customHeight="1">
      <c r="A370" s="1839">
        <v>3112</v>
      </c>
      <c r="B370" s="1889" t="s">
        <v>249</v>
      </c>
      <c r="C370" s="1840" t="s">
        <v>250</v>
      </c>
      <c r="D370" s="1890"/>
      <c r="E370" s="1802">
        <v>45</v>
      </c>
      <c r="F370" s="1801">
        <v>43193</v>
      </c>
      <c r="G370" s="1801">
        <f t="shared" si="74"/>
        <v>43238</v>
      </c>
      <c r="H370" s="1802" t="s">
        <v>247</v>
      </c>
      <c r="I370" s="1802" t="s">
        <v>169</v>
      </c>
      <c r="J370" s="1803" t="s">
        <v>176</v>
      </c>
      <c r="K370" s="1585" t="s">
        <v>258</v>
      </c>
      <c r="L370" s="1804">
        <v>2463</v>
      </c>
      <c r="M370" s="1544"/>
      <c r="N370" s="1802">
        <v>23173</v>
      </c>
      <c r="O370" s="1726">
        <v>616.66666666666663</v>
      </c>
      <c r="P370" s="887">
        <v>1</v>
      </c>
      <c r="Q370" s="2823">
        <f t="shared" si="75"/>
        <v>616.66666666666663</v>
      </c>
      <c r="R370" s="2822"/>
      <c r="S370" s="1806"/>
      <c r="T370" s="1806"/>
      <c r="U370" s="1806">
        <v>616.66666666666663</v>
      </c>
      <c r="V370" s="1806"/>
      <c r="W370" s="1806"/>
      <c r="X370" s="1807"/>
      <c r="Y370" s="1808"/>
      <c r="Z370" s="1735"/>
      <c r="AA370" s="1735"/>
      <c r="AB370" s="1735"/>
      <c r="AC370" s="1735"/>
      <c r="AD370" s="1735"/>
      <c r="AE370" s="1735"/>
      <c r="AF370" s="1735"/>
      <c r="AG370" s="1282">
        <f t="shared" si="73"/>
        <v>616.66666666666663</v>
      </c>
    </row>
    <row r="371" spans="1:33" s="1725" customFormat="1" ht="57" hidden="1" customHeight="1">
      <c r="A371" s="1839">
        <v>3112</v>
      </c>
      <c r="B371" s="1889" t="s">
        <v>249</v>
      </c>
      <c r="C371" s="1840" t="s">
        <v>250</v>
      </c>
      <c r="D371" s="1890"/>
      <c r="E371" s="1802">
        <v>45</v>
      </c>
      <c r="F371" s="1801">
        <v>43193</v>
      </c>
      <c r="G371" s="1801">
        <f t="shared" si="74"/>
        <v>43238</v>
      </c>
      <c r="H371" s="1802" t="s">
        <v>247</v>
      </c>
      <c r="I371" s="1802" t="s">
        <v>169</v>
      </c>
      <c r="J371" s="1803" t="s">
        <v>176</v>
      </c>
      <c r="K371" s="326" t="s">
        <v>259</v>
      </c>
      <c r="L371" s="1804">
        <v>2463</v>
      </c>
      <c r="M371" s="1544"/>
      <c r="N371" s="1802">
        <v>23173</v>
      </c>
      <c r="O371" s="1726">
        <v>2000</v>
      </c>
      <c r="P371" s="887">
        <v>1</v>
      </c>
      <c r="Q371" s="2823">
        <f t="shared" si="75"/>
        <v>2000</v>
      </c>
      <c r="R371" s="2822"/>
      <c r="S371" s="1806"/>
      <c r="T371" s="1806"/>
      <c r="U371" s="1806">
        <v>2000</v>
      </c>
      <c r="V371" s="1806"/>
      <c r="W371" s="1806"/>
      <c r="X371" s="1807"/>
      <c r="Y371" s="1808"/>
      <c r="Z371" s="1735"/>
      <c r="AA371" s="1735"/>
      <c r="AB371" s="1735"/>
      <c r="AC371" s="1735"/>
      <c r="AD371" s="1735"/>
      <c r="AE371" s="1735"/>
      <c r="AF371" s="1735"/>
      <c r="AG371" s="1282">
        <f t="shared" si="73"/>
        <v>2000</v>
      </c>
    </row>
    <row r="372" spans="1:33" s="1725" customFormat="1" ht="57" hidden="1" customHeight="1">
      <c r="A372" s="1839">
        <v>3113</v>
      </c>
      <c r="B372" s="1889" t="s">
        <v>260</v>
      </c>
      <c r="C372" s="1840" t="s">
        <v>261</v>
      </c>
      <c r="D372" s="1890"/>
      <c r="E372" s="1802">
        <v>15</v>
      </c>
      <c r="F372" s="1801">
        <v>43248</v>
      </c>
      <c r="G372" s="1801">
        <f t="shared" si="74"/>
        <v>43263</v>
      </c>
      <c r="H372" s="1802" t="s">
        <v>247</v>
      </c>
      <c r="I372" s="1802" t="s">
        <v>169</v>
      </c>
      <c r="J372" s="1803" t="s">
        <v>176</v>
      </c>
      <c r="K372" s="1544" t="s">
        <v>252</v>
      </c>
      <c r="L372" s="1804">
        <v>23174</v>
      </c>
      <c r="M372" s="1544"/>
      <c r="N372" s="1802">
        <v>23174</v>
      </c>
      <c r="O372" s="1810">
        <v>12</v>
      </c>
      <c r="P372" s="1802">
        <f>12*9</f>
        <v>108</v>
      </c>
      <c r="Q372" s="2823">
        <f>O372*P372</f>
        <v>1296</v>
      </c>
      <c r="R372" s="2822"/>
      <c r="S372" s="1806"/>
      <c r="T372" s="1806"/>
      <c r="U372" s="1806"/>
      <c r="V372" s="1806">
        <v>1296</v>
      </c>
      <c r="W372" s="1806"/>
      <c r="X372" s="1807"/>
      <c r="Y372" s="1808"/>
      <c r="Z372" s="1735"/>
      <c r="AA372" s="1735"/>
      <c r="AB372" s="1735"/>
      <c r="AC372" s="1735"/>
      <c r="AD372" s="1735"/>
      <c r="AE372" s="1735"/>
      <c r="AF372" s="1735"/>
      <c r="AG372" s="1282">
        <f t="shared" si="73"/>
        <v>1296</v>
      </c>
    </row>
    <row r="373" spans="1:33" s="1725" customFormat="1" ht="57" hidden="1" customHeight="1">
      <c r="A373" s="1839">
        <v>3113</v>
      </c>
      <c r="B373" s="1889" t="s">
        <v>260</v>
      </c>
      <c r="C373" s="1840" t="s">
        <v>261</v>
      </c>
      <c r="D373" s="1890"/>
      <c r="E373" s="1802">
        <v>15</v>
      </c>
      <c r="F373" s="1801">
        <v>43248</v>
      </c>
      <c r="G373" s="1801">
        <f t="shared" si="74"/>
        <v>43263</v>
      </c>
      <c r="H373" s="1802" t="s">
        <v>247</v>
      </c>
      <c r="I373" s="1802" t="s">
        <v>169</v>
      </c>
      <c r="J373" s="1803" t="s">
        <v>176</v>
      </c>
      <c r="K373" s="1544" t="s">
        <v>253</v>
      </c>
      <c r="L373" s="1804">
        <v>23174</v>
      </c>
      <c r="M373" s="1544"/>
      <c r="N373" s="1802">
        <v>23174</v>
      </c>
      <c r="O373" s="1810">
        <v>13.333333333333334</v>
      </c>
      <c r="P373" s="1802">
        <f>12*8</f>
        <v>96</v>
      </c>
      <c r="Q373" s="2823">
        <f>O373*P373</f>
        <v>1280</v>
      </c>
      <c r="R373" s="2822"/>
      <c r="S373" s="1806"/>
      <c r="T373" s="1806"/>
      <c r="U373" s="1806"/>
      <c r="V373" s="1806">
        <v>1280</v>
      </c>
      <c r="W373" s="1806"/>
      <c r="X373" s="1807"/>
      <c r="Y373" s="1808"/>
      <c r="Z373" s="1735"/>
      <c r="AA373" s="1735"/>
      <c r="AB373" s="1735"/>
      <c r="AC373" s="1735"/>
      <c r="AD373" s="1735"/>
      <c r="AE373" s="1735"/>
      <c r="AF373" s="1735"/>
      <c r="AG373" s="1282">
        <f t="shared" si="73"/>
        <v>1280</v>
      </c>
    </row>
    <row r="374" spans="1:33" s="1725" customFormat="1" ht="57" hidden="1" customHeight="1">
      <c r="A374" s="1839">
        <v>3113</v>
      </c>
      <c r="B374" s="1889" t="s">
        <v>260</v>
      </c>
      <c r="C374" s="1840" t="s">
        <v>261</v>
      </c>
      <c r="D374" s="1890"/>
      <c r="E374" s="1802">
        <v>15</v>
      </c>
      <c r="F374" s="1801">
        <v>43248</v>
      </c>
      <c r="G374" s="1801">
        <f t="shared" si="74"/>
        <v>43263</v>
      </c>
      <c r="H374" s="1802" t="s">
        <v>247</v>
      </c>
      <c r="I374" s="1802" t="s">
        <v>169</v>
      </c>
      <c r="J374" s="1803" t="s">
        <v>176</v>
      </c>
      <c r="K374" s="1544" t="s">
        <v>263</v>
      </c>
      <c r="L374" s="1804">
        <v>23174</v>
      </c>
      <c r="M374" s="1544"/>
      <c r="N374" s="1802">
        <v>23174</v>
      </c>
      <c r="O374" s="1841">
        <v>58.333333333333336</v>
      </c>
      <c r="P374" s="887">
        <v>4</v>
      </c>
      <c r="Q374" s="2823">
        <f>O374*P374</f>
        <v>233.33333333333334</v>
      </c>
      <c r="R374" s="2822"/>
      <c r="S374" s="1806"/>
      <c r="T374" s="1806"/>
      <c r="U374" s="1806"/>
      <c r="V374" s="1806">
        <v>233.33333333333334</v>
      </c>
      <c r="W374" s="1806"/>
      <c r="X374" s="1807"/>
      <c r="Y374" s="1808"/>
      <c r="Z374" s="1735"/>
      <c r="AA374" s="1735"/>
      <c r="AB374" s="1735"/>
      <c r="AC374" s="1735"/>
      <c r="AD374" s="1735"/>
      <c r="AE374" s="1735"/>
      <c r="AF374" s="1735"/>
      <c r="AG374" s="1282">
        <f t="shared" si="73"/>
        <v>233.33333333333334</v>
      </c>
    </row>
    <row r="375" spans="1:33" s="1725" customFormat="1" ht="57" hidden="1" customHeight="1">
      <c r="A375" s="1839">
        <v>3113</v>
      </c>
      <c r="B375" s="1889" t="s">
        <v>260</v>
      </c>
      <c r="C375" s="1840" t="s">
        <v>261</v>
      </c>
      <c r="D375" s="1890"/>
      <c r="E375" s="1802">
        <v>15</v>
      </c>
      <c r="F375" s="1801">
        <v>43248</v>
      </c>
      <c r="G375" s="1801">
        <f t="shared" si="74"/>
        <v>43263</v>
      </c>
      <c r="H375" s="1802" t="s">
        <v>247</v>
      </c>
      <c r="I375" s="1802" t="s">
        <v>169</v>
      </c>
      <c r="J375" s="1803" t="s">
        <v>176</v>
      </c>
      <c r="K375" s="1544" t="s">
        <v>264</v>
      </c>
      <c r="L375" s="1804">
        <v>23174</v>
      </c>
      <c r="M375" s="1544"/>
      <c r="N375" s="1883">
        <v>23174</v>
      </c>
      <c r="O375" s="1744">
        <v>36.333333333333336</v>
      </c>
      <c r="P375" s="887">
        <v>4</v>
      </c>
      <c r="Q375" s="2823">
        <f>O375*P375</f>
        <v>145.33333333333334</v>
      </c>
      <c r="R375" s="2822"/>
      <c r="S375" s="1806"/>
      <c r="T375" s="1806"/>
      <c r="U375" s="1806"/>
      <c r="V375" s="1806">
        <v>145.33333333333334</v>
      </c>
      <c r="W375" s="1806"/>
      <c r="X375" s="1807"/>
      <c r="Y375" s="1808"/>
      <c r="Z375" s="1735"/>
      <c r="AA375" s="1735"/>
      <c r="AB375" s="1735"/>
      <c r="AC375" s="1735"/>
      <c r="AD375" s="1735"/>
      <c r="AE375" s="1735"/>
      <c r="AF375" s="1735"/>
      <c r="AG375" s="1282">
        <f t="shared" si="73"/>
        <v>145.33333333333334</v>
      </c>
    </row>
    <row r="376" spans="1:33" s="1725" customFormat="1" ht="57" hidden="1" customHeight="1">
      <c r="A376" s="1839">
        <v>3113</v>
      </c>
      <c r="B376" s="1889" t="s">
        <v>260</v>
      </c>
      <c r="C376" s="1840" t="s">
        <v>261</v>
      </c>
      <c r="D376" s="1890"/>
      <c r="E376" s="1802">
        <v>15</v>
      </c>
      <c r="F376" s="1801">
        <v>43248</v>
      </c>
      <c r="G376" s="1801">
        <f t="shared" si="74"/>
        <v>43263</v>
      </c>
      <c r="H376" s="1802" t="s">
        <v>247</v>
      </c>
      <c r="I376" s="1802" t="s">
        <v>169</v>
      </c>
      <c r="J376" s="1803" t="s">
        <v>176</v>
      </c>
      <c r="K376" s="1544" t="s">
        <v>265</v>
      </c>
      <c r="L376" s="1804">
        <v>23174</v>
      </c>
      <c r="M376" s="1544"/>
      <c r="N376" s="1883">
        <v>23174</v>
      </c>
      <c r="O376" s="1744">
        <v>71.666666666666671</v>
      </c>
      <c r="P376" s="887">
        <v>4</v>
      </c>
      <c r="Q376" s="2823">
        <f>O376*P376</f>
        <v>286.66666666666669</v>
      </c>
      <c r="R376" s="2822"/>
      <c r="S376" s="1806"/>
      <c r="T376" s="1806"/>
      <c r="U376" s="1806"/>
      <c r="V376" s="1806">
        <v>286.66666666666669</v>
      </c>
      <c r="W376" s="1806"/>
      <c r="X376" s="1807"/>
      <c r="Y376" s="1808"/>
      <c r="Z376" s="1735"/>
      <c r="AA376" s="1735"/>
      <c r="AB376" s="1735"/>
      <c r="AC376" s="1735"/>
      <c r="AD376" s="1735"/>
      <c r="AE376" s="1735"/>
      <c r="AF376" s="1735"/>
      <c r="AG376" s="1282">
        <f t="shared" si="73"/>
        <v>286.66666666666669</v>
      </c>
    </row>
    <row r="377" spans="1:33" s="1725" customFormat="1" ht="57" hidden="1" customHeight="1">
      <c r="A377" s="1839">
        <v>3114</v>
      </c>
      <c r="B377" s="1889" t="s">
        <v>266</v>
      </c>
      <c r="C377" s="1840" t="s">
        <v>267</v>
      </c>
      <c r="D377" s="1890"/>
      <c r="E377" s="1802">
        <v>15</v>
      </c>
      <c r="F377" s="1801">
        <v>43269</v>
      </c>
      <c r="G377" s="1801">
        <f t="shared" si="74"/>
        <v>43284</v>
      </c>
      <c r="H377" s="1802" t="s">
        <v>247</v>
      </c>
      <c r="I377" s="1802" t="s">
        <v>169</v>
      </c>
      <c r="J377" s="1803" t="s">
        <v>176</v>
      </c>
      <c r="K377" s="1544" t="s">
        <v>252</v>
      </c>
      <c r="L377" s="1804">
        <v>23174</v>
      </c>
      <c r="M377" s="1544"/>
      <c r="N377" s="1802">
        <v>23174</v>
      </c>
      <c r="O377" s="1809">
        <v>12</v>
      </c>
      <c r="P377" s="1802">
        <f>20*8</f>
        <v>160</v>
      </c>
      <c r="Q377" s="2823">
        <f t="shared" ref="Q377:Q388" si="76">O377*P377</f>
        <v>1920</v>
      </c>
      <c r="R377" s="2822"/>
      <c r="S377" s="1806"/>
      <c r="T377" s="1806"/>
      <c r="U377" s="1806"/>
      <c r="V377" s="1806">
        <v>1920</v>
      </c>
      <c r="W377" s="1806"/>
      <c r="X377" s="1807"/>
      <c r="Y377" s="1808"/>
      <c r="Z377" s="1735"/>
      <c r="AA377" s="1735"/>
      <c r="AB377" s="1735"/>
      <c r="AC377" s="1735"/>
      <c r="AD377" s="1735"/>
      <c r="AE377" s="1735"/>
      <c r="AF377" s="1735"/>
      <c r="AG377" s="1282">
        <f t="shared" si="73"/>
        <v>1920</v>
      </c>
    </row>
    <row r="378" spans="1:33" s="1725" customFormat="1" ht="57" hidden="1" customHeight="1">
      <c r="A378" s="1839">
        <v>3114</v>
      </c>
      <c r="B378" s="1889" t="s">
        <v>266</v>
      </c>
      <c r="C378" s="1840" t="s">
        <v>267</v>
      </c>
      <c r="D378" s="1890"/>
      <c r="E378" s="1802">
        <v>15</v>
      </c>
      <c r="F378" s="1801">
        <v>43269</v>
      </c>
      <c r="G378" s="1801">
        <f t="shared" si="74"/>
        <v>43284</v>
      </c>
      <c r="H378" s="1802" t="s">
        <v>247</v>
      </c>
      <c r="I378" s="1802" t="s">
        <v>169</v>
      </c>
      <c r="J378" s="1803" t="s">
        <v>176</v>
      </c>
      <c r="K378" s="1544" t="s">
        <v>253</v>
      </c>
      <c r="L378" s="1804">
        <v>23174</v>
      </c>
      <c r="M378" s="1544"/>
      <c r="N378" s="1802">
        <v>23174</v>
      </c>
      <c r="O378" s="1810">
        <v>13.333333333333334</v>
      </c>
      <c r="P378" s="1802">
        <f>20*7</f>
        <v>140</v>
      </c>
      <c r="Q378" s="2823">
        <f t="shared" si="76"/>
        <v>1866.6666666666667</v>
      </c>
      <c r="R378" s="2822"/>
      <c r="S378" s="1806"/>
      <c r="T378" s="1806"/>
      <c r="U378" s="1806"/>
      <c r="V378" s="1806">
        <v>1866.6666666666667</v>
      </c>
      <c r="W378" s="1806"/>
      <c r="X378" s="1807"/>
      <c r="Y378" s="1808"/>
      <c r="Z378" s="1735"/>
      <c r="AA378" s="1735"/>
      <c r="AB378" s="1735"/>
      <c r="AC378" s="1735"/>
      <c r="AD378" s="1735"/>
      <c r="AE378" s="1735"/>
      <c r="AF378" s="1735"/>
      <c r="AG378" s="1282">
        <f t="shared" si="73"/>
        <v>1866.6666666666667</v>
      </c>
    </row>
    <row r="379" spans="1:33" s="1725" customFormat="1" ht="57" hidden="1" customHeight="1">
      <c r="A379" s="1839">
        <v>3114</v>
      </c>
      <c r="B379" s="1889" t="s">
        <v>266</v>
      </c>
      <c r="C379" s="1840" t="s">
        <v>267</v>
      </c>
      <c r="D379" s="1890"/>
      <c r="E379" s="1802">
        <v>15</v>
      </c>
      <c r="F379" s="1801">
        <v>43269</v>
      </c>
      <c r="G379" s="1801">
        <f t="shared" si="74"/>
        <v>43284</v>
      </c>
      <c r="H379" s="1802" t="s">
        <v>247</v>
      </c>
      <c r="I379" s="1802" t="s">
        <v>169</v>
      </c>
      <c r="J379" s="1803" t="s">
        <v>176</v>
      </c>
      <c r="K379" s="2264" t="s">
        <v>254</v>
      </c>
      <c r="L379" s="1804">
        <v>23174</v>
      </c>
      <c r="M379" s="1544"/>
      <c r="N379" s="1802">
        <v>23174</v>
      </c>
      <c r="O379" s="1841">
        <v>10</v>
      </c>
      <c r="P379" s="887">
        <v>20</v>
      </c>
      <c r="Q379" s="2823">
        <f t="shared" si="76"/>
        <v>200</v>
      </c>
      <c r="R379" s="2822"/>
      <c r="S379" s="1806"/>
      <c r="T379" s="1806"/>
      <c r="U379" s="1806"/>
      <c r="V379" s="1806">
        <v>200</v>
      </c>
      <c r="W379" s="1806"/>
      <c r="X379" s="1807"/>
      <c r="Y379" s="1808"/>
      <c r="Z379" s="1735"/>
      <c r="AA379" s="1735"/>
      <c r="AB379" s="1735"/>
      <c r="AC379" s="1735"/>
      <c r="AD379" s="1735"/>
      <c r="AE379" s="1735"/>
      <c r="AF379" s="1735"/>
      <c r="AG379" s="1282">
        <f t="shared" si="73"/>
        <v>200</v>
      </c>
    </row>
    <row r="380" spans="1:33" s="1725" customFormat="1" ht="57" hidden="1" customHeight="1">
      <c r="A380" s="1839">
        <v>3114</v>
      </c>
      <c r="B380" s="1889" t="s">
        <v>266</v>
      </c>
      <c r="C380" s="1840" t="s">
        <v>267</v>
      </c>
      <c r="D380" s="1890"/>
      <c r="E380" s="1802">
        <v>15</v>
      </c>
      <c r="F380" s="1801">
        <v>43269</v>
      </c>
      <c r="G380" s="1801">
        <f t="shared" si="74"/>
        <v>43284</v>
      </c>
      <c r="H380" s="1802" t="s">
        <v>247</v>
      </c>
      <c r="I380" s="1802" t="s">
        <v>169</v>
      </c>
      <c r="J380" s="2263" t="s">
        <v>176</v>
      </c>
      <c r="K380" s="1735" t="s">
        <v>255</v>
      </c>
      <c r="L380" s="1892">
        <v>23174</v>
      </c>
      <c r="M380" s="1544"/>
      <c r="N380" s="1802">
        <v>23174</v>
      </c>
      <c r="O380" s="1841">
        <v>0.4</v>
      </c>
      <c r="P380" s="887">
        <v>170</v>
      </c>
      <c r="Q380" s="2823">
        <f t="shared" si="76"/>
        <v>68</v>
      </c>
      <c r="R380" s="2822"/>
      <c r="S380" s="1806"/>
      <c r="T380" s="1806"/>
      <c r="U380" s="1806"/>
      <c r="V380" s="1806">
        <v>68</v>
      </c>
      <c r="W380" s="1806"/>
      <c r="X380" s="1807"/>
      <c r="Y380" s="1808"/>
      <c r="Z380" s="1735"/>
      <c r="AA380" s="1735"/>
      <c r="AB380" s="1735"/>
      <c r="AC380" s="1735"/>
      <c r="AD380" s="1735"/>
      <c r="AE380" s="1735"/>
      <c r="AF380" s="1735"/>
      <c r="AG380" s="1282">
        <f t="shared" si="73"/>
        <v>68</v>
      </c>
    </row>
    <row r="381" spans="1:33" s="1725" customFormat="1" ht="57" hidden="1" customHeight="1">
      <c r="A381" s="1839">
        <v>3114</v>
      </c>
      <c r="B381" s="1889" t="s">
        <v>266</v>
      </c>
      <c r="C381" s="1840" t="s">
        <v>267</v>
      </c>
      <c r="D381" s="1890"/>
      <c r="E381" s="1802">
        <v>45</v>
      </c>
      <c r="F381" s="1801">
        <v>43193</v>
      </c>
      <c r="G381" s="1801">
        <f t="shared" si="74"/>
        <v>43238</v>
      </c>
      <c r="H381" s="1802" t="s">
        <v>247</v>
      </c>
      <c r="I381" s="1802" t="s">
        <v>169</v>
      </c>
      <c r="J381" s="1803" t="s">
        <v>176</v>
      </c>
      <c r="K381" s="326" t="s">
        <v>256</v>
      </c>
      <c r="L381" s="1804">
        <v>23173</v>
      </c>
      <c r="M381" s="1544"/>
      <c r="N381" s="1802">
        <v>23173</v>
      </c>
      <c r="O381" s="1841">
        <v>15</v>
      </c>
      <c r="P381" s="887">
        <v>1</v>
      </c>
      <c r="Q381" s="2823">
        <f t="shared" si="76"/>
        <v>15</v>
      </c>
      <c r="R381" s="2822"/>
      <c r="S381" s="1806"/>
      <c r="T381" s="1806"/>
      <c r="U381" s="1806">
        <v>15</v>
      </c>
      <c r="W381" s="1806"/>
      <c r="X381" s="1807"/>
      <c r="Y381" s="1808"/>
      <c r="Z381" s="1735"/>
      <c r="AA381" s="1735"/>
      <c r="AB381" s="1735"/>
      <c r="AC381" s="1735"/>
      <c r="AD381" s="1735"/>
      <c r="AE381" s="1735"/>
      <c r="AF381" s="1735"/>
      <c r="AG381" s="1282">
        <f t="shared" si="73"/>
        <v>15</v>
      </c>
    </row>
    <row r="382" spans="1:33" s="1725" customFormat="1" ht="57" hidden="1" customHeight="1">
      <c r="A382" s="1839">
        <v>3114</v>
      </c>
      <c r="B382" s="1889" t="s">
        <v>266</v>
      </c>
      <c r="C382" s="1840" t="s">
        <v>267</v>
      </c>
      <c r="D382" s="1890"/>
      <c r="E382" s="1802">
        <v>15</v>
      </c>
      <c r="F382" s="1801">
        <v>43269</v>
      </c>
      <c r="G382" s="1801">
        <f t="shared" si="74"/>
        <v>43284</v>
      </c>
      <c r="H382" s="1802" t="s">
        <v>247</v>
      </c>
      <c r="I382" s="1802" t="s">
        <v>169</v>
      </c>
      <c r="J382" s="2263" t="s">
        <v>176</v>
      </c>
      <c r="K382" s="1735" t="s">
        <v>257</v>
      </c>
      <c r="L382" s="2268">
        <v>23173</v>
      </c>
      <c r="M382" s="1544"/>
      <c r="N382" s="1802">
        <v>23172</v>
      </c>
      <c r="O382" s="1841">
        <v>66.666666666666671</v>
      </c>
      <c r="P382" s="887">
        <v>6</v>
      </c>
      <c r="Q382" s="2823">
        <f t="shared" si="76"/>
        <v>400</v>
      </c>
      <c r="R382" s="2822"/>
      <c r="S382" s="1806"/>
      <c r="T382" s="1806"/>
      <c r="U382" s="1806"/>
      <c r="V382" s="1806">
        <v>400</v>
      </c>
      <c r="W382" s="1806"/>
      <c r="X382" s="1807"/>
      <c r="Y382" s="1808"/>
      <c r="Z382" s="1735"/>
      <c r="AA382" s="1735"/>
      <c r="AB382" s="1735"/>
      <c r="AC382" s="1735"/>
      <c r="AD382" s="1735"/>
      <c r="AE382" s="1735"/>
      <c r="AF382" s="1735"/>
      <c r="AG382" s="1282">
        <f t="shared" si="73"/>
        <v>400</v>
      </c>
    </row>
    <row r="383" spans="1:33" s="1725" customFormat="1" ht="57" hidden="1" customHeight="1">
      <c r="A383" s="1839">
        <v>3115</v>
      </c>
      <c r="B383" s="1889" t="s">
        <v>269</v>
      </c>
      <c r="C383" s="1840" t="s">
        <v>270</v>
      </c>
      <c r="D383" s="1890"/>
      <c r="E383" s="1802">
        <v>15</v>
      </c>
      <c r="F383" s="1801">
        <v>43290</v>
      </c>
      <c r="G383" s="1801">
        <f t="shared" si="74"/>
        <v>43305</v>
      </c>
      <c r="H383" s="1802" t="s">
        <v>247</v>
      </c>
      <c r="I383" s="1802" t="s">
        <v>169</v>
      </c>
      <c r="J383" s="1803" t="s">
        <v>176</v>
      </c>
      <c r="K383" s="2112" t="s">
        <v>252</v>
      </c>
      <c r="L383" s="1804">
        <v>23174</v>
      </c>
      <c r="M383" s="1544"/>
      <c r="N383" s="1802">
        <v>23174</v>
      </c>
      <c r="O383" s="1810">
        <v>12</v>
      </c>
      <c r="P383" s="1802">
        <f>20*9</f>
        <v>180</v>
      </c>
      <c r="Q383" s="2823">
        <f t="shared" si="76"/>
        <v>2160</v>
      </c>
      <c r="R383" s="2822"/>
      <c r="S383" s="1806"/>
      <c r="T383" s="1806"/>
      <c r="U383" s="1806"/>
      <c r="V383" s="1806"/>
      <c r="W383" s="1806">
        <v>2160</v>
      </c>
      <c r="X383" s="1807"/>
      <c r="Y383" s="1808"/>
      <c r="Z383" s="1735"/>
      <c r="AA383" s="1735"/>
      <c r="AB383" s="1735"/>
      <c r="AC383" s="1735"/>
      <c r="AD383" s="1735"/>
      <c r="AE383" s="1735"/>
      <c r="AF383" s="1735"/>
      <c r="AG383" s="1282">
        <f t="shared" si="73"/>
        <v>2160</v>
      </c>
    </row>
    <row r="384" spans="1:33" s="1725" customFormat="1" ht="57" hidden="1" customHeight="1">
      <c r="A384" s="1839">
        <v>3115</v>
      </c>
      <c r="B384" s="1889" t="s">
        <v>269</v>
      </c>
      <c r="C384" s="1840" t="s">
        <v>270</v>
      </c>
      <c r="D384" s="1890"/>
      <c r="E384" s="1802">
        <v>15</v>
      </c>
      <c r="F384" s="1801">
        <v>43290</v>
      </c>
      <c r="G384" s="1801">
        <f t="shared" si="74"/>
        <v>43305</v>
      </c>
      <c r="H384" s="1802" t="s">
        <v>247</v>
      </c>
      <c r="I384" s="1802" t="s">
        <v>169</v>
      </c>
      <c r="J384" s="1803" t="s">
        <v>176</v>
      </c>
      <c r="K384" s="1544" t="s">
        <v>253</v>
      </c>
      <c r="L384" s="1804">
        <v>23174</v>
      </c>
      <c r="M384" s="1544"/>
      <c r="N384" s="1802">
        <v>23174</v>
      </c>
      <c r="O384" s="1810">
        <v>13.333333333333334</v>
      </c>
      <c r="P384" s="1802">
        <f>20*8</f>
        <v>160</v>
      </c>
      <c r="Q384" s="2823">
        <f t="shared" si="76"/>
        <v>2133.3333333333335</v>
      </c>
      <c r="R384" s="2822"/>
      <c r="S384" s="1806"/>
      <c r="T384" s="1806"/>
      <c r="U384" s="1806"/>
      <c r="V384" s="1806"/>
      <c r="W384" s="1806">
        <v>2133.3333333333335</v>
      </c>
      <c r="X384" s="1807"/>
      <c r="Y384" s="1808"/>
      <c r="Z384" s="1735"/>
      <c r="AA384" s="1735"/>
      <c r="AB384" s="1735"/>
      <c r="AC384" s="1735"/>
      <c r="AD384" s="1735"/>
      <c r="AE384" s="1735"/>
      <c r="AF384" s="1735"/>
      <c r="AG384" s="1282">
        <f t="shared" si="73"/>
        <v>2133.3333333333335</v>
      </c>
    </row>
    <row r="385" spans="1:33" s="1725" customFormat="1" ht="57" hidden="1" customHeight="1">
      <c r="A385" s="1839">
        <v>3115</v>
      </c>
      <c r="B385" s="1889" t="s">
        <v>269</v>
      </c>
      <c r="C385" s="1840" t="s">
        <v>270</v>
      </c>
      <c r="D385" s="1890"/>
      <c r="E385" s="1802">
        <v>15</v>
      </c>
      <c r="F385" s="1801">
        <v>43290</v>
      </c>
      <c r="G385" s="1801">
        <f t="shared" si="74"/>
        <v>43305</v>
      </c>
      <c r="H385" s="1802" t="s">
        <v>247</v>
      </c>
      <c r="I385" s="1802" t="s">
        <v>169</v>
      </c>
      <c r="J385" s="1803" t="s">
        <v>176</v>
      </c>
      <c r="K385" s="2264" t="s">
        <v>254</v>
      </c>
      <c r="L385" s="1804">
        <v>23174</v>
      </c>
      <c r="M385" s="1544"/>
      <c r="N385" s="1802">
        <v>23174</v>
      </c>
      <c r="O385" s="1841">
        <v>10</v>
      </c>
      <c r="P385" s="887">
        <v>20</v>
      </c>
      <c r="Q385" s="2823">
        <f t="shared" si="76"/>
        <v>200</v>
      </c>
      <c r="R385" s="2822"/>
      <c r="S385" s="1806"/>
      <c r="T385" s="1806"/>
      <c r="U385" s="1806"/>
      <c r="V385" s="1806"/>
      <c r="W385" s="1806">
        <v>200</v>
      </c>
      <c r="X385" s="1807"/>
      <c r="Y385" s="1808"/>
      <c r="Z385" s="1735"/>
      <c r="AA385" s="1735"/>
      <c r="AB385" s="1735"/>
      <c r="AC385" s="1735"/>
      <c r="AD385" s="1735"/>
      <c r="AE385" s="1735"/>
      <c r="AF385" s="1735"/>
      <c r="AG385" s="1282">
        <f t="shared" si="73"/>
        <v>200</v>
      </c>
    </row>
    <row r="386" spans="1:33" s="1725" customFormat="1" ht="57" hidden="1" customHeight="1">
      <c r="A386" s="1839">
        <v>3115</v>
      </c>
      <c r="B386" s="1889" t="s">
        <v>269</v>
      </c>
      <c r="C386" s="1840" t="s">
        <v>270</v>
      </c>
      <c r="D386" s="1890"/>
      <c r="E386" s="1802">
        <v>15</v>
      </c>
      <c r="F386" s="1801">
        <v>43290</v>
      </c>
      <c r="G386" s="1801">
        <f t="shared" si="74"/>
        <v>43305</v>
      </c>
      <c r="H386" s="1802" t="s">
        <v>247</v>
      </c>
      <c r="I386" s="1802" t="s">
        <v>169</v>
      </c>
      <c r="J386" s="2263" t="s">
        <v>176</v>
      </c>
      <c r="K386" s="1735" t="s">
        <v>255</v>
      </c>
      <c r="L386" s="1892">
        <v>23174</v>
      </c>
      <c r="M386" s="1544"/>
      <c r="N386" s="1802">
        <v>23174</v>
      </c>
      <c r="O386" s="1841">
        <v>0.4</v>
      </c>
      <c r="P386" s="887">
        <v>170</v>
      </c>
      <c r="Q386" s="2823">
        <f t="shared" si="76"/>
        <v>68</v>
      </c>
      <c r="R386" s="2822"/>
      <c r="S386" s="1806"/>
      <c r="T386" s="1806"/>
      <c r="U386" s="1806"/>
      <c r="V386" s="1806"/>
      <c r="W386" s="1806">
        <v>68</v>
      </c>
      <c r="X386" s="1807"/>
      <c r="Y386" s="1808"/>
      <c r="Z386" s="1735"/>
      <c r="AA386" s="1735"/>
      <c r="AB386" s="1735"/>
      <c r="AC386" s="1735"/>
      <c r="AD386" s="1735"/>
      <c r="AE386" s="1735"/>
      <c r="AF386" s="1735"/>
      <c r="AG386" s="1282">
        <f t="shared" si="73"/>
        <v>68</v>
      </c>
    </row>
    <row r="387" spans="1:33" s="1725" customFormat="1" ht="57" hidden="1" customHeight="1">
      <c r="A387" s="1839">
        <v>3115</v>
      </c>
      <c r="B387" s="1889" t="s">
        <v>269</v>
      </c>
      <c r="C387" s="1840" t="s">
        <v>270</v>
      </c>
      <c r="D387" s="1890"/>
      <c r="E387" s="1802">
        <v>45</v>
      </c>
      <c r="F387" s="1801">
        <v>43193</v>
      </c>
      <c r="G387" s="1801">
        <f t="shared" si="74"/>
        <v>43238</v>
      </c>
      <c r="H387" s="1802" t="s">
        <v>247</v>
      </c>
      <c r="I387" s="1802" t="s">
        <v>169</v>
      </c>
      <c r="J387" s="1803" t="s">
        <v>176</v>
      </c>
      <c r="K387" s="326" t="s">
        <v>256</v>
      </c>
      <c r="L387" s="1804">
        <v>23173</v>
      </c>
      <c r="M387" s="1544"/>
      <c r="N387" s="1802">
        <v>23173</v>
      </c>
      <c r="O387" s="1841">
        <v>72.333333333333329</v>
      </c>
      <c r="P387" s="887">
        <v>1</v>
      </c>
      <c r="Q387" s="2823">
        <f t="shared" si="76"/>
        <v>72.333333333333329</v>
      </c>
      <c r="R387" s="2822"/>
      <c r="S387" s="1806"/>
      <c r="T387" s="1806"/>
      <c r="U387" s="1806">
        <v>72.333333333333329</v>
      </c>
      <c r="V387" s="1806"/>
      <c r="X387" s="1807"/>
      <c r="Y387" s="1808"/>
      <c r="Z387" s="1735"/>
      <c r="AA387" s="1735"/>
      <c r="AB387" s="1735"/>
      <c r="AC387" s="1735"/>
      <c r="AD387" s="1735"/>
      <c r="AE387" s="1735"/>
      <c r="AF387" s="1735"/>
      <c r="AG387" s="1282">
        <f t="shared" si="73"/>
        <v>72.333333333333329</v>
      </c>
    </row>
    <row r="388" spans="1:33" s="1725" customFormat="1" ht="57" hidden="1" customHeight="1">
      <c r="A388" s="1839">
        <v>3115</v>
      </c>
      <c r="B388" s="1889" t="s">
        <v>269</v>
      </c>
      <c r="C388" s="1840" t="s">
        <v>270</v>
      </c>
      <c r="D388" s="1890"/>
      <c r="E388" s="1802">
        <v>15</v>
      </c>
      <c r="F388" s="1801">
        <v>43290</v>
      </c>
      <c r="G388" s="1801">
        <f t="shared" si="74"/>
        <v>43305</v>
      </c>
      <c r="H388" s="1802" t="s">
        <v>247</v>
      </c>
      <c r="I388" s="1802" t="s">
        <v>169</v>
      </c>
      <c r="J388" s="1891" t="s">
        <v>176</v>
      </c>
      <c r="K388" s="1735" t="s">
        <v>257</v>
      </c>
      <c r="L388" s="1892">
        <v>23173</v>
      </c>
      <c r="M388" s="1544"/>
      <c r="N388" s="1802">
        <v>23172</v>
      </c>
      <c r="O388" s="1841">
        <v>66.666666666666671</v>
      </c>
      <c r="P388" s="887">
        <v>7</v>
      </c>
      <c r="Q388" s="2823">
        <f t="shared" si="76"/>
        <v>466.66666666666669</v>
      </c>
      <c r="R388" s="2822"/>
      <c r="S388" s="1806"/>
      <c r="T388" s="1806"/>
      <c r="U388" s="1806"/>
      <c r="V388" s="1806"/>
      <c r="W388" s="1806">
        <v>466.66666666666669</v>
      </c>
      <c r="X388" s="1807"/>
      <c r="Y388" s="1808"/>
      <c r="Z388" s="1735"/>
      <c r="AA388" s="1735"/>
      <c r="AB388" s="1735"/>
      <c r="AC388" s="1735"/>
      <c r="AD388" s="1735"/>
      <c r="AE388" s="1735"/>
      <c r="AF388" s="1735"/>
      <c r="AG388" s="1282">
        <f t="shared" si="73"/>
        <v>466.66666666666669</v>
      </c>
    </row>
    <row r="389" spans="1:33" s="1725" customFormat="1" ht="57" hidden="1" customHeight="1">
      <c r="A389" s="1839">
        <v>3116</v>
      </c>
      <c r="B389" s="1889" t="s">
        <v>271</v>
      </c>
      <c r="C389" s="1840" t="s">
        <v>272</v>
      </c>
      <c r="D389" s="1890"/>
      <c r="E389" s="1802">
        <v>15</v>
      </c>
      <c r="F389" s="1801">
        <v>43311</v>
      </c>
      <c r="G389" s="1801">
        <f t="shared" si="74"/>
        <v>43326</v>
      </c>
      <c r="H389" s="1802" t="s">
        <v>247</v>
      </c>
      <c r="I389" s="1802" t="s">
        <v>169</v>
      </c>
      <c r="J389" s="1891" t="s">
        <v>176</v>
      </c>
      <c r="K389" s="1735" t="s">
        <v>273</v>
      </c>
      <c r="L389" s="1892">
        <v>23173</v>
      </c>
      <c r="M389" s="1544"/>
      <c r="N389" s="1802">
        <v>23173</v>
      </c>
      <c r="O389" s="1841">
        <v>0.4</v>
      </c>
      <c r="P389" s="887">
        <v>170</v>
      </c>
      <c r="Q389" s="2823">
        <f>O389*P389</f>
        <v>68</v>
      </c>
      <c r="R389" s="2822"/>
      <c r="S389" s="1806"/>
      <c r="T389" s="1806"/>
      <c r="U389" s="1806"/>
      <c r="V389" s="1806"/>
      <c r="W389" s="1806"/>
      <c r="X389" s="1807">
        <v>68</v>
      </c>
      <c r="Y389" s="1808"/>
      <c r="Z389" s="1735"/>
      <c r="AA389" s="1735"/>
      <c r="AB389" s="1735"/>
      <c r="AC389" s="1735"/>
      <c r="AD389" s="1735"/>
      <c r="AE389" s="1735"/>
      <c r="AF389" s="1735"/>
      <c r="AG389" s="1282">
        <f t="shared" si="73"/>
        <v>68</v>
      </c>
    </row>
    <row r="390" spans="1:33" s="1725" customFormat="1" ht="57" hidden="1" customHeight="1">
      <c r="A390" s="1839">
        <v>3116</v>
      </c>
      <c r="B390" s="1889" t="s">
        <v>271</v>
      </c>
      <c r="C390" s="1840" t="s">
        <v>272</v>
      </c>
      <c r="D390" s="1890"/>
      <c r="E390" s="1802">
        <v>45</v>
      </c>
      <c r="F390" s="1801">
        <v>43193</v>
      </c>
      <c r="G390" s="1801">
        <f t="shared" si="74"/>
        <v>43238</v>
      </c>
      <c r="H390" s="1802" t="s">
        <v>247</v>
      </c>
      <c r="I390" s="1802" t="s">
        <v>169</v>
      </c>
      <c r="J390" s="1803" t="s">
        <v>176</v>
      </c>
      <c r="K390" s="326" t="s">
        <v>256</v>
      </c>
      <c r="L390" s="1804">
        <v>23173</v>
      </c>
      <c r="M390" s="1544"/>
      <c r="N390" s="1802">
        <v>23173</v>
      </c>
      <c r="O390" s="1841">
        <v>48.666666666666664</v>
      </c>
      <c r="P390" s="887">
        <v>1</v>
      </c>
      <c r="Q390" s="2823">
        <f>O390*P390</f>
        <v>48.666666666666664</v>
      </c>
      <c r="R390" s="2822"/>
      <c r="S390" s="1806"/>
      <c r="T390" s="1806"/>
      <c r="U390" s="1806">
        <v>48.666666666666664</v>
      </c>
      <c r="V390" s="1806"/>
      <c r="W390" s="1806"/>
      <c r="Y390" s="1808"/>
      <c r="Z390" s="1735"/>
      <c r="AA390" s="1735"/>
      <c r="AB390" s="1735"/>
      <c r="AC390" s="1735"/>
      <c r="AD390" s="1735"/>
      <c r="AE390" s="1735"/>
      <c r="AF390" s="1735"/>
      <c r="AG390" s="1282">
        <f t="shared" si="73"/>
        <v>48.666666666666664</v>
      </c>
    </row>
    <row r="391" spans="1:33" s="1725" customFormat="1" ht="57" hidden="1" customHeight="1">
      <c r="A391" s="1839">
        <v>3116</v>
      </c>
      <c r="B391" s="1889" t="s">
        <v>271</v>
      </c>
      <c r="C391" s="1840" t="s">
        <v>272</v>
      </c>
      <c r="D391" s="1890"/>
      <c r="E391" s="1802">
        <v>15</v>
      </c>
      <c r="F391" s="1801">
        <v>43311</v>
      </c>
      <c r="G391" s="1801">
        <f t="shared" si="74"/>
        <v>43326</v>
      </c>
      <c r="H391" s="1802" t="s">
        <v>247</v>
      </c>
      <c r="I391" s="1802" t="s">
        <v>169</v>
      </c>
      <c r="J391" s="1803" t="s">
        <v>176</v>
      </c>
      <c r="K391" s="1725" t="s">
        <v>257</v>
      </c>
      <c r="L391" s="1804">
        <v>23173</v>
      </c>
      <c r="M391" s="1544"/>
      <c r="N391" s="1802">
        <v>23172</v>
      </c>
      <c r="O391" s="1841">
        <v>66.666666666666671</v>
      </c>
      <c r="P391" s="887">
        <v>1</v>
      </c>
      <c r="Q391" s="2823">
        <f>O391*P391</f>
        <v>66.666666666666671</v>
      </c>
      <c r="R391" s="2822"/>
      <c r="S391" s="1806"/>
      <c r="T391" s="1806"/>
      <c r="U391" s="1806"/>
      <c r="V391" s="1806"/>
      <c r="W391" s="1806"/>
      <c r="X391" s="1807">
        <v>66.666666666666671</v>
      </c>
      <c r="Y391" s="1808"/>
      <c r="Z391" s="1735"/>
      <c r="AA391" s="1735"/>
      <c r="AB391" s="1735"/>
      <c r="AC391" s="1735"/>
      <c r="AD391" s="1735"/>
      <c r="AE391" s="1735"/>
      <c r="AF391" s="1735"/>
      <c r="AG391" s="1282">
        <f t="shared" si="73"/>
        <v>66.666666666666671</v>
      </c>
    </row>
    <row r="392" spans="1:33" s="280" customFormat="1" ht="31.5" customHeight="1">
      <c r="A392" s="1248" t="s">
        <v>274</v>
      </c>
      <c r="B392" s="274"/>
      <c r="C392" s="278"/>
      <c r="D392" s="1270"/>
      <c r="E392" s="1270"/>
      <c r="F392" s="1270"/>
      <c r="G392" s="1270"/>
      <c r="H392" s="1270"/>
      <c r="I392" s="1270"/>
      <c r="J392" s="273"/>
      <c r="K392" s="1248"/>
      <c r="L392" s="1269"/>
      <c r="M392" s="1270"/>
      <c r="N392" s="1268"/>
      <c r="O392" s="1272"/>
      <c r="P392" s="1268"/>
      <c r="Q392" s="1273">
        <f>+Q393+Q400+Q407+Q421+Q428+Q434</f>
        <v>99999.71</v>
      </c>
      <c r="R392" s="1273">
        <v>100000</v>
      </c>
      <c r="S392" s="1272">
        <f t="shared" ref="S392:AG392" si="77">+S393+S400+S407+S421+S428+S434</f>
        <v>0</v>
      </c>
      <c r="T392" s="1272">
        <f t="shared" si="77"/>
        <v>0</v>
      </c>
      <c r="U392" s="1272">
        <f t="shared" si="77"/>
        <v>0</v>
      </c>
      <c r="V392" s="1272">
        <f t="shared" si="77"/>
        <v>0</v>
      </c>
      <c r="W392" s="1272">
        <f t="shared" si="77"/>
        <v>51037.666666666672</v>
      </c>
      <c r="X392" s="1272">
        <f t="shared" si="77"/>
        <v>26295.376666666667</v>
      </c>
      <c r="Y392" s="1272">
        <f t="shared" si="77"/>
        <v>0</v>
      </c>
      <c r="Z392" s="276">
        <f t="shared" si="77"/>
        <v>22666.666666666668</v>
      </c>
      <c r="AA392" s="276">
        <f t="shared" si="77"/>
        <v>0</v>
      </c>
      <c r="AB392" s="276">
        <f t="shared" si="77"/>
        <v>0</v>
      </c>
      <c r="AC392" s="276">
        <f t="shared" si="77"/>
        <v>0</v>
      </c>
      <c r="AD392" s="276">
        <f t="shared" si="77"/>
        <v>0</v>
      </c>
      <c r="AE392" s="276">
        <f t="shared" si="77"/>
        <v>0</v>
      </c>
      <c r="AF392" s="276">
        <f t="shared" si="77"/>
        <v>0</v>
      </c>
      <c r="AG392" s="1272">
        <f t="shared" si="77"/>
        <v>99999.71</v>
      </c>
    </row>
    <row r="393" spans="1:33" s="550" customFormat="1" ht="36.75" hidden="1" customHeight="1">
      <c r="A393" s="1275">
        <v>321</v>
      </c>
      <c r="B393" s="523" t="s">
        <v>552</v>
      </c>
      <c r="C393" s="1504"/>
      <c r="D393" s="1358"/>
      <c r="E393" s="1358"/>
      <c r="F393" s="1358"/>
      <c r="G393" s="1358"/>
      <c r="H393" s="1358"/>
      <c r="I393" s="1358"/>
      <c r="J393" s="543"/>
      <c r="K393" s="1545"/>
      <c r="L393" s="1389"/>
      <c r="M393" s="1390"/>
      <c r="N393" s="1388"/>
      <c r="O393" s="1282"/>
      <c r="P393" s="1388"/>
      <c r="Q393" s="547">
        <f>SUM(Q394:Q399)</f>
        <v>22794.666666666668</v>
      </c>
      <c r="R393" s="547"/>
      <c r="S393" s="1282">
        <f t="shared" ref="S393:AF393" si="78">SUM(S394:S399)</f>
        <v>0</v>
      </c>
      <c r="T393" s="1282">
        <f t="shared" si="78"/>
        <v>0</v>
      </c>
      <c r="U393" s="1282">
        <f t="shared" si="78"/>
        <v>0</v>
      </c>
      <c r="V393" s="1282">
        <f t="shared" si="78"/>
        <v>0</v>
      </c>
      <c r="W393" s="1282">
        <f t="shared" si="78"/>
        <v>22794.666666666668</v>
      </c>
      <c r="X393" s="1282">
        <f t="shared" si="78"/>
        <v>0</v>
      </c>
      <c r="Y393" s="1282">
        <f t="shared" si="78"/>
        <v>0</v>
      </c>
      <c r="Z393" s="1282">
        <f t="shared" si="78"/>
        <v>0</v>
      </c>
      <c r="AA393" s="1282">
        <f t="shared" si="78"/>
        <v>0</v>
      </c>
      <c r="AB393" s="1282">
        <f t="shared" si="78"/>
        <v>0</v>
      </c>
      <c r="AC393" s="1282">
        <f t="shared" si="78"/>
        <v>0</v>
      </c>
      <c r="AD393" s="1282">
        <f t="shared" si="78"/>
        <v>0</v>
      </c>
      <c r="AE393" s="1282">
        <f t="shared" si="78"/>
        <v>0</v>
      </c>
      <c r="AF393" s="1282">
        <f t="shared" si="78"/>
        <v>0</v>
      </c>
      <c r="AG393" s="1282">
        <f>SUM(S393:AF393)</f>
        <v>22794.666666666668</v>
      </c>
    </row>
    <row r="394" spans="1:33" s="280" customFormat="1" hidden="1">
      <c r="A394" s="294">
        <v>3212</v>
      </c>
      <c r="B394" s="291" t="s">
        <v>556</v>
      </c>
      <c r="C394" s="824" t="s">
        <v>559</v>
      </c>
      <c r="D394" s="294" t="s">
        <v>514</v>
      </c>
      <c r="E394" s="294">
        <v>45</v>
      </c>
      <c r="F394" s="829">
        <v>43194</v>
      </c>
      <c r="G394" s="829">
        <f>+E394+F394</f>
        <v>43239</v>
      </c>
      <c r="H394" s="1391" t="s">
        <v>555</v>
      </c>
      <c r="I394" s="294" t="s">
        <v>169</v>
      </c>
      <c r="J394" s="307" t="s">
        <v>177</v>
      </c>
      <c r="K394" s="326" t="s">
        <v>302</v>
      </c>
      <c r="L394" s="1241">
        <v>23173</v>
      </c>
      <c r="M394" s="296"/>
      <c r="N394" s="294"/>
      <c r="O394" s="355">
        <v>202.6</v>
      </c>
      <c r="P394" s="294">
        <v>1</v>
      </c>
      <c r="Q394" s="299">
        <f>O394*P394</f>
        <v>202.6</v>
      </c>
      <c r="R394" s="299"/>
      <c r="S394" s="298"/>
      <c r="T394" s="298"/>
      <c r="U394" s="298"/>
      <c r="V394" s="298"/>
      <c r="W394" s="355">
        <v>202.6</v>
      </c>
      <c r="X394" s="1137"/>
      <c r="Y394" s="1126"/>
      <c r="Z394" s="1126"/>
      <c r="AA394" s="1126"/>
      <c r="AB394" s="1126"/>
      <c r="AC394" s="1126"/>
      <c r="AD394" s="1126"/>
      <c r="AE394" s="1126"/>
      <c r="AF394" s="1126"/>
      <c r="AG394" s="1282">
        <f t="shared" ref="AG394:AG399" si="79">SUM(S394:AF394)</f>
        <v>202.6</v>
      </c>
    </row>
    <row r="395" spans="1:33" s="280" customFormat="1" hidden="1">
      <c r="A395" s="294">
        <v>3212</v>
      </c>
      <c r="B395" s="291" t="s">
        <v>556</v>
      </c>
      <c r="C395" s="824" t="s">
        <v>560</v>
      </c>
      <c r="D395" s="1391"/>
      <c r="E395" s="294">
        <f>10</f>
        <v>10</v>
      </c>
      <c r="F395" s="829">
        <v>43252</v>
      </c>
      <c r="G395" s="829">
        <f>+F395+E395</f>
        <v>43262</v>
      </c>
      <c r="H395" s="1391" t="s">
        <v>555</v>
      </c>
      <c r="I395" s="294" t="s">
        <v>177</v>
      </c>
      <c r="J395" s="307"/>
      <c r="K395" s="326" t="s">
        <v>561</v>
      </c>
      <c r="L395" s="1241">
        <v>23174</v>
      </c>
      <c r="M395" s="296"/>
      <c r="N395" s="294"/>
      <c r="O395" s="1364">
        <v>4064</v>
      </c>
      <c r="P395" s="294">
        <v>1</v>
      </c>
      <c r="Q395" s="299">
        <f>O395*P395</f>
        <v>4064</v>
      </c>
      <c r="R395" s="299"/>
      <c r="S395" s="298"/>
      <c r="T395" s="298"/>
      <c r="U395" s="298"/>
      <c r="V395" s="298"/>
      <c r="W395" s="355">
        <v>4064</v>
      </c>
      <c r="X395" s="1137"/>
      <c r="Y395" s="1126"/>
      <c r="Z395" s="1126"/>
      <c r="AA395" s="1126"/>
      <c r="AB395" s="1126"/>
      <c r="AC395" s="1126"/>
      <c r="AD395" s="1126"/>
      <c r="AE395" s="1126"/>
      <c r="AF395" s="1126"/>
      <c r="AG395" s="1282">
        <f t="shared" si="79"/>
        <v>4064</v>
      </c>
    </row>
    <row r="396" spans="1:33" s="280" customFormat="1" hidden="1">
      <c r="A396" s="294">
        <v>3212</v>
      </c>
      <c r="B396" s="291" t="s">
        <v>556</v>
      </c>
      <c r="C396" s="824" t="s">
        <v>562</v>
      </c>
      <c r="D396" s="1391"/>
      <c r="E396" s="294">
        <f>10</f>
        <v>10</v>
      </c>
      <c r="F396" s="829">
        <v>43252</v>
      </c>
      <c r="G396" s="829">
        <f>+F396+E396</f>
        <v>43262</v>
      </c>
      <c r="H396" s="1391" t="s">
        <v>555</v>
      </c>
      <c r="I396" s="294" t="s">
        <v>177</v>
      </c>
      <c r="J396" s="307"/>
      <c r="K396" s="326" t="s">
        <v>563</v>
      </c>
      <c r="L396" s="1241">
        <v>23174</v>
      </c>
      <c r="M396" s="296"/>
      <c r="N396" s="294"/>
      <c r="O396" s="355">
        <v>1640</v>
      </c>
      <c r="P396" s="294">
        <v>1</v>
      </c>
      <c r="Q396" s="299">
        <f>O396*P396</f>
        <v>1640</v>
      </c>
      <c r="R396" s="299"/>
      <c r="S396" s="298"/>
      <c r="T396" s="298"/>
      <c r="U396" s="298"/>
      <c r="V396" s="298"/>
      <c r="W396" s="355">
        <v>1640</v>
      </c>
      <c r="X396" s="1137"/>
      <c r="Y396" s="1126"/>
      <c r="Z396" s="1126"/>
      <c r="AA396" s="1126"/>
      <c r="AB396" s="1126"/>
      <c r="AC396" s="1126"/>
      <c r="AD396" s="1126"/>
      <c r="AE396" s="1126"/>
      <c r="AF396" s="1126"/>
      <c r="AG396" s="1282">
        <f t="shared" si="79"/>
        <v>1640</v>
      </c>
    </row>
    <row r="397" spans="1:33" s="280" customFormat="1" hidden="1">
      <c r="A397" s="294">
        <v>3212</v>
      </c>
      <c r="B397" s="291" t="s">
        <v>556</v>
      </c>
      <c r="C397" s="824" t="s">
        <v>564</v>
      </c>
      <c r="D397" s="1391"/>
      <c r="E397" s="294">
        <f>10</f>
        <v>10</v>
      </c>
      <c r="F397" s="829">
        <v>43252</v>
      </c>
      <c r="G397" s="829">
        <f>+F397+E397</f>
        <v>43262</v>
      </c>
      <c r="H397" s="1391" t="s">
        <v>555</v>
      </c>
      <c r="I397" s="294" t="s">
        <v>177</v>
      </c>
      <c r="J397" s="307"/>
      <c r="K397" s="326" t="s">
        <v>565</v>
      </c>
      <c r="L397" s="1241">
        <v>23174</v>
      </c>
      <c r="M397" s="296"/>
      <c r="N397" s="294"/>
      <c r="O397" s="355">
        <v>426.73333333333335</v>
      </c>
      <c r="P397" s="294">
        <v>1</v>
      </c>
      <c r="Q397" s="299">
        <f>O397*P397</f>
        <v>426.73333333333335</v>
      </c>
      <c r="R397" s="299"/>
      <c r="S397" s="298"/>
      <c r="T397" s="298"/>
      <c r="U397" s="298"/>
      <c r="V397" s="298"/>
      <c r="W397" s="355">
        <v>426.73333333333335</v>
      </c>
      <c r="X397" s="1137"/>
      <c r="Y397" s="1126"/>
      <c r="Z397" s="1126"/>
      <c r="AA397" s="1126"/>
      <c r="AB397" s="1126"/>
      <c r="AC397" s="1126"/>
      <c r="AD397" s="1126"/>
      <c r="AE397" s="1126"/>
      <c r="AF397" s="1126"/>
      <c r="AG397" s="1282">
        <f t="shared" si="79"/>
        <v>426.73333333333335</v>
      </c>
    </row>
    <row r="398" spans="1:33" s="280" customFormat="1" hidden="1">
      <c r="A398" s="294">
        <v>3212</v>
      </c>
      <c r="B398" s="291" t="s">
        <v>556</v>
      </c>
      <c r="C398" s="824" t="s">
        <v>566</v>
      </c>
      <c r="D398" s="1391"/>
      <c r="E398" s="294">
        <f>10</f>
        <v>10</v>
      </c>
      <c r="F398" s="829">
        <v>43252</v>
      </c>
      <c r="G398" s="829">
        <f>+F398+E398</f>
        <v>43262</v>
      </c>
      <c r="H398" s="1391" t="s">
        <v>555</v>
      </c>
      <c r="I398" s="294" t="s">
        <v>169</v>
      </c>
      <c r="J398" s="307" t="s">
        <v>177</v>
      </c>
      <c r="K398" s="326" t="s">
        <v>486</v>
      </c>
      <c r="L398" s="1241">
        <v>23173</v>
      </c>
      <c r="M398" s="296"/>
      <c r="N398" s="294"/>
      <c r="O398" s="355">
        <v>333.33333333333331</v>
      </c>
      <c r="P398" s="294">
        <v>1</v>
      </c>
      <c r="Q398" s="299">
        <f>O398*P398</f>
        <v>333.33333333333331</v>
      </c>
      <c r="R398" s="299"/>
      <c r="S398" s="298"/>
      <c r="T398" s="298"/>
      <c r="U398" s="298"/>
      <c r="V398" s="298"/>
      <c r="W398" s="355">
        <v>333.33333333333331</v>
      </c>
      <c r="X398" s="1137"/>
      <c r="Y398" s="1126"/>
      <c r="Z398" s="1126"/>
      <c r="AA398" s="1126"/>
      <c r="AB398" s="1126"/>
      <c r="AC398" s="1126"/>
      <c r="AD398" s="1126"/>
      <c r="AE398" s="1126"/>
      <c r="AF398" s="1126"/>
      <c r="AG398" s="1282">
        <f t="shared" si="79"/>
        <v>333.33333333333331</v>
      </c>
    </row>
    <row r="399" spans="1:33" s="280" customFormat="1" hidden="1">
      <c r="A399" s="294">
        <v>3214</v>
      </c>
      <c r="B399" s="291" t="s">
        <v>570</v>
      </c>
      <c r="C399" s="824" t="s">
        <v>571</v>
      </c>
      <c r="D399" s="294"/>
      <c r="E399" s="294"/>
      <c r="F399" s="829">
        <v>43282</v>
      </c>
      <c r="G399" s="829"/>
      <c r="H399" s="294" t="s">
        <v>555</v>
      </c>
      <c r="I399" s="1393" t="s">
        <v>169</v>
      </c>
      <c r="J399" s="307" t="s">
        <v>177</v>
      </c>
      <c r="K399" s="326" t="s">
        <v>302</v>
      </c>
      <c r="L399" s="1241">
        <v>23173</v>
      </c>
      <c r="M399" s="296"/>
      <c r="N399" s="294"/>
      <c r="O399" s="487">
        <v>0.63</v>
      </c>
      <c r="P399" s="1014">
        <v>25600</v>
      </c>
      <c r="Q399" s="518">
        <f>+O399*P399</f>
        <v>16128</v>
      </c>
      <c r="R399" s="518"/>
      <c r="S399" s="493"/>
      <c r="T399" s="493"/>
      <c r="U399" s="493"/>
      <c r="V399" s="493"/>
      <c r="W399" s="487">
        <v>16128</v>
      </c>
      <c r="X399" s="1138"/>
      <c r="Y399" s="1156"/>
      <c r="Z399" s="1156"/>
      <c r="AA399" s="1156"/>
      <c r="AB399" s="1156"/>
      <c r="AC399" s="1156"/>
      <c r="AD399" s="1156"/>
      <c r="AE399" s="1156"/>
      <c r="AF399" s="1156"/>
      <c r="AG399" s="1282">
        <f t="shared" si="79"/>
        <v>16128</v>
      </c>
    </row>
    <row r="400" spans="1:33" s="280" customFormat="1" hidden="1">
      <c r="A400" s="1275">
        <v>322</v>
      </c>
      <c r="B400" s="523" t="s">
        <v>572</v>
      </c>
      <c r="C400" s="1504"/>
      <c r="D400" s="1358"/>
      <c r="E400" s="1358"/>
      <c r="F400" s="1358"/>
      <c r="G400" s="1358"/>
      <c r="H400" s="1358"/>
      <c r="I400" s="1358"/>
      <c r="J400" s="283"/>
      <c r="K400" s="1278"/>
      <c r="L400" s="1394"/>
      <c r="M400" s="495"/>
      <c r="N400" s="1277"/>
      <c r="O400" s="1395"/>
      <c r="P400" s="1277"/>
      <c r="Q400" s="547">
        <f>SUM(Q401:Q406)</f>
        <v>7666.666666666667</v>
      </c>
      <c r="R400" s="287"/>
      <c r="S400" s="1282">
        <f t="shared" ref="S400:AF400" si="80">SUM(S401:S406)</f>
        <v>0</v>
      </c>
      <c r="T400" s="1282">
        <f t="shared" si="80"/>
        <v>0</v>
      </c>
      <c r="U400" s="1282">
        <f t="shared" si="80"/>
        <v>0</v>
      </c>
      <c r="V400" s="1282">
        <f t="shared" si="80"/>
        <v>0</v>
      </c>
      <c r="W400" s="1282">
        <f t="shared" si="80"/>
        <v>0</v>
      </c>
      <c r="X400" s="1282">
        <f t="shared" si="80"/>
        <v>0</v>
      </c>
      <c r="Y400" s="1282">
        <f t="shared" si="80"/>
        <v>0</v>
      </c>
      <c r="Z400" s="1282">
        <f t="shared" si="80"/>
        <v>7666.666666666667</v>
      </c>
      <c r="AA400" s="1282">
        <f t="shared" si="80"/>
        <v>0</v>
      </c>
      <c r="AB400" s="1282">
        <f t="shared" si="80"/>
        <v>0</v>
      </c>
      <c r="AC400" s="1282">
        <f t="shared" si="80"/>
        <v>0</v>
      </c>
      <c r="AD400" s="1282">
        <f t="shared" si="80"/>
        <v>0</v>
      </c>
      <c r="AE400" s="1282">
        <f t="shared" si="80"/>
        <v>0</v>
      </c>
      <c r="AF400" s="1282">
        <f t="shared" si="80"/>
        <v>0</v>
      </c>
      <c r="AG400" s="1282">
        <f>SUM(S400:AF400)</f>
        <v>7666.666666666667</v>
      </c>
    </row>
    <row r="401" spans="1:33" s="280" customFormat="1" hidden="1">
      <c r="A401" s="294">
        <v>3222</v>
      </c>
      <c r="B401" s="561" t="s">
        <v>575</v>
      </c>
      <c r="C401" s="824" t="s">
        <v>579</v>
      </c>
      <c r="D401" s="294" t="s">
        <v>514</v>
      </c>
      <c r="E401" s="294">
        <v>45</v>
      </c>
      <c r="F401" s="829">
        <v>43194</v>
      </c>
      <c r="G401" s="829">
        <f t="shared" ref="G401:G406" si="81">+F401+E401</f>
        <v>43239</v>
      </c>
      <c r="H401" s="1391" t="s">
        <v>555</v>
      </c>
      <c r="I401" s="294" t="s">
        <v>169</v>
      </c>
      <c r="J401" s="307"/>
      <c r="K401" s="326" t="s">
        <v>302</v>
      </c>
      <c r="L401" s="1241">
        <v>23173</v>
      </c>
      <c r="M401" s="296"/>
      <c r="N401" s="294"/>
      <c r="O401" s="355">
        <v>202.6</v>
      </c>
      <c r="P401" s="294">
        <f>1</f>
        <v>1</v>
      </c>
      <c r="Q401" s="299">
        <f t="shared" ref="Q401:Q406" si="82">+O401*P401</f>
        <v>202.6</v>
      </c>
      <c r="R401" s="299"/>
      <c r="S401" s="298"/>
      <c r="T401" s="298"/>
      <c r="U401" s="298"/>
      <c r="V401" s="298"/>
      <c r="W401" s="355"/>
      <c r="X401" s="1137"/>
      <c r="Y401" s="1126"/>
      <c r="Z401" s="1126">
        <v>202.6</v>
      </c>
      <c r="AA401" s="1126"/>
      <c r="AB401" s="1126"/>
      <c r="AC401" s="1126"/>
      <c r="AD401" s="1126"/>
      <c r="AE401" s="1126"/>
      <c r="AF401" s="1126"/>
      <c r="AG401" s="1282">
        <f t="shared" ref="AG401:AG406" si="83">SUM(S401:AF401)</f>
        <v>202.6</v>
      </c>
    </row>
    <row r="402" spans="1:33" s="280" customFormat="1" hidden="1">
      <c r="A402" s="294">
        <v>3222</v>
      </c>
      <c r="B402" s="561" t="s">
        <v>575</v>
      </c>
      <c r="C402" s="824" t="s">
        <v>560</v>
      </c>
      <c r="D402" s="1391"/>
      <c r="E402" s="294">
        <v>10</v>
      </c>
      <c r="F402" s="829">
        <v>43313</v>
      </c>
      <c r="G402" s="829">
        <f t="shared" si="81"/>
        <v>43323</v>
      </c>
      <c r="H402" s="1391" t="s">
        <v>555</v>
      </c>
      <c r="I402" s="294" t="s">
        <v>177</v>
      </c>
      <c r="J402" s="307"/>
      <c r="K402" s="326" t="s">
        <v>561</v>
      </c>
      <c r="L402" s="1241">
        <v>23174</v>
      </c>
      <c r="M402" s="296"/>
      <c r="N402" s="294"/>
      <c r="O402" s="355">
        <v>4064</v>
      </c>
      <c r="P402" s="294">
        <f>1</f>
        <v>1</v>
      </c>
      <c r="Q402" s="299">
        <f t="shared" si="82"/>
        <v>4064</v>
      </c>
      <c r="R402" s="299"/>
      <c r="S402" s="298"/>
      <c r="T402" s="298"/>
      <c r="U402" s="298"/>
      <c r="V402" s="298"/>
      <c r="W402" s="355"/>
      <c r="X402" s="1137"/>
      <c r="Y402" s="1126"/>
      <c r="Z402" s="1126">
        <v>4064</v>
      </c>
      <c r="AA402" s="1126"/>
      <c r="AB402" s="1126"/>
      <c r="AC402" s="1126"/>
      <c r="AD402" s="1126"/>
      <c r="AE402" s="1126"/>
      <c r="AF402" s="1126"/>
      <c r="AG402" s="1282">
        <f t="shared" si="83"/>
        <v>4064</v>
      </c>
    </row>
    <row r="403" spans="1:33" s="280" customFormat="1" hidden="1">
      <c r="A403" s="294">
        <v>3222</v>
      </c>
      <c r="B403" s="561" t="s">
        <v>575</v>
      </c>
      <c r="C403" s="824" t="s">
        <v>562</v>
      </c>
      <c r="D403" s="1391"/>
      <c r="E403" s="294">
        <f>10</f>
        <v>10</v>
      </c>
      <c r="F403" s="829">
        <v>43313</v>
      </c>
      <c r="G403" s="829">
        <f t="shared" si="81"/>
        <v>43323</v>
      </c>
      <c r="H403" s="1391" t="s">
        <v>555</v>
      </c>
      <c r="I403" s="294" t="s">
        <v>177</v>
      </c>
      <c r="J403" s="307"/>
      <c r="K403" s="326" t="s">
        <v>563</v>
      </c>
      <c r="L403" s="1241">
        <v>23174</v>
      </c>
      <c r="M403" s="296"/>
      <c r="N403" s="294"/>
      <c r="O403" s="355">
        <v>1640</v>
      </c>
      <c r="P403" s="294">
        <f>1</f>
        <v>1</v>
      </c>
      <c r="Q403" s="299">
        <f t="shared" si="82"/>
        <v>1640</v>
      </c>
      <c r="R403" s="299"/>
      <c r="S403" s="298"/>
      <c r="T403" s="298"/>
      <c r="U403" s="298"/>
      <c r="V403" s="298"/>
      <c r="W403" s="355"/>
      <c r="X403" s="1137"/>
      <c r="Y403" s="1126"/>
      <c r="Z403" s="1126">
        <v>1640</v>
      </c>
      <c r="AA403" s="1126"/>
      <c r="AB403" s="1126"/>
      <c r="AC403" s="1126"/>
      <c r="AD403" s="1126"/>
      <c r="AE403" s="1126"/>
      <c r="AF403" s="1126"/>
      <c r="AG403" s="1282">
        <f t="shared" si="83"/>
        <v>1640</v>
      </c>
    </row>
    <row r="404" spans="1:33" s="280" customFormat="1" hidden="1">
      <c r="A404" s="294">
        <v>3222</v>
      </c>
      <c r="B404" s="561" t="s">
        <v>575</v>
      </c>
      <c r="C404" s="824" t="s">
        <v>564</v>
      </c>
      <c r="D404" s="1391"/>
      <c r="E404" s="294">
        <f>10</f>
        <v>10</v>
      </c>
      <c r="F404" s="829">
        <v>43313</v>
      </c>
      <c r="G404" s="829">
        <f t="shared" si="81"/>
        <v>43323</v>
      </c>
      <c r="H404" s="1391" t="s">
        <v>555</v>
      </c>
      <c r="I404" s="294" t="s">
        <v>177</v>
      </c>
      <c r="J404" s="307"/>
      <c r="K404" s="326" t="s">
        <v>565</v>
      </c>
      <c r="L404" s="1241">
        <v>23174</v>
      </c>
      <c r="M404" s="296"/>
      <c r="N404" s="294"/>
      <c r="O404" s="355">
        <v>426.73333333333335</v>
      </c>
      <c r="P404" s="294">
        <f>1</f>
        <v>1</v>
      </c>
      <c r="Q404" s="299">
        <f t="shared" si="82"/>
        <v>426.73333333333335</v>
      </c>
      <c r="R404" s="299"/>
      <c r="S404" s="298"/>
      <c r="T404" s="298"/>
      <c r="U404" s="298"/>
      <c r="V404" s="298"/>
      <c r="W404" s="355"/>
      <c r="X404" s="1137"/>
      <c r="Y404" s="1126"/>
      <c r="Z404" s="1126">
        <v>426.73333333333335</v>
      </c>
      <c r="AA404" s="1126"/>
      <c r="AB404" s="1126"/>
      <c r="AC404" s="1126"/>
      <c r="AD404" s="1126"/>
      <c r="AE404" s="1126"/>
      <c r="AF404" s="1126"/>
      <c r="AG404" s="1282">
        <f t="shared" si="83"/>
        <v>426.73333333333335</v>
      </c>
    </row>
    <row r="405" spans="1:33" s="280" customFormat="1" hidden="1">
      <c r="A405" s="294">
        <v>3222</v>
      </c>
      <c r="B405" s="561" t="s">
        <v>575</v>
      </c>
      <c r="C405" s="824" t="s">
        <v>566</v>
      </c>
      <c r="D405" s="1391"/>
      <c r="E405" s="294">
        <f>10</f>
        <v>10</v>
      </c>
      <c r="F405" s="829">
        <v>43313</v>
      </c>
      <c r="G405" s="829">
        <f t="shared" si="81"/>
        <v>43323</v>
      </c>
      <c r="H405" s="1391" t="s">
        <v>555</v>
      </c>
      <c r="I405" s="294" t="s">
        <v>169</v>
      </c>
      <c r="J405" s="307" t="s">
        <v>177</v>
      </c>
      <c r="K405" s="326" t="s">
        <v>486</v>
      </c>
      <c r="L405" s="1241">
        <v>23173</v>
      </c>
      <c r="M405" s="296"/>
      <c r="N405" s="294"/>
      <c r="O405" s="355">
        <v>333.33333333333331</v>
      </c>
      <c r="P405" s="294">
        <f>1</f>
        <v>1</v>
      </c>
      <c r="Q405" s="299">
        <f t="shared" si="82"/>
        <v>333.33333333333331</v>
      </c>
      <c r="R405" s="299"/>
      <c r="S405" s="298"/>
      <c r="T405" s="298"/>
      <c r="U405" s="298"/>
      <c r="V405" s="298"/>
      <c r="W405" s="355"/>
      <c r="X405" s="1137"/>
      <c r="Y405" s="1126"/>
      <c r="Z405" s="1126">
        <v>333.33333333333331</v>
      </c>
      <c r="AA405" s="1126"/>
      <c r="AB405" s="1126"/>
      <c r="AC405" s="1126"/>
      <c r="AD405" s="1126"/>
      <c r="AE405" s="1126"/>
      <c r="AF405" s="1126"/>
      <c r="AG405" s="1282">
        <f t="shared" si="83"/>
        <v>333.33333333333331</v>
      </c>
    </row>
    <row r="406" spans="1:33" s="280" customFormat="1" hidden="1">
      <c r="A406" s="1842">
        <v>3224</v>
      </c>
      <c r="B406" s="291" t="s">
        <v>583</v>
      </c>
      <c r="C406" s="824" t="s">
        <v>584</v>
      </c>
      <c r="D406" s="1396"/>
      <c r="E406" s="1391">
        <v>5</v>
      </c>
      <c r="F406" s="829">
        <v>43381</v>
      </c>
      <c r="G406" s="829">
        <f t="shared" si="81"/>
        <v>43386</v>
      </c>
      <c r="H406" s="1391" t="s">
        <v>555</v>
      </c>
      <c r="I406" s="294" t="s">
        <v>169</v>
      </c>
      <c r="J406" s="307" t="s">
        <v>177</v>
      </c>
      <c r="K406" s="326"/>
      <c r="L406" s="1241">
        <v>23173</v>
      </c>
      <c r="M406" s="296"/>
      <c r="N406" s="294"/>
      <c r="O406" s="487">
        <v>1000</v>
      </c>
      <c r="P406" s="294">
        <v>1</v>
      </c>
      <c r="Q406" s="518">
        <f t="shared" si="82"/>
        <v>1000</v>
      </c>
      <c r="R406" s="518"/>
      <c r="S406" s="493"/>
      <c r="T406" s="493"/>
      <c r="U406" s="493"/>
      <c r="V406" s="493"/>
      <c r="W406" s="487"/>
      <c r="X406" s="563"/>
      <c r="Y406" s="1156"/>
      <c r="Z406" s="1156">
        <v>1000</v>
      </c>
      <c r="AA406" s="1156"/>
      <c r="AB406" s="1156"/>
      <c r="AC406" s="1156"/>
      <c r="AD406" s="1156"/>
      <c r="AE406" s="1156"/>
      <c r="AF406" s="1156"/>
      <c r="AG406" s="1282">
        <f t="shared" si="83"/>
        <v>1000</v>
      </c>
    </row>
    <row r="407" spans="1:33" s="280" customFormat="1" ht="16.5" hidden="1" customHeight="1">
      <c r="A407" s="1275">
        <v>323</v>
      </c>
      <c r="B407" s="523" t="s">
        <v>585</v>
      </c>
      <c r="C407" s="1504"/>
      <c r="D407" s="1358"/>
      <c r="E407" s="1358"/>
      <c r="F407" s="1358"/>
      <c r="G407" s="1358"/>
      <c r="H407" s="1358"/>
      <c r="I407" s="1358"/>
      <c r="J407" s="283"/>
      <c r="K407" s="1278"/>
      <c r="L407" s="1394"/>
      <c r="M407" s="495"/>
      <c r="N407" s="1277"/>
      <c r="O407" s="1395"/>
      <c r="P407" s="1277"/>
      <c r="Q407" s="547">
        <f>SUM(Q408:Q420)</f>
        <v>14314.71</v>
      </c>
      <c r="R407" s="287"/>
      <c r="S407" s="1282">
        <f t="shared" ref="S407:AF407" si="84">SUM(S408:S420)</f>
        <v>0</v>
      </c>
      <c r="T407" s="1282">
        <f t="shared" si="84"/>
        <v>0</v>
      </c>
      <c r="U407" s="1282">
        <f t="shared" si="84"/>
        <v>0</v>
      </c>
      <c r="V407" s="1282">
        <f t="shared" si="84"/>
        <v>0</v>
      </c>
      <c r="W407" s="1282">
        <f t="shared" si="84"/>
        <v>0</v>
      </c>
      <c r="X407" s="1282">
        <f t="shared" si="84"/>
        <v>14314.71</v>
      </c>
      <c r="Y407" s="1282">
        <f t="shared" si="84"/>
        <v>0</v>
      </c>
      <c r="Z407" s="1282">
        <f t="shared" si="84"/>
        <v>0</v>
      </c>
      <c r="AA407" s="1282">
        <f t="shared" si="84"/>
        <v>0</v>
      </c>
      <c r="AB407" s="1282">
        <f t="shared" si="84"/>
        <v>0</v>
      </c>
      <c r="AC407" s="1282">
        <f t="shared" si="84"/>
        <v>0</v>
      </c>
      <c r="AD407" s="1282">
        <f t="shared" si="84"/>
        <v>0</v>
      </c>
      <c r="AE407" s="1282">
        <f t="shared" si="84"/>
        <v>0</v>
      </c>
      <c r="AF407" s="1282">
        <f t="shared" si="84"/>
        <v>0</v>
      </c>
      <c r="AG407" s="1282">
        <f>SUM(S407:AF407)</f>
        <v>14314.71</v>
      </c>
    </row>
    <row r="408" spans="1:33" s="280" customFormat="1" hidden="1">
      <c r="A408" s="294">
        <v>3232</v>
      </c>
      <c r="B408" s="291" t="s">
        <v>588</v>
      </c>
      <c r="C408" s="824" t="s">
        <v>579</v>
      </c>
      <c r="D408" s="341"/>
      <c r="E408" s="294">
        <v>45</v>
      </c>
      <c r="F408" s="829">
        <v>43194</v>
      </c>
      <c r="G408" s="829">
        <f t="shared" ref="G408:G414" si="85">+F408+E408</f>
        <v>43239</v>
      </c>
      <c r="H408" s="1391"/>
      <c r="I408" s="294" t="s">
        <v>169</v>
      </c>
      <c r="J408" s="307" t="s">
        <v>177</v>
      </c>
      <c r="K408" s="326" t="s">
        <v>302</v>
      </c>
      <c r="L408" s="1241">
        <v>23173</v>
      </c>
      <c r="M408" s="296"/>
      <c r="N408" s="294"/>
      <c r="O408" s="355">
        <v>79.5</v>
      </c>
      <c r="P408" s="294">
        <v>1</v>
      </c>
      <c r="Q408" s="299">
        <f t="shared" ref="Q408:Q413" si="86">+O408*P408</f>
        <v>79.5</v>
      </c>
      <c r="R408" s="299"/>
      <c r="S408" s="298"/>
      <c r="T408" s="298"/>
      <c r="U408" s="298"/>
      <c r="V408" s="298"/>
      <c r="W408" s="355"/>
      <c r="X408" s="1137">
        <v>79.5</v>
      </c>
      <c r="Y408" s="1126"/>
      <c r="Z408" s="1152"/>
      <c r="AA408" s="1152"/>
      <c r="AB408" s="1152"/>
      <c r="AC408" s="1152"/>
      <c r="AD408" s="1152"/>
      <c r="AE408" s="1152"/>
      <c r="AF408" s="1152"/>
      <c r="AG408" s="1282">
        <f t="shared" ref="AG408:AG420" si="87">SUM(S408:AF408)</f>
        <v>79.5</v>
      </c>
    </row>
    <row r="409" spans="1:33" s="280" customFormat="1" hidden="1">
      <c r="A409" s="294">
        <v>3232</v>
      </c>
      <c r="B409" s="291" t="s">
        <v>588</v>
      </c>
      <c r="C409" s="824" t="s">
        <v>560</v>
      </c>
      <c r="D409" s="1391"/>
      <c r="E409" s="294">
        <v>6</v>
      </c>
      <c r="F409" s="829">
        <v>43287</v>
      </c>
      <c r="G409" s="829">
        <f t="shared" si="85"/>
        <v>43293</v>
      </c>
      <c r="H409" s="1391"/>
      <c r="I409" s="294" t="s">
        <v>177</v>
      </c>
      <c r="J409" s="307"/>
      <c r="K409" s="326" t="s">
        <v>561</v>
      </c>
      <c r="L409" s="1241">
        <v>23174</v>
      </c>
      <c r="M409" s="296"/>
      <c r="N409" s="294"/>
      <c r="O409" s="355">
        <v>2400</v>
      </c>
      <c r="P409" s="294">
        <v>1</v>
      </c>
      <c r="Q409" s="299">
        <f t="shared" si="86"/>
        <v>2400</v>
      </c>
      <c r="R409" s="299"/>
      <c r="S409" s="298"/>
      <c r="T409" s="298"/>
      <c r="U409" s="298"/>
      <c r="V409" s="298"/>
      <c r="W409" s="355"/>
      <c r="X409" s="1137">
        <v>2400</v>
      </c>
      <c r="Y409" s="1126"/>
      <c r="Z409" s="1152"/>
      <c r="AA409" s="1152"/>
      <c r="AB409" s="1152"/>
      <c r="AC409" s="1152"/>
      <c r="AD409" s="1152"/>
      <c r="AE409" s="1152"/>
      <c r="AF409" s="1152"/>
      <c r="AG409" s="1282">
        <f t="shared" si="87"/>
        <v>2400</v>
      </c>
    </row>
    <row r="410" spans="1:33" s="280" customFormat="1" ht="36" hidden="1" customHeight="1">
      <c r="A410" s="294">
        <v>3232</v>
      </c>
      <c r="B410" s="291" t="s">
        <v>588</v>
      </c>
      <c r="C410" s="824" t="s">
        <v>562</v>
      </c>
      <c r="D410" s="1391"/>
      <c r="E410" s="294">
        <v>6</v>
      </c>
      <c r="F410" s="829">
        <v>43287</v>
      </c>
      <c r="G410" s="829">
        <f t="shared" si="85"/>
        <v>43293</v>
      </c>
      <c r="H410" s="1391"/>
      <c r="I410" s="294" t="s">
        <v>177</v>
      </c>
      <c r="J410" s="307"/>
      <c r="K410" s="326" t="s">
        <v>563</v>
      </c>
      <c r="L410" s="1241">
        <v>23174</v>
      </c>
      <c r="M410" s="296"/>
      <c r="N410" s="294"/>
      <c r="O410" s="355">
        <v>1973.3333333333333</v>
      </c>
      <c r="P410" s="294">
        <v>1</v>
      </c>
      <c r="Q410" s="299">
        <f t="shared" si="86"/>
        <v>1973.3333333333333</v>
      </c>
      <c r="R410" s="299"/>
      <c r="S410" s="298"/>
      <c r="T410" s="298"/>
      <c r="U410" s="298"/>
      <c r="V410" s="298"/>
      <c r="W410" s="355"/>
      <c r="X410" s="1137">
        <v>1973.3333333333333</v>
      </c>
      <c r="Y410" s="1126"/>
      <c r="Z410" s="1152"/>
      <c r="AA410" s="1152"/>
      <c r="AB410" s="1152"/>
      <c r="AC410" s="1152"/>
      <c r="AD410" s="1152"/>
      <c r="AE410" s="1152"/>
      <c r="AF410" s="1152"/>
      <c r="AG410" s="1282">
        <f t="shared" si="87"/>
        <v>1973.3333333333333</v>
      </c>
    </row>
    <row r="411" spans="1:33" s="280" customFormat="1" ht="36" hidden="1" customHeight="1">
      <c r="A411" s="294">
        <v>3232</v>
      </c>
      <c r="B411" s="291" t="s">
        <v>588</v>
      </c>
      <c r="C411" s="824" t="s">
        <v>564</v>
      </c>
      <c r="D411" s="1391"/>
      <c r="E411" s="294">
        <v>6</v>
      </c>
      <c r="F411" s="829">
        <v>43287</v>
      </c>
      <c r="G411" s="829">
        <f t="shared" si="85"/>
        <v>43293</v>
      </c>
      <c r="H411" s="1391"/>
      <c r="I411" s="294" t="s">
        <v>177</v>
      </c>
      <c r="J411" s="307"/>
      <c r="K411" s="326" t="s">
        <v>565</v>
      </c>
      <c r="L411" s="1241">
        <v>23174</v>
      </c>
      <c r="M411" s="296"/>
      <c r="N411" s="294"/>
      <c r="O411" s="355">
        <v>340.13333333333333</v>
      </c>
      <c r="P411" s="294">
        <v>1</v>
      </c>
      <c r="Q411" s="299">
        <f t="shared" si="86"/>
        <v>340.13333333333333</v>
      </c>
      <c r="R411" s="299"/>
      <c r="S411" s="298"/>
      <c r="T411" s="298"/>
      <c r="U411" s="298"/>
      <c r="V411" s="298"/>
      <c r="W411" s="355"/>
      <c r="X411" s="1137">
        <v>340.13333333333333</v>
      </c>
      <c r="Y411" s="1126"/>
      <c r="Z411" s="1152"/>
      <c r="AA411" s="1152"/>
      <c r="AB411" s="1152"/>
      <c r="AC411" s="1152"/>
      <c r="AD411" s="1152"/>
      <c r="AE411" s="1152"/>
      <c r="AF411" s="1152"/>
      <c r="AG411" s="1282">
        <f t="shared" si="87"/>
        <v>340.13333333333333</v>
      </c>
    </row>
    <row r="412" spans="1:33" s="280" customFormat="1" ht="36" hidden="1" customHeight="1">
      <c r="A412" s="294">
        <v>3232</v>
      </c>
      <c r="B412" s="291" t="s">
        <v>588</v>
      </c>
      <c r="C412" s="824" t="s">
        <v>566</v>
      </c>
      <c r="D412" s="1391"/>
      <c r="E412" s="294">
        <v>6</v>
      </c>
      <c r="F412" s="829">
        <v>43287</v>
      </c>
      <c r="G412" s="829">
        <f t="shared" si="85"/>
        <v>43293</v>
      </c>
      <c r="H412" s="1391"/>
      <c r="I412" s="294" t="s">
        <v>169</v>
      </c>
      <c r="J412" s="307" t="s">
        <v>177</v>
      </c>
      <c r="K412" s="326" t="s">
        <v>486</v>
      </c>
      <c r="L412" s="1241">
        <v>23173</v>
      </c>
      <c r="M412" s="296"/>
      <c r="N412" s="294"/>
      <c r="O412" s="355">
        <v>500</v>
      </c>
      <c r="P412" s="294">
        <v>1</v>
      </c>
      <c r="Q412" s="299">
        <f t="shared" si="86"/>
        <v>500</v>
      </c>
      <c r="R412" s="299"/>
      <c r="S412" s="298"/>
      <c r="T412" s="298"/>
      <c r="U412" s="298"/>
      <c r="V412" s="298"/>
      <c r="W412" s="355"/>
      <c r="X412" s="1137">
        <v>500</v>
      </c>
      <c r="Y412" s="1126"/>
      <c r="Z412" s="1152"/>
      <c r="AA412" s="1152"/>
      <c r="AB412" s="1152"/>
      <c r="AC412" s="1152"/>
      <c r="AD412" s="1152"/>
      <c r="AE412" s="1152"/>
      <c r="AF412" s="1152"/>
      <c r="AG412" s="1282">
        <f t="shared" si="87"/>
        <v>500</v>
      </c>
    </row>
    <row r="413" spans="1:33" s="280" customFormat="1" hidden="1">
      <c r="A413" s="294">
        <v>3232</v>
      </c>
      <c r="B413" s="291" t="s">
        <v>588</v>
      </c>
      <c r="C413" s="824" t="s">
        <v>591</v>
      </c>
      <c r="D413" s="341" t="s">
        <v>514</v>
      </c>
      <c r="E413" s="294">
        <v>45</v>
      </c>
      <c r="F413" s="829">
        <v>43298</v>
      </c>
      <c r="G413" s="829">
        <f t="shared" si="85"/>
        <v>43343</v>
      </c>
      <c r="H413" s="1391"/>
      <c r="I413" s="294" t="s">
        <v>169</v>
      </c>
      <c r="J413" s="307" t="s">
        <v>177</v>
      </c>
      <c r="K413" s="326"/>
      <c r="L413" s="1677">
        <v>23173</v>
      </c>
      <c r="M413" s="296"/>
      <c r="N413" s="294"/>
      <c r="O413" s="355">
        <v>377.33</v>
      </c>
      <c r="P413" s="294">
        <v>1</v>
      </c>
      <c r="Q413" s="299">
        <f t="shared" si="86"/>
        <v>377.33</v>
      </c>
      <c r="R413" s="299"/>
      <c r="S413" s="298"/>
      <c r="T413" s="298"/>
      <c r="U413" s="298"/>
      <c r="V413" s="298"/>
      <c r="W413" s="355"/>
      <c r="X413" s="1137">
        <v>377.33</v>
      </c>
      <c r="Y413" s="1126"/>
      <c r="Z413" s="1152"/>
      <c r="AA413" s="1152"/>
      <c r="AB413" s="1152"/>
      <c r="AC413" s="1152"/>
      <c r="AD413" s="1152"/>
      <c r="AE413" s="1152"/>
      <c r="AF413" s="1152"/>
      <c r="AG413" s="1282">
        <f t="shared" si="87"/>
        <v>377.33</v>
      </c>
    </row>
    <row r="414" spans="1:33" s="280" customFormat="1" ht="15.75" hidden="1" customHeight="1">
      <c r="A414" s="294">
        <v>3233</v>
      </c>
      <c r="B414" s="567" t="s">
        <v>458</v>
      </c>
      <c r="C414" s="824" t="s">
        <v>560</v>
      </c>
      <c r="D414" s="1391"/>
      <c r="E414" s="1391">
        <v>9</v>
      </c>
      <c r="F414" s="829">
        <v>43346</v>
      </c>
      <c r="G414" s="829">
        <f t="shared" si="85"/>
        <v>43355</v>
      </c>
      <c r="H414" s="1391"/>
      <c r="I414" s="294"/>
      <c r="J414" s="307"/>
      <c r="K414" s="326" t="s">
        <v>561</v>
      </c>
      <c r="L414" s="1241">
        <v>23174</v>
      </c>
      <c r="M414" s="296"/>
      <c r="N414" s="294"/>
      <c r="O414" s="487">
        <v>2546</v>
      </c>
      <c r="P414" s="294">
        <v>1</v>
      </c>
      <c r="Q414" s="299">
        <f t="shared" ref="Q414:Q420" si="88">+O414*P414</f>
        <v>2546</v>
      </c>
      <c r="R414" s="299"/>
      <c r="S414" s="298"/>
      <c r="T414" s="298"/>
      <c r="U414" s="298"/>
      <c r="V414" s="298"/>
      <c r="W414" s="355"/>
      <c r="X414" s="1137">
        <v>2546</v>
      </c>
      <c r="Y414" s="1126"/>
      <c r="Z414" s="1152"/>
      <c r="AA414" s="1152"/>
      <c r="AB414" s="1152"/>
      <c r="AC414" s="1152"/>
      <c r="AD414" s="1152"/>
      <c r="AE414" s="1152"/>
      <c r="AF414" s="1152"/>
      <c r="AG414" s="1282">
        <f t="shared" si="87"/>
        <v>2546</v>
      </c>
    </row>
    <row r="415" spans="1:33" s="280" customFormat="1" ht="15.75" hidden="1" customHeight="1">
      <c r="A415" s="294">
        <v>3233</v>
      </c>
      <c r="B415" s="567" t="s">
        <v>458</v>
      </c>
      <c r="C415" s="824" t="s">
        <v>562</v>
      </c>
      <c r="D415" s="1391"/>
      <c r="E415" s="1391">
        <v>9</v>
      </c>
      <c r="F415" s="829">
        <v>43346</v>
      </c>
      <c r="G415" s="829">
        <f t="shared" ref="G415:G420" si="89">+F415+E415</f>
        <v>43355</v>
      </c>
      <c r="H415" s="1391"/>
      <c r="I415" s="294"/>
      <c r="J415" s="307"/>
      <c r="K415" s="326" t="s">
        <v>563</v>
      </c>
      <c r="L415" s="1241">
        <v>23174</v>
      </c>
      <c r="M415" s="296"/>
      <c r="N415" s="294"/>
      <c r="O415" s="487">
        <v>1306.6666666666667</v>
      </c>
      <c r="P415" s="294">
        <v>1</v>
      </c>
      <c r="Q415" s="299">
        <f t="shared" si="88"/>
        <v>1306.6666666666667</v>
      </c>
      <c r="R415" s="299"/>
      <c r="S415" s="298"/>
      <c r="T415" s="298"/>
      <c r="U415" s="298"/>
      <c r="V415" s="298"/>
      <c r="W415" s="355"/>
      <c r="X415" s="1137">
        <v>1306.6666666666667</v>
      </c>
      <c r="Y415" s="1126"/>
      <c r="Z415" s="1152"/>
      <c r="AA415" s="1152"/>
      <c r="AB415" s="1152"/>
      <c r="AC415" s="1152"/>
      <c r="AD415" s="1152"/>
      <c r="AE415" s="1152"/>
      <c r="AF415" s="1152"/>
      <c r="AG415" s="1282">
        <f t="shared" si="87"/>
        <v>1306.6666666666667</v>
      </c>
    </row>
    <row r="416" spans="1:33" s="280" customFormat="1" ht="15.75" hidden="1" customHeight="1">
      <c r="A416" s="294">
        <v>3233</v>
      </c>
      <c r="B416" s="567" t="s">
        <v>458</v>
      </c>
      <c r="C416" s="824" t="s">
        <v>564</v>
      </c>
      <c r="D416" s="1391"/>
      <c r="E416" s="1391">
        <v>9</v>
      </c>
      <c r="F416" s="829">
        <v>43346</v>
      </c>
      <c r="G416" s="829">
        <f t="shared" si="89"/>
        <v>43355</v>
      </c>
      <c r="H416" s="1391"/>
      <c r="I416" s="294"/>
      <c r="J416" s="307"/>
      <c r="K416" s="326" t="s">
        <v>565</v>
      </c>
      <c r="L416" s="1241">
        <v>23174</v>
      </c>
      <c r="M416" s="296"/>
      <c r="N416" s="294"/>
      <c r="O416" s="487">
        <v>557.74666666666667</v>
      </c>
      <c r="P416" s="294">
        <v>1</v>
      </c>
      <c r="Q416" s="299">
        <f t="shared" si="88"/>
        <v>557.74666666666667</v>
      </c>
      <c r="R416" s="299"/>
      <c r="S416" s="298"/>
      <c r="T416" s="298"/>
      <c r="U416" s="298"/>
      <c r="V416" s="298"/>
      <c r="W416" s="355"/>
      <c r="X416" s="1137">
        <v>557.74666666666667</v>
      </c>
      <c r="Y416" s="1126"/>
      <c r="Z416" s="1152"/>
      <c r="AA416" s="1152"/>
      <c r="AB416" s="1152"/>
      <c r="AC416" s="1152"/>
      <c r="AD416" s="1152"/>
      <c r="AE416" s="1152"/>
      <c r="AF416" s="1152"/>
      <c r="AG416" s="1282">
        <f t="shared" si="87"/>
        <v>557.74666666666667</v>
      </c>
    </row>
    <row r="417" spans="1:33" s="280" customFormat="1" hidden="1">
      <c r="A417" s="294">
        <v>3234</v>
      </c>
      <c r="B417" s="291" t="s">
        <v>593</v>
      </c>
      <c r="C417" s="824" t="s">
        <v>579</v>
      </c>
      <c r="D417" s="294" t="s">
        <v>514</v>
      </c>
      <c r="E417" s="294">
        <v>45</v>
      </c>
      <c r="F417" s="829">
        <v>43194</v>
      </c>
      <c r="G417" s="829">
        <f t="shared" si="89"/>
        <v>43239</v>
      </c>
      <c r="H417" s="1391"/>
      <c r="I417" s="294" t="s">
        <v>169</v>
      </c>
      <c r="J417" s="307"/>
      <c r="K417" s="326" t="s">
        <v>302</v>
      </c>
      <c r="L417" s="1241">
        <v>23173</v>
      </c>
      <c r="M417" s="296"/>
      <c r="N417" s="294"/>
      <c r="O417" s="355">
        <v>57.333333333333336</v>
      </c>
      <c r="P417" s="294">
        <v>1</v>
      </c>
      <c r="Q417" s="299">
        <f t="shared" si="88"/>
        <v>57.333333333333336</v>
      </c>
      <c r="R417" s="299"/>
      <c r="S417" s="298"/>
      <c r="T417" s="298"/>
      <c r="U417" s="298"/>
      <c r="V417" s="298"/>
      <c r="W417" s="355"/>
      <c r="X417" s="1137">
        <v>57.333333333333336</v>
      </c>
      <c r="Y417" s="1126"/>
      <c r="Z417" s="1152"/>
      <c r="AA417" s="1152"/>
      <c r="AB417" s="1152"/>
      <c r="AC417" s="1152"/>
      <c r="AD417" s="1152"/>
      <c r="AE417" s="1152"/>
      <c r="AF417" s="1152"/>
      <c r="AG417" s="1282">
        <f t="shared" si="87"/>
        <v>57.333333333333336</v>
      </c>
    </row>
    <row r="418" spans="1:33" s="280" customFormat="1" hidden="1">
      <c r="A418" s="294">
        <v>3234</v>
      </c>
      <c r="B418" s="291" t="s">
        <v>593</v>
      </c>
      <c r="C418" s="824" t="s">
        <v>560</v>
      </c>
      <c r="D418" s="1391"/>
      <c r="E418" s="294">
        <v>4</v>
      </c>
      <c r="F418" s="829">
        <v>43367</v>
      </c>
      <c r="G418" s="829">
        <f t="shared" si="89"/>
        <v>43371</v>
      </c>
      <c r="H418" s="1391"/>
      <c r="I418" s="294" t="s">
        <v>177</v>
      </c>
      <c r="J418" s="307"/>
      <c r="K418" s="326" t="s">
        <v>596</v>
      </c>
      <c r="L418" s="1241">
        <v>23174</v>
      </c>
      <c r="M418" s="296"/>
      <c r="N418" s="294"/>
      <c r="O418" s="355">
        <v>2150</v>
      </c>
      <c r="P418" s="294">
        <v>1</v>
      </c>
      <c r="Q418" s="299">
        <f t="shared" si="88"/>
        <v>2150</v>
      </c>
      <c r="R418" s="299"/>
      <c r="S418" s="298"/>
      <c r="T418" s="298"/>
      <c r="U418" s="298"/>
      <c r="V418" s="298"/>
      <c r="W418" s="355"/>
      <c r="X418" s="1137">
        <v>2150</v>
      </c>
      <c r="Y418" s="1126"/>
      <c r="Z418" s="1152"/>
      <c r="AA418" s="1152"/>
      <c r="AB418" s="1152"/>
      <c r="AC418" s="1152"/>
      <c r="AD418" s="1152"/>
      <c r="AE418" s="1152"/>
      <c r="AF418" s="1152"/>
      <c r="AG418" s="1282">
        <f t="shared" si="87"/>
        <v>2150</v>
      </c>
    </row>
    <row r="419" spans="1:33" s="280" customFormat="1" hidden="1">
      <c r="A419" s="294">
        <v>3234</v>
      </c>
      <c r="B419" s="291" t="s">
        <v>593</v>
      </c>
      <c r="C419" s="824" t="s">
        <v>564</v>
      </c>
      <c r="D419" s="1391"/>
      <c r="E419" s="294">
        <v>4</v>
      </c>
      <c r="F419" s="829">
        <v>43367</v>
      </c>
      <c r="G419" s="829">
        <f t="shared" si="89"/>
        <v>43371</v>
      </c>
      <c r="H419" s="1391"/>
      <c r="I419" s="294" t="s">
        <v>177</v>
      </c>
      <c r="J419" s="307"/>
      <c r="K419" s="326" t="s">
        <v>597</v>
      </c>
      <c r="L419" s="1241">
        <v>23174</v>
      </c>
      <c r="M419" s="296"/>
      <c r="N419" s="294"/>
      <c r="O419" s="355">
        <v>1893.3333333333333</v>
      </c>
      <c r="P419" s="294">
        <v>1</v>
      </c>
      <c r="Q419" s="299">
        <f t="shared" si="88"/>
        <v>1893.3333333333333</v>
      </c>
      <c r="R419" s="299"/>
      <c r="S419" s="298"/>
      <c r="T419" s="298"/>
      <c r="U419" s="298"/>
      <c r="V419" s="298"/>
      <c r="W419" s="355"/>
      <c r="X419" s="1137">
        <v>1893.3333333333333</v>
      </c>
      <c r="Y419" s="1126"/>
      <c r="Z419" s="1152"/>
      <c r="AA419" s="1152"/>
      <c r="AB419" s="1152"/>
      <c r="AC419" s="1152"/>
      <c r="AD419" s="1152"/>
      <c r="AE419" s="1152"/>
      <c r="AF419" s="1152"/>
      <c r="AG419" s="1282">
        <f t="shared" si="87"/>
        <v>1893.3333333333333</v>
      </c>
    </row>
    <row r="420" spans="1:33" s="280" customFormat="1" hidden="1">
      <c r="A420" s="294">
        <v>3234</v>
      </c>
      <c r="B420" s="291" t="s">
        <v>593</v>
      </c>
      <c r="C420" s="824" t="s">
        <v>566</v>
      </c>
      <c r="D420" s="1391"/>
      <c r="E420" s="294">
        <v>4</v>
      </c>
      <c r="F420" s="829">
        <v>43367</v>
      </c>
      <c r="G420" s="829">
        <f t="shared" si="89"/>
        <v>43371</v>
      </c>
      <c r="H420" s="1391"/>
      <c r="I420" s="294" t="s">
        <v>169</v>
      </c>
      <c r="J420" s="307"/>
      <c r="K420" s="326" t="s">
        <v>486</v>
      </c>
      <c r="L420" s="1241">
        <v>23173</v>
      </c>
      <c r="M420" s="296"/>
      <c r="N420" s="294"/>
      <c r="O420" s="355">
        <v>133.33333333333334</v>
      </c>
      <c r="P420" s="294">
        <v>1</v>
      </c>
      <c r="Q420" s="299">
        <f t="shared" si="88"/>
        <v>133.33333333333334</v>
      </c>
      <c r="R420" s="299"/>
      <c r="S420" s="298"/>
      <c r="T420" s="298"/>
      <c r="U420" s="298"/>
      <c r="V420" s="298"/>
      <c r="W420" s="355"/>
      <c r="X420" s="1137">
        <v>133.33333333333334</v>
      </c>
      <c r="Y420" s="1126"/>
      <c r="Z420" s="1152"/>
      <c r="AA420" s="1152"/>
      <c r="AB420" s="1152"/>
      <c r="AC420" s="1152"/>
      <c r="AD420" s="1152"/>
      <c r="AE420" s="1152"/>
      <c r="AF420" s="1152"/>
      <c r="AG420" s="1282">
        <f t="shared" si="87"/>
        <v>133.33333333333334</v>
      </c>
    </row>
    <row r="421" spans="1:33" s="280" customFormat="1" ht="16.5" hidden="1" customHeight="1">
      <c r="A421" s="1275">
        <v>324</v>
      </c>
      <c r="B421" s="523" t="s">
        <v>598</v>
      </c>
      <c r="C421" s="1504"/>
      <c r="D421" s="1358"/>
      <c r="E421" s="1358"/>
      <c r="F421" s="1358"/>
      <c r="G421" s="1358"/>
      <c r="H421" s="1358"/>
      <c r="I421" s="1358"/>
      <c r="J421" s="283"/>
      <c r="K421" s="1278"/>
      <c r="L421" s="1394"/>
      <c r="M421" s="495"/>
      <c r="N421" s="1277"/>
      <c r="O421" s="1395"/>
      <c r="P421" s="1277"/>
      <c r="Q421" s="547">
        <f>SUM(Q422:Q427)</f>
        <v>11980.666666666668</v>
      </c>
      <c r="R421" s="287"/>
      <c r="S421" s="1282">
        <f t="shared" ref="S421:AF421" si="90">SUM(S422:S427)</f>
        <v>0</v>
      </c>
      <c r="T421" s="1282">
        <f t="shared" si="90"/>
        <v>0</v>
      </c>
      <c r="U421" s="1282">
        <f t="shared" si="90"/>
        <v>0</v>
      </c>
      <c r="V421" s="1282">
        <f t="shared" si="90"/>
        <v>0</v>
      </c>
      <c r="W421" s="1282">
        <f t="shared" si="90"/>
        <v>0</v>
      </c>
      <c r="X421" s="1282">
        <f t="shared" si="90"/>
        <v>11980.666666666668</v>
      </c>
      <c r="Y421" s="1282">
        <f t="shared" si="90"/>
        <v>0</v>
      </c>
      <c r="Z421" s="1282">
        <f t="shared" si="90"/>
        <v>0</v>
      </c>
      <c r="AA421" s="1282">
        <f t="shared" si="90"/>
        <v>0</v>
      </c>
      <c r="AB421" s="1282">
        <f t="shared" si="90"/>
        <v>0</v>
      </c>
      <c r="AC421" s="1282">
        <f t="shared" si="90"/>
        <v>0</v>
      </c>
      <c r="AD421" s="1282">
        <f t="shared" si="90"/>
        <v>0</v>
      </c>
      <c r="AE421" s="1282">
        <f t="shared" si="90"/>
        <v>0</v>
      </c>
      <c r="AF421" s="1282">
        <f t="shared" si="90"/>
        <v>0</v>
      </c>
      <c r="AG421" s="1282">
        <f>SUM(S421:AF421)</f>
        <v>11980.666666666668</v>
      </c>
    </row>
    <row r="422" spans="1:33" s="280" customFormat="1" hidden="1">
      <c r="A422" s="1393">
        <v>3241</v>
      </c>
      <c r="B422" s="291" t="s">
        <v>599</v>
      </c>
      <c r="C422" s="824" t="s">
        <v>579</v>
      </c>
      <c r="D422" s="341" t="s">
        <v>514</v>
      </c>
      <c r="E422" s="294">
        <v>45</v>
      </c>
      <c r="F422" s="829">
        <v>43194</v>
      </c>
      <c r="G422" s="829">
        <f t="shared" ref="G422:G427" si="91">+E422+F422</f>
        <v>43239</v>
      </c>
      <c r="H422" s="1391"/>
      <c r="I422" s="294"/>
      <c r="J422" s="307"/>
      <c r="K422" s="326" t="s">
        <v>302</v>
      </c>
      <c r="L422" s="1241">
        <v>23173</v>
      </c>
      <c r="M422" s="296"/>
      <c r="N422" s="294"/>
      <c r="O422" s="355">
        <v>157.33333333333334</v>
      </c>
      <c r="P422" s="569">
        <v>1</v>
      </c>
      <c r="Q422" s="831">
        <f>+O422*P422</f>
        <v>157.33333333333334</v>
      </c>
      <c r="R422" s="299"/>
      <c r="S422" s="298"/>
      <c r="T422" s="298"/>
      <c r="U422" s="298"/>
      <c r="V422" s="298"/>
      <c r="W422" s="355"/>
      <c r="X422" s="1137">
        <v>157.33333333333334</v>
      </c>
      <c r="Y422" s="1126"/>
      <c r="Z422" s="1126"/>
      <c r="AA422" s="1126"/>
      <c r="AB422" s="1126"/>
      <c r="AC422" s="1126"/>
      <c r="AD422" s="1126"/>
      <c r="AE422" s="1126"/>
      <c r="AF422" s="1126"/>
      <c r="AG422" s="1282">
        <f t="shared" ref="AG422:AG427" si="92">SUM(S422:AF422)</f>
        <v>157.33333333333334</v>
      </c>
    </row>
    <row r="423" spans="1:33" s="280" customFormat="1" hidden="1">
      <c r="A423" s="1393">
        <v>3241</v>
      </c>
      <c r="B423" s="291" t="s">
        <v>599</v>
      </c>
      <c r="C423" s="824" t="s">
        <v>560</v>
      </c>
      <c r="D423" s="1391"/>
      <c r="E423" s="294">
        <v>5</v>
      </c>
      <c r="F423" s="829">
        <v>43332</v>
      </c>
      <c r="G423" s="829">
        <f t="shared" si="91"/>
        <v>43337</v>
      </c>
      <c r="H423" s="1391"/>
      <c r="I423" s="294"/>
      <c r="J423" s="307"/>
      <c r="K423" s="326" t="s">
        <v>596</v>
      </c>
      <c r="L423" s="1241">
        <v>23174</v>
      </c>
      <c r="M423" s="296"/>
      <c r="N423" s="294"/>
      <c r="O423" s="355">
        <v>3870</v>
      </c>
      <c r="P423" s="569">
        <v>1</v>
      </c>
      <c r="Q423" s="831">
        <f>+O423*P423</f>
        <v>3870</v>
      </c>
      <c r="R423" s="299"/>
      <c r="S423" s="298"/>
      <c r="T423" s="298"/>
      <c r="U423" s="298"/>
      <c r="V423" s="298"/>
      <c r="W423" s="355"/>
      <c r="X423" s="1137">
        <v>3870</v>
      </c>
      <c r="Y423" s="1126"/>
      <c r="Z423" s="1126"/>
      <c r="AA423" s="1126"/>
      <c r="AB423" s="1126"/>
      <c r="AC423" s="1126"/>
      <c r="AD423" s="1126"/>
      <c r="AE423" s="1126"/>
      <c r="AF423" s="1126"/>
      <c r="AG423" s="1282">
        <f t="shared" si="92"/>
        <v>3870</v>
      </c>
    </row>
    <row r="424" spans="1:33" s="280" customFormat="1" hidden="1">
      <c r="A424" s="1393">
        <v>3241</v>
      </c>
      <c r="B424" s="291" t="s">
        <v>599</v>
      </c>
      <c r="C424" s="824" t="s">
        <v>562</v>
      </c>
      <c r="D424" s="1391"/>
      <c r="E424" s="294">
        <v>5</v>
      </c>
      <c r="F424" s="829">
        <v>43332</v>
      </c>
      <c r="G424" s="829">
        <f t="shared" si="91"/>
        <v>43337</v>
      </c>
      <c r="H424" s="1391"/>
      <c r="I424" s="294"/>
      <c r="J424" s="307"/>
      <c r="K424" s="326" t="s">
        <v>565</v>
      </c>
      <c r="L424" s="1241">
        <v>23174</v>
      </c>
      <c r="M424" s="296"/>
      <c r="N424" s="294"/>
      <c r="O424" s="355">
        <v>1580</v>
      </c>
      <c r="P424" s="569">
        <v>1</v>
      </c>
      <c r="Q424" s="831">
        <f>+O424*P424</f>
        <v>1580</v>
      </c>
      <c r="R424" s="299"/>
      <c r="S424" s="298"/>
      <c r="T424" s="298"/>
      <c r="U424" s="298"/>
      <c r="V424" s="298"/>
      <c r="W424" s="355"/>
      <c r="X424" s="1137">
        <v>1580</v>
      </c>
      <c r="Y424" s="1126"/>
      <c r="Z424" s="1126"/>
      <c r="AA424" s="1126"/>
      <c r="AB424" s="1126"/>
      <c r="AC424" s="1126"/>
      <c r="AD424" s="1126"/>
      <c r="AE424" s="1126"/>
      <c r="AF424" s="1126"/>
      <c r="AG424" s="1282">
        <f t="shared" si="92"/>
        <v>1580</v>
      </c>
    </row>
    <row r="425" spans="1:33" s="280" customFormat="1" hidden="1">
      <c r="A425" s="1393">
        <v>3241</v>
      </c>
      <c r="B425" s="291" t="s">
        <v>599</v>
      </c>
      <c r="C425" s="824" t="s">
        <v>564</v>
      </c>
      <c r="D425" s="1391"/>
      <c r="E425" s="294">
        <v>5</v>
      </c>
      <c r="F425" s="829">
        <v>43332</v>
      </c>
      <c r="G425" s="829">
        <f t="shared" si="91"/>
        <v>43337</v>
      </c>
      <c r="H425" s="1391"/>
      <c r="I425" s="294"/>
      <c r="J425" s="307"/>
      <c r="K425" s="326" t="s">
        <v>597</v>
      </c>
      <c r="L425" s="1241">
        <v>23174</v>
      </c>
      <c r="M425" s="296"/>
      <c r="N425" s="294"/>
      <c r="O425" s="355">
        <v>3840</v>
      </c>
      <c r="P425" s="569">
        <v>1</v>
      </c>
      <c r="Q425" s="831">
        <f>+O425*P425</f>
        <v>3840</v>
      </c>
      <c r="R425" s="299"/>
      <c r="S425" s="298"/>
      <c r="T425" s="298"/>
      <c r="U425" s="298"/>
      <c r="V425" s="298"/>
      <c r="W425" s="355"/>
      <c r="X425" s="1137">
        <v>3840</v>
      </c>
      <c r="Y425" s="1126"/>
      <c r="Z425" s="1126"/>
      <c r="AA425" s="1126"/>
      <c r="AB425" s="1126"/>
      <c r="AC425" s="1126"/>
      <c r="AD425" s="1126"/>
      <c r="AE425" s="1126"/>
      <c r="AF425" s="1126"/>
      <c r="AG425" s="1282">
        <f t="shared" si="92"/>
        <v>3840</v>
      </c>
    </row>
    <row r="426" spans="1:33" s="280" customFormat="1" hidden="1">
      <c r="A426" s="1393">
        <v>3241</v>
      </c>
      <c r="B426" s="291" t="s">
        <v>599</v>
      </c>
      <c r="C426" s="824" t="s">
        <v>566</v>
      </c>
      <c r="D426" s="1391"/>
      <c r="E426" s="294">
        <v>5</v>
      </c>
      <c r="F426" s="829">
        <v>43332</v>
      </c>
      <c r="G426" s="829">
        <f t="shared" si="91"/>
        <v>43337</v>
      </c>
      <c r="H426" s="1391"/>
      <c r="I426" s="294"/>
      <c r="J426" s="307"/>
      <c r="K426" s="326" t="s">
        <v>486</v>
      </c>
      <c r="L426" s="1241">
        <v>23173</v>
      </c>
      <c r="M426" s="296"/>
      <c r="N426" s="294"/>
      <c r="O426" s="355">
        <v>233.33333333333334</v>
      </c>
      <c r="P426" s="569">
        <v>1</v>
      </c>
      <c r="Q426" s="831">
        <f>+O426*P426</f>
        <v>233.33333333333334</v>
      </c>
      <c r="R426" s="299"/>
      <c r="S426" s="298"/>
      <c r="T426" s="298"/>
      <c r="U426" s="298"/>
      <c r="V426" s="298"/>
      <c r="W426" s="355"/>
      <c r="X426" s="1137">
        <v>233.33333333333334</v>
      </c>
      <c r="Y426" s="1126"/>
      <c r="Z426" s="1126"/>
      <c r="AA426" s="1126"/>
      <c r="AB426" s="1126"/>
      <c r="AC426" s="1126"/>
      <c r="AD426" s="1126"/>
      <c r="AE426" s="1126"/>
      <c r="AF426" s="1126"/>
      <c r="AG426" s="1282">
        <f t="shared" si="92"/>
        <v>233.33333333333334</v>
      </c>
    </row>
    <row r="427" spans="1:33" s="280" customFormat="1" ht="31.5" hidden="1">
      <c r="A427" s="294">
        <v>3242</v>
      </c>
      <c r="B427" s="291" t="s">
        <v>602</v>
      </c>
      <c r="C427" s="824" t="s">
        <v>603</v>
      </c>
      <c r="D427" s="1391"/>
      <c r="E427" s="294">
        <v>3</v>
      </c>
      <c r="F427" s="829">
        <v>43339</v>
      </c>
      <c r="G427" s="829">
        <f t="shared" si="91"/>
        <v>43342</v>
      </c>
      <c r="H427" s="1391"/>
      <c r="I427" s="294" t="s">
        <v>177</v>
      </c>
      <c r="J427" s="307" t="s">
        <v>604</v>
      </c>
      <c r="K427" s="326"/>
      <c r="L427" s="1677">
        <v>23174</v>
      </c>
      <c r="M427" s="296"/>
      <c r="N427" s="294"/>
      <c r="O427" s="487">
        <v>2300</v>
      </c>
      <c r="P427" s="294">
        <v>1</v>
      </c>
      <c r="Q427" s="518">
        <f>O427*P427</f>
        <v>2300</v>
      </c>
      <c r="R427" s="518"/>
      <c r="S427" s="493"/>
      <c r="T427" s="493"/>
      <c r="U427" s="493"/>
      <c r="V427" s="493"/>
      <c r="W427" s="555"/>
      <c r="X427" s="1138">
        <v>2300</v>
      </c>
      <c r="Y427" s="1152"/>
      <c r="Z427" s="1152"/>
      <c r="AA427" s="1152"/>
      <c r="AB427" s="1152"/>
      <c r="AC427" s="1152"/>
      <c r="AD427" s="1152"/>
      <c r="AE427" s="1152"/>
      <c r="AF427" s="1152"/>
      <c r="AG427" s="1282">
        <f t="shared" si="92"/>
        <v>2300</v>
      </c>
    </row>
    <row r="428" spans="1:33" s="550" customFormat="1" ht="16.5" hidden="1" customHeight="1">
      <c r="A428" s="1275">
        <v>325</v>
      </c>
      <c r="B428" s="523" t="s">
        <v>605</v>
      </c>
      <c r="C428" s="1504"/>
      <c r="D428" s="1358"/>
      <c r="E428" s="1358"/>
      <c r="F428" s="1358"/>
      <c r="G428" s="1358"/>
      <c r="H428" s="1358"/>
      <c r="I428" s="1358"/>
      <c r="J428" s="543"/>
      <c r="K428" s="1545"/>
      <c r="L428" s="1389"/>
      <c r="M428" s="1390"/>
      <c r="N428" s="1388"/>
      <c r="O428" s="1282"/>
      <c r="P428" s="1388"/>
      <c r="Q428" s="547">
        <f>SUM(Q429:Q433)</f>
        <v>13243.000000000002</v>
      </c>
      <c r="R428" s="547"/>
      <c r="S428" s="1282">
        <f t="shared" ref="S428:AF428" si="93">SUM(S429:S433)</f>
        <v>0</v>
      </c>
      <c r="T428" s="1282">
        <f t="shared" si="93"/>
        <v>0</v>
      </c>
      <c r="U428" s="1282">
        <f t="shared" si="93"/>
        <v>0</v>
      </c>
      <c r="V428" s="1282">
        <f t="shared" si="93"/>
        <v>0</v>
      </c>
      <c r="W428" s="1282">
        <f t="shared" si="93"/>
        <v>13243.000000000002</v>
      </c>
      <c r="X428" s="1282">
        <f t="shared" si="93"/>
        <v>0</v>
      </c>
      <c r="Y428" s="1282">
        <f t="shared" si="93"/>
        <v>0</v>
      </c>
      <c r="Z428" s="1282">
        <f t="shared" si="93"/>
        <v>0</v>
      </c>
      <c r="AA428" s="1282">
        <f t="shared" si="93"/>
        <v>0</v>
      </c>
      <c r="AB428" s="1282">
        <f t="shared" si="93"/>
        <v>0</v>
      </c>
      <c r="AC428" s="1282">
        <f t="shared" si="93"/>
        <v>0</v>
      </c>
      <c r="AD428" s="1282">
        <f t="shared" si="93"/>
        <v>0</v>
      </c>
      <c r="AE428" s="1282">
        <f t="shared" si="93"/>
        <v>0</v>
      </c>
      <c r="AF428" s="1282">
        <f t="shared" si="93"/>
        <v>0</v>
      </c>
      <c r="AG428" s="1282">
        <f t="shared" ref="AG428:AG436" si="94">SUM(S428:AF428)</f>
        <v>13243.000000000002</v>
      </c>
    </row>
    <row r="429" spans="1:33" s="280" customFormat="1" hidden="1">
      <c r="A429" s="294">
        <v>3251</v>
      </c>
      <c r="B429" s="291" t="s">
        <v>606</v>
      </c>
      <c r="C429" s="824" t="s">
        <v>579</v>
      </c>
      <c r="D429" s="294" t="s">
        <v>514</v>
      </c>
      <c r="E429" s="294">
        <v>45</v>
      </c>
      <c r="F429" s="1399">
        <v>43194</v>
      </c>
      <c r="G429" s="1399">
        <f>+F429+E429</f>
        <v>43239</v>
      </c>
      <c r="H429" s="1391"/>
      <c r="I429" s="294"/>
      <c r="J429" s="307"/>
      <c r="K429" s="326" t="s">
        <v>302</v>
      </c>
      <c r="L429" s="1241">
        <v>23173</v>
      </c>
      <c r="M429" s="296"/>
      <c r="N429" s="294"/>
      <c r="O429" s="1811">
        <v>155.66666666666666</v>
      </c>
      <c r="P429" s="294">
        <v>1</v>
      </c>
      <c r="Q429" s="299">
        <f>+O429*P429</f>
        <v>155.66666666666666</v>
      </c>
      <c r="R429" s="299"/>
      <c r="S429" s="298"/>
      <c r="T429" s="298"/>
      <c r="U429" s="298"/>
      <c r="V429" s="298"/>
      <c r="W429" s="355">
        <v>155.66666666666666</v>
      </c>
      <c r="X429" s="1137"/>
      <c r="Y429" s="1126"/>
      <c r="Z429" s="1126"/>
      <c r="AA429" s="1126"/>
      <c r="AB429" s="1126"/>
      <c r="AC429" s="1126"/>
      <c r="AD429" s="1126"/>
      <c r="AE429" s="1126"/>
      <c r="AF429" s="1126"/>
      <c r="AG429" s="1282">
        <f t="shared" si="94"/>
        <v>155.66666666666666</v>
      </c>
    </row>
    <row r="430" spans="1:33" s="280" customFormat="1" hidden="1">
      <c r="A430" s="294">
        <v>3251</v>
      </c>
      <c r="B430" s="291" t="s">
        <v>606</v>
      </c>
      <c r="C430" s="824" t="s">
        <v>560</v>
      </c>
      <c r="D430" s="1391"/>
      <c r="E430" s="294">
        <v>10</v>
      </c>
      <c r="F430" s="1399">
        <v>43299</v>
      </c>
      <c r="G430" s="1399">
        <f>+E430+F430</f>
        <v>43309</v>
      </c>
      <c r="H430" s="1391"/>
      <c r="I430" s="294"/>
      <c r="J430" s="307"/>
      <c r="K430" s="326" t="s">
        <v>596</v>
      </c>
      <c r="L430" s="1241">
        <v>23174</v>
      </c>
      <c r="M430" s="296"/>
      <c r="N430" s="294"/>
      <c r="O430" s="355">
        <v>6048</v>
      </c>
      <c r="P430" s="294">
        <v>1</v>
      </c>
      <c r="Q430" s="299">
        <f>+O430*P430</f>
        <v>6048</v>
      </c>
      <c r="R430" s="299"/>
      <c r="S430" s="298"/>
      <c r="T430" s="298"/>
      <c r="U430" s="298"/>
      <c r="V430" s="298"/>
      <c r="W430" s="355">
        <v>6048</v>
      </c>
      <c r="X430" s="1137"/>
      <c r="Y430" s="1126"/>
      <c r="Z430" s="1126"/>
      <c r="AA430" s="1126"/>
      <c r="AB430" s="1126"/>
      <c r="AC430" s="1126"/>
      <c r="AD430" s="1126"/>
      <c r="AE430" s="1126"/>
      <c r="AF430" s="1126"/>
      <c r="AG430" s="1282">
        <f t="shared" si="94"/>
        <v>6048</v>
      </c>
    </row>
    <row r="431" spans="1:33" s="280" customFormat="1" hidden="1">
      <c r="A431" s="294">
        <v>3251</v>
      </c>
      <c r="B431" s="291" t="s">
        <v>606</v>
      </c>
      <c r="C431" s="824" t="s">
        <v>562</v>
      </c>
      <c r="D431" s="1391"/>
      <c r="E431" s="294">
        <v>10</v>
      </c>
      <c r="F431" s="1399">
        <v>43299</v>
      </c>
      <c r="G431" s="1399">
        <f>+E431+F431</f>
        <v>43309</v>
      </c>
      <c r="H431" s="1391"/>
      <c r="I431" s="294"/>
      <c r="J431" s="307"/>
      <c r="K431" s="326" t="s">
        <v>565</v>
      </c>
      <c r="L431" s="1241">
        <v>23174</v>
      </c>
      <c r="M431" s="296"/>
      <c r="N431" s="294"/>
      <c r="O431" s="355">
        <v>546</v>
      </c>
      <c r="P431" s="294">
        <v>1</v>
      </c>
      <c r="Q431" s="299">
        <f>+O431*P431</f>
        <v>546</v>
      </c>
      <c r="R431" s="299"/>
      <c r="S431" s="298"/>
      <c r="T431" s="298"/>
      <c r="U431" s="298"/>
      <c r="V431" s="298"/>
      <c r="W431" s="355">
        <v>546</v>
      </c>
      <c r="X431" s="1137"/>
      <c r="Y431" s="1126"/>
      <c r="Z431" s="1126"/>
      <c r="AA431" s="1126"/>
      <c r="AB431" s="1126"/>
      <c r="AC431" s="1126"/>
      <c r="AD431" s="1126"/>
      <c r="AE431" s="1126"/>
      <c r="AF431" s="1126"/>
      <c r="AG431" s="1282">
        <f t="shared" si="94"/>
        <v>546</v>
      </c>
    </row>
    <row r="432" spans="1:33" s="280" customFormat="1" hidden="1">
      <c r="A432" s="294">
        <v>3251</v>
      </c>
      <c r="B432" s="291" t="s">
        <v>606</v>
      </c>
      <c r="C432" s="824" t="s">
        <v>564</v>
      </c>
      <c r="D432" s="1391"/>
      <c r="E432" s="294">
        <v>10</v>
      </c>
      <c r="F432" s="1399">
        <v>43299</v>
      </c>
      <c r="G432" s="1399">
        <f>+E432+F432</f>
        <v>43309</v>
      </c>
      <c r="H432" s="1391"/>
      <c r="I432" s="294"/>
      <c r="J432" s="307"/>
      <c r="K432" s="326" t="s">
        <v>597</v>
      </c>
      <c r="L432" s="1241">
        <v>23174</v>
      </c>
      <c r="M432" s="296"/>
      <c r="N432" s="294"/>
      <c r="O432" s="355">
        <v>6160</v>
      </c>
      <c r="P432" s="294">
        <v>1</v>
      </c>
      <c r="Q432" s="299">
        <f>+O432*P432</f>
        <v>6160</v>
      </c>
      <c r="R432" s="299"/>
      <c r="S432" s="298"/>
      <c r="T432" s="298"/>
      <c r="U432" s="298"/>
      <c r="V432" s="298"/>
      <c r="W432" s="355">
        <v>6160</v>
      </c>
      <c r="X432" s="1137"/>
      <c r="Y432" s="1126"/>
      <c r="Z432" s="1126"/>
      <c r="AA432" s="1126"/>
      <c r="AB432" s="1126"/>
      <c r="AC432" s="1126"/>
      <c r="AD432" s="1126"/>
      <c r="AE432" s="1126"/>
      <c r="AF432" s="1126"/>
      <c r="AG432" s="1282">
        <f t="shared" si="94"/>
        <v>6160</v>
      </c>
    </row>
    <row r="433" spans="1:33" s="280" customFormat="1" hidden="1">
      <c r="A433" s="294">
        <v>3251</v>
      </c>
      <c r="B433" s="291" t="s">
        <v>606</v>
      </c>
      <c r="C433" s="824" t="s">
        <v>566</v>
      </c>
      <c r="D433" s="1391"/>
      <c r="E433" s="294">
        <v>10</v>
      </c>
      <c r="F433" s="1399">
        <v>43299</v>
      </c>
      <c r="G433" s="1399">
        <f>+E433+F433</f>
        <v>43309</v>
      </c>
      <c r="H433" s="1391"/>
      <c r="I433" s="294"/>
      <c r="J433" s="307"/>
      <c r="K433" s="326" t="s">
        <v>486</v>
      </c>
      <c r="L433" s="1241">
        <v>23173</v>
      </c>
      <c r="M433" s="296"/>
      <c r="N433" s="294"/>
      <c r="O433" s="355">
        <v>333.33333333333331</v>
      </c>
      <c r="P433" s="294">
        <v>1</v>
      </c>
      <c r="Q433" s="299">
        <f>+O433*P433</f>
        <v>333.33333333333331</v>
      </c>
      <c r="R433" s="299"/>
      <c r="S433" s="298"/>
      <c r="T433" s="298"/>
      <c r="U433" s="298"/>
      <c r="V433" s="298"/>
      <c r="W433" s="355">
        <v>333.33333333333331</v>
      </c>
      <c r="X433" s="1137"/>
      <c r="Y433" s="1126"/>
      <c r="Z433" s="1126"/>
      <c r="AA433" s="1126"/>
      <c r="AB433" s="1126"/>
      <c r="AC433" s="1126"/>
      <c r="AD433" s="1126"/>
      <c r="AE433" s="1126"/>
      <c r="AF433" s="1126"/>
      <c r="AG433" s="1282">
        <f t="shared" si="94"/>
        <v>333.33333333333331</v>
      </c>
    </row>
    <row r="434" spans="1:33" s="280" customFormat="1" ht="16.5" hidden="1" customHeight="1">
      <c r="A434" s="1275">
        <v>326</v>
      </c>
      <c r="B434" s="523" t="s">
        <v>608</v>
      </c>
      <c r="C434" s="1504"/>
      <c r="D434" s="1358"/>
      <c r="E434" s="1358"/>
      <c r="F434" s="1358"/>
      <c r="G434" s="1358"/>
      <c r="H434" s="1358"/>
      <c r="I434" s="1358"/>
      <c r="J434" s="283"/>
      <c r="K434" s="1278"/>
      <c r="L434" s="1394"/>
      <c r="M434" s="495"/>
      <c r="N434" s="1277"/>
      <c r="O434" s="1395"/>
      <c r="P434" s="1277"/>
      <c r="Q434" s="547">
        <f>SUM(Q435:Q436)</f>
        <v>30000</v>
      </c>
      <c r="R434" s="287"/>
      <c r="S434" s="1282">
        <f t="shared" ref="S434:AF434" si="95">+S435+S436</f>
        <v>0</v>
      </c>
      <c r="T434" s="1282">
        <f t="shared" si="95"/>
        <v>0</v>
      </c>
      <c r="U434" s="1282">
        <f t="shared" si="95"/>
        <v>0</v>
      </c>
      <c r="V434" s="1282">
        <f t="shared" si="95"/>
        <v>0</v>
      </c>
      <c r="W434" s="1282">
        <f t="shared" si="95"/>
        <v>15000</v>
      </c>
      <c r="X434" s="1282">
        <f t="shared" si="95"/>
        <v>0</v>
      </c>
      <c r="Y434" s="1282">
        <f t="shared" si="95"/>
        <v>0</v>
      </c>
      <c r="Z434" s="546">
        <f t="shared" si="95"/>
        <v>15000</v>
      </c>
      <c r="AA434" s="546">
        <f t="shared" si="95"/>
        <v>0</v>
      </c>
      <c r="AB434" s="546">
        <f t="shared" si="95"/>
        <v>0</v>
      </c>
      <c r="AC434" s="546">
        <f t="shared" si="95"/>
        <v>0</v>
      </c>
      <c r="AD434" s="546">
        <f t="shared" si="95"/>
        <v>0</v>
      </c>
      <c r="AE434" s="546">
        <f t="shared" si="95"/>
        <v>0</v>
      </c>
      <c r="AF434" s="546">
        <f t="shared" si="95"/>
        <v>0</v>
      </c>
      <c r="AG434" s="1282">
        <f t="shared" si="94"/>
        <v>30000</v>
      </c>
    </row>
    <row r="435" spans="1:33" s="280" customFormat="1" ht="31.5" hidden="1">
      <c r="A435" s="294">
        <v>3261</v>
      </c>
      <c r="B435" s="291" t="s">
        <v>609</v>
      </c>
      <c r="C435" s="824" t="s">
        <v>610</v>
      </c>
      <c r="D435" s="294" t="s">
        <v>246</v>
      </c>
      <c r="E435" s="1393">
        <f>70+30</f>
        <v>100</v>
      </c>
      <c r="F435" s="1399">
        <v>43192</v>
      </c>
      <c r="G435" s="1399">
        <f>+E435+F435</f>
        <v>43292</v>
      </c>
      <c r="H435" s="1391"/>
      <c r="I435" s="294" t="s">
        <v>611</v>
      </c>
      <c r="J435" s="307"/>
      <c r="K435" s="326"/>
      <c r="L435" s="1711">
        <v>23173</v>
      </c>
      <c r="M435" s="296"/>
      <c r="N435" s="294"/>
      <c r="O435" s="487">
        <v>10000</v>
      </c>
      <c r="P435" s="294">
        <v>1</v>
      </c>
      <c r="Q435" s="518">
        <v>10000</v>
      </c>
      <c r="R435" s="518"/>
      <c r="S435" s="493"/>
      <c r="T435" s="555"/>
      <c r="U435" s="493"/>
      <c r="V435" s="493"/>
      <c r="W435" s="487">
        <v>5000</v>
      </c>
      <c r="X435" s="574"/>
      <c r="Y435" s="1156"/>
      <c r="Z435" s="487">
        <v>5000</v>
      </c>
      <c r="AA435" s="1156"/>
      <c r="AB435" s="1156"/>
      <c r="AC435" s="1156"/>
      <c r="AD435" s="1156"/>
      <c r="AE435" s="1156"/>
      <c r="AF435" s="1156"/>
      <c r="AG435" s="1282">
        <f t="shared" si="94"/>
        <v>10000</v>
      </c>
    </row>
    <row r="436" spans="1:33" s="280" customFormat="1" ht="31.5" hidden="1">
      <c r="A436" s="294">
        <v>3262</v>
      </c>
      <c r="B436" s="291" t="s">
        <v>612</v>
      </c>
      <c r="C436" s="824" t="s">
        <v>610</v>
      </c>
      <c r="D436" s="294" t="s">
        <v>246</v>
      </c>
      <c r="E436" s="294">
        <f>70+30</f>
        <v>100</v>
      </c>
      <c r="F436" s="1399">
        <v>43192</v>
      </c>
      <c r="G436" s="1399">
        <f>+E436+F436</f>
        <v>43292</v>
      </c>
      <c r="H436" s="1391"/>
      <c r="I436" s="294" t="s">
        <v>611</v>
      </c>
      <c r="J436" s="307"/>
      <c r="K436" s="326"/>
      <c r="L436" s="1711">
        <v>23173</v>
      </c>
      <c r="M436" s="296"/>
      <c r="N436" s="294"/>
      <c r="O436" s="487">
        <v>20000</v>
      </c>
      <c r="P436" s="294">
        <v>1</v>
      </c>
      <c r="Q436" s="518">
        <f>+O436*P436</f>
        <v>20000</v>
      </c>
      <c r="R436" s="518"/>
      <c r="S436" s="493"/>
      <c r="T436" s="555"/>
      <c r="U436" s="493"/>
      <c r="V436" s="493"/>
      <c r="W436" s="487">
        <v>10000</v>
      </c>
      <c r="X436" s="1138"/>
      <c r="Y436" s="1156"/>
      <c r="Z436" s="487">
        <v>10000</v>
      </c>
      <c r="AA436" s="1156"/>
      <c r="AB436" s="1156"/>
      <c r="AC436" s="1156"/>
      <c r="AD436" s="1156"/>
      <c r="AE436" s="1156"/>
      <c r="AF436" s="1156"/>
      <c r="AG436" s="1282">
        <f t="shared" si="94"/>
        <v>20000</v>
      </c>
    </row>
    <row r="437" spans="1:33" ht="52.5" customHeight="1">
      <c r="A437" s="1815" t="s">
        <v>275</v>
      </c>
      <c r="B437" s="836"/>
      <c r="C437" s="1816"/>
      <c r="D437" s="1818"/>
      <c r="E437" s="1818"/>
      <c r="F437" s="1818"/>
      <c r="G437" s="1818"/>
      <c r="H437" s="1818"/>
      <c r="I437" s="1818"/>
      <c r="J437" s="835"/>
      <c r="K437" s="1815"/>
      <c r="L437" s="1817"/>
      <c r="M437" s="1818"/>
      <c r="N437" s="1819"/>
      <c r="O437" s="1820"/>
      <c r="P437" s="1819"/>
      <c r="Q437" s="1822">
        <f>+Q438+Q481+Q520+Q535+Q558</f>
        <v>1602692.0064583335</v>
      </c>
      <c r="R437" s="1822">
        <f>+R438+R482+R520+R535+R558</f>
        <v>1602730.2762500001</v>
      </c>
      <c r="S437" s="1821">
        <f t="shared" ref="S437:AG437" si="96">+S438+S481+S520+S535+S558</f>
        <v>0</v>
      </c>
      <c r="T437" s="1821">
        <f t="shared" si="96"/>
        <v>425584.66666666669</v>
      </c>
      <c r="U437" s="1821">
        <f t="shared" si="96"/>
        <v>436083.8510416667</v>
      </c>
      <c r="V437" s="1821">
        <f t="shared" si="96"/>
        <v>383932.9375</v>
      </c>
      <c r="W437" s="1821">
        <f t="shared" si="96"/>
        <v>153865.88912499999</v>
      </c>
      <c r="X437" s="1821">
        <f t="shared" si="96"/>
        <v>137807.23487499999</v>
      </c>
      <c r="Y437" s="1821">
        <f t="shared" si="96"/>
        <v>65417.427250000001</v>
      </c>
      <c r="Z437" s="1821">
        <f t="shared" si="96"/>
        <v>0</v>
      </c>
      <c r="AA437" s="1821">
        <f t="shared" si="96"/>
        <v>0</v>
      </c>
      <c r="AB437" s="1821">
        <f t="shared" si="96"/>
        <v>0</v>
      </c>
      <c r="AC437" s="1821">
        <f t="shared" si="96"/>
        <v>0</v>
      </c>
      <c r="AD437" s="1821">
        <f t="shared" si="96"/>
        <v>0</v>
      </c>
      <c r="AE437" s="1821">
        <f t="shared" si="96"/>
        <v>0</v>
      </c>
      <c r="AF437" s="1821">
        <f t="shared" si="96"/>
        <v>0</v>
      </c>
      <c r="AG437" s="1821">
        <f t="shared" si="96"/>
        <v>1602692.0064583332</v>
      </c>
    </row>
    <row r="438" spans="1:33" ht="33" customHeight="1">
      <c r="A438" s="1248" t="s">
        <v>276</v>
      </c>
      <c r="B438" s="274"/>
      <c r="C438" s="278"/>
      <c r="D438" s="1270"/>
      <c r="E438" s="1270"/>
      <c r="F438" s="1270"/>
      <c r="G438" s="1270"/>
      <c r="H438" s="1270"/>
      <c r="I438" s="1270"/>
      <c r="J438" s="273"/>
      <c r="K438" s="1248"/>
      <c r="L438" s="1269"/>
      <c r="M438" s="1270"/>
      <c r="N438" s="1268"/>
      <c r="O438" s="1271"/>
      <c r="P438" s="1268"/>
      <c r="Q438" s="1273">
        <f>+Q439+Q453+Q459</f>
        <v>356290.50312500005</v>
      </c>
      <c r="R438" s="1273">
        <f>+'[2]Compil Costing PPA 3 millions'!F15</f>
        <v>356290.70624999999</v>
      </c>
      <c r="S438" s="1272">
        <f t="shared" ref="S438:AG438" si="97">+S439+S453+S459</f>
        <v>0</v>
      </c>
      <c r="T438" s="1272">
        <f t="shared" si="97"/>
        <v>0</v>
      </c>
      <c r="U438" s="1272">
        <f t="shared" si="97"/>
        <v>223990.18437500001</v>
      </c>
      <c r="V438" s="1272">
        <f t="shared" si="97"/>
        <v>13573.4375</v>
      </c>
      <c r="W438" s="1272">
        <f t="shared" si="97"/>
        <v>80924.719125000003</v>
      </c>
      <c r="X438" s="1272">
        <f t="shared" si="97"/>
        <v>7772.2348750000001</v>
      </c>
      <c r="Y438" s="1272">
        <f t="shared" si="97"/>
        <v>30029.927250000001</v>
      </c>
      <c r="Z438" s="276">
        <f t="shared" si="97"/>
        <v>0</v>
      </c>
      <c r="AA438" s="276">
        <f t="shared" si="97"/>
        <v>0</v>
      </c>
      <c r="AB438" s="276">
        <f t="shared" si="97"/>
        <v>0</v>
      </c>
      <c r="AC438" s="276">
        <f t="shared" si="97"/>
        <v>0</v>
      </c>
      <c r="AD438" s="276">
        <f t="shared" si="97"/>
        <v>0</v>
      </c>
      <c r="AE438" s="276">
        <f t="shared" si="97"/>
        <v>0</v>
      </c>
      <c r="AF438" s="276">
        <f t="shared" si="97"/>
        <v>0</v>
      </c>
      <c r="AG438" s="1272">
        <f t="shared" si="97"/>
        <v>356290.50312499999</v>
      </c>
    </row>
    <row r="439" spans="1:33" ht="16.5" hidden="1" customHeight="1">
      <c r="A439" s="1275">
        <v>411</v>
      </c>
      <c r="B439" s="545" t="s">
        <v>911</v>
      </c>
      <c r="C439" s="1510"/>
      <c r="D439" s="1390"/>
      <c r="E439" s="1390"/>
      <c r="F439" s="1390"/>
      <c r="G439" s="1390"/>
      <c r="H439" s="1390"/>
      <c r="I439" s="1390"/>
      <c r="J439" s="283"/>
      <c r="K439" s="1278"/>
      <c r="L439" s="1279"/>
      <c r="M439" s="1280"/>
      <c r="N439" s="1277"/>
      <c r="O439" s="1281"/>
      <c r="P439" s="1277"/>
      <c r="Q439" s="287">
        <f>SUM(Q440:Q452)</f>
        <v>63605.746874999997</v>
      </c>
      <c r="R439" s="287"/>
      <c r="S439" s="1395">
        <f t="shared" ref="S439:AF439" si="98">SUM(S440:S452)</f>
        <v>0</v>
      </c>
      <c r="T439" s="1395">
        <f t="shared" si="98"/>
        <v>0</v>
      </c>
      <c r="U439" s="1395">
        <f t="shared" si="98"/>
        <v>43754.809374999997</v>
      </c>
      <c r="V439" s="1395">
        <f t="shared" si="98"/>
        <v>13573.4375</v>
      </c>
      <c r="W439" s="1395">
        <f t="shared" si="98"/>
        <v>6277.5</v>
      </c>
      <c r="X439" s="1395">
        <f t="shared" si="98"/>
        <v>0</v>
      </c>
      <c r="Y439" s="1395">
        <f t="shared" si="98"/>
        <v>0</v>
      </c>
      <c r="Z439" s="361">
        <f t="shared" si="98"/>
        <v>0</v>
      </c>
      <c r="AA439" s="361">
        <f t="shared" si="98"/>
        <v>0</v>
      </c>
      <c r="AB439" s="361">
        <f t="shared" si="98"/>
        <v>0</v>
      </c>
      <c r="AC439" s="361">
        <f t="shared" si="98"/>
        <v>0</v>
      </c>
      <c r="AD439" s="361">
        <f t="shared" si="98"/>
        <v>0</v>
      </c>
      <c r="AE439" s="361">
        <f t="shared" si="98"/>
        <v>0</v>
      </c>
      <c r="AF439" s="361">
        <f t="shared" si="98"/>
        <v>0</v>
      </c>
      <c r="AG439" s="1395">
        <f>SUM(S439:AF439)</f>
        <v>63605.746874999997</v>
      </c>
    </row>
    <row r="440" spans="1:33" ht="47.25" hidden="1" customHeight="1">
      <c r="A440" s="294">
        <v>4111</v>
      </c>
      <c r="B440" s="824" t="s">
        <v>912</v>
      </c>
      <c r="C440" s="824" t="s">
        <v>913</v>
      </c>
      <c r="D440" s="1396"/>
      <c r="E440" s="1391">
        <f>45+21+5</f>
        <v>71</v>
      </c>
      <c r="F440" s="1400">
        <v>43192</v>
      </c>
      <c r="G440" s="1400">
        <f>F440+E440</f>
        <v>43263</v>
      </c>
      <c r="H440" s="293" t="s">
        <v>914</v>
      </c>
      <c r="I440" s="845" t="s">
        <v>178</v>
      </c>
      <c r="J440" s="866" t="s">
        <v>169</v>
      </c>
      <c r="K440" s="1094" t="s">
        <v>915</v>
      </c>
      <c r="L440" s="1788">
        <v>23174</v>
      </c>
      <c r="M440" s="1543"/>
      <c r="N440" s="845"/>
      <c r="O440" s="1583">
        <v>1582.090625</v>
      </c>
      <c r="P440" s="845">
        <v>1</v>
      </c>
      <c r="Q440" s="853">
        <f t="shared" ref="Q440:Q452" si="99">O440*P440</f>
        <v>1582.090625</v>
      </c>
      <c r="R440" s="299"/>
      <c r="S440" s="299"/>
      <c r="T440" s="299"/>
      <c r="U440" s="299">
        <v>1582.090625</v>
      </c>
      <c r="V440" s="299"/>
      <c r="W440" s="299"/>
      <c r="X440" s="1142"/>
      <c r="Y440" s="1124"/>
      <c r="Z440" s="1124"/>
      <c r="AA440" s="1124"/>
      <c r="AB440" s="1124"/>
      <c r="AC440" s="1124"/>
      <c r="AD440" s="1124"/>
      <c r="AE440" s="1124"/>
      <c r="AF440" s="1124"/>
      <c r="AG440" s="1282">
        <f t="shared" ref="AG440:AG452" si="100">SUM(S440:AF440)</f>
        <v>1582.090625</v>
      </c>
    </row>
    <row r="441" spans="1:33" ht="31.5" hidden="1">
      <c r="A441" s="294">
        <v>4111</v>
      </c>
      <c r="B441" s="824" t="s">
        <v>912</v>
      </c>
      <c r="C441" s="824" t="s">
        <v>913</v>
      </c>
      <c r="D441" s="1401"/>
      <c r="E441" s="1391">
        <f>45+21+5</f>
        <v>71</v>
      </c>
      <c r="F441" s="1400">
        <v>43192</v>
      </c>
      <c r="G441" s="1400">
        <f>F441+E441</f>
        <v>43263</v>
      </c>
      <c r="H441" s="293" t="s">
        <v>914</v>
      </c>
      <c r="I441" s="845" t="s">
        <v>169</v>
      </c>
      <c r="J441" s="866" t="s">
        <v>178</v>
      </c>
      <c r="K441" s="1094" t="s">
        <v>320</v>
      </c>
      <c r="L441" s="1788">
        <v>23173</v>
      </c>
      <c r="M441" s="1543"/>
      <c r="N441" s="845"/>
      <c r="O441" s="1583">
        <v>164.0625</v>
      </c>
      <c r="P441" s="845">
        <v>1</v>
      </c>
      <c r="Q441" s="853">
        <f t="shared" si="99"/>
        <v>164.0625</v>
      </c>
      <c r="R441" s="299"/>
      <c r="S441" s="299"/>
      <c r="T441" s="299"/>
      <c r="U441" s="299">
        <v>164.0625</v>
      </c>
      <c r="V441" s="299"/>
      <c r="W441" s="299"/>
      <c r="X441" s="1142"/>
      <c r="Y441" s="1124"/>
      <c r="Z441" s="1124"/>
      <c r="AA441" s="1124"/>
      <c r="AB441" s="1124"/>
      <c r="AC441" s="1124"/>
      <c r="AD441" s="1124"/>
      <c r="AE441" s="1124"/>
      <c r="AF441" s="1124"/>
      <c r="AG441" s="1282">
        <f t="shared" si="100"/>
        <v>164.0625</v>
      </c>
    </row>
    <row r="442" spans="1:33" ht="31.5" hidden="1">
      <c r="A442" s="294">
        <v>4111</v>
      </c>
      <c r="B442" s="824" t="s">
        <v>912</v>
      </c>
      <c r="C442" s="824" t="s">
        <v>913</v>
      </c>
      <c r="D442" s="1401"/>
      <c r="E442" s="1391">
        <f>45+21+5</f>
        <v>71</v>
      </c>
      <c r="F442" s="1400">
        <v>43192</v>
      </c>
      <c r="G442" s="1400">
        <f>F442+E442</f>
        <v>43263</v>
      </c>
      <c r="H442" s="293" t="s">
        <v>914</v>
      </c>
      <c r="I442" s="845" t="s">
        <v>169</v>
      </c>
      <c r="J442" s="866" t="s">
        <v>178</v>
      </c>
      <c r="K442" s="1094" t="s">
        <v>916</v>
      </c>
      <c r="L442" s="1788">
        <v>23173</v>
      </c>
      <c r="M442" s="1543"/>
      <c r="N442" s="845"/>
      <c r="O442" s="1583">
        <v>31.25</v>
      </c>
      <c r="P442" s="845">
        <v>5</v>
      </c>
      <c r="Q442" s="853">
        <f t="shared" si="99"/>
        <v>156.25</v>
      </c>
      <c r="R442" s="299"/>
      <c r="S442" s="299"/>
      <c r="T442" s="299"/>
      <c r="U442" s="299">
        <v>156.25</v>
      </c>
      <c r="V442" s="299"/>
      <c r="W442" s="299"/>
      <c r="X442" s="1142"/>
      <c r="Y442" s="1124"/>
      <c r="Z442" s="1124"/>
      <c r="AA442" s="1124"/>
      <c r="AB442" s="1124"/>
      <c r="AC442" s="1124"/>
      <c r="AD442" s="1124"/>
      <c r="AE442" s="1124"/>
      <c r="AF442" s="1124"/>
      <c r="AG442" s="1282">
        <f t="shared" si="100"/>
        <v>156.25</v>
      </c>
    </row>
    <row r="443" spans="1:33" hidden="1">
      <c r="A443" s="1621">
        <v>4112</v>
      </c>
      <c r="B443" s="1616" t="s">
        <v>917</v>
      </c>
      <c r="C443" s="1616" t="s">
        <v>918</v>
      </c>
      <c r="D443" s="1617"/>
      <c r="E443" s="1618">
        <f>3</f>
        <v>3</v>
      </c>
      <c r="F443" s="1619">
        <v>43265</v>
      </c>
      <c r="G443" s="1619">
        <f t="shared" ref="G443:G452" si="101">F443+E443-1</f>
        <v>43267</v>
      </c>
      <c r="H443" s="1620" t="s">
        <v>914</v>
      </c>
      <c r="I443" s="1621" t="s">
        <v>169</v>
      </c>
      <c r="J443" s="1622" t="s">
        <v>178</v>
      </c>
      <c r="K443" s="1678" t="s">
        <v>320</v>
      </c>
      <c r="L443" s="1812">
        <v>23173</v>
      </c>
      <c r="M443" s="1680"/>
      <c r="N443" s="1621"/>
      <c r="O443" s="1681">
        <v>523.125</v>
      </c>
      <c r="P443" s="1621">
        <v>1</v>
      </c>
      <c r="Q443" s="2824">
        <f t="shared" si="99"/>
        <v>523.125</v>
      </c>
      <c r="R443" s="1682"/>
      <c r="S443" s="1682"/>
      <c r="T443" s="1682"/>
      <c r="U443" s="1682">
        <v>523.125</v>
      </c>
      <c r="V443" s="1682"/>
      <c r="W443" s="1682"/>
      <c r="X443" s="1683"/>
      <c r="Y443" s="1680"/>
      <c r="Z443" s="1680"/>
      <c r="AA443" s="1680"/>
      <c r="AB443" s="1680"/>
      <c r="AC443" s="1680"/>
      <c r="AD443" s="1680"/>
      <c r="AE443" s="1680"/>
      <c r="AF443" s="1680"/>
      <c r="AG443" s="1282">
        <f t="shared" si="100"/>
        <v>523.125</v>
      </c>
    </row>
    <row r="444" spans="1:33" ht="47.25" hidden="1" customHeight="1">
      <c r="A444" s="1631">
        <v>4113</v>
      </c>
      <c r="B444" s="1626" t="s">
        <v>919</v>
      </c>
      <c r="C444" s="1626" t="s">
        <v>920</v>
      </c>
      <c r="D444" s="1627"/>
      <c r="E444" s="1628">
        <f>2</f>
        <v>2</v>
      </c>
      <c r="F444" s="1629">
        <v>43271</v>
      </c>
      <c r="G444" s="1629">
        <f t="shared" si="101"/>
        <v>43272</v>
      </c>
      <c r="H444" s="1630" t="s">
        <v>914</v>
      </c>
      <c r="I444" s="1631" t="s">
        <v>178</v>
      </c>
      <c r="J444" s="1632" t="s">
        <v>169</v>
      </c>
      <c r="K444" s="1679" t="s">
        <v>888</v>
      </c>
      <c r="L444" s="1813">
        <v>23174</v>
      </c>
      <c r="M444" s="1636"/>
      <c r="N444" s="1631"/>
      <c r="O444" s="1676">
        <v>34491.78125</v>
      </c>
      <c r="P444" s="1631">
        <v>1</v>
      </c>
      <c r="Q444" s="2715">
        <f t="shared" si="99"/>
        <v>34491.78125</v>
      </c>
      <c r="R444" s="1671"/>
      <c r="S444" s="1671"/>
      <c r="T444" s="1671"/>
      <c r="U444" s="1671">
        <v>34491.78125</v>
      </c>
      <c r="V444" s="1671"/>
      <c r="W444" s="1671"/>
      <c r="X444" s="1671"/>
      <c r="Y444" s="1636"/>
      <c r="Z444" s="1636"/>
      <c r="AA444" s="1636"/>
      <c r="AB444" s="1636"/>
      <c r="AC444" s="1636"/>
      <c r="AD444" s="1636"/>
      <c r="AE444" s="1636"/>
      <c r="AF444" s="1636"/>
      <c r="AG444" s="1282">
        <f t="shared" si="100"/>
        <v>34491.78125</v>
      </c>
    </row>
    <row r="445" spans="1:33" ht="31.5" hidden="1">
      <c r="A445" s="1631">
        <v>4113</v>
      </c>
      <c r="B445" s="1626" t="s">
        <v>919</v>
      </c>
      <c r="C445" s="1626" t="s">
        <v>920</v>
      </c>
      <c r="D445" s="1627"/>
      <c r="E445" s="1628">
        <f>2</f>
        <v>2</v>
      </c>
      <c r="F445" s="1629">
        <v>43271</v>
      </c>
      <c r="G445" s="1629">
        <f t="shared" si="101"/>
        <v>43272</v>
      </c>
      <c r="H445" s="1630" t="s">
        <v>914</v>
      </c>
      <c r="I445" s="1631" t="s">
        <v>169</v>
      </c>
      <c r="J445" s="1632" t="s">
        <v>178</v>
      </c>
      <c r="K445" s="1679" t="s">
        <v>320</v>
      </c>
      <c r="L445" s="1813">
        <v>23173</v>
      </c>
      <c r="M445" s="1636"/>
      <c r="N445" s="1631"/>
      <c r="O445" s="1676">
        <v>5156.25</v>
      </c>
      <c r="P445" s="1631">
        <v>1</v>
      </c>
      <c r="Q445" s="2715">
        <f t="shared" si="99"/>
        <v>5156.25</v>
      </c>
      <c r="R445" s="1671"/>
      <c r="S445" s="1671"/>
      <c r="T445" s="1671"/>
      <c r="U445" s="1671">
        <v>5156.25</v>
      </c>
      <c r="V445" s="1671"/>
      <c r="W445" s="1671"/>
      <c r="X445" s="1671"/>
      <c r="Y445" s="1636"/>
      <c r="Z445" s="1636"/>
      <c r="AA445" s="1636"/>
      <c r="AB445" s="1636"/>
      <c r="AC445" s="1636"/>
      <c r="AD445" s="1636"/>
      <c r="AE445" s="1636"/>
      <c r="AF445" s="1636"/>
      <c r="AG445" s="1282">
        <f t="shared" si="100"/>
        <v>5156.25</v>
      </c>
    </row>
    <row r="446" spans="1:33" ht="31.5" hidden="1">
      <c r="A446" s="1631">
        <v>4113</v>
      </c>
      <c r="B446" s="1626" t="s">
        <v>919</v>
      </c>
      <c r="C446" s="1626" t="s">
        <v>920</v>
      </c>
      <c r="D446" s="1627"/>
      <c r="E446" s="1628">
        <f>2</f>
        <v>2</v>
      </c>
      <c r="F446" s="1629">
        <v>43271</v>
      </c>
      <c r="G446" s="1629">
        <f t="shared" si="101"/>
        <v>43272</v>
      </c>
      <c r="H446" s="1630" t="s">
        <v>914</v>
      </c>
      <c r="I446" s="1631" t="s">
        <v>169</v>
      </c>
      <c r="J446" s="1632" t="s">
        <v>178</v>
      </c>
      <c r="K446" s="1679" t="s">
        <v>916</v>
      </c>
      <c r="L446" s="1813">
        <v>23173</v>
      </c>
      <c r="M446" s="1636"/>
      <c r="N446" s="1631"/>
      <c r="O446" s="1676">
        <v>31.25</v>
      </c>
      <c r="P446" s="1631">
        <f>2*22</f>
        <v>44</v>
      </c>
      <c r="Q446" s="2715">
        <f t="shared" si="99"/>
        <v>1375</v>
      </c>
      <c r="R446" s="1671"/>
      <c r="S446" s="1671"/>
      <c r="T446" s="1671"/>
      <c r="U446" s="1671">
        <v>1375</v>
      </c>
      <c r="V446" s="1671"/>
      <c r="W446" s="1671"/>
      <c r="X446" s="1671"/>
      <c r="Y446" s="1636"/>
      <c r="Z446" s="1636"/>
      <c r="AA446" s="1636"/>
      <c r="AB446" s="1636"/>
      <c r="AC446" s="1636"/>
      <c r="AD446" s="1636"/>
      <c r="AE446" s="1636"/>
      <c r="AF446" s="1636"/>
      <c r="AG446" s="1282">
        <f t="shared" si="100"/>
        <v>1375</v>
      </c>
    </row>
    <row r="447" spans="1:33" ht="31.5" hidden="1">
      <c r="A447" s="1631">
        <v>4114</v>
      </c>
      <c r="B447" s="1626" t="s">
        <v>921</v>
      </c>
      <c r="C447" s="1626" t="s">
        <v>922</v>
      </c>
      <c r="D447" s="1627"/>
      <c r="E447" s="1628">
        <f>3</f>
        <v>3</v>
      </c>
      <c r="F447" s="1635">
        <v>43279</v>
      </c>
      <c r="G447" s="1629">
        <f t="shared" si="101"/>
        <v>43281</v>
      </c>
      <c r="H447" s="1630" t="s">
        <v>914</v>
      </c>
      <c r="I447" s="1631" t="s">
        <v>169</v>
      </c>
      <c r="J447" s="1632" t="s">
        <v>178</v>
      </c>
      <c r="K447" s="1679" t="s">
        <v>670</v>
      </c>
      <c r="L447" s="1813">
        <v>23173</v>
      </c>
      <c r="M447" s="1636"/>
      <c r="N447" s="1631"/>
      <c r="O447" s="1676">
        <v>153.125</v>
      </c>
      <c r="P447" s="1631">
        <v>2</v>
      </c>
      <c r="Q447" s="2715">
        <f t="shared" si="99"/>
        <v>306.25</v>
      </c>
      <c r="R447" s="1671"/>
      <c r="S447" s="1671"/>
      <c r="T447" s="1671"/>
      <c r="U447" s="1671">
        <v>306.25</v>
      </c>
      <c r="V447" s="1671"/>
      <c r="W447" s="1671"/>
      <c r="X447" s="1671"/>
      <c r="Y447" s="1636"/>
      <c r="Z447" s="1636"/>
      <c r="AA447" s="1636"/>
      <c r="AB447" s="1636"/>
      <c r="AC447" s="1636"/>
      <c r="AD447" s="1636"/>
      <c r="AE447" s="1636"/>
      <c r="AF447" s="1636"/>
      <c r="AG447" s="1282">
        <f t="shared" si="100"/>
        <v>306.25</v>
      </c>
    </row>
    <row r="448" spans="1:33" ht="36.75" hidden="1" customHeight="1">
      <c r="A448" s="1631">
        <v>4116</v>
      </c>
      <c r="B448" s="1675" t="s">
        <v>926</v>
      </c>
      <c r="C448" s="1626" t="s">
        <v>927</v>
      </c>
      <c r="D448" s="1636"/>
      <c r="E448" s="1628">
        <f>30</f>
        <v>30</v>
      </c>
      <c r="F448" s="1629">
        <v>43290</v>
      </c>
      <c r="G448" s="1629">
        <f t="shared" si="101"/>
        <v>43319</v>
      </c>
      <c r="H448" s="1630" t="s">
        <v>914</v>
      </c>
      <c r="I448" s="1631" t="s">
        <v>169</v>
      </c>
      <c r="J448" s="1632" t="s">
        <v>178</v>
      </c>
      <c r="K448" s="1679" t="s">
        <v>320</v>
      </c>
      <c r="L448" s="1813">
        <v>23173</v>
      </c>
      <c r="M448" s="1636"/>
      <c r="N448" s="1631"/>
      <c r="O448" s="1676">
        <v>12270.9375</v>
      </c>
      <c r="P448" s="1631">
        <v>1</v>
      </c>
      <c r="Q448" s="2715">
        <f t="shared" si="99"/>
        <v>12270.9375</v>
      </c>
      <c r="R448" s="1671"/>
      <c r="S448" s="1671"/>
      <c r="T448" s="1671"/>
      <c r="U448" s="1671"/>
      <c r="V448" s="1671">
        <v>12270.9375</v>
      </c>
      <c r="W448" s="1671"/>
      <c r="X448" s="1671"/>
      <c r="Y448" s="1636"/>
      <c r="Z448" s="1636"/>
      <c r="AA448" s="1636"/>
      <c r="AB448" s="1636"/>
      <c r="AC448" s="1636"/>
      <c r="AD448" s="1636"/>
      <c r="AE448" s="1636"/>
      <c r="AF448" s="1636"/>
      <c r="AG448" s="1282">
        <f t="shared" si="100"/>
        <v>12270.9375</v>
      </c>
    </row>
    <row r="449" spans="1:33" hidden="1">
      <c r="A449" s="1631">
        <v>4117</v>
      </c>
      <c r="B449" s="1675" t="s">
        <v>928</v>
      </c>
      <c r="C449" s="1626" t="s">
        <v>929</v>
      </c>
      <c r="D449" s="1636"/>
      <c r="E449" s="1628">
        <f>6</f>
        <v>6</v>
      </c>
      <c r="F449" s="1629">
        <v>43290</v>
      </c>
      <c r="G449" s="1629">
        <f t="shared" si="101"/>
        <v>43295</v>
      </c>
      <c r="H449" s="1630" t="s">
        <v>914</v>
      </c>
      <c r="I449" s="1631" t="s">
        <v>169</v>
      </c>
      <c r="J449" s="1632" t="s">
        <v>178</v>
      </c>
      <c r="K449" s="1679" t="s">
        <v>320</v>
      </c>
      <c r="L449" s="1813">
        <v>23173</v>
      </c>
      <c r="M449" s="1636"/>
      <c r="N449" s="1631"/>
      <c r="O449" s="1676">
        <v>599.375</v>
      </c>
      <c r="P449" s="1631">
        <v>1</v>
      </c>
      <c r="Q449" s="2715">
        <f t="shared" si="99"/>
        <v>599.375</v>
      </c>
      <c r="R449" s="1671"/>
      <c r="S449" s="1671"/>
      <c r="T449" s="1671"/>
      <c r="U449" s="1671"/>
      <c r="V449" s="1671">
        <v>599.375</v>
      </c>
      <c r="W449" s="1671"/>
      <c r="X449" s="1671"/>
      <c r="Y449" s="1636"/>
      <c r="Z449" s="1636"/>
      <c r="AA449" s="1636"/>
      <c r="AB449" s="1636"/>
      <c r="AC449" s="1636"/>
      <c r="AD449" s="1636"/>
      <c r="AE449" s="1636"/>
      <c r="AF449" s="1636"/>
      <c r="AG449" s="1282">
        <f t="shared" si="100"/>
        <v>599.375</v>
      </c>
    </row>
    <row r="450" spans="1:33" ht="47.25" hidden="1">
      <c r="A450" s="1631">
        <v>4118</v>
      </c>
      <c r="B450" s="1675" t="s">
        <v>930</v>
      </c>
      <c r="C450" s="1626" t="s">
        <v>931</v>
      </c>
      <c r="D450" s="1636"/>
      <c r="E450" s="1628">
        <f>3</f>
        <v>3</v>
      </c>
      <c r="F450" s="1629">
        <v>43304</v>
      </c>
      <c r="G450" s="1629">
        <f t="shared" si="101"/>
        <v>43306</v>
      </c>
      <c r="H450" s="1630" t="s">
        <v>914</v>
      </c>
      <c r="I450" s="1631" t="s">
        <v>178</v>
      </c>
      <c r="J450" s="1632" t="s">
        <v>932</v>
      </c>
      <c r="K450" s="1814" t="s">
        <v>933</v>
      </c>
      <c r="L450" s="1813">
        <v>23172</v>
      </c>
      <c r="M450" s="1636"/>
      <c r="N450" s="1631"/>
      <c r="O450" s="1676">
        <v>15.625</v>
      </c>
      <c r="P450" s="1631">
        <f>45</f>
        <v>45</v>
      </c>
      <c r="Q450" s="2715">
        <f t="shared" si="99"/>
        <v>703.125</v>
      </c>
      <c r="R450" s="1671"/>
      <c r="S450" s="1671"/>
      <c r="T450" s="1671"/>
      <c r="U450" s="1671"/>
      <c r="V450" s="1671">
        <v>703.125</v>
      </c>
      <c r="W450" s="1671"/>
      <c r="X450" s="1671"/>
      <c r="Y450" s="1636"/>
      <c r="Z450" s="1636"/>
      <c r="AA450" s="1636"/>
      <c r="AB450" s="1636"/>
      <c r="AC450" s="1636"/>
      <c r="AD450" s="1636"/>
      <c r="AE450" s="1636"/>
      <c r="AF450" s="1636"/>
      <c r="AG450" s="1282">
        <f t="shared" si="100"/>
        <v>703.125</v>
      </c>
    </row>
    <row r="451" spans="1:33" ht="31.5" hidden="1">
      <c r="A451" s="1631">
        <v>4119</v>
      </c>
      <c r="B451" s="1675" t="s">
        <v>934</v>
      </c>
      <c r="C451" s="1626" t="s">
        <v>935</v>
      </c>
      <c r="D451" s="1636"/>
      <c r="E451" s="1628">
        <f>5</f>
        <v>5</v>
      </c>
      <c r="F451" s="1629">
        <v>43325</v>
      </c>
      <c r="G451" s="1629">
        <f t="shared" si="101"/>
        <v>43329</v>
      </c>
      <c r="H451" s="1630" t="s">
        <v>914</v>
      </c>
      <c r="I451" s="1631" t="s">
        <v>178</v>
      </c>
      <c r="J451" s="1632" t="s">
        <v>169</v>
      </c>
      <c r="K451" s="1679" t="s">
        <v>888</v>
      </c>
      <c r="L451" s="1813">
        <v>23174</v>
      </c>
      <c r="M451" s="1636"/>
      <c r="N451" s="1631"/>
      <c r="O451" s="1676">
        <v>5277.5</v>
      </c>
      <c r="P451" s="1631">
        <v>1</v>
      </c>
      <c r="Q451" s="2715">
        <f t="shared" si="99"/>
        <v>5277.5</v>
      </c>
      <c r="R451" s="1671"/>
      <c r="S451" s="1671"/>
      <c r="T451" s="1671"/>
      <c r="U451" s="1671"/>
      <c r="V451" s="1671"/>
      <c r="W451" s="1671">
        <v>5277.5</v>
      </c>
      <c r="X451" s="1671"/>
      <c r="Y451" s="1636"/>
      <c r="Z451" s="1636"/>
      <c r="AA451" s="1636"/>
      <c r="AB451" s="1636"/>
      <c r="AC451" s="1636"/>
      <c r="AD451" s="1636"/>
      <c r="AE451" s="1636"/>
      <c r="AF451" s="1636"/>
      <c r="AG451" s="1282">
        <f t="shared" si="100"/>
        <v>5277.5</v>
      </c>
    </row>
    <row r="452" spans="1:33" ht="31.5" hidden="1">
      <c r="A452" s="1631">
        <v>4119</v>
      </c>
      <c r="B452" s="1675" t="s">
        <v>934</v>
      </c>
      <c r="C452" s="1626" t="s">
        <v>935</v>
      </c>
      <c r="D452" s="1636"/>
      <c r="E452" s="1628">
        <f>5</f>
        <v>5</v>
      </c>
      <c r="F452" s="1629">
        <v>43325</v>
      </c>
      <c r="G452" s="1629">
        <f t="shared" si="101"/>
        <v>43329</v>
      </c>
      <c r="H452" s="1630" t="s">
        <v>914</v>
      </c>
      <c r="I452" s="1631" t="s">
        <v>169</v>
      </c>
      <c r="J452" s="1632" t="s">
        <v>178</v>
      </c>
      <c r="K452" s="1679" t="s">
        <v>320</v>
      </c>
      <c r="L452" s="1813">
        <v>23173</v>
      </c>
      <c r="M452" s="1636"/>
      <c r="N452" s="1631"/>
      <c r="O452" s="1676">
        <v>1000</v>
      </c>
      <c r="P452" s="1631">
        <v>1</v>
      </c>
      <c r="Q452" s="2715">
        <f t="shared" si="99"/>
        <v>1000</v>
      </c>
      <c r="R452" s="1671"/>
      <c r="S452" s="1671"/>
      <c r="T452" s="1671"/>
      <c r="U452" s="1671"/>
      <c r="V452" s="1671"/>
      <c r="W452" s="1671">
        <v>1000</v>
      </c>
      <c r="X452" s="1671"/>
      <c r="Y452" s="1636"/>
      <c r="Z452" s="1636"/>
      <c r="AA452" s="1636"/>
      <c r="AB452" s="1636"/>
      <c r="AC452" s="1636"/>
      <c r="AD452" s="1636"/>
      <c r="AE452" s="1636"/>
      <c r="AF452" s="1636"/>
      <c r="AG452" s="1282">
        <f t="shared" si="100"/>
        <v>1000</v>
      </c>
    </row>
    <row r="453" spans="1:33" ht="31.5" hidden="1">
      <c r="A453" s="1640">
        <v>412</v>
      </c>
      <c r="B453" s="1685" t="s">
        <v>936</v>
      </c>
      <c r="C453" s="1686"/>
      <c r="D453" s="1687"/>
      <c r="E453" s="1687"/>
      <c r="F453" s="1687"/>
      <c r="G453" s="1687"/>
      <c r="H453" s="1687"/>
      <c r="I453" s="1687"/>
      <c r="J453" s="1221"/>
      <c r="K453" s="1641"/>
      <c r="L453" s="1642"/>
      <c r="M453" s="1643"/>
      <c r="N453" s="1644"/>
      <c r="O453" s="1645"/>
      <c r="P453" s="1644"/>
      <c r="Q453" s="1225">
        <f>SUM(Q454:Q458)</f>
        <v>9103.5</v>
      </c>
      <c r="R453" s="1225"/>
      <c r="S453" s="1646">
        <f t="shared" ref="S453:AF453" si="102">SUM(S454:S458)</f>
        <v>0</v>
      </c>
      <c r="T453" s="1646">
        <f t="shared" si="102"/>
        <v>0</v>
      </c>
      <c r="U453" s="1646">
        <f t="shared" si="102"/>
        <v>0</v>
      </c>
      <c r="V453" s="1646">
        <f t="shared" si="102"/>
        <v>0</v>
      </c>
      <c r="W453" s="1646">
        <f t="shared" si="102"/>
        <v>9103.5</v>
      </c>
      <c r="X453" s="1646">
        <f t="shared" si="102"/>
        <v>0</v>
      </c>
      <c r="Y453" s="1646">
        <f t="shared" si="102"/>
        <v>0</v>
      </c>
      <c r="Z453" s="1224">
        <f t="shared" si="102"/>
        <v>0</v>
      </c>
      <c r="AA453" s="1224">
        <f t="shared" si="102"/>
        <v>0</v>
      </c>
      <c r="AB453" s="1224">
        <f t="shared" si="102"/>
        <v>0</v>
      </c>
      <c r="AC453" s="1224">
        <f t="shared" si="102"/>
        <v>0</v>
      </c>
      <c r="AD453" s="1224">
        <f t="shared" si="102"/>
        <v>0</v>
      </c>
      <c r="AE453" s="1224">
        <f t="shared" si="102"/>
        <v>0</v>
      </c>
      <c r="AF453" s="1224">
        <f t="shared" si="102"/>
        <v>0</v>
      </c>
      <c r="AG453" s="1395">
        <f t="shared" ref="AG453:AG459" si="103">SUM(S453:AF453)</f>
        <v>9103.5</v>
      </c>
    </row>
    <row r="454" spans="1:33" s="1570" customFormat="1" ht="57" hidden="1" customHeight="1">
      <c r="A454" s="1647">
        <v>4121</v>
      </c>
      <c r="B454" s="1648" t="s">
        <v>937</v>
      </c>
      <c r="C454" s="1648" t="s">
        <v>938</v>
      </c>
      <c r="D454" s="1649"/>
      <c r="E454" s="1650">
        <f>2</f>
        <v>2</v>
      </c>
      <c r="F454" s="1629">
        <v>43297</v>
      </c>
      <c r="G454" s="1629">
        <f>F454+E454-1</f>
        <v>43298</v>
      </c>
      <c r="H454" s="1651" t="s">
        <v>178</v>
      </c>
      <c r="I454" s="1651" t="s">
        <v>178</v>
      </c>
      <c r="J454" s="1652" t="s">
        <v>169</v>
      </c>
      <c r="K454" s="1679" t="s">
        <v>888</v>
      </c>
      <c r="L454" s="1813">
        <v>23174</v>
      </c>
      <c r="M454" s="1688"/>
      <c r="N454" s="1653"/>
      <c r="O454" s="1689">
        <v>3106.9156250000001</v>
      </c>
      <c r="P454" s="1653">
        <v>1</v>
      </c>
      <c r="Q454" s="2825">
        <f>O454*P454</f>
        <v>3106.9156250000001</v>
      </c>
      <c r="R454" s="1655"/>
      <c r="S454" s="1690"/>
      <c r="T454" s="1690"/>
      <c r="U454" s="1690"/>
      <c r="V454" s="1690"/>
      <c r="W454" s="1690">
        <v>3106.9156250000001</v>
      </c>
      <c r="X454" s="1690"/>
      <c r="Y454" s="1690"/>
      <c r="Z454" s="1691"/>
      <c r="AA454" s="1691"/>
      <c r="AB454" s="1691"/>
      <c r="AC454" s="1691"/>
      <c r="AD454" s="1691"/>
      <c r="AE454" s="1691"/>
      <c r="AF454" s="1691"/>
      <c r="AG454" s="1282">
        <f t="shared" si="103"/>
        <v>3106.9156250000001</v>
      </c>
    </row>
    <row r="455" spans="1:33" s="1570" customFormat="1" ht="33" hidden="1" customHeight="1">
      <c r="A455" s="1647">
        <v>4121</v>
      </c>
      <c r="B455" s="1648" t="s">
        <v>937</v>
      </c>
      <c r="C455" s="1648" t="s">
        <v>939</v>
      </c>
      <c r="D455" s="1649"/>
      <c r="E455" s="1650">
        <f>2</f>
        <v>2</v>
      </c>
      <c r="F455" s="1629">
        <v>43297</v>
      </c>
      <c r="G455" s="1629">
        <f>F455+E455-1</f>
        <v>43298</v>
      </c>
      <c r="H455" s="1651" t="s">
        <v>178</v>
      </c>
      <c r="I455" s="1651" t="s">
        <v>169</v>
      </c>
      <c r="J455" s="1632" t="s">
        <v>178</v>
      </c>
      <c r="K455" s="1679" t="s">
        <v>486</v>
      </c>
      <c r="L455" s="1813">
        <v>23173</v>
      </c>
      <c r="M455" s="1688"/>
      <c r="N455" s="1653"/>
      <c r="O455" s="1689">
        <v>46.875</v>
      </c>
      <c r="P455" s="1653">
        <v>2</v>
      </c>
      <c r="Q455" s="2825">
        <f>O455*P455</f>
        <v>93.75</v>
      </c>
      <c r="R455" s="1655"/>
      <c r="S455" s="1690"/>
      <c r="T455" s="1690"/>
      <c r="U455" s="1690"/>
      <c r="V455" s="1690"/>
      <c r="W455" s="1690">
        <v>93.75</v>
      </c>
      <c r="X455" s="1690"/>
      <c r="Y455" s="1690"/>
      <c r="Z455" s="1691"/>
      <c r="AA455" s="1691"/>
      <c r="AB455" s="1691"/>
      <c r="AC455" s="1691"/>
      <c r="AD455" s="1691"/>
      <c r="AE455" s="1691"/>
      <c r="AF455" s="1691"/>
      <c r="AG455" s="1282">
        <f t="shared" si="103"/>
        <v>93.75</v>
      </c>
    </row>
    <row r="456" spans="1:33" s="1570" customFormat="1" ht="44.25" hidden="1" customHeight="1">
      <c r="A456" s="1647">
        <v>4122</v>
      </c>
      <c r="B456" s="1648" t="s">
        <v>23</v>
      </c>
      <c r="C456" s="1648" t="s">
        <v>939</v>
      </c>
      <c r="D456" s="1649"/>
      <c r="E456" s="1650">
        <f>3</f>
        <v>3</v>
      </c>
      <c r="F456" s="1629">
        <v>43300</v>
      </c>
      <c r="G456" s="1629">
        <f>F456+E456-1</f>
        <v>43302</v>
      </c>
      <c r="H456" s="1651" t="s">
        <v>178</v>
      </c>
      <c r="I456" s="1651" t="s">
        <v>178</v>
      </c>
      <c r="J456" s="1652" t="s">
        <v>169</v>
      </c>
      <c r="K456" s="1679" t="s">
        <v>888</v>
      </c>
      <c r="L456" s="1813">
        <v>23174</v>
      </c>
      <c r="M456" s="1688"/>
      <c r="N456" s="1653"/>
      <c r="O456" s="1689">
        <v>5645.0218750000004</v>
      </c>
      <c r="P456" s="1653">
        <v>1</v>
      </c>
      <c r="Q456" s="2825">
        <f>O456*P456</f>
        <v>5645.0218750000004</v>
      </c>
      <c r="R456" s="1655"/>
      <c r="S456" s="1690"/>
      <c r="T456" s="1690"/>
      <c r="U456" s="1690"/>
      <c r="V456" s="1690"/>
      <c r="W456" s="1690">
        <v>5645.0218750000004</v>
      </c>
      <c r="X456" s="1690"/>
      <c r="Y456" s="1690"/>
      <c r="Z456" s="1691"/>
      <c r="AA456" s="1691"/>
      <c r="AB456" s="1691"/>
      <c r="AC456" s="1691"/>
      <c r="AD456" s="1691"/>
      <c r="AE456" s="1691"/>
      <c r="AF456" s="1691"/>
      <c r="AG456" s="1282">
        <f t="shared" si="103"/>
        <v>5645.0218750000004</v>
      </c>
    </row>
    <row r="457" spans="1:33" s="1570" customFormat="1" ht="37.5" hidden="1" customHeight="1">
      <c r="A457" s="1647">
        <v>4122</v>
      </c>
      <c r="B457" s="1648" t="s">
        <v>23</v>
      </c>
      <c r="C457" s="1648" t="s">
        <v>940</v>
      </c>
      <c r="D457" s="1649"/>
      <c r="E457" s="1650">
        <f>3</f>
        <v>3</v>
      </c>
      <c r="F457" s="1629">
        <v>43300</v>
      </c>
      <c r="G457" s="1629">
        <f>F457+E457-1</f>
        <v>43302</v>
      </c>
      <c r="H457" s="1651" t="s">
        <v>178</v>
      </c>
      <c r="I457" s="1651" t="s">
        <v>169</v>
      </c>
      <c r="J457" s="1632" t="s">
        <v>178</v>
      </c>
      <c r="K457" s="1679" t="s">
        <v>486</v>
      </c>
      <c r="L457" s="1813">
        <v>23173</v>
      </c>
      <c r="M457" s="1688"/>
      <c r="N457" s="1653"/>
      <c r="O457" s="1689">
        <v>31.25</v>
      </c>
      <c r="P457" s="1653">
        <v>3</v>
      </c>
      <c r="Q457" s="2825">
        <f>O457*P457</f>
        <v>93.75</v>
      </c>
      <c r="R457" s="1655"/>
      <c r="S457" s="1690"/>
      <c r="T457" s="1690"/>
      <c r="U457" s="1690"/>
      <c r="V457" s="1690"/>
      <c r="W457" s="1690">
        <v>93.75</v>
      </c>
      <c r="X457" s="1690"/>
      <c r="Y457" s="1690"/>
      <c r="Z457" s="1691"/>
      <c r="AA457" s="1691"/>
      <c r="AB457" s="1691"/>
      <c r="AC457" s="1691"/>
      <c r="AD457" s="1691"/>
      <c r="AE457" s="1691"/>
      <c r="AF457" s="1691"/>
      <c r="AG457" s="1282">
        <f t="shared" si="103"/>
        <v>93.75</v>
      </c>
    </row>
    <row r="458" spans="1:33" s="1570" customFormat="1" ht="37.5" hidden="1" customHeight="1">
      <c r="A458" s="1647">
        <v>4122</v>
      </c>
      <c r="B458" s="1648" t="s">
        <v>23</v>
      </c>
      <c r="C458" s="1648" t="s">
        <v>940</v>
      </c>
      <c r="D458" s="1649"/>
      <c r="E458" s="1650">
        <f>3</f>
        <v>3</v>
      </c>
      <c r="F458" s="1629">
        <v>43300</v>
      </c>
      <c r="G458" s="1629">
        <f>F458+E458-1</f>
        <v>43302</v>
      </c>
      <c r="H458" s="1651" t="s">
        <v>178</v>
      </c>
      <c r="I458" s="1651" t="s">
        <v>169</v>
      </c>
      <c r="J458" s="1632" t="s">
        <v>178</v>
      </c>
      <c r="K458" s="1679" t="s">
        <v>320</v>
      </c>
      <c r="L458" s="1813">
        <v>23173</v>
      </c>
      <c r="M458" s="1688"/>
      <c r="N458" s="1653"/>
      <c r="O458" s="1689">
        <v>164.0625</v>
      </c>
      <c r="P458" s="1653">
        <v>1</v>
      </c>
      <c r="Q458" s="2825">
        <f>O458*P458</f>
        <v>164.0625</v>
      </c>
      <c r="R458" s="1655"/>
      <c r="S458" s="1690"/>
      <c r="T458" s="1690"/>
      <c r="U458" s="1690"/>
      <c r="V458" s="1690"/>
      <c r="W458" s="1690">
        <v>164.0625</v>
      </c>
      <c r="X458" s="1690"/>
      <c r="Y458" s="1690"/>
      <c r="Z458" s="1691"/>
      <c r="AA458" s="1691"/>
      <c r="AB458" s="1691"/>
      <c r="AC458" s="1691"/>
      <c r="AD458" s="1691"/>
      <c r="AE458" s="1691"/>
      <c r="AF458" s="1691"/>
      <c r="AG458" s="1282">
        <f t="shared" si="103"/>
        <v>164.0625</v>
      </c>
    </row>
    <row r="459" spans="1:33" ht="31.5" hidden="1">
      <c r="A459" s="1640">
        <v>413</v>
      </c>
      <c r="B459" s="1685" t="s">
        <v>941</v>
      </c>
      <c r="C459" s="1686"/>
      <c r="D459" s="1687"/>
      <c r="E459" s="1687"/>
      <c r="F459" s="1687"/>
      <c r="G459" s="1687"/>
      <c r="H459" s="1687"/>
      <c r="I459" s="1687"/>
      <c r="J459" s="1221"/>
      <c r="K459" s="1641"/>
      <c r="L459" s="1642"/>
      <c r="M459" s="1643"/>
      <c r="N459" s="1644"/>
      <c r="O459" s="1645"/>
      <c r="P459" s="1644"/>
      <c r="Q459" s="1225">
        <f>SUM(Q460:Q480)</f>
        <v>283581.25625000003</v>
      </c>
      <c r="R459" s="1225"/>
      <c r="S459" s="1646">
        <f t="shared" ref="S459:AF459" si="104">SUM(S460:S480)</f>
        <v>0</v>
      </c>
      <c r="T459" s="1646">
        <f t="shared" si="104"/>
        <v>0</v>
      </c>
      <c r="U459" s="1646">
        <f t="shared" si="104"/>
        <v>180235.375</v>
      </c>
      <c r="V459" s="1646">
        <f t="shared" si="104"/>
        <v>0</v>
      </c>
      <c r="W459" s="1646">
        <f t="shared" si="104"/>
        <v>65543.719125000003</v>
      </c>
      <c r="X459" s="1646">
        <f t="shared" si="104"/>
        <v>7772.2348750000001</v>
      </c>
      <c r="Y459" s="1646">
        <f t="shared" si="104"/>
        <v>30029.927250000001</v>
      </c>
      <c r="Z459" s="1646">
        <f t="shared" si="104"/>
        <v>0</v>
      </c>
      <c r="AA459" s="1646">
        <f t="shared" si="104"/>
        <v>0</v>
      </c>
      <c r="AB459" s="1646">
        <f t="shared" si="104"/>
        <v>0</v>
      </c>
      <c r="AC459" s="1646">
        <f t="shared" si="104"/>
        <v>0</v>
      </c>
      <c r="AD459" s="1646">
        <f t="shared" si="104"/>
        <v>0</v>
      </c>
      <c r="AE459" s="1646">
        <f t="shared" si="104"/>
        <v>0</v>
      </c>
      <c r="AF459" s="1646">
        <f t="shared" si="104"/>
        <v>0</v>
      </c>
      <c r="AG459" s="1395">
        <f t="shared" si="103"/>
        <v>283581.25624999998</v>
      </c>
    </row>
    <row r="460" spans="1:33" ht="51.75" hidden="1" customHeight="1">
      <c r="A460" s="845">
        <v>4131</v>
      </c>
      <c r="B460" s="857" t="s">
        <v>1039</v>
      </c>
      <c r="C460" s="1598" t="s">
        <v>944</v>
      </c>
      <c r="D460" s="1599"/>
      <c r="E460" s="1391">
        <f>45+21</f>
        <v>66</v>
      </c>
      <c r="F460" s="1400">
        <v>43192</v>
      </c>
      <c r="G460" s="1400">
        <f>E460+F460-1</f>
        <v>43257</v>
      </c>
      <c r="H460" s="845" t="s">
        <v>178</v>
      </c>
      <c r="I460" s="845" t="s">
        <v>169</v>
      </c>
      <c r="J460" s="866" t="s">
        <v>178</v>
      </c>
      <c r="K460" s="1787" t="s">
        <v>945</v>
      </c>
      <c r="L460" s="1788">
        <v>2461</v>
      </c>
      <c r="M460" s="326"/>
      <c r="N460" s="294"/>
      <c r="O460" s="354">
        <v>3356.25</v>
      </c>
      <c r="P460" s="294">
        <v>1</v>
      </c>
      <c r="Q460" s="913">
        <f t="shared" ref="Q460:Q480" si="105">O460*P460</f>
        <v>3356.25</v>
      </c>
      <c r="R460" s="1412"/>
      <c r="S460" s="913"/>
      <c r="T460" s="913"/>
      <c r="U460" s="913">
        <v>3356.25</v>
      </c>
      <c r="V460" s="913"/>
      <c r="W460" s="913"/>
      <c r="X460" s="1600"/>
      <c r="Y460" s="1127"/>
      <c r="Z460" s="1124"/>
      <c r="AA460" s="1124"/>
      <c r="AB460" s="1124"/>
      <c r="AC460" s="1124"/>
      <c r="AD460" s="1124"/>
      <c r="AE460" s="1124"/>
      <c r="AF460" s="1124"/>
      <c r="AG460" s="1282">
        <f t="shared" ref="AG460:AG480" si="106">SUM(S460:AF460)</f>
        <v>3356.25</v>
      </c>
    </row>
    <row r="461" spans="1:33" ht="47.25" hidden="1">
      <c r="A461" s="845">
        <v>4131</v>
      </c>
      <c r="B461" s="857" t="s">
        <v>1039</v>
      </c>
      <c r="C461" s="1598" t="s">
        <v>944</v>
      </c>
      <c r="D461" s="1599"/>
      <c r="E461" s="1391">
        <f>45+21</f>
        <v>66</v>
      </c>
      <c r="F461" s="1400">
        <v>43192</v>
      </c>
      <c r="G461" s="1400">
        <f t="shared" ref="G461:G472" si="107">E461+F461-1</f>
        <v>43257</v>
      </c>
      <c r="H461" s="845" t="s">
        <v>178</v>
      </c>
      <c r="I461" s="845" t="s">
        <v>169</v>
      </c>
      <c r="J461" s="866" t="s">
        <v>178</v>
      </c>
      <c r="K461" s="1787" t="s">
        <v>946</v>
      </c>
      <c r="L461" s="1788">
        <v>2314</v>
      </c>
      <c r="M461" s="326"/>
      <c r="N461" s="294"/>
      <c r="O461" s="354">
        <v>125</v>
      </c>
      <c r="P461" s="294">
        <v>1</v>
      </c>
      <c r="Q461" s="913">
        <f t="shared" si="105"/>
        <v>125</v>
      </c>
      <c r="R461" s="1412"/>
      <c r="S461" s="913"/>
      <c r="T461" s="913"/>
      <c r="U461" s="913">
        <v>125</v>
      </c>
      <c r="V461" s="913"/>
      <c r="W461" s="913"/>
      <c r="X461" s="1600"/>
      <c r="Y461" s="1127"/>
      <c r="Z461" s="1124"/>
      <c r="AA461" s="1124"/>
      <c r="AB461" s="1124"/>
      <c r="AC461" s="1124"/>
      <c r="AD461" s="1124"/>
      <c r="AE461" s="1124"/>
      <c r="AF461" s="1124"/>
      <c r="AG461" s="1282">
        <f t="shared" si="106"/>
        <v>125</v>
      </c>
    </row>
    <row r="462" spans="1:33" ht="47.25" hidden="1">
      <c r="A462" s="845">
        <v>4131</v>
      </c>
      <c r="B462" s="857" t="s">
        <v>1039</v>
      </c>
      <c r="C462" s="1598" t="s">
        <v>944</v>
      </c>
      <c r="D462" s="1599"/>
      <c r="E462" s="1391">
        <f>45+21</f>
        <v>66</v>
      </c>
      <c r="F462" s="1400">
        <v>43192</v>
      </c>
      <c r="G462" s="1400">
        <f t="shared" si="107"/>
        <v>43257</v>
      </c>
      <c r="H462" s="845" t="s">
        <v>178</v>
      </c>
      <c r="I462" s="845" t="s">
        <v>169</v>
      </c>
      <c r="J462" s="866" t="s">
        <v>178</v>
      </c>
      <c r="K462" s="1787" t="s">
        <v>320</v>
      </c>
      <c r="L462" s="1788">
        <v>23173</v>
      </c>
      <c r="M462" s="326"/>
      <c r="N462" s="294"/>
      <c r="O462" s="354">
        <v>4340.625</v>
      </c>
      <c r="P462" s="294">
        <v>1</v>
      </c>
      <c r="Q462" s="913">
        <f t="shared" si="105"/>
        <v>4340.625</v>
      </c>
      <c r="R462" s="1412"/>
      <c r="S462" s="913"/>
      <c r="T462" s="913"/>
      <c r="U462" s="913">
        <v>4340.625</v>
      </c>
      <c r="V462" s="913"/>
      <c r="W462" s="913"/>
      <c r="X462" s="1600"/>
      <c r="Y462" s="1127"/>
      <c r="Z462" s="1124"/>
      <c r="AA462" s="1124"/>
      <c r="AB462" s="1124"/>
      <c r="AC462" s="1124"/>
      <c r="AD462" s="1124"/>
      <c r="AE462" s="1124"/>
      <c r="AF462" s="1124"/>
      <c r="AG462" s="1282">
        <f t="shared" si="106"/>
        <v>4340.625</v>
      </c>
    </row>
    <row r="463" spans="1:33" ht="49.5" hidden="1" customHeight="1">
      <c r="A463" s="845">
        <v>4131</v>
      </c>
      <c r="B463" s="857" t="s">
        <v>1039</v>
      </c>
      <c r="C463" s="1598" t="s">
        <v>944</v>
      </c>
      <c r="D463" s="1599"/>
      <c r="E463" s="1391">
        <f>45+21</f>
        <v>66</v>
      </c>
      <c r="F463" s="1400">
        <v>43192</v>
      </c>
      <c r="G463" s="1400">
        <f t="shared" si="107"/>
        <v>43257</v>
      </c>
      <c r="H463" s="845" t="s">
        <v>178</v>
      </c>
      <c r="I463" s="845" t="s">
        <v>169</v>
      </c>
      <c r="J463" s="866" t="s">
        <v>178</v>
      </c>
      <c r="K463" s="1787" t="s">
        <v>947</v>
      </c>
      <c r="L463" s="1788">
        <v>2463</v>
      </c>
      <c r="M463" s="326"/>
      <c r="N463" s="294"/>
      <c r="O463" s="354">
        <v>23062.5</v>
      </c>
      <c r="P463" s="294">
        <v>1</v>
      </c>
      <c r="Q463" s="913">
        <f t="shared" si="105"/>
        <v>23062.5</v>
      </c>
      <c r="R463" s="1412"/>
      <c r="S463" s="913"/>
      <c r="T463" s="913"/>
      <c r="U463" s="913">
        <v>23062.5</v>
      </c>
      <c r="V463" s="913"/>
      <c r="W463" s="913"/>
      <c r="X463" s="1600"/>
      <c r="Y463" s="1127"/>
      <c r="Z463" s="1124"/>
      <c r="AA463" s="1124"/>
      <c r="AB463" s="1124"/>
      <c r="AC463" s="1124"/>
      <c r="AD463" s="1124"/>
      <c r="AE463" s="1124"/>
      <c r="AF463" s="1124"/>
      <c r="AG463" s="1282">
        <f t="shared" si="106"/>
        <v>23062.5</v>
      </c>
    </row>
    <row r="464" spans="1:33" ht="47.25" hidden="1">
      <c r="A464" s="845">
        <v>4131</v>
      </c>
      <c r="B464" s="857" t="s">
        <v>1039</v>
      </c>
      <c r="C464" s="1598" t="s">
        <v>944</v>
      </c>
      <c r="D464" s="1599"/>
      <c r="E464" s="1391">
        <f>45+21</f>
        <v>66</v>
      </c>
      <c r="F464" s="1400">
        <v>43192</v>
      </c>
      <c r="G464" s="1400">
        <f t="shared" si="107"/>
        <v>43257</v>
      </c>
      <c r="H464" s="845" t="s">
        <v>178</v>
      </c>
      <c r="I464" s="845" t="s">
        <v>169</v>
      </c>
      <c r="J464" s="866" t="s">
        <v>178</v>
      </c>
      <c r="K464" s="1787" t="s">
        <v>948</v>
      </c>
      <c r="L464" s="1788">
        <v>2431</v>
      </c>
      <c r="M464" s="326"/>
      <c r="N464" s="294"/>
      <c r="O464" s="354">
        <v>7375</v>
      </c>
      <c r="P464" s="294">
        <v>1</v>
      </c>
      <c r="Q464" s="913">
        <f t="shared" si="105"/>
        <v>7375</v>
      </c>
      <c r="R464" s="1412"/>
      <c r="S464" s="913"/>
      <c r="T464" s="913"/>
      <c r="U464" s="913">
        <v>7375</v>
      </c>
      <c r="V464" s="913"/>
      <c r="W464" s="913"/>
      <c r="X464" s="1600"/>
      <c r="Y464" s="1127"/>
      <c r="Z464" s="1124"/>
      <c r="AA464" s="1124"/>
      <c r="AB464" s="1124"/>
      <c r="AC464" s="1124"/>
      <c r="AD464" s="1124"/>
      <c r="AE464" s="1124"/>
      <c r="AF464" s="1124"/>
      <c r="AG464" s="1282">
        <f t="shared" si="106"/>
        <v>7375</v>
      </c>
    </row>
    <row r="465" spans="1:33" ht="60.75" hidden="1" customHeight="1">
      <c r="A465" s="845">
        <v>4131</v>
      </c>
      <c r="B465" s="1730" t="s">
        <v>1040</v>
      </c>
      <c r="C465" s="888" t="s">
        <v>950</v>
      </c>
      <c r="D465" s="1543"/>
      <c r="E465" s="1403">
        <f>9</f>
        <v>9</v>
      </c>
      <c r="F465" s="1404">
        <v>43283</v>
      </c>
      <c r="G465" s="1400">
        <f t="shared" si="107"/>
        <v>43291</v>
      </c>
      <c r="H465" s="293" t="s">
        <v>914</v>
      </c>
      <c r="I465" s="845" t="s">
        <v>178</v>
      </c>
      <c r="J465" s="866" t="s">
        <v>169</v>
      </c>
      <c r="K465" s="1094" t="s">
        <v>888</v>
      </c>
      <c r="L465" s="1788">
        <v>23174</v>
      </c>
      <c r="M465" s="1543"/>
      <c r="N465" s="845"/>
      <c r="O465" s="354">
        <v>7333.0281249999998</v>
      </c>
      <c r="P465" s="845">
        <v>1</v>
      </c>
      <c r="Q465" s="913">
        <f t="shared" si="105"/>
        <v>7333.0281249999998</v>
      </c>
      <c r="R465" s="1412"/>
      <c r="S465" s="913"/>
      <c r="T465" s="913"/>
      <c r="U465" s="913"/>
      <c r="V465" s="913"/>
      <c r="W465" s="913">
        <v>7333.0281249999998</v>
      </c>
      <c r="X465" s="1600"/>
      <c r="Y465" s="1127"/>
      <c r="Z465" s="1124"/>
      <c r="AA465" s="1124"/>
      <c r="AB465" s="1124"/>
      <c r="AC465" s="1124"/>
      <c r="AD465" s="1124"/>
      <c r="AE465" s="1124"/>
      <c r="AF465" s="1124"/>
      <c r="AG465" s="1282">
        <f t="shared" si="106"/>
        <v>7333.0281249999998</v>
      </c>
    </row>
    <row r="466" spans="1:33" ht="60.75" hidden="1" customHeight="1">
      <c r="A466" s="845">
        <v>4131</v>
      </c>
      <c r="B466" s="1730" t="s">
        <v>1040</v>
      </c>
      <c r="C466" s="888" t="s">
        <v>950</v>
      </c>
      <c r="D466" s="1543"/>
      <c r="E466" s="1403">
        <f>9</f>
        <v>9</v>
      </c>
      <c r="F466" s="1404">
        <v>43283</v>
      </c>
      <c r="G466" s="1400">
        <f t="shared" si="107"/>
        <v>43291</v>
      </c>
      <c r="H466" s="293" t="s">
        <v>914</v>
      </c>
      <c r="I466" s="845" t="s">
        <v>169</v>
      </c>
      <c r="J466" s="866" t="s">
        <v>178</v>
      </c>
      <c r="K466" s="1094" t="s">
        <v>320</v>
      </c>
      <c r="L466" s="1788">
        <v>23173</v>
      </c>
      <c r="M466" s="1543"/>
      <c r="N466" s="845"/>
      <c r="O466" s="354">
        <v>941.5625</v>
      </c>
      <c r="P466" s="845">
        <v>1</v>
      </c>
      <c r="Q466" s="913">
        <f t="shared" si="105"/>
        <v>941.5625</v>
      </c>
      <c r="R466" s="1412"/>
      <c r="S466" s="913"/>
      <c r="T466" s="913"/>
      <c r="U466" s="913"/>
      <c r="V466" s="913"/>
      <c r="W466" s="913">
        <v>941.5625</v>
      </c>
      <c r="X466" s="1600"/>
      <c r="Y466" s="1127"/>
      <c r="Z466" s="1124"/>
      <c r="AA466" s="1124"/>
      <c r="AB466" s="1124"/>
      <c r="AC466" s="1124"/>
      <c r="AD466" s="1124"/>
      <c r="AE466" s="1124"/>
      <c r="AF466" s="1124"/>
      <c r="AG466" s="1282">
        <f t="shared" si="106"/>
        <v>941.5625</v>
      </c>
    </row>
    <row r="467" spans="1:33" ht="60.75" hidden="1" customHeight="1">
      <c r="A467" s="845">
        <v>4131</v>
      </c>
      <c r="B467" s="1730" t="s">
        <v>1040</v>
      </c>
      <c r="C467" s="888" t="s">
        <v>950</v>
      </c>
      <c r="D467" s="1543"/>
      <c r="E467" s="1403">
        <f>9</f>
        <v>9</v>
      </c>
      <c r="F467" s="1404">
        <v>43283</v>
      </c>
      <c r="G467" s="1400">
        <f t="shared" si="107"/>
        <v>43291</v>
      </c>
      <c r="H467" s="293" t="s">
        <v>914</v>
      </c>
      <c r="I467" s="845" t="s">
        <v>169</v>
      </c>
      <c r="J467" s="866" t="s">
        <v>178</v>
      </c>
      <c r="K467" s="1094" t="s">
        <v>916</v>
      </c>
      <c r="L467" s="1788">
        <v>23173</v>
      </c>
      <c r="M467" s="1543"/>
      <c r="N467" s="845"/>
      <c r="O467" s="354">
        <v>31.25</v>
      </c>
      <c r="P467" s="845">
        <v>8</v>
      </c>
      <c r="Q467" s="913">
        <f t="shared" si="105"/>
        <v>250</v>
      </c>
      <c r="R467" s="1412"/>
      <c r="S467" s="913"/>
      <c r="T467" s="913"/>
      <c r="U467" s="913"/>
      <c r="V467" s="913"/>
      <c r="W467" s="913">
        <v>250</v>
      </c>
      <c r="X467" s="1600"/>
      <c r="Y467" s="1127"/>
      <c r="Z467" s="1124"/>
      <c r="AA467" s="1124"/>
      <c r="AB467" s="1124"/>
      <c r="AC467" s="1124"/>
      <c r="AD467" s="1124"/>
      <c r="AE467" s="1124"/>
      <c r="AF467" s="1124"/>
      <c r="AG467" s="1282">
        <f t="shared" si="106"/>
        <v>250</v>
      </c>
    </row>
    <row r="468" spans="1:33" ht="60.75" hidden="1" customHeight="1">
      <c r="A468" s="845">
        <v>4131</v>
      </c>
      <c r="B468" s="1730" t="s">
        <v>1040</v>
      </c>
      <c r="C468" s="888" t="s">
        <v>950</v>
      </c>
      <c r="D468" s="1543"/>
      <c r="E468" s="1403">
        <f>9</f>
        <v>9</v>
      </c>
      <c r="F468" s="1404">
        <v>43283</v>
      </c>
      <c r="G468" s="1400">
        <f t="shared" si="107"/>
        <v>43291</v>
      </c>
      <c r="H468" s="293" t="s">
        <v>914</v>
      </c>
      <c r="I468" s="845" t="s">
        <v>169</v>
      </c>
      <c r="J468" s="866" t="s">
        <v>178</v>
      </c>
      <c r="K468" s="1787" t="s">
        <v>951</v>
      </c>
      <c r="L468" s="1788">
        <v>23172</v>
      </c>
      <c r="M468" s="1543"/>
      <c r="N468" s="845"/>
      <c r="O468" s="354">
        <v>312.5</v>
      </c>
      <c r="P468" s="845">
        <v>1</v>
      </c>
      <c r="Q468" s="913">
        <f t="shared" si="105"/>
        <v>312.5</v>
      </c>
      <c r="R468" s="1412"/>
      <c r="S468" s="913"/>
      <c r="T468" s="913"/>
      <c r="U468" s="913"/>
      <c r="V468" s="913"/>
      <c r="W468" s="913">
        <v>312.5</v>
      </c>
      <c r="X468" s="1600"/>
      <c r="Y468" s="1127"/>
      <c r="Z468" s="1124"/>
      <c r="AA468" s="1124"/>
      <c r="AB468" s="1124"/>
      <c r="AC468" s="1124"/>
      <c r="AD468" s="1124"/>
      <c r="AE468" s="1124"/>
      <c r="AF468" s="1124"/>
      <c r="AG468" s="1282">
        <f t="shared" si="106"/>
        <v>312.5</v>
      </c>
    </row>
    <row r="469" spans="1:33" ht="63" hidden="1">
      <c r="A469" s="845">
        <v>4131</v>
      </c>
      <c r="B469" s="858" t="s">
        <v>1041</v>
      </c>
      <c r="C469" s="857" t="s">
        <v>953</v>
      </c>
      <c r="D469" s="1543"/>
      <c r="E469" s="1403">
        <f>2</f>
        <v>2</v>
      </c>
      <c r="F469" s="1400">
        <v>43306</v>
      </c>
      <c r="G469" s="1400">
        <f t="shared" si="107"/>
        <v>43307</v>
      </c>
      <c r="H469" s="293" t="s">
        <v>914</v>
      </c>
      <c r="I469" s="845" t="s">
        <v>178</v>
      </c>
      <c r="J469" s="866" t="s">
        <v>169</v>
      </c>
      <c r="K469" s="1094" t="s">
        <v>888</v>
      </c>
      <c r="L469" s="1788">
        <v>23174</v>
      </c>
      <c r="M469" s="1543"/>
      <c r="N469" s="845"/>
      <c r="O469" s="354">
        <v>41183.768750000003</v>
      </c>
      <c r="P469" s="845">
        <v>1</v>
      </c>
      <c r="Q469" s="913">
        <f t="shared" si="105"/>
        <v>41183.768750000003</v>
      </c>
      <c r="R469" s="1412"/>
      <c r="S469" s="1601"/>
      <c r="T469" s="1601"/>
      <c r="U469" s="1601"/>
      <c r="V469" s="1601"/>
      <c r="W469" s="913">
        <v>41183.768750000003</v>
      </c>
      <c r="X469" s="1602"/>
      <c r="Y469" s="1164"/>
      <c r="Z469" s="1124"/>
      <c r="AA469" s="1124"/>
      <c r="AB469" s="1124"/>
      <c r="AC469" s="1124"/>
      <c r="AD469" s="1124"/>
      <c r="AE469" s="1124"/>
      <c r="AF469" s="1124"/>
      <c r="AG469" s="1282">
        <f t="shared" si="106"/>
        <v>41183.768750000003</v>
      </c>
    </row>
    <row r="470" spans="1:33" ht="63" hidden="1">
      <c r="A470" s="845">
        <v>4131</v>
      </c>
      <c r="B470" s="858" t="s">
        <v>1041</v>
      </c>
      <c r="C470" s="857" t="s">
        <v>953</v>
      </c>
      <c r="D470" s="1543"/>
      <c r="E470" s="1403">
        <f>2</f>
        <v>2</v>
      </c>
      <c r="F470" s="1400">
        <v>43306</v>
      </c>
      <c r="G470" s="1400">
        <f t="shared" si="107"/>
        <v>43307</v>
      </c>
      <c r="H470" s="293" t="s">
        <v>914</v>
      </c>
      <c r="I470" s="845" t="s">
        <v>169</v>
      </c>
      <c r="J470" s="866" t="s">
        <v>178</v>
      </c>
      <c r="K470" s="1094" t="s">
        <v>320</v>
      </c>
      <c r="L470" s="1788">
        <v>23173</v>
      </c>
      <c r="M470" s="1543"/>
      <c r="N470" s="845"/>
      <c r="O470" s="354">
        <v>11320.09375</v>
      </c>
      <c r="P470" s="845">
        <v>1</v>
      </c>
      <c r="Q470" s="913">
        <f t="shared" si="105"/>
        <v>11320.09375</v>
      </c>
      <c r="R470" s="1415"/>
      <c r="S470" s="913"/>
      <c r="T470" s="913"/>
      <c r="U470" s="913"/>
      <c r="V470" s="913"/>
      <c r="W470" s="913">
        <v>11320.09375</v>
      </c>
      <c r="X470" s="1600"/>
      <c r="Y470" s="1127"/>
      <c r="Z470" s="1124"/>
      <c r="AA470" s="1124"/>
      <c r="AB470" s="1124"/>
      <c r="AC470" s="1124"/>
      <c r="AD470" s="1124"/>
      <c r="AE470" s="1124"/>
      <c r="AF470" s="1124"/>
      <c r="AG470" s="1282">
        <f t="shared" si="106"/>
        <v>11320.09375</v>
      </c>
    </row>
    <row r="471" spans="1:33" ht="63" hidden="1">
      <c r="A471" s="845">
        <v>4131</v>
      </c>
      <c r="B471" s="858" t="s">
        <v>1041</v>
      </c>
      <c r="C471" s="857" t="s">
        <v>953</v>
      </c>
      <c r="D471" s="1543"/>
      <c r="E471" s="1403">
        <f>2</f>
        <v>2</v>
      </c>
      <c r="F471" s="1400">
        <v>43306</v>
      </c>
      <c r="G471" s="1400">
        <f t="shared" si="107"/>
        <v>43307</v>
      </c>
      <c r="H471" s="293" t="s">
        <v>914</v>
      </c>
      <c r="I471" s="845" t="s">
        <v>169</v>
      </c>
      <c r="J471" s="866" t="s">
        <v>178</v>
      </c>
      <c r="K471" s="1094" t="s">
        <v>916</v>
      </c>
      <c r="L471" s="1788">
        <v>23173</v>
      </c>
      <c r="M471" s="1543"/>
      <c r="N471" s="845"/>
      <c r="O471" s="354">
        <v>46.875</v>
      </c>
      <c r="P471" s="845">
        <f>2*22</f>
        <v>44</v>
      </c>
      <c r="Q471" s="913">
        <f t="shared" si="105"/>
        <v>2062.5</v>
      </c>
      <c r="R471" s="1415"/>
      <c r="S471" s="913"/>
      <c r="T471" s="913"/>
      <c r="U471" s="913"/>
      <c r="V471" s="913"/>
      <c r="W471" s="913">
        <v>2062.5</v>
      </c>
      <c r="X471" s="1600"/>
      <c r="Y471" s="1127"/>
      <c r="Z471" s="1124"/>
      <c r="AA471" s="1124"/>
      <c r="AB471" s="1124"/>
      <c r="AC471" s="1124"/>
      <c r="AD471" s="1124"/>
      <c r="AE471" s="1124"/>
      <c r="AF471" s="1124"/>
      <c r="AG471" s="1282">
        <f t="shared" si="106"/>
        <v>2062.5</v>
      </c>
    </row>
    <row r="472" spans="1:33" ht="47.25" hidden="1">
      <c r="A472" s="845">
        <v>4131</v>
      </c>
      <c r="B472" s="858" t="s">
        <v>1042</v>
      </c>
      <c r="C472" s="857" t="s">
        <v>955</v>
      </c>
      <c r="D472" s="1543"/>
      <c r="E472" s="1403">
        <f>15</f>
        <v>15</v>
      </c>
      <c r="F472" s="1400">
        <v>43241</v>
      </c>
      <c r="G472" s="1400">
        <f t="shared" si="107"/>
        <v>43255</v>
      </c>
      <c r="H472" s="293" t="s">
        <v>914</v>
      </c>
      <c r="I472" s="845" t="s">
        <v>178</v>
      </c>
      <c r="J472" s="866" t="s">
        <v>169</v>
      </c>
      <c r="K472" s="1094" t="s">
        <v>888</v>
      </c>
      <c r="L472" s="1788">
        <v>23174</v>
      </c>
      <c r="M472" s="1543"/>
      <c r="N472" s="845"/>
      <c r="O472" s="354">
        <v>141976</v>
      </c>
      <c r="P472" s="845">
        <v>1</v>
      </c>
      <c r="Q472" s="913">
        <f t="shared" si="105"/>
        <v>141976</v>
      </c>
      <c r="R472" s="853"/>
      <c r="S472" s="913"/>
      <c r="T472" s="913"/>
      <c r="U472" s="913">
        <v>141976</v>
      </c>
      <c r="V472" s="913"/>
      <c r="W472" s="913"/>
      <c r="X472" s="1600"/>
      <c r="Y472" s="1127"/>
      <c r="Z472" s="1124"/>
      <c r="AA472" s="1124"/>
      <c r="AB472" s="1124"/>
      <c r="AC472" s="1124"/>
      <c r="AD472" s="1124"/>
      <c r="AE472" s="1124"/>
      <c r="AF472" s="1124"/>
      <c r="AG472" s="1282">
        <f t="shared" si="106"/>
        <v>141976</v>
      </c>
    </row>
    <row r="473" spans="1:33" ht="54" hidden="1" customHeight="1">
      <c r="A473" s="294">
        <v>4132</v>
      </c>
      <c r="B473" s="820" t="s">
        <v>1043</v>
      </c>
      <c r="C473" s="876" t="s">
        <v>958</v>
      </c>
      <c r="D473" s="1543"/>
      <c r="E473" s="1403">
        <f>4+30+4+4+4+2+5+4+6+4</f>
        <v>67</v>
      </c>
      <c r="F473" s="1404">
        <v>43311</v>
      </c>
      <c r="G473" s="1400">
        <f>E473+F473-1</f>
        <v>43377</v>
      </c>
      <c r="H473" s="293" t="s">
        <v>914</v>
      </c>
      <c r="I473" s="845" t="s">
        <v>178</v>
      </c>
      <c r="J473" s="866" t="s">
        <v>169</v>
      </c>
      <c r="K473" s="1094" t="s">
        <v>888</v>
      </c>
      <c r="L473" s="1788">
        <v>23174</v>
      </c>
      <c r="M473" s="1543"/>
      <c r="N473" s="845"/>
      <c r="O473" s="1111">
        <v>20498.981250000001</v>
      </c>
      <c r="P473" s="845">
        <v>1</v>
      </c>
      <c r="Q473" s="913">
        <f t="shared" si="105"/>
        <v>20498.981250000001</v>
      </c>
      <c r="R473" s="936"/>
      <c r="S473" s="913"/>
      <c r="T473" s="913"/>
      <c r="U473" s="913"/>
      <c r="V473" s="913"/>
      <c r="W473" s="913">
        <v>1639.9185</v>
      </c>
      <c r="X473" s="1600">
        <v>3894.8064375000004</v>
      </c>
      <c r="Y473" s="1127">
        <v>14964.2563125</v>
      </c>
      <c r="Z473" s="1124"/>
      <c r="AA473" s="1124"/>
      <c r="AB473" s="1124"/>
      <c r="AC473" s="1124"/>
      <c r="AD473" s="1124"/>
      <c r="AE473" s="1124"/>
      <c r="AF473" s="1124"/>
      <c r="AG473" s="1282">
        <f t="shared" si="106"/>
        <v>20498.981250000001</v>
      </c>
    </row>
    <row r="474" spans="1:33" ht="45" hidden="1" customHeight="1">
      <c r="A474" s="294">
        <v>4132</v>
      </c>
      <c r="B474" s="820" t="s">
        <v>1043</v>
      </c>
      <c r="C474" s="876" t="s">
        <v>958</v>
      </c>
      <c r="D474" s="1543"/>
      <c r="E474" s="1403">
        <f>4+30+4+4+4+2+5+4+6+4</f>
        <v>67</v>
      </c>
      <c r="F474" s="1404">
        <v>43311</v>
      </c>
      <c r="G474" s="1400">
        <f t="shared" ref="G474:G480" si="108">E474+F474-1</f>
        <v>43377</v>
      </c>
      <c r="H474" s="293" t="s">
        <v>914</v>
      </c>
      <c r="I474" s="1418" t="s">
        <v>169</v>
      </c>
      <c r="J474" s="1491" t="s">
        <v>178</v>
      </c>
      <c r="K474" s="1094" t="s">
        <v>320</v>
      </c>
      <c r="L474" s="1788">
        <v>23173</v>
      </c>
      <c r="M474" s="1543"/>
      <c r="N474" s="845"/>
      <c r="O474" s="1111">
        <v>5254.34375</v>
      </c>
      <c r="P474" s="845">
        <v>1</v>
      </c>
      <c r="Q474" s="913">
        <f t="shared" si="105"/>
        <v>5254.34375</v>
      </c>
      <c r="R474" s="936"/>
      <c r="S474" s="913"/>
      <c r="T474" s="913"/>
      <c r="U474" s="913"/>
      <c r="V474" s="913"/>
      <c r="W474" s="913">
        <v>420.34750000000003</v>
      </c>
      <c r="X474" s="1600">
        <v>998.3253125</v>
      </c>
      <c r="Y474" s="1127">
        <v>3835.6709375</v>
      </c>
      <c r="Z474" s="1124"/>
      <c r="AA474" s="1124"/>
      <c r="AB474" s="1124"/>
      <c r="AC474" s="1124"/>
      <c r="AD474" s="1124"/>
      <c r="AE474" s="1124"/>
      <c r="AF474" s="1124"/>
      <c r="AG474" s="1282">
        <f t="shared" si="106"/>
        <v>5254.34375</v>
      </c>
    </row>
    <row r="475" spans="1:33" ht="45" hidden="1" customHeight="1">
      <c r="A475" s="294">
        <v>4132</v>
      </c>
      <c r="B475" s="820" t="s">
        <v>1043</v>
      </c>
      <c r="C475" s="876" t="s">
        <v>958</v>
      </c>
      <c r="D475" s="1543"/>
      <c r="E475" s="1403">
        <f>4+30+4+4+4+2+5+4+6+4</f>
        <v>67</v>
      </c>
      <c r="F475" s="1404">
        <v>43311</v>
      </c>
      <c r="G475" s="1400">
        <f t="shared" si="108"/>
        <v>43377</v>
      </c>
      <c r="H475" s="293" t="s">
        <v>914</v>
      </c>
      <c r="I475" s="1418" t="s">
        <v>169</v>
      </c>
      <c r="J475" s="1491" t="s">
        <v>178</v>
      </c>
      <c r="K475" s="1094" t="s">
        <v>486</v>
      </c>
      <c r="L475" s="1788">
        <v>23173</v>
      </c>
      <c r="M475" s="1543"/>
      <c r="N475" s="845"/>
      <c r="O475" s="1111">
        <v>31.25</v>
      </c>
      <c r="P475" s="845">
        <f>(4+4+5+4+5)</f>
        <v>22</v>
      </c>
      <c r="Q475" s="913">
        <f t="shared" si="105"/>
        <v>687.5</v>
      </c>
      <c r="R475" s="936"/>
      <c r="S475" s="913"/>
      <c r="T475" s="913"/>
      <c r="U475" s="913"/>
      <c r="V475" s="913"/>
      <c r="W475" s="913">
        <v>55</v>
      </c>
      <c r="X475" s="1600">
        <v>130.625</v>
      </c>
      <c r="Y475" s="1127">
        <v>501.875</v>
      </c>
      <c r="Z475" s="1124"/>
      <c r="AA475" s="1124"/>
      <c r="AB475" s="1124"/>
      <c r="AC475" s="1124"/>
      <c r="AD475" s="1124"/>
      <c r="AE475" s="1124"/>
      <c r="AF475" s="1124"/>
      <c r="AG475" s="1282">
        <f t="shared" si="106"/>
        <v>687.5</v>
      </c>
    </row>
    <row r="476" spans="1:33" ht="45" hidden="1" customHeight="1">
      <c r="A476" s="294">
        <v>4132</v>
      </c>
      <c r="B476" s="820" t="s">
        <v>1043</v>
      </c>
      <c r="C476" s="876" t="s">
        <v>958</v>
      </c>
      <c r="D476" s="1543"/>
      <c r="E476" s="1403">
        <f>4+30+4+4+4+2+5+4+6+4</f>
        <v>67</v>
      </c>
      <c r="F476" s="1404">
        <v>43311</v>
      </c>
      <c r="G476" s="1400">
        <f t="shared" si="108"/>
        <v>43377</v>
      </c>
      <c r="H476" s="293" t="s">
        <v>914</v>
      </c>
      <c r="I476" s="1418" t="s">
        <v>169</v>
      </c>
      <c r="J476" s="1491" t="s">
        <v>178</v>
      </c>
      <c r="K476" s="1787" t="s">
        <v>951</v>
      </c>
      <c r="L476" s="1788">
        <v>23172</v>
      </c>
      <c r="M476" s="1543"/>
      <c r="N476" s="845"/>
      <c r="O476" s="1111">
        <v>312.5</v>
      </c>
      <c r="P476" s="845">
        <v>1</v>
      </c>
      <c r="Q476" s="913">
        <f t="shared" si="105"/>
        <v>312.5</v>
      </c>
      <c r="R476" s="936"/>
      <c r="S476" s="913"/>
      <c r="T476" s="913"/>
      <c r="U476" s="913"/>
      <c r="V476" s="913"/>
      <c r="W476" s="913">
        <v>25</v>
      </c>
      <c r="X476" s="1600">
        <v>59.375</v>
      </c>
      <c r="Y476" s="1127">
        <v>228.125</v>
      </c>
      <c r="Z476" s="1124"/>
      <c r="AA476" s="1124"/>
      <c r="AB476" s="1124"/>
      <c r="AC476" s="1124"/>
      <c r="AD476" s="1124"/>
      <c r="AE476" s="1124"/>
      <c r="AF476" s="1124"/>
      <c r="AG476" s="1282">
        <f t="shared" si="106"/>
        <v>312.5</v>
      </c>
    </row>
    <row r="477" spans="1:33" ht="45" hidden="1" customHeight="1">
      <c r="A477" s="294">
        <v>4132</v>
      </c>
      <c r="B477" s="820" t="s">
        <v>1044</v>
      </c>
      <c r="C477" s="876" t="s">
        <v>960</v>
      </c>
      <c r="D477" s="1543"/>
      <c r="E477" s="1403">
        <f>5</f>
        <v>5</v>
      </c>
      <c r="F477" s="1404">
        <v>43318</v>
      </c>
      <c r="G477" s="1400">
        <f t="shared" si="108"/>
        <v>43322</v>
      </c>
      <c r="H477" s="293" t="s">
        <v>914</v>
      </c>
      <c r="I477" s="887" t="s">
        <v>178</v>
      </c>
      <c r="J477" s="914" t="s">
        <v>169</v>
      </c>
      <c r="K477" s="1094" t="s">
        <v>888</v>
      </c>
      <c r="L477" s="1788">
        <v>23174</v>
      </c>
      <c r="M477" s="1543"/>
      <c r="N477" s="845"/>
      <c r="O477" s="1111">
        <v>2368.7906250000001</v>
      </c>
      <c r="P477" s="845">
        <v>1</v>
      </c>
      <c r="Q477" s="913">
        <f t="shared" si="105"/>
        <v>2368.7906250000001</v>
      </c>
      <c r="R477" s="936"/>
      <c r="S477" s="913"/>
      <c r="T477" s="913"/>
      <c r="U477" s="913"/>
      <c r="V477" s="913"/>
      <c r="W477" s="913"/>
      <c r="X477" s="1600">
        <v>2368.7906250000001</v>
      </c>
      <c r="Y477" s="1127"/>
      <c r="Z477" s="1124"/>
      <c r="AA477" s="1124"/>
      <c r="AB477" s="1124"/>
      <c r="AC477" s="1124"/>
      <c r="AD477" s="1124"/>
      <c r="AE477" s="1124"/>
      <c r="AF477" s="1124"/>
      <c r="AG477" s="1282">
        <f t="shared" si="106"/>
        <v>2368.7906250000001</v>
      </c>
    </row>
    <row r="478" spans="1:33" ht="45" hidden="1" customHeight="1">
      <c r="A478" s="294">
        <v>4132</v>
      </c>
      <c r="B478" s="820" t="s">
        <v>1044</v>
      </c>
      <c r="C478" s="876" t="s">
        <v>960</v>
      </c>
      <c r="D478" s="1543"/>
      <c r="E478" s="1403">
        <f>5</f>
        <v>5</v>
      </c>
      <c r="F478" s="1404">
        <v>43318</v>
      </c>
      <c r="G478" s="1400">
        <f t="shared" si="108"/>
        <v>43322</v>
      </c>
      <c r="H478" s="293" t="s">
        <v>914</v>
      </c>
      <c r="I478" s="1418" t="s">
        <v>169</v>
      </c>
      <c r="J478" s="1491" t="s">
        <v>178</v>
      </c>
      <c r="K478" s="1094" t="s">
        <v>320</v>
      </c>
      <c r="L478" s="1788">
        <v>23173</v>
      </c>
      <c r="M478" s="1543"/>
      <c r="N478" s="845"/>
      <c r="O478" s="1111">
        <v>164.0625</v>
      </c>
      <c r="P478" s="845">
        <v>1</v>
      </c>
      <c r="Q478" s="913">
        <f t="shared" si="105"/>
        <v>164.0625</v>
      </c>
      <c r="R478" s="936"/>
      <c r="S478" s="913"/>
      <c r="T478" s="913"/>
      <c r="U478" s="913"/>
      <c r="V478" s="913"/>
      <c r="W478" s="913"/>
      <c r="X478" s="1600">
        <v>164.0625</v>
      </c>
      <c r="Y478" s="1127"/>
      <c r="Z478" s="1124"/>
      <c r="AA478" s="1124"/>
      <c r="AB478" s="1124"/>
      <c r="AC478" s="1124"/>
      <c r="AD478" s="1124"/>
      <c r="AE478" s="1124"/>
      <c r="AF478" s="1124"/>
      <c r="AG478" s="1282">
        <f t="shared" si="106"/>
        <v>164.0625</v>
      </c>
    </row>
    <row r="479" spans="1:33" ht="45" hidden="1" customHeight="1">
      <c r="A479" s="294">
        <v>4132</v>
      </c>
      <c r="B479" s="820" t="s">
        <v>1044</v>
      </c>
      <c r="C479" s="876" t="s">
        <v>960</v>
      </c>
      <c r="D479" s="1543"/>
      <c r="E479" s="1403">
        <f>5</f>
        <v>5</v>
      </c>
      <c r="F479" s="1404">
        <v>43318</v>
      </c>
      <c r="G479" s="1400">
        <f t="shared" si="108"/>
        <v>43322</v>
      </c>
      <c r="H479" s="293" t="s">
        <v>914</v>
      </c>
      <c r="I479" s="1418" t="s">
        <v>169</v>
      </c>
      <c r="J479" s="1491" t="s">
        <v>178</v>
      </c>
      <c r="K479" s="1094" t="s">
        <v>486</v>
      </c>
      <c r="L479" s="1788">
        <v>23173</v>
      </c>
      <c r="M479" s="1543"/>
      <c r="N479" s="845"/>
      <c r="O479" s="1111">
        <v>31.25</v>
      </c>
      <c r="P479" s="845">
        <v>5</v>
      </c>
      <c r="Q479" s="913">
        <f t="shared" si="105"/>
        <v>156.25</v>
      </c>
      <c r="R479" s="936"/>
      <c r="S479" s="913"/>
      <c r="T479" s="913"/>
      <c r="U479" s="913"/>
      <c r="V479" s="913"/>
      <c r="W479" s="913"/>
      <c r="X479" s="1600">
        <v>156.25</v>
      </c>
      <c r="Y479" s="1127"/>
      <c r="Z479" s="1124"/>
      <c r="AA479" s="1124"/>
      <c r="AB479" s="1124"/>
      <c r="AC479" s="1124"/>
      <c r="AD479" s="1124"/>
      <c r="AE479" s="1124"/>
      <c r="AF479" s="1124"/>
      <c r="AG479" s="1282">
        <f t="shared" si="106"/>
        <v>156.25</v>
      </c>
    </row>
    <row r="480" spans="1:33" ht="55.5" hidden="1" customHeight="1">
      <c r="A480" s="294">
        <v>4132</v>
      </c>
      <c r="B480" s="1730" t="s">
        <v>1045</v>
      </c>
      <c r="C480" s="1843" t="s">
        <v>962</v>
      </c>
      <c r="D480" s="1543"/>
      <c r="E480" s="1403">
        <f>10</f>
        <v>10</v>
      </c>
      <c r="F480" s="1400">
        <v>43360</v>
      </c>
      <c r="G480" s="1400">
        <f t="shared" si="108"/>
        <v>43369</v>
      </c>
      <c r="H480" s="293" t="s">
        <v>914</v>
      </c>
      <c r="I480" s="1418" t="s">
        <v>169</v>
      </c>
      <c r="J480" s="1491" t="s">
        <v>178</v>
      </c>
      <c r="K480" s="1787" t="s">
        <v>963</v>
      </c>
      <c r="L480" s="1788">
        <v>2313</v>
      </c>
      <c r="M480" s="1543"/>
      <c r="N480" s="845"/>
      <c r="O480" s="1111">
        <v>750</v>
      </c>
      <c r="P480" s="845">
        <v>14</v>
      </c>
      <c r="Q480" s="913">
        <f t="shared" si="105"/>
        <v>10500</v>
      </c>
      <c r="R480" s="853"/>
      <c r="S480" s="913"/>
      <c r="T480" s="913"/>
      <c r="U480" s="913"/>
      <c r="V480" s="913"/>
      <c r="W480" s="913"/>
      <c r="X480" s="1600"/>
      <c r="Y480" s="1127">
        <v>10500</v>
      </c>
      <c r="Z480" s="1124"/>
      <c r="AA480" s="1124"/>
      <c r="AB480" s="1124"/>
      <c r="AC480" s="1124"/>
      <c r="AD480" s="1124"/>
      <c r="AE480" s="1124"/>
      <c r="AF480" s="1124"/>
      <c r="AG480" s="1282">
        <f t="shared" si="106"/>
        <v>10500</v>
      </c>
    </row>
    <row r="481" spans="1:33" ht="52.5" customHeight="1">
      <c r="A481" s="1248" t="s">
        <v>277</v>
      </c>
      <c r="B481" s="274"/>
      <c r="C481" s="278"/>
      <c r="D481" s="1270"/>
      <c r="E481" s="1270"/>
      <c r="F481" s="1270"/>
      <c r="G481" s="1270"/>
      <c r="H481" s="1270"/>
      <c r="I481" s="1270"/>
      <c r="J481" s="273"/>
      <c r="K481" s="1248"/>
      <c r="L481" s="1269"/>
      <c r="M481" s="1270"/>
      <c r="N481" s="1268"/>
      <c r="O481" s="1271"/>
      <c r="P481" s="1268"/>
      <c r="Q481" s="1273">
        <f>+Q482+Q486+Q491+Q493+Q495+Q500+Q510+Q513</f>
        <v>348173.33333333337</v>
      </c>
      <c r="R481" s="1273">
        <f>+'[7]Compil Costing PPA 3 millions'!F16+'[7]Compil Costing PPA 3 millions'!F18+'[7]Compil Costing PPA 3 millions'!F19</f>
        <v>1137594.3333333335</v>
      </c>
      <c r="S481" s="1272">
        <f t="shared" ref="S481:AG481" si="109">+S482+S486+S491+S493+S495+S500+S510+S513</f>
        <v>0</v>
      </c>
      <c r="T481" s="1272">
        <f t="shared" si="109"/>
        <v>93216.666666666672</v>
      </c>
      <c r="U481" s="1272">
        <f t="shared" si="109"/>
        <v>114456.16666666666</v>
      </c>
      <c r="V481" s="1272">
        <f t="shared" si="109"/>
        <v>138325.5</v>
      </c>
      <c r="W481" s="1272">
        <f t="shared" si="109"/>
        <v>1087.5</v>
      </c>
      <c r="X481" s="1272">
        <f t="shared" si="109"/>
        <v>1087.5</v>
      </c>
      <c r="Y481" s="1272">
        <f t="shared" si="109"/>
        <v>0</v>
      </c>
      <c r="Z481" s="276">
        <f t="shared" si="109"/>
        <v>0</v>
      </c>
      <c r="AA481" s="276">
        <f t="shared" si="109"/>
        <v>0</v>
      </c>
      <c r="AB481" s="276">
        <f t="shared" si="109"/>
        <v>0</v>
      </c>
      <c r="AC481" s="276">
        <f t="shared" si="109"/>
        <v>0</v>
      </c>
      <c r="AD481" s="276">
        <f t="shared" si="109"/>
        <v>0</v>
      </c>
      <c r="AE481" s="276">
        <f t="shared" si="109"/>
        <v>0</v>
      </c>
      <c r="AF481" s="276">
        <f t="shared" si="109"/>
        <v>0</v>
      </c>
      <c r="AG481" s="1272">
        <f t="shared" si="109"/>
        <v>348173.33333333331</v>
      </c>
    </row>
    <row r="482" spans="1:33" ht="32.25" hidden="1" thickBot="1">
      <c r="A482" s="1275">
        <v>421</v>
      </c>
      <c r="B482" s="359" t="s">
        <v>439</v>
      </c>
      <c r="C482" s="1021"/>
      <c r="D482" s="1280"/>
      <c r="E482" s="1280"/>
      <c r="F482" s="1280"/>
      <c r="G482" s="1280"/>
      <c r="H482" s="1280"/>
      <c r="I482" s="1280"/>
      <c r="J482" s="283"/>
      <c r="K482" s="1278"/>
      <c r="L482" s="1279"/>
      <c r="M482" s="1280"/>
      <c r="N482" s="1277"/>
      <c r="O482" s="1281"/>
      <c r="P482" s="1277"/>
      <c r="Q482" s="547">
        <f>SUM(Q483:Q485)</f>
        <v>5437.5</v>
      </c>
      <c r="R482" s="287">
        <v>348173</v>
      </c>
      <c r="S482" s="1395">
        <f t="shared" ref="S482:AF482" si="110">SUM(S483:S485)</f>
        <v>0</v>
      </c>
      <c r="T482" s="1395">
        <f t="shared" si="110"/>
        <v>0</v>
      </c>
      <c r="U482" s="1395">
        <f t="shared" si="110"/>
        <v>0</v>
      </c>
      <c r="V482" s="1395">
        <f t="shared" si="110"/>
        <v>3262.5</v>
      </c>
      <c r="W482" s="1395">
        <f t="shared" si="110"/>
        <v>1087.5</v>
      </c>
      <c r="X482" s="1395">
        <f t="shared" si="110"/>
        <v>1087.5</v>
      </c>
      <c r="Y482" s="1395">
        <f t="shared" si="110"/>
        <v>0</v>
      </c>
      <c r="Z482" s="361">
        <f t="shared" si="110"/>
        <v>0</v>
      </c>
      <c r="AA482" s="361">
        <f t="shared" si="110"/>
        <v>0</v>
      </c>
      <c r="AB482" s="361">
        <f t="shared" si="110"/>
        <v>0</v>
      </c>
      <c r="AC482" s="361">
        <f t="shared" si="110"/>
        <v>0</v>
      </c>
      <c r="AD482" s="361">
        <f t="shared" si="110"/>
        <v>0</v>
      </c>
      <c r="AE482" s="361">
        <f t="shared" si="110"/>
        <v>0</v>
      </c>
      <c r="AF482" s="361">
        <f t="shared" si="110"/>
        <v>0</v>
      </c>
      <c r="AG482" s="1282">
        <f t="shared" ref="AG482:AG500" si="111">SUM(S482:AF482)</f>
        <v>5437.5</v>
      </c>
    </row>
    <row r="483" spans="1:33" ht="66" hidden="1" customHeight="1" thickTop="1" thickBot="1">
      <c r="A483" s="294">
        <v>4211</v>
      </c>
      <c r="B483" s="291" t="s">
        <v>440</v>
      </c>
      <c r="C483" s="824" t="s">
        <v>1047</v>
      </c>
      <c r="D483" s="326"/>
      <c r="E483" s="294">
        <f>50</f>
        <v>50</v>
      </c>
      <c r="F483" s="1844">
        <v>43186</v>
      </c>
      <c r="G483" s="1845">
        <f>+F483+E483</f>
        <v>43236</v>
      </c>
      <c r="H483" s="293" t="s">
        <v>368</v>
      </c>
      <c r="I483" s="294" t="s">
        <v>169</v>
      </c>
      <c r="J483" s="307" t="s">
        <v>442</v>
      </c>
      <c r="K483" s="326" t="s">
        <v>443</v>
      </c>
      <c r="L483" s="1788">
        <v>2313</v>
      </c>
      <c r="M483" s="326"/>
      <c r="N483" s="294"/>
      <c r="O483" s="1846">
        <v>217.5</v>
      </c>
      <c r="P483" s="1847">
        <v>15</v>
      </c>
      <c r="Q483" s="1848">
        <v>3262.5</v>
      </c>
      <c r="R483" s="1848"/>
      <c r="S483" s="1847"/>
      <c r="T483" s="1847"/>
      <c r="U483" s="1847"/>
      <c r="V483" s="1847">
        <v>3262.5</v>
      </c>
      <c r="W483" s="1847"/>
      <c r="X483" s="1849"/>
      <c r="Y483" s="1850"/>
      <c r="Z483" s="1124"/>
      <c r="AA483" s="1199"/>
      <c r="AB483" s="1124"/>
      <c r="AC483" s="1124"/>
      <c r="AD483" s="1124"/>
      <c r="AE483" s="1124"/>
      <c r="AF483" s="1124"/>
      <c r="AG483" s="1282">
        <f t="shared" si="111"/>
        <v>3262.5</v>
      </c>
    </row>
    <row r="484" spans="1:33" ht="48.75" hidden="1" thickTop="1" thickBot="1">
      <c r="A484" s="294">
        <v>4212</v>
      </c>
      <c r="B484" s="291" t="s">
        <v>446</v>
      </c>
      <c r="C484" s="824" t="s">
        <v>1046</v>
      </c>
      <c r="D484" s="326"/>
      <c r="E484" s="294">
        <v>70</v>
      </c>
      <c r="F484" s="1844">
        <v>43186</v>
      </c>
      <c r="G484" s="1845">
        <f>+F484+E484</f>
        <v>43256</v>
      </c>
      <c r="H484" s="293" t="s">
        <v>368</v>
      </c>
      <c r="I484" s="294" t="s">
        <v>169</v>
      </c>
      <c r="J484" s="307" t="s">
        <v>442</v>
      </c>
      <c r="K484" s="326" t="s">
        <v>443</v>
      </c>
      <c r="L484" s="1788">
        <v>2313</v>
      </c>
      <c r="M484" s="326"/>
      <c r="N484" s="294"/>
      <c r="O484" s="1846">
        <v>217.5</v>
      </c>
      <c r="P484" s="1847">
        <v>5</v>
      </c>
      <c r="Q484" s="2314">
        <f>O484*P484</f>
        <v>1087.5</v>
      </c>
      <c r="R484" s="1848"/>
      <c r="S484" s="1847"/>
      <c r="T484" s="1847"/>
      <c r="U484" s="1847"/>
      <c r="V484" s="1847"/>
      <c r="W484" s="1847">
        <v>1087.5</v>
      </c>
      <c r="X484" s="1849"/>
      <c r="Y484" s="1850"/>
      <c r="Z484" s="1124"/>
      <c r="AA484" s="1124"/>
      <c r="AB484" s="1124"/>
      <c r="AC484" s="1124"/>
      <c r="AD484" s="1124"/>
      <c r="AE484" s="1124"/>
      <c r="AF484" s="1124"/>
      <c r="AG484" s="1282">
        <f t="shared" si="111"/>
        <v>1087.5</v>
      </c>
    </row>
    <row r="485" spans="1:33" ht="63.75" hidden="1" thickTop="1">
      <c r="A485" s="294">
        <v>4213</v>
      </c>
      <c r="B485" s="291" t="s">
        <v>448</v>
      </c>
      <c r="C485" s="824" t="s">
        <v>1048</v>
      </c>
      <c r="D485" s="326"/>
      <c r="E485" s="294">
        <v>70</v>
      </c>
      <c r="F485" s="1844">
        <v>43186</v>
      </c>
      <c r="G485" s="1845">
        <f>+F485+E485</f>
        <v>43256</v>
      </c>
      <c r="H485" s="293" t="s">
        <v>368</v>
      </c>
      <c r="I485" s="294" t="s">
        <v>169</v>
      </c>
      <c r="J485" s="307" t="s">
        <v>442</v>
      </c>
      <c r="K485" s="326" t="s">
        <v>443</v>
      </c>
      <c r="L485" s="1788">
        <v>2313</v>
      </c>
      <c r="M485" s="326"/>
      <c r="N485" s="294"/>
      <c r="O485" s="1846">
        <v>217.5</v>
      </c>
      <c r="P485" s="1847">
        <v>5</v>
      </c>
      <c r="Q485" s="2314">
        <f>O485*P485</f>
        <v>1087.5</v>
      </c>
      <c r="R485" s="1848"/>
      <c r="S485" s="1847"/>
      <c r="T485" s="1847"/>
      <c r="U485" s="1847"/>
      <c r="V485" s="1847"/>
      <c r="W485" s="1847"/>
      <c r="X485" s="1849">
        <v>1087.5</v>
      </c>
      <c r="Y485" s="1850"/>
      <c r="Z485" s="1124"/>
      <c r="AA485" s="1124"/>
      <c r="AB485" s="1124"/>
      <c r="AC485" s="1124"/>
      <c r="AD485" s="1124"/>
      <c r="AE485" s="1124"/>
      <c r="AF485" s="1124"/>
      <c r="AG485" s="1282">
        <f t="shared" si="111"/>
        <v>1087.5</v>
      </c>
    </row>
    <row r="486" spans="1:33" ht="16.5" hidden="1" customHeight="1" thickBot="1">
      <c r="A486" s="1275">
        <v>422</v>
      </c>
      <c r="B486" s="359" t="s">
        <v>450</v>
      </c>
      <c r="C486" s="1021"/>
      <c r="D486" s="1280"/>
      <c r="E486" s="1280"/>
      <c r="F486" s="1280"/>
      <c r="G486" s="1280"/>
      <c r="H486" s="1280"/>
      <c r="I486" s="1280"/>
      <c r="J486" s="283"/>
      <c r="K486" s="1278"/>
      <c r="L486" s="1279"/>
      <c r="M486" s="1280"/>
      <c r="N486" s="1277"/>
      <c r="O486" s="1281"/>
      <c r="P486" s="1277"/>
      <c r="Q486" s="547">
        <f>SUM(Q487:Q490)</f>
        <v>15217.333333333334</v>
      </c>
      <c r="R486" s="2826"/>
      <c r="S486" s="1395">
        <f t="shared" ref="S486:AF486" si="112">SUM(S487:S490)</f>
        <v>0</v>
      </c>
      <c r="T486" s="1395">
        <f t="shared" si="112"/>
        <v>0</v>
      </c>
      <c r="U486" s="1395">
        <f t="shared" si="112"/>
        <v>9997.3333333333321</v>
      </c>
      <c r="V486" s="1395">
        <f t="shared" si="112"/>
        <v>5220</v>
      </c>
      <c r="W486" s="1395">
        <f t="shared" si="112"/>
        <v>0</v>
      </c>
      <c r="X486" s="1395">
        <f t="shared" si="112"/>
        <v>0</v>
      </c>
      <c r="Y486" s="1395">
        <f t="shared" si="112"/>
        <v>0</v>
      </c>
      <c r="Z486" s="361">
        <f t="shared" si="112"/>
        <v>0</v>
      </c>
      <c r="AA486" s="361">
        <f t="shared" si="112"/>
        <v>0</v>
      </c>
      <c r="AB486" s="361">
        <f t="shared" si="112"/>
        <v>0</v>
      </c>
      <c r="AC486" s="361">
        <f t="shared" si="112"/>
        <v>0</v>
      </c>
      <c r="AD486" s="361">
        <f t="shared" si="112"/>
        <v>0</v>
      </c>
      <c r="AE486" s="361">
        <f t="shared" si="112"/>
        <v>0</v>
      </c>
      <c r="AF486" s="361">
        <f t="shared" si="112"/>
        <v>0</v>
      </c>
      <c r="AG486" s="1282">
        <f t="shared" si="111"/>
        <v>15217.333333333332</v>
      </c>
    </row>
    <row r="487" spans="1:33" ht="33" hidden="1" thickTop="1" thickBot="1">
      <c r="A487" s="294">
        <v>4221</v>
      </c>
      <c r="B487" s="1729" t="s">
        <v>451</v>
      </c>
      <c r="C487" s="824" t="s">
        <v>452</v>
      </c>
      <c r="D487" s="326"/>
      <c r="E487" s="294">
        <f>50</f>
        <v>50</v>
      </c>
      <c r="F487" s="1844">
        <v>43186</v>
      </c>
      <c r="G487" s="1845">
        <f>+F487+E487</f>
        <v>43236</v>
      </c>
      <c r="H487" s="293" t="s">
        <v>368</v>
      </c>
      <c r="I487" s="294" t="s">
        <v>169</v>
      </c>
      <c r="J487" s="307" t="s">
        <v>179</v>
      </c>
      <c r="K487" s="326" t="s">
        <v>365</v>
      </c>
      <c r="L487" s="1788">
        <v>2313</v>
      </c>
      <c r="M487" s="326"/>
      <c r="N487" s="294"/>
      <c r="O487" s="1846">
        <v>174</v>
      </c>
      <c r="P487" s="1852">
        <v>30</v>
      </c>
      <c r="Q487" s="2314">
        <f>O487*P487</f>
        <v>5220</v>
      </c>
      <c r="R487" s="1848"/>
      <c r="S487" s="1847"/>
      <c r="T487" s="1847"/>
      <c r="U487" s="1847"/>
      <c r="V487" s="1847">
        <v>5220</v>
      </c>
      <c r="W487" s="355"/>
      <c r="X487" s="1137"/>
      <c r="Y487" s="1126"/>
      <c r="Z487" s="1124"/>
      <c r="AA487" s="1124"/>
      <c r="AB487" s="1124"/>
      <c r="AC487" s="1124"/>
      <c r="AD487" s="1124"/>
      <c r="AE487" s="1124"/>
      <c r="AF487" s="1124"/>
      <c r="AG487" s="1282">
        <f t="shared" si="111"/>
        <v>5220</v>
      </c>
    </row>
    <row r="488" spans="1:33" ht="33" hidden="1" thickTop="1" thickBot="1">
      <c r="A488" s="294">
        <v>4222</v>
      </c>
      <c r="B488" s="1729" t="s">
        <v>453</v>
      </c>
      <c r="C488" s="824" t="s">
        <v>454</v>
      </c>
      <c r="D488" s="326"/>
      <c r="E488" s="1853">
        <v>5</v>
      </c>
      <c r="F488" s="1844">
        <v>43241</v>
      </c>
      <c r="G488" s="1845">
        <f>+F488+E488-1</f>
        <v>43245</v>
      </c>
      <c r="H488" s="293" t="s">
        <v>455</v>
      </c>
      <c r="I488" s="294" t="s">
        <v>179</v>
      </c>
      <c r="J488" s="307" t="s">
        <v>456</v>
      </c>
      <c r="K488" s="326" t="s">
        <v>457</v>
      </c>
      <c r="L488" s="1788">
        <v>23174</v>
      </c>
      <c r="M488" s="326"/>
      <c r="N488" s="294"/>
      <c r="O488" s="1846">
        <v>160</v>
      </c>
      <c r="P488" s="1847">
        <v>40</v>
      </c>
      <c r="Q488" s="2314">
        <f>O488*P488</f>
        <v>6400</v>
      </c>
      <c r="R488" s="1848"/>
      <c r="S488" s="1847"/>
      <c r="T488" s="1847"/>
      <c r="U488" s="1847">
        <v>6400</v>
      </c>
      <c r="V488" s="1847"/>
      <c r="W488" s="355"/>
      <c r="X488" s="1137"/>
      <c r="Y488" s="1126"/>
      <c r="Z488" s="1124"/>
      <c r="AA488" s="1124"/>
      <c r="AB488" s="1124"/>
      <c r="AC488" s="1124"/>
      <c r="AD488" s="1124"/>
      <c r="AE488" s="1124"/>
      <c r="AF488" s="1124"/>
      <c r="AG488" s="1282">
        <f t="shared" si="111"/>
        <v>6400</v>
      </c>
    </row>
    <row r="489" spans="1:33" ht="33" hidden="1" thickTop="1" thickBot="1">
      <c r="A489" s="294">
        <v>4223</v>
      </c>
      <c r="B489" s="1729" t="s">
        <v>458</v>
      </c>
      <c r="C489" s="1724" t="s">
        <v>459</v>
      </c>
      <c r="D489" s="326"/>
      <c r="E489" s="1853">
        <v>3</v>
      </c>
      <c r="F489" s="1844">
        <v>43248</v>
      </c>
      <c r="G489" s="1845">
        <f>+F489+E489-1</f>
        <v>43250</v>
      </c>
      <c r="H489" s="293" t="s">
        <v>460</v>
      </c>
      <c r="I489" s="294" t="s">
        <v>179</v>
      </c>
      <c r="J489" s="306" t="s">
        <v>461</v>
      </c>
      <c r="K489" s="326" t="s">
        <v>457</v>
      </c>
      <c r="L489" s="1788">
        <v>23174</v>
      </c>
      <c r="M489" s="326"/>
      <c r="N489" s="294"/>
      <c r="O489" s="1846">
        <v>134.66666666666666</v>
      </c>
      <c r="P489" s="1847">
        <v>8</v>
      </c>
      <c r="Q489" s="2314">
        <f>O489*P489</f>
        <v>1077.3333333333333</v>
      </c>
      <c r="R489" s="1848"/>
      <c r="S489" s="355"/>
      <c r="T489" s="355"/>
      <c r="U489" s="1847">
        <v>1077.3333333333333</v>
      </c>
      <c r="V489" s="355"/>
      <c r="W489" s="355"/>
      <c r="X489" s="1137"/>
      <c r="Y489" s="1126"/>
      <c r="Z489" s="1124"/>
      <c r="AA489" s="1124"/>
      <c r="AB489" s="1124"/>
      <c r="AC489" s="1124"/>
      <c r="AD489" s="1124"/>
      <c r="AE489" s="1124"/>
      <c r="AF489" s="1124"/>
      <c r="AG489" s="1282">
        <f t="shared" si="111"/>
        <v>1077.3333333333333</v>
      </c>
    </row>
    <row r="490" spans="1:33" ht="32.25" hidden="1" thickTop="1">
      <c r="A490" s="294">
        <v>4224</v>
      </c>
      <c r="B490" s="1729" t="s">
        <v>462</v>
      </c>
      <c r="C490" s="1724" t="s">
        <v>463</v>
      </c>
      <c r="D490" s="326"/>
      <c r="E490" s="1853">
        <v>5</v>
      </c>
      <c r="F490" s="1844">
        <v>43255</v>
      </c>
      <c r="G490" s="1845">
        <f>+F490+E490-1</f>
        <v>43259</v>
      </c>
      <c r="H490" s="293" t="s">
        <v>455</v>
      </c>
      <c r="I490" s="294" t="s">
        <v>179</v>
      </c>
      <c r="J490" s="306" t="s">
        <v>461</v>
      </c>
      <c r="K490" s="326" t="s">
        <v>457</v>
      </c>
      <c r="L490" s="1788">
        <v>23174</v>
      </c>
      <c r="M490" s="326"/>
      <c r="N490" s="294"/>
      <c r="O490" s="1846">
        <v>84</v>
      </c>
      <c r="P490" s="1847">
        <v>30</v>
      </c>
      <c r="Q490" s="2314">
        <f>O490*P490</f>
        <v>2520</v>
      </c>
      <c r="R490" s="1848"/>
      <c r="S490" s="1847"/>
      <c r="T490" s="1847"/>
      <c r="U490" s="1847">
        <v>2520</v>
      </c>
      <c r="V490" s="1847"/>
      <c r="W490" s="1847"/>
      <c r="X490" s="1137"/>
      <c r="Y490" s="1126"/>
      <c r="Z490" s="1124"/>
      <c r="AA490" s="1124"/>
      <c r="AB490" s="1124"/>
      <c r="AC490" s="1124"/>
      <c r="AD490" s="1124"/>
      <c r="AE490" s="1124"/>
      <c r="AF490" s="1124"/>
      <c r="AG490" s="1282">
        <f t="shared" si="111"/>
        <v>2520</v>
      </c>
    </row>
    <row r="491" spans="1:33" ht="32.25" hidden="1" thickBot="1">
      <c r="A491" s="1275">
        <v>423</v>
      </c>
      <c r="B491" s="1466" t="s">
        <v>464</v>
      </c>
      <c r="C491" s="1511"/>
      <c r="D491" s="1422"/>
      <c r="E491" s="1422"/>
      <c r="F491" s="1422"/>
      <c r="G491" s="1422"/>
      <c r="H491" s="1422"/>
      <c r="I491" s="1423"/>
      <c r="J491" s="283"/>
      <c r="K491" s="1278"/>
      <c r="L491" s="1279"/>
      <c r="M491" s="1280"/>
      <c r="N491" s="1277"/>
      <c r="O491" s="1281"/>
      <c r="P491" s="1277"/>
      <c r="Q491" s="547">
        <f>SUM(Q492)</f>
        <v>6400</v>
      </c>
      <c r="R491" s="2826"/>
      <c r="S491" s="1395">
        <f t="shared" ref="S491:AF491" si="113">SUM(S492)</f>
        <v>0</v>
      </c>
      <c r="T491" s="1395">
        <f t="shared" si="113"/>
        <v>0</v>
      </c>
      <c r="U491" s="1395">
        <f t="shared" si="113"/>
        <v>0</v>
      </c>
      <c r="V491" s="1395">
        <f t="shared" si="113"/>
        <v>6400</v>
      </c>
      <c r="W491" s="1395">
        <f t="shared" si="113"/>
        <v>0</v>
      </c>
      <c r="X491" s="1395">
        <f t="shared" si="113"/>
        <v>0</v>
      </c>
      <c r="Y491" s="1395">
        <f t="shared" si="113"/>
        <v>0</v>
      </c>
      <c r="Z491" s="361">
        <f t="shared" si="113"/>
        <v>0</v>
      </c>
      <c r="AA491" s="361">
        <f t="shared" si="113"/>
        <v>0</v>
      </c>
      <c r="AB491" s="361">
        <f t="shared" si="113"/>
        <v>0</v>
      </c>
      <c r="AC491" s="361">
        <f t="shared" si="113"/>
        <v>0</v>
      </c>
      <c r="AD491" s="361">
        <f t="shared" si="113"/>
        <v>0</v>
      </c>
      <c r="AE491" s="361">
        <f t="shared" si="113"/>
        <v>0</v>
      </c>
      <c r="AF491" s="361">
        <f t="shared" si="113"/>
        <v>0</v>
      </c>
      <c r="AG491" s="1282">
        <f t="shared" si="111"/>
        <v>6400</v>
      </c>
    </row>
    <row r="492" spans="1:33" ht="51" hidden="1" customHeight="1" thickTop="1">
      <c r="A492" s="294">
        <v>4231</v>
      </c>
      <c r="B492" s="1893" t="s">
        <v>465</v>
      </c>
      <c r="C492" s="1724" t="s">
        <v>466</v>
      </c>
      <c r="D492" s="1852"/>
      <c r="E492" s="1853">
        <v>5</v>
      </c>
      <c r="F492" s="1844">
        <v>43269</v>
      </c>
      <c r="G492" s="1845">
        <f>+F492+E492-1</f>
        <v>43273</v>
      </c>
      <c r="H492" s="1852" t="s">
        <v>368</v>
      </c>
      <c r="I492" s="1853" t="s">
        <v>179</v>
      </c>
      <c r="J492" s="306" t="s">
        <v>461</v>
      </c>
      <c r="K492" s="326" t="s">
        <v>457</v>
      </c>
      <c r="L492" s="1237">
        <v>23174</v>
      </c>
      <c r="M492" s="1852"/>
      <c r="N492" s="1852"/>
      <c r="O492" s="1846">
        <v>160</v>
      </c>
      <c r="P492" s="1848">
        <v>40</v>
      </c>
      <c r="Q492" s="1848">
        <f>O492*P492</f>
        <v>6400</v>
      </c>
      <c r="R492" s="1848"/>
      <c r="S492" s="1847"/>
      <c r="T492" s="1847"/>
      <c r="U492" s="1847"/>
      <c r="V492" s="1847">
        <v>6400</v>
      </c>
      <c r="W492" s="1847"/>
      <c r="X492" s="1854"/>
      <c r="Y492" s="1124"/>
      <c r="Z492" s="1734"/>
      <c r="AA492" s="1734"/>
      <c r="AB492" s="1734"/>
      <c r="AC492" s="1734"/>
      <c r="AD492" s="1734"/>
      <c r="AE492" s="1734"/>
      <c r="AF492" s="1734"/>
      <c r="AG492" s="1282">
        <f t="shared" si="111"/>
        <v>6400</v>
      </c>
    </row>
    <row r="493" spans="1:33" ht="34.5" hidden="1" customHeight="1" thickBot="1">
      <c r="A493" s="1275">
        <v>424</v>
      </c>
      <c r="B493" s="1128" t="s">
        <v>467</v>
      </c>
      <c r="C493" s="1511"/>
      <c r="D493" s="1422"/>
      <c r="E493" s="1422"/>
      <c r="F493" s="1422"/>
      <c r="G493" s="1422"/>
      <c r="H493" s="1422"/>
      <c r="I493" s="1423"/>
      <c r="J493" s="283"/>
      <c r="K493" s="1278"/>
      <c r="L493" s="1279"/>
      <c r="M493" s="1280"/>
      <c r="N493" s="1277"/>
      <c r="O493" s="1281"/>
      <c r="P493" s="1277"/>
      <c r="Q493" s="547">
        <f>SUM(Q494)</f>
        <v>66990</v>
      </c>
      <c r="R493" s="2826"/>
      <c r="S493" s="1395">
        <f t="shared" ref="S493:AF493" si="114">SUM(S494)</f>
        <v>0</v>
      </c>
      <c r="T493" s="1395">
        <f t="shared" si="114"/>
        <v>0</v>
      </c>
      <c r="U493" s="1395">
        <f t="shared" si="114"/>
        <v>0</v>
      </c>
      <c r="V493" s="1395">
        <f t="shared" si="114"/>
        <v>66990</v>
      </c>
      <c r="W493" s="1395">
        <f t="shared" si="114"/>
        <v>0</v>
      </c>
      <c r="X493" s="1395">
        <f t="shared" si="114"/>
        <v>0</v>
      </c>
      <c r="Y493" s="1395">
        <f t="shared" si="114"/>
        <v>0</v>
      </c>
      <c r="Z493" s="361">
        <f t="shared" si="114"/>
        <v>0</v>
      </c>
      <c r="AA493" s="361">
        <f t="shared" si="114"/>
        <v>0</v>
      </c>
      <c r="AB493" s="361">
        <f t="shared" si="114"/>
        <v>0</v>
      </c>
      <c r="AC493" s="361">
        <f t="shared" si="114"/>
        <v>0</v>
      </c>
      <c r="AD493" s="361">
        <f t="shared" si="114"/>
        <v>0</v>
      </c>
      <c r="AE493" s="361">
        <f t="shared" si="114"/>
        <v>0</v>
      </c>
      <c r="AF493" s="361">
        <f t="shared" si="114"/>
        <v>0</v>
      </c>
      <c r="AG493" s="1282">
        <f t="shared" si="111"/>
        <v>66990</v>
      </c>
    </row>
    <row r="494" spans="1:33" ht="63.75" hidden="1" thickTop="1">
      <c r="A494" s="294">
        <v>4241</v>
      </c>
      <c r="B494" s="1894" t="s">
        <v>468</v>
      </c>
      <c r="C494" s="1724" t="s">
        <v>469</v>
      </c>
      <c r="D494" s="326"/>
      <c r="E494" s="1853">
        <v>2</v>
      </c>
      <c r="F494" s="1844">
        <v>43283</v>
      </c>
      <c r="G494" s="1845">
        <f>+F494+E494-1</f>
        <v>43284</v>
      </c>
      <c r="H494" s="293" t="s">
        <v>470</v>
      </c>
      <c r="I494" s="294" t="s">
        <v>179</v>
      </c>
      <c r="J494" s="306" t="s">
        <v>461</v>
      </c>
      <c r="K494" s="326" t="s">
        <v>457</v>
      </c>
      <c r="L494" s="1237">
        <v>23174</v>
      </c>
      <c r="M494" s="326"/>
      <c r="N494" s="294"/>
      <c r="O494" s="1846">
        <v>3045</v>
      </c>
      <c r="P494" s="1848">
        <v>22</v>
      </c>
      <c r="Q494" s="1848">
        <f>O494*P494</f>
        <v>66990</v>
      </c>
      <c r="R494" s="1848"/>
      <c r="S494" s="1847"/>
      <c r="T494" s="1847"/>
      <c r="U494" s="1847"/>
      <c r="V494" s="1847">
        <v>66990</v>
      </c>
      <c r="W494" s="1847"/>
      <c r="X494" s="1137"/>
      <c r="Y494" s="1126"/>
      <c r="Z494" s="1126"/>
      <c r="AA494" s="1126"/>
      <c r="AB494" s="1126"/>
      <c r="AC494" s="1126"/>
      <c r="AD494" s="1126"/>
      <c r="AE494" s="1126"/>
      <c r="AF494" s="1126"/>
      <c r="AG494" s="1282">
        <f t="shared" si="111"/>
        <v>66990</v>
      </c>
    </row>
    <row r="495" spans="1:33" ht="16.5" hidden="1" customHeight="1" thickBot="1">
      <c r="A495" s="1275">
        <v>425</v>
      </c>
      <c r="B495" s="1466" t="s">
        <v>471</v>
      </c>
      <c r="C495" s="1511"/>
      <c r="D495" s="1422"/>
      <c r="E495" s="1422"/>
      <c r="F495" s="1422"/>
      <c r="G495" s="1422"/>
      <c r="H495" s="1422"/>
      <c r="I495" s="1423"/>
      <c r="J495" s="283"/>
      <c r="K495" s="1278"/>
      <c r="L495" s="1279"/>
      <c r="M495" s="1280"/>
      <c r="N495" s="1277"/>
      <c r="O495" s="1281"/>
      <c r="P495" s="1277"/>
      <c r="Q495" s="547">
        <f>SUM(Q496:Q499)</f>
        <v>104413.66666666667</v>
      </c>
      <c r="R495" s="2826"/>
      <c r="S495" s="1395">
        <f t="shared" ref="S495:AF495" si="115">SUM(S496:S499)</f>
        <v>0</v>
      </c>
      <c r="T495" s="1395">
        <f t="shared" si="115"/>
        <v>93216.666666666672</v>
      </c>
      <c r="U495" s="1395">
        <f t="shared" si="115"/>
        <v>6760</v>
      </c>
      <c r="V495" s="1395">
        <f t="shared" si="115"/>
        <v>4437</v>
      </c>
      <c r="W495" s="1395">
        <f t="shared" si="115"/>
        <v>0</v>
      </c>
      <c r="X495" s="1395">
        <f t="shared" si="115"/>
        <v>0</v>
      </c>
      <c r="Y495" s="1395">
        <f t="shared" si="115"/>
        <v>0</v>
      </c>
      <c r="Z495" s="361">
        <f t="shared" si="115"/>
        <v>0</v>
      </c>
      <c r="AA495" s="361">
        <f t="shared" si="115"/>
        <v>0</v>
      </c>
      <c r="AB495" s="361">
        <f t="shared" si="115"/>
        <v>0</v>
      </c>
      <c r="AC495" s="361">
        <f t="shared" si="115"/>
        <v>0</v>
      </c>
      <c r="AD495" s="361">
        <f t="shared" si="115"/>
        <v>0</v>
      </c>
      <c r="AE495" s="361">
        <f t="shared" si="115"/>
        <v>0</v>
      </c>
      <c r="AF495" s="361">
        <f t="shared" si="115"/>
        <v>0</v>
      </c>
      <c r="AG495" s="1282">
        <f t="shared" si="111"/>
        <v>104413.66666666667</v>
      </c>
    </row>
    <row r="496" spans="1:33" ht="17.25" hidden="1" thickTop="1" thickBot="1">
      <c r="A496" s="294">
        <v>4251</v>
      </c>
      <c r="B496" s="1728" t="s">
        <v>472</v>
      </c>
      <c r="C496" s="1724" t="s">
        <v>473</v>
      </c>
      <c r="D496" s="326"/>
      <c r="E496" s="294">
        <v>15</v>
      </c>
      <c r="F496" s="1844">
        <v>43201</v>
      </c>
      <c r="G496" s="1845">
        <f>+F496+E496-1</f>
        <v>43215</v>
      </c>
      <c r="H496" s="293" t="s">
        <v>474</v>
      </c>
      <c r="I496" s="294" t="s">
        <v>179</v>
      </c>
      <c r="J496" s="307" t="s">
        <v>169</v>
      </c>
      <c r="K496" s="326" t="s">
        <v>252</v>
      </c>
      <c r="L496" s="1237">
        <v>23174</v>
      </c>
      <c r="M496" s="326"/>
      <c r="N496" s="294"/>
      <c r="O496" s="1846">
        <v>0.23333333333333334</v>
      </c>
      <c r="P496" s="1848">
        <v>57500</v>
      </c>
      <c r="Q496" s="1848">
        <f>O496*P496</f>
        <v>13416.666666666666</v>
      </c>
      <c r="R496" s="1848"/>
      <c r="S496" s="355"/>
      <c r="T496" s="1847">
        <v>13416.666666666666</v>
      </c>
      <c r="U496" s="1847"/>
      <c r="V496" s="1847"/>
      <c r="W496" s="355"/>
      <c r="X496" s="1137"/>
      <c r="Y496" s="1126"/>
      <c r="Z496" s="1126"/>
      <c r="AA496" s="1126"/>
      <c r="AB496" s="1126"/>
      <c r="AC496" s="1126"/>
      <c r="AD496" s="1126"/>
      <c r="AE496" s="1126"/>
      <c r="AF496" s="1126"/>
      <c r="AG496" s="1282">
        <f t="shared" si="111"/>
        <v>13416.666666666666</v>
      </c>
    </row>
    <row r="497" spans="1:33" ht="33" hidden="1" thickTop="1" thickBot="1">
      <c r="A497" s="294">
        <v>4252</v>
      </c>
      <c r="B497" s="1728" t="s">
        <v>475</v>
      </c>
      <c r="C497" s="1724" t="s">
        <v>476</v>
      </c>
      <c r="D497" s="326"/>
      <c r="E497" s="294">
        <v>10</v>
      </c>
      <c r="F497" s="1844">
        <v>43213</v>
      </c>
      <c r="G497" s="1845">
        <f>+F497+E497-1</f>
        <v>43222</v>
      </c>
      <c r="H497" s="293" t="s">
        <v>474</v>
      </c>
      <c r="I497" s="294" t="s">
        <v>179</v>
      </c>
      <c r="J497" s="307" t="s">
        <v>180</v>
      </c>
      <c r="K497" s="326" t="s">
        <v>457</v>
      </c>
      <c r="L497" s="1237">
        <v>23174</v>
      </c>
      <c r="M497" s="326"/>
      <c r="N497" s="294"/>
      <c r="O497" s="1846">
        <v>350</v>
      </c>
      <c r="P497" s="1848">
        <v>228</v>
      </c>
      <c r="Q497" s="1848">
        <f>O497*P497</f>
        <v>79800</v>
      </c>
      <c r="R497" s="1848"/>
      <c r="S497" s="355"/>
      <c r="T497" s="1847">
        <v>79800</v>
      </c>
      <c r="U497" s="1847"/>
      <c r="V497" s="1847"/>
      <c r="W497" s="355"/>
      <c r="X497" s="1137"/>
      <c r="Y497" s="1126"/>
      <c r="Z497" s="1126"/>
      <c r="AA497" s="1126"/>
      <c r="AB497" s="1126"/>
      <c r="AC497" s="1126"/>
      <c r="AD497" s="1126"/>
      <c r="AE497" s="1126"/>
      <c r="AF497" s="1126"/>
      <c r="AG497" s="1282">
        <f t="shared" si="111"/>
        <v>79800</v>
      </c>
    </row>
    <row r="498" spans="1:33" ht="17.25" hidden="1" thickTop="1" thickBot="1">
      <c r="A498" s="294">
        <v>4253</v>
      </c>
      <c r="B498" s="1728" t="s">
        <v>477</v>
      </c>
      <c r="C498" s="1724" t="s">
        <v>478</v>
      </c>
      <c r="D498" s="326"/>
      <c r="E498" s="294">
        <v>10</v>
      </c>
      <c r="F498" s="1844">
        <v>43227</v>
      </c>
      <c r="G498" s="1845">
        <f t="shared" ref="G498:G509" si="116">+F498+E498-1</f>
        <v>43236</v>
      </c>
      <c r="H498" s="293" t="s">
        <v>368</v>
      </c>
      <c r="I498" s="294" t="s">
        <v>179</v>
      </c>
      <c r="J498" s="307" t="s">
        <v>180</v>
      </c>
      <c r="K498" s="326" t="s">
        <v>457</v>
      </c>
      <c r="L498" s="1237">
        <v>23174</v>
      </c>
      <c r="M498" s="326"/>
      <c r="N498" s="294"/>
      <c r="O498" s="1846">
        <v>260</v>
      </c>
      <c r="P498" s="1848">
        <v>26</v>
      </c>
      <c r="Q498" s="1848">
        <f>O498*P498</f>
        <v>6760</v>
      </c>
      <c r="R498" s="1848"/>
      <c r="S498" s="1847"/>
      <c r="T498" s="1847"/>
      <c r="U498" s="1847">
        <v>6760</v>
      </c>
      <c r="V498" s="1847"/>
      <c r="W498" s="355"/>
      <c r="X498" s="1137"/>
      <c r="Y498" s="1126"/>
      <c r="Z498" s="1126"/>
      <c r="AA498" s="1126"/>
      <c r="AB498" s="1126"/>
      <c r="AC498" s="1126"/>
      <c r="AD498" s="1126"/>
      <c r="AE498" s="1126"/>
      <c r="AF498" s="1126"/>
      <c r="AG498" s="1282">
        <f t="shared" si="111"/>
        <v>6760</v>
      </c>
    </row>
    <row r="499" spans="1:33" ht="32.25" hidden="1" thickTop="1">
      <c r="A499" s="294">
        <v>4254</v>
      </c>
      <c r="B499" s="1895" t="s">
        <v>479</v>
      </c>
      <c r="C499" s="1724" t="s">
        <v>480</v>
      </c>
      <c r="D499" s="326"/>
      <c r="E499" s="294">
        <v>6</v>
      </c>
      <c r="F499" s="1844">
        <v>43269</v>
      </c>
      <c r="G499" s="1845">
        <f t="shared" si="116"/>
        <v>43274</v>
      </c>
      <c r="H499" s="293" t="s">
        <v>368</v>
      </c>
      <c r="I499" s="294" t="s">
        <v>179</v>
      </c>
      <c r="J499" s="307" t="s">
        <v>180</v>
      </c>
      <c r="K499" s="326" t="s">
        <v>457</v>
      </c>
      <c r="L499" s="1237">
        <v>23174</v>
      </c>
      <c r="M499" s="326"/>
      <c r="N499" s="294"/>
      <c r="O499" s="1846">
        <v>177.48</v>
      </c>
      <c r="P499" s="1848">
        <v>25</v>
      </c>
      <c r="Q499" s="1848">
        <f>O499*P499</f>
        <v>4437</v>
      </c>
      <c r="R499" s="1848"/>
      <c r="S499" s="1847"/>
      <c r="T499" s="1847"/>
      <c r="U499" s="1847"/>
      <c r="V499" s="1847">
        <v>4437</v>
      </c>
      <c r="W499" s="355"/>
      <c r="X499" s="1137"/>
      <c r="Y499" s="1126"/>
      <c r="Z499" s="1126"/>
      <c r="AA499" s="1126"/>
      <c r="AB499" s="1126"/>
      <c r="AC499" s="1126"/>
      <c r="AD499" s="1126"/>
      <c r="AE499" s="1126"/>
      <c r="AF499" s="1126"/>
      <c r="AG499" s="1282">
        <f t="shared" si="111"/>
        <v>4437</v>
      </c>
    </row>
    <row r="500" spans="1:33" ht="16.5" hidden="1" thickBot="1">
      <c r="A500" s="1275">
        <v>426</v>
      </c>
      <c r="B500" s="1466" t="s">
        <v>481</v>
      </c>
      <c r="C500" s="1511"/>
      <c r="D500" s="1422"/>
      <c r="E500" s="1422"/>
      <c r="F500" s="1422"/>
      <c r="G500" s="1422"/>
      <c r="H500" s="1422"/>
      <c r="I500" s="1423"/>
      <c r="J500" s="283"/>
      <c r="K500" s="1278"/>
      <c r="L500" s="1279"/>
      <c r="M500" s="1277"/>
      <c r="N500" s="1277"/>
      <c r="O500" s="1395"/>
      <c r="P500" s="1277"/>
      <c r="Q500" s="547">
        <f>SUM(Q501:Q509)</f>
        <v>41478.833333333336</v>
      </c>
      <c r="R500" s="2827"/>
      <c r="S500" s="1395">
        <f t="shared" ref="S500:AF500" si="117">SUM(S501:S509)</f>
        <v>0</v>
      </c>
      <c r="T500" s="1395">
        <f t="shared" si="117"/>
        <v>0</v>
      </c>
      <c r="U500" s="1395">
        <f t="shared" si="117"/>
        <v>33648.833333333328</v>
      </c>
      <c r="V500" s="1395">
        <f t="shared" si="117"/>
        <v>7830</v>
      </c>
      <c r="W500" s="1395">
        <f t="shared" si="117"/>
        <v>0</v>
      </c>
      <c r="X500" s="1395">
        <f t="shared" si="117"/>
        <v>0</v>
      </c>
      <c r="Y500" s="1395">
        <f t="shared" si="117"/>
        <v>0</v>
      </c>
      <c r="Z500" s="361">
        <f t="shared" si="117"/>
        <v>0</v>
      </c>
      <c r="AA500" s="361">
        <f t="shared" si="117"/>
        <v>0</v>
      </c>
      <c r="AB500" s="361">
        <f t="shared" si="117"/>
        <v>0</v>
      </c>
      <c r="AC500" s="361">
        <f t="shared" si="117"/>
        <v>0</v>
      </c>
      <c r="AD500" s="361">
        <f t="shared" si="117"/>
        <v>0</v>
      </c>
      <c r="AE500" s="361">
        <f t="shared" si="117"/>
        <v>0</v>
      </c>
      <c r="AF500" s="361">
        <f t="shared" si="117"/>
        <v>0</v>
      </c>
      <c r="AG500" s="1282">
        <f t="shared" si="111"/>
        <v>41478.833333333328</v>
      </c>
    </row>
    <row r="501" spans="1:33" ht="33" hidden="1" thickTop="1" thickBot="1">
      <c r="A501" s="294">
        <v>4261</v>
      </c>
      <c r="B501" s="1728" t="s">
        <v>482</v>
      </c>
      <c r="C501" s="1724" t="s">
        <v>483</v>
      </c>
      <c r="D501" s="326"/>
      <c r="E501" s="294">
        <v>50</v>
      </c>
      <c r="F501" s="1844">
        <v>43186</v>
      </c>
      <c r="G501" s="1845">
        <f>+F501+E501-3</f>
        <v>43233</v>
      </c>
      <c r="H501" s="293" t="s">
        <v>368</v>
      </c>
      <c r="I501" s="294" t="s">
        <v>169</v>
      </c>
      <c r="J501" s="307" t="s">
        <v>179</v>
      </c>
      <c r="K501" s="1787" t="s">
        <v>365</v>
      </c>
      <c r="L501" s="1788">
        <v>2313</v>
      </c>
      <c r="M501" s="326"/>
      <c r="N501" s="294"/>
      <c r="O501" s="1846">
        <v>174</v>
      </c>
      <c r="P501" s="1848">
        <v>45</v>
      </c>
      <c r="Q501" s="1848">
        <f t="shared" ref="Q501:Q507" si="118">O501*P501</f>
        <v>7830</v>
      </c>
      <c r="R501" s="1848"/>
      <c r="S501" s="1848"/>
      <c r="T501" s="1848"/>
      <c r="U501" s="1848"/>
      <c r="V501" s="1848">
        <v>7830</v>
      </c>
      <c r="W501" s="1848"/>
      <c r="X501" s="1137"/>
      <c r="Y501" s="1126"/>
      <c r="Z501" s="1126"/>
      <c r="AA501" s="1126"/>
      <c r="AB501" s="1126"/>
      <c r="AC501" s="1126"/>
      <c r="AD501" s="1126"/>
      <c r="AE501" s="1126"/>
      <c r="AF501" s="1126"/>
      <c r="AG501" s="1282">
        <f t="shared" ref="AG501:AG509" si="119">SUM(S501:AF501)</f>
        <v>7830</v>
      </c>
    </row>
    <row r="502" spans="1:33" ht="33" hidden="1" thickTop="1" thickBot="1">
      <c r="A502" s="294">
        <v>4262</v>
      </c>
      <c r="B502" s="1728" t="s">
        <v>484</v>
      </c>
      <c r="C502" s="1724" t="s">
        <v>485</v>
      </c>
      <c r="D502" s="326"/>
      <c r="E502" s="294">
        <v>6</v>
      </c>
      <c r="F502" s="1844">
        <v>43234</v>
      </c>
      <c r="G502" s="1845">
        <f t="shared" si="116"/>
        <v>43239</v>
      </c>
      <c r="H502" s="293" t="s">
        <v>368</v>
      </c>
      <c r="I502" s="294" t="s">
        <v>179</v>
      </c>
      <c r="J502" s="307"/>
      <c r="K502" s="326" t="s">
        <v>457</v>
      </c>
      <c r="L502" s="1788">
        <v>23174</v>
      </c>
      <c r="M502" s="326"/>
      <c r="N502" s="294"/>
      <c r="O502" s="1846">
        <v>5076.666666666667</v>
      </c>
      <c r="P502" s="1848">
        <v>1</v>
      </c>
      <c r="Q502" s="1848">
        <f t="shared" si="118"/>
        <v>5076.666666666667</v>
      </c>
      <c r="R502" s="1848"/>
      <c r="S502" s="1848"/>
      <c r="T502" s="1848"/>
      <c r="U502" s="1848">
        <v>5076.666666666667</v>
      </c>
      <c r="V502" s="1848"/>
      <c r="W502" s="1848"/>
      <c r="X502" s="1137"/>
      <c r="Y502" s="1126"/>
      <c r="Z502" s="1126"/>
      <c r="AA502" s="1126"/>
      <c r="AB502" s="1126"/>
      <c r="AC502" s="1126"/>
      <c r="AD502" s="1126"/>
      <c r="AE502" s="1126"/>
      <c r="AF502" s="1126"/>
      <c r="AG502" s="1282">
        <f t="shared" si="119"/>
        <v>5076.666666666667</v>
      </c>
    </row>
    <row r="503" spans="1:33" ht="33" hidden="1" thickTop="1" thickBot="1">
      <c r="A503" s="294">
        <v>4262</v>
      </c>
      <c r="B503" s="1728" t="s">
        <v>484</v>
      </c>
      <c r="C503" s="1724" t="s">
        <v>485</v>
      </c>
      <c r="D503" s="326"/>
      <c r="E503" s="294">
        <v>6</v>
      </c>
      <c r="F503" s="1844">
        <v>43234</v>
      </c>
      <c r="G503" s="1845">
        <f t="shared" si="116"/>
        <v>43239</v>
      </c>
      <c r="H503" s="293" t="s">
        <v>368</v>
      </c>
      <c r="I503" s="294" t="s">
        <v>179</v>
      </c>
      <c r="J503" s="307"/>
      <c r="K503" s="326" t="s">
        <v>320</v>
      </c>
      <c r="L503" s="1788">
        <v>23173</v>
      </c>
      <c r="M503" s="326"/>
      <c r="N503" s="294"/>
      <c r="O503" s="1846">
        <v>165.83333333333334</v>
      </c>
      <c r="P503" s="1848">
        <v>1</v>
      </c>
      <c r="Q503" s="1848">
        <f t="shared" si="118"/>
        <v>165.83333333333334</v>
      </c>
      <c r="R503" s="1848"/>
      <c r="S503" s="1848"/>
      <c r="T503" s="1848"/>
      <c r="U503" s="1848">
        <v>165.83333333333334</v>
      </c>
      <c r="V503" s="1848"/>
      <c r="W503" s="1848"/>
      <c r="X503" s="1137"/>
      <c r="Y503" s="1126"/>
      <c r="Z503" s="1126"/>
      <c r="AA503" s="1126"/>
      <c r="AB503" s="1126"/>
      <c r="AC503" s="1126"/>
      <c r="AD503" s="1126"/>
      <c r="AE503" s="1126"/>
      <c r="AF503" s="1126"/>
      <c r="AG503" s="1282">
        <f t="shared" si="119"/>
        <v>165.83333333333334</v>
      </c>
    </row>
    <row r="504" spans="1:33" ht="33" hidden="1" thickTop="1" thickBot="1">
      <c r="A504" s="294">
        <v>4262</v>
      </c>
      <c r="B504" s="1728" t="s">
        <v>484</v>
      </c>
      <c r="C504" s="1724" t="s">
        <v>485</v>
      </c>
      <c r="D504" s="326"/>
      <c r="E504" s="294">
        <v>6</v>
      </c>
      <c r="F504" s="1844">
        <v>43234</v>
      </c>
      <c r="G504" s="1845">
        <f t="shared" si="116"/>
        <v>43239</v>
      </c>
      <c r="H504" s="293" t="s">
        <v>368</v>
      </c>
      <c r="I504" s="294" t="s">
        <v>179</v>
      </c>
      <c r="J504" s="307"/>
      <c r="K504" s="326" t="s">
        <v>486</v>
      </c>
      <c r="L504" s="1788">
        <v>23173</v>
      </c>
      <c r="M504" s="326"/>
      <c r="N504" s="294"/>
      <c r="O504" s="1846">
        <v>10</v>
      </c>
      <c r="P504" s="1848">
        <v>5</v>
      </c>
      <c r="Q504" s="1848">
        <f t="shared" si="118"/>
        <v>50</v>
      </c>
      <c r="R504" s="1848"/>
      <c r="S504" s="1848"/>
      <c r="T504" s="1848"/>
      <c r="U504" s="1848">
        <v>50</v>
      </c>
      <c r="V504" s="1848"/>
      <c r="W504" s="1848"/>
      <c r="X504" s="1137"/>
      <c r="Y504" s="1126"/>
      <c r="Z504" s="1126"/>
      <c r="AA504" s="1126"/>
      <c r="AB504" s="1126"/>
      <c r="AC504" s="1126"/>
      <c r="AD504" s="1126"/>
      <c r="AE504" s="1126"/>
      <c r="AF504" s="1126"/>
      <c r="AG504" s="1282">
        <f t="shared" si="119"/>
        <v>50</v>
      </c>
    </row>
    <row r="505" spans="1:33" ht="17.25" hidden="1" thickTop="1" thickBot="1">
      <c r="A505" s="294">
        <v>4263</v>
      </c>
      <c r="B505" s="1728" t="s">
        <v>487</v>
      </c>
      <c r="C505" s="1724" t="s">
        <v>488</v>
      </c>
      <c r="D505" s="326"/>
      <c r="E505" s="294">
        <v>10</v>
      </c>
      <c r="F505" s="1844">
        <v>43241</v>
      </c>
      <c r="G505" s="1845">
        <f t="shared" si="116"/>
        <v>43250</v>
      </c>
      <c r="H505" s="294" t="s">
        <v>372</v>
      </c>
      <c r="I505" s="294" t="s">
        <v>179</v>
      </c>
      <c r="J505" s="307"/>
      <c r="K505" s="326" t="s">
        <v>457</v>
      </c>
      <c r="L505" s="1788">
        <v>23174</v>
      </c>
      <c r="M505" s="326"/>
      <c r="N505" s="294"/>
      <c r="O505" s="1846">
        <v>20400</v>
      </c>
      <c r="P505" s="1848">
        <v>1</v>
      </c>
      <c r="Q505" s="1848">
        <f t="shared" si="118"/>
        <v>20400</v>
      </c>
      <c r="R505" s="1848"/>
      <c r="S505" s="1848"/>
      <c r="T505" s="1848"/>
      <c r="U505" s="1848">
        <v>20400</v>
      </c>
      <c r="V505" s="1848"/>
      <c r="W505" s="1848"/>
      <c r="X505" s="1137"/>
      <c r="Y505" s="1126"/>
      <c r="Z505" s="1126"/>
      <c r="AA505" s="1126"/>
      <c r="AB505" s="1126"/>
      <c r="AC505" s="1126"/>
      <c r="AD505" s="1126"/>
      <c r="AE505" s="1126"/>
      <c r="AF505" s="1126"/>
      <c r="AG505" s="1282">
        <f t="shared" si="119"/>
        <v>20400</v>
      </c>
    </row>
    <row r="506" spans="1:33" ht="17.25" hidden="1" thickTop="1" thickBot="1">
      <c r="A506" s="294">
        <v>4263</v>
      </c>
      <c r="B506" s="1728" t="s">
        <v>487</v>
      </c>
      <c r="C506" s="1724" t="s">
        <v>488</v>
      </c>
      <c r="D506" s="326"/>
      <c r="E506" s="294">
        <v>10</v>
      </c>
      <c r="F506" s="1844">
        <v>43241</v>
      </c>
      <c r="G506" s="1845">
        <f t="shared" si="116"/>
        <v>43250</v>
      </c>
      <c r="H506" s="294" t="s">
        <v>372</v>
      </c>
      <c r="I506" s="294" t="s">
        <v>179</v>
      </c>
      <c r="J506" s="307"/>
      <c r="K506" s="326" t="s">
        <v>320</v>
      </c>
      <c r="L506" s="1788">
        <v>23173</v>
      </c>
      <c r="M506" s="326"/>
      <c r="N506" s="294"/>
      <c r="O506" s="1846">
        <v>356.33333333333331</v>
      </c>
      <c r="P506" s="1855">
        <v>1</v>
      </c>
      <c r="Q506" s="1855">
        <f t="shared" si="118"/>
        <v>356.33333333333331</v>
      </c>
      <c r="R506" s="1848"/>
      <c r="S506" s="355"/>
      <c r="T506" s="355"/>
      <c r="U506" s="1848">
        <v>356.33333333333331</v>
      </c>
      <c r="V506" s="355"/>
      <c r="W506" s="355"/>
      <c r="X506" s="1137"/>
      <c r="Y506" s="1126"/>
      <c r="Z506" s="1126"/>
      <c r="AA506" s="1126"/>
      <c r="AB506" s="1126"/>
      <c r="AC506" s="1126"/>
      <c r="AD506" s="1126"/>
      <c r="AE506" s="1126"/>
      <c r="AF506" s="1126"/>
      <c r="AG506" s="1282">
        <f t="shared" si="119"/>
        <v>356.33333333333331</v>
      </c>
    </row>
    <row r="507" spans="1:33" ht="17.25" hidden="1" thickTop="1" thickBot="1">
      <c r="A507" s="294">
        <v>4263</v>
      </c>
      <c r="B507" s="1728" t="s">
        <v>487</v>
      </c>
      <c r="C507" s="1724" t="s">
        <v>488</v>
      </c>
      <c r="D507" s="326"/>
      <c r="E507" s="294">
        <v>10</v>
      </c>
      <c r="F507" s="1844">
        <v>43241</v>
      </c>
      <c r="G507" s="1845">
        <f t="shared" si="116"/>
        <v>43250</v>
      </c>
      <c r="H507" s="294" t="s">
        <v>372</v>
      </c>
      <c r="I507" s="294" t="s">
        <v>179</v>
      </c>
      <c r="J507" s="307"/>
      <c r="K507" s="326" t="s">
        <v>486</v>
      </c>
      <c r="L507" s="1788">
        <v>23173</v>
      </c>
      <c r="M507" s="326"/>
      <c r="N507" s="294"/>
      <c r="O507" s="1846">
        <v>10</v>
      </c>
      <c r="P507" s="1855">
        <v>10</v>
      </c>
      <c r="Q507" s="1855">
        <f t="shared" si="118"/>
        <v>100</v>
      </c>
      <c r="R507" s="1848"/>
      <c r="S507" s="355"/>
      <c r="T507" s="355"/>
      <c r="U507" s="1848">
        <v>100</v>
      </c>
      <c r="V507" s="355"/>
      <c r="W507" s="355"/>
      <c r="X507" s="1137"/>
      <c r="Y507" s="1126"/>
      <c r="Z507" s="1126"/>
      <c r="AA507" s="1126"/>
      <c r="AB507" s="1126"/>
      <c r="AC507" s="1126"/>
      <c r="AD507" s="1126"/>
      <c r="AE507" s="1126"/>
      <c r="AF507" s="1126"/>
      <c r="AG507" s="1282">
        <f t="shared" si="119"/>
        <v>100</v>
      </c>
    </row>
    <row r="508" spans="1:33" ht="17.25" hidden="1" thickTop="1" thickBot="1">
      <c r="A508" s="294">
        <v>4264</v>
      </c>
      <c r="B508" s="1728" t="s">
        <v>458</v>
      </c>
      <c r="C508" s="1724" t="s">
        <v>489</v>
      </c>
      <c r="D508" s="326"/>
      <c r="E508" s="294">
        <v>2</v>
      </c>
      <c r="F508" s="1844">
        <v>43255</v>
      </c>
      <c r="G508" s="1845">
        <f t="shared" si="116"/>
        <v>43256</v>
      </c>
      <c r="H508" s="294" t="s">
        <v>490</v>
      </c>
      <c r="I508" s="294" t="s">
        <v>179</v>
      </c>
      <c r="J508" s="307"/>
      <c r="K508" s="326" t="s">
        <v>457</v>
      </c>
      <c r="L508" s="1788">
        <v>23174</v>
      </c>
      <c r="M508" s="326"/>
      <c r="N508" s="294"/>
      <c r="O508" s="1846">
        <v>0</v>
      </c>
      <c r="P508" s="1855"/>
      <c r="Q508" s="1855"/>
      <c r="R508" s="1848"/>
      <c r="S508" s="355"/>
      <c r="T508" s="355"/>
      <c r="U508" s="1848"/>
      <c r="V508" s="355"/>
      <c r="W508" s="355"/>
      <c r="X508" s="1137"/>
      <c r="Y508" s="1126"/>
      <c r="Z508" s="1126"/>
      <c r="AA508" s="1126"/>
      <c r="AB508" s="1126"/>
      <c r="AC508" s="1126"/>
      <c r="AD508" s="1126"/>
      <c r="AE508" s="1126"/>
      <c r="AF508" s="1126"/>
      <c r="AG508" s="1282">
        <f t="shared" si="119"/>
        <v>0</v>
      </c>
    </row>
    <row r="509" spans="1:33" ht="66" hidden="1" customHeight="1" thickTop="1">
      <c r="A509" s="294">
        <v>4265</v>
      </c>
      <c r="B509" s="1728" t="s">
        <v>491</v>
      </c>
      <c r="C509" s="1724" t="s">
        <v>492</v>
      </c>
      <c r="D509" s="326"/>
      <c r="E509" s="294">
        <v>5</v>
      </c>
      <c r="F509" s="1844">
        <v>43261</v>
      </c>
      <c r="G509" s="1845">
        <f t="shared" si="116"/>
        <v>43265</v>
      </c>
      <c r="H509" s="294" t="s">
        <v>493</v>
      </c>
      <c r="I509" s="294" t="s">
        <v>179</v>
      </c>
      <c r="J509" s="307"/>
      <c r="K509" s="326" t="s">
        <v>457</v>
      </c>
      <c r="L509" s="1788">
        <v>23174</v>
      </c>
      <c r="M509" s="326"/>
      <c r="N509" s="294"/>
      <c r="O509" s="1846">
        <v>750</v>
      </c>
      <c r="P509" s="1855">
        <v>10</v>
      </c>
      <c r="Q509" s="1855">
        <f>O509*P509</f>
        <v>7500</v>
      </c>
      <c r="R509" s="1848"/>
      <c r="S509" s="355"/>
      <c r="T509" s="355"/>
      <c r="U509" s="1848">
        <v>7500</v>
      </c>
      <c r="V509" s="355"/>
      <c r="W509" s="355"/>
      <c r="X509" s="1137"/>
      <c r="Y509" s="1126"/>
      <c r="Z509" s="1126"/>
      <c r="AA509" s="1126"/>
      <c r="AB509" s="1126"/>
      <c r="AC509" s="1126"/>
      <c r="AD509" s="1126"/>
      <c r="AE509" s="1126"/>
      <c r="AF509" s="1126"/>
      <c r="AG509" s="1282">
        <f t="shared" si="119"/>
        <v>7500</v>
      </c>
    </row>
    <row r="510" spans="1:33" ht="18.75" hidden="1" customHeight="1" thickBot="1">
      <c r="A510" s="1275">
        <v>427</v>
      </c>
      <c r="B510" s="1466" t="s">
        <v>494</v>
      </c>
      <c r="C510" s="1511"/>
      <c r="D510" s="1422"/>
      <c r="E510" s="1422"/>
      <c r="F510" s="1422"/>
      <c r="G510" s="1422"/>
      <c r="H510" s="1422"/>
      <c r="I510" s="1423"/>
      <c r="J510" s="283"/>
      <c r="K510" s="1278"/>
      <c r="L510" s="1279"/>
      <c r="M510" s="1280"/>
      <c r="N510" s="1277"/>
      <c r="O510" s="1281"/>
      <c r="P510" s="1277"/>
      <c r="Q510" s="547">
        <f>SUM(Q511:Q512)</f>
        <v>10762.5</v>
      </c>
      <c r="R510" s="2826"/>
      <c r="S510" s="1395">
        <f t="shared" ref="S510:AF510" si="120">SUM(S511:S512)</f>
        <v>0</v>
      </c>
      <c r="T510" s="1395">
        <f t="shared" si="120"/>
        <v>0</v>
      </c>
      <c r="U510" s="1395">
        <f t="shared" si="120"/>
        <v>7500</v>
      </c>
      <c r="V510" s="1395">
        <f t="shared" si="120"/>
        <v>3262.5</v>
      </c>
      <c r="W510" s="1395">
        <f t="shared" si="120"/>
        <v>0</v>
      </c>
      <c r="X510" s="1395">
        <f t="shared" si="120"/>
        <v>0</v>
      </c>
      <c r="Y510" s="1395">
        <f t="shared" si="120"/>
        <v>0</v>
      </c>
      <c r="Z510" s="361">
        <f t="shared" si="120"/>
        <v>0</v>
      </c>
      <c r="AA510" s="361">
        <f t="shared" si="120"/>
        <v>0</v>
      </c>
      <c r="AB510" s="361">
        <f t="shared" si="120"/>
        <v>0</v>
      </c>
      <c r="AC510" s="361">
        <f t="shared" si="120"/>
        <v>0</v>
      </c>
      <c r="AD510" s="361">
        <f t="shared" si="120"/>
        <v>0</v>
      </c>
      <c r="AE510" s="361">
        <f t="shared" si="120"/>
        <v>0</v>
      </c>
      <c r="AF510" s="361">
        <f t="shared" si="120"/>
        <v>0</v>
      </c>
      <c r="AG510" s="1282">
        <f>SUM(S510:AF510)</f>
        <v>10762.5</v>
      </c>
    </row>
    <row r="511" spans="1:33" ht="48.75" hidden="1" thickTop="1" thickBot="1">
      <c r="A511" s="294">
        <v>4271</v>
      </c>
      <c r="B511" s="291" t="s">
        <v>495</v>
      </c>
      <c r="C511" s="824" t="s">
        <v>496</v>
      </c>
      <c r="D511" s="326"/>
      <c r="E511" s="294">
        <v>50</v>
      </c>
      <c r="F511" s="1844">
        <v>43186</v>
      </c>
      <c r="G511" s="1845">
        <f>+F511+E511-1</f>
        <v>43235</v>
      </c>
      <c r="H511" s="293"/>
      <c r="I511" s="294" t="s">
        <v>169</v>
      </c>
      <c r="J511" s="307" t="s">
        <v>179</v>
      </c>
      <c r="K511" s="326" t="s">
        <v>365</v>
      </c>
      <c r="L511" s="1788">
        <v>2313</v>
      </c>
      <c r="M511" s="326"/>
      <c r="N511" s="294"/>
      <c r="O511" s="1846">
        <v>217.5</v>
      </c>
      <c r="P511" s="1848">
        <v>15</v>
      </c>
      <c r="Q511" s="1848">
        <f>O511*P511</f>
        <v>3262.5</v>
      </c>
      <c r="R511" s="1848"/>
      <c r="S511" s="355"/>
      <c r="T511" s="355"/>
      <c r="U511" s="355"/>
      <c r="V511" s="299">
        <v>3262.5</v>
      </c>
      <c r="W511" s="355"/>
      <c r="X511" s="1137"/>
      <c r="Y511" s="1126"/>
      <c r="Z511" s="1126"/>
      <c r="AA511" s="1126"/>
      <c r="AB511" s="1126"/>
      <c r="AC511" s="1126"/>
      <c r="AD511" s="1126"/>
      <c r="AE511" s="1126"/>
      <c r="AF511" s="1126"/>
      <c r="AG511" s="1282">
        <f>SUM(S511:AF511)</f>
        <v>3262.5</v>
      </c>
    </row>
    <row r="512" spans="1:33" ht="32.25" hidden="1" thickTop="1">
      <c r="A512" s="294">
        <v>4272</v>
      </c>
      <c r="B512" s="291" t="s">
        <v>497</v>
      </c>
      <c r="C512" s="824"/>
      <c r="D512" s="326"/>
      <c r="E512" s="294">
        <v>3</v>
      </c>
      <c r="F512" s="1844">
        <v>43240</v>
      </c>
      <c r="G512" s="1845">
        <f>+F512+E512-1</f>
        <v>43242</v>
      </c>
      <c r="H512" s="294" t="s">
        <v>493</v>
      </c>
      <c r="I512" s="294" t="s">
        <v>179</v>
      </c>
      <c r="K512" s="326" t="s">
        <v>457</v>
      </c>
      <c r="L512" s="1788">
        <v>23174</v>
      </c>
      <c r="M512" s="326"/>
      <c r="N512" s="294"/>
      <c r="O512" s="1846">
        <v>750</v>
      </c>
      <c r="P512" s="1848">
        <v>10</v>
      </c>
      <c r="Q512" s="1848">
        <f>O512*P512</f>
        <v>7500</v>
      </c>
      <c r="R512" s="1848"/>
      <c r="S512" s="355"/>
      <c r="T512" s="355"/>
      <c r="U512" s="299">
        <v>7500</v>
      </c>
      <c r="V512" s="355"/>
      <c r="W512" s="355"/>
      <c r="X512" s="1137"/>
      <c r="Y512" s="1126"/>
      <c r="Z512" s="1126"/>
      <c r="AA512" s="1126"/>
      <c r="AB512" s="1126"/>
      <c r="AC512" s="1126"/>
      <c r="AD512" s="1126"/>
      <c r="AE512" s="1126"/>
      <c r="AF512" s="1126"/>
      <c r="AG512" s="1282">
        <f>SUM(S512:AF512)</f>
        <v>7500</v>
      </c>
    </row>
    <row r="513" spans="1:33" ht="31.5" hidden="1">
      <c r="A513" s="1275">
        <v>428</v>
      </c>
      <c r="B513" s="1128" t="s">
        <v>498</v>
      </c>
      <c r="C513" s="1130"/>
      <c r="D513" s="1430"/>
      <c r="E513" s="1430"/>
      <c r="F513" s="1430"/>
      <c r="G513" s="1430"/>
      <c r="H513" s="1430"/>
      <c r="I513" s="1430"/>
      <c r="J513" s="283"/>
      <c r="K513" s="1278"/>
      <c r="L513" s="1279"/>
      <c r="M513" s="1280"/>
      <c r="N513" s="1277"/>
      <c r="O513" s="1281"/>
      <c r="P513" s="1277"/>
      <c r="Q513" s="547">
        <f>SUM(Q514:Q519)</f>
        <v>97473.5</v>
      </c>
      <c r="R513" s="2826"/>
      <c r="S513" s="1395">
        <f t="shared" ref="S513:AF513" si="121">SUM(S514:S519)</f>
        <v>0</v>
      </c>
      <c r="T513" s="1395">
        <f t="shared" si="121"/>
        <v>0</v>
      </c>
      <c r="U513" s="1395">
        <f t="shared" si="121"/>
        <v>56550</v>
      </c>
      <c r="V513" s="1395">
        <f t="shared" si="121"/>
        <v>40923.5</v>
      </c>
      <c r="W513" s="1395">
        <f t="shared" si="121"/>
        <v>0</v>
      </c>
      <c r="X513" s="1395">
        <f t="shared" si="121"/>
        <v>0</v>
      </c>
      <c r="Y513" s="1395">
        <f t="shared" si="121"/>
        <v>0</v>
      </c>
      <c r="Z513" s="361">
        <f t="shared" si="121"/>
        <v>0</v>
      </c>
      <c r="AA513" s="361">
        <f t="shared" si="121"/>
        <v>0</v>
      </c>
      <c r="AB513" s="361">
        <f t="shared" si="121"/>
        <v>0</v>
      </c>
      <c r="AC513" s="361">
        <f t="shared" si="121"/>
        <v>0</v>
      </c>
      <c r="AD513" s="361">
        <f t="shared" si="121"/>
        <v>0</v>
      </c>
      <c r="AE513" s="361">
        <f t="shared" si="121"/>
        <v>0</v>
      </c>
      <c r="AF513" s="361">
        <f t="shared" si="121"/>
        <v>0</v>
      </c>
      <c r="AG513" s="1282">
        <f>SUM(S513:AF513)</f>
        <v>97473.5</v>
      </c>
    </row>
    <row r="514" spans="1:33" ht="16.5" hidden="1" thickBot="1">
      <c r="A514" s="294">
        <v>4281</v>
      </c>
      <c r="B514" s="1897" t="s">
        <v>499</v>
      </c>
      <c r="C514" s="1898" t="s">
        <v>500</v>
      </c>
      <c r="D514" s="1585"/>
      <c r="E514" s="1393">
        <v>50</v>
      </c>
      <c r="F514" s="1899">
        <v>43186</v>
      </c>
      <c r="G514" s="1845">
        <f t="shared" ref="G514:G519" si="122">+F514+E514-1</f>
        <v>43235</v>
      </c>
      <c r="H514" s="1900" t="s">
        <v>501</v>
      </c>
      <c r="I514" s="1393" t="s">
        <v>169</v>
      </c>
      <c r="J514" s="307" t="s">
        <v>179</v>
      </c>
      <c r="K514" s="326" t="s">
        <v>502</v>
      </c>
      <c r="L514" s="1788">
        <v>2313</v>
      </c>
      <c r="M514" s="326"/>
      <c r="N514" s="1848"/>
      <c r="O514" s="1846">
        <v>907.67376190476193</v>
      </c>
      <c r="P514" s="1848">
        <v>14</v>
      </c>
      <c r="Q514" s="1848">
        <f>+O514*P514</f>
        <v>12707.432666666668</v>
      </c>
      <c r="R514" s="1848"/>
      <c r="S514" s="1848"/>
      <c r="T514" s="355"/>
      <c r="U514" s="1848"/>
      <c r="V514" s="1848">
        <v>12707.432666666668</v>
      </c>
      <c r="W514" s="355"/>
      <c r="X514" s="1137"/>
      <c r="Y514" s="1126"/>
      <c r="Z514" s="1124"/>
      <c r="AA514" s="1124"/>
      <c r="AB514" s="1124"/>
      <c r="AC514" s="1124"/>
      <c r="AD514" s="1124"/>
      <c r="AE514" s="1124"/>
      <c r="AF514" s="1124"/>
      <c r="AG514" s="1282">
        <f t="shared" ref="AG514:AG519" si="123">SUM(S514:AF514)</f>
        <v>12707.432666666668</v>
      </c>
    </row>
    <row r="515" spans="1:33" ht="17.25" hidden="1" thickTop="1" thickBot="1">
      <c r="A515" s="294">
        <v>4282</v>
      </c>
      <c r="B515" s="1896" t="s">
        <v>503</v>
      </c>
      <c r="C515" s="1857" t="s">
        <v>504</v>
      </c>
      <c r="D515" s="326"/>
      <c r="E515" s="294">
        <v>50</v>
      </c>
      <c r="F515" s="1844">
        <v>43186</v>
      </c>
      <c r="G515" s="1845">
        <f t="shared" si="122"/>
        <v>43235</v>
      </c>
      <c r="H515" s="293" t="s">
        <v>501</v>
      </c>
      <c r="I515" s="294" t="s">
        <v>169</v>
      </c>
      <c r="J515" s="307" t="s">
        <v>179</v>
      </c>
      <c r="K515" s="326" t="s">
        <v>502</v>
      </c>
      <c r="L515" s="1788">
        <v>2313</v>
      </c>
      <c r="M515" s="326"/>
      <c r="N515" s="294"/>
      <c r="O515" s="1846">
        <v>208.73557142857143</v>
      </c>
      <c r="P515" s="1848">
        <f>14*3</f>
        <v>42</v>
      </c>
      <c r="Q515" s="1848">
        <f>+O515*P515</f>
        <v>8766.8940000000002</v>
      </c>
      <c r="R515" s="1848"/>
      <c r="S515" s="1848"/>
      <c r="T515" s="355"/>
      <c r="U515" s="1848"/>
      <c r="V515" s="1848">
        <v>8766.8940000000002</v>
      </c>
      <c r="W515" s="355"/>
      <c r="X515" s="1137"/>
      <c r="Y515" s="1126"/>
      <c r="Z515" s="1124"/>
      <c r="AA515" s="1124"/>
      <c r="AB515" s="1124"/>
      <c r="AC515" s="1124"/>
      <c r="AD515" s="1124"/>
      <c r="AE515" s="1124"/>
      <c r="AF515" s="1124"/>
      <c r="AG515" s="1282">
        <f t="shared" si="123"/>
        <v>8766.8940000000002</v>
      </c>
    </row>
    <row r="516" spans="1:33" ht="33" hidden="1" thickTop="1" thickBot="1">
      <c r="A516" s="294">
        <v>4283</v>
      </c>
      <c r="B516" s="1896" t="s">
        <v>505</v>
      </c>
      <c r="C516" s="1857" t="s">
        <v>506</v>
      </c>
      <c r="D516" s="326"/>
      <c r="E516" s="887">
        <v>15</v>
      </c>
      <c r="F516" s="1844">
        <v>43255</v>
      </c>
      <c r="G516" s="1845">
        <f t="shared" si="122"/>
        <v>43269</v>
      </c>
      <c r="H516" s="293" t="s">
        <v>501</v>
      </c>
      <c r="I516" s="294" t="s">
        <v>179</v>
      </c>
      <c r="J516" s="307" t="s">
        <v>507</v>
      </c>
      <c r="K516" s="326" t="s">
        <v>457</v>
      </c>
      <c r="L516" s="1788">
        <v>23174</v>
      </c>
      <c r="M516" s="326"/>
      <c r="N516" s="294"/>
      <c r="O516" s="1846">
        <v>17989.099333333332</v>
      </c>
      <c r="P516" s="1848">
        <v>1</v>
      </c>
      <c r="Q516" s="1848">
        <f>O516*P516</f>
        <v>17989.099333333332</v>
      </c>
      <c r="R516" s="1848"/>
      <c r="S516" s="1855"/>
      <c r="T516" s="355"/>
      <c r="U516" s="1848"/>
      <c r="V516" s="1848">
        <v>17989.099333333332</v>
      </c>
      <c r="W516" s="355"/>
      <c r="X516" s="1137"/>
      <c r="Y516" s="1126"/>
      <c r="Z516" s="1124"/>
      <c r="AA516" s="1124"/>
      <c r="AB516" s="1124"/>
      <c r="AC516" s="1124"/>
      <c r="AD516" s="1124"/>
      <c r="AE516" s="1124"/>
      <c r="AF516" s="1124"/>
      <c r="AG516" s="1282">
        <f t="shared" si="123"/>
        <v>17989.099333333332</v>
      </c>
    </row>
    <row r="517" spans="1:33" ht="33" hidden="1" thickTop="1" thickBot="1">
      <c r="A517" s="294">
        <v>4283</v>
      </c>
      <c r="B517" s="1896" t="s">
        <v>505</v>
      </c>
      <c r="C517" s="1857" t="s">
        <v>506</v>
      </c>
      <c r="D517" s="326"/>
      <c r="E517" s="887">
        <v>15</v>
      </c>
      <c r="F517" s="1844">
        <v>43255</v>
      </c>
      <c r="G517" s="1845">
        <f t="shared" si="122"/>
        <v>43269</v>
      </c>
      <c r="H517" s="293" t="s">
        <v>501</v>
      </c>
      <c r="I517" s="294" t="s">
        <v>179</v>
      </c>
      <c r="J517" s="307" t="s">
        <v>507</v>
      </c>
      <c r="K517" s="326" t="s">
        <v>320</v>
      </c>
      <c r="L517" s="1788">
        <v>23173</v>
      </c>
      <c r="M517" s="326"/>
      <c r="N517" s="294"/>
      <c r="O517" s="1846">
        <v>1060.0740000000001</v>
      </c>
      <c r="P517" s="1848">
        <v>1</v>
      </c>
      <c r="Q517" s="1848">
        <f>O517*P517</f>
        <v>1060.0740000000001</v>
      </c>
      <c r="R517" s="1848"/>
      <c r="S517" s="1858"/>
      <c r="T517" s="355"/>
      <c r="U517" s="1848"/>
      <c r="V517" s="1848">
        <v>1060.0740000000001</v>
      </c>
      <c r="W517" s="355"/>
      <c r="X517" s="1137"/>
      <c r="Y517" s="1126"/>
      <c r="Z517" s="1124"/>
      <c r="AA517" s="1124"/>
      <c r="AB517" s="1124"/>
      <c r="AC517" s="1124"/>
      <c r="AD517" s="1124"/>
      <c r="AE517" s="1124"/>
      <c r="AF517" s="1124"/>
      <c r="AG517" s="1282">
        <f t="shared" si="123"/>
        <v>1060.0740000000001</v>
      </c>
    </row>
    <row r="518" spans="1:33" ht="33" hidden="1" thickTop="1" thickBot="1">
      <c r="A518" s="294">
        <v>4283</v>
      </c>
      <c r="B518" s="1896" t="s">
        <v>505</v>
      </c>
      <c r="C518" s="1857" t="s">
        <v>506</v>
      </c>
      <c r="D518" s="326"/>
      <c r="E518" s="887">
        <v>15</v>
      </c>
      <c r="F518" s="1844">
        <v>43255</v>
      </c>
      <c r="G518" s="1845">
        <f t="shared" si="122"/>
        <v>43269</v>
      </c>
      <c r="H518" s="293" t="s">
        <v>501</v>
      </c>
      <c r="I518" s="294" t="s">
        <v>179</v>
      </c>
      <c r="J518" s="307" t="s">
        <v>507</v>
      </c>
      <c r="K518" s="326" t="s">
        <v>486</v>
      </c>
      <c r="L518" s="1788">
        <v>23173</v>
      </c>
      <c r="M518" s="326"/>
      <c r="N518" s="294"/>
      <c r="O518" s="1846">
        <v>33.333333333333336</v>
      </c>
      <c r="P518" s="1848">
        <v>12</v>
      </c>
      <c r="Q518" s="1848">
        <f>O518*P518</f>
        <v>400</v>
      </c>
      <c r="R518" s="1848"/>
      <c r="S518" s="1859"/>
      <c r="T518" s="355"/>
      <c r="U518" s="1848"/>
      <c r="V518" s="1848">
        <v>400</v>
      </c>
      <c r="W518" s="355"/>
      <c r="X518" s="1137"/>
      <c r="Y518" s="1126"/>
      <c r="Z518" s="1124"/>
      <c r="AA518" s="1124"/>
      <c r="AB518" s="1124"/>
      <c r="AC518" s="1124"/>
      <c r="AD518" s="1124"/>
      <c r="AE518" s="1124"/>
      <c r="AF518" s="1124"/>
      <c r="AG518" s="1282">
        <f t="shared" si="123"/>
        <v>400</v>
      </c>
    </row>
    <row r="519" spans="1:33" ht="16.5" hidden="1" thickTop="1">
      <c r="A519" s="294">
        <v>4284</v>
      </c>
      <c r="B519" s="1728" t="s">
        <v>508</v>
      </c>
      <c r="C519" s="1724" t="s">
        <v>509</v>
      </c>
      <c r="D519" s="326"/>
      <c r="E519" s="294">
        <v>50</v>
      </c>
      <c r="F519" s="1844">
        <v>43186</v>
      </c>
      <c r="G519" s="1845">
        <f t="shared" si="122"/>
        <v>43235</v>
      </c>
      <c r="H519" s="293" t="s">
        <v>179</v>
      </c>
      <c r="I519" s="294" t="s">
        <v>169</v>
      </c>
      <c r="J519" s="307"/>
      <c r="K519" s="326" t="s">
        <v>510</v>
      </c>
      <c r="L519" s="1788">
        <v>2472</v>
      </c>
      <c r="M519" s="326"/>
      <c r="N519" s="294"/>
      <c r="O519" s="1846">
        <v>28275</v>
      </c>
      <c r="P519" s="1848">
        <v>2</v>
      </c>
      <c r="Q519" s="1848">
        <f>O519*P519</f>
        <v>56550</v>
      </c>
      <c r="R519" s="1848"/>
      <c r="S519" s="355"/>
      <c r="T519" s="355"/>
      <c r="U519" s="1848">
        <v>56550</v>
      </c>
      <c r="V519" s="1848"/>
      <c r="W519" s="355"/>
      <c r="X519" s="1137"/>
      <c r="Y519" s="1126"/>
      <c r="Z519" s="1124"/>
      <c r="AA519" s="1124"/>
      <c r="AB519" s="1124"/>
      <c r="AC519" s="1124"/>
      <c r="AD519" s="1124"/>
      <c r="AE519" s="1124"/>
      <c r="AF519" s="1124"/>
      <c r="AG519" s="1282">
        <f t="shared" si="123"/>
        <v>56550</v>
      </c>
    </row>
    <row r="520" spans="1:33" ht="43.5" customHeight="1">
      <c r="A520" s="1248" t="s">
        <v>278</v>
      </c>
      <c r="B520" s="274"/>
      <c r="C520" s="278"/>
      <c r="D520" s="1270"/>
      <c r="E520" s="1270"/>
      <c r="F520" s="1270"/>
      <c r="G520" s="1270"/>
      <c r="H520" s="1270"/>
      <c r="I520" s="1270"/>
      <c r="J520" s="273"/>
      <c r="K520" s="1248"/>
      <c r="L520" s="1269"/>
      <c r="M520" s="1270"/>
      <c r="N520" s="1268"/>
      <c r="O520" s="1271"/>
      <c r="P520" s="1268"/>
      <c r="Q520" s="1273">
        <f>Q521+Q524</f>
        <v>108838</v>
      </c>
      <c r="R520" s="1273">
        <f>+'[7]Compil Costing PPA 3 millions'!F17</f>
        <v>108845.33</v>
      </c>
      <c r="S520" s="1272">
        <f t="shared" ref="S520:AG520" si="124">S521+S524</f>
        <v>0</v>
      </c>
      <c r="T520" s="1272">
        <f t="shared" si="124"/>
        <v>9674</v>
      </c>
      <c r="U520" s="1272">
        <f t="shared" si="124"/>
        <v>2250</v>
      </c>
      <c r="V520" s="1272">
        <f t="shared" si="124"/>
        <v>71084</v>
      </c>
      <c r="W520" s="1272">
        <f t="shared" si="124"/>
        <v>25830</v>
      </c>
      <c r="X520" s="1272">
        <f t="shared" si="124"/>
        <v>0</v>
      </c>
      <c r="Y520" s="1272">
        <f t="shared" si="124"/>
        <v>0</v>
      </c>
      <c r="Z520" s="276">
        <f t="shared" si="124"/>
        <v>0</v>
      </c>
      <c r="AA520" s="276">
        <f t="shared" si="124"/>
        <v>0</v>
      </c>
      <c r="AB520" s="276">
        <f t="shared" si="124"/>
        <v>0</v>
      </c>
      <c r="AC520" s="276">
        <f t="shared" si="124"/>
        <v>0</v>
      </c>
      <c r="AD520" s="276">
        <f t="shared" si="124"/>
        <v>0</v>
      </c>
      <c r="AE520" s="276">
        <f t="shared" si="124"/>
        <v>0</v>
      </c>
      <c r="AF520" s="276">
        <f t="shared" si="124"/>
        <v>0</v>
      </c>
      <c r="AG520" s="1272">
        <f t="shared" si="124"/>
        <v>108838</v>
      </c>
    </row>
    <row r="521" spans="1:33" hidden="1">
      <c r="A521" s="1275">
        <v>431</v>
      </c>
      <c r="B521" s="359" t="s">
        <v>369</v>
      </c>
      <c r="C521" s="1021"/>
      <c r="D521" s="1280"/>
      <c r="E521" s="1280"/>
      <c r="F521" s="1280"/>
      <c r="G521" s="1280"/>
      <c r="H521" s="1280"/>
      <c r="I521" s="1280"/>
      <c r="J521" s="283"/>
      <c r="K521" s="1278"/>
      <c r="L521" s="1279"/>
      <c r="M521" s="1280"/>
      <c r="N521" s="1277"/>
      <c r="O521" s="1281"/>
      <c r="P521" s="1277"/>
      <c r="Q521" s="547">
        <f>SUM(Q522:Q523)</f>
        <v>9674</v>
      </c>
      <c r="R521" s="287"/>
      <c r="S521" s="1395">
        <f t="shared" ref="S521:AF521" si="125">SUM(S522:S523)</f>
        <v>0</v>
      </c>
      <c r="T521" s="1395">
        <f t="shared" si="125"/>
        <v>9674</v>
      </c>
      <c r="U521" s="1395">
        <f t="shared" si="125"/>
        <v>0</v>
      </c>
      <c r="V521" s="1395">
        <f t="shared" si="125"/>
        <v>0</v>
      </c>
      <c r="W521" s="1395">
        <f t="shared" si="125"/>
        <v>0</v>
      </c>
      <c r="X521" s="1395">
        <f t="shared" si="125"/>
        <v>0</v>
      </c>
      <c r="Y521" s="1395">
        <f t="shared" si="125"/>
        <v>0</v>
      </c>
      <c r="Z521" s="361">
        <f t="shared" si="125"/>
        <v>0</v>
      </c>
      <c r="AA521" s="361">
        <f t="shared" si="125"/>
        <v>0</v>
      </c>
      <c r="AB521" s="361">
        <f t="shared" si="125"/>
        <v>0</v>
      </c>
      <c r="AC521" s="361">
        <f t="shared" si="125"/>
        <v>0</v>
      </c>
      <c r="AD521" s="361">
        <f t="shared" si="125"/>
        <v>0</v>
      </c>
      <c r="AE521" s="361">
        <f t="shared" si="125"/>
        <v>0</v>
      </c>
      <c r="AF521" s="361">
        <f t="shared" si="125"/>
        <v>0</v>
      </c>
      <c r="AG521" s="1282">
        <f>SUM(S521:AF521)</f>
        <v>9674</v>
      </c>
    </row>
    <row r="522" spans="1:33" ht="63" hidden="1">
      <c r="A522" s="294">
        <v>4311</v>
      </c>
      <c r="B522" s="820" t="s">
        <v>370</v>
      </c>
      <c r="C522" s="824" t="s">
        <v>371</v>
      </c>
      <c r="D522" s="326"/>
      <c r="E522" s="294">
        <f>3+30</f>
        <v>33</v>
      </c>
      <c r="F522" s="293">
        <f>G522-E522</f>
        <v>43184</v>
      </c>
      <c r="G522" s="293">
        <v>43217</v>
      </c>
      <c r="H522" s="293" t="s">
        <v>372</v>
      </c>
      <c r="I522" s="294" t="s">
        <v>169</v>
      </c>
      <c r="J522" s="307" t="s">
        <v>373</v>
      </c>
      <c r="K522" s="326" t="s">
        <v>374</v>
      </c>
      <c r="L522" s="1237">
        <v>23173</v>
      </c>
      <c r="M522" s="326"/>
      <c r="N522" s="294"/>
      <c r="O522" s="354">
        <v>214</v>
      </c>
      <c r="P522" s="294">
        <v>1</v>
      </c>
      <c r="Q522" s="299">
        <f>O522*P522</f>
        <v>214</v>
      </c>
      <c r="R522" s="299"/>
      <c r="S522" s="355"/>
      <c r="T522" s="299">
        <v>214</v>
      </c>
      <c r="U522" s="355"/>
      <c r="V522" s="355"/>
      <c r="W522" s="355"/>
      <c r="X522" s="1137"/>
      <c r="Y522" s="1126"/>
      <c r="Z522" s="1199"/>
      <c r="AA522" s="1124"/>
      <c r="AB522" s="1124"/>
      <c r="AC522" s="1124"/>
      <c r="AD522" s="1124"/>
      <c r="AE522" s="1124"/>
      <c r="AF522" s="1124"/>
      <c r="AG522" s="1282">
        <f>SUM(S522:AF522)</f>
        <v>214</v>
      </c>
    </row>
    <row r="523" spans="1:33" ht="63" hidden="1">
      <c r="A523" s="294">
        <v>4311</v>
      </c>
      <c r="B523" s="820" t="s">
        <v>370</v>
      </c>
      <c r="C523" s="824" t="s">
        <v>371</v>
      </c>
      <c r="D523" s="326"/>
      <c r="E523" s="294">
        <v>3</v>
      </c>
      <c r="F523" s="293">
        <f>G523-E523</f>
        <v>43214</v>
      </c>
      <c r="G523" s="293">
        <v>43217</v>
      </c>
      <c r="H523" s="293" t="s">
        <v>372</v>
      </c>
      <c r="I523" s="294" t="s">
        <v>180</v>
      </c>
      <c r="J523" s="307" t="s">
        <v>373</v>
      </c>
      <c r="K523" s="326" t="s">
        <v>375</v>
      </c>
      <c r="L523" s="1237">
        <v>23174</v>
      </c>
      <c r="M523" s="326"/>
      <c r="N523" s="294"/>
      <c r="O523" s="354">
        <v>215</v>
      </c>
      <c r="P523" s="294">
        <v>44</v>
      </c>
      <c r="Q523" s="299">
        <f>O523*P523</f>
        <v>9460</v>
      </c>
      <c r="R523" s="299"/>
      <c r="S523" s="355"/>
      <c r="T523" s="299">
        <v>9460</v>
      </c>
      <c r="U523" s="355"/>
      <c r="V523" s="355"/>
      <c r="W523" s="355"/>
      <c r="X523" s="1137"/>
      <c r="Y523" s="1126"/>
      <c r="Z523" s="1199"/>
      <c r="AA523" s="1124"/>
      <c r="AB523" s="1124"/>
      <c r="AC523" s="1124"/>
      <c r="AD523" s="1124"/>
      <c r="AE523" s="1124"/>
      <c r="AF523" s="1124"/>
      <c r="AG523" s="1282">
        <f>SUM(S523:AF523)</f>
        <v>9460</v>
      </c>
    </row>
    <row r="524" spans="1:33" hidden="1">
      <c r="A524" s="1275">
        <v>432</v>
      </c>
      <c r="B524" s="359" t="s">
        <v>376</v>
      </c>
      <c r="C524" s="1021"/>
      <c r="D524" s="1280"/>
      <c r="E524" s="1280"/>
      <c r="F524" s="1280"/>
      <c r="G524" s="1280"/>
      <c r="H524" s="1280"/>
      <c r="I524" s="1280"/>
      <c r="J524" s="283"/>
      <c r="K524" s="1278"/>
      <c r="L524" s="1279"/>
      <c r="M524" s="1280"/>
      <c r="N524" s="1277"/>
      <c r="O524" s="1281"/>
      <c r="P524" s="1277"/>
      <c r="Q524" s="547">
        <f>SUM(Q525:Q534)</f>
        <v>99164</v>
      </c>
      <c r="R524" s="287"/>
      <c r="S524" s="1395">
        <f t="shared" ref="S524:AF524" si="126">SUM(S525:S534)</f>
        <v>0</v>
      </c>
      <c r="T524" s="1395">
        <f t="shared" si="126"/>
        <v>0</v>
      </c>
      <c r="U524" s="1395">
        <f t="shared" si="126"/>
        <v>2250</v>
      </c>
      <c r="V524" s="1395">
        <f t="shared" si="126"/>
        <v>71084</v>
      </c>
      <c r="W524" s="1395">
        <f t="shared" si="126"/>
        <v>25830</v>
      </c>
      <c r="X524" s="1395">
        <f t="shared" si="126"/>
        <v>0</v>
      </c>
      <c r="Y524" s="1395">
        <f t="shared" si="126"/>
        <v>0</v>
      </c>
      <c r="Z524" s="361">
        <f t="shared" si="126"/>
        <v>0</v>
      </c>
      <c r="AA524" s="361">
        <f t="shared" si="126"/>
        <v>0</v>
      </c>
      <c r="AB524" s="361">
        <f t="shared" si="126"/>
        <v>0</v>
      </c>
      <c r="AC524" s="361">
        <f t="shared" si="126"/>
        <v>0</v>
      </c>
      <c r="AD524" s="361">
        <f t="shared" si="126"/>
        <v>0</v>
      </c>
      <c r="AE524" s="361">
        <f t="shared" si="126"/>
        <v>0</v>
      </c>
      <c r="AF524" s="361">
        <f t="shared" si="126"/>
        <v>0</v>
      </c>
      <c r="AG524" s="1282">
        <f>SUM(S524:AF524)</f>
        <v>99164</v>
      </c>
    </row>
    <row r="525" spans="1:33" ht="31.5" hidden="1">
      <c r="A525" s="294">
        <v>4321</v>
      </c>
      <c r="B525" s="820" t="s">
        <v>377</v>
      </c>
      <c r="C525" s="1093" t="s">
        <v>1014</v>
      </c>
      <c r="D525" s="326"/>
      <c r="E525" s="294">
        <f>60+15</f>
        <v>75</v>
      </c>
      <c r="F525" s="293">
        <f t="shared" ref="F525:F534" si="127">G525-E525</f>
        <v>43188</v>
      </c>
      <c r="G525" s="293">
        <v>43263</v>
      </c>
      <c r="H525" s="293"/>
      <c r="I525" s="294" t="s">
        <v>169</v>
      </c>
      <c r="J525" s="307" t="s">
        <v>180</v>
      </c>
      <c r="K525" s="326" t="s">
        <v>365</v>
      </c>
      <c r="L525" s="1237">
        <v>2313</v>
      </c>
      <c r="M525" s="326"/>
      <c r="N525" s="294"/>
      <c r="O525" s="354">
        <v>11250</v>
      </c>
      <c r="P525" s="294">
        <v>1</v>
      </c>
      <c r="Q525" s="299">
        <f t="shared" ref="Q525:Q534" si="128">O525*P525</f>
        <v>11250</v>
      </c>
      <c r="R525" s="299"/>
      <c r="S525" s="299"/>
      <c r="T525" s="299"/>
      <c r="U525" s="299">
        <v>2250</v>
      </c>
      <c r="V525" s="299">
        <v>4500</v>
      </c>
      <c r="W525" s="299">
        <v>4500</v>
      </c>
      <c r="X525" s="1142"/>
      <c r="Y525" s="1127"/>
      <c r="Z525" s="1199"/>
      <c r="AA525" s="1124"/>
      <c r="AB525" s="1124"/>
      <c r="AC525" s="1124"/>
      <c r="AD525" s="1124"/>
      <c r="AE525" s="1124"/>
      <c r="AF525" s="1124"/>
      <c r="AG525" s="1282">
        <f t="shared" ref="AG525:AG534" si="129">SUM(S525:AF525)</f>
        <v>11250</v>
      </c>
    </row>
    <row r="526" spans="1:33" ht="31.5" hidden="1">
      <c r="A526" s="294">
        <v>4322</v>
      </c>
      <c r="B526" s="820" t="s">
        <v>379</v>
      </c>
      <c r="C526" s="1093" t="s">
        <v>1015</v>
      </c>
      <c r="D526" s="326"/>
      <c r="E526" s="294">
        <v>20</v>
      </c>
      <c r="F526" s="293">
        <f t="shared" si="127"/>
        <v>43266</v>
      </c>
      <c r="G526" s="293">
        <v>43286</v>
      </c>
      <c r="H526" s="293" t="s">
        <v>372</v>
      </c>
      <c r="I526" s="294" t="s">
        <v>169</v>
      </c>
      <c r="J526" s="307" t="s">
        <v>180</v>
      </c>
      <c r="K526" s="326" t="s">
        <v>365</v>
      </c>
      <c r="L526" s="1237">
        <v>2313</v>
      </c>
      <c r="M526" s="326"/>
      <c r="N526" s="294"/>
      <c r="O526" s="354">
        <v>94</v>
      </c>
      <c r="P526" s="294">
        <v>60</v>
      </c>
      <c r="Q526" s="299">
        <f t="shared" si="128"/>
        <v>5640</v>
      </c>
      <c r="R526" s="299"/>
      <c r="S526" s="299"/>
      <c r="T526" s="299"/>
      <c r="U526" s="299"/>
      <c r="V526" s="299">
        <v>5640</v>
      </c>
      <c r="W526" s="299"/>
      <c r="X526" s="1142"/>
      <c r="Y526" s="1127"/>
      <c r="Z526" s="1199"/>
      <c r="AA526" s="1124"/>
      <c r="AB526" s="1124"/>
      <c r="AC526" s="1124"/>
      <c r="AD526" s="1124"/>
      <c r="AE526" s="1124"/>
      <c r="AF526" s="1124"/>
      <c r="AG526" s="1282">
        <f t="shared" si="129"/>
        <v>5640</v>
      </c>
    </row>
    <row r="527" spans="1:33" hidden="1">
      <c r="A527" s="294">
        <v>4323</v>
      </c>
      <c r="B527" s="820" t="s">
        <v>1007</v>
      </c>
      <c r="C527" s="1093" t="s">
        <v>382</v>
      </c>
      <c r="D527" s="326"/>
      <c r="E527" s="294">
        <v>3</v>
      </c>
      <c r="F527" s="293">
        <f t="shared" si="127"/>
        <v>43293</v>
      </c>
      <c r="G527" s="293">
        <v>43296</v>
      </c>
      <c r="H527" s="293" t="s">
        <v>372</v>
      </c>
      <c r="I527" s="294" t="s">
        <v>180</v>
      </c>
      <c r="J527" s="307"/>
      <c r="K527" s="326" t="s">
        <v>383</v>
      </c>
      <c r="L527" s="1237">
        <v>23174</v>
      </c>
      <c r="M527" s="326"/>
      <c r="N527" s="294"/>
      <c r="O527" s="354">
        <v>142</v>
      </c>
      <c r="P527" s="294">
        <v>144</v>
      </c>
      <c r="Q527" s="299">
        <f t="shared" si="128"/>
        <v>20448</v>
      </c>
      <c r="R527" s="299"/>
      <c r="S527" s="299"/>
      <c r="T527" s="299"/>
      <c r="U527" s="299"/>
      <c r="V527" s="299"/>
      <c r="W527" s="299">
        <v>20448</v>
      </c>
      <c r="X527" s="1142"/>
      <c r="Y527" s="1127"/>
      <c r="Z527" s="1199"/>
      <c r="AA527" s="1124"/>
      <c r="AB527" s="1124"/>
      <c r="AC527" s="1124"/>
      <c r="AD527" s="1124"/>
      <c r="AE527" s="1124"/>
      <c r="AF527" s="1124"/>
      <c r="AG527" s="1282">
        <f t="shared" si="129"/>
        <v>20448</v>
      </c>
    </row>
    <row r="528" spans="1:33" hidden="1">
      <c r="A528" s="294">
        <v>4323</v>
      </c>
      <c r="B528" s="820" t="s">
        <v>1007</v>
      </c>
      <c r="C528" s="1093" t="s">
        <v>382</v>
      </c>
      <c r="D528" s="326"/>
      <c r="E528" s="294">
        <f>3+30</f>
        <v>33</v>
      </c>
      <c r="F528" s="293">
        <f t="shared" si="127"/>
        <v>43263</v>
      </c>
      <c r="G528" s="293">
        <v>43296</v>
      </c>
      <c r="H528" s="293" t="s">
        <v>372</v>
      </c>
      <c r="I528" s="294" t="s">
        <v>169</v>
      </c>
      <c r="J528" s="307"/>
      <c r="K528" s="326" t="s">
        <v>384</v>
      </c>
      <c r="L528" s="1237">
        <v>23173</v>
      </c>
      <c r="M528" s="326"/>
      <c r="N528" s="294"/>
      <c r="O528" s="354">
        <v>147</v>
      </c>
      <c r="P528" s="294">
        <v>6</v>
      </c>
      <c r="Q528" s="299">
        <f t="shared" si="128"/>
        <v>882</v>
      </c>
      <c r="R528" s="299"/>
      <c r="S528" s="299"/>
      <c r="T528" s="299"/>
      <c r="U528" s="299"/>
      <c r="V528" s="299"/>
      <c r="W528" s="299">
        <v>882</v>
      </c>
      <c r="X528" s="1142"/>
      <c r="Y528" s="1127"/>
      <c r="Z528" s="1199"/>
      <c r="AA528" s="1124"/>
      <c r="AB528" s="1124"/>
      <c r="AC528" s="1124"/>
      <c r="AD528" s="1124"/>
      <c r="AE528" s="1124"/>
      <c r="AF528" s="1124"/>
      <c r="AG528" s="1282">
        <f t="shared" si="129"/>
        <v>882</v>
      </c>
    </row>
    <row r="529" spans="1:33" ht="47.25" hidden="1">
      <c r="A529" s="294">
        <v>4324</v>
      </c>
      <c r="B529" s="820" t="s">
        <v>385</v>
      </c>
      <c r="C529" s="1093" t="s">
        <v>386</v>
      </c>
      <c r="D529" s="326"/>
      <c r="E529" s="294">
        <f>10+45</f>
        <v>55</v>
      </c>
      <c r="F529" s="293">
        <f t="shared" si="127"/>
        <v>43211</v>
      </c>
      <c r="G529" s="293">
        <v>43266</v>
      </c>
      <c r="H529" s="293" t="s">
        <v>390</v>
      </c>
      <c r="I529" s="294" t="s">
        <v>169</v>
      </c>
      <c r="J529" s="307" t="s">
        <v>387</v>
      </c>
      <c r="K529" s="820" t="s">
        <v>388</v>
      </c>
      <c r="L529" s="1237">
        <v>23173</v>
      </c>
      <c r="M529" s="326"/>
      <c r="N529" s="294"/>
      <c r="O529" s="354">
        <v>469</v>
      </c>
      <c r="P529" s="294">
        <v>22</v>
      </c>
      <c r="Q529" s="299">
        <f t="shared" si="128"/>
        <v>10318</v>
      </c>
      <c r="R529" s="299"/>
      <c r="S529" s="299"/>
      <c r="T529" s="299"/>
      <c r="U529" s="299"/>
      <c r="V529" s="299">
        <v>10318</v>
      </c>
      <c r="W529" s="299"/>
      <c r="X529" s="1142"/>
      <c r="Y529" s="1127"/>
      <c r="Z529" s="1199"/>
      <c r="AA529" s="1124"/>
      <c r="AB529" s="1124"/>
      <c r="AC529" s="1124"/>
      <c r="AD529" s="1124"/>
      <c r="AE529" s="1124"/>
      <c r="AF529" s="1124"/>
      <c r="AG529" s="1282">
        <f t="shared" si="129"/>
        <v>10318</v>
      </c>
    </row>
    <row r="530" spans="1:33" ht="47.25" hidden="1">
      <c r="A530" s="294">
        <v>4324</v>
      </c>
      <c r="B530" s="820" t="s">
        <v>385</v>
      </c>
      <c r="C530" s="1093" t="s">
        <v>386</v>
      </c>
      <c r="D530" s="326"/>
      <c r="E530" s="294">
        <f>10+45</f>
        <v>55</v>
      </c>
      <c r="F530" s="293">
        <f t="shared" si="127"/>
        <v>43211</v>
      </c>
      <c r="G530" s="293">
        <v>43266</v>
      </c>
      <c r="H530" s="293" t="s">
        <v>390</v>
      </c>
      <c r="I530" s="294" t="s">
        <v>169</v>
      </c>
      <c r="J530" s="307" t="s">
        <v>387</v>
      </c>
      <c r="K530" s="820" t="s">
        <v>392</v>
      </c>
      <c r="L530" s="1237">
        <v>23174</v>
      </c>
      <c r="M530" s="326"/>
      <c r="N530" s="294"/>
      <c r="O530" s="354">
        <v>313</v>
      </c>
      <c r="P530" s="294">
        <v>22</v>
      </c>
      <c r="Q530" s="299">
        <f t="shared" si="128"/>
        <v>6886</v>
      </c>
      <c r="R530" s="299"/>
      <c r="S530" s="299"/>
      <c r="T530" s="299"/>
      <c r="U530" s="299"/>
      <c r="V530" s="299">
        <v>6886</v>
      </c>
      <c r="W530" s="299"/>
      <c r="X530" s="1142"/>
      <c r="Y530" s="1127"/>
      <c r="Z530" s="1199"/>
      <c r="AA530" s="1124"/>
      <c r="AB530" s="1124"/>
      <c r="AC530" s="1124"/>
      <c r="AD530" s="1124"/>
      <c r="AE530" s="1124"/>
      <c r="AF530" s="1124"/>
      <c r="AG530" s="1282">
        <f t="shared" si="129"/>
        <v>6886</v>
      </c>
    </row>
    <row r="531" spans="1:33" ht="47.25" hidden="1">
      <c r="A531" s="294">
        <v>4324</v>
      </c>
      <c r="B531" s="820" t="s">
        <v>385</v>
      </c>
      <c r="C531" s="1093" t="s">
        <v>386</v>
      </c>
      <c r="D531" s="326"/>
      <c r="E531" s="294">
        <v>10</v>
      </c>
      <c r="F531" s="293">
        <f t="shared" si="127"/>
        <v>43256</v>
      </c>
      <c r="G531" s="293">
        <v>43266</v>
      </c>
      <c r="H531" s="293" t="s">
        <v>396</v>
      </c>
      <c r="I531" s="294" t="s">
        <v>180</v>
      </c>
      <c r="J531" s="307" t="s">
        <v>387</v>
      </c>
      <c r="K531" s="326" t="s">
        <v>1050</v>
      </c>
      <c r="L531" s="1237">
        <v>23174</v>
      </c>
      <c r="M531" s="326"/>
      <c r="N531" s="294"/>
      <c r="O531" s="354">
        <v>240</v>
      </c>
      <c r="P531" s="294">
        <v>88</v>
      </c>
      <c r="Q531" s="299">
        <f t="shared" si="128"/>
        <v>21120</v>
      </c>
      <c r="R531" s="299"/>
      <c r="S531" s="299"/>
      <c r="T531" s="299"/>
      <c r="U531" s="299"/>
      <c r="V531" s="299">
        <v>21120</v>
      </c>
      <c r="W531" s="299"/>
      <c r="X531" s="1142"/>
      <c r="Y531" s="1127"/>
      <c r="Z531" s="1199"/>
      <c r="AA531" s="1124"/>
      <c r="AB531" s="1124"/>
      <c r="AC531" s="1124"/>
      <c r="AD531" s="1124"/>
      <c r="AE531" s="1124"/>
      <c r="AF531" s="1124"/>
      <c r="AG531" s="1282">
        <f t="shared" si="129"/>
        <v>21120</v>
      </c>
    </row>
    <row r="532" spans="1:33" ht="47.25" hidden="1">
      <c r="A532" s="294">
        <v>4324</v>
      </c>
      <c r="B532" s="820" t="s">
        <v>385</v>
      </c>
      <c r="C532" s="1093" t="s">
        <v>386</v>
      </c>
      <c r="D532" s="326"/>
      <c r="E532" s="294">
        <f>10+45</f>
        <v>55</v>
      </c>
      <c r="F532" s="293">
        <f t="shared" si="127"/>
        <v>43211</v>
      </c>
      <c r="G532" s="293">
        <v>43266</v>
      </c>
      <c r="H532" s="293" t="s">
        <v>390</v>
      </c>
      <c r="I532" s="294" t="s">
        <v>169</v>
      </c>
      <c r="J532" s="307" t="s">
        <v>387</v>
      </c>
      <c r="K532" s="326" t="s">
        <v>1049</v>
      </c>
      <c r="L532" s="1237">
        <v>23173</v>
      </c>
      <c r="M532" s="326"/>
      <c r="N532" s="294"/>
      <c r="O532" s="354">
        <v>313</v>
      </c>
      <c r="P532" s="294">
        <v>22</v>
      </c>
      <c r="Q532" s="299">
        <f t="shared" si="128"/>
        <v>6886</v>
      </c>
      <c r="R532" s="299"/>
      <c r="S532" s="299"/>
      <c r="T532" s="299"/>
      <c r="U532" s="299"/>
      <c r="V532" s="299">
        <v>6886</v>
      </c>
      <c r="W532" s="299"/>
      <c r="X532" s="1142"/>
      <c r="Y532" s="1127"/>
      <c r="Z532" s="1199"/>
      <c r="AA532" s="1124"/>
      <c r="AB532" s="1124"/>
      <c r="AC532" s="1124"/>
      <c r="AD532" s="1124"/>
      <c r="AE532" s="1124"/>
      <c r="AF532" s="1124"/>
      <c r="AG532" s="1282">
        <f t="shared" si="129"/>
        <v>6886</v>
      </c>
    </row>
    <row r="533" spans="1:33" ht="78.75" hidden="1">
      <c r="A533" s="294">
        <v>4324</v>
      </c>
      <c r="B533" s="820" t="s">
        <v>400</v>
      </c>
      <c r="C533" s="824" t="s">
        <v>401</v>
      </c>
      <c r="D533" s="326"/>
      <c r="E533" s="294">
        <f>45+10</f>
        <v>55</v>
      </c>
      <c r="F533" s="293">
        <f t="shared" si="127"/>
        <v>43211</v>
      </c>
      <c r="G533" s="293">
        <v>43266</v>
      </c>
      <c r="H533" s="293" t="s">
        <v>390</v>
      </c>
      <c r="I533" s="294" t="s">
        <v>169</v>
      </c>
      <c r="J533" s="307"/>
      <c r="K533" s="326" t="s">
        <v>384</v>
      </c>
      <c r="L533" s="1237">
        <v>23173</v>
      </c>
      <c r="M533" s="326"/>
      <c r="N533" s="294"/>
      <c r="O533" s="354">
        <v>577</v>
      </c>
      <c r="P533" s="294">
        <v>22</v>
      </c>
      <c r="Q533" s="299">
        <f t="shared" si="128"/>
        <v>12694</v>
      </c>
      <c r="R533" s="299"/>
      <c r="S533" s="299"/>
      <c r="T533" s="299"/>
      <c r="U533" s="299"/>
      <c r="V533" s="299">
        <v>12694</v>
      </c>
      <c r="W533" s="299"/>
      <c r="X533" s="1142"/>
      <c r="Y533" s="1127"/>
      <c r="Z533" s="1199"/>
      <c r="AA533" s="1124"/>
      <c r="AB533" s="1124"/>
      <c r="AC533" s="1124"/>
      <c r="AD533" s="1124"/>
      <c r="AE533" s="1124"/>
      <c r="AF533" s="1124"/>
      <c r="AG533" s="1282">
        <f t="shared" si="129"/>
        <v>12694</v>
      </c>
    </row>
    <row r="534" spans="1:33" hidden="1">
      <c r="A534" s="294">
        <v>4324</v>
      </c>
      <c r="B534" s="291" t="s">
        <v>402</v>
      </c>
      <c r="C534" s="1093" t="s">
        <v>403</v>
      </c>
      <c r="D534" s="326"/>
      <c r="E534" s="294">
        <f>3+30</f>
        <v>33</v>
      </c>
      <c r="F534" s="293">
        <f t="shared" si="127"/>
        <v>43233</v>
      </c>
      <c r="G534" s="293">
        <v>43266</v>
      </c>
      <c r="H534" s="293" t="s">
        <v>372</v>
      </c>
      <c r="I534" s="294" t="s">
        <v>180</v>
      </c>
      <c r="J534" s="307"/>
      <c r="K534" s="326" t="s">
        <v>384</v>
      </c>
      <c r="L534" s="1237">
        <v>23173</v>
      </c>
      <c r="M534" s="326"/>
      <c r="N534" s="294"/>
      <c r="O534" s="354">
        <v>47.5</v>
      </c>
      <c r="P534" s="294">
        <v>64</v>
      </c>
      <c r="Q534" s="299">
        <f t="shared" si="128"/>
        <v>3040</v>
      </c>
      <c r="R534" s="299"/>
      <c r="S534" s="299"/>
      <c r="T534" s="299"/>
      <c r="U534" s="299"/>
      <c r="V534" s="299">
        <v>3040</v>
      </c>
      <c r="W534" s="299"/>
      <c r="X534" s="1142"/>
      <c r="Y534" s="1127"/>
      <c r="Z534" s="1199"/>
      <c r="AA534" s="1124"/>
      <c r="AB534" s="1124"/>
      <c r="AC534" s="1124"/>
      <c r="AD534" s="1124"/>
      <c r="AE534" s="1124"/>
      <c r="AF534" s="1124"/>
      <c r="AG534" s="1282">
        <f t="shared" si="129"/>
        <v>3040</v>
      </c>
    </row>
    <row r="535" spans="1:33" ht="42" customHeight="1">
      <c r="A535" s="3399" t="s">
        <v>997</v>
      </c>
      <c r="B535" s="3399"/>
      <c r="C535" s="3399"/>
      <c r="D535" s="3399"/>
      <c r="E535" s="3399"/>
      <c r="F535" s="3399"/>
      <c r="G535" s="3399"/>
      <c r="H535" s="3399"/>
      <c r="I535" s="3399"/>
      <c r="J535" s="1213"/>
      <c r="K535" s="2247"/>
      <c r="L535" s="1213"/>
      <c r="M535" s="1215"/>
      <c r="N535" s="1213"/>
      <c r="O535" s="1216"/>
      <c r="P535" s="1213"/>
      <c r="Q535" s="1218">
        <f>+Q536+Q539</f>
        <v>466696.17</v>
      </c>
      <c r="R535" s="1218">
        <f>466727+0.24</f>
        <v>466727.24</v>
      </c>
      <c r="S535" s="1217">
        <f>SUM(S536:S557)</f>
        <v>0</v>
      </c>
      <c r="T535" s="1217">
        <f>SUM(T536:T557)</f>
        <v>0</v>
      </c>
      <c r="U535" s="1217">
        <f>+U536+U539</f>
        <v>95387.5</v>
      </c>
      <c r="V535" s="1217">
        <f>+V536+V539</f>
        <v>160950</v>
      </c>
      <c r="W535" s="1217">
        <f>+W536+W539</f>
        <v>46023.67</v>
      </c>
      <c r="X535" s="1217">
        <f>+X536+X539</f>
        <v>128947.5</v>
      </c>
      <c r="Y535" s="1217">
        <f>+Y536+Y539</f>
        <v>35387.5</v>
      </c>
      <c r="Z535" s="1217">
        <f t="shared" ref="Z535:AF535" si="130">SUM(Z536:Z557)</f>
        <v>0</v>
      </c>
      <c r="AA535" s="1217">
        <f t="shared" si="130"/>
        <v>0</v>
      </c>
      <c r="AB535" s="1217">
        <f t="shared" si="130"/>
        <v>0</v>
      </c>
      <c r="AC535" s="1217">
        <f t="shared" si="130"/>
        <v>0</v>
      </c>
      <c r="AD535" s="1217">
        <f t="shared" si="130"/>
        <v>0</v>
      </c>
      <c r="AE535" s="1217">
        <f t="shared" si="130"/>
        <v>0</v>
      </c>
      <c r="AF535" s="1217">
        <f t="shared" si="130"/>
        <v>0</v>
      </c>
      <c r="AG535" s="1217">
        <f>SUM(S535:AF535)</f>
        <v>466696.17</v>
      </c>
    </row>
    <row r="536" spans="1:33" hidden="1">
      <c r="A536" s="1219">
        <v>441</v>
      </c>
      <c r="B536" s="1222" t="s">
        <v>1067</v>
      </c>
      <c r="C536" s="1222"/>
      <c r="D536" s="1220"/>
      <c r="E536" s="1220"/>
      <c r="F536" s="1220"/>
      <c r="G536" s="1220"/>
      <c r="H536" s="1220"/>
      <c r="I536" s="1221" t="s">
        <v>169</v>
      </c>
      <c r="J536" s="1221"/>
      <c r="K536" s="1220"/>
      <c r="L536" s="1221"/>
      <c r="M536" s="1222"/>
      <c r="N536" s="1221"/>
      <c r="O536" s="1223"/>
      <c r="P536" s="1455"/>
      <c r="Q536" s="2828">
        <f>+Q537+Q538</f>
        <v>102696.17</v>
      </c>
      <c r="R536" s="1225"/>
      <c r="S536" s="1456"/>
      <c r="T536" s="1226"/>
      <c r="U536" s="1456">
        <f>+U537+U538</f>
        <v>0</v>
      </c>
      <c r="V536" s="1456">
        <f>+V537+V538</f>
        <v>0</v>
      </c>
      <c r="W536" s="1456">
        <f>+W537+W538</f>
        <v>10636.17</v>
      </c>
      <c r="X536" s="1456">
        <f>+X537+X538</f>
        <v>92060</v>
      </c>
      <c r="Y536" s="1456">
        <f>+Y537+Y538</f>
        <v>0</v>
      </c>
      <c r="Z536" s="1226"/>
      <c r="AA536" s="1226"/>
      <c r="AB536" s="1226"/>
      <c r="AC536" s="1226"/>
      <c r="AD536" s="1226"/>
      <c r="AE536" s="1226"/>
      <c r="AF536" s="1226"/>
      <c r="AG536" s="1224">
        <f>SUM(S536:AF536)</f>
        <v>102696.17</v>
      </c>
    </row>
    <row r="537" spans="1:33" ht="27.75" hidden="1" customHeight="1">
      <c r="A537" s="2248">
        <v>4411</v>
      </c>
      <c r="B537" s="2249" t="s">
        <v>44</v>
      </c>
      <c r="C537" s="2249" t="s">
        <v>972</v>
      </c>
      <c r="D537" s="2250"/>
      <c r="E537" s="2250"/>
      <c r="F537" s="2250"/>
      <c r="G537" s="2250"/>
      <c r="H537" s="2250"/>
      <c r="I537" s="2251" t="s">
        <v>169</v>
      </c>
      <c r="J537" s="2251"/>
      <c r="K537" s="2250"/>
      <c r="L537" s="2251">
        <v>2313</v>
      </c>
      <c r="M537" s="2249"/>
      <c r="N537" s="2251"/>
      <c r="O537" s="2253">
        <v>92060</v>
      </c>
      <c r="P537" s="2251">
        <v>1</v>
      </c>
      <c r="Q537" s="2302">
        <f>+O537*P537</f>
        <v>92060</v>
      </c>
      <c r="R537" s="1658"/>
      <c r="S537" s="2253"/>
      <c r="T537" s="1695"/>
      <c r="U537" s="2253"/>
      <c r="V537" s="1695"/>
      <c r="W537" s="1695"/>
      <c r="X537" s="2253">
        <v>92060</v>
      </c>
      <c r="Y537" s="1695"/>
      <c r="Z537" s="1695"/>
      <c r="AA537" s="1695"/>
      <c r="AB537" s="1695"/>
      <c r="AC537" s="1695"/>
      <c r="AD537" s="1695"/>
      <c r="AE537" s="1695"/>
      <c r="AF537" s="1695"/>
      <c r="AG537" s="1282">
        <f>SUM(S537:AF537)</f>
        <v>92060</v>
      </c>
    </row>
    <row r="538" spans="1:33" ht="27.75" hidden="1" customHeight="1">
      <c r="A538" s="2248">
        <v>4412</v>
      </c>
      <c r="B538" s="2249" t="s">
        <v>43</v>
      </c>
      <c r="C538" s="2249" t="s">
        <v>973</v>
      </c>
      <c r="D538" s="2249"/>
      <c r="E538" s="2249"/>
      <c r="F538" s="2249"/>
      <c r="G538" s="2249"/>
      <c r="H538" s="2249"/>
      <c r="I538" s="2251" t="s">
        <v>169</v>
      </c>
      <c r="J538" s="2251"/>
      <c r="K538" s="2250"/>
      <c r="L538" s="2251">
        <v>23173</v>
      </c>
      <c r="M538" s="2249"/>
      <c r="N538" s="2251"/>
      <c r="O538" s="2253">
        <v>10636.17</v>
      </c>
      <c r="P538" s="2251">
        <v>1</v>
      </c>
      <c r="Q538" s="2302">
        <f>+O538*P538</f>
        <v>10636.17</v>
      </c>
      <c r="R538" s="1658"/>
      <c r="S538" s="2253"/>
      <c r="T538" s="1695"/>
      <c r="U538" s="2253"/>
      <c r="V538" s="1695"/>
      <c r="W538" s="2253">
        <v>10636.17</v>
      </c>
      <c r="X538" s="2052"/>
      <c r="Y538" s="1695"/>
      <c r="Z538" s="1695"/>
      <c r="AA538" s="1695"/>
      <c r="AB538" s="1695"/>
      <c r="AC538" s="1695"/>
      <c r="AD538" s="1695"/>
      <c r="AE538" s="1695"/>
      <c r="AF538" s="1695"/>
      <c r="AG538" s="1282">
        <f>SUM(S538:AF538)</f>
        <v>10636.17</v>
      </c>
    </row>
    <row r="539" spans="1:33" ht="31.5" hidden="1">
      <c r="A539" s="1219">
        <v>442</v>
      </c>
      <c r="B539" s="1222" t="s">
        <v>46</v>
      </c>
      <c r="C539" s="1222" t="s">
        <v>974</v>
      </c>
      <c r="D539" s="1222"/>
      <c r="E539" s="1222"/>
      <c r="F539" s="1222"/>
      <c r="G539" s="1222"/>
      <c r="H539" s="1222"/>
      <c r="I539" s="1221" t="s">
        <v>169</v>
      </c>
      <c r="J539" s="1221"/>
      <c r="K539" s="1220"/>
      <c r="L539" s="1221"/>
      <c r="M539" s="1222"/>
      <c r="N539" s="1221"/>
      <c r="O539" s="1223"/>
      <c r="P539" s="1221"/>
      <c r="Q539" s="2829">
        <f>SUM(Q540:Q557)</f>
        <v>364000</v>
      </c>
      <c r="R539" s="1225"/>
      <c r="S539" s="1224"/>
      <c r="T539" s="1226"/>
      <c r="U539" s="1224">
        <f>SUM(U540:U557)</f>
        <v>95387.5</v>
      </c>
      <c r="V539" s="1224">
        <f>SUM(V540:V557)</f>
        <v>160950</v>
      </c>
      <c r="W539" s="1224">
        <f>SUM(W540:W557)</f>
        <v>35387.5</v>
      </c>
      <c r="X539" s="1224">
        <f>SUM(X540:X557)</f>
        <v>36887.5</v>
      </c>
      <c r="Y539" s="1224">
        <f>SUM(Y540:Y557)</f>
        <v>35387.5</v>
      </c>
      <c r="Z539" s="1226"/>
      <c r="AA539" s="1226"/>
      <c r="AB539" s="1226"/>
      <c r="AC539" s="1226"/>
      <c r="AD539" s="1226"/>
      <c r="AE539" s="1226"/>
      <c r="AF539" s="1226"/>
      <c r="AG539" s="1224">
        <f>SUM(S539:AF539)</f>
        <v>364000</v>
      </c>
    </row>
    <row r="540" spans="1:33" ht="31.5" hidden="1">
      <c r="A540" s="2248">
        <v>4421</v>
      </c>
      <c r="B540" s="2249" t="s">
        <v>999</v>
      </c>
      <c r="C540" s="2249" t="s">
        <v>974</v>
      </c>
      <c r="D540" s="2249"/>
      <c r="E540" s="2251">
        <v>150</v>
      </c>
      <c r="F540" s="2254">
        <v>43221</v>
      </c>
      <c r="G540" s="2254">
        <f>F540+E540+2</f>
        <v>43373</v>
      </c>
      <c r="H540" s="2249"/>
      <c r="I540" s="2251" t="s">
        <v>169</v>
      </c>
      <c r="J540" s="2251"/>
      <c r="K540" s="2250" t="s">
        <v>443</v>
      </c>
      <c r="L540" s="2251">
        <v>23171</v>
      </c>
      <c r="M540" s="2249"/>
      <c r="N540" s="2251"/>
      <c r="O540" s="2252">
        <v>17187.5</v>
      </c>
      <c r="P540" s="2251">
        <v>5</v>
      </c>
      <c r="Q540" s="2302">
        <f>O540*P540</f>
        <v>85937.5</v>
      </c>
      <c r="R540" s="1658"/>
      <c r="S540" s="2253"/>
      <c r="T540" s="1695"/>
      <c r="U540" s="2252">
        <v>17187.5</v>
      </c>
      <c r="V540" s="2252">
        <v>17187.5</v>
      </c>
      <c r="W540" s="2252">
        <v>17187.5</v>
      </c>
      <c r="X540" s="2252">
        <v>17187.5</v>
      </c>
      <c r="Y540" s="2252">
        <v>17187.5</v>
      </c>
      <c r="Z540" s="1695"/>
      <c r="AA540" s="1695"/>
      <c r="AB540" s="1695"/>
      <c r="AC540" s="1695"/>
      <c r="AD540" s="1695"/>
      <c r="AE540" s="1695"/>
      <c r="AF540" s="1695"/>
      <c r="AG540" s="1282">
        <f t="shared" ref="AG540:AG557" si="131">SUM(S540:AF540)</f>
        <v>85937.5</v>
      </c>
    </row>
    <row r="541" spans="1:33" ht="31.5" hidden="1">
      <c r="A541" s="2248">
        <v>4421</v>
      </c>
      <c r="B541" s="2249" t="s">
        <v>999</v>
      </c>
      <c r="C541" s="2249" t="s">
        <v>974</v>
      </c>
      <c r="D541" s="2249"/>
      <c r="E541" s="2251">
        <v>150</v>
      </c>
      <c r="F541" s="2254">
        <v>43221</v>
      </c>
      <c r="G541" s="2254">
        <f t="shared" ref="G541:G552" si="132">F541+E541+2</f>
        <v>43373</v>
      </c>
      <c r="H541" s="2249"/>
      <c r="I541" s="2251" t="s">
        <v>169</v>
      </c>
      <c r="J541" s="2251"/>
      <c r="K541" s="2250" t="s">
        <v>985</v>
      </c>
      <c r="L541" s="2251">
        <v>23172</v>
      </c>
      <c r="M541" s="2249"/>
      <c r="N541" s="2251"/>
      <c r="O541" s="2255">
        <v>700</v>
      </c>
      <c r="P541" s="1632">
        <v>5</v>
      </c>
      <c r="Q541" s="2302">
        <f t="shared" ref="Q541:Q557" si="133">O541*P541</f>
        <v>3500</v>
      </c>
      <c r="R541" s="1658"/>
      <c r="S541" s="2253"/>
      <c r="T541" s="1695"/>
      <c r="U541" s="2255">
        <v>700</v>
      </c>
      <c r="V541" s="2255">
        <v>700</v>
      </c>
      <c r="W541" s="2255">
        <v>700</v>
      </c>
      <c r="X541" s="2255">
        <v>700</v>
      </c>
      <c r="Y541" s="2255">
        <v>700</v>
      </c>
      <c r="Z541" s="1695"/>
      <c r="AA541" s="1695"/>
      <c r="AB541" s="1695"/>
      <c r="AC541" s="1695"/>
      <c r="AD541" s="1695"/>
      <c r="AE541" s="1695"/>
      <c r="AF541" s="1695"/>
      <c r="AG541" s="1282">
        <f t="shared" si="131"/>
        <v>3500</v>
      </c>
    </row>
    <row r="542" spans="1:33" ht="31.5" hidden="1">
      <c r="A542" s="2248">
        <v>4421</v>
      </c>
      <c r="B542" s="2249" t="s">
        <v>999</v>
      </c>
      <c r="C542" s="2249" t="s">
        <v>974</v>
      </c>
      <c r="D542" s="2249"/>
      <c r="E542" s="2251">
        <v>150</v>
      </c>
      <c r="F542" s="2254">
        <v>43221</v>
      </c>
      <c r="G542" s="2254">
        <f t="shared" si="132"/>
        <v>43373</v>
      </c>
      <c r="H542" s="2249"/>
      <c r="I542" s="2251" t="s">
        <v>169</v>
      </c>
      <c r="J542" s="2251"/>
      <c r="K542" s="2250" t="s">
        <v>987</v>
      </c>
      <c r="L542" s="2251">
        <v>23172</v>
      </c>
      <c r="M542" s="2249"/>
      <c r="N542" s="2251"/>
      <c r="O542" s="2255">
        <v>7000</v>
      </c>
      <c r="P542" s="1632">
        <v>5</v>
      </c>
      <c r="Q542" s="2302">
        <f t="shared" si="133"/>
        <v>35000</v>
      </c>
      <c r="R542" s="1658"/>
      <c r="S542" s="2253"/>
      <c r="T542" s="1695"/>
      <c r="U542" s="2255">
        <v>7000</v>
      </c>
      <c r="V542" s="2255">
        <v>7000</v>
      </c>
      <c r="W542" s="2255">
        <v>7000</v>
      </c>
      <c r="X542" s="2255">
        <v>7000</v>
      </c>
      <c r="Y542" s="2255">
        <v>7000</v>
      </c>
      <c r="Z542" s="1695"/>
      <c r="AA542" s="1695"/>
      <c r="AB542" s="1695"/>
      <c r="AC542" s="1695"/>
      <c r="AD542" s="1695"/>
      <c r="AE542" s="1695"/>
      <c r="AF542" s="1695"/>
      <c r="AG542" s="1282">
        <f t="shared" si="131"/>
        <v>35000</v>
      </c>
    </row>
    <row r="543" spans="1:33" ht="31.5" hidden="1">
      <c r="A543" s="2248">
        <v>4421</v>
      </c>
      <c r="B543" s="2249" t="s">
        <v>999</v>
      </c>
      <c r="C543" s="2249" t="s">
        <v>974</v>
      </c>
      <c r="D543" s="2249"/>
      <c r="E543" s="2251">
        <v>150</v>
      </c>
      <c r="F543" s="2254">
        <v>43221</v>
      </c>
      <c r="G543" s="2254">
        <f t="shared" si="132"/>
        <v>43373</v>
      </c>
      <c r="H543" s="2249"/>
      <c r="I543" s="2251" t="s">
        <v>169</v>
      </c>
      <c r="J543" s="2251"/>
      <c r="K543" s="2250" t="s">
        <v>1004</v>
      </c>
      <c r="L543" s="2251">
        <v>23173</v>
      </c>
      <c r="M543" s="2249"/>
      <c r="N543" s="2251"/>
      <c r="O543" s="2255">
        <v>1700</v>
      </c>
      <c r="P543" s="1632">
        <v>5</v>
      </c>
      <c r="Q543" s="2302">
        <f t="shared" si="133"/>
        <v>8500</v>
      </c>
      <c r="R543" s="1658"/>
      <c r="S543" s="2253"/>
      <c r="T543" s="1695"/>
      <c r="U543" s="2255">
        <v>1700</v>
      </c>
      <c r="V543" s="2255">
        <v>1700</v>
      </c>
      <c r="W543" s="2255">
        <v>1700</v>
      </c>
      <c r="X543" s="2255">
        <v>1700</v>
      </c>
      <c r="Y543" s="2255">
        <v>1700</v>
      </c>
      <c r="Z543" s="1695"/>
      <c r="AA543" s="1695"/>
      <c r="AB543" s="1695"/>
      <c r="AC543" s="1695"/>
      <c r="AD543" s="1695"/>
      <c r="AE543" s="1695"/>
      <c r="AF543" s="1695"/>
      <c r="AG543" s="1282">
        <f t="shared" si="131"/>
        <v>8500</v>
      </c>
    </row>
    <row r="544" spans="1:33" ht="31.5" hidden="1">
      <c r="A544" s="2248">
        <v>4421</v>
      </c>
      <c r="B544" s="2249" t="s">
        <v>999</v>
      </c>
      <c r="C544" s="2249" t="s">
        <v>974</v>
      </c>
      <c r="D544" s="2249"/>
      <c r="E544" s="2251">
        <v>150</v>
      </c>
      <c r="F544" s="2254">
        <v>43221</v>
      </c>
      <c r="G544" s="2254">
        <f t="shared" si="132"/>
        <v>43373</v>
      </c>
      <c r="H544" s="2249"/>
      <c r="I544" s="2251" t="s">
        <v>169</v>
      </c>
      <c r="J544" s="2251"/>
      <c r="K544" s="2250" t="s">
        <v>1005</v>
      </c>
      <c r="L544" s="2251">
        <v>23175</v>
      </c>
      <c r="M544" s="2249"/>
      <c r="N544" s="2251"/>
      <c r="O544" s="2255">
        <v>1000</v>
      </c>
      <c r="P544" s="1632">
        <v>5</v>
      </c>
      <c r="Q544" s="2302">
        <f t="shared" si="133"/>
        <v>5000</v>
      </c>
      <c r="R544" s="1658"/>
      <c r="S544" s="2253"/>
      <c r="T544" s="1695"/>
      <c r="U544" s="2255">
        <v>1000</v>
      </c>
      <c r="V544" s="2255">
        <v>1000</v>
      </c>
      <c r="W544" s="2255">
        <v>1000</v>
      </c>
      <c r="X544" s="2255">
        <v>1000</v>
      </c>
      <c r="Y544" s="2255">
        <v>1000</v>
      </c>
      <c r="Z544" s="1695"/>
      <c r="AA544" s="1695"/>
      <c r="AB544" s="1695"/>
      <c r="AC544" s="1695"/>
      <c r="AD544" s="1695"/>
      <c r="AE544" s="1695"/>
      <c r="AF544" s="1695"/>
      <c r="AG544" s="1282">
        <f t="shared" si="131"/>
        <v>5000</v>
      </c>
    </row>
    <row r="545" spans="1:33" ht="31.5" hidden="1">
      <c r="A545" s="2248">
        <v>4421</v>
      </c>
      <c r="B545" s="2249" t="s">
        <v>999</v>
      </c>
      <c r="C545" s="2249" t="s">
        <v>974</v>
      </c>
      <c r="D545" s="2249"/>
      <c r="E545" s="2251">
        <v>150</v>
      </c>
      <c r="F545" s="2254">
        <v>43221</v>
      </c>
      <c r="G545" s="2254">
        <f t="shared" si="132"/>
        <v>43373</v>
      </c>
      <c r="H545" s="2249"/>
      <c r="I545" s="2251" t="s">
        <v>169</v>
      </c>
      <c r="J545" s="2251"/>
      <c r="K545" s="2250" t="s">
        <v>255</v>
      </c>
      <c r="L545" s="2251">
        <v>23173</v>
      </c>
      <c r="M545" s="2249"/>
      <c r="N545" s="2251"/>
      <c r="O545" s="2255">
        <v>2500</v>
      </c>
      <c r="P545" s="1632">
        <v>5</v>
      </c>
      <c r="Q545" s="2302">
        <f t="shared" si="133"/>
        <v>12500</v>
      </c>
      <c r="R545" s="1658"/>
      <c r="S545" s="2253"/>
      <c r="T545" s="1695"/>
      <c r="U545" s="2255">
        <v>2500</v>
      </c>
      <c r="V545" s="2255">
        <v>2500</v>
      </c>
      <c r="W545" s="2255">
        <v>2500</v>
      </c>
      <c r="X545" s="2255">
        <v>2500</v>
      </c>
      <c r="Y545" s="2255">
        <v>2500</v>
      </c>
      <c r="Z545" s="1695"/>
      <c r="AA545" s="1695"/>
      <c r="AB545" s="1695"/>
      <c r="AC545" s="1695"/>
      <c r="AD545" s="1695"/>
      <c r="AE545" s="1695"/>
      <c r="AF545" s="1695"/>
      <c r="AG545" s="1282">
        <f t="shared" si="131"/>
        <v>12500</v>
      </c>
    </row>
    <row r="546" spans="1:33" ht="31.5" hidden="1">
      <c r="A546" s="2248">
        <v>4421</v>
      </c>
      <c r="B546" s="2249" t="s">
        <v>999</v>
      </c>
      <c r="C546" s="2249" t="s">
        <v>974</v>
      </c>
      <c r="D546" s="2249"/>
      <c r="E546" s="2251">
        <v>150</v>
      </c>
      <c r="F546" s="2254">
        <v>43221</v>
      </c>
      <c r="G546" s="2254">
        <f t="shared" si="132"/>
        <v>43373</v>
      </c>
      <c r="H546" s="2249"/>
      <c r="I546" s="2251" t="s">
        <v>169</v>
      </c>
      <c r="J546" s="2251"/>
      <c r="K546" s="2250" t="s">
        <v>989</v>
      </c>
      <c r="L546" s="2251">
        <v>23172</v>
      </c>
      <c r="M546" s="2249"/>
      <c r="N546" s="2251"/>
      <c r="O546" s="2255">
        <v>200</v>
      </c>
      <c r="P546" s="1632">
        <v>5</v>
      </c>
      <c r="Q546" s="2302">
        <f t="shared" si="133"/>
        <v>1000</v>
      </c>
      <c r="R546" s="1658"/>
      <c r="S546" s="2253"/>
      <c r="T546" s="1695"/>
      <c r="U546" s="2255">
        <v>200</v>
      </c>
      <c r="V546" s="2255">
        <v>200</v>
      </c>
      <c r="W546" s="2255">
        <v>200</v>
      </c>
      <c r="X546" s="2255">
        <v>200</v>
      </c>
      <c r="Y546" s="2255">
        <v>200</v>
      </c>
      <c r="Z546" s="1695"/>
      <c r="AA546" s="1695"/>
      <c r="AB546" s="1695"/>
      <c r="AC546" s="1695"/>
      <c r="AD546" s="1695"/>
      <c r="AE546" s="1695"/>
      <c r="AF546" s="1695"/>
      <c r="AG546" s="1282">
        <f t="shared" si="131"/>
        <v>1000</v>
      </c>
    </row>
    <row r="547" spans="1:33" ht="31.5" hidden="1">
      <c r="A547" s="2248">
        <v>4421</v>
      </c>
      <c r="B547" s="2249" t="s">
        <v>999</v>
      </c>
      <c r="C547" s="2249" t="s">
        <v>974</v>
      </c>
      <c r="D547" s="2249"/>
      <c r="E547" s="2251">
        <v>150</v>
      </c>
      <c r="F547" s="2254">
        <v>43221</v>
      </c>
      <c r="G547" s="2254">
        <f t="shared" si="132"/>
        <v>43373</v>
      </c>
      <c r="H547" s="2249"/>
      <c r="I547" s="2251" t="s">
        <v>169</v>
      </c>
      <c r="J547" s="2251"/>
      <c r="K547" s="2250" t="s">
        <v>990</v>
      </c>
      <c r="L547" s="2251">
        <v>23172</v>
      </c>
      <c r="M547" s="2249"/>
      <c r="N547" s="2251"/>
      <c r="O547" s="2255">
        <v>2500</v>
      </c>
      <c r="P547" s="1632">
        <v>5</v>
      </c>
      <c r="Q547" s="2302">
        <f t="shared" si="133"/>
        <v>12500</v>
      </c>
      <c r="R547" s="1658"/>
      <c r="S547" s="2253"/>
      <c r="T547" s="1695"/>
      <c r="U547" s="2255">
        <v>2500</v>
      </c>
      <c r="V547" s="2255">
        <v>2500</v>
      </c>
      <c r="W547" s="2255">
        <v>2500</v>
      </c>
      <c r="X547" s="2255">
        <v>2500</v>
      </c>
      <c r="Y547" s="2255">
        <v>2500</v>
      </c>
      <c r="Z547" s="1695"/>
      <c r="AA547" s="1695"/>
      <c r="AB547" s="1695"/>
      <c r="AC547" s="1695"/>
      <c r="AD547" s="1695"/>
      <c r="AE547" s="1695"/>
      <c r="AF547" s="1695"/>
      <c r="AG547" s="1282">
        <f t="shared" si="131"/>
        <v>12500</v>
      </c>
    </row>
    <row r="548" spans="1:33" ht="31.5" hidden="1">
      <c r="A548" s="2248">
        <v>4421</v>
      </c>
      <c r="B548" s="2249" t="s">
        <v>999</v>
      </c>
      <c r="C548" s="2249" t="s">
        <v>974</v>
      </c>
      <c r="D548" s="2249"/>
      <c r="E548" s="2251">
        <v>150</v>
      </c>
      <c r="F548" s="2254">
        <v>43221</v>
      </c>
      <c r="G548" s="2254">
        <f t="shared" si="132"/>
        <v>43373</v>
      </c>
      <c r="H548" s="2249"/>
      <c r="I548" s="2251" t="s">
        <v>169</v>
      </c>
      <c r="J548" s="2251"/>
      <c r="K548" s="2250" t="s">
        <v>991</v>
      </c>
      <c r="L548" s="2251">
        <v>23173</v>
      </c>
      <c r="M548" s="2249"/>
      <c r="N548" s="2251"/>
      <c r="O548" s="2255">
        <v>300</v>
      </c>
      <c r="P548" s="1632">
        <v>5</v>
      </c>
      <c r="Q548" s="2302">
        <f t="shared" si="133"/>
        <v>1500</v>
      </c>
      <c r="R548" s="1658"/>
      <c r="S548" s="2253"/>
      <c r="T548" s="1695"/>
      <c r="U548" s="2255">
        <v>300</v>
      </c>
      <c r="V548" s="2255">
        <v>300</v>
      </c>
      <c r="W548" s="2255">
        <v>300</v>
      </c>
      <c r="X548" s="2255">
        <v>300</v>
      </c>
      <c r="Y548" s="2255">
        <v>300</v>
      </c>
      <c r="Z548" s="1695"/>
      <c r="AA548" s="1695"/>
      <c r="AB548" s="1695"/>
      <c r="AC548" s="1695"/>
      <c r="AD548" s="1695"/>
      <c r="AE548" s="1695"/>
      <c r="AF548" s="1695"/>
      <c r="AG548" s="1282">
        <f t="shared" si="131"/>
        <v>1500</v>
      </c>
    </row>
    <row r="549" spans="1:33" ht="31.5" hidden="1">
      <c r="A549" s="2248">
        <v>4421</v>
      </c>
      <c r="B549" s="2249" t="s">
        <v>999</v>
      </c>
      <c r="C549" s="2249" t="s">
        <v>974</v>
      </c>
      <c r="D549" s="2249"/>
      <c r="E549" s="2251">
        <v>150</v>
      </c>
      <c r="F549" s="2254">
        <v>43221</v>
      </c>
      <c r="G549" s="2254">
        <f t="shared" si="132"/>
        <v>43373</v>
      </c>
      <c r="H549" s="2249"/>
      <c r="I549" s="2251" t="s">
        <v>169</v>
      </c>
      <c r="J549" s="2251"/>
      <c r="K549" s="2250" t="s">
        <v>992</v>
      </c>
      <c r="L549" s="2251">
        <v>23173</v>
      </c>
      <c r="M549" s="2249"/>
      <c r="N549" s="2251"/>
      <c r="O549" s="2255">
        <v>100</v>
      </c>
      <c r="P549" s="1632">
        <v>5</v>
      </c>
      <c r="Q549" s="2302">
        <f t="shared" si="133"/>
        <v>500</v>
      </c>
      <c r="R549" s="1658"/>
      <c r="S549" s="2253"/>
      <c r="T549" s="1695"/>
      <c r="U549" s="2255">
        <v>100</v>
      </c>
      <c r="V549" s="2255">
        <v>100</v>
      </c>
      <c r="W549" s="2255">
        <v>100</v>
      </c>
      <c r="X549" s="2255">
        <v>100</v>
      </c>
      <c r="Y549" s="2255">
        <v>100</v>
      </c>
      <c r="Z549" s="1695"/>
      <c r="AA549" s="1695"/>
      <c r="AB549" s="1695"/>
      <c r="AC549" s="1695"/>
      <c r="AD549" s="1695"/>
      <c r="AE549" s="1695"/>
      <c r="AF549" s="1695"/>
      <c r="AG549" s="1282">
        <f t="shared" si="131"/>
        <v>500</v>
      </c>
    </row>
    <row r="550" spans="1:33" ht="31.5" hidden="1">
      <c r="A550" s="2248">
        <v>4421</v>
      </c>
      <c r="B550" s="2249" t="s">
        <v>999</v>
      </c>
      <c r="C550" s="2249" t="s">
        <v>974</v>
      </c>
      <c r="D550" s="2249"/>
      <c r="E550" s="2251">
        <v>150</v>
      </c>
      <c r="F550" s="2254">
        <v>43221</v>
      </c>
      <c r="G550" s="2254">
        <f t="shared" si="132"/>
        <v>43373</v>
      </c>
      <c r="H550" s="2249"/>
      <c r="I550" s="2251" t="s">
        <v>169</v>
      </c>
      <c r="J550" s="2251"/>
      <c r="K550" s="2250" t="s">
        <v>1006</v>
      </c>
      <c r="L550" s="2251">
        <v>23174</v>
      </c>
      <c r="M550" s="2249"/>
      <c r="N550" s="2251"/>
      <c r="O550" s="2255">
        <v>2000</v>
      </c>
      <c r="P550" s="1632">
        <v>3</v>
      </c>
      <c r="Q550" s="2302">
        <f t="shared" si="133"/>
        <v>6000</v>
      </c>
      <c r="R550" s="1658"/>
      <c r="S550" s="2253"/>
      <c r="T550" s="1695"/>
      <c r="U550" s="2255">
        <v>2000</v>
      </c>
      <c r="V550" s="2255"/>
      <c r="W550" s="2255">
        <v>2000</v>
      </c>
      <c r="X550" s="2255"/>
      <c r="Y550" s="2255">
        <v>2000</v>
      </c>
      <c r="Z550" s="1695"/>
      <c r="AA550" s="1695"/>
      <c r="AB550" s="1695"/>
      <c r="AC550" s="1695"/>
      <c r="AD550" s="1695"/>
      <c r="AE550" s="1695"/>
      <c r="AF550" s="1695"/>
      <c r="AG550" s="1282">
        <f t="shared" si="131"/>
        <v>6000</v>
      </c>
    </row>
    <row r="551" spans="1:33" ht="31.5" hidden="1">
      <c r="A551" s="2248">
        <v>4421</v>
      </c>
      <c r="B551" s="2249" t="s">
        <v>999</v>
      </c>
      <c r="C551" s="2249" t="s">
        <v>974</v>
      </c>
      <c r="D551" s="2249"/>
      <c r="E551" s="2251">
        <v>150</v>
      </c>
      <c r="F551" s="2254">
        <v>43221</v>
      </c>
      <c r="G551" s="2254">
        <f t="shared" si="132"/>
        <v>43373</v>
      </c>
      <c r="H551" s="2249"/>
      <c r="I551" s="2251" t="s">
        <v>169</v>
      </c>
      <c r="J551" s="2251"/>
      <c r="K551" s="2250" t="s">
        <v>993</v>
      </c>
      <c r="L551" s="2251">
        <v>23173</v>
      </c>
      <c r="M551" s="2249"/>
      <c r="N551" s="2251"/>
      <c r="O551" s="2255">
        <v>200</v>
      </c>
      <c r="P551" s="1632">
        <v>5</v>
      </c>
      <c r="Q551" s="2302">
        <f t="shared" si="133"/>
        <v>1000</v>
      </c>
      <c r="R551" s="1658"/>
      <c r="S551" s="2253"/>
      <c r="T551" s="1695"/>
      <c r="U551" s="2255">
        <v>200</v>
      </c>
      <c r="V551" s="2255">
        <v>200</v>
      </c>
      <c r="W551" s="2255">
        <v>200</v>
      </c>
      <c r="X551" s="2255">
        <v>200</v>
      </c>
      <c r="Y551" s="2255">
        <v>200</v>
      </c>
      <c r="Z551" s="1695"/>
      <c r="AA551" s="1695"/>
      <c r="AB551" s="1695"/>
      <c r="AC551" s="1695"/>
      <c r="AD551" s="1695"/>
      <c r="AE551" s="1695"/>
      <c r="AF551" s="1695"/>
      <c r="AG551" s="1282">
        <f t="shared" si="131"/>
        <v>1000</v>
      </c>
    </row>
    <row r="552" spans="1:33" ht="31.5" hidden="1">
      <c r="A552" s="2248">
        <v>4421</v>
      </c>
      <c r="B552" s="2249" t="s">
        <v>999</v>
      </c>
      <c r="C552" s="2249" t="s">
        <v>974</v>
      </c>
      <c r="D552" s="2249"/>
      <c r="E552" s="2251">
        <v>150</v>
      </c>
      <c r="F552" s="2254">
        <v>43221</v>
      </c>
      <c r="G552" s="2254">
        <f t="shared" si="132"/>
        <v>43373</v>
      </c>
      <c r="H552" s="2249"/>
      <c r="I552" s="2251" t="s">
        <v>169</v>
      </c>
      <c r="J552" s="2251"/>
      <c r="K552" s="2250" t="s">
        <v>994</v>
      </c>
      <c r="L552" s="2251">
        <v>23174</v>
      </c>
      <c r="M552" s="2249"/>
      <c r="N552" s="2251"/>
      <c r="O552" s="2255">
        <v>3500</v>
      </c>
      <c r="P552" s="1632">
        <v>2</v>
      </c>
      <c r="Q552" s="2302">
        <f t="shared" si="133"/>
        <v>7000</v>
      </c>
      <c r="R552" s="1658"/>
      <c r="S552" s="2253"/>
      <c r="T552" s="1695"/>
      <c r="U552" s="1695"/>
      <c r="V552" s="2255">
        <v>3500</v>
      </c>
      <c r="W552" s="1695"/>
      <c r="X552" s="2255">
        <v>3500</v>
      </c>
      <c r="Y552" s="1695"/>
      <c r="Z552" s="1695"/>
      <c r="AA552" s="1695"/>
      <c r="AB552" s="1695"/>
      <c r="AC552" s="1695"/>
      <c r="AD552" s="1695"/>
      <c r="AE552" s="1695"/>
      <c r="AF552" s="1695"/>
      <c r="AG552" s="1282">
        <f t="shared" si="131"/>
        <v>7000</v>
      </c>
    </row>
    <row r="553" spans="1:33" ht="31.5" hidden="1">
      <c r="A553" s="2248">
        <v>4422</v>
      </c>
      <c r="B553" s="2249" t="s">
        <v>1068</v>
      </c>
      <c r="C553" s="2249" t="s">
        <v>1069</v>
      </c>
      <c r="D553" s="2249"/>
      <c r="E553" s="2251">
        <v>30</v>
      </c>
      <c r="F553" s="2254">
        <v>43221</v>
      </c>
      <c r="G553" s="2254">
        <f>F553+E553</f>
        <v>43251</v>
      </c>
      <c r="H553" s="2249"/>
      <c r="I553" s="2251" t="s">
        <v>169</v>
      </c>
      <c r="J553" s="2251"/>
      <c r="K553" s="2250" t="s">
        <v>1075</v>
      </c>
      <c r="L553" s="2251">
        <v>23174</v>
      </c>
      <c r="M553" s="2249"/>
      <c r="N553" s="2251"/>
      <c r="O553" s="2252">
        <v>10000</v>
      </c>
      <c r="P553" s="2251">
        <v>1</v>
      </c>
      <c r="Q553" s="2302">
        <f t="shared" si="133"/>
        <v>10000</v>
      </c>
      <c r="R553" s="1658"/>
      <c r="S553" s="2253"/>
      <c r="T553" s="1695"/>
      <c r="U553" s="2253">
        <v>10000</v>
      </c>
      <c r="V553" s="1695"/>
      <c r="W553" s="1695"/>
      <c r="X553" s="2052"/>
      <c r="Y553" s="1695"/>
      <c r="Z553" s="1695"/>
      <c r="AA553" s="1695"/>
      <c r="AB553" s="1695"/>
      <c r="AC553" s="1695"/>
      <c r="AD553" s="1695"/>
      <c r="AE553" s="1695"/>
      <c r="AF553" s="1695"/>
      <c r="AG553" s="1282">
        <f t="shared" si="131"/>
        <v>10000</v>
      </c>
    </row>
    <row r="554" spans="1:33" hidden="1">
      <c r="A554" s="2248">
        <v>4423</v>
      </c>
      <c r="B554" s="2249" t="s">
        <v>1070</v>
      </c>
      <c r="C554" s="2249" t="s">
        <v>1071</v>
      </c>
      <c r="D554" s="2249"/>
      <c r="E554" s="2251">
        <v>30</v>
      </c>
      <c r="F554" s="2254">
        <v>43252</v>
      </c>
      <c r="G554" s="2254">
        <f>F554+E554-1</f>
        <v>43281</v>
      </c>
      <c r="H554" s="2249"/>
      <c r="I554" s="2251" t="s">
        <v>169</v>
      </c>
      <c r="J554" s="2251"/>
      <c r="K554" s="2256" t="s">
        <v>1076</v>
      </c>
      <c r="L554" s="2251">
        <v>23174</v>
      </c>
      <c r="M554" s="2249"/>
      <c r="N554" s="2251"/>
      <c r="O554" s="2252">
        <v>10000</v>
      </c>
      <c r="P554" s="2251">
        <v>1</v>
      </c>
      <c r="Q554" s="2302">
        <f t="shared" si="133"/>
        <v>10000</v>
      </c>
      <c r="R554" s="1658"/>
      <c r="S554" s="2251"/>
      <c r="T554" s="1695"/>
      <c r="U554" s="1695"/>
      <c r="V554" s="2253">
        <v>10000</v>
      </c>
      <c r="W554" s="1695"/>
      <c r="X554" s="2052"/>
      <c r="Y554" s="1695"/>
      <c r="Z554" s="1695"/>
      <c r="AA554" s="1695"/>
      <c r="AB554" s="1695"/>
      <c r="AC554" s="1695"/>
      <c r="AD554" s="1695"/>
      <c r="AE554" s="1695"/>
      <c r="AF554" s="1695"/>
      <c r="AG554" s="1282">
        <f t="shared" si="131"/>
        <v>10000</v>
      </c>
    </row>
    <row r="555" spans="1:33" hidden="1">
      <c r="A555" s="2248">
        <v>4424</v>
      </c>
      <c r="B555" s="2249" t="s">
        <v>1002</v>
      </c>
      <c r="C555" s="2249" t="s">
        <v>1072</v>
      </c>
      <c r="D555" s="2249"/>
      <c r="E555" s="2251">
        <v>30</v>
      </c>
      <c r="F555" s="2254">
        <v>43221</v>
      </c>
      <c r="G555" s="2254">
        <f>F555+E555</f>
        <v>43251</v>
      </c>
      <c r="H555" s="2249"/>
      <c r="I555" s="2251" t="s">
        <v>169</v>
      </c>
      <c r="J555" s="2251"/>
      <c r="K555" s="2256" t="s">
        <v>1077</v>
      </c>
      <c r="L555" s="2251">
        <v>23173</v>
      </c>
      <c r="M555" s="2249"/>
      <c r="N555" s="2251"/>
      <c r="O555" s="2252">
        <v>5000</v>
      </c>
      <c r="P555" s="2251">
        <v>1</v>
      </c>
      <c r="Q555" s="2302">
        <v>5000</v>
      </c>
      <c r="R555" s="1658"/>
      <c r="S555" s="2251"/>
      <c r="T555" s="1695"/>
      <c r="U555" s="2253">
        <v>5000</v>
      </c>
      <c r="V555" s="1695"/>
      <c r="W555" s="1695"/>
      <c r="X555" s="2052"/>
      <c r="Y555" s="1695"/>
      <c r="Z555" s="1695"/>
      <c r="AA555" s="1695"/>
      <c r="AB555" s="1695"/>
      <c r="AC555" s="1695"/>
      <c r="AD555" s="1695"/>
      <c r="AE555" s="1695"/>
      <c r="AF555" s="1695"/>
      <c r="AG555" s="1282">
        <f t="shared" si="131"/>
        <v>5000</v>
      </c>
    </row>
    <row r="556" spans="1:33" hidden="1">
      <c r="A556" s="2248">
        <v>4425</v>
      </c>
      <c r="B556" s="2249" t="s">
        <v>1003</v>
      </c>
      <c r="C556" s="2249" t="s">
        <v>1073</v>
      </c>
      <c r="D556" s="2249"/>
      <c r="E556" s="2251">
        <v>30</v>
      </c>
      <c r="F556" s="2254">
        <v>43221</v>
      </c>
      <c r="G556" s="2254">
        <f>F556+E556</f>
        <v>43251</v>
      </c>
      <c r="H556" s="2249"/>
      <c r="I556" s="2251" t="s">
        <v>169</v>
      </c>
      <c r="J556" s="2251"/>
      <c r="K556" s="2256" t="s">
        <v>1078</v>
      </c>
      <c r="L556" s="2251">
        <v>23173</v>
      </c>
      <c r="M556" s="2249"/>
      <c r="N556" s="2251"/>
      <c r="O556" s="2252">
        <v>45000</v>
      </c>
      <c r="P556" s="2251">
        <v>1</v>
      </c>
      <c r="Q556" s="2302">
        <f t="shared" si="133"/>
        <v>45000</v>
      </c>
      <c r="R556" s="1658"/>
      <c r="S556" s="2251"/>
      <c r="T556" s="1695"/>
      <c r="U556" s="2253">
        <v>45000</v>
      </c>
      <c r="V556" s="1695"/>
      <c r="W556" s="1695"/>
      <c r="X556" s="2052"/>
      <c r="Y556" s="1695"/>
      <c r="Z556" s="1695"/>
      <c r="AA556" s="1695"/>
      <c r="AB556" s="1695"/>
      <c r="AC556" s="1695"/>
      <c r="AD556" s="1695"/>
      <c r="AE556" s="1695"/>
      <c r="AF556" s="1695"/>
      <c r="AG556" s="1282">
        <f t="shared" si="131"/>
        <v>45000</v>
      </c>
    </row>
    <row r="557" spans="1:33" ht="19.5" hidden="1">
      <c r="A557" s="2248">
        <v>4426</v>
      </c>
      <c r="B557" s="2260" t="s">
        <v>1074</v>
      </c>
      <c r="C557" s="2257"/>
      <c r="D557" s="2257"/>
      <c r="E557" s="2257"/>
      <c r="F557" s="2257"/>
      <c r="G557" s="2257"/>
      <c r="H557" s="2257"/>
      <c r="I557" s="2258"/>
      <c r="J557" s="2258"/>
      <c r="K557" s="2259"/>
      <c r="L557" s="2262">
        <v>2318</v>
      </c>
      <c r="M557" s="2257"/>
      <c r="N557" s="2258"/>
      <c r="O557" s="2252">
        <v>114062.5</v>
      </c>
      <c r="P557" s="2251">
        <v>1</v>
      </c>
      <c r="Q557" s="2830">
        <f t="shared" si="133"/>
        <v>114062.5</v>
      </c>
      <c r="R557" s="1658"/>
      <c r="S557" s="2251"/>
      <c r="T557" s="2261"/>
      <c r="U557" s="2252"/>
      <c r="V557" s="2252">
        <v>114062.5</v>
      </c>
      <c r="W557" s="1695"/>
      <c r="X557" s="2052"/>
      <c r="Y557" s="2252"/>
      <c r="Z557" s="1695"/>
      <c r="AA557" s="1695"/>
      <c r="AB557" s="1695"/>
      <c r="AC557" s="1695"/>
      <c r="AD557" s="1695"/>
      <c r="AE557" s="1695"/>
      <c r="AF557" s="1695"/>
      <c r="AG557" s="1282">
        <f t="shared" si="131"/>
        <v>114062.5</v>
      </c>
    </row>
    <row r="558" spans="1:33" ht="29.25" customHeight="1">
      <c r="A558" s="3399" t="s">
        <v>969</v>
      </c>
      <c r="B558" s="3399"/>
      <c r="C558" s="3399"/>
      <c r="D558" s="3399"/>
      <c r="E558" s="3399"/>
      <c r="F558" s="3399"/>
      <c r="G558" s="3399"/>
      <c r="H558" s="3399"/>
      <c r="I558" s="3399"/>
      <c r="J558" s="1213"/>
      <c r="K558" s="1214"/>
      <c r="L558" s="1213"/>
      <c r="M558" s="1215"/>
      <c r="N558" s="1213"/>
      <c r="O558" s="1216"/>
      <c r="P558" s="1213"/>
      <c r="Q558" s="1218">
        <f>Q559</f>
        <v>322694</v>
      </c>
      <c r="R558" s="1218">
        <v>322694</v>
      </c>
      <c r="S558" s="1217">
        <f t="shared" ref="S558:AF559" si="134">S559</f>
        <v>0</v>
      </c>
      <c r="T558" s="1217">
        <f t="shared" si="134"/>
        <v>322694</v>
      </c>
      <c r="U558" s="1217">
        <f t="shared" si="134"/>
        <v>0</v>
      </c>
      <c r="V558" s="1217">
        <f t="shared" si="134"/>
        <v>0</v>
      </c>
      <c r="W558" s="1217">
        <f t="shared" si="134"/>
        <v>0</v>
      </c>
      <c r="X558" s="1217">
        <f t="shared" si="134"/>
        <v>0</v>
      </c>
      <c r="Y558" s="1217">
        <f t="shared" si="134"/>
        <v>0</v>
      </c>
      <c r="Z558" s="1217">
        <f t="shared" si="134"/>
        <v>0</v>
      </c>
      <c r="AA558" s="1217">
        <f t="shared" si="134"/>
        <v>0</v>
      </c>
      <c r="AB558" s="1217">
        <f t="shared" si="134"/>
        <v>0</v>
      </c>
      <c r="AC558" s="1217">
        <f t="shared" si="134"/>
        <v>0</v>
      </c>
      <c r="AD558" s="1217">
        <f t="shared" si="134"/>
        <v>0</v>
      </c>
      <c r="AE558" s="1217">
        <f t="shared" si="134"/>
        <v>0</v>
      </c>
      <c r="AF558" s="1217">
        <f t="shared" si="134"/>
        <v>0</v>
      </c>
      <c r="AG558" s="1217">
        <f>SUM(S558:AF558)</f>
        <v>322694</v>
      </c>
    </row>
    <row r="559" spans="1:33" ht="15" hidden="1" customHeight="1">
      <c r="A559" s="1219">
        <v>451</v>
      </c>
      <c r="B559" s="1222" t="s">
        <v>970</v>
      </c>
      <c r="C559" s="1222" t="s">
        <v>998</v>
      </c>
      <c r="D559" s="1222"/>
      <c r="E559" s="1222"/>
      <c r="F559" s="1222"/>
      <c r="G559" s="1222"/>
      <c r="H559" s="1222"/>
      <c r="I559" s="1221" t="s">
        <v>169</v>
      </c>
      <c r="J559" s="1221"/>
      <c r="K559" s="1220"/>
      <c r="L559" s="1221"/>
      <c r="M559" s="1222"/>
      <c r="N559" s="1221"/>
      <c r="O559" s="1223"/>
      <c r="P559" s="1221"/>
      <c r="Q559" s="2829">
        <f>Q560</f>
        <v>322694</v>
      </c>
      <c r="R559" s="1225"/>
      <c r="S559" s="1224">
        <f>S560</f>
        <v>0</v>
      </c>
      <c r="T559" s="1224">
        <f t="shared" si="134"/>
        <v>322694</v>
      </c>
      <c r="U559" s="1224">
        <f t="shared" si="134"/>
        <v>0</v>
      </c>
      <c r="V559" s="1224">
        <f t="shared" si="134"/>
        <v>0</v>
      </c>
      <c r="W559" s="1224">
        <f t="shared" si="134"/>
        <v>0</v>
      </c>
      <c r="X559" s="1224">
        <f t="shared" si="134"/>
        <v>0</v>
      </c>
      <c r="Y559" s="1224">
        <f t="shared" si="134"/>
        <v>0</v>
      </c>
      <c r="Z559" s="1224">
        <f t="shared" si="134"/>
        <v>0</v>
      </c>
      <c r="AA559" s="1224">
        <f t="shared" si="134"/>
        <v>0</v>
      </c>
      <c r="AB559" s="1224">
        <f t="shared" si="134"/>
        <v>0</v>
      </c>
      <c r="AC559" s="1224">
        <f t="shared" si="134"/>
        <v>0</v>
      </c>
      <c r="AD559" s="1224">
        <f t="shared" si="134"/>
        <v>0</v>
      </c>
      <c r="AE559" s="1224">
        <f t="shared" si="134"/>
        <v>0</v>
      </c>
      <c r="AF559" s="1224">
        <f t="shared" si="134"/>
        <v>0</v>
      </c>
      <c r="AG559" s="1224">
        <f>SUM(S559:AF559)</f>
        <v>322694</v>
      </c>
    </row>
    <row r="560" spans="1:33" ht="27.75" hidden="1" customHeight="1">
      <c r="A560" s="2248">
        <v>4511</v>
      </c>
      <c r="B560" s="2249" t="s">
        <v>970</v>
      </c>
      <c r="C560" s="2249" t="s">
        <v>998</v>
      </c>
      <c r="D560" s="2249"/>
      <c r="E560" s="2249"/>
      <c r="F560" s="2249"/>
      <c r="G560" s="2249"/>
      <c r="H560" s="2249"/>
      <c r="I560" s="2251" t="s">
        <v>169</v>
      </c>
      <c r="J560" s="2251"/>
      <c r="K560" s="2250"/>
      <c r="L560" s="2251">
        <v>2318</v>
      </c>
      <c r="M560" s="2249"/>
      <c r="N560" s="2251"/>
      <c r="O560" s="2253">
        <v>322694</v>
      </c>
      <c r="P560" s="2251">
        <v>1</v>
      </c>
      <c r="Q560" s="2302">
        <f>+O560*P560</f>
        <v>322694</v>
      </c>
      <c r="R560" s="1658"/>
      <c r="S560" s="2253"/>
      <c r="T560" s="2253">
        <v>322694</v>
      </c>
      <c r="U560" s="1695"/>
      <c r="V560" s="1695"/>
      <c r="W560" s="1695"/>
      <c r="X560" s="2052"/>
      <c r="Y560" s="1695"/>
      <c r="Z560" s="1695"/>
      <c r="AA560" s="1695"/>
      <c r="AB560" s="1695"/>
      <c r="AC560" s="1695"/>
      <c r="AD560" s="1695"/>
      <c r="AE560" s="1695"/>
      <c r="AF560" s="1695"/>
      <c r="AG560" s="1282">
        <f>SUM(S560:AF560)</f>
        <v>322694</v>
      </c>
    </row>
    <row r="561" spans="1:33" ht="33.75" customHeight="1">
      <c r="A561" s="1815" t="s">
        <v>279</v>
      </c>
      <c r="B561" s="836"/>
      <c r="C561" s="1816"/>
      <c r="D561" s="1818"/>
      <c r="E561" s="1818"/>
      <c r="F561" s="1818"/>
      <c r="G561" s="1818"/>
      <c r="H561" s="1818"/>
      <c r="I561" s="1818"/>
      <c r="J561" s="835"/>
      <c r="K561" s="1815"/>
      <c r="L561" s="1817"/>
      <c r="M561" s="1818"/>
      <c r="N561" s="1819"/>
      <c r="O561" s="1820"/>
      <c r="P561" s="1819"/>
      <c r="Q561" s="1822"/>
      <c r="R561" s="1822"/>
      <c r="S561" s="1860"/>
      <c r="T561" s="1860"/>
      <c r="U561" s="1860"/>
      <c r="V561" s="1860"/>
      <c r="W561" s="1860"/>
      <c r="X561" s="1861"/>
      <c r="Y561" s="1862"/>
      <c r="Z561" s="1863"/>
      <c r="AA561" s="1863"/>
      <c r="AB561" s="1863"/>
      <c r="AC561" s="1863"/>
      <c r="AD561" s="1863"/>
      <c r="AE561" s="1863"/>
      <c r="AF561" s="1863"/>
      <c r="AG561" s="1821"/>
    </row>
    <row r="562" spans="1:33" ht="30" customHeight="1">
      <c r="A562" s="1248" t="s">
        <v>280</v>
      </c>
      <c r="B562" s="274"/>
      <c r="C562" s="278"/>
      <c r="D562" s="1270"/>
      <c r="E562" s="1270"/>
      <c r="F562" s="1270"/>
      <c r="G562" s="1270"/>
      <c r="H562" s="1270"/>
      <c r="I562" s="1270"/>
      <c r="J562" s="273"/>
      <c r="K562" s="1248"/>
      <c r="L562" s="1269"/>
      <c r="M562" s="1270"/>
      <c r="N562" s="1268"/>
      <c r="O562" s="1271"/>
      <c r="P562" s="1268"/>
      <c r="Q562" s="1273"/>
      <c r="R562" s="1273"/>
      <c r="S562" s="1248"/>
      <c r="T562" s="1248"/>
      <c r="U562" s="1248"/>
      <c r="V562" s="1270"/>
      <c r="W562" s="1270"/>
      <c r="X562" s="1437"/>
      <c r="Y562" s="1438"/>
      <c r="Z562" s="1070"/>
      <c r="AA562" s="1070"/>
      <c r="AB562" s="1070"/>
      <c r="AC562" s="1070"/>
      <c r="AD562" s="1070"/>
      <c r="AE562" s="1070"/>
      <c r="AF562" s="1070"/>
      <c r="AG562" s="1272"/>
    </row>
    <row r="563" spans="1:33" ht="16.5" hidden="1" customHeight="1">
      <c r="A563" s="1275">
        <v>511</v>
      </c>
      <c r="B563" s="359"/>
      <c r="C563" s="1021"/>
      <c r="D563" s="1280"/>
      <c r="E563" s="1280"/>
      <c r="F563" s="1280"/>
      <c r="G563" s="1280"/>
      <c r="H563" s="1280"/>
      <c r="I563" s="1280"/>
      <c r="J563" s="283"/>
      <c r="K563" s="1278"/>
      <c r="L563" s="1279"/>
      <c r="M563" s="1280"/>
      <c r="N563" s="1277"/>
      <c r="O563" s="1281"/>
      <c r="P563" s="1277"/>
      <c r="Q563" s="287"/>
      <c r="R563" s="287"/>
      <c r="S563" s="362"/>
      <c r="T563" s="362"/>
      <c r="U563" s="362"/>
      <c r="V563" s="362"/>
      <c r="W563" s="362"/>
      <c r="X563" s="1139"/>
      <c r="Y563" s="1134"/>
      <c r="Z563" s="1134"/>
      <c r="AA563" s="1134"/>
      <c r="AB563" s="1134"/>
      <c r="AC563" s="1134"/>
      <c r="AD563" s="1134"/>
      <c r="AE563" s="1134"/>
      <c r="AF563" s="1134"/>
      <c r="AG563" s="1395"/>
    </row>
    <row r="564" spans="1:33" hidden="1">
      <c r="A564" s="294">
        <v>5111</v>
      </c>
      <c r="B564" s="973"/>
      <c r="C564" s="824"/>
      <c r="D564" s="326"/>
      <c r="E564" s="294"/>
      <c r="F564" s="293"/>
      <c r="G564" s="293"/>
      <c r="H564" s="293"/>
      <c r="I564" s="294"/>
      <c r="J564" s="307"/>
      <c r="K564" s="326"/>
      <c r="L564" s="1237"/>
      <c r="M564" s="326"/>
      <c r="N564" s="294"/>
      <c r="O564" s="354"/>
      <c r="P564" s="294"/>
      <c r="Q564" s="299"/>
      <c r="R564" s="299"/>
      <c r="S564" s="355"/>
      <c r="T564" s="355"/>
      <c r="U564" s="355"/>
      <c r="V564" s="355"/>
      <c r="W564" s="355"/>
      <c r="X564" s="1137"/>
      <c r="Y564" s="1126"/>
      <c r="Z564" s="1126"/>
      <c r="AA564" s="1126"/>
      <c r="AB564" s="1126"/>
      <c r="AC564" s="1126"/>
      <c r="AD564" s="1126"/>
      <c r="AE564" s="1126"/>
      <c r="AF564" s="1126"/>
      <c r="AG564" s="1282">
        <f>SUM(S564:AF564)</f>
        <v>0</v>
      </c>
    </row>
    <row r="565" spans="1:33" ht="33.75" customHeight="1">
      <c r="A565" s="1864" t="s">
        <v>964</v>
      </c>
      <c r="B565" s="1865"/>
      <c r="C565" s="1866"/>
      <c r="D565" s="1867"/>
      <c r="E565" s="1867"/>
      <c r="F565" s="1867"/>
      <c r="G565" s="1867"/>
      <c r="H565" s="1867"/>
      <c r="I565" s="1868"/>
      <c r="J565" s="841"/>
      <c r="K565" s="1869"/>
      <c r="L565" s="1870"/>
      <c r="M565" s="1871"/>
      <c r="N565" s="1871"/>
      <c r="O565" s="1872"/>
      <c r="P565" s="1871"/>
      <c r="Q565" s="1993">
        <f>Q566+Q571+Q576</f>
        <v>129744.98000000001</v>
      </c>
      <c r="R565" s="1873">
        <f>+R566+R571+R576</f>
        <v>129747.66</v>
      </c>
      <c r="S565" s="1872">
        <f t="shared" ref="S565:AG565" si="135">S566+S571+S576</f>
        <v>0</v>
      </c>
      <c r="T565" s="1872">
        <f t="shared" si="135"/>
        <v>10350</v>
      </c>
      <c r="U565" s="1872">
        <f t="shared" si="135"/>
        <v>27783</v>
      </c>
      <c r="V565" s="1872">
        <f t="shared" si="135"/>
        <v>30319.986666666668</v>
      </c>
      <c r="W565" s="1872">
        <f t="shared" si="135"/>
        <v>35925.993333333332</v>
      </c>
      <c r="X565" s="1872">
        <f t="shared" si="135"/>
        <v>25366</v>
      </c>
      <c r="Y565" s="1872">
        <f t="shared" si="135"/>
        <v>0</v>
      </c>
      <c r="Z565" s="842">
        <f t="shared" si="135"/>
        <v>0</v>
      </c>
      <c r="AA565" s="842">
        <f t="shared" si="135"/>
        <v>0</v>
      </c>
      <c r="AB565" s="842">
        <f t="shared" si="135"/>
        <v>0</v>
      </c>
      <c r="AC565" s="842">
        <f t="shared" si="135"/>
        <v>0</v>
      </c>
      <c r="AD565" s="842">
        <f t="shared" si="135"/>
        <v>0</v>
      </c>
      <c r="AE565" s="842">
        <f t="shared" si="135"/>
        <v>0</v>
      </c>
      <c r="AF565" s="842">
        <f t="shared" si="135"/>
        <v>0</v>
      </c>
      <c r="AG565" s="1872">
        <f t="shared" si="135"/>
        <v>129744.98</v>
      </c>
    </row>
    <row r="566" spans="1:33" ht="33" customHeight="1">
      <c r="A566" s="1248" t="s">
        <v>282</v>
      </c>
      <c r="B566" s="274"/>
      <c r="C566" s="278"/>
      <c r="D566" s="1270"/>
      <c r="E566" s="1270"/>
      <c r="F566" s="1270"/>
      <c r="G566" s="1270"/>
      <c r="H566" s="1270"/>
      <c r="I566" s="1270"/>
      <c r="J566" s="273"/>
      <c r="K566" s="1248"/>
      <c r="L566" s="1269"/>
      <c r="M566" s="1270"/>
      <c r="N566" s="1268"/>
      <c r="O566" s="1271"/>
      <c r="P566" s="1268"/>
      <c r="Q566" s="1273">
        <f>+Q567+Q569</f>
        <v>0</v>
      </c>
      <c r="R566" s="1273"/>
      <c r="S566" s="1272">
        <f t="shared" ref="S566:AG566" si="136">+S567+S569</f>
        <v>0</v>
      </c>
      <c r="T566" s="1272">
        <f t="shared" si="136"/>
        <v>0</v>
      </c>
      <c r="U566" s="1272">
        <f t="shared" si="136"/>
        <v>0</v>
      </c>
      <c r="V566" s="1272">
        <f t="shared" si="136"/>
        <v>0</v>
      </c>
      <c r="W566" s="1272">
        <f t="shared" si="136"/>
        <v>0</v>
      </c>
      <c r="X566" s="1272">
        <f t="shared" si="136"/>
        <v>0</v>
      </c>
      <c r="Y566" s="1272">
        <f t="shared" si="136"/>
        <v>0</v>
      </c>
      <c r="Z566" s="276">
        <f t="shared" si="136"/>
        <v>0</v>
      </c>
      <c r="AA566" s="276">
        <f t="shared" si="136"/>
        <v>0</v>
      </c>
      <c r="AB566" s="276">
        <f t="shared" si="136"/>
        <v>0</v>
      </c>
      <c r="AC566" s="276">
        <f t="shared" si="136"/>
        <v>0</v>
      </c>
      <c r="AD566" s="276">
        <f t="shared" si="136"/>
        <v>0</v>
      </c>
      <c r="AE566" s="276">
        <f t="shared" si="136"/>
        <v>0</v>
      </c>
      <c r="AF566" s="276">
        <f t="shared" si="136"/>
        <v>0</v>
      </c>
      <c r="AG566" s="1272">
        <f t="shared" si="136"/>
        <v>0</v>
      </c>
    </row>
    <row r="567" spans="1:33" ht="16.5" hidden="1" customHeight="1">
      <c r="A567" s="1275">
        <v>611</v>
      </c>
      <c r="B567" s="359"/>
      <c r="C567" s="1021"/>
      <c r="D567" s="1280"/>
      <c r="E567" s="1280"/>
      <c r="F567" s="1280"/>
      <c r="G567" s="1280"/>
      <c r="H567" s="1280"/>
      <c r="I567" s="1280"/>
      <c r="J567" s="283"/>
      <c r="K567" s="1278"/>
      <c r="L567" s="1279"/>
      <c r="M567" s="1280"/>
      <c r="N567" s="1277"/>
      <c r="O567" s="1281"/>
      <c r="P567" s="1277"/>
      <c r="Q567" s="287">
        <f>SUM(Q568:Q568)</f>
        <v>0</v>
      </c>
      <c r="R567" s="287"/>
      <c r="S567" s="1395">
        <f t="shared" ref="S567:AF567" si="137">SUM(S568:S568)</f>
        <v>0</v>
      </c>
      <c r="T567" s="1395">
        <f t="shared" si="137"/>
        <v>0</v>
      </c>
      <c r="U567" s="1395">
        <f t="shared" si="137"/>
        <v>0</v>
      </c>
      <c r="V567" s="1395">
        <f t="shared" si="137"/>
        <v>0</v>
      </c>
      <c r="W567" s="1395">
        <f t="shared" si="137"/>
        <v>0</v>
      </c>
      <c r="X567" s="1395">
        <f t="shared" si="137"/>
        <v>0</v>
      </c>
      <c r="Y567" s="1395">
        <f t="shared" si="137"/>
        <v>0</v>
      </c>
      <c r="Z567" s="361">
        <f t="shared" si="137"/>
        <v>0</v>
      </c>
      <c r="AA567" s="361">
        <f t="shared" si="137"/>
        <v>0</v>
      </c>
      <c r="AB567" s="361">
        <f t="shared" si="137"/>
        <v>0</v>
      </c>
      <c r="AC567" s="361">
        <f t="shared" si="137"/>
        <v>0</v>
      </c>
      <c r="AD567" s="361">
        <f t="shared" si="137"/>
        <v>0</v>
      </c>
      <c r="AE567" s="361">
        <f t="shared" si="137"/>
        <v>0</v>
      </c>
      <c r="AF567" s="361">
        <f t="shared" si="137"/>
        <v>0</v>
      </c>
      <c r="AG567" s="1395">
        <f>SUM(S567:AF567)</f>
        <v>0</v>
      </c>
    </row>
    <row r="568" spans="1:33" hidden="1">
      <c r="A568" s="294">
        <v>6111</v>
      </c>
      <c r="B568" s="973"/>
      <c r="C568" s="824"/>
      <c r="D568" s="326"/>
      <c r="E568" s="294"/>
      <c r="F568" s="293"/>
      <c r="G568" s="293"/>
      <c r="H568" s="293"/>
      <c r="I568" s="294"/>
      <c r="J568" s="307"/>
      <c r="K568" s="326"/>
      <c r="L568" s="1237"/>
      <c r="M568" s="326"/>
      <c r="N568" s="294"/>
      <c r="O568" s="354"/>
      <c r="P568" s="294"/>
      <c r="Q568" s="299"/>
      <c r="R568" s="299"/>
      <c r="S568" s="355"/>
      <c r="T568" s="355"/>
      <c r="U568" s="355"/>
      <c r="V568" s="355"/>
      <c r="W568" s="355"/>
      <c r="X568" s="1137"/>
      <c r="Y568" s="1126"/>
      <c r="Z568" s="1126"/>
      <c r="AA568" s="1126"/>
      <c r="AB568" s="1126"/>
      <c r="AC568" s="1126"/>
      <c r="AD568" s="1126"/>
      <c r="AE568" s="1126"/>
      <c r="AF568" s="1126"/>
      <c r="AG568" s="1282">
        <f>SUM(S568:AF568)</f>
        <v>0</v>
      </c>
    </row>
    <row r="569" spans="1:33" ht="16.5" hidden="1" customHeight="1">
      <c r="A569" s="1275">
        <v>612</v>
      </c>
      <c r="B569" s="359"/>
      <c r="C569" s="1021"/>
      <c r="D569" s="1280"/>
      <c r="E569" s="1280"/>
      <c r="F569" s="1280"/>
      <c r="G569" s="1280"/>
      <c r="H569" s="1280"/>
      <c r="I569" s="1280"/>
      <c r="J569" s="283"/>
      <c r="K569" s="1278"/>
      <c r="L569" s="1279"/>
      <c r="M569" s="1280"/>
      <c r="N569" s="1277"/>
      <c r="O569" s="1281"/>
      <c r="P569" s="1277"/>
      <c r="Q569" s="287">
        <f>SUM(Q570:Q570)</f>
        <v>0</v>
      </c>
      <c r="R569" s="287"/>
      <c r="S569" s="1395">
        <f t="shared" ref="S569:AF569" si="138">SUM(S570:S570)</f>
        <v>0</v>
      </c>
      <c r="T569" s="1395">
        <f t="shared" si="138"/>
        <v>0</v>
      </c>
      <c r="U569" s="1395">
        <f t="shared" si="138"/>
        <v>0</v>
      </c>
      <c r="V569" s="1395">
        <f t="shared" si="138"/>
        <v>0</v>
      </c>
      <c r="W569" s="1395">
        <f t="shared" si="138"/>
        <v>0</v>
      </c>
      <c r="X569" s="1395">
        <f t="shared" si="138"/>
        <v>0</v>
      </c>
      <c r="Y569" s="1395">
        <f t="shared" si="138"/>
        <v>0</v>
      </c>
      <c r="Z569" s="361">
        <f t="shared" si="138"/>
        <v>0</v>
      </c>
      <c r="AA569" s="361">
        <f t="shared" si="138"/>
        <v>0</v>
      </c>
      <c r="AB569" s="361">
        <f t="shared" si="138"/>
        <v>0</v>
      </c>
      <c r="AC569" s="361">
        <f t="shared" si="138"/>
        <v>0</v>
      </c>
      <c r="AD569" s="361">
        <f t="shared" si="138"/>
        <v>0</v>
      </c>
      <c r="AE569" s="361">
        <f t="shared" si="138"/>
        <v>0</v>
      </c>
      <c r="AF569" s="361">
        <f t="shared" si="138"/>
        <v>0</v>
      </c>
      <c r="AG569" s="1395">
        <f>SUM(S569:AF569)</f>
        <v>0</v>
      </c>
    </row>
    <row r="570" spans="1:33" hidden="1">
      <c r="A570" s="294">
        <v>6121</v>
      </c>
      <c r="B570" s="973"/>
      <c r="C570" s="824"/>
      <c r="D570" s="326"/>
      <c r="E570" s="294"/>
      <c r="F570" s="293"/>
      <c r="G570" s="293"/>
      <c r="H570" s="293"/>
      <c r="I570" s="294"/>
      <c r="J570" s="307"/>
      <c r="K570" s="326"/>
      <c r="L570" s="1237"/>
      <c r="M570" s="326"/>
      <c r="N570" s="294"/>
      <c r="O570" s="354"/>
      <c r="P570" s="294"/>
      <c r="Q570" s="299"/>
      <c r="R570" s="299"/>
      <c r="S570" s="355"/>
      <c r="T570" s="355"/>
      <c r="U570" s="355"/>
      <c r="V570" s="355"/>
      <c r="W570" s="355"/>
      <c r="X570" s="1137"/>
      <c r="Y570" s="1126"/>
      <c r="Z570" s="1126"/>
      <c r="AA570" s="1126"/>
      <c r="AB570" s="1126"/>
      <c r="AC570" s="1126"/>
      <c r="AD570" s="1126"/>
      <c r="AE570" s="1126"/>
      <c r="AF570" s="1126"/>
      <c r="AG570" s="1282">
        <f>SUM(S570:AF570)</f>
        <v>0</v>
      </c>
    </row>
    <row r="571" spans="1:33" ht="38.25" customHeight="1">
      <c r="A571" s="1553" t="s">
        <v>283</v>
      </c>
      <c r="B571" s="1542"/>
      <c r="C571" s="1500"/>
      <c r="D571" s="1450"/>
      <c r="E571" s="1450"/>
      <c r="F571" s="1450"/>
      <c r="G571" s="1450"/>
      <c r="H571" s="1450"/>
      <c r="I571" s="1451"/>
      <c r="J571" s="273"/>
      <c r="K571" s="1248"/>
      <c r="L571" s="1269"/>
      <c r="M571" s="1270"/>
      <c r="N571" s="1268"/>
      <c r="O571" s="1271"/>
      <c r="P571" s="1268"/>
      <c r="Q571" s="1273">
        <f>+Q572+Q574</f>
        <v>0</v>
      </c>
      <c r="R571" s="1273"/>
      <c r="S571" s="1272">
        <f t="shared" ref="S571:AG571" si="139">+S572+S574</f>
        <v>0</v>
      </c>
      <c r="T571" s="1272">
        <f t="shared" si="139"/>
        <v>0</v>
      </c>
      <c r="U571" s="1272">
        <f t="shared" si="139"/>
        <v>0</v>
      </c>
      <c r="V571" s="1272">
        <f t="shared" si="139"/>
        <v>0</v>
      </c>
      <c r="W571" s="1272">
        <f t="shared" si="139"/>
        <v>0</v>
      </c>
      <c r="X571" s="1272">
        <f t="shared" si="139"/>
        <v>0</v>
      </c>
      <c r="Y571" s="1272">
        <f t="shared" si="139"/>
        <v>0</v>
      </c>
      <c r="Z571" s="276">
        <f t="shared" si="139"/>
        <v>0</v>
      </c>
      <c r="AA571" s="276">
        <f t="shared" si="139"/>
        <v>0</v>
      </c>
      <c r="AB571" s="276">
        <f t="shared" si="139"/>
        <v>0</v>
      </c>
      <c r="AC571" s="276">
        <f t="shared" si="139"/>
        <v>0</v>
      </c>
      <c r="AD571" s="276">
        <f t="shared" si="139"/>
        <v>0</v>
      </c>
      <c r="AE571" s="276">
        <f t="shared" si="139"/>
        <v>0</v>
      </c>
      <c r="AF571" s="276">
        <f t="shared" si="139"/>
        <v>0</v>
      </c>
      <c r="AG571" s="1272">
        <f t="shared" si="139"/>
        <v>0</v>
      </c>
    </row>
    <row r="572" spans="1:33" ht="16.5" hidden="1" customHeight="1">
      <c r="A572" s="1275">
        <v>621</v>
      </c>
      <c r="B572" s="359"/>
      <c r="C572" s="1021"/>
      <c r="D572" s="1280"/>
      <c r="E572" s="1280"/>
      <c r="F572" s="1280"/>
      <c r="G572" s="1280"/>
      <c r="H572" s="1280"/>
      <c r="I572" s="1280"/>
      <c r="J572" s="283"/>
      <c r="K572" s="1278"/>
      <c r="L572" s="1279"/>
      <c r="M572" s="1280"/>
      <c r="N572" s="1277"/>
      <c r="O572" s="1281"/>
      <c r="P572" s="1277"/>
      <c r="Q572" s="287">
        <f>SUM(Q573:Q573)</f>
        <v>0</v>
      </c>
      <c r="R572" s="287"/>
      <c r="S572" s="1395">
        <f t="shared" ref="S572:AF572" si="140">SUM(S573:S573)</f>
        <v>0</v>
      </c>
      <c r="T572" s="1395">
        <f t="shared" si="140"/>
        <v>0</v>
      </c>
      <c r="U572" s="1395">
        <f t="shared" si="140"/>
        <v>0</v>
      </c>
      <c r="V572" s="1395">
        <f t="shared" si="140"/>
        <v>0</v>
      </c>
      <c r="W572" s="1395">
        <f t="shared" si="140"/>
        <v>0</v>
      </c>
      <c r="X572" s="1395">
        <f t="shared" si="140"/>
        <v>0</v>
      </c>
      <c r="Y572" s="1395">
        <f t="shared" si="140"/>
        <v>0</v>
      </c>
      <c r="Z572" s="361">
        <f t="shared" si="140"/>
        <v>0</v>
      </c>
      <c r="AA572" s="361">
        <f t="shared" si="140"/>
        <v>0</v>
      </c>
      <c r="AB572" s="361">
        <f t="shared" si="140"/>
        <v>0</v>
      </c>
      <c r="AC572" s="361">
        <f t="shared" si="140"/>
        <v>0</v>
      </c>
      <c r="AD572" s="361">
        <f t="shared" si="140"/>
        <v>0</v>
      </c>
      <c r="AE572" s="361">
        <f t="shared" si="140"/>
        <v>0</v>
      </c>
      <c r="AF572" s="361">
        <f t="shared" si="140"/>
        <v>0</v>
      </c>
      <c r="AG572" s="1395">
        <f>SUM(S572:AF572)</f>
        <v>0</v>
      </c>
    </row>
    <row r="573" spans="1:33" hidden="1">
      <c r="A573" s="294">
        <v>6211</v>
      </c>
      <c r="B573" s="973"/>
      <c r="C573" s="824"/>
      <c r="D573" s="326"/>
      <c r="E573" s="294"/>
      <c r="F573" s="293"/>
      <c r="G573" s="293"/>
      <c r="H573" s="293"/>
      <c r="I573" s="294"/>
      <c r="J573" s="307"/>
      <c r="K573" s="326"/>
      <c r="L573" s="1237"/>
      <c r="M573" s="326"/>
      <c r="N573" s="294"/>
      <c r="O573" s="354"/>
      <c r="P573" s="294"/>
      <c r="Q573" s="299"/>
      <c r="R573" s="299"/>
      <c r="S573" s="355"/>
      <c r="T573" s="355"/>
      <c r="U573" s="355"/>
      <c r="V573" s="355"/>
      <c r="W573" s="355"/>
      <c r="X573" s="1137"/>
      <c r="Y573" s="1126"/>
      <c r="Z573" s="1126"/>
      <c r="AA573" s="1126"/>
      <c r="AB573" s="1126"/>
      <c r="AC573" s="1126"/>
      <c r="AD573" s="1126"/>
      <c r="AE573" s="1126"/>
      <c r="AF573" s="1126"/>
      <c r="AG573" s="1282">
        <f>SUM(S573:AF573)</f>
        <v>0</v>
      </c>
    </row>
    <row r="574" spans="1:33" ht="16.5" hidden="1" customHeight="1">
      <c r="A574" s="1275">
        <v>622</v>
      </c>
      <c r="B574" s="359"/>
      <c r="C574" s="1021"/>
      <c r="D574" s="1280"/>
      <c r="E574" s="1280"/>
      <c r="F574" s="1280"/>
      <c r="G574" s="1280"/>
      <c r="H574" s="1280"/>
      <c r="I574" s="1280"/>
      <c r="J574" s="283"/>
      <c r="K574" s="1278"/>
      <c r="L574" s="1279"/>
      <c r="M574" s="1280"/>
      <c r="N574" s="1277"/>
      <c r="O574" s="1281"/>
      <c r="P574" s="1277"/>
      <c r="Q574" s="287">
        <f>SUM(Q575:Q575)</f>
        <v>0</v>
      </c>
      <c r="R574" s="287"/>
      <c r="S574" s="1395">
        <f t="shared" ref="S574:AF574" si="141">SUM(S575:S575)</f>
        <v>0</v>
      </c>
      <c r="T574" s="1395">
        <f t="shared" si="141"/>
        <v>0</v>
      </c>
      <c r="U574" s="1395">
        <f t="shared" si="141"/>
        <v>0</v>
      </c>
      <c r="V574" s="1395">
        <f t="shared" si="141"/>
        <v>0</v>
      </c>
      <c r="W574" s="1395">
        <f t="shared" si="141"/>
        <v>0</v>
      </c>
      <c r="X574" s="1395">
        <f t="shared" si="141"/>
        <v>0</v>
      </c>
      <c r="Y574" s="1395">
        <f t="shared" si="141"/>
        <v>0</v>
      </c>
      <c r="Z574" s="361">
        <f t="shared" si="141"/>
        <v>0</v>
      </c>
      <c r="AA574" s="361">
        <f t="shared" si="141"/>
        <v>0</v>
      </c>
      <c r="AB574" s="361">
        <f t="shared" si="141"/>
        <v>0</v>
      </c>
      <c r="AC574" s="361">
        <f t="shared" si="141"/>
        <v>0</v>
      </c>
      <c r="AD574" s="361">
        <f t="shared" si="141"/>
        <v>0</v>
      </c>
      <c r="AE574" s="361">
        <f t="shared" si="141"/>
        <v>0</v>
      </c>
      <c r="AF574" s="361">
        <f t="shared" si="141"/>
        <v>0</v>
      </c>
      <c r="AG574" s="1395">
        <f>SUM(S574:AF574)</f>
        <v>0</v>
      </c>
    </row>
    <row r="575" spans="1:33" hidden="1">
      <c r="A575" s="294">
        <v>6221</v>
      </c>
      <c r="B575" s="973"/>
      <c r="C575" s="824"/>
      <c r="D575" s="326"/>
      <c r="E575" s="294"/>
      <c r="F575" s="293"/>
      <c r="G575" s="293"/>
      <c r="H575" s="293"/>
      <c r="I575" s="294"/>
      <c r="J575" s="307"/>
      <c r="K575" s="326"/>
      <c r="L575" s="1237"/>
      <c r="M575" s="326"/>
      <c r="N575" s="294"/>
      <c r="O575" s="354"/>
      <c r="P575" s="294"/>
      <c r="Q575" s="299"/>
      <c r="R575" s="299"/>
      <c r="S575" s="355"/>
      <c r="T575" s="355"/>
      <c r="U575" s="355"/>
      <c r="V575" s="355"/>
      <c r="W575" s="355"/>
      <c r="X575" s="1137"/>
      <c r="Y575" s="1126"/>
      <c r="Z575" s="1126"/>
      <c r="AA575" s="1126"/>
      <c r="AB575" s="1126"/>
      <c r="AC575" s="1126"/>
      <c r="AD575" s="1126"/>
      <c r="AE575" s="1126"/>
      <c r="AF575" s="1126"/>
      <c r="AG575" s="1282">
        <f>SUM(S575:AF575)</f>
        <v>0</v>
      </c>
    </row>
    <row r="576" spans="1:33" ht="38.25" customHeight="1">
      <c r="A576" s="1248" t="s">
        <v>284</v>
      </c>
      <c r="B576" s="274"/>
      <c r="C576" s="278"/>
      <c r="D576" s="1270"/>
      <c r="E576" s="1270"/>
      <c r="F576" s="1270"/>
      <c r="G576" s="1270"/>
      <c r="H576" s="1270"/>
      <c r="I576" s="1270"/>
      <c r="J576" s="273"/>
      <c r="K576" s="1248"/>
      <c r="L576" s="1269"/>
      <c r="M576" s="1270"/>
      <c r="N576" s="1268"/>
      <c r="O576" s="1271"/>
      <c r="P576" s="1268"/>
      <c r="Q576" s="1273">
        <f>Q577+Q585</f>
        <v>129744.98000000001</v>
      </c>
      <c r="R576" s="1273">
        <f>+'[7]Compil Costing PPA 3 millions'!F20</f>
        <v>129747.66</v>
      </c>
      <c r="S576" s="1272">
        <f t="shared" ref="S576:AG576" si="142">S577+S585</f>
        <v>0</v>
      </c>
      <c r="T576" s="1272">
        <f t="shared" si="142"/>
        <v>10350</v>
      </c>
      <c r="U576" s="1272">
        <f t="shared" si="142"/>
        <v>27783</v>
      </c>
      <c r="V576" s="1272">
        <f t="shared" si="142"/>
        <v>30319.986666666668</v>
      </c>
      <c r="W576" s="1272">
        <f t="shared" si="142"/>
        <v>35925.993333333332</v>
      </c>
      <c r="X576" s="1272">
        <f t="shared" si="142"/>
        <v>25366</v>
      </c>
      <c r="Y576" s="1272">
        <f t="shared" si="142"/>
        <v>0</v>
      </c>
      <c r="Z576" s="276">
        <f t="shared" si="142"/>
        <v>0</v>
      </c>
      <c r="AA576" s="276">
        <f t="shared" si="142"/>
        <v>0</v>
      </c>
      <c r="AB576" s="276">
        <f t="shared" si="142"/>
        <v>0</v>
      </c>
      <c r="AC576" s="276">
        <f t="shared" si="142"/>
        <v>0</v>
      </c>
      <c r="AD576" s="276">
        <f t="shared" si="142"/>
        <v>0</v>
      </c>
      <c r="AE576" s="276">
        <f t="shared" si="142"/>
        <v>0</v>
      </c>
      <c r="AF576" s="276">
        <f t="shared" si="142"/>
        <v>0</v>
      </c>
      <c r="AG576" s="1272">
        <f t="shared" si="142"/>
        <v>129744.98</v>
      </c>
    </row>
    <row r="577" spans="1:33" ht="47.25" hidden="1">
      <c r="A577" s="1275">
        <v>631</v>
      </c>
      <c r="B577" s="359" t="s">
        <v>140</v>
      </c>
      <c r="C577" s="1021"/>
      <c r="D577" s="1280"/>
      <c r="E577" s="1280"/>
      <c r="F577" s="1280"/>
      <c r="G577" s="1280"/>
      <c r="H577" s="1280"/>
      <c r="I577" s="1280"/>
      <c r="J577" s="283"/>
      <c r="K577" s="1278"/>
      <c r="L577" s="1279"/>
      <c r="M577" s="1280"/>
      <c r="N577" s="1277"/>
      <c r="O577" s="1281"/>
      <c r="P577" s="1277"/>
      <c r="Q577" s="547">
        <f>SUM(Q578:Q584)</f>
        <v>39400.000000000007</v>
      </c>
      <c r="R577" s="287"/>
      <c r="S577" s="1282">
        <f t="shared" ref="S577:AF577" si="143">SUM(S578:S584)</f>
        <v>0</v>
      </c>
      <c r="T577" s="1282">
        <f t="shared" si="143"/>
        <v>3600</v>
      </c>
      <c r="U577" s="1282">
        <f t="shared" si="143"/>
        <v>10200</v>
      </c>
      <c r="V577" s="1282">
        <f t="shared" si="143"/>
        <v>10200</v>
      </c>
      <c r="W577" s="1282">
        <f t="shared" si="143"/>
        <v>8200.0000000000018</v>
      </c>
      <c r="X577" s="1282">
        <f t="shared" si="143"/>
        <v>7200</v>
      </c>
      <c r="Y577" s="1282">
        <f t="shared" si="143"/>
        <v>0</v>
      </c>
      <c r="Z577" s="1282">
        <f t="shared" si="143"/>
        <v>0</v>
      </c>
      <c r="AA577" s="1282">
        <f t="shared" si="143"/>
        <v>0</v>
      </c>
      <c r="AB577" s="1282">
        <f t="shared" si="143"/>
        <v>0</v>
      </c>
      <c r="AC577" s="1282">
        <f t="shared" si="143"/>
        <v>0</v>
      </c>
      <c r="AD577" s="1282">
        <f t="shared" si="143"/>
        <v>0</v>
      </c>
      <c r="AE577" s="1282">
        <f t="shared" si="143"/>
        <v>0</v>
      </c>
      <c r="AF577" s="1282">
        <f t="shared" si="143"/>
        <v>0</v>
      </c>
      <c r="AG577" s="1282">
        <f>SUM(S577:AF577)</f>
        <v>39400</v>
      </c>
    </row>
    <row r="578" spans="1:33" hidden="1">
      <c r="A578" s="294">
        <v>6311</v>
      </c>
      <c r="B578" s="291" t="s">
        <v>404</v>
      </c>
      <c r="C578" s="824" t="s">
        <v>405</v>
      </c>
      <c r="D578" s="326"/>
      <c r="E578" s="294"/>
      <c r="F578" s="1012">
        <v>43205</v>
      </c>
      <c r="G578" s="1012">
        <v>43342</v>
      </c>
      <c r="H578" s="1874" t="s">
        <v>406</v>
      </c>
      <c r="I578" s="294" t="s">
        <v>181</v>
      </c>
      <c r="J578" s="307" t="s">
        <v>407</v>
      </c>
      <c r="K578" s="326" t="s">
        <v>408</v>
      </c>
      <c r="L578" s="1237">
        <v>2313</v>
      </c>
      <c r="M578" s="326"/>
      <c r="N578" s="294"/>
      <c r="O578" s="354">
        <v>18000</v>
      </c>
      <c r="P578" s="1014">
        <v>1</v>
      </c>
      <c r="Q578" s="518">
        <f t="shared" ref="Q578:Q584" si="144">O578*P578</f>
        <v>18000</v>
      </c>
      <c r="R578" s="299"/>
      <c r="S578" s="299"/>
      <c r="T578" s="299">
        <v>3600</v>
      </c>
      <c r="U578" s="299"/>
      <c r="V578" s="299"/>
      <c r="W578" s="299">
        <v>7200</v>
      </c>
      <c r="X578" s="1142">
        <v>7200</v>
      </c>
      <c r="Y578" s="1127"/>
      <c r="Z578" s="1127"/>
      <c r="AA578" s="1127"/>
      <c r="AB578" s="1127"/>
      <c r="AC578" s="1127"/>
      <c r="AD578" s="1127"/>
      <c r="AE578" s="1127"/>
      <c r="AF578" s="1127"/>
      <c r="AG578" s="1282">
        <f t="shared" ref="AG578:AG584" si="145">SUM(S578:AF578)</f>
        <v>18000</v>
      </c>
    </row>
    <row r="579" spans="1:33" ht="94.5" hidden="1">
      <c r="A579" s="294">
        <v>6312</v>
      </c>
      <c r="B579" s="291" t="s">
        <v>409</v>
      </c>
      <c r="C579" s="824" t="s">
        <v>410</v>
      </c>
      <c r="D579" s="326"/>
      <c r="E579" s="294"/>
      <c r="F579" s="293">
        <v>43241</v>
      </c>
      <c r="G579" s="293">
        <v>43273</v>
      </c>
      <c r="H579" s="1875" t="s">
        <v>406</v>
      </c>
      <c r="I579" s="294" t="s">
        <v>181</v>
      </c>
      <c r="J579" s="307" t="s">
        <v>411</v>
      </c>
      <c r="K579" s="326" t="s">
        <v>412</v>
      </c>
      <c r="L579" s="1237">
        <v>23174</v>
      </c>
      <c r="M579" s="326"/>
      <c r="N579" s="294"/>
      <c r="O579" s="354">
        <v>2100</v>
      </c>
      <c r="P579" s="1014">
        <v>4</v>
      </c>
      <c r="Q579" s="299">
        <f t="shared" si="144"/>
        <v>8400</v>
      </c>
      <c r="R579" s="299"/>
      <c r="S579" s="299"/>
      <c r="T579" s="299"/>
      <c r="U579" s="299">
        <v>4200</v>
      </c>
      <c r="V579" s="299">
        <v>4200</v>
      </c>
      <c r="W579" s="299"/>
      <c r="X579" s="1142"/>
      <c r="Y579" s="1127"/>
      <c r="Z579" s="1127"/>
      <c r="AA579" s="1127"/>
      <c r="AB579" s="1127"/>
      <c r="AC579" s="1127"/>
      <c r="AD579" s="1127"/>
      <c r="AE579" s="1127"/>
      <c r="AF579" s="1127"/>
      <c r="AG579" s="1282">
        <f t="shared" si="145"/>
        <v>8400</v>
      </c>
    </row>
    <row r="580" spans="1:33" ht="94.5" hidden="1">
      <c r="A580" s="294">
        <v>6312</v>
      </c>
      <c r="B580" s="291" t="s">
        <v>409</v>
      </c>
      <c r="C580" s="824" t="s">
        <v>410</v>
      </c>
      <c r="D580" s="326"/>
      <c r="E580" s="294"/>
      <c r="F580" s="293">
        <v>43241</v>
      </c>
      <c r="G580" s="293">
        <v>43273</v>
      </c>
      <c r="H580" s="1875" t="s">
        <v>406</v>
      </c>
      <c r="I580" s="294" t="s">
        <v>181</v>
      </c>
      <c r="J580" s="307" t="s">
        <v>411</v>
      </c>
      <c r="K580" s="326" t="s">
        <v>413</v>
      </c>
      <c r="L580" s="1237">
        <v>23174</v>
      </c>
      <c r="M580" s="326"/>
      <c r="N580" s="294"/>
      <c r="O580" s="354">
        <v>2000</v>
      </c>
      <c r="P580" s="1014">
        <v>4</v>
      </c>
      <c r="Q580" s="299">
        <f t="shared" si="144"/>
        <v>8000</v>
      </c>
      <c r="R580" s="299"/>
      <c r="S580" s="299"/>
      <c r="T580" s="299"/>
      <c r="U580" s="299">
        <v>4000</v>
      </c>
      <c r="V580" s="299">
        <v>4000</v>
      </c>
      <c r="W580" s="299"/>
      <c r="X580" s="1142"/>
      <c r="Y580" s="1127"/>
      <c r="Z580" s="1127"/>
      <c r="AA580" s="1127"/>
      <c r="AB580" s="1127"/>
      <c r="AC580" s="1127"/>
      <c r="AD580" s="1127"/>
      <c r="AE580" s="1127"/>
      <c r="AF580" s="1127"/>
      <c r="AG580" s="1282">
        <f t="shared" si="145"/>
        <v>8000</v>
      </c>
    </row>
    <row r="581" spans="1:33" ht="94.5" hidden="1">
      <c r="A581" s="294">
        <v>6312</v>
      </c>
      <c r="B581" s="291" t="s">
        <v>409</v>
      </c>
      <c r="C581" s="824" t="s">
        <v>410</v>
      </c>
      <c r="D581" s="326"/>
      <c r="E581" s="294"/>
      <c r="F581" s="293">
        <v>43241</v>
      </c>
      <c r="G581" s="293">
        <v>43273</v>
      </c>
      <c r="H581" s="1875" t="s">
        <v>406</v>
      </c>
      <c r="I581" s="294" t="s">
        <v>181</v>
      </c>
      <c r="J581" s="307" t="s">
        <v>411</v>
      </c>
      <c r="K581" s="326" t="s">
        <v>414</v>
      </c>
      <c r="L581" s="1237">
        <v>23174</v>
      </c>
      <c r="M581" s="326"/>
      <c r="N581" s="294"/>
      <c r="O581" s="354">
        <v>833.25</v>
      </c>
      <c r="P581" s="1014">
        <v>4</v>
      </c>
      <c r="Q581" s="299">
        <f t="shared" si="144"/>
        <v>3333</v>
      </c>
      <c r="R581" s="299"/>
      <c r="S581" s="299"/>
      <c r="T581" s="299"/>
      <c r="U581" s="299">
        <v>1666.5</v>
      </c>
      <c r="V581" s="299">
        <v>1666.5</v>
      </c>
      <c r="W581" s="299"/>
      <c r="X581" s="1142"/>
      <c r="Y581" s="1127"/>
      <c r="Z581" s="1127"/>
      <c r="AA581" s="1127"/>
      <c r="AB581" s="1127"/>
      <c r="AC581" s="1127"/>
      <c r="AD581" s="1127"/>
      <c r="AE581" s="1127"/>
      <c r="AF581" s="1127"/>
      <c r="AG581" s="1282">
        <f t="shared" si="145"/>
        <v>3333</v>
      </c>
    </row>
    <row r="582" spans="1:33" ht="94.5" hidden="1">
      <c r="A582" s="294">
        <v>6312</v>
      </c>
      <c r="B582" s="291" t="s">
        <v>409</v>
      </c>
      <c r="C582" s="824" t="s">
        <v>410</v>
      </c>
      <c r="D582" s="326"/>
      <c r="E582" s="294"/>
      <c r="F582" s="293">
        <v>43241</v>
      </c>
      <c r="G582" s="293">
        <v>43273</v>
      </c>
      <c r="H582" s="1875" t="s">
        <v>406</v>
      </c>
      <c r="I582" s="294" t="s">
        <v>181</v>
      </c>
      <c r="J582" s="307" t="s">
        <v>411</v>
      </c>
      <c r="K582" s="326" t="s">
        <v>415</v>
      </c>
      <c r="L582" s="1237">
        <v>23173</v>
      </c>
      <c r="M582" s="326"/>
      <c r="N582" s="294"/>
      <c r="O582" s="354">
        <v>166.75</v>
      </c>
      <c r="P582" s="1014">
        <v>4</v>
      </c>
      <c r="Q582" s="299">
        <f t="shared" si="144"/>
        <v>667</v>
      </c>
      <c r="R582" s="299"/>
      <c r="S582" s="299"/>
      <c r="T582" s="299"/>
      <c r="U582" s="299">
        <v>333.5</v>
      </c>
      <c r="V582" s="299">
        <v>333.5</v>
      </c>
      <c r="W582" s="299"/>
      <c r="X582" s="1142"/>
      <c r="Y582" s="1127"/>
      <c r="Z582" s="1127"/>
      <c r="AA582" s="1127"/>
      <c r="AB582" s="1127"/>
      <c r="AC582" s="1127"/>
      <c r="AD582" s="1127"/>
      <c r="AE582" s="1127"/>
      <c r="AF582" s="1127"/>
      <c r="AG582" s="1282">
        <f t="shared" si="145"/>
        <v>667</v>
      </c>
    </row>
    <row r="583" spans="1:33" ht="94.5" hidden="1">
      <c r="A583" s="294">
        <v>6313</v>
      </c>
      <c r="B583" s="291" t="s">
        <v>416</v>
      </c>
      <c r="C583" s="824" t="s">
        <v>417</v>
      </c>
      <c r="D583" s="326"/>
      <c r="E583" s="294"/>
      <c r="F583" s="293">
        <v>43294</v>
      </c>
      <c r="G583" s="293">
        <v>43294</v>
      </c>
      <c r="H583" s="1875" t="s">
        <v>406</v>
      </c>
      <c r="I583" s="294" t="s">
        <v>181</v>
      </c>
      <c r="J583" s="307" t="s">
        <v>411</v>
      </c>
      <c r="K583" s="326" t="s">
        <v>418</v>
      </c>
      <c r="L583" s="1237">
        <v>23173</v>
      </c>
      <c r="M583" s="326"/>
      <c r="N583" s="294"/>
      <c r="O583" s="354">
        <v>666.66666666666799</v>
      </c>
      <c r="P583" s="1014">
        <v>1</v>
      </c>
      <c r="Q583" s="299">
        <f t="shared" si="144"/>
        <v>666.66666666666799</v>
      </c>
      <c r="R583" s="299"/>
      <c r="S583" s="299"/>
      <c r="T583" s="299"/>
      <c r="U583" s="299"/>
      <c r="V583" s="299"/>
      <c r="W583" s="299">
        <v>666.66666666666799</v>
      </c>
      <c r="X583" s="1142"/>
      <c r="Y583" s="1127"/>
      <c r="Z583" s="1127"/>
      <c r="AA583" s="1127"/>
      <c r="AB583" s="1127"/>
      <c r="AC583" s="1127"/>
      <c r="AD583" s="1127"/>
      <c r="AE583" s="1127"/>
      <c r="AF583" s="1127"/>
      <c r="AG583" s="1282">
        <f t="shared" si="145"/>
        <v>666.66666666666799</v>
      </c>
    </row>
    <row r="584" spans="1:33" ht="94.5" hidden="1">
      <c r="A584" s="294">
        <v>6313</v>
      </c>
      <c r="B584" s="291" t="s">
        <v>416</v>
      </c>
      <c r="C584" s="824" t="s">
        <v>417</v>
      </c>
      <c r="D584" s="326"/>
      <c r="E584" s="294"/>
      <c r="F584" s="293">
        <v>43294</v>
      </c>
      <c r="G584" s="293">
        <v>43294</v>
      </c>
      <c r="H584" s="1875" t="s">
        <v>406</v>
      </c>
      <c r="I584" s="294" t="s">
        <v>181</v>
      </c>
      <c r="J584" s="307" t="s">
        <v>411</v>
      </c>
      <c r="K584" s="326" t="s">
        <v>415</v>
      </c>
      <c r="L584" s="1237">
        <v>23173</v>
      </c>
      <c r="M584" s="326"/>
      <c r="N584" s="294"/>
      <c r="O584" s="354">
        <v>333.33333333333331</v>
      </c>
      <c r="P584" s="1014">
        <v>1</v>
      </c>
      <c r="Q584" s="299">
        <f t="shared" si="144"/>
        <v>333.33333333333331</v>
      </c>
      <c r="R584" s="299"/>
      <c r="S584" s="299"/>
      <c r="T584" s="299"/>
      <c r="U584" s="299"/>
      <c r="V584" s="299"/>
      <c r="W584" s="299">
        <v>333.33333333333331</v>
      </c>
      <c r="X584" s="1142"/>
      <c r="Y584" s="1127"/>
      <c r="Z584" s="1127"/>
      <c r="AA584" s="1127"/>
      <c r="AB584" s="1127"/>
      <c r="AC584" s="1127"/>
      <c r="AD584" s="1127"/>
      <c r="AE584" s="1127"/>
      <c r="AF584" s="1127"/>
      <c r="AG584" s="1282">
        <f t="shared" si="145"/>
        <v>333.33333333333331</v>
      </c>
    </row>
    <row r="585" spans="1:33" ht="47.25" hidden="1">
      <c r="A585" s="1275">
        <v>632</v>
      </c>
      <c r="B585" s="359" t="s">
        <v>141</v>
      </c>
      <c r="C585" s="1021"/>
      <c r="D585" s="1280"/>
      <c r="E585" s="1280"/>
      <c r="F585" s="1280"/>
      <c r="G585" s="1280"/>
      <c r="H585" s="1280"/>
      <c r="I585" s="1280"/>
      <c r="J585" s="283"/>
      <c r="K585" s="1278"/>
      <c r="L585" s="1279"/>
      <c r="M585" s="1280"/>
      <c r="N585" s="1277"/>
      <c r="O585" s="1281"/>
      <c r="P585" s="1452"/>
      <c r="Q585" s="547">
        <f>SUM(Q586:Q599)</f>
        <v>90344.98</v>
      </c>
      <c r="R585" s="287"/>
      <c r="S585" s="1282">
        <f t="shared" ref="S585:AF585" si="146">SUM(S586:S599)</f>
        <v>0</v>
      </c>
      <c r="T585" s="1282">
        <f t="shared" si="146"/>
        <v>6750</v>
      </c>
      <c r="U585" s="1282">
        <f t="shared" si="146"/>
        <v>17583</v>
      </c>
      <c r="V585" s="1282">
        <f t="shared" si="146"/>
        <v>20119.986666666668</v>
      </c>
      <c r="W585" s="1282">
        <f t="shared" si="146"/>
        <v>27725.993333333332</v>
      </c>
      <c r="X585" s="1282">
        <f t="shared" si="146"/>
        <v>18166</v>
      </c>
      <c r="Y585" s="1282">
        <f t="shared" si="146"/>
        <v>0</v>
      </c>
      <c r="Z585" s="1282">
        <f t="shared" si="146"/>
        <v>0</v>
      </c>
      <c r="AA585" s="1282">
        <f t="shared" si="146"/>
        <v>0</v>
      </c>
      <c r="AB585" s="1282">
        <f t="shared" si="146"/>
        <v>0</v>
      </c>
      <c r="AC585" s="1282">
        <f t="shared" si="146"/>
        <v>0</v>
      </c>
      <c r="AD585" s="1282">
        <f t="shared" si="146"/>
        <v>0</v>
      </c>
      <c r="AE585" s="1282">
        <f t="shared" si="146"/>
        <v>0</v>
      </c>
      <c r="AF585" s="1282">
        <f t="shared" si="146"/>
        <v>0</v>
      </c>
      <c r="AG585" s="1282">
        <f>SUM(S585:AF585)</f>
        <v>90344.98</v>
      </c>
    </row>
    <row r="586" spans="1:33" ht="62.45" hidden="1" customHeight="1">
      <c r="A586" s="294">
        <v>6321</v>
      </c>
      <c r="B586" s="291" t="s">
        <v>419</v>
      </c>
      <c r="C586" s="824" t="s">
        <v>420</v>
      </c>
      <c r="D586" s="326"/>
      <c r="E586" s="294"/>
      <c r="F586" s="1016">
        <v>43205</v>
      </c>
      <c r="G586" s="1016">
        <v>43311</v>
      </c>
      <c r="H586" s="1875" t="s">
        <v>421</v>
      </c>
      <c r="I586" s="294" t="s">
        <v>181</v>
      </c>
      <c r="J586" s="307" t="s">
        <v>407</v>
      </c>
      <c r="K586" s="326" t="s">
        <v>408</v>
      </c>
      <c r="L586" s="1237">
        <v>2313</v>
      </c>
      <c r="M586" s="326"/>
      <c r="N586" s="294"/>
      <c r="O586" s="354">
        <v>33750</v>
      </c>
      <c r="P586" s="1014">
        <v>1</v>
      </c>
      <c r="Q586" s="518">
        <f t="shared" ref="Q586:Q599" si="147">O586*P586</f>
        <v>33750</v>
      </c>
      <c r="R586" s="299"/>
      <c r="S586" s="299"/>
      <c r="T586" s="299">
        <v>6750</v>
      </c>
      <c r="U586" s="299"/>
      <c r="V586" s="299"/>
      <c r="W586" s="299">
        <v>13500</v>
      </c>
      <c r="X586" s="1142">
        <v>13500</v>
      </c>
      <c r="Y586" s="1127"/>
      <c r="Z586" s="1127"/>
      <c r="AA586" s="1127"/>
      <c r="AB586" s="1127"/>
      <c r="AC586" s="1127"/>
      <c r="AD586" s="1127"/>
      <c r="AE586" s="1127"/>
      <c r="AF586" s="1127"/>
      <c r="AG586" s="1282">
        <f t="shared" ref="AG586:AG599" si="148">SUM(S586:AF586)</f>
        <v>33750</v>
      </c>
    </row>
    <row r="587" spans="1:33" ht="141.75" hidden="1">
      <c r="A587" s="294">
        <v>6322</v>
      </c>
      <c r="B587" s="291" t="s">
        <v>422</v>
      </c>
      <c r="C587" s="824"/>
      <c r="D587" s="326"/>
      <c r="E587" s="294"/>
      <c r="F587" s="1017">
        <v>43227</v>
      </c>
      <c r="G587" s="1017">
        <v>43238</v>
      </c>
      <c r="H587" s="1875" t="s">
        <v>421</v>
      </c>
      <c r="I587" s="294" t="s">
        <v>181</v>
      </c>
      <c r="J587" s="307" t="s">
        <v>423</v>
      </c>
      <c r="K587" s="326" t="s">
        <v>424</v>
      </c>
      <c r="L587" s="1237">
        <v>23174</v>
      </c>
      <c r="M587" s="326"/>
      <c r="N587" s="294"/>
      <c r="O587" s="354">
        <v>3360</v>
      </c>
      <c r="P587" s="1014">
        <v>2</v>
      </c>
      <c r="Q587" s="299">
        <f t="shared" si="147"/>
        <v>6720</v>
      </c>
      <c r="R587" s="299"/>
      <c r="S587" s="355"/>
      <c r="T587" s="355"/>
      <c r="U587" s="355">
        <v>6720</v>
      </c>
      <c r="V587" s="355"/>
      <c r="W587" s="355"/>
      <c r="X587" s="1137"/>
      <c r="Y587" s="1126"/>
      <c r="Z587" s="1126"/>
      <c r="AA587" s="1126"/>
      <c r="AB587" s="1126"/>
      <c r="AC587" s="1126"/>
      <c r="AD587" s="1126"/>
      <c r="AE587" s="1126"/>
      <c r="AF587" s="1126"/>
      <c r="AG587" s="1282">
        <f t="shared" si="148"/>
        <v>6720</v>
      </c>
    </row>
    <row r="588" spans="1:33" ht="141.75" hidden="1">
      <c r="A588" s="294">
        <v>6322</v>
      </c>
      <c r="B588" s="291" t="s">
        <v>422</v>
      </c>
      <c r="C588" s="824"/>
      <c r="D588" s="326"/>
      <c r="E588" s="294"/>
      <c r="F588" s="1017">
        <v>43227</v>
      </c>
      <c r="G588" s="1017">
        <v>43238</v>
      </c>
      <c r="H588" s="1875" t="s">
        <v>421</v>
      </c>
      <c r="I588" s="294" t="s">
        <v>181</v>
      </c>
      <c r="J588" s="307" t="s">
        <v>423</v>
      </c>
      <c r="K588" s="326" t="s">
        <v>425</v>
      </c>
      <c r="L588" s="1237">
        <v>23174</v>
      </c>
      <c r="M588" s="326"/>
      <c r="N588" s="294"/>
      <c r="O588" s="354">
        <v>3200</v>
      </c>
      <c r="P588" s="1014">
        <v>2</v>
      </c>
      <c r="Q588" s="299">
        <f t="shared" si="147"/>
        <v>6400</v>
      </c>
      <c r="R588" s="299"/>
      <c r="S588" s="355"/>
      <c r="T588" s="355"/>
      <c r="U588" s="355">
        <v>6400</v>
      </c>
      <c r="V588" s="355"/>
      <c r="W588" s="355"/>
      <c r="X588" s="1137"/>
      <c r="Y588" s="1126"/>
      <c r="Z588" s="1126"/>
      <c r="AA588" s="1126"/>
      <c r="AB588" s="1126"/>
      <c r="AC588" s="1126"/>
      <c r="AD588" s="1126"/>
      <c r="AE588" s="1126"/>
      <c r="AF588" s="1126"/>
      <c r="AG588" s="1282">
        <f t="shared" si="148"/>
        <v>6400</v>
      </c>
    </row>
    <row r="589" spans="1:33" ht="141.75" hidden="1">
      <c r="A589" s="294">
        <v>6322</v>
      </c>
      <c r="B589" s="291" t="s">
        <v>422</v>
      </c>
      <c r="C589" s="824"/>
      <c r="D589" s="326"/>
      <c r="E589" s="294"/>
      <c r="F589" s="1017">
        <v>43227</v>
      </c>
      <c r="G589" s="1017">
        <v>43238</v>
      </c>
      <c r="H589" s="1875" t="s">
        <v>421</v>
      </c>
      <c r="I589" s="294" t="s">
        <v>181</v>
      </c>
      <c r="J589" s="307" t="s">
        <v>423</v>
      </c>
      <c r="K589" s="326" t="s">
        <v>426</v>
      </c>
      <c r="L589" s="1237">
        <v>23174</v>
      </c>
      <c r="M589" s="326"/>
      <c r="N589" s="294"/>
      <c r="O589" s="354">
        <v>1333.3333333333333</v>
      </c>
      <c r="P589" s="1014">
        <v>2</v>
      </c>
      <c r="Q589" s="299">
        <f t="shared" si="147"/>
        <v>2666.6666666666665</v>
      </c>
      <c r="R589" s="299"/>
      <c r="S589" s="355"/>
      <c r="T589" s="355"/>
      <c r="U589" s="355">
        <v>2666.6666666666665</v>
      </c>
      <c r="V589" s="355"/>
      <c r="W589" s="355"/>
      <c r="X589" s="1137"/>
      <c r="Y589" s="1126"/>
      <c r="Z589" s="1126"/>
      <c r="AA589" s="1126"/>
      <c r="AB589" s="1126"/>
      <c r="AC589" s="1126"/>
      <c r="AD589" s="1126"/>
      <c r="AE589" s="1126"/>
      <c r="AF589" s="1126"/>
      <c r="AG589" s="1282">
        <f t="shared" si="148"/>
        <v>2666.6666666666665</v>
      </c>
    </row>
    <row r="590" spans="1:33" ht="141.75" hidden="1">
      <c r="A590" s="294">
        <v>6322</v>
      </c>
      <c r="B590" s="291" t="s">
        <v>422</v>
      </c>
      <c r="C590" s="824"/>
      <c r="D590" s="326"/>
      <c r="E590" s="294"/>
      <c r="F590" s="1017">
        <v>43227</v>
      </c>
      <c r="G590" s="1017">
        <v>43238</v>
      </c>
      <c r="H590" s="1875" t="s">
        <v>421</v>
      </c>
      <c r="I590" s="294" t="s">
        <v>181</v>
      </c>
      <c r="J590" s="307" t="s">
        <v>423</v>
      </c>
      <c r="K590" s="326" t="s">
        <v>415</v>
      </c>
      <c r="L590" s="1237">
        <v>23173</v>
      </c>
      <c r="M590" s="326"/>
      <c r="N590" s="294"/>
      <c r="O590" s="354">
        <v>166.66666666666666</v>
      </c>
      <c r="P590" s="1014">
        <v>2</v>
      </c>
      <c r="Q590" s="299">
        <f t="shared" si="147"/>
        <v>333.33333333333331</v>
      </c>
      <c r="R590" s="299"/>
      <c r="S590" s="355"/>
      <c r="T590" s="355"/>
      <c r="U590" s="355">
        <v>333.33333333333331</v>
      </c>
      <c r="V590" s="355"/>
      <c r="W590" s="355"/>
      <c r="X590" s="1137"/>
      <c r="Y590" s="1126"/>
      <c r="Z590" s="1126"/>
      <c r="AA590" s="1126"/>
      <c r="AB590" s="1126"/>
      <c r="AC590" s="1126"/>
      <c r="AD590" s="1126"/>
      <c r="AE590" s="1126"/>
      <c r="AF590" s="1126"/>
      <c r="AG590" s="1282">
        <f t="shared" si="148"/>
        <v>333.33333333333331</v>
      </c>
    </row>
    <row r="591" spans="1:33" ht="141.75" hidden="1">
      <c r="A591" s="294">
        <v>6322</v>
      </c>
      <c r="B591" s="291" t="s">
        <v>422</v>
      </c>
      <c r="C591" s="824"/>
      <c r="D591" s="326"/>
      <c r="E591" s="294"/>
      <c r="F591" s="1017">
        <v>43227</v>
      </c>
      <c r="G591" s="1017">
        <v>43238</v>
      </c>
      <c r="H591" s="1875" t="s">
        <v>421</v>
      </c>
      <c r="I591" s="294" t="s">
        <v>181</v>
      </c>
      <c r="J591" s="307" t="s">
        <v>423</v>
      </c>
      <c r="K591" s="326" t="s">
        <v>427</v>
      </c>
      <c r="L591" s="1237">
        <v>23173</v>
      </c>
      <c r="M591" s="326"/>
      <c r="N591" s="294"/>
      <c r="O591" s="354">
        <v>1463</v>
      </c>
      <c r="P591" s="1014">
        <v>1</v>
      </c>
      <c r="Q591" s="299">
        <f t="shared" si="147"/>
        <v>1463</v>
      </c>
      <c r="R591" s="299"/>
      <c r="S591" s="355"/>
      <c r="T591" s="355"/>
      <c r="U591" s="355">
        <v>1463</v>
      </c>
      <c r="V591" s="355"/>
      <c r="W591" s="355"/>
      <c r="X591" s="1137"/>
      <c r="Y591" s="1126"/>
      <c r="Z591" s="1126"/>
      <c r="AA591" s="1126"/>
      <c r="AB591" s="1126"/>
      <c r="AC591" s="1126"/>
      <c r="AD591" s="1126"/>
      <c r="AE591" s="1126"/>
      <c r="AF591" s="1126"/>
      <c r="AG591" s="1282">
        <f t="shared" si="148"/>
        <v>1463</v>
      </c>
    </row>
    <row r="592" spans="1:33" ht="141.75" hidden="1">
      <c r="A592" s="294">
        <v>6323</v>
      </c>
      <c r="B592" s="291" t="s">
        <v>428</v>
      </c>
      <c r="C592" s="824" t="s">
        <v>429</v>
      </c>
      <c r="D592" s="326"/>
      <c r="E592" s="294"/>
      <c r="F592" s="1017">
        <v>43264</v>
      </c>
      <c r="G592" s="1017">
        <v>43264</v>
      </c>
      <c r="H592" s="1875" t="s">
        <v>421</v>
      </c>
      <c r="I592" s="294" t="s">
        <v>181</v>
      </c>
      <c r="J592" s="307" t="s">
        <v>423</v>
      </c>
      <c r="K592" s="326" t="s">
        <v>418</v>
      </c>
      <c r="L592" s="1237">
        <v>23173</v>
      </c>
      <c r="M592" s="326"/>
      <c r="N592" s="294"/>
      <c r="O592" s="354">
        <v>666.66666666666663</v>
      </c>
      <c r="P592" s="1014">
        <v>1</v>
      </c>
      <c r="Q592" s="299">
        <f t="shared" si="147"/>
        <v>666.66666666666663</v>
      </c>
      <c r="R592" s="299"/>
      <c r="S592" s="355"/>
      <c r="T592" s="355"/>
      <c r="U592" s="355"/>
      <c r="V592" s="355">
        <v>666.66666666666663</v>
      </c>
      <c r="W592" s="355"/>
      <c r="X592" s="1137"/>
      <c r="Y592" s="1126"/>
      <c r="Z592" s="1126"/>
      <c r="AA592" s="1126"/>
      <c r="AB592" s="1126"/>
      <c r="AC592" s="1126"/>
      <c r="AD592" s="1126"/>
      <c r="AE592" s="1126"/>
      <c r="AF592" s="1126"/>
      <c r="AG592" s="1282">
        <f t="shared" si="148"/>
        <v>666.66666666666663</v>
      </c>
    </row>
    <row r="593" spans="1:33" ht="141.75" hidden="1">
      <c r="A593" s="294">
        <v>6323</v>
      </c>
      <c r="B593" s="291" t="s">
        <v>428</v>
      </c>
      <c r="C593" s="824" t="s">
        <v>429</v>
      </c>
      <c r="D593" s="326"/>
      <c r="E593" s="294"/>
      <c r="F593" s="1017">
        <v>43264</v>
      </c>
      <c r="G593" s="1017">
        <v>43264</v>
      </c>
      <c r="H593" s="1875" t="s">
        <v>421</v>
      </c>
      <c r="I593" s="294" t="s">
        <v>181</v>
      </c>
      <c r="J593" s="307" t="s">
        <v>423</v>
      </c>
      <c r="K593" s="326" t="s">
        <v>415</v>
      </c>
      <c r="L593" s="1237">
        <v>23173</v>
      </c>
      <c r="M593" s="326"/>
      <c r="N593" s="294"/>
      <c r="O593" s="354">
        <v>333.33333333333331</v>
      </c>
      <c r="P593" s="1014">
        <v>1</v>
      </c>
      <c r="Q593" s="299">
        <f t="shared" si="147"/>
        <v>333.33333333333331</v>
      </c>
      <c r="R593" s="299"/>
      <c r="S593" s="355"/>
      <c r="T593" s="355"/>
      <c r="U593" s="355"/>
      <c r="V593" s="355">
        <v>333.33333333333331</v>
      </c>
      <c r="W593" s="355"/>
      <c r="X593" s="1137"/>
      <c r="Y593" s="1126"/>
      <c r="Z593" s="1126"/>
      <c r="AA593" s="1126"/>
      <c r="AB593" s="1126"/>
      <c r="AC593" s="1126"/>
      <c r="AD593" s="1126"/>
      <c r="AE593" s="1126"/>
      <c r="AF593" s="1126"/>
      <c r="AG593" s="1282">
        <f t="shared" si="148"/>
        <v>333.33333333333331</v>
      </c>
    </row>
    <row r="594" spans="1:33" ht="141.75" hidden="1">
      <c r="A594" s="294">
        <v>6323</v>
      </c>
      <c r="B594" s="291" t="s">
        <v>428</v>
      </c>
      <c r="C594" s="824" t="s">
        <v>429</v>
      </c>
      <c r="D594" s="326"/>
      <c r="E594" s="294"/>
      <c r="F594" s="1017">
        <v>43264</v>
      </c>
      <c r="G594" s="1017">
        <v>43264</v>
      </c>
      <c r="H594" s="1875" t="s">
        <v>421</v>
      </c>
      <c r="I594" s="294" t="s">
        <v>181</v>
      </c>
      <c r="J594" s="307" t="s">
        <v>423</v>
      </c>
      <c r="K594" s="326" t="s">
        <v>430</v>
      </c>
      <c r="L594" s="1237">
        <v>23173</v>
      </c>
      <c r="M594" s="326"/>
      <c r="N594" s="294"/>
      <c r="O594" s="354">
        <v>23.33</v>
      </c>
      <c r="P594" s="1014">
        <v>200</v>
      </c>
      <c r="Q594" s="299">
        <f t="shared" si="147"/>
        <v>4666</v>
      </c>
      <c r="R594" s="299"/>
      <c r="S594" s="355"/>
      <c r="T594" s="355"/>
      <c r="U594" s="355"/>
      <c r="V594" s="355"/>
      <c r="W594" s="355">
        <v>4666</v>
      </c>
      <c r="X594" s="1137"/>
      <c r="Y594" s="1126"/>
      <c r="Z594" s="1126"/>
      <c r="AA594" s="1126"/>
      <c r="AB594" s="1126"/>
      <c r="AC594" s="1126"/>
      <c r="AD594" s="1126"/>
      <c r="AE594" s="1126"/>
      <c r="AF594" s="1126"/>
      <c r="AG594" s="1282">
        <f t="shared" si="148"/>
        <v>4666</v>
      </c>
    </row>
    <row r="595" spans="1:33" ht="141.75" hidden="1">
      <c r="A595" s="294">
        <v>6324</v>
      </c>
      <c r="B595" s="291" t="s">
        <v>431</v>
      </c>
      <c r="C595" s="824" t="s">
        <v>432</v>
      </c>
      <c r="D595" s="326"/>
      <c r="E595" s="294"/>
      <c r="F595" s="1017">
        <v>43255</v>
      </c>
      <c r="G595" s="1017">
        <v>43287</v>
      </c>
      <c r="H595" s="1875" t="s">
        <v>421</v>
      </c>
      <c r="I595" s="294" t="s">
        <v>181</v>
      </c>
      <c r="J595" s="307" t="s">
        <v>423</v>
      </c>
      <c r="K595" s="326" t="s">
        <v>433</v>
      </c>
      <c r="L595" s="1237">
        <v>23174</v>
      </c>
      <c r="M595" s="326"/>
      <c r="N595" s="294"/>
      <c r="O595" s="354">
        <v>3360</v>
      </c>
      <c r="P595" s="1014">
        <v>3</v>
      </c>
      <c r="Q595" s="299">
        <f t="shared" si="147"/>
        <v>10080</v>
      </c>
      <c r="R595" s="299"/>
      <c r="S595" s="355"/>
      <c r="T595" s="355"/>
      <c r="U595" s="355"/>
      <c r="V595" s="299">
        <v>6720</v>
      </c>
      <c r="W595" s="299">
        <v>3360</v>
      </c>
      <c r="X595" s="1137"/>
      <c r="Y595" s="1126"/>
      <c r="Z595" s="1126"/>
      <c r="AA595" s="1126"/>
      <c r="AB595" s="1126"/>
      <c r="AC595" s="1126"/>
      <c r="AD595" s="1126"/>
      <c r="AE595" s="1126"/>
      <c r="AF595" s="1126"/>
      <c r="AG595" s="1282">
        <f t="shared" si="148"/>
        <v>10080</v>
      </c>
    </row>
    <row r="596" spans="1:33" ht="141.75" hidden="1">
      <c r="A596" s="294">
        <v>6324</v>
      </c>
      <c r="B596" s="291" t="s">
        <v>431</v>
      </c>
      <c r="C596" s="824" t="s">
        <v>432</v>
      </c>
      <c r="D596" s="326"/>
      <c r="E596" s="294"/>
      <c r="F596" s="1017">
        <v>43255</v>
      </c>
      <c r="G596" s="1017">
        <v>43287</v>
      </c>
      <c r="H596" s="1875" t="s">
        <v>421</v>
      </c>
      <c r="I596" s="294" t="s">
        <v>181</v>
      </c>
      <c r="J596" s="307" t="s">
        <v>423</v>
      </c>
      <c r="K596" s="326" t="s">
        <v>434</v>
      </c>
      <c r="L596" s="1237">
        <v>23174</v>
      </c>
      <c r="M596" s="326"/>
      <c r="N596" s="294"/>
      <c r="O596" s="354">
        <v>3200</v>
      </c>
      <c r="P596" s="1014">
        <v>3</v>
      </c>
      <c r="Q596" s="299">
        <f t="shared" si="147"/>
        <v>9600</v>
      </c>
      <c r="R596" s="299"/>
      <c r="S596" s="355"/>
      <c r="T596" s="355"/>
      <c r="U596" s="355"/>
      <c r="V596" s="299">
        <v>6400</v>
      </c>
      <c r="W596" s="299">
        <v>3200</v>
      </c>
      <c r="X596" s="1137"/>
      <c r="Y596" s="1126"/>
      <c r="Z596" s="1126"/>
      <c r="AA596" s="1126"/>
      <c r="AB596" s="1126"/>
      <c r="AC596" s="1126"/>
      <c r="AD596" s="1126"/>
      <c r="AE596" s="1126"/>
      <c r="AF596" s="1126"/>
      <c r="AG596" s="1282">
        <f t="shared" si="148"/>
        <v>9600</v>
      </c>
    </row>
    <row r="597" spans="1:33" ht="141.75" hidden="1">
      <c r="A597" s="294">
        <v>6324</v>
      </c>
      <c r="B597" s="291" t="s">
        <v>431</v>
      </c>
      <c r="C597" s="824" t="s">
        <v>432</v>
      </c>
      <c r="D597" s="326"/>
      <c r="E597" s="294"/>
      <c r="F597" s="1017">
        <v>43255</v>
      </c>
      <c r="G597" s="1017">
        <v>43287</v>
      </c>
      <c r="H597" s="1875" t="s">
        <v>421</v>
      </c>
      <c r="I597" s="294" t="s">
        <v>181</v>
      </c>
      <c r="J597" s="307" t="s">
        <v>423</v>
      </c>
      <c r="K597" s="326" t="s">
        <v>435</v>
      </c>
      <c r="L597" s="1237">
        <v>23174</v>
      </c>
      <c r="M597" s="326"/>
      <c r="N597" s="294"/>
      <c r="O597" s="354">
        <v>1333.3333333333333</v>
      </c>
      <c r="P597" s="1014">
        <v>3</v>
      </c>
      <c r="Q597" s="299">
        <f t="shared" si="147"/>
        <v>4000</v>
      </c>
      <c r="R597" s="299"/>
      <c r="S597" s="355"/>
      <c r="T597" s="355"/>
      <c r="U597" s="355"/>
      <c r="V597" s="299">
        <v>2666.6666666666665</v>
      </c>
      <c r="W597" s="299">
        <v>1333.3333333333333</v>
      </c>
      <c r="X597" s="1137"/>
      <c r="Y597" s="1126"/>
      <c r="Z597" s="1126"/>
      <c r="AA597" s="1126"/>
      <c r="AB597" s="1126"/>
      <c r="AC597" s="1126"/>
      <c r="AD597" s="1126"/>
      <c r="AE597" s="1126"/>
      <c r="AF597" s="1126"/>
      <c r="AG597" s="1282">
        <f t="shared" si="148"/>
        <v>4000</v>
      </c>
    </row>
    <row r="598" spans="1:33" ht="141.75" hidden="1">
      <c r="A598" s="294">
        <v>6324</v>
      </c>
      <c r="B598" s="291" t="s">
        <v>431</v>
      </c>
      <c r="C598" s="824" t="s">
        <v>432</v>
      </c>
      <c r="D598" s="326"/>
      <c r="E598" s="294"/>
      <c r="F598" s="1017">
        <v>43255</v>
      </c>
      <c r="G598" s="1017">
        <v>43287</v>
      </c>
      <c r="H598" s="1875" t="s">
        <v>421</v>
      </c>
      <c r="I598" s="294" t="s">
        <v>181</v>
      </c>
      <c r="J598" s="307" t="s">
        <v>423</v>
      </c>
      <c r="K598" s="326" t="s">
        <v>415</v>
      </c>
      <c r="L598" s="1237">
        <v>23173</v>
      </c>
      <c r="M598" s="326"/>
      <c r="N598" s="294"/>
      <c r="O598" s="354">
        <v>1666.66</v>
      </c>
      <c r="P598" s="1014">
        <v>3</v>
      </c>
      <c r="Q598" s="299">
        <f t="shared" si="147"/>
        <v>4999.9800000000005</v>
      </c>
      <c r="R598" s="299"/>
      <c r="S598" s="355"/>
      <c r="T598" s="355"/>
      <c r="U598" s="355"/>
      <c r="V598" s="299">
        <v>3333.3199999999997</v>
      </c>
      <c r="W598" s="299">
        <v>1666.6599999999999</v>
      </c>
      <c r="X598" s="1137"/>
      <c r="Y598" s="1126"/>
      <c r="Z598" s="1126"/>
      <c r="AA598" s="1126"/>
      <c r="AB598" s="1126"/>
      <c r="AC598" s="1126"/>
      <c r="AD598" s="1126"/>
      <c r="AE598" s="1126"/>
      <c r="AF598" s="1126"/>
      <c r="AG598" s="1282">
        <f t="shared" si="148"/>
        <v>4999.9799999999996</v>
      </c>
    </row>
    <row r="599" spans="1:33" ht="141.75" hidden="1">
      <c r="A599" s="294">
        <v>6324</v>
      </c>
      <c r="B599" s="291" t="s">
        <v>431</v>
      </c>
      <c r="C599" s="824" t="s">
        <v>432</v>
      </c>
      <c r="D599" s="326"/>
      <c r="E599" s="294"/>
      <c r="F599" s="1017">
        <v>43255</v>
      </c>
      <c r="G599" s="1017">
        <v>43287</v>
      </c>
      <c r="H599" s="1875" t="s">
        <v>421</v>
      </c>
      <c r="I599" s="294" t="s">
        <v>181</v>
      </c>
      <c r="J599" s="307" t="s">
        <v>423</v>
      </c>
      <c r="K599" s="326" t="s">
        <v>436</v>
      </c>
      <c r="L599" s="1237">
        <v>23173</v>
      </c>
      <c r="M599" s="326"/>
      <c r="N599" s="294"/>
      <c r="O599" s="354">
        <v>23.33</v>
      </c>
      <c r="P599" s="1014">
        <v>200</v>
      </c>
      <c r="Q599" s="299">
        <f t="shared" si="147"/>
        <v>4666</v>
      </c>
      <c r="R599" s="913"/>
      <c r="S599" s="1111"/>
      <c r="T599" s="1111"/>
      <c r="U599" s="1111"/>
      <c r="V599" s="1111"/>
      <c r="W599" s="1111"/>
      <c r="X599" s="1600">
        <v>4666</v>
      </c>
      <c r="Y599" s="1126"/>
      <c r="Z599" s="1126"/>
      <c r="AA599" s="1126"/>
      <c r="AB599" s="1126"/>
      <c r="AC599" s="1126"/>
      <c r="AD599" s="1126"/>
      <c r="AE599" s="1126"/>
      <c r="AF599" s="1126"/>
      <c r="AG599" s="1282">
        <f t="shared" si="148"/>
        <v>4666</v>
      </c>
    </row>
    <row r="600" spans="1:33" ht="29.25" customHeight="1">
      <c r="A600" s="1876" t="s">
        <v>967</v>
      </c>
      <c r="B600" s="1877"/>
      <c r="C600" s="1878"/>
      <c r="D600" s="1879"/>
      <c r="E600" s="1879"/>
      <c r="F600" s="1879"/>
      <c r="G600" s="1879"/>
      <c r="H600" s="1879"/>
      <c r="I600" s="1879"/>
      <c r="J600" s="1877"/>
      <c r="K600" s="1880"/>
      <c r="L600" s="1879"/>
      <c r="M600" s="1879"/>
      <c r="N600" s="1879"/>
      <c r="O600" s="1879"/>
      <c r="P600" s="1881"/>
      <c r="Q600" s="2831">
        <f>Q7+Q222+Q360+Q437+Q561+Q565</f>
        <v>3000000.2165516666</v>
      </c>
      <c r="R600" s="2831">
        <f>+R7+R222+R360+R437+R561+R565</f>
        <v>3000000.2195833335</v>
      </c>
      <c r="S600" s="1882">
        <f t="shared" ref="S600:AG600" si="149">S7+S222+S360+S437+S561+S565</f>
        <v>0</v>
      </c>
      <c r="T600" s="1882">
        <f t="shared" si="149"/>
        <v>528087.73300000001</v>
      </c>
      <c r="U600" s="1882">
        <f t="shared" si="149"/>
        <v>700099.02746833337</v>
      </c>
      <c r="V600" s="1882">
        <f t="shared" si="149"/>
        <v>722283.3158333333</v>
      </c>
      <c r="W600" s="1882">
        <f t="shared" si="149"/>
        <v>393363.10145833332</v>
      </c>
      <c r="X600" s="1882">
        <f t="shared" si="149"/>
        <v>321211.94487500004</v>
      </c>
      <c r="Y600" s="1882">
        <f t="shared" si="149"/>
        <v>276848.42725000001</v>
      </c>
      <c r="Z600" s="1882">
        <f t="shared" si="149"/>
        <v>34266.666666666672</v>
      </c>
      <c r="AA600" s="1882">
        <f t="shared" si="149"/>
        <v>11640</v>
      </c>
      <c r="AB600" s="1882">
        <f t="shared" si="149"/>
        <v>500</v>
      </c>
      <c r="AC600" s="1882">
        <f t="shared" si="149"/>
        <v>500</v>
      </c>
      <c r="AD600" s="1882">
        <f t="shared" si="149"/>
        <v>10200</v>
      </c>
      <c r="AE600" s="1882">
        <f t="shared" si="149"/>
        <v>500</v>
      </c>
      <c r="AF600" s="1882">
        <f t="shared" si="149"/>
        <v>500</v>
      </c>
      <c r="AG600" s="1882">
        <f t="shared" si="149"/>
        <v>3000000.2165516666</v>
      </c>
    </row>
    <row r="601" spans="1:33">
      <c r="AE601" s="357"/>
      <c r="AG601" s="1614"/>
    </row>
    <row r="602" spans="1:33">
      <c r="AE602" s="357"/>
      <c r="AG602" s="357"/>
    </row>
    <row r="603" spans="1:33">
      <c r="AE603" s="357"/>
      <c r="AG603" s="357"/>
    </row>
  </sheetData>
  <mergeCells count="6">
    <mergeCell ref="A558:I558"/>
    <mergeCell ref="A2:AG2"/>
    <mergeCell ref="F5:G5"/>
    <mergeCell ref="I5:J5"/>
    <mergeCell ref="S5:Y5"/>
    <mergeCell ref="A535:I535"/>
  </mergeCells>
  <conditionalFormatting sqref="F483 G496:G499">
    <cfRule type="cellIs" dxfId="133" priority="57" operator="lessThanOrEqual">
      <formula>0</formula>
    </cfRule>
  </conditionalFormatting>
  <conditionalFormatting sqref="G483">
    <cfRule type="cellIs" dxfId="132" priority="56" operator="lessThanOrEqual">
      <formula>0</formula>
    </cfRule>
  </conditionalFormatting>
  <conditionalFormatting sqref="G483">
    <cfRule type="cellIs" dxfId="131" priority="55" operator="lessThanOrEqual">
      <formula>0</formula>
    </cfRule>
  </conditionalFormatting>
  <conditionalFormatting sqref="F496">
    <cfRule type="cellIs" dxfId="130" priority="48" operator="lessThanOrEqual">
      <formula>0</formula>
    </cfRule>
  </conditionalFormatting>
  <conditionalFormatting sqref="F498">
    <cfRule type="cellIs" dxfId="129" priority="47" operator="lessThanOrEqual">
      <formula>0</formula>
    </cfRule>
  </conditionalFormatting>
  <conditionalFormatting sqref="F488">
    <cfRule type="cellIs" dxfId="128" priority="54" operator="lessThanOrEqual">
      <formula>0</formula>
    </cfRule>
  </conditionalFormatting>
  <conditionalFormatting sqref="F490">
    <cfRule type="cellIs" dxfId="127" priority="53" operator="lessThanOrEqual">
      <formula>0</formula>
    </cfRule>
  </conditionalFormatting>
  <conditionalFormatting sqref="F492">
    <cfRule type="cellIs" dxfId="126" priority="52" operator="lessThanOrEqual">
      <formula>0</formula>
    </cfRule>
  </conditionalFormatting>
  <conditionalFormatting sqref="F494">
    <cfRule type="cellIs" dxfId="125" priority="51" operator="lessThanOrEqual">
      <formula>0</formula>
    </cfRule>
  </conditionalFormatting>
  <conditionalFormatting sqref="F499">
    <cfRule type="cellIs" dxfId="124" priority="50" operator="lessThanOrEqual">
      <formula>0</formula>
    </cfRule>
  </conditionalFormatting>
  <conditionalFormatting sqref="F497">
    <cfRule type="cellIs" dxfId="123" priority="49" operator="lessThanOrEqual">
      <formula>0</formula>
    </cfRule>
  </conditionalFormatting>
  <conditionalFormatting sqref="F502">
    <cfRule type="cellIs" dxfId="122" priority="46" operator="lessThanOrEqual">
      <formula>0</formula>
    </cfRule>
  </conditionalFormatting>
  <conditionalFormatting sqref="F511">
    <cfRule type="cellIs" dxfId="121" priority="44" operator="lessThanOrEqual">
      <formula>0</formula>
    </cfRule>
  </conditionalFormatting>
  <conditionalFormatting sqref="F505">
    <cfRule type="cellIs" dxfId="120" priority="45" operator="lessThanOrEqual">
      <formula>0</formula>
    </cfRule>
  </conditionalFormatting>
  <conditionalFormatting sqref="F512">
    <cfRule type="cellIs" dxfId="119" priority="43" operator="lessThanOrEqual">
      <formula>0</formula>
    </cfRule>
  </conditionalFormatting>
  <conditionalFormatting sqref="F514">
    <cfRule type="cellIs" dxfId="118" priority="42" operator="lessThanOrEqual">
      <formula>0</formula>
    </cfRule>
  </conditionalFormatting>
  <conditionalFormatting sqref="F487">
    <cfRule type="cellIs" dxfId="117" priority="40" operator="lessThanOrEqual">
      <formula>0</formula>
    </cfRule>
  </conditionalFormatting>
  <conditionalFormatting sqref="F509">
    <cfRule type="cellIs" dxfId="116" priority="41" operator="lessThanOrEqual">
      <formula>0</formula>
    </cfRule>
  </conditionalFormatting>
  <conditionalFormatting sqref="G488">
    <cfRule type="cellIs" dxfId="115" priority="37" operator="lessThanOrEqual">
      <formula>0</formula>
    </cfRule>
  </conditionalFormatting>
  <conditionalFormatting sqref="G487">
    <cfRule type="cellIs" dxfId="114" priority="39" operator="lessThanOrEqual">
      <formula>0</formula>
    </cfRule>
  </conditionalFormatting>
  <conditionalFormatting sqref="G487">
    <cfRule type="cellIs" dxfId="113" priority="38" operator="lessThanOrEqual">
      <formula>0</formula>
    </cfRule>
  </conditionalFormatting>
  <conditionalFormatting sqref="G488">
    <cfRule type="cellIs" dxfId="112" priority="36" operator="lessThanOrEqual">
      <formula>0</formula>
    </cfRule>
  </conditionalFormatting>
  <conditionalFormatting sqref="F489">
    <cfRule type="cellIs" dxfId="111" priority="35" operator="lessThanOrEqual">
      <formula>0</formula>
    </cfRule>
  </conditionalFormatting>
  <conditionalFormatting sqref="G489">
    <cfRule type="cellIs" dxfId="110" priority="34" operator="lessThanOrEqual">
      <formula>0</formula>
    </cfRule>
  </conditionalFormatting>
  <conditionalFormatting sqref="G489">
    <cfRule type="cellIs" dxfId="109" priority="33" operator="lessThanOrEqual">
      <formula>0</formula>
    </cfRule>
  </conditionalFormatting>
  <conditionalFormatting sqref="G490">
    <cfRule type="cellIs" dxfId="108" priority="32" operator="lessThanOrEqual">
      <formula>0</formula>
    </cfRule>
  </conditionalFormatting>
  <conditionalFormatting sqref="G490">
    <cfRule type="cellIs" dxfId="107" priority="31" operator="lessThanOrEqual">
      <formula>0</formula>
    </cfRule>
  </conditionalFormatting>
  <conditionalFormatting sqref="G492">
    <cfRule type="cellIs" dxfId="106" priority="30" operator="lessThanOrEqual">
      <formula>0</formula>
    </cfRule>
  </conditionalFormatting>
  <conditionalFormatting sqref="G492">
    <cfRule type="cellIs" dxfId="105" priority="29" operator="lessThanOrEqual">
      <formula>0</formula>
    </cfRule>
  </conditionalFormatting>
  <conditionalFormatting sqref="G494">
    <cfRule type="cellIs" dxfId="104" priority="28" operator="lessThanOrEqual">
      <formula>0</formula>
    </cfRule>
  </conditionalFormatting>
  <conditionalFormatting sqref="G494">
    <cfRule type="cellIs" dxfId="103" priority="27" operator="lessThanOrEqual">
      <formula>0</formula>
    </cfRule>
  </conditionalFormatting>
  <conditionalFormatting sqref="F501">
    <cfRule type="cellIs" dxfId="102" priority="26" operator="lessThanOrEqual">
      <formula>0</formula>
    </cfRule>
  </conditionalFormatting>
  <conditionalFormatting sqref="G509">
    <cfRule type="cellIs" dxfId="101" priority="18" operator="lessThanOrEqual">
      <formula>0</formula>
    </cfRule>
  </conditionalFormatting>
  <conditionalFormatting sqref="G501">
    <cfRule type="cellIs" dxfId="100" priority="25" operator="lessThanOrEqual">
      <formula>0</formula>
    </cfRule>
  </conditionalFormatting>
  <conditionalFormatting sqref="G502">
    <cfRule type="cellIs" dxfId="99" priority="24" operator="lessThanOrEqual">
      <formula>0</formula>
    </cfRule>
  </conditionalFormatting>
  <conditionalFormatting sqref="F503:F504">
    <cfRule type="cellIs" dxfId="98" priority="23" operator="lessThanOrEqual">
      <formula>0</formula>
    </cfRule>
  </conditionalFormatting>
  <conditionalFormatting sqref="G503:G504">
    <cfRule type="cellIs" dxfId="97" priority="22" operator="lessThanOrEqual">
      <formula>0</formula>
    </cfRule>
  </conditionalFormatting>
  <conditionalFormatting sqref="G505">
    <cfRule type="cellIs" dxfId="96" priority="21" operator="lessThanOrEqual">
      <formula>0</formula>
    </cfRule>
  </conditionalFormatting>
  <conditionalFormatting sqref="F506:F507">
    <cfRule type="cellIs" dxfId="95" priority="20" operator="lessThanOrEqual">
      <formula>0</formula>
    </cfRule>
  </conditionalFormatting>
  <conditionalFormatting sqref="G506:G507">
    <cfRule type="cellIs" dxfId="94" priority="19" operator="lessThanOrEqual">
      <formula>0</formula>
    </cfRule>
  </conditionalFormatting>
  <conditionalFormatting sqref="G511:G512">
    <cfRule type="cellIs" dxfId="93" priority="17" operator="lessThanOrEqual">
      <formula>0</formula>
    </cfRule>
  </conditionalFormatting>
  <conditionalFormatting sqref="F515">
    <cfRule type="cellIs" dxfId="92" priority="15" operator="lessThanOrEqual">
      <formula>0</formula>
    </cfRule>
  </conditionalFormatting>
  <conditionalFormatting sqref="G514:G515">
    <cfRule type="cellIs" dxfId="91" priority="16" operator="lessThanOrEqual">
      <formula>0</formula>
    </cfRule>
  </conditionalFormatting>
  <conditionalFormatting sqref="F519">
    <cfRule type="cellIs" dxfId="90" priority="11" operator="lessThanOrEqual">
      <formula>0</formula>
    </cfRule>
  </conditionalFormatting>
  <conditionalFormatting sqref="F516:F518">
    <cfRule type="cellIs" dxfId="89" priority="14" operator="lessThanOrEqual">
      <formula>0</formula>
    </cfRule>
  </conditionalFormatting>
  <conditionalFormatting sqref="G519">
    <cfRule type="cellIs" dxfId="88" priority="12" operator="lessThanOrEqual">
      <formula>0</formula>
    </cfRule>
  </conditionalFormatting>
  <conditionalFormatting sqref="F484">
    <cfRule type="cellIs" dxfId="87" priority="8" operator="lessThanOrEqual">
      <formula>0</formula>
    </cfRule>
  </conditionalFormatting>
  <conditionalFormatting sqref="G516:G518">
    <cfRule type="cellIs" dxfId="86" priority="13" operator="lessThanOrEqual">
      <formula>0</formula>
    </cfRule>
  </conditionalFormatting>
  <conditionalFormatting sqref="F508">
    <cfRule type="cellIs" dxfId="85" priority="10" operator="lessThanOrEqual">
      <formula>0</formula>
    </cfRule>
  </conditionalFormatting>
  <conditionalFormatting sqref="G508">
    <cfRule type="cellIs" dxfId="84" priority="9" operator="lessThanOrEqual">
      <formula>0</formula>
    </cfRule>
  </conditionalFormatting>
  <conditionalFormatting sqref="G484">
    <cfRule type="cellIs" dxfId="83" priority="7" operator="lessThanOrEqual">
      <formula>0</formula>
    </cfRule>
  </conditionalFormatting>
  <conditionalFormatting sqref="G484">
    <cfRule type="cellIs" dxfId="82" priority="6" operator="lessThanOrEqual">
      <formula>0</formula>
    </cfRule>
  </conditionalFormatting>
  <conditionalFormatting sqref="F485">
    <cfRule type="cellIs" dxfId="81" priority="5" operator="lessThanOrEqual">
      <formula>0</formula>
    </cfRule>
  </conditionalFormatting>
  <conditionalFormatting sqref="G485">
    <cfRule type="cellIs" dxfId="80" priority="4" operator="lessThanOrEqual">
      <formula>0</formula>
    </cfRule>
  </conditionalFormatting>
  <conditionalFormatting sqref="G485">
    <cfRule type="cellIs" dxfId="79" priority="3" operator="lessThanOrEqual">
      <formula>0</formula>
    </cfRule>
  </conditionalFormatting>
  <conditionalFormatting sqref="F152:G152">
    <cfRule type="timePeriod" dxfId="78" priority="1" timePeriod="lastWeek">
      <formula>AND(TODAY()-ROUNDDOWN(F152,0)&gt;=(WEEKDAY(TODAY())),TODAY()-ROUNDDOWN(F152,0)&lt;(WEEKDAY(TODAY())+7))</formula>
    </cfRule>
    <cfRule type="timePeriod" dxfId="77" priority="2" timePeriod="lastWeek">
      <formula>AND(TODAY()-ROUNDDOWN(F152,0)&gt;=(WEEKDAY(TODAY())),TODAY()-ROUNDDOWN(F152,0)&lt;(WEEKDAY(TODAY())+7))</formula>
    </cfRule>
  </conditionalFormatting>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AH723"/>
  <sheetViews>
    <sheetView zoomScale="85" zoomScaleNormal="85" workbookViewId="0">
      <selection activeCell="A10" sqref="A10"/>
    </sheetView>
  </sheetViews>
  <sheetFormatPr baseColWidth="10" defaultColWidth="11.42578125" defaultRowHeight="15.75" outlineLevelRow="2"/>
  <cols>
    <col min="1" max="1" width="9" style="341" bestFit="1" customWidth="1"/>
    <col min="2" max="2" width="57.28515625" style="991" customWidth="1"/>
    <col min="3" max="3" width="60.5703125" style="1095" customWidth="1"/>
    <col min="4" max="4" width="13.28515625" style="357" hidden="1" customWidth="1"/>
    <col min="5" max="5" width="18.7109375" style="341" hidden="1" customWidth="1"/>
    <col min="6" max="6" width="14.7109375" style="340" hidden="1" customWidth="1"/>
    <col min="7" max="7" width="14.140625" style="340" hidden="1" customWidth="1"/>
    <col min="8" max="8" width="39" style="340" hidden="1" customWidth="1"/>
    <col min="9" max="9" width="22.28515625" style="341" bestFit="1" customWidth="1"/>
    <col min="10" max="10" width="28.28515625" style="336" customWidth="1"/>
    <col min="11" max="11" width="44.7109375" style="357" customWidth="1"/>
    <col min="12" max="12" width="9.85546875" style="1246" bestFit="1" customWidth="1"/>
    <col min="13" max="13" width="19" style="357" hidden="1" customWidth="1"/>
    <col min="14" max="14" width="33" style="341" hidden="1" customWidth="1"/>
    <col min="15" max="15" width="19.42578125" style="1018" bestFit="1" customWidth="1"/>
    <col min="16" max="16" width="14.140625" style="341" bestFit="1" customWidth="1"/>
    <col min="17" max="17" width="23.28515625" style="577" customWidth="1"/>
    <col min="18" max="18" width="18.85546875" style="344" hidden="1" customWidth="1"/>
    <col min="19" max="19" width="15" style="577" hidden="1" customWidth="1"/>
    <col min="20" max="20" width="19.85546875" style="577" hidden="1" customWidth="1"/>
    <col min="21" max="24" width="20.5703125" style="577" hidden="1" customWidth="1"/>
    <col min="25" max="25" width="18.42578125" style="577" hidden="1" customWidth="1"/>
    <col min="26" max="26" width="18" style="1019" hidden="1" customWidth="1"/>
    <col min="27" max="27" width="17.7109375" style="1019" hidden="1" customWidth="1"/>
    <col min="28" max="28" width="16.5703125" style="1019" hidden="1" customWidth="1"/>
    <col min="29" max="29" width="14.28515625" style="357" hidden="1" customWidth="1"/>
    <col min="30" max="30" width="18.28515625" style="357" hidden="1" customWidth="1"/>
    <col min="31" max="31" width="14.28515625" hidden="1" customWidth="1"/>
    <col min="32" max="32" width="14.28515625" style="357" hidden="1" customWidth="1"/>
    <col min="33" max="33" width="22.28515625" style="574" hidden="1" customWidth="1"/>
    <col min="34" max="34" width="15.85546875" style="357" customWidth="1"/>
    <col min="35" max="16384" width="11.42578125" style="357"/>
  </cols>
  <sheetData>
    <row r="1" spans="1:33" s="238" customFormat="1">
      <c r="A1" s="1249"/>
      <c r="B1" s="235"/>
      <c r="C1" s="235"/>
      <c r="D1" s="1250"/>
      <c r="E1" s="1249"/>
      <c r="F1" s="237"/>
      <c r="G1" s="237"/>
      <c r="H1" s="237"/>
      <c r="I1" s="237"/>
      <c r="J1" s="1486"/>
      <c r="L1" s="1228"/>
      <c r="N1" s="237"/>
      <c r="O1" s="239"/>
      <c r="P1" s="237"/>
      <c r="Q1" s="240"/>
      <c r="R1" s="241"/>
      <c r="S1" s="239"/>
      <c r="T1" s="239"/>
      <c r="U1" s="239"/>
      <c r="V1" s="239"/>
      <c r="W1" s="239"/>
      <c r="X1" s="239"/>
      <c r="Y1" s="239"/>
      <c r="Z1" s="242"/>
      <c r="AA1" s="242"/>
      <c r="AB1" s="242"/>
      <c r="AG1" s="239"/>
    </row>
    <row r="2" spans="1:33" s="238" customFormat="1" ht="31.5" customHeight="1">
      <c r="A2" s="3395" t="s">
        <v>202</v>
      </c>
      <c r="B2" s="3395"/>
      <c r="C2" s="3395"/>
      <c r="D2" s="3395"/>
      <c r="E2" s="3395"/>
      <c r="F2" s="3395"/>
      <c r="G2" s="3395"/>
      <c r="H2" s="3395"/>
      <c r="I2" s="3395"/>
      <c r="J2" s="3395"/>
      <c r="K2" s="3395"/>
      <c r="L2" s="3395"/>
      <c r="M2" s="3395"/>
      <c r="N2" s="3395"/>
      <c r="O2" s="3395"/>
      <c r="P2" s="3395"/>
      <c r="Q2" s="3395"/>
      <c r="R2" s="3395"/>
      <c r="S2" s="3395"/>
      <c r="T2" s="3395"/>
      <c r="U2" s="3395"/>
      <c r="V2" s="3395"/>
      <c r="W2" s="3395"/>
      <c r="X2" s="3395"/>
      <c r="Y2" s="3395"/>
      <c r="Z2" s="3395"/>
      <c r="AA2" s="3395"/>
      <c r="AB2" s="3395"/>
      <c r="AC2" s="3395"/>
      <c r="AD2" s="3395"/>
      <c r="AE2" s="3395"/>
      <c r="AF2" s="3395"/>
      <c r="AG2" s="3395"/>
    </row>
    <row r="3" spans="1:33" s="249" customFormat="1" ht="15.75" customHeight="1">
      <c r="A3" s="1252"/>
      <c r="B3" s="244"/>
      <c r="C3" s="1020"/>
      <c r="D3" s="1251"/>
      <c r="E3" s="1252"/>
      <c r="F3" s="1252"/>
      <c r="G3" s="1252"/>
      <c r="H3" s="1251"/>
      <c r="I3" s="1252"/>
      <c r="J3" s="245"/>
      <c r="K3" s="1253"/>
      <c r="L3" s="1254"/>
      <c r="M3" s="1251"/>
      <c r="N3" s="1252"/>
      <c r="O3" s="1255"/>
      <c r="P3" s="1252"/>
      <c r="Q3" s="1256"/>
      <c r="R3" s="1257"/>
      <c r="S3" s="1251"/>
      <c r="T3" s="1251"/>
      <c r="U3" s="1251"/>
      <c r="V3" s="1251"/>
      <c r="Z3" s="250"/>
      <c r="AA3" s="250"/>
      <c r="AB3" s="250"/>
    </row>
    <row r="4" spans="1:33" s="255" customFormat="1" ht="15">
      <c r="A4" s="1258"/>
      <c r="B4" s="252"/>
      <c r="C4" s="252"/>
      <c r="D4" s="1259"/>
      <c r="E4" s="1258"/>
      <c r="F4" s="254"/>
      <c r="G4" s="254"/>
      <c r="H4" s="254"/>
      <c r="I4" s="254"/>
      <c r="J4" s="1487"/>
      <c r="L4" s="1229"/>
      <c r="N4" s="254"/>
      <c r="O4" s="256"/>
      <c r="P4" s="254"/>
      <c r="Q4" s="257"/>
      <c r="R4" s="258"/>
      <c r="S4" s="256"/>
      <c r="T4" s="256"/>
      <c r="U4" s="256"/>
      <c r="V4" s="256"/>
      <c r="W4" s="256"/>
      <c r="X4" s="256"/>
      <c r="Y4" s="256"/>
      <c r="Z4" s="259"/>
      <c r="AA4" s="259"/>
      <c r="AB4" s="259"/>
    </row>
    <row r="5" spans="1:33" s="238" customFormat="1" ht="34.5" customHeight="1">
      <c r="A5" s="1523"/>
      <c r="B5" s="1494"/>
      <c r="C5" s="1494"/>
      <c r="D5" s="1259"/>
      <c r="E5" s="1258"/>
      <c r="F5" s="3396" t="s">
        <v>208</v>
      </c>
      <c r="G5" s="3396"/>
      <c r="H5" s="1483"/>
      <c r="I5" s="3397" t="s">
        <v>210</v>
      </c>
      <c r="J5" s="3398"/>
      <c r="S5" s="3392" t="s">
        <v>219</v>
      </c>
      <c r="T5" s="3393"/>
      <c r="U5" s="3393"/>
      <c r="V5" s="3393"/>
      <c r="W5" s="3393"/>
      <c r="X5" s="3393"/>
      <c r="Y5" s="3394"/>
      <c r="Z5" s="243"/>
      <c r="AA5" s="243"/>
      <c r="AB5" s="243"/>
    </row>
    <row r="6" spans="1:33" s="237" customFormat="1" ht="60" customHeight="1">
      <c r="A6" s="1453" t="s">
        <v>203</v>
      </c>
      <c r="B6" s="1458" t="s">
        <v>204</v>
      </c>
      <c r="C6" s="1495" t="s">
        <v>205</v>
      </c>
      <c r="D6" s="1480" t="s">
        <v>206</v>
      </c>
      <c r="E6" s="1481" t="s">
        <v>207</v>
      </c>
      <c r="F6" s="1260" t="s">
        <v>220</v>
      </c>
      <c r="G6" s="261" t="s">
        <v>221</v>
      </c>
      <c r="H6" s="1482" t="s">
        <v>209</v>
      </c>
      <c r="I6" s="262" t="s">
        <v>222</v>
      </c>
      <c r="J6" s="262" t="s">
        <v>288</v>
      </c>
      <c r="K6" s="1454" t="s">
        <v>211</v>
      </c>
      <c r="L6" s="1453" t="s">
        <v>212</v>
      </c>
      <c r="M6" s="1457" t="s">
        <v>213</v>
      </c>
      <c r="N6" s="1457" t="s">
        <v>214</v>
      </c>
      <c r="O6" s="1484" t="s">
        <v>215</v>
      </c>
      <c r="P6" s="1479" t="s">
        <v>216</v>
      </c>
      <c r="Q6" s="1484" t="s">
        <v>286</v>
      </c>
      <c r="R6" s="1485" t="s">
        <v>287</v>
      </c>
      <c r="S6" s="263" t="s">
        <v>224</v>
      </c>
      <c r="T6" s="263" t="s">
        <v>225</v>
      </c>
      <c r="U6" s="263" t="s">
        <v>226</v>
      </c>
      <c r="V6" s="263" t="s">
        <v>227</v>
      </c>
      <c r="W6" s="263" t="s">
        <v>228</v>
      </c>
      <c r="X6" s="263" t="s">
        <v>229</v>
      </c>
      <c r="Y6" s="263" t="s">
        <v>230</v>
      </c>
      <c r="Z6" s="264" t="s">
        <v>289</v>
      </c>
      <c r="AA6" s="264" t="s">
        <v>290</v>
      </c>
      <c r="AB6" s="264" t="s">
        <v>291</v>
      </c>
      <c r="AC6" s="264" t="s">
        <v>975</v>
      </c>
      <c r="AD6" s="264" t="s">
        <v>976</v>
      </c>
      <c r="AE6" s="264" t="s">
        <v>224</v>
      </c>
      <c r="AF6" s="264" t="s">
        <v>225</v>
      </c>
      <c r="AG6" s="264" t="s">
        <v>41</v>
      </c>
    </row>
    <row r="7" spans="1:33" ht="33.75" customHeight="1">
      <c r="A7" s="1815" t="s">
        <v>231</v>
      </c>
      <c r="B7" s="1816"/>
      <c r="C7" s="1816"/>
      <c r="D7" s="1815"/>
      <c r="E7" s="1815"/>
      <c r="F7" s="1815"/>
      <c r="G7" s="1815"/>
      <c r="H7" s="1815"/>
      <c r="I7" s="1815"/>
      <c r="J7" s="835"/>
      <c r="K7" s="1815"/>
      <c r="L7" s="1817"/>
      <c r="M7" s="1818"/>
      <c r="N7" s="1819"/>
      <c r="O7" s="1820"/>
      <c r="P7" s="1819"/>
      <c r="Q7" s="1821">
        <f>+Q8+Q92</f>
        <v>449060.34299999999</v>
      </c>
      <c r="R7" s="1822">
        <f>+'[2]Compil Costing PPA 3 millions'!F5</f>
        <v>449500</v>
      </c>
      <c r="S7" s="1821">
        <f t="shared" ref="S7:AG7" si="0">+S8+S92</f>
        <v>0</v>
      </c>
      <c r="T7" s="1821">
        <f t="shared" si="0"/>
        <v>109940.73299999999</v>
      </c>
      <c r="U7" s="1821">
        <f t="shared" si="0"/>
        <v>62513.665999999997</v>
      </c>
      <c r="V7" s="1821">
        <f t="shared" si="0"/>
        <v>167204.39166666666</v>
      </c>
      <c r="W7" s="1821">
        <f t="shared" si="0"/>
        <v>54525.552333333326</v>
      </c>
      <c r="X7" s="1821">
        <f t="shared" si="0"/>
        <v>30445</v>
      </c>
      <c r="Y7" s="1821">
        <f t="shared" si="0"/>
        <v>24431</v>
      </c>
      <c r="Z7" s="1821">
        <f t="shared" si="0"/>
        <v>0</v>
      </c>
      <c r="AA7" s="1821">
        <f t="shared" si="0"/>
        <v>0</v>
      </c>
      <c r="AB7" s="1821">
        <f t="shared" si="0"/>
        <v>0</v>
      </c>
      <c r="AC7" s="1821">
        <f t="shared" si="0"/>
        <v>0</v>
      </c>
      <c r="AD7" s="1821">
        <f t="shared" si="0"/>
        <v>0</v>
      </c>
      <c r="AE7" s="1821">
        <f t="shared" si="0"/>
        <v>0</v>
      </c>
      <c r="AF7" s="1821">
        <f t="shared" si="0"/>
        <v>0</v>
      </c>
      <c r="AG7" s="1821">
        <f t="shared" si="0"/>
        <v>449060.34299999999</v>
      </c>
    </row>
    <row r="8" spans="1:33" ht="37.5" customHeight="1">
      <c r="A8" s="1248" t="s">
        <v>232</v>
      </c>
      <c r="B8" s="278"/>
      <c r="C8" s="278"/>
      <c r="D8" s="1248"/>
      <c r="E8" s="1248"/>
      <c r="F8" s="1248"/>
      <c r="G8" s="1248"/>
      <c r="H8" s="1248"/>
      <c r="I8" s="1248"/>
      <c r="J8" s="273"/>
      <c r="K8" s="1248"/>
      <c r="L8" s="1269"/>
      <c r="M8" s="1270"/>
      <c r="N8" s="1268"/>
      <c r="O8" s="1271"/>
      <c r="P8" s="1268"/>
      <c r="Q8" s="1272">
        <f>Q9</f>
        <v>134501.66666666666</v>
      </c>
      <c r="R8" s="1273">
        <f>R9</f>
        <v>0</v>
      </c>
      <c r="S8" s="1272">
        <f t="shared" ref="S8:AF8" si="1">S9</f>
        <v>0</v>
      </c>
      <c r="T8" s="1272">
        <f t="shared" si="1"/>
        <v>31524.333333333332</v>
      </c>
      <c r="U8" s="1272">
        <f t="shared" si="1"/>
        <v>15779.666666666668</v>
      </c>
      <c r="V8" s="1272">
        <f t="shared" si="1"/>
        <v>55270.666666666664</v>
      </c>
      <c r="W8" s="1272">
        <f t="shared" si="1"/>
        <v>8624</v>
      </c>
      <c r="X8" s="1272">
        <f t="shared" si="1"/>
        <v>23303</v>
      </c>
      <c r="Y8" s="1272">
        <f t="shared" si="1"/>
        <v>0</v>
      </c>
      <c r="Z8" s="1272">
        <f t="shared" si="1"/>
        <v>0</v>
      </c>
      <c r="AA8" s="1272">
        <f t="shared" si="1"/>
        <v>0</v>
      </c>
      <c r="AB8" s="1272">
        <f t="shared" si="1"/>
        <v>0</v>
      </c>
      <c r="AC8" s="1272">
        <f t="shared" si="1"/>
        <v>0</v>
      </c>
      <c r="AD8" s="1272">
        <f t="shared" si="1"/>
        <v>0</v>
      </c>
      <c r="AE8" s="1272">
        <f t="shared" si="1"/>
        <v>0</v>
      </c>
      <c r="AF8" s="1272">
        <f t="shared" si="1"/>
        <v>0</v>
      </c>
      <c r="AG8" s="1272">
        <f>AG9</f>
        <v>134501.66666666666</v>
      </c>
    </row>
    <row r="9" spans="1:33" ht="31.5">
      <c r="A9" s="1275">
        <v>111</v>
      </c>
      <c r="B9" s="1465" t="s">
        <v>619</v>
      </c>
      <c r="C9" s="1496"/>
      <c r="D9" s="1276"/>
      <c r="E9" s="1276"/>
      <c r="F9" s="1276"/>
      <c r="G9" s="1276"/>
      <c r="H9" s="1276"/>
      <c r="I9" s="1276"/>
      <c r="J9" s="283"/>
      <c r="K9" s="1278"/>
      <c r="L9" s="1279"/>
      <c r="M9" s="1280"/>
      <c r="N9" s="1277"/>
      <c r="O9" s="1281"/>
      <c r="P9" s="1277"/>
      <c r="Q9" s="1282">
        <f>+Q21+Q90</f>
        <v>134501.66666666666</v>
      </c>
      <c r="R9" s="287"/>
      <c r="S9" s="1282">
        <f t="shared" ref="S9:AF9" si="2">SUM(S10:S89)</f>
        <v>0</v>
      </c>
      <c r="T9" s="1282">
        <f t="shared" si="2"/>
        <v>31524.333333333332</v>
      </c>
      <c r="U9" s="1282">
        <f t="shared" si="2"/>
        <v>15779.666666666668</v>
      </c>
      <c r="V9" s="1282">
        <f t="shared" si="2"/>
        <v>55270.666666666664</v>
      </c>
      <c r="W9" s="1282">
        <f t="shared" si="2"/>
        <v>8624</v>
      </c>
      <c r="X9" s="1282">
        <f t="shared" si="2"/>
        <v>23303</v>
      </c>
      <c r="Y9" s="1282">
        <f t="shared" si="2"/>
        <v>0</v>
      </c>
      <c r="Z9" s="1282">
        <f t="shared" si="2"/>
        <v>0</v>
      </c>
      <c r="AA9" s="1282">
        <f t="shared" si="2"/>
        <v>0</v>
      </c>
      <c r="AB9" s="1282">
        <f t="shared" si="2"/>
        <v>0</v>
      </c>
      <c r="AC9" s="1282">
        <f t="shared" si="2"/>
        <v>0</v>
      </c>
      <c r="AD9" s="1282">
        <f t="shared" si="2"/>
        <v>0</v>
      </c>
      <c r="AE9" s="1282">
        <f t="shared" si="2"/>
        <v>0</v>
      </c>
      <c r="AF9" s="1282">
        <f t="shared" si="2"/>
        <v>0</v>
      </c>
      <c r="AG9" s="1282">
        <f>SUM(S9:AF9)</f>
        <v>134501.66666666666</v>
      </c>
    </row>
    <row r="10" spans="1:33" ht="116.25" customHeight="1" outlineLevel="2">
      <c r="A10" s="796">
        <v>1111</v>
      </c>
      <c r="B10" s="1723" t="s">
        <v>620</v>
      </c>
      <c r="C10" s="1073" t="s">
        <v>621</v>
      </c>
      <c r="D10" s="1292"/>
      <c r="E10" s="1293">
        <v>5</v>
      </c>
      <c r="F10" s="1294">
        <v>43206</v>
      </c>
      <c r="G10" s="1294">
        <f t="shared" ref="G10:G20" si="3">F10+E10-1</f>
        <v>43210</v>
      </c>
      <c r="H10" s="1292" t="s">
        <v>622</v>
      </c>
      <c r="I10" s="1293" t="s">
        <v>170</v>
      </c>
      <c r="J10" s="643" t="s">
        <v>623</v>
      </c>
      <c r="K10" s="1292" t="s">
        <v>638</v>
      </c>
      <c r="L10" s="1231">
        <v>23173</v>
      </c>
      <c r="M10" s="1292"/>
      <c r="N10" s="1292"/>
      <c r="O10" s="647">
        <v>300</v>
      </c>
      <c r="P10" s="1939">
        <v>1</v>
      </c>
      <c r="Q10" s="1712">
        <f t="shared" ref="Q10:Q20" si="4">O10*P10</f>
        <v>300</v>
      </c>
      <c r="R10" s="1731"/>
      <c r="S10" s="954"/>
      <c r="T10" s="1823">
        <f t="shared" ref="T10:T22" si="5">Q10</f>
        <v>300</v>
      </c>
      <c r="U10" s="954"/>
      <c r="V10" s="954"/>
      <c r="W10" s="954"/>
      <c r="X10" s="1166"/>
      <c r="Y10" s="1144"/>
      <c r="Z10" s="1124"/>
      <c r="AA10" s="1124"/>
      <c r="AB10" s="1124"/>
      <c r="AC10" s="1124"/>
      <c r="AD10" s="1124"/>
      <c r="AE10" s="1124"/>
      <c r="AF10" s="1124"/>
      <c r="AG10" s="1144"/>
    </row>
    <row r="11" spans="1:33" ht="116.25" customHeight="1" outlineLevel="2">
      <c r="A11" s="796">
        <v>1112</v>
      </c>
      <c r="B11" s="1723" t="s">
        <v>640</v>
      </c>
      <c r="C11" s="1073" t="s">
        <v>641</v>
      </c>
      <c r="D11" s="1292"/>
      <c r="E11" s="1293">
        <v>5</v>
      </c>
      <c r="F11" s="1294">
        <v>43220</v>
      </c>
      <c r="G11" s="1294">
        <f t="shared" si="3"/>
        <v>43224</v>
      </c>
      <c r="H11" s="1292" t="s">
        <v>622</v>
      </c>
      <c r="I11" s="1293" t="s">
        <v>170</v>
      </c>
      <c r="J11" s="643" t="s">
        <v>642</v>
      </c>
      <c r="K11" s="1292" t="s">
        <v>638</v>
      </c>
      <c r="L11" s="1231">
        <v>23173</v>
      </c>
      <c r="M11" s="1292"/>
      <c r="N11" s="1292"/>
      <c r="O11" s="647">
        <v>833.33333333333337</v>
      </c>
      <c r="P11" s="1939">
        <v>1</v>
      </c>
      <c r="Q11" s="1712">
        <f t="shared" si="4"/>
        <v>833.33333333333337</v>
      </c>
      <c r="R11" s="1731"/>
      <c r="S11" s="954"/>
      <c r="T11" s="1823">
        <f t="shared" si="5"/>
        <v>833.33333333333337</v>
      </c>
      <c r="U11" s="954"/>
      <c r="V11" s="954"/>
      <c r="W11" s="954"/>
      <c r="X11" s="1166"/>
      <c r="Y11" s="1144"/>
      <c r="Z11" s="1124"/>
      <c r="AA11" s="1124"/>
      <c r="AB11" s="1124"/>
      <c r="AC11" s="1124"/>
      <c r="AD11" s="1124"/>
      <c r="AE11" s="1124"/>
      <c r="AF11" s="1124"/>
      <c r="AG11" s="1144"/>
    </row>
    <row r="12" spans="1:33" ht="116.25" customHeight="1" outlineLevel="2">
      <c r="A12" s="796">
        <v>1112</v>
      </c>
      <c r="B12" s="1723" t="s">
        <v>640</v>
      </c>
      <c r="C12" s="1073" t="s">
        <v>666</v>
      </c>
      <c r="D12" s="1292"/>
      <c r="E12" s="1293">
        <v>1</v>
      </c>
      <c r="F12" s="1294">
        <v>43225</v>
      </c>
      <c r="G12" s="1294">
        <f t="shared" si="3"/>
        <v>43225</v>
      </c>
      <c r="H12" s="1292" t="s">
        <v>667</v>
      </c>
      <c r="I12" s="1293" t="s">
        <v>170</v>
      </c>
      <c r="J12" s="643" t="s">
        <v>642</v>
      </c>
      <c r="K12" s="1292" t="s">
        <v>668</v>
      </c>
      <c r="L12" s="1231">
        <v>23173</v>
      </c>
      <c r="M12" s="1292"/>
      <c r="N12" s="1292"/>
      <c r="O12" s="647">
        <v>333.33333333333331</v>
      </c>
      <c r="P12" s="1939">
        <v>1</v>
      </c>
      <c r="Q12" s="1712">
        <f t="shared" si="4"/>
        <v>333.33333333333331</v>
      </c>
      <c r="R12" s="1731"/>
      <c r="S12" s="954"/>
      <c r="T12" s="1823">
        <f t="shared" si="5"/>
        <v>333.33333333333331</v>
      </c>
      <c r="U12" s="954"/>
      <c r="V12" s="954"/>
      <c r="W12" s="954"/>
      <c r="X12" s="1166"/>
      <c r="Y12" s="1144"/>
      <c r="Z12" s="1124"/>
      <c r="AA12" s="1124"/>
      <c r="AB12" s="1124"/>
      <c r="AC12" s="1124"/>
      <c r="AD12" s="1124"/>
      <c r="AE12" s="1124"/>
      <c r="AF12" s="1124"/>
      <c r="AG12" s="1144"/>
    </row>
    <row r="13" spans="1:33" ht="116.25" customHeight="1" outlineLevel="2">
      <c r="A13" s="796">
        <v>1112</v>
      </c>
      <c r="B13" s="1723" t="s">
        <v>640</v>
      </c>
      <c r="C13" s="1073" t="s">
        <v>666</v>
      </c>
      <c r="D13" s="1292"/>
      <c r="E13" s="1293">
        <v>1</v>
      </c>
      <c r="F13" s="1294">
        <v>43225</v>
      </c>
      <c r="G13" s="1294">
        <f t="shared" si="3"/>
        <v>43225</v>
      </c>
      <c r="H13" s="1292" t="s">
        <v>667</v>
      </c>
      <c r="I13" s="1293" t="s">
        <v>170</v>
      </c>
      <c r="J13" s="643" t="s">
        <v>642</v>
      </c>
      <c r="K13" s="1292" t="s">
        <v>670</v>
      </c>
      <c r="L13" s="1231">
        <v>23173</v>
      </c>
      <c r="M13" s="1292"/>
      <c r="N13" s="1292"/>
      <c r="O13" s="647">
        <v>466.66666666666669</v>
      </c>
      <c r="P13" s="1939">
        <v>1</v>
      </c>
      <c r="Q13" s="1712">
        <f t="shared" si="4"/>
        <v>466.66666666666669</v>
      </c>
      <c r="R13" s="1731"/>
      <c r="S13" s="954"/>
      <c r="T13" s="1823">
        <f t="shared" si="5"/>
        <v>466.66666666666669</v>
      </c>
      <c r="U13" s="954"/>
      <c r="V13" s="954"/>
      <c r="W13" s="954"/>
      <c r="X13" s="1166"/>
      <c r="Y13" s="1144"/>
      <c r="Z13" s="1124"/>
      <c r="AA13" s="1124"/>
      <c r="AB13" s="1124"/>
      <c r="AC13" s="1124"/>
      <c r="AD13" s="1124"/>
      <c r="AE13" s="1124"/>
      <c r="AF13" s="1124"/>
      <c r="AG13" s="1144"/>
    </row>
    <row r="14" spans="1:33" ht="116.25" customHeight="1" outlineLevel="2">
      <c r="A14" s="796">
        <v>1113</v>
      </c>
      <c r="B14" s="1723" t="s">
        <v>671</v>
      </c>
      <c r="C14" s="1073" t="s">
        <v>672</v>
      </c>
      <c r="D14" s="1292"/>
      <c r="E14" s="1293">
        <v>5</v>
      </c>
      <c r="F14" s="1294">
        <v>43227</v>
      </c>
      <c r="G14" s="1294">
        <f t="shared" si="3"/>
        <v>43231</v>
      </c>
      <c r="H14" s="1292" t="s">
        <v>667</v>
      </c>
      <c r="I14" s="1293" t="s">
        <v>170</v>
      </c>
      <c r="J14" s="643" t="s">
        <v>673</v>
      </c>
      <c r="K14" s="1292" t="s">
        <v>677</v>
      </c>
      <c r="L14" s="1231">
        <v>23173</v>
      </c>
      <c r="M14" s="1292"/>
      <c r="N14" s="1292"/>
      <c r="O14" s="647">
        <v>3833</v>
      </c>
      <c r="P14" s="1939">
        <v>1</v>
      </c>
      <c r="Q14" s="1712">
        <f t="shared" si="4"/>
        <v>3833</v>
      </c>
      <c r="R14" s="1731"/>
      <c r="S14" s="954"/>
      <c r="T14" s="1823">
        <f t="shared" si="5"/>
        <v>3833</v>
      </c>
      <c r="U14" s="954"/>
      <c r="V14" s="954"/>
      <c r="W14" s="954"/>
      <c r="X14" s="1166"/>
      <c r="Y14" s="1144"/>
      <c r="Z14" s="1124"/>
      <c r="AA14" s="1124"/>
      <c r="AB14" s="1124"/>
      <c r="AC14" s="1124"/>
      <c r="AD14" s="1124"/>
      <c r="AE14" s="1124"/>
      <c r="AF14" s="1124"/>
      <c r="AG14" s="1144"/>
    </row>
    <row r="15" spans="1:33" ht="116.25" customHeight="1" outlineLevel="2">
      <c r="A15" s="796">
        <v>1113</v>
      </c>
      <c r="B15" s="1723" t="s">
        <v>671</v>
      </c>
      <c r="C15" s="1073" t="s">
        <v>672</v>
      </c>
      <c r="D15" s="1292"/>
      <c r="E15" s="1293">
        <v>5</v>
      </c>
      <c r="F15" s="1294">
        <v>43227</v>
      </c>
      <c r="G15" s="1294">
        <f t="shared" si="3"/>
        <v>43231</v>
      </c>
      <c r="H15" s="1292" t="s">
        <v>667</v>
      </c>
      <c r="I15" s="1293" t="s">
        <v>170</v>
      </c>
      <c r="J15" s="643" t="s">
        <v>673</v>
      </c>
      <c r="K15" s="1292" t="s">
        <v>678</v>
      </c>
      <c r="L15" s="1231">
        <v>23173</v>
      </c>
      <c r="M15" s="1292"/>
      <c r="N15" s="1292"/>
      <c r="O15" s="647">
        <v>766.66666666666674</v>
      </c>
      <c r="P15" s="1939">
        <v>1</v>
      </c>
      <c r="Q15" s="1712">
        <f t="shared" si="4"/>
        <v>766.66666666666674</v>
      </c>
      <c r="R15" s="1731"/>
      <c r="S15" s="954"/>
      <c r="T15" s="1823">
        <f t="shared" si="5"/>
        <v>766.66666666666674</v>
      </c>
      <c r="U15" s="954"/>
      <c r="V15" s="954"/>
      <c r="W15" s="954"/>
      <c r="X15" s="1166"/>
      <c r="Y15" s="1144"/>
      <c r="Z15" s="1124"/>
      <c r="AA15" s="1124"/>
      <c r="AB15" s="1124"/>
      <c r="AC15" s="1124"/>
      <c r="AD15" s="1124"/>
      <c r="AE15" s="1124"/>
      <c r="AF15" s="1124"/>
      <c r="AG15" s="1144"/>
    </row>
    <row r="16" spans="1:33" ht="116.25" customHeight="1" outlineLevel="2">
      <c r="A16" s="796">
        <v>1115</v>
      </c>
      <c r="B16" s="1723" t="s">
        <v>694</v>
      </c>
      <c r="C16" s="1073" t="s">
        <v>695</v>
      </c>
      <c r="D16" s="1292"/>
      <c r="E16" s="1293">
        <v>10</v>
      </c>
      <c r="F16" s="1294">
        <v>43257</v>
      </c>
      <c r="G16" s="1294">
        <f t="shared" si="3"/>
        <v>43266</v>
      </c>
      <c r="H16" s="1292" t="s">
        <v>681</v>
      </c>
      <c r="I16" s="1293" t="s">
        <v>170</v>
      </c>
      <c r="J16" s="643" t="s">
        <v>696</v>
      </c>
      <c r="K16" s="1292" t="s">
        <v>704</v>
      </c>
      <c r="L16" s="1231">
        <v>23173</v>
      </c>
      <c r="M16" s="1292"/>
      <c r="N16" s="1292"/>
      <c r="O16" s="647">
        <v>1117</v>
      </c>
      <c r="P16" s="1939">
        <v>1</v>
      </c>
      <c r="Q16" s="1712">
        <f t="shared" si="4"/>
        <v>1117</v>
      </c>
      <c r="R16" s="1731"/>
      <c r="S16" s="954"/>
      <c r="T16" s="1823">
        <f t="shared" si="5"/>
        <v>1117</v>
      </c>
      <c r="U16" s="954"/>
      <c r="V16" s="954"/>
      <c r="W16" s="954"/>
      <c r="X16" s="1166"/>
      <c r="Y16" s="1144"/>
      <c r="Z16" s="1124"/>
      <c r="AA16" s="1124"/>
      <c r="AB16" s="1124"/>
      <c r="AC16" s="1124"/>
      <c r="AD16" s="1124"/>
      <c r="AE16" s="1124"/>
      <c r="AF16" s="1124"/>
      <c r="AG16" s="1144"/>
    </row>
    <row r="17" spans="1:33" ht="116.25" customHeight="1" outlineLevel="2">
      <c r="A17" s="796">
        <v>1115</v>
      </c>
      <c r="B17" s="1723" t="s">
        <v>694</v>
      </c>
      <c r="C17" s="1073" t="s">
        <v>695</v>
      </c>
      <c r="D17" s="1292"/>
      <c r="E17" s="1293">
        <v>10</v>
      </c>
      <c r="F17" s="1294">
        <v>43257</v>
      </c>
      <c r="G17" s="1294">
        <f t="shared" si="3"/>
        <v>43266</v>
      </c>
      <c r="H17" s="1292" t="s">
        <v>681</v>
      </c>
      <c r="I17" s="1293" t="s">
        <v>170</v>
      </c>
      <c r="J17" s="643" t="s">
        <v>696</v>
      </c>
      <c r="K17" s="1292" t="s">
        <v>706</v>
      </c>
      <c r="L17" s="1231">
        <v>23173</v>
      </c>
      <c r="M17" s="1292"/>
      <c r="N17" s="1292"/>
      <c r="O17" s="647">
        <v>6450</v>
      </c>
      <c r="P17" s="1939">
        <v>1</v>
      </c>
      <c r="Q17" s="1712">
        <f t="shared" si="4"/>
        <v>6450</v>
      </c>
      <c r="R17" s="1731"/>
      <c r="S17" s="954"/>
      <c r="T17" s="1823">
        <f t="shared" si="5"/>
        <v>6450</v>
      </c>
      <c r="U17" s="954"/>
      <c r="V17" s="954"/>
      <c r="W17" s="954"/>
      <c r="X17" s="1166"/>
      <c r="Y17" s="1144"/>
      <c r="Z17" s="1124"/>
      <c r="AA17" s="1124"/>
      <c r="AB17" s="1124"/>
      <c r="AC17" s="1124"/>
      <c r="AD17" s="1124"/>
      <c r="AE17" s="1124"/>
      <c r="AF17" s="1124"/>
      <c r="AG17" s="1144"/>
    </row>
    <row r="18" spans="1:33" ht="116.25" customHeight="1" outlineLevel="2">
      <c r="A18" s="796">
        <v>1115</v>
      </c>
      <c r="B18" s="1723" t="s">
        <v>694</v>
      </c>
      <c r="C18" s="1073" t="s">
        <v>695</v>
      </c>
      <c r="D18" s="1292"/>
      <c r="E18" s="1293">
        <v>10</v>
      </c>
      <c r="F18" s="1294">
        <v>43257</v>
      </c>
      <c r="G18" s="1294">
        <f t="shared" si="3"/>
        <v>43266</v>
      </c>
      <c r="H18" s="1292" t="s">
        <v>681</v>
      </c>
      <c r="I18" s="1293" t="s">
        <v>170</v>
      </c>
      <c r="J18" s="643" t="s">
        <v>696</v>
      </c>
      <c r="K18" s="1292" t="s">
        <v>638</v>
      </c>
      <c r="L18" s="1231">
        <v>23173</v>
      </c>
      <c r="M18" s="1292"/>
      <c r="N18" s="1292"/>
      <c r="O18" s="647">
        <v>4300</v>
      </c>
      <c r="P18" s="1939">
        <v>1</v>
      </c>
      <c r="Q18" s="1712">
        <f t="shared" si="4"/>
        <v>4300</v>
      </c>
      <c r="R18" s="1731"/>
      <c r="S18" s="954"/>
      <c r="T18" s="1823">
        <f t="shared" si="5"/>
        <v>4300</v>
      </c>
      <c r="U18" s="954"/>
      <c r="V18" s="954"/>
      <c r="W18" s="954"/>
      <c r="X18" s="1166"/>
      <c r="Y18" s="1144"/>
      <c r="Z18" s="1124"/>
      <c r="AA18" s="1124"/>
      <c r="AB18" s="1124"/>
      <c r="AC18" s="1124"/>
      <c r="AD18" s="1124"/>
      <c r="AE18" s="1124"/>
      <c r="AF18" s="1124"/>
      <c r="AG18" s="1144"/>
    </row>
    <row r="19" spans="1:33" ht="116.25" customHeight="1" outlineLevel="2">
      <c r="A19" s="796">
        <v>1116</v>
      </c>
      <c r="B19" s="1723" t="s">
        <v>707</v>
      </c>
      <c r="C19" s="1073" t="s">
        <v>708</v>
      </c>
      <c r="D19" s="1292"/>
      <c r="E19" s="1293">
        <v>1</v>
      </c>
      <c r="F19" s="1294">
        <v>43315</v>
      </c>
      <c r="G19" s="1294">
        <f t="shared" si="3"/>
        <v>43315</v>
      </c>
      <c r="H19" s="1292" t="s">
        <v>667</v>
      </c>
      <c r="I19" s="1293" t="s">
        <v>170</v>
      </c>
      <c r="J19" s="643" t="s">
        <v>696</v>
      </c>
      <c r="K19" s="1292" t="s">
        <v>714</v>
      </c>
      <c r="L19" s="1231">
        <v>23173</v>
      </c>
      <c r="M19" s="1292"/>
      <c r="N19" s="1292"/>
      <c r="O19" s="647">
        <v>333.33333333333331</v>
      </c>
      <c r="P19" s="1939">
        <v>1</v>
      </c>
      <c r="Q19" s="1712">
        <f t="shared" si="4"/>
        <v>333.33333333333331</v>
      </c>
      <c r="R19" s="1731"/>
      <c r="S19" s="954"/>
      <c r="T19" s="1823">
        <f t="shared" si="5"/>
        <v>333.33333333333331</v>
      </c>
      <c r="U19" s="954"/>
      <c r="V19" s="954"/>
      <c r="W19" s="954"/>
      <c r="X19" s="1166"/>
      <c r="Y19" s="1144"/>
      <c r="Z19" s="1124"/>
      <c r="AA19" s="1124"/>
      <c r="AB19" s="1124"/>
      <c r="AC19" s="1124"/>
      <c r="AD19" s="1124"/>
      <c r="AE19" s="1124"/>
      <c r="AF19" s="1124"/>
      <c r="AG19" s="1144"/>
    </row>
    <row r="20" spans="1:33" ht="116.25" customHeight="1" outlineLevel="2">
      <c r="A20" s="796">
        <v>1116</v>
      </c>
      <c r="B20" s="1723" t="s">
        <v>707</v>
      </c>
      <c r="C20" s="1073" t="s">
        <v>708</v>
      </c>
      <c r="D20" s="1292"/>
      <c r="E20" s="1293">
        <v>1</v>
      </c>
      <c r="F20" s="1294">
        <v>43315</v>
      </c>
      <c r="G20" s="1294">
        <f t="shared" si="3"/>
        <v>43315</v>
      </c>
      <c r="H20" s="1292" t="s">
        <v>667</v>
      </c>
      <c r="I20" s="1293" t="s">
        <v>170</v>
      </c>
      <c r="J20" s="643" t="s">
        <v>696</v>
      </c>
      <c r="K20" s="1292" t="s">
        <v>670</v>
      </c>
      <c r="L20" s="1231">
        <v>23173</v>
      </c>
      <c r="M20" s="1292"/>
      <c r="N20" s="1292"/>
      <c r="O20" s="647">
        <v>583.33333333333337</v>
      </c>
      <c r="P20" s="1939">
        <v>1</v>
      </c>
      <c r="Q20" s="1712">
        <f t="shared" si="4"/>
        <v>583.33333333333337</v>
      </c>
      <c r="R20" s="1731"/>
      <c r="S20" s="954"/>
      <c r="T20" s="1823">
        <f t="shared" si="5"/>
        <v>583.33333333333337</v>
      </c>
      <c r="U20" s="954"/>
      <c r="V20" s="954"/>
      <c r="W20" s="954"/>
      <c r="X20" s="1166"/>
      <c r="Y20" s="1144"/>
      <c r="Z20" s="1124"/>
      <c r="AA20" s="1124"/>
      <c r="AB20" s="1124"/>
      <c r="AC20" s="1124"/>
      <c r="AD20" s="1124"/>
      <c r="AE20" s="1124"/>
      <c r="AF20" s="1124"/>
      <c r="AG20" s="1144"/>
    </row>
    <row r="21" spans="1:33" ht="39.950000000000003" customHeight="1" outlineLevel="1">
      <c r="A21" s="1745"/>
      <c r="B21" s="1905"/>
      <c r="C21" s="1754"/>
      <c r="D21" s="1758"/>
      <c r="E21" s="1755"/>
      <c r="F21" s="1756"/>
      <c r="G21" s="1756"/>
      <c r="H21" s="1758"/>
      <c r="I21" s="1755"/>
      <c r="J21" s="1757"/>
      <c r="K21" s="1758"/>
      <c r="L21" s="1906" t="s">
        <v>1053</v>
      </c>
      <c r="M21" s="1907"/>
      <c r="N21" s="1907"/>
      <c r="O21" s="1908"/>
      <c r="P21" s="1940"/>
      <c r="Q21" s="1909">
        <f>SUBTOTAL(9,Q10:Q20)</f>
        <v>19316.666666666664</v>
      </c>
      <c r="R21" s="1731"/>
      <c r="S21" s="1144"/>
      <c r="T21" s="1566"/>
      <c r="U21" s="1144"/>
      <c r="V21" s="1144"/>
      <c r="W21" s="1144"/>
      <c r="X21" s="1701"/>
      <c r="Y21" s="1144"/>
      <c r="Z21" s="1124"/>
      <c r="AA21" s="1124"/>
      <c r="AB21" s="1124"/>
      <c r="AC21" s="1124"/>
      <c r="AD21" s="1124"/>
      <c r="AE21" s="1124"/>
      <c r="AF21" s="1124"/>
      <c r="AG21" s="1144"/>
    </row>
    <row r="22" spans="1:33" ht="116.25" customHeight="1" outlineLevel="2">
      <c r="A22" s="796">
        <v>1111</v>
      </c>
      <c r="B22" s="1723" t="s">
        <v>620</v>
      </c>
      <c r="C22" s="1073" t="s">
        <v>621</v>
      </c>
      <c r="D22" s="1292"/>
      <c r="E22" s="1293">
        <v>5</v>
      </c>
      <c r="F22" s="1294">
        <v>43206</v>
      </c>
      <c r="G22" s="1294">
        <f t="shared" ref="G22:G53" si="6">F22+E22-1</f>
        <v>43210</v>
      </c>
      <c r="H22" s="1292" t="s">
        <v>622</v>
      </c>
      <c r="I22" s="1293" t="s">
        <v>170</v>
      </c>
      <c r="J22" s="643" t="s">
        <v>623</v>
      </c>
      <c r="K22" s="1292" t="s">
        <v>624</v>
      </c>
      <c r="L22" s="1231">
        <v>23174</v>
      </c>
      <c r="M22" s="1292"/>
      <c r="N22" s="1292"/>
      <c r="O22" s="647">
        <v>84</v>
      </c>
      <c r="P22" s="1939">
        <v>1</v>
      </c>
      <c r="Q22" s="1712">
        <f t="shared" ref="Q22:Q53" si="7">O22*P22</f>
        <v>84</v>
      </c>
      <c r="R22" s="1731"/>
      <c r="S22" s="954"/>
      <c r="T22" s="1823">
        <f t="shared" si="5"/>
        <v>84</v>
      </c>
      <c r="U22" s="954"/>
      <c r="V22" s="954"/>
      <c r="W22" s="954"/>
      <c r="X22" s="1166"/>
      <c r="Y22" s="1144"/>
      <c r="Z22" s="1124"/>
      <c r="AA22" s="1124"/>
      <c r="AB22" s="1124"/>
      <c r="AC22" s="1124"/>
      <c r="AD22" s="1124"/>
      <c r="AE22" s="1124"/>
      <c r="AF22" s="1124"/>
      <c r="AG22" s="1144"/>
    </row>
    <row r="23" spans="1:33" ht="116.25" customHeight="1" outlineLevel="2">
      <c r="A23" s="796">
        <v>1111</v>
      </c>
      <c r="B23" s="793" t="s">
        <v>620</v>
      </c>
      <c r="C23" s="1073" t="s">
        <v>621</v>
      </c>
      <c r="D23" s="1292"/>
      <c r="E23" s="1293">
        <v>5</v>
      </c>
      <c r="F23" s="1294">
        <v>43206</v>
      </c>
      <c r="G23" s="1294">
        <f t="shared" si="6"/>
        <v>43210</v>
      </c>
      <c r="H23" s="1292" t="s">
        <v>622</v>
      </c>
      <c r="I23" s="1293" t="s">
        <v>170</v>
      </c>
      <c r="J23" s="643" t="s">
        <v>623</v>
      </c>
      <c r="K23" s="1292" t="s">
        <v>626</v>
      </c>
      <c r="L23" s="1231">
        <v>23174</v>
      </c>
      <c r="M23" s="1292"/>
      <c r="N23" s="1292"/>
      <c r="O23" s="647">
        <v>93.333333333333343</v>
      </c>
      <c r="P23" s="1939">
        <v>1</v>
      </c>
      <c r="Q23" s="1712">
        <f t="shared" si="7"/>
        <v>93.333333333333343</v>
      </c>
      <c r="R23" s="1731"/>
      <c r="S23" s="954"/>
      <c r="T23" s="1823">
        <f>Q23</f>
        <v>93.333333333333343</v>
      </c>
      <c r="U23" s="805"/>
      <c r="V23" s="954"/>
      <c r="W23" s="954"/>
      <c r="X23" s="1166"/>
      <c r="Y23" s="1144"/>
      <c r="Z23" s="1124"/>
      <c r="AA23" s="1124"/>
      <c r="AB23" s="1124"/>
      <c r="AC23" s="1124"/>
      <c r="AD23" s="1124"/>
      <c r="AE23" s="1124"/>
      <c r="AF23" s="1124"/>
      <c r="AG23" s="1144"/>
    </row>
    <row r="24" spans="1:33" ht="116.25" customHeight="1" outlineLevel="2">
      <c r="A24" s="796">
        <v>1111</v>
      </c>
      <c r="B24" s="793" t="s">
        <v>620</v>
      </c>
      <c r="C24" s="1073" t="s">
        <v>621</v>
      </c>
      <c r="D24" s="1292"/>
      <c r="E24" s="1293">
        <v>5</v>
      </c>
      <c r="F24" s="1294">
        <v>43206</v>
      </c>
      <c r="G24" s="1294">
        <f t="shared" si="6"/>
        <v>43210</v>
      </c>
      <c r="H24" s="1292" t="s">
        <v>622</v>
      </c>
      <c r="I24" s="1293" t="s">
        <v>170</v>
      </c>
      <c r="J24" s="643" t="s">
        <v>623</v>
      </c>
      <c r="K24" s="1292" t="s">
        <v>627</v>
      </c>
      <c r="L24" s="1231">
        <v>23174</v>
      </c>
      <c r="M24" s="1292"/>
      <c r="N24" s="1292"/>
      <c r="O24" s="647">
        <v>70</v>
      </c>
      <c r="P24" s="1939">
        <v>1</v>
      </c>
      <c r="Q24" s="1712">
        <f t="shared" si="7"/>
        <v>70</v>
      </c>
      <c r="R24" s="1731"/>
      <c r="S24" s="954"/>
      <c r="T24" s="1823">
        <f>Q24</f>
        <v>70</v>
      </c>
      <c r="U24" s="805"/>
      <c r="V24" s="954"/>
      <c r="W24" s="954"/>
      <c r="X24" s="1166"/>
      <c r="Y24" s="1144"/>
      <c r="Z24" s="1124"/>
      <c r="AA24" s="1124"/>
      <c r="AB24" s="1124"/>
      <c r="AC24" s="1124"/>
      <c r="AD24" s="1124"/>
      <c r="AE24" s="1124"/>
      <c r="AF24" s="1124"/>
      <c r="AG24" s="1144"/>
    </row>
    <row r="25" spans="1:33" ht="116.25" customHeight="1" outlineLevel="2">
      <c r="A25" s="796">
        <v>1111</v>
      </c>
      <c r="B25" s="793" t="s">
        <v>620</v>
      </c>
      <c r="C25" s="1073" t="s">
        <v>621</v>
      </c>
      <c r="D25" s="1292"/>
      <c r="E25" s="1293">
        <v>5</v>
      </c>
      <c r="F25" s="1294">
        <v>43206</v>
      </c>
      <c r="G25" s="1294">
        <f t="shared" si="6"/>
        <v>43210</v>
      </c>
      <c r="H25" s="1292" t="s">
        <v>622</v>
      </c>
      <c r="I25" s="1293" t="s">
        <v>170</v>
      </c>
      <c r="J25" s="643" t="s">
        <v>623</v>
      </c>
      <c r="K25" s="1292" t="s">
        <v>628</v>
      </c>
      <c r="L25" s="1231">
        <v>23174</v>
      </c>
      <c r="M25" s="1292"/>
      <c r="N25" s="1292"/>
      <c r="O25" s="647">
        <v>46.666666666666671</v>
      </c>
      <c r="P25" s="1939">
        <v>1</v>
      </c>
      <c r="Q25" s="1712">
        <f t="shared" si="7"/>
        <v>46.666666666666671</v>
      </c>
      <c r="R25" s="1731"/>
      <c r="S25" s="954"/>
      <c r="T25" s="1823">
        <f>Q25</f>
        <v>46.666666666666671</v>
      </c>
      <c r="U25" s="805"/>
      <c r="V25" s="954"/>
      <c r="W25" s="954"/>
      <c r="X25" s="1166"/>
      <c r="Y25" s="1144"/>
      <c r="Z25" s="1124"/>
      <c r="AA25" s="1124"/>
      <c r="AB25" s="1124"/>
      <c r="AC25" s="1124"/>
      <c r="AD25" s="1124"/>
      <c r="AE25" s="1124"/>
      <c r="AF25" s="1124"/>
      <c r="AG25" s="1144"/>
    </row>
    <row r="26" spans="1:33" ht="116.25" customHeight="1" outlineLevel="2">
      <c r="A26" s="796">
        <v>1111</v>
      </c>
      <c r="B26" s="793" t="s">
        <v>620</v>
      </c>
      <c r="C26" s="1073" t="s">
        <v>621</v>
      </c>
      <c r="D26" s="1292"/>
      <c r="E26" s="1293">
        <v>5</v>
      </c>
      <c r="F26" s="1294">
        <v>43206</v>
      </c>
      <c r="G26" s="1294">
        <f t="shared" si="6"/>
        <v>43210</v>
      </c>
      <c r="H26" s="1292" t="s">
        <v>622</v>
      </c>
      <c r="I26" s="1293" t="s">
        <v>170</v>
      </c>
      <c r="J26" s="643" t="s">
        <v>623</v>
      </c>
      <c r="K26" s="1292" t="s">
        <v>629</v>
      </c>
      <c r="L26" s="1231">
        <v>23174</v>
      </c>
      <c r="M26" s="1292"/>
      <c r="N26" s="1292"/>
      <c r="O26" s="647">
        <v>336</v>
      </c>
      <c r="P26" s="1939">
        <v>1</v>
      </c>
      <c r="Q26" s="1712">
        <f t="shared" si="7"/>
        <v>336</v>
      </c>
      <c r="R26" s="1731"/>
      <c r="S26" s="954"/>
      <c r="T26" s="1823">
        <f>Q26</f>
        <v>336</v>
      </c>
      <c r="U26" s="805"/>
      <c r="V26" s="954"/>
      <c r="W26" s="954"/>
      <c r="X26" s="1166"/>
      <c r="Y26" s="1144"/>
      <c r="Z26" s="1124"/>
      <c r="AA26" s="1124"/>
      <c r="AB26" s="1124"/>
      <c r="AC26" s="1124"/>
      <c r="AD26" s="1124"/>
      <c r="AE26" s="1124"/>
      <c r="AF26" s="1124"/>
      <c r="AG26" s="1144"/>
    </row>
    <row r="27" spans="1:33" ht="116.25" customHeight="1" outlineLevel="2">
      <c r="A27" s="796">
        <v>1111</v>
      </c>
      <c r="B27" s="793" t="s">
        <v>620</v>
      </c>
      <c r="C27" s="1073" t="s">
        <v>621</v>
      </c>
      <c r="D27" s="1292"/>
      <c r="E27" s="1293">
        <v>5</v>
      </c>
      <c r="F27" s="1294">
        <v>43206</v>
      </c>
      <c r="G27" s="1294">
        <f t="shared" si="6"/>
        <v>43210</v>
      </c>
      <c r="H27" s="1292" t="s">
        <v>622</v>
      </c>
      <c r="I27" s="1293" t="s">
        <v>170</v>
      </c>
      <c r="J27" s="643" t="s">
        <v>623</v>
      </c>
      <c r="K27" s="1292" t="s">
        <v>630</v>
      </c>
      <c r="L27" s="1231">
        <v>23174</v>
      </c>
      <c r="M27" s="1292"/>
      <c r="N27" s="1292"/>
      <c r="O27" s="647">
        <v>373.33333333333337</v>
      </c>
      <c r="P27" s="1939">
        <v>1</v>
      </c>
      <c r="Q27" s="1712">
        <f t="shared" si="7"/>
        <v>373.33333333333337</v>
      </c>
      <c r="R27" s="1731"/>
      <c r="S27" s="954"/>
      <c r="T27" s="805"/>
      <c r="U27" s="1823">
        <f>Q27</f>
        <v>373.33333333333337</v>
      </c>
      <c r="V27" s="954"/>
      <c r="W27" s="954"/>
      <c r="X27" s="1166"/>
      <c r="Y27" s="1144"/>
      <c r="Z27" s="1124"/>
      <c r="AA27" s="1124"/>
      <c r="AB27" s="1124"/>
      <c r="AC27" s="1124"/>
      <c r="AD27" s="1124"/>
      <c r="AE27" s="1124"/>
      <c r="AF27" s="1124"/>
      <c r="AG27" s="1144"/>
    </row>
    <row r="28" spans="1:33" ht="116.25" customHeight="1" outlineLevel="2">
      <c r="A28" s="796">
        <v>1111</v>
      </c>
      <c r="B28" s="793" t="s">
        <v>620</v>
      </c>
      <c r="C28" s="1073" t="s">
        <v>621</v>
      </c>
      <c r="D28" s="1292"/>
      <c r="E28" s="1293">
        <v>5</v>
      </c>
      <c r="F28" s="1294">
        <v>43206</v>
      </c>
      <c r="G28" s="1294">
        <f t="shared" si="6"/>
        <v>43210</v>
      </c>
      <c r="H28" s="1292" t="s">
        <v>622</v>
      </c>
      <c r="I28" s="1293" t="s">
        <v>170</v>
      </c>
      <c r="J28" s="643" t="s">
        <v>623</v>
      </c>
      <c r="K28" s="1292" t="s">
        <v>631</v>
      </c>
      <c r="L28" s="1231">
        <v>23174</v>
      </c>
      <c r="M28" s="1292"/>
      <c r="N28" s="1292"/>
      <c r="O28" s="647">
        <v>107</v>
      </c>
      <c r="P28" s="1939">
        <v>1</v>
      </c>
      <c r="Q28" s="1712">
        <f t="shared" si="7"/>
        <v>107</v>
      </c>
      <c r="R28" s="1731"/>
      <c r="S28" s="954"/>
      <c r="T28" s="805"/>
      <c r="U28" s="1823">
        <f>Q28</f>
        <v>107</v>
      </c>
      <c r="V28" s="954"/>
      <c r="W28" s="954"/>
      <c r="X28" s="1166"/>
      <c r="Y28" s="1144"/>
      <c r="Z28" s="1124"/>
      <c r="AA28" s="1124"/>
      <c r="AB28" s="1124"/>
      <c r="AC28" s="1124"/>
      <c r="AD28" s="1124"/>
      <c r="AE28" s="1124"/>
      <c r="AF28" s="1124"/>
      <c r="AG28" s="1144"/>
    </row>
    <row r="29" spans="1:33" ht="116.25" customHeight="1" outlineLevel="2">
      <c r="A29" s="796">
        <v>1111</v>
      </c>
      <c r="B29" s="793" t="s">
        <v>620</v>
      </c>
      <c r="C29" s="1073" t="s">
        <v>621</v>
      </c>
      <c r="D29" s="1292"/>
      <c r="E29" s="1293">
        <v>5</v>
      </c>
      <c r="F29" s="1294">
        <v>43206</v>
      </c>
      <c r="G29" s="1294">
        <f t="shared" si="6"/>
        <v>43210</v>
      </c>
      <c r="H29" s="1292" t="s">
        <v>622</v>
      </c>
      <c r="I29" s="1293" t="s">
        <v>170</v>
      </c>
      <c r="J29" s="643" t="s">
        <v>623</v>
      </c>
      <c r="K29" s="1292" t="s">
        <v>633</v>
      </c>
      <c r="L29" s="1231">
        <v>23174</v>
      </c>
      <c r="M29" s="1292"/>
      <c r="N29" s="1292"/>
      <c r="O29" s="647">
        <v>91</v>
      </c>
      <c r="P29" s="1939">
        <v>1</v>
      </c>
      <c r="Q29" s="1712">
        <f t="shared" si="7"/>
        <v>91</v>
      </c>
      <c r="R29" s="1731"/>
      <c r="S29" s="954"/>
      <c r="T29" s="805"/>
      <c r="U29" s="1823">
        <f>Q29</f>
        <v>91</v>
      </c>
      <c r="V29" s="954"/>
      <c r="W29" s="954"/>
      <c r="X29" s="1166"/>
      <c r="Y29" s="1144"/>
      <c r="Z29" s="1124"/>
      <c r="AA29" s="1124"/>
      <c r="AB29" s="1124"/>
      <c r="AC29" s="1124"/>
      <c r="AD29" s="1124"/>
      <c r="AE29" s="1124"/>
      <c r="AF29" s="1124"/>
      <c r="AG29" s="1144"/>
    </row>
    <row r="30" spans="1:33" ht="116.25" customHeight="1" outlineLevel="2">
      <c r="A30" s="796">
        <v>1111</v>
      </c>
      <c r="B30" s="793" t="s">
        <v>620</v>
      </c>
      <c r="C30" s="1073" t="s">
        <v>621</v>
      </c>
      <c r="D30" s="1292"/>
      <c r="E30" s="1293">
        <v>5</v>
      </c>
      <c r="F30" s="1294">
        <v>43206</v>
      </c>
      <c r="G30" s="1294">
        <f t="shared" si="6"/>
        <v>43210</v>
      </c>
      <c r="H30" s="1292" t="s">
        <v>622</v>
      </c>
      <c r="I30" s="1293" t="s">
        <v>170</v>
      </c>
      <c r="J30" s="643" t="s">
        <v>623</v>
      </c>
      <c r="K30" s="1292" t="s">
        <v>635</v>
      </c>
      <c r="L30" s="1231">
        <v>23174</v>
      </c>
      <c r="M30" s="1292"/>
      <c r="N30" s="1292"/>
      <c r="O30" s="647">
        <v>1092</v>
      </c>
      <c r="P30" s="1939">
        <v>1</v>
      </c>
      <c r="Q30" s="1712">
        <f t="shared" si="7"/>
        <v>1092</v>
      </c>
      <c r="R30" s="1731"/>
      <c r="S30" s="954"/>
      <c r="T30" s="805"/>
      <c r="U30" s="1823">
        <f>Q30</f>
        <v>1092</v>
      </c>
      <c r="V30" s="954"/>
      <c r="W30" s="954"/>
      <c r="X30" s="1166"/>
      <c r="Y30" s="1144"/>
      <c r="Z30" s="1124"/>
      <c r="AA30" s="1124"/>
      <c r="AB30" s="1124"/>
      <c r="AC30" s="1124"/>
      <c r="AD30" s="1124"/>
      <c r="AE30" s="1124"/>
      <c r="AF30" s="1124"/>
      <c r="AG30" s="1144"/>
    </row>
    <row r="31" spans="1:33" ht="116.25" customHeight="1" outlineLevel="2">
      <c r="A31" s="796">
        <v>1111</v>
      </c>
      <c r="B31" s="793" t="s">
        <v>620</v>
      </c>
      <c r="C31" s="1073" t="s">
        <v>621</v>
      </c>
      <c r="D31" s="1292"/>
      <c r="E31" s="1293">
        <v>5</v>
      </c>
      <c r="F31" s="1294">
        <v>43206</v>
      </c>
      <c r="G31" s="1294">
        <f t="shared" si="6"/>
        <v>43210</v>
      </c>
      <c r="H31" s="1292" t="s">
        <v>622</v>
      </c>
      <c r="I31" s="1293" t="s">
        <v>170</v>
      </c>
      <c r="J31" s="643" t="s">
        <v>623</v>
      </c>
      <c r="K31" s="1292" t="s">
        <v>636</v>
      </c>
      <c r="L31" s="1231">
        <v>23174</v>
      </c>
      <c r="M31" s="1292"/>
      <c r="N31" s="1292"/>
      <c r="O31" s="647">
        <v>1213</v>
      </c>
      <c r="P31" s="1939">
        <v>1</v>
      </c>
      <c r="Q31" s="1712">
        <f t="shared" si="7"/>
        <v>1213</v>
      </c>
      <c r="R31" s="1731"/>
      <c r="S31" s="954"/>
      <c r="T31" s="1823">
        <f>Q31</f>
        <v>1213</v>
      </c>
      <c r="U31" s="805"/>
      <c r="V31" s="954"/>
      <c r="W31" s="954"/>
      <c r="X31" s="1166"/>
      <c r="Y31" s="1144"/>
      <c r="Z31" s="1124"/>
      <c r="AA31" s="1124"/>
      <c r="AB31" s="1124"/>
      <c r="AC31" s="1124"/>
      <c r="AD31" s="1124"/>
      <c r="AE31" s="1124"/>
      <c r="AF31" s="1124"/>
      <c r="AG31" s="1144"/>
    </row>
    <row r="32" spans="1:33" ht="116.25" customHeight="1" outlineLevel="2">
      <c r="A32" s="796">
        <v>1111</v>
      </c>
      <c r="B32" s="793" t="s">
        <v>620</v>
      </c>
      <c r="C32" s="1073" t="s">
        <v>621</v>
      </c>
      <c r="D32" s="1292"/>
      <c r="E32" s="1293">
        <v>5</v>
      </c>
      <c r="F32" s="1294">
        <v>43206</v>
      </c>
      <c r="G32" s="1294">
        <f t="shared" si="6"/>
        <v>43210</v>
      </c>
      <c r="H32" s="1292" t="s">
        <v>622</v>
      </c>
      <c r="I32" s="1293" t="s">
        <v>170</v>
      </c>
      <c r="J32" s="643" t="s">
        <v>623</v>
      </c>
      <c r="K32" s="1292" t="s">
        <v>637</v>
      </c>
      <c r="L32" s="1231">
        <v>23174</v>
      </c>
      <c r="M32" s="1292"/>
      <c r="N32" s="1292"/>
      <c r="O32" s="647">
        <v>173</v>
      </c>
      <c r="P32" s="1939">
        <v>1</v>
      </c>
      <c r="Q32" s="1712">
        <f t="shared" si="7"/>
        <v>173</v>
      </c>
      <c r="R32" s="1731"/>
      <c r="S32" s="954"/>
      <c r="T32" s="805"/>
      <c r="U32" s="1823">
        <f t="shared" ref="U32:U38" si="8">Q32</f>
        <v>173</v>
      </c>
      <c r="V32" s="954"/>
      <c r="W32" s="954"/>
      <c r="X32" s="1166"/>
      <c r="Y32" s="1144"/>
      <c r="Z32" s="1124"/>
      <c r="AA32" s="1124"/>
      <c r="AB32" s="1124"/>
      <c r="AC32" s="1124"/>
      <c r="AD32" s="1124"/>
      <c r="AE32" s="1124"/>
      <c r="AF32" s="1124"/>
      <c r="AG32" s="1144"/>
    </row>
    <row r="33" spans="1:33" ht="116.25" customHeight="1" outlineLevel="2">
      <c r="A33" s="796">
        <v>1112</v>
      </c>
      <c r="B33" s="793" t="s">
        <v>640</v>
      </c>
      <c r="C33" s="1073" t="s">
        <v>641</v>
      </c>
      <c r="D33" s="1292"/>
      <c r="E33" s="1293">
        <v>5</v>
      </c>
      <c r="F33" s="1294">
        <v>43220</v>
      </c>
      <c r="G33" s="1294">
        <f t="shared" si="6"/>
        <v>43224</v>
      </c>
      <c r="H33" s="1292" t="s">
        <v>622</v>
      </c>
      <c r="I33" s="1293" t="s">
        <v>170</v>
      </c>
      <c r="J33" s="643" t="s">
        <v>642</v>
      </c>
      <c r="K33" s="1292" t="s">
        <v>643</v>
      </c>
      <c r="L33" s="1231">
        <v>23174</v>
      </c>
      <c r="M33" s="1292"/>
      <c r="N33" s="1292"/>
      <c r="O33" s="647">
        <v>60</v>
      </c>
      <c r="P33" s="1939">
        <v>1</v>
      </c>
      <c r="Q33" s="1712">
        <f t="shared" si="7"/>
        <v>60</v>
      </c>
      <c r="R33" s="1731"/>
      <c r="S33" s="954"/>
      <c r="T33" s="805"/>
      <c r="U33" s="1823">
        <f t="shared" si="8"/>
        <v>60</v>
      </c>
      <c r="V33" s="954"/>
      <c r="W33" s="954"/>
      <c r="X33" s="1166"/>
      <c r="Y33" s="1144"/>
      <c r="Z33" s="1124"/>
      <c r="AA33" s="1124"/>
      <c r="AB33" s="1124"/>
      <c r="AC33" s="1124"/>
      <c r="AD33" s="1124"/>
      <c r="AE33" s="1124"/>
      <c r="AF33" s="1124"/>
      <c r="AG33" s="1144"/>
    </row>
    <row r="34" spans="1:33" ht="116.25" customHeight="1" outlineLevel="2">
      <c r="A34" s="796">
        <v>1112</v>
      </c>
      <c r="B34" s="793" t="s">
        <v>640</v>
      </c>
      <c r="C34" s="1073" t="s">
        <v>641</v>
      </c>
      <c r="D34" s="1292"/>
      <c r="E34" s="1293">
        <v>5</v>
      </c>
      <c r="F34" s="1294">
        <v>43220</v>
      </c>
      <c r="G34" s="1294">
        <f t="shared" si="6"/>
        <v>43224</v>
      </c>
      <c r="H34" s="1292" t="s">
        <v>622</v>
      </c>
      <c r="I34" s="1293" t="s">
        <v>170</v>
      </c>
      <c r="J34" s="643" t="s">
        <v>642</v>
      </c>
      <c r="K34" s="1292" t="s">
        <v>644</v>
      </c>
      <c r="L34" s="1231">
        <v>23174</v>
      </c>
      <c r="M34" s="1292"/>
      <c r="N34" s="1292"/>
      <c r="O34" s="647">
        <v>66.666666666666671</v>
      </c>
      <c r="P34" s="1939">
        <v>1</v>
      </c>
      <c r="Q34" s="1712">
        <f t="shared" si="7"/>
        <v>66.666666666666671</v>
      </c>
      <c r="R34" s="1731"/>
      <c r="S34" s="954"/>
      <c r="T34" s="805"/>
      <c r="U34" s="1823">
        <f t="shared" si="8"/>
        <v>66.666666666666671</v>
      </c>
      <c r="V34" s="954"/>
      <c r="W34" s="954"/>
      <c r="X34" s="1166"/>
      <c r="Y34" s="1144"/>
      <c r="Z34" s="1124"/>
      <c r="AA34" s="1124"/>
      <c r="AB34" s="1124"/>
      <c r="AC34" s="1124"/>
      <c r="AD34" s="1124"/>
      <c r="AE34" s="1124"/>
      <c r="AF34" s="1124"/>
      <c r="AG34" s="1144"/>
    </row>
    <row r="35" spans="1:33" ht="116.25" customHeight="1" outlineLevel="2">
      <c r="A35" s="796">
        <v>1112</v>
      </c>
      <c r="B35" s="793" t="s">
        <v>640</v>
      </c>
      <c r="C35" s="1073" t="s">
        <v>641</v>
      </c>
      <c r="D35" s="1292"/>
      <c r="E35" s="1293">
        <v>5</v>
      </c>
      <c r="F35" s="1294">
        <v>43220</v>
      </c>
      <c r="G35" s="1294">
        <f t="shared" si="6"/>
        <v>43224</v>
      </c>
      <c r="H35" s="1292" t="s">
        <v>622</v>
      </c>
      <c r="I35" s="1293" t="s">
        <v>170</v>
      </c>
      <c r="J35" s="643" t="s">
        <v>642</v>
      </c>
      <c r="K35" s="1292" t="s">
        <v>645</v>
      </c>
      <c r="L35" s="1231">
        <v>23174</v>
      </c>
      <c r="M35" s="1292"/>
      <c r="N35" s="1292"/>
      <c r="O35" s="647">
        <v>50</v>
      </c>
      <c r="P35" s="1939">
        <v>1</v>
      </c>
      <c r="Q35" s="1712">
        <f t="shared" si="7"/>
        <v>50</v>
      </c>
      <c r="R35" s="1731"/>
      <c r="S35" s="954"/>
      <c r="T35" s="805"/>
      <c r="U35" s="1823">
        <f t="shared" si="8"/>
        <v>50</v>
      </c>
      <c r="V35" s="954"/>
      <c r="W35" s="954"/>
      <c r="X35" s="1166"/>
      <c r="Y35" s="1144"/>
      <c r="Z35" s="1124"/>
      <c r="AA35" s="1124"/>
      <c r="AB35" s="1124"/>
      <c r="AC35" s="1124"/>
      <c r="AD35" s="1124"/>
      <c r="AE35" s="1124"/>
      <c r="AF35" s="1124"/>
      <c r="AG35" s="1144"/>
    </row>
    <row r="36" spans="1:33" ht="116.25" customHeight="1" outlineLevel="2">
      <c r="A36" s="796">
        <v>1112</v>
      </c>
      <c r="B36" s="793" t="s">
        <v>640</v>
      </c>
      <c r="C36" s="1073" t="s">
        <v>641</v>
      </c>
      <c r="D36" s="1292"/>
      <c r="E36" s="1293">
        <v>5</v>
      </c>
      <c r="F36" s="1294">
        <v>43220</v>
      </c>
      <c r="G36" s="1294">
        <f t="shared" si="6"/>
        <v>43224</v>
      </c>
      <c r="H36" s="1292" t="s">
        <v>622</v>
      </c>
      <c r="I36" s="1293" t="s">
        <v>170</v>
      </c>
      <c r="J36" s="643" t="s">
        <v>642</v>
      </c>
      <c r="K36" s="1292" t="s">
        <v>646</v>
      </c>
      <c r="L36" s="1231">
        <v>23174</v>
      </c>
      <c r="M36" s="1292"/>
      <c r="N36" s="1292"/>
      <c r="O36" s="647">
        <v>33.333333333333336</v>
      </c>
      <c r="P36" s="1939">
        <v>1</v>
      </c>
      <c r="Q36" s="1712">
        <f t="shared" si="7"/>
        <v>33.333333333333336</v>
      </c>
      <c r="R36" s="1731"/>
      <c r="S36" s="954"/>
      <c r="T36" s="805"/>
      <c r="U36" s="1823">
        <f t="shared" si="8"/>
        <v>33.333333333333336</v>
      </c>
      <c r="V36" s="954"/>
      <c r="W36" s="954"/>
      <c r="X36" s="1166"/>
      <c r="Y36" s="1144"/>
      <c r="Z36" s="1124"/>
      <c r="AA36" s="1124"/>
      <c r="AB36" s="1124"/>
      <c r="AC36" s="1124"/>
      <c r="AD36" s="1124"/>
      <c r="AE36" s="1124"/>
      <c r="AF36" s="1124"/>
      <c r="AG36" s="1144"/>
    </row>
    <row r="37" spans="1:33" ht="116.25" customHeight="1" outlineLevel="2">
      <c r="A37" s="796">
        <v>1112</v>
      </c>
      <c r="B37" s="793" t="s">
        <v>640</v>
      </c>
      <c r="C37" s="1073" t="s">
        <v>641</v>
      </c>
      <c r="D37" s="1292"/>
      <c r="E37" s="1293">
        <v>5</v>
      </c>
      <c r="F37" s="1294">
        <v>43220</v>
      </c>
      <c r="G37" s="1294">
        <f t="shared" si="6"/>
        <v>43224</v>
      </c>
      <c r="H37" s="1292" t="s">
        <v>622</v>
      </c>
      <c r="I37" s="1293" t="s">
        <v>170</v>
      </c>
      <c r="J37" s="643" t="s">
        <v>642</v>
      </c>
      <c r="K37" s="1292" t="s">
        <v>647</v>
      </c>
      <c r="L37" s="1231">
        <v>23174</v>
      </c>
      <c r="M37" s="1292"/>
      <c r="N37" s="1292"/>
      <c r="O37" s="647">
        <v>588</v>
      </c>
      <c r="P37" s="1939">
        <v>1</v>
      </c>
      <c r="Q37" s="1712">
        <f t="shared" si="7"/>
        <v>588</v>
      </c>
      <c r="R37" s="1731"/>
      <c r="S37" s="954"/>
      <c r="T37" s="805"/>
      <c r="U37" s="1823">
        <f t="shared" si="8"/>
        <v>588</v>
      </c>
      <c r="V37" s="954"/>
      <c r="W37" s="954"/>
      <c r="X37" s="1166"/>
      <c r="Y37" s="1144"/>
      <c r="Z37" s="1124"/>
      <c r="AA37" s="1124"/>
      <c r="AB37" s="1124"/>
      <c r="AC37" s="1124"/>
      <c r="AD37" s="1124"/>
      <c r="AE37" s="1124"/>
      <c r="AF37" s="1124"/>
      <c r="AG37" s="1144"/>
    </row>
    <row r="38" spans="1:33" ht="116.25" customHeight="1" outlineLevel="2">
      <c r="A38" s="796">
        <v>1112</v>
      </c>
      <c r="B38" s="793" t="s">
        <v>640</v>
      </c>
      <c r="C38" s="1073" t="s">
        <v>641</v>
      </c>
      <c r="D38" s="1292"/>
      <c r="E38" s="1293">
        <v>5</v>
      </c>
      <c r="F38" s="1294">
        <v>43220</v>
      </c>
      <c r="G38" s="1294">
        <f t="shared" si="6"/>
        <v>43224</v>
      </c>
      <c r="H38" s="1292" t="s">
        <v>622</v>
      </c>
      <c r="I38" s="1293" t="s">
        <v>170</v>
      </c>
      <c r="J38" s="643" t="s">
        <v>642</v>
      </c>
      <c r="K38" s="1292" t="s">
        <v>648</v>
      </c>
      <c r="L38" s="1231">
        <v>23174</v>
      </c>
      <c r="M38" s="1292"/>
      <c r="N38" s="1292"/>
      <c r="O38" s="647">
        <v>653.33333333333337</v>
      </c>
      <c r="P38" s="1939">
        <v>1</v>
      </c>
      <c r="Q38" s="1712">
        <f t="shared" si="7"/>
        <v>653.33333333333337</v>
      </c>
      <c r="R38" s="1731"/>
      <c r="S38" s="954"/>
      <c r="T38" s="805"/>
      <c r="U38" s="1823">
        <f t="shared" si="8"/>
        <v>653.33333333333337</v>
      </c>
      <c r="V38" s="954"/>
      <c r="W38" s="954"/>
      <c r="X38" s="1166"/>
      <c r="Y38" s="1144"/>
      <c r="Z38" s="1124"/>
      <c r="AA38" s="1124"/>
      <c r="AB38" s="1124"/>
      <c r="AC38" s="1124"/>
      <c r="AD38" s="1124"/>
      <c r="AE38" s="1124"/>
      <c r="AF38" s="1124"/>
      <c r="AG38" s="1144"/>
    </row>
    <row r="39" spans="1:33" ht="116.25" customHeight="1" outlineLevel="2">
      <c r="A39" s="796">
        <v>1112</v>
      </c>
      <c r="B39" s="793" t="s">
        <v>640</v>
      </c>
      <c r="C39" s="1073" t="s">
        <v>641</v>
      </c>
      <c r="D39" s="1292"/>
      <c r="E39" s="1293">
        <v>5</v>
      </c>
      <c r="F39" s="1294">
        <v>43220</v>
      </c>
      <c r="G39" s="1294">
        <f t="shared" si="6"/>
        <v>43224</v>
      </c>
      <c r="H39" s="1292" t="s">
        <v>622</v>
      </c>
      <c r="I39" s="1293" t="s">
        <v>170</v>
      </c>
      <c r="J39" s="643" t="s">
        <v>642</v>
      </c>
      <c r="K39" s="1292" t="s">
        <v>649</v>
      </c>
      <c r="L39" s="1231">
        <v>23174</v>
      </c>
      <c r="M39" s="1292"/>
      <c r="N39" s="1292"/>
      <c r="O39" s="647">
        <v>490</v>
      </c>
      <c r="P39" s="1939">
        <v>1</v>
      </c>
      <c r="Q39" s="1712">
        <f t="shared" si="7"/>
        <v>490</v>
      </c>
      <c r="R39" s="1731"/>
      <c r="S39" s="954"/>
      <c r="T39" s="1823">
        <f>Q39</f>
        <v>490</v>
      </c>
      <c r="U39" s="805"/>
      <c r="V39" s="954"/>
      <c r="W39" s="954"/>
      <c r="X39" s="1166"/>
      <c r="Y39" s="1144"/>
      <c r="Z39" s="1124"/>
      <c r="AA39" s="1124"/>
      <c r="AB39" s="1124"/>
      <c r="AC39" s="1124"/>
      <c r="AD39" s="1124"/>
      <c r="AE39" s="1124"/>
      <c r="AF39" s="1124"/>
      <c r="AG39" s="1144"/>
    </row>
    <row r="40" spans="1:33" ht="116.25" customHeight="1" outlineLevel="2">
      <c r="A40" s="796">
        <v>1112</v>
      </c>
      <c r="B40" s="793" t="s">
        <v>640</v>
      </c>
      <c r="C40" s="1073" t="s">
        <v>641</v>
      </c>
      <c r="D40" s="1292"/>
      <c r="E40" s="1293">
        <v>5</v>
      </c>
      <c r="F40" s="1294">
        <v>43220</v>
      </c>
      <c r="G40" s="1294">
        <f t="shared" si="6"/>
        <v>43224</v>
      </c>
      <c r="H40" s="1292" t="s">
        <v>622</v>
      </c>
      <c r="I40" s="1293" t="s">
        <v>170</v>
      </c>
      <c r="J40" s="643" t="s">
        <v>642</v>
      </c>
      <c r="K40" s="1292" t="s">
        <v>650</v>
      </c>
      <c r="L40" s="1231">
        <v>23174</v>
      </c>
      <c r="M40" s="1292"/>
      <c r="N40" s="1292"/>
      <c r="O40" s="647">
        <v>326.66666666666669</v>
      </c>
      <c r="P40" s="1939">
        <v>1</v>
      </c>
      <c r="Q40" s="1712">
        <f t="shared" si="7"/>
        <v>326.66666666666669</v>
      </c>
      <c r="R40" s="1731"/>
      <c r="S40" s="954"/>
      <c r="T40" s="1823">
        <f>Q40</f>
        <v>326.66666666666669</v>
      </c>
      <c r="U40" s="805"/>
      <c r="V40" s="954"/>
      <c r="W40" s="954"/>
      <c r="X40" s="1166"/>
      <c r="Y40" s="1144"/>
      <c r="Z40" s="1124"/>
      <c r="AA40" s="1124"/>
      <c r="AB40" s="1124"/>
      <c r="AC40" s="1124"/>
      <c r="AD40" s="1124"/>
      <c r="AE40" s="1124"/>
      <c r="AF40" s="1124"/>
      <c r="AG40" s="1144"/>
    </row>
    <row r="41" spans="1:33" ht="116.25" customHeight="1" outlineLevel="2">
      <c r="A41" s="796">
        <v>1112</v>
      </c>
      <c r="B41" s="793" t="s">
        <v>640</v>
      </c>
      <c r="C41" s="1073" t="s">
        <v>641</v>
      </c>
      <c r="D41" s="1292"/>
      <c r="E41" s="1293">
        <v>5</v>
      </c>
      <c r="F41" s="1294">
        <v>43220</v>
      </c>
      <c r="G41" s="1294">
        <f t="shared" si="6"/>
        <v>43224</v>
      </c>
      <c r="H41" s="1292" t="s">
        <v>622</v>
      </c>
      <c r="I41" s="1293" t="s">
        <v>170</v>
      </c>
      <c r="J41" s="643" t="s">
        <v>642</v>
      </c>
      <c r="K41" s="1292" t="s">
        <v>651</v>
      </c>
      <c r="L41" s="1231">
        <v>23174</v>
      </c>
      <c r="M41" s="1292"/>
      <c r="N41" s="1292"/>
      <c r="O41" s="647">
        <v>6347</v>
      </c>
      <c r="P41" s="1939">
        <v>1</v>
      </c>
      <c r="Q41" s="1712">
        <f t="shared" si="7"/>
        <v>6347</v>
      </c>
      <c r="R41" s="1731"/>
      <c r="S41" s="954"/>
      <c r="T41" s="1823">
        <f>Q41</f>
        <v>6347</v>
      </c>
      <c r="U41" s="805"/>
      <c r="V41" s="954"/>
      <c r="W41" s="954"/>
      <c r="X41" s="1166"/>
      <c r="Y41" s="1144"/>
      <c r="Z41" s="1124"/>
      <c r="AA41" s="1124"/>
      <c r="AB41" s="1124"/>
      <c r="AC41" s="1124"/>
      <c r="AD41" s="1124"/>
      <c r="AE41" s="1124"/>
      <c r="AF41" s="1124"/>
      <c r="AG41" s="1144"/>
    </row>
    <row r="42" spans="1:33" ht="116.25" customHeight="1" outlineLevel="2">
      <c r="A42" s="796">
        <v>1112</v>
      </c>
      <c r="B42" s="793" t="s">
        <v>640</v>
      </c>
      <c r="C42" s="1073" t="s">
        <v>641</v>
      </c>
      <c r="D42" s="1292"/>
      <c r="E42" s="1293">
        <v>5</v>
      </c>
      <c r="F42" s="1294">
        <v>43220</v>
      </c>
      <c r="G42" s="1294">
        <f t="shared" si="6"/>
        <v>43224</v>
      </c>
      <c r="H42" s="1292" t="s">
        <v>622</v>
      </c>
      <c r="I42" s="1293" t="s">
        <v>170</v>
      </c>
      <c r="J42" s="643" t="s">
        <v>642</v>
      </c>
      <c r="K42" s="1292" t="s">
        <v>652</v>
      </c>
      <c r="L42" s="1231">
        <v>23174</v>
      </c>
      <c r="M42" s="1292"/>
      <c r="N42" s="1292"/>
      <c r="O42" s="647">
        <v>924</v>
      </c>
      <c r="P42" s="1939">
        <v>1</v>
      </c>
      <c r="Q42" s="1712">
        <f t="shared" si="7"/>
        <v>924</v>
      </c>
      <c r="R42" s="1731"/>
      <c r="S42" s="954"/>
      <c r="T42" s="1823">
        <f>Q42</f>
        <v>924</v>
      </c>
      <c r="U42" s="805"/>
      <c r="V42" s="954"/>
      <c r="W42" s="954"/>
      <c r="X42" s="1166"/>
      <c r="Y42" s="1144"/>
      <c r="Z42" s="1124"/>
      <c r="AA42" s="1124"/>
      <c r="AB42" s="1124"/>
      <c r="AC42" s="1124"/>
      <c r="AD42" s="1124"/>
      <c r="AE42" s="1124"/>
      <c r="AF42" s="1124"/>
      <c r="AG42" s="1144"/>
    </row>
    <row r="43" spans="1:33" ht="116.25" customHeight="1" outlineLevel="2">
      <c r="A43" s="796">
        <v>1112</v>
      </c>
      <c r="B43" s="793" t="s">
        <v>640</v>
      </c>
      <c r="C43" s="1073" t="s">
        <v>641</v>
      </c>
      <c r="D43" s="1292"/>
      <c r="E43" s="1293">
        <v>5</v>
      </c>
      <c r="F43" s="1294">
        <v>43220</v>
      </c>
      <c r="G43" s="1294">
        <f t="shared" si="6"/>
        <v>43224</v>
      </c>
      <c r="H43" s="1292" t="s">
        <v>622</v>
      </c>
      <c r="I43" s="1293" t="s">
        <v>170</v>
      </c>
      <c r="J43" s="643" t="s">
        <v>642</v>
      </c>
      <c r="K43" s="1292" t="s">
        <v>653</v>
      </c>
      <c r="L43" s="1231">
        <v>23174</v>
      </c>
      <c r="M43" s="1292"/>
      <c r="N43" s="1292"/>
      <c r="O43" s="647">
        <v>1026.6666666666665</v>
      </c>
      <c r="P43" s="1939">
        <v>1</v>
      </c>
      <c r="Q43" s="1712">
        <f t="shared" si="7"/>
        <v>1026.6666666666665</v>
      </c>
      <c r="R43" s="1731"/>
      <c r="S43" s="954"/>
      <c r="T43" s="805"/>
      <c r="U43" s="1823">
        <f>Q43</f>
        <v>1026.6666666666665</v>
      </c>
      <c r="V43" s="954"/>
      <c r="W43" s="954"/>
      <c r="X43" s="1166"/>
      <c r="Y43" s="1144"/>
      <c r="Z43" s="1124"/>
      <c r="AA43" s="1124"/>
      <c r="AB43" s="1124"/>
      <c r="AC43" s="1124"/>
      <c r="AD43" s="1124"/>
      <c r="AE43" s="1124"/>
      <c r="AF43" s="1124"/>
      <c r="AG43" s="1144"/>
    </row>
    <row r="44" spans="1:33" ht="116.25" customHeight="1" outlineLevel="2">
      <c r="A44" s="796">
        <v>1112</v>
      </c>
      <c r="B44" s="793" t="s">
        <v>640</v>
      </c>
      <c r="C44" s="1073" t="s">
        <v>641</v>
      </c>
      <c r="D44" s="1292"/>
      <c r="E44" s="1293">
        <v>5</v>
      </c>
      <c r="F44" s="1294">
        <v>43220</v>
      </c>
      <c r="G44" s="1294">
        <f t="shared" si="6"/>
        <v>43224</v>
      </c>
      <c r="H44" s="1292" t="s">
        <v>622</v>
      </c>
      <c r="I44" s="1293"/>
      <c r="J44" s="643"/>
      <c r="K44" s="1292" t="s">
        <v>654</v>
      </c>
      <c r="L44" s="1231">
        <v>23174</v>
      </c>
      <c r="M44" s="1292"/>
      <c r="N44" s="1292"/>
      <c r="O44" s="647">
        <v>770</v>
      </c>
      <c r="P44" s="1939">
        <v>1</v>
      </c>
      <c r="Q44" s="1712">
        <f t="shared" si="7"/>
        <v>770</v>
      </c>
      <c r="R44" s="1731"/>
      <c r="S44" s="954"/>
      <c r="T44" s="805"/>
      <c r="U44" s="1823">
        <f>Q44</f>
        <v>770</v>
      </c>
      <c r="V44" s="954"/>
      <c r="W44" s="954"/>
      <c r="X44" s="1166"/>
      <c r="Y44" s="1144"/>
      <c r="Z44" s="1124"/>
      <c r="AA44" s="1124"/>
      <c r="AB44" s="1124"/>
      <c r="AC44" s="1124"/>
      <c r="AD44" s="1124"/>
      <c r="AE44" s="1124"/>
      <c r="AF44" s="1124"/>
      <c r="AG44" s="1144"/>
    </row>
    <row r="45" spans="1:33" ht="116.25" customHeight="1" outlineLevel="2">
      <c r="A45" s="796">
        <v>1112</v>
      </c>
      <c r="B45" s="793" t="s">
        <v>640</v>
      </c>
      <c r="C45" s="1073" t="s">
        <v>641</v>
      </c>
      <c r="D45" s="1292"/>
      <c r="E45" s="1293">
        <v>5</v>
      </c>
      <c r="F45" s="1294">
        <v>43220</v>
      </c>
      <c r="G45" s="1294">
        <f t="shared" si="6"/>
        <v>43224</v>
      </c>
      <c r="H45" s="1292" t="s">
        <v>622</v>
      </c>
      <c r="I45" s="1293"/>
      <c r="J45" s="643"/>
      <c r="K45" s="1292" t="s">
        <v>655</v>
      </c>
      <c r="L45" s="1231">
        <v>23174</v>
      </c>
      <c r="M45" s="1292"/>
      <c r="N45" s="1292"/>
      <c r="O45" s="647">
        <v>513</v>
      </c>
      <c r="P45" s="1939">
        <v>1</v>
      </c>
      <c r="Q45" s="1712">
        <f t="shared" si="7"/>
        <v>513</v>
      </c>
      <c r="R45" s="1731"/>
      <c r="S45" s="954"/>
      <c r="T45" s="1823">
        <f>Q45</f>
        <v>513</v>
      </c>
      <c r="U45" s="805"/>
      <c r="V45" s="954"/>
      <c r="W45" s="954"/>
      <c r="X45" s="1166"/>
      <c r="Y45" s="1144"/>
      <c r="Z45" s="1124"/>
      <c r="AA45" s="1124"/>
      <c r="AB45" s="1124"/>
      <c r="AC45" s="1124"/>
      <c r="AD45" s="1124"/>
      <c r="AE45" s="1124"/>
      <c r="AF45" s="1124"/>
      <c r="AG45" s="1144"/>
    </row>
    <row r="46" spans="1:33" ht="116.25" customHeight="1" outlineLevel="2">
      <c r="A46" s="796">
        <v>1112</v>
      </c>
      <c r="B46" s="793" t="s">
        <v>640</v>
      </c>
      <c r="C46" s="1073" t="s">
        <v>641</v>
      </c>
      <c r="D46" s="1292"/>
      <c r="E46" s="1293">
        <v>5</v>
      </c>
      <c r="F46" s="1294">
        <v>43220</v>
      </c>
      <c r="G46" s="1294">
        <f t="shared" si="6"/>
        <v>43224</v>
      </c>
      <c r="H46" s="1292" t="s">
        <v>622</v>
      </c>
      <c r="I46" s="1293" t="s">
        <v>170</v>
      </c>
      <c r="J46" s="643" t="s">
        <v>642</v>
      </c>
      <c r="K46" s="1292" t="s">
        <v>656</v>
      </c>
      <c r="L46" s="1231">
        <v>23174</v>
      </c>
      <c r="M46" s="1292"/>
      <c r="N46" s="1292"/>
      <c r="O46" s="647">
        <v>1764</v>
      </c>
      <c r="P46" s="1939">
        <v>1</v>
      </c>
      <c r="Q46" s="1712">
        <f t="shared" si="7"/>
        <v>1764</v>
      </c>
      <c r="R46" s="1731"/>
      <c r="S46" s="954"/>
      <c r="T46" s="1823">
        <f>Q46</f>
        <v>1764</v>
      </c>
      <c r="U46" s="805"/>
      <c r="V46" s="954"/>
      <c r="W46" s="954"/>
      <c r="X46" s="1166"/>
      <c r="Y46" s="1144"/>
      <c r="Z46" s="1124"/>
      <c r="AA46" s="1124"/>
      <c r="AB46" s="1124"/>
      <c r="AC46" s="1124"/>
      <c r="AD46" s="1124"/>
      <c r="AE46" s="1124"/>
      <c r="AF46" s="1124"/>
      <c r="AG46" s="1144"/>
    </row>
    <row r="47" spans="1:33" ht="116.25" customHeight="1" outlineLevel="2">
      <c r="A47" s="796">
        <v>1112</v>
      </c>
      <c r="B47" s="793" t="s">
        <v>640</v>
      </c>
      <c r="C47" s="1073" t="s">
        <v>641</v>
      </c>
      <c r="D47" s="1292"/>
      <c r="E47" s="1293">
        <v>5</v>
      </c>
      <c r="F47" s="1294">
        <v>43220</v>
      </c>
      <c r="G47" s="1294">
        <f t="shared" si="6"/>
        <v>43224</v>
      </c>
      <c r="H47" s="1292" t="s">
        <v>622</v>
      </c>
      <c r="I47" s="1293" t="s">
        <v>170</v>
      </c>
      <c r="J47" s="643" t="s">
        <v>642</v>
      </c>
      <c r="K47" s="1292" t="s">
        <v>657</v>
      </c>
      <c r="L47" s="1231">
        <v>23174</v>
      </c>
      <c r="M47" s="1292"/>
      <c r="N47" s="1292"/>
      <c r="O47" s="647">
        <v>1960</v>
      </c>
      <c r="P47" s="1939">
        <v>1</v>
      </c>
      <c r="Q47" s="1712">
        <f t="shared" si="7"/>
        <v>1960</v>
      </c>
      <c r="R47" s="1731"/>
      <c r="S47" s="954"/>
      <c r="T47" s="805"/>
      <c r="U47" s="1823">
        <f t="shared" ref="U47:U54" si="9">Q47</f>
        <v>1960</v>
      </c>
      <c r="V47" s="954"/>
      <c r="W47" s="954"/>
      <c r="X47" s="1166"/>
      <c r="Y47" s="1144"/>
      <c r="Z47" s="1124"/>
      <c r="AA47" s="1124"/>
      <c r="AB47" s="1124"/>
      <c r="AC47" s="1124"/>
      <c r="AD47" s="1124"/>
      <c r="AE47" s="1124"/>
      <c r="AF47" s="1124"/>
      <c r="AG47" s="1144"/>
    </row>
    <row r="48" spans="1:33" ht="116.25" customHeight="1" outlineLevel="2">
      <c r="A48" s="796">
        <v>1112</v>
      </c>
      <c r="B48" s="793" t="s">
        <v>640</v>
      </c>
      <c r="C48" s="1073" t="s">
        <v>641</v>
      </c>
      <c r="D48" s="1292"/>
      <c r="E48" s="1293">
        <v>5</v>
      </c>
      <c r="F48" s="1294">
        <v>43220</v>
      </c>
      <c r="G48" s="1294">
        <f t="shared" si="6"/>
        <v>43224</v>
      </c>
      <c r="H48" s="1292" t="s">
        <v>622</v>
      </c>
      <c r="I48" s="1293"/>
      <c r="J48" s="643"/>
      <c r="K48" s="1292" t="s">
        <v>658</v>
      </c>
      <c r="L48" s="1231">
        <v>23174</v>
      </c>
      <c r="M48" s="1292"/>
      <c r="N48" s="1292"/>
      <c r="O48" s="647">
        <v>1960</v>
      </c>
      <c r="P48" s="1939">
        <v>1</v>
      </c>
      <c r="Q48" s="1712">
        <f t="shared" si="7"/>
        <v>1960</v>
      </c>
      <c r="R48" s="1731"/>
      <c r="S48" s="954"/>
      <c r="T48" s="805"/>
      <c r="U48" s="1823">
        <f t="shared" si="9"/>
        <v>1960</v>
      </c>
      <c r="V48" s="954"/>
      <c r="W48" s="954"/>
      <c r="X48" s="1166"/>
      <c r="Y48" s="1144"/>
      <c r="Z48" s="1124"/>
      <c r="AA48" s="1124"/>
      <c r="AB48" s="1124"/>
      <c r="AC48" s="1124"/>
      <c r="AD48" s="1124"/>
      <c r="AE48" s="1124"/>
      <c r="AF48" s="1124"/>
      <c r="AG48" s="1144"/>
    </row>
    <row r="49" spans="1:33" ht="73.900000000000006" customHeight="1" outlineLevel="2">
      <c r="A49" s="796">
        <v>1112</v>
      </c>
      <c r="B49" s="793" t="s">
        <v>640</v>
      </c>
      <c r="C49" s="1073" t="s">
        <v>641</v>
      </c>
      <c r="D49" s="1292"/>
      <c r="E49" s="1293">
        <v>5</v>
      </c>
      <c r="F49" s="1294">
        <v>43220</v>
      </c>
      <c r="G49" s="1294">
        <f t="shared" si="6"/>
        <v>43224</v>
      </c>
      <c r="H49" s="1292" t="s">
        <v>622</v>
      </c>
      <c r="I49" s="1293" t="s">
        <v>170</v>
      </c>
      <c r="J49" s="643" t="s">
        <v>642</v>
      </c>
      <c r="K49" s="1292" t="s">
        <v>659</v>
      </c>
      <c r="L49" s="1231">
        <v>23174</v>
      </c>
      <c r="M49" s="1292"/>
      <c r="N49" s="1292"/>
      <c r="O49" s="647">
        <v>84</v>
      </c>
      <c r="P49" s="1939">
        <v>1</v>
      </c>
      <c r="Q49" s="1712">
        <f t="shared" si="7"/>
        <v>84</v>
      </c>
      <c r="R49" s="1731"/>
      <c r="S49" s="954"/>
      <c r="T49" s="954"/>
      <c r="U49" s="1823">
        <f t="shared" si="9"/>
        <v>84</v>
      </c>
      <c r="V49" s="954"/>
      <c r="W49" s="954"/>
      <c r="X49" s="1166"/>
      <c r="Y49" s="1144"/>
      <c r="Z49" s="1124"/>
      <c r="AA49" s="1124"/>
      <c r="AB49" s="1124"/>
      <c r="AC49" s="1124"/>
      <c r="AD49" s="1124"/>
      <c r="AE49" s="1124"/>
      <c r="AF49" s="1124"/>
      <c r="AG49" s="1144"/>
    </row>
    <row r="50" spans="1:33" ht="73.900000000000006" customHeight="1" outlineLevel="2">
      <c r="A50" s="796">
        <v>1112</v>
      </c>
      <c r="B50" s="793" t="s">
        <v>640</v>
      </c>
      <c r="C50" s="1073" t="s">
        <v>641</v>
      </c>
      <c r="D50" s="1292"/>
      <c r="E50" s="1293">
        <v>5</v>
      </c>
      <c r="F50" s="1294">
        <v>43220</v>
      </c>
      <c r="G50" s="1294">
        <f t="shared" si="6"/>
        <v>43224</v>
      </c>
      <c r="H50" s="1292" t="s">
        <v>622</v>
      </c>
      <c r="I50" s="1293" t="s">
        <v>170</v>
      </c>
      <c r="J50" s="643" t="s">
        <v>642</v>
      </c>
      <c r="K50" s="1292" t="s">
        <v>660</v>
      </c>
      <c r="L50" s="1231">
        <v>23174</v>
      </c>
      <c r="M50" s="1292"/>
      <c r="N50" s="1292"/>
      <c r="O50" s="647">
        <v>93.333333333333343</v>
      </c>
      <c r="P50" s="1939">
        <v>1</v>
      </c>
      <c r="Q50" s="1712">
        <f t="shared" si="7"/>
        <v>93.333333333333343</v>
      </c>
      <c r="R50" s="1731"/>
      <c r="S50" s="954"/>
      <c r="T50" s="954"/>
      <c r="U50" s="1823">
        <f t="shared" si="9"/>
        <v>93.333333333333343</v>
      </c>
      <c r="V50" s="954"/>
      <c r="W50" s="954"/>
      <c r="X50" s="1166"/>
      <c r="Y50" s="1144"/>
      <c r="Z50" s="1124"/>
      <c r="AA50" s="1124"/>
      <c r="AB50" s="1124"/>
      <c r="AC50" s="1124"/>
      <c r="AD50" s="1124"/>
      <c r="AE50" s="1124"/>
      <c r="AF50" s="1124"/>
      <c r="AG50" s="1144"/>
    </row>
    <row r="51" spans="1:33" ht="73.900000000000006" customHeight="1" outlineLevel="2">
      <c r="A51" s="796">
        <v>1112</v>
      </c>
      <c r="B51" s="793" t="s">
        <v>640</v>
      </c>
      <c r="C51" s="1073" t="s">
        <v>641</v>
      </c>
      <c r="D51" s="1292"/>
      <c r="E51" s="1293">
        <v>5</v>
      </c>
      <c r="F51" s="1294">
        <v>43220</v>
      </c>
      <c r="G51" s="1294">
        <f t="shared" si="6"/>
        <v>43224</v>
      </c>
      <c r="H51" s="1292" t="s">
        <v>622</v>
      </c>
      <c r="I51" s="1293" t="s">
        <v>170</v>
      </c>
      <c r="J51" s="643" t="s">
        <v>642</v>
      </c>
      <c r="K51" s="1292" t="s">
        <v>661</v>
      </c>
      <c r="L51" s="1231">
        <v>23174</v>
      </c>
      <c r="M51" s="1292"/>
      <c r="N51" s="1292"/>
      <c r="O51" s="647">
        <v>70</v>
      </c>
      <c r="P51" s="1939">
        <v>1</v>
      </c>
      <c r="Q51" s="1712">
        <f t="shared" si="7"/>
        <v>70</v>
      </c>
      <c r="R51" s="1731"/>
      <c r="S51" s="954"/>
      <c r="T51" s="954"/>
      <c r="U51" s="1823">
        <f t="shared" si="9"/>
        <v>70</v>
      </c>
      <c r="V51" s="954"/>
      <c r="W51" s="954"/>
      <c r="X51" s="1166"/>
      <c r="Y51" s="1144"/>
      <c r="Z51" s="1124"/>
      <c r="AA51" s="1124"/>
      <c r="AB51" s="1124"/>
      <c r="AC51" s="1124"/>
      <c r="AD51" s="1124"/>
      <c r="AE51" s="1124"/>
      <c r="AF51" s="1124"/>
      <c r="AG51" s="1144"/>
    </row>
    <row r="52" spans="1:33" ht="73.900000000000006" customHeight="1" outlineLevel="2">
      <c r="A52" s="796">
        <v>1112</v>
      </c>
      <c r="B52" s="793" t="s">
        <v>640</v>
      </c>
      <c r="C52" s="1073" t="s">
        <v>641</v>
      </c>
      <c r="D52" s="1292"/>
      <c r="E52" s="1293">
        <v>5</v>
      </c>
      <c r="F52" s="1294">
        <v>43220</v>
      </c>
      <c r="G52" s="1294">
        <f t="shared" si="6"/>
        <v>43224</v>
      </c>
      <c r="H52" s="1292" t="s">
        <v>622</v>
      </c>
      <c r="I52" s="1293" t="s">
        <v>170</v>
      </c>
      <c r="J52" s="643" t="s">
        <v>642</v>
      </c>
      <c r="K52" s="1292" t="s">
        <v>662</v>
      </c>
      <c r="L52" s="1231">
        <v>23174</v>
      </c>
      <c r="M52" s="1292"/>
      <c r="N52" s="1292"/>
      <c r="O52" s="647">
        <v>46.666666666666671</v>
      </c>
      <c r="P52" s="1939">
        <v>1</v>
      </c>
      <c r="Q52" s="1712">
        <f t="shared" si="7"/>
        <v>46.666666666666671</v>
      </c>
      <c r="R52" s="1731"/>
      <c r="S52" s="954"/>
      <c r="T52" s="954"/>
      <c r="U52" s="1823">
        <f t="shared" si="9"/>
        <v>46.666666666666671</v>
      </c>
      <c r="V52" s="954"/>
      <c r="W52" s="954"/>
      <c r="X52" s="1166"/>
      <c r="Y52" s="1144"/>
      <c r="Z52" s="1124"/>
      <c r="AA52" s="1124"/>
      <c r="AB52" s="1124"/>
      <c r="AC52" s="1124"/>
      <c r="AD52" s="1124"/>
      <c r="AE52" s="1124"/>
      <c r="AF52" s="1124"/>
      <c r="AG52" s="1144"/>
    </row>
    <row r="53" spans="1:33" ht="73.900000000000006" customHeight="1" outlineLevel="2">
      <c r="A53" s="796">
        <v>1112</v>
      </c>
      <c r="B53" s="793" t="s">
        <v>640</v>
      </c>
      <c r="C53" s="1073" t="s">
        <v>641</v>
      </c>
      <c r="D53" s="1292"/>
      <c r="E53" s="1293">
        <v>5</v>
      </c>
      <c r="F53" s="1294">
        <v>43220</v>
      </c>
      <c r="G53" s="1294">
        <f t="shared" si="6"/>
        <v>43224</v>
      </c>
      <c r="H53" s="1292" t="s">
        <v>622</v>
      </c>
      <c r="I53" s="1293" t="s">
        <v>170</v>
      </c>
      <c r="J53" s="643" t="s">
        <v>642</v>
      </c>
      <c r="K53" s="1292" t="s">
        <v>663</v>
      </c>
      <c r="L53" s="1231">
        <v>23174</v>
      </c>
      <c r="M53" s="1292"/>
      <c r="N53" s="1292"/>
      <c r="O53" s="647">
        <v>1176</v>
      </c>
      <c r="P53" s="1939">
        <v>1</v>
      </c>
      <c r="Q53" s="1712">
        <f t="shared" si="7"/>
        <v>1176</v>
      </c>
      <c r="R53" s="1731"/>
      <c r="S53" s="954"/>
      <c r="T53" s="954"/>
      <c r="U53" s="1823">
        <f t="shared" si="9"/>
        <v>1176</v>
      </c>
      <c r="V53" s="954"/>
      <c r="W53" s="954"/>
      <c r="X53" s="1166"/>
      <c r="Y53" s="1144"/>
      <c r="Z53" s="1124"/>
      <c r="AA53" s="1124"/>
      <c r="AB53" s="1124"/>
      <c r="AC53" s="1124"/>
      <c r="AD53" s="1124"/>
      <c r="AE53" s="1124"/>
      <c r="AF53" s="1124"/>
      <c r="AG53" s="1144"/>
    </row>
    <row r="54" spans="1:33" ht="73.900000000000006" customHeight="1" outlineLevel="2">
      <c r="A54" s="796">
        <v>1112</v>
      </c>
      <c r="B54" s="793" t="s">
        <v>640</v>
      </c>
      <c r="C54" s="1073" t="s">
        <v>641</v>
      </c>
      <c r="D54" s="1292"/>
      <c r="E54" s="1293">
        <v>5</v>
      </c>
      <c r="F54" s="1294">
        <v>43220</v>
      </c>
      <c r="G54" s="1294">
        <f t="shared" ref="G54:G85" si="10">F54+E54-1</f>
        <v>43224</v>
      </c>
      <c r="H54" s="1292" t="s">
        <v>622</v>
      </c>
      <c r="I54" s="1293" t="s">
        <v>170</v>
      </c>
      <c r="J54" s="643" t="s">
        <v>642</v>
      </c>
      <c r="K54" s="1292" t="s">
        <v>664</v>
      </c>
      <c r="L54" s="1231">
        <v>23174</v>
      </c>
      <c r="M54" s="1292"/>
      <c r="N54" s="1292"/>
      <c r="O54" s="647">
        <v>1306.6666666666667</v>
      </c>
      <c r="P54" s="1939">
        <v>1</v>
      </c>
      <c r="Q54" s="1712">
        <f t="shared" ref="Q54:Q85" si="11">O54*P54</f>
        <v>1306.6666666666667</v>
      </c>
      <c r="R54" s="1731"/>
      <c r="S54" s="954"/>
      <c r="T54" s="954"/>
      <c r="U54" s="1823">
        <f t="shared" si="9"/>
        <v>1306.6666666666667</v>
      </c>
      <c r="V54" s="805"/>
      <c r="W54" s="954"/>
      <c r="X54" s="1166"/>
      <c r="Y54" s="1144"/>
      <c r="Z54" s="1124"/>
      <c r="AA54" s="1124"/>
      <c r="AB54" s="1124"/>
      <c r="AC54" s="1124"/>
      <c r="AD54" s="1124"/>
      <c r="AE54" s="1124"/>
      <c r="AF54" s="1124"/>
      <c r="AG54" s="1144"/>
    </row>
    <row r="55" spans="1:33" ht="73.900000000000006" customHeight="1" outlineLevel="2">
      <c r="A55" s="796">
        <v>1112</v>
      </c>
      <c r="B55" s="793" t="s">
        <v>640</v>
      </c>
      <c r="C55" s="1073" t="s">
        <v>641</v>
      </c>
      <c r="D55" s="1292"/>
      <c r="E55" s="1293">
        <v>5</v>
      </c>
      <c r="F55" s="1294">
        <v>43220</v>
      </c>
      <c r="G55" s="1294">
        <f t="shared" si="10"/>
        <v>43224</v>
      </c>
      <c r="H55" s="1292" t="s">
        <v>622</v>
      </c>
      <c r="I55" s="1293" t="s">
        <v>170</v>
      </c>
      <c r="J55" s="643" t="s">
        <v>642</v>
      </c>
      <c r="K55" s="1292" t="s">
        <v>665</v>
      </c>
      <c r="L55" s="1231">
        <v>23174</v>
      </c>
      <c r="M55" s="1292"/>
      <c r="N55" s="1292"/>
      <c r="O55" s="647">
        <v>373</v>
      </c>
      <c r="P55" s="1939">
        <v>1</v>
      </c>
      <c r="Q55" s="1712">
        <f t="shared" si="11"/>
        <v>373</v>
      </c>
      <c r="R55" s="1731"/>
      <c r="S55" s="954"/>
      <c r="T55" s="954"/>
      <c r="U55" s="1823">
        <f t="shared" ref="U55:U61" si="12">Q55</f>
        <v>373</v>
      </c>
      <c r="V55" s="805"/>
      <c r="W55" s="954"/>
      <c r="X55" s="1166"/>
      <c r="Y55" s="1144"/>
      <c r="Z55" s="1124"/>
      <c r="AA55" s="1124"/>
      <c r="AB55" s="1124"/>
      <c r="AC55" s="1124"/>
      <c r="AD55" s="1124"/>
      <c r="AE55" s="1124"/>
      <c r="AF55" s="1124"/>
      <c r="AG55" s="1144"/>
    </row>
    <row r="56" spans="1:33" ht="73.900000000000006" customHeight="1" outlineLevel="2">
      <c r="A56" s="796">
        <v>1113</v>
      </c>
      <c r="B56" s="793" t="s">
        <v>671</v>
      </c>
      <c r="C56" s="1073" t="s">
        <v>672</v>
      </c>
      <c r="D56" s="1292"/>
      <c r="E56" s="1293">
        <v>5</v>
      </c>
      <c r="F56" s="1294">
        <v>43227</v>
      </c>
      <c r="G56" s="1294">
        <f t="shared" si="10"/>
        <v>43231</v>
      </c>
      <c r="H56" s="1292" t="s">
        <v>667</v>
      </c>
      <c r="I56" s="1293" t="s">
        <v>170</v>
      </c>
      <c r="J56" s="643" t="s">
        <v>673</v>
      </c>
      <c r="K56" s="1292" t="s">
        <v>674</v>
      </c>
      <c r="L56" s="1231">
        <v>23174</v>
      </c>
      <c r="M56" s="1292"/>
      <c r="N56" s="1292"/>
      <c r="O56" s="647">
        <v>588</v>
      </c>
      <c r="P56" s="1939">
        <v>1</v>
      </c>
      <c r="Q56" s="1712">
        <f t="shared" si="11"/>
        <v>588</v>
      </c>
      <c r="R56" s="1731"/>
      <c r="S56" s="954"/>
      <c r="T56" s="954"/>
      <c r="U56" s="1823">
        <f t="shared" si="12"/>
        <v>588</v>
      </c>
      <c r="V56" s="805"/>
      <c r="W56" s="954"/>
      <c r="X56" s="1166"/>
      <c r="Y56" s="1144"/>
      <c r="Z56" s="1124"/>
      <c r="AA56" s="1124"/>
      <c r="AB56" s="1124"/>
      <c r="AC56" s="1124"/>
      <c r="AD56" s="1124"/>
      <c r="AE56" s="1124"/>
      <c r="AF56" s="1124"/>
      <c r="AG56" s="1144"/>
    </row>
    <row r="57" spans="1:33" ht="73.900000000000006" customHeight="1" outlineLevel="2">
      <c r="A57" s="796">
        <v>1113</v>
      </c>
      <c r="B57" s="793" t="s">
        <v>671</v>
      </c>
      <c r="C57" s="1073" t="s">
        <v>672</v>
      </c>
      <c r="D57" s="1292"/>
      <c r="E57" s="1293">
        <v>5</v>
      </c>
      <c r="F57" s="1294">
        <v>43227</v>
      </c>
      <c r="G57" s="1294">
        <f t="shared" si="10"/>
        <v>43231</v>
      </c>
      <c r="H57" s="1292" t="s">
        <v>667</v>
      </c>
      <c r="I57" s="1293" t="s">
        <v>170</v>
      </c>
      <c r="J57" s="643" t="s">
        <v>673</v>
      </c>
      <c r="K57" s="1292" t="s">
        <v>675</v>
      </c>
      <c r="L57" s="1231">
        <v>23174</v>
      </c>
      <c r="M57" s="1292"/>
      <c r="N57" s="1292"/>
      <c r="O57" s="647">
        <v>653.33333333333337</v>
      </c>
      <c r="P57" s="1939">
        <v>1</v>
      </c>
      <c r="Q57" s="1712">
        <f t="shared" si="11"/>
        <v>653.33333333333337</v>
      </c>
      <c r="R57" s="1731"/>
      <c r="S57" s="954"/>
      <c r="T57" s="954"/>
      <c r="U57" s="1823">
        <f t="shared" si="12"/>
        <v>653.33333333333337</v>
      </c>
      <c r="V57" s="805"/>
      <c r="W57" s="954"/>
      <c r="X57" s="1166"/>
      <c r="Y57" s="1144"/>
      <c r="Z57" s="1124"/>
      <c r="AA57" s="1124"/>
      <c r="AB57" s="1124"/>
      <c r="AC57" s="1124"/>
      <c r="AD57" s="1124"/>
      <c r="AE57" s="1124"/>
      <c r="AF57" s="1124"/>
      <c r="AG57" s="1144"/>
    </row>
    <row r="58" spans="1:33" ht="73.900000000000006" customHeight="1" outlineLevel="2">
      <c r="A58" s="796">
        <v>1113</v>
      </c>
      <c r="B58" s="793" t="s">
        <v>671</v>
      </c>
      <c r="C58" s="1073" t="s">
        <v>672</v>
      </c>
      <c r="D58" s="1292"/>
      <c r="E58" s="1293">
        <v>5</v>
      </c>
      <c r="F58" s="1294">
        <v>43227</v>
      </c>
      <c r="G58" s="1294">
        <f t="shared" si="10"/>
        <v>43231</v>
      </c>
      <c r="H58" s="1292" t="s">
        <v>667</v>
      </c>
      <c r="I58" s="1293" t="s">
        <v>170</v>
      </c>
      <c r="J58" s="643" t="s">
        <v>673</v>
      </c>
      <c r="K58" s="1292" t="s">
        <v>676</v>
      </c>
      <c r="L58" s="1231">
        <v>23174</v>
      </c>
      <c r="M58" s="1292"/>
      <c r="N58" s="1292"/>
      <c r="O58" s="647">
        <v>653</v>
      </c>
      <c r="P58" s="1939">
        <v>1</v>
      </c>
      <c r="Q58" s="1712">
        <f t="shared" si="11"/>
        <v>653</v>
      </c>
      <c r="R58" s="1731"/>
      <c r="S58" s="954"/>
      <c r="T58" s="954"/>
      <c r="U58" s="1823">
        <f t="shared" si="12"/>
        <v>653</v>
      </c>
      <c r="V58" s="805"/>
      <c r="W58" s="954"/>
      <c r="X58" s="1166"/>
      <c r="Y58" s="1144"/>
      <c r="Z58" s="1124"/>
      <c r="AA58" s="1124"/>
      <c r="AB58" s="1124"/>
      <c r="AC58" s="1124"/>
      <c r="AD58" s="1124"/>
      <c r="AE58" s="1124"/>
      <c r="AF58" s="1124"/>
      <c r="AG58" s="1144"/>
    </row>
    <row r="59" spans="1:33" ht="73.900000000000006" customHeight="1" outlineLevel="2">
      <c r="A59" s="796">
        <v>1114</v>
      </c>
      <c r="B59" s="793" t="s">
        <v>679</v>
      </c>
      <c r="C59" s="1073" t="s">
        <v>680</v>
      </c>
      <c r="D59" s="1292"/>
      <c r="E59" s="1293">
        <v>5</v>
      </c>
      <c r="F59" s="1294">
        <v>43248</v>
      </c>
      <c r="G59" s="1294">
        <f t="shared" si="10"/>
        <v>43252</v>
      </c>
      <c r="H59" s="1292" t="s">
        <v>681</v>
      </c>
      <c r="I59" s="1293" t="s">
        <v>170</v>
      </c>
      <c r="J59" s="643" t="s">
        <v>682</v>
      </c>
      <c r="K59" s="1292" t="s">
        <v>683</v>
      </c>
      <c r="L59" s="1231">
        <v>23174</v>
      </c>
      <c r="M59" s="1292"/>
      <c r="N59" s="1292"/>
      <c r="O59" s="647">
        <v>588</v>
      </c>
      <c r="P59" s="1939">
        <v>1</v>
      </c>
      <c r="Q59" s="1712">
        <f t="shared" si="11"/>
        <v>588</v>
      </c>
      <c r="R59" s="1731"/>
      <c r="S59" s="954"/>
      <c r="T59" s="954"/>
      <c r="U59" s="1823">
        <f t="shared" si="12"/>
        <v>588</v>
      </c>
      <c r="V59" s="805"/>
      <c r="W59" s="954"/>
      <c r="X59" s="1166"/>
      <c r="Y59" s="1144"/>
      <c r="Z59" s="1124"/>
      <c r="AA59" s="1124"/>
      <c r="AB59" s="1124"/>
      <c r="AC59" s="1124"/>
      <c r="AD59" s="1124"/>
      <c r="AE59" s="1124"/>
      <c r="AF59" s="1124"/>
      <c r="AG59" s="1144"/>
    </row>
    <row r="60" spans="1:33" ht="73.900000000000006" customHeight="1" outlineLevel="2">
      <c r="A60" s="796">
        <v>1114</v>
      </c>
      <c r="B60" s="793" t="s">
        <v>679</v>
      </c>
      <c r="C60" s="1073" t="s">
        <v>680</v>
      </c>
      <c r="D60" s="1292"/>
      <c r="E60" s="1293">
        <v>5</v>
      </c>
      <c r="F60" s="1294">
        <v>43248</v>
      </c>
      <c r="G60" s="1294">
        <f t="shared" si="10"/>
        <v>43252</v>
      </c>
      <c r="H60" s="1292" t="s">
        <v>681</v>
      </c>
      <c r="I60" s="1293" t="s">
        <v>170</v>
      </c>
      <c r="J60" s="643" t="s">
        <v>682</v>
      </c>
      <c r="K60" s="1292" t="s">
        <v>684</v>
      </c>
      <c r="L60" s="1231">
        <v>23174</v>
      </c>
      <c r="M60" s="1292"/>
      <c r="N60" s="1292"/>
      <c r="O60" s="647">
        <v>653.33333333333337</v>
      </c>
      <c r="P60" s="1939">
        <v>1</v>
      </c>
      <c r="Q60" s="1712">
        <f t="shared" si="11"/>
        <v>653.33333333333337</v>
      </c>
      <c r="R60" s="1731"/>
      <c r="S60" s="954"/>
      <c r="T60" s="954"/>
      <c r="U60" s="1823">
        <f t="shared" si="12"/>
        <v>653.33333333333337</v>
      </c>
      <c r="V60" s="805"/>
      <c r="W60" s="954"/>
      <c r="X60" s="1166"/>
      <c r="Y60" s="1144"/>
      <c r="Z60" s="1124"/>
      <c r="AA60" s="1124"/>
      <c r="AB60" s="1124"/>
      <c r="AC60" s="1124"/>
      <c r="AD60" s="1124"/>
      <c r="AE60" s="1124"/>
      <c r="AF60" s="1124"/>
      <c r="AG60" s="1144"/>
    </row>
    <row r="61" spans="1:33" ht="73.900000000000006" customHeight="1" outlineLevel="2">
      <c r="A61" s="796">
        <v>1114</v>
      </c>
      <c r="B61" s="793" t="s">
        <v>679</v>
      </c>
      <c r="C61" s="1073" t="s">
        <v>680</v>
      </c>
      <c r="D61" s="1292"/>
      <c r="E61" s="1293">
        <v>5</v>
      </c>
      <c r="F61" s="1294">
        <v>43248</v>
      </c>
      <c r="G61" s="1294">
        <f t="shared" si="10"/>
        <v>43252</v>
      </c>
      <c r="H61" s="1292" t="s">
        <v>681</v>
      </c>
      <c r="I61" s="1293" t="s">
        <v>170</v>
      </c>
      <c r="J61" s="643" t="s">
        <v>682</v>
      </c>
      <c r="K61" s="1292" t="s">
        <v>685</v>
      </c>
      <c r="L61" s="1231">
        <v>23174</v>
      </c>
      <c r="M61" s="1292"/>
      <c r="N61" s="1292"/>
      <c r="O61" s="647">
        <v>490</v>
      </c>
      <c r="P61" s="1939">
        <v>1</v>
      </c>
      <c r="Q61" s="1712">
        <f t="shared" si="11"/>
        <v>490</v>
      </c>
      <c r="R61" s="1731"/>
      <c r="S61" s="954"/>
      <c r="T61" s="954"/>
      <c r="U61" s="1823">
        <f t="shared" si="12"/>
        <v>490</v>
      </c>
      <c r="V61" s="805"/>
      <c r="W61" s="954"/>
      <c r="X61" s="1166"/>
      <c r="Y61" s="1144"/>
      <c r="Z61" s="1124"/>
      <c r="AA61" s="1124"/>
      <c r="AB61" s="1124"/>
      <c r="AC61" s="1124"/>
      <c r="AD61" s="1124"/>
      <c r="AE61" s="1124"/>
      <c r="AF61" s="1124"/>
      <c r="AG61" s="1144"/>
    </row>
    <row r="62" spans="1:33" ht="73.900000000000006" customHeight="1" outlineLevel="2">
      <c r="A62" s="796">
        <v>1114</v>
      </c>
      <c r="B62" s="793" t="s">
        <v>679</v>
      </c>
      <c r="C62" s="1073" t="s">
        <v>680</v>
      </c>
      <c r="D62" s="1292"/>
      <c r="E62" s="1293">
        <v>5</v>
      </c>
      <c r="F62" s="1294">
        <v>43248</v>
      </c>
      <c r="G62" s="1294">
        <f t="shared" si="10"/>
        <v>43252</v>
      </c>
      <c r="H62" s="1292" t="s">
        <v>681</v>
      </c>
      <c r="I62" s="1293" t="s">
        <v>170</v>
      </c>
      <c r="J62" s="643" t="s">
        <v>682</v>
      </c>
      <c r="K62" s="1292" t="s">
        <v>686</v>
      </c>
      <c r="L62" s="1231">
        <v>23174</v>
      </c>
      <c r="M62" s="1292"/>
      <c r="N62" s="1292"/>
      <c r="O62" s="647">
        <v>326.66666666666669</v>
      </c>
      <c r="P62" s="1939">
        <v>1</v>
      </c>
      <c r="Q62" s="1712">
        <f t="shared" si="11"/>
        <v>326.66666666666669</v>
      </c>
      <c r="R62" s="1731"/>
      <c r="S62" s="954"/>
      <c r="T62" s="954"/>
      <c r="U62" s="805"/>
      <c r="V62" s="1823">
        <f>Q62</f>
        <v>326.66666666666669</v>
      </c>
      <c r="W62" s="954"/>
      <c r="X62" s="1166"/>
      <c r="Y62" s="1144"/>
      <c r="Z62" s="1124"/>
      <c r="AA62" s="1124"/>
      <c r="AB62" s="1124"/>
      <c r="AC62" s="1124"/>
      <c r="AD62" s="1124"/>
      <c r="AE62" s="1124"/>
      <c r="AF62" s="1124"/>
      <c r="AG62" s="1144"/>
    </row>
    <row r="63" spans="1:33" ht="73.900000000000006" customHeight="1" outlineLevel="2">
      <c r="A63" s="796">
        <v>1114</v>
      </c>
      <c r="B63" s="793" t="s">
        <v>679</v>
      </c>
      <c r="C63" s="1073" t="s">
        <v>680</v>
      </c>
      <c r="D63" s="1292"/>
      <c r="E63" s="1293">
        <v>5</v>
      </c>
      <c r="F63" s="1294">
        <v>43248</v>
      </c>
      <c r="G63" s="1294">
        <f t="shared" si="10"/>
        <v>43252</v>
      </c>
      <c r="H63" s="1292" t="s">
        <v>681</v>
      </c>
      <c r="I63" s="1293" t="s">
        <v>170</v>
      </c>
      <c r="J63" s="643" t="s">
        <v>682</v>
      </c>
      <c r="K63" s="1292" t="s">
        <v>687</v>
      </c>
      <c r="L63" s="1231">
        <v>23174</v>
      </c>
      <c r="M63" s="1292"/>
      <c r="N63" s="1292"/>
      <c r="O63" s="647">
        <v>2221</v>
      </c>
      <c r="P63" s="1939">
        <v>1</v>
      </c>
      <c r="Q63" s="1712">
        <f t="shared" si="11"/>
        <v>2221</v>
      </c>
      <c r="R63" s="1731"/>
      <c r="S63" s="954"/>
      <c r="T63" s="954"/>
      <c r="U63" s="805"/>
      <c r="V63" s="1823">
        <f>Q63</f>
        <v>2221</v>
      </c>
      <c r="W63" s="954"/>
      <c r="X63" s="1166"/>
      <c r="Y63" s="1144"/>
      <c r="Z63" s="1124"/>
      <c r="AA63" s="1124"/>
      <c r="AB63" s="1124"/>
      <c r="AC63" s="1124"/>
      <c r="AD63" s="1124"/>
      <c r="AE63" s="1124"/>
      <c r="AF63" s="1124"/>
      <c r="AG63" s="1144"/>
    </row>
    <row r="64" spans="1:33" ht="73.900000000000006" customHeight="1" outlineLevel="2">
      <c r="A64" s="796">
        <v>1114</v>
      </c>
      <c r="B64" s="793" t="s">
        <v>679</v>
      </c>
      <c r="C64" s="1073" t="s">
        <v>680</v>
      </c>
      <c r="D64" s="1292"/>
      <c r="E64" s="1293">
        <v>5</v>
      </c>
      <c r="F64" s="1294">
        <v>43248</v>
      </c>
      <c r="G64" s="1294">
        <f t="shared" si="10"/>
        <v>43252</v>
      </c>
      <c r="H64" s="1292" t="s">
        <v>681</v>
      </c>
      <c r="I64" s="1293" t="s">
        <v>170</v>
      </c>
      <c r="J64" s="643" t="s">
        <v>682</v>
      </c>
      <c r="K64" s="1292" t="s">
        <v>688</v>
      </c>
      <c r="L64" s="1231">
        <v>23174</v>
      </c>
      <c r="M64" s="1292"/>
      <c r="N64" s="1292"/>
      <c r="O64" s="647">
        <v>1764</v>
      </c>
      <c r="P64" s="1939">
        <v>1</v>
      </c>
      <c r="Q64" s="1712">
        <f t="shared" si="11"/>
        <v>1764</v>
      </c>
      <c r="R64" s="1731"/>
      <c r="S64" s="954"/>
      <c r="T64" s="954"/>
      <c r="U64" s="805"/>
      <c r="V64" s="1823">
        <f>Q64</f>
        <v>1764</v>
      </c>
      <c r="W64" s="954"/>
      <c r="X64" s="1166"/>
      <c r="Y64" s="1144"/>
      <c r="Z64" s="1124"/>
      <c r="AA64" s="1124"/>
      <c r="AB64" s="1124"/>
      <c r="AC64" s="1124"/>
      <c r="AD64" s="1124"/>
      <c r="AE64" s="1124"/>
      <c r="AF64" s="1124"/>
      <c r="AG64" s="1144"/>
    </row>
    <row r="65" spans="1:33" ht="97.5" customHeight="1" outlineLevel="2">
      <c r="A65" s="796">
        <v>1114</v>
      </c>
      <c r="B65" s="793" t="s">
        <v>679</v>
      </c>
      <c r="C65" s="1073" t="s">
        <v>680</v>
      </c>
      <c r="D65" s="1292"/>
      <c r="E65" s="1293">
        <v>5</v>
      </c>
      <c r="F65" s="1294">
        <v>43248</v>
      </c>
      <c r="G65" s="1294">
        <f t="shared" si="10"/>
        <v>43252</v>
      </c>
      <c r="H65" s="1292" t="s">
        <v>681</v>
      </c>
      <c r="I65" s="1293" t="s">
        <v>170</v>
      </c>
      <c r="J65" s="643" t="s">
        <v>682</v>
      </c>
      <c r="K65" s="1292" t="s">
        <v>689</v>
      </c>
      <c r="L65" s="1231">
        <v>23174</v>
      </c>
      <c r="M65" s="1292"/>
      <c r="N65" s="1292"/>
      <c r="O65" s="647">
        <v>1960</v>
      </c>
      <c r="P65" s="1939">
        <v>1</v>
      </c>
      <c r="Q65" s="1712">
        <f t="shared" si="11"/>
        <v>1960</v>
      </c>
      <c r="R65" s="1731"/>
      <c r="S65" s="954"/>
      <c r="T65" s="954"/>
      <c r="U65" s="954"/>
      <c r="V65" s="1823">
        <f>Q65</f>
        <v>1960</v>
      </c>
      <c r="W65" s="805"/>
      <c r="X65" s="1166"/>
      <c r="Y65" s="1144"/>
      <c r="Z65" s="1124"/>
      <c r="AA65" s="1124"/>
      <c r="AB65" s="1124"/>
      <c r="AC65" s="1124"/>
      <c r="AD65" s="1124"/>
      <c r="AE65" s="1124"/>
      <c r="AF65" s="1124"/>
      <c r="AG65" s="1144"/>
    </row>
    <row r="66" spans="1:33" ht="97.5" customHeight="1" outlineLevel="2">
      <c r="A66" s="796">
        <v>1114</v>
      </c>
      <c r="B66" s="793" t="s">
        <v>679</v>
      </c>
      <c r="C66" s="1073" t="s">
        <v>680</v>
      </c>
      <c r="D66" s="1292"/>
      <c r="E66" s="1293">
        <v>5</v>
      </c>
      <c r="F66" s="1294">
        <v>43248</v>
      </c>
      <c r="G66" s="1294">
        <f t="shared" si="10"/>
        <v>43252</v>
      </c>
      <c r="H66" s="1292" t="s">
        <v>681</v>
      </c>
      <c r="I66" s="1293" t="s">
        <v>170</v>
      </c>
      <c r="J66" s="643" t="s">
        <v>682</v>
      </c>
      <c r="K66" s="1292" t="s">
        <v>690</v>
      </c>
      <c r="L66" s="1231">
        <v>23174</v>
      </c>
      <c r="M66" s="1292"/>
      <c r="N66" s="1292"/>
      <c r="O66" s="647">
        <v>1960</v>
      </c>
      <c r="P66" s="1939">
        <v>1</v>
      </c>
      <c r="Q66" s="1712">
        <f t="shared" si="11"/>
        <v>1960</v>
      </c>
      <c r="R66" s="1731"/>
      <c r="S66" s="954"/>
      <c r="T66" s="954"/>
      <c r="U66" s="954"/>
      <c r="V66" s="1823">
        <f t="shared" ref="V66:V76" si="13">Q66</f>
        <v>1960</v>
      </c>
      <c r="W66" s="805"/>
      <c r="X66" s="1166"/>
      <c r="Y66" s="1144"/>
      <c r="Z66" s="1124"/>
      <c r="AA66" s="1124"/>
      <c r="AB66" s="1124"/>
      <c r="AC66" s="1124"/>
      <c r="AD66" s="1124"/>
      <c r="AE66" s="1124"/>
      <c r="AF66" s="1124"/>
      <c r="AG66" s="1144"/>
    </row>
    <row r="67" spans="1:33" ht="97.5" customHeight="1" outlineLevel="2">
      <c r="A67" s="796">
        <v>1114</v>
      </c>
      <c r="B67" s="793" t="s">
        <v>679</v>
      </c>
      <c r="C67" s="1073" t="s">
        <v>680</v>
      </c>
      <c r="D67" s="1292"/>
      <c r="E67" s="1293">
        <v>5</v>
      </c>
      <c r="F67" s="1294">
        <v>43248</v>
      </c>
      <c r="G67" s="1294">
        <f t="shared" si="10"/>
        <v>43252</v>
      </c>
      <c r="H67" s="1292" t="s">
        <v>681</v>
      </c>
      <c r="I67" s="1293" t="s">
        <v>170</v>
      </c>
      <c r="J67" s="643" t="s">
        <v>682</v>
      </c>
      <c r="K67" s="1292" t="s">
        <v>691</v>
      </c>
      <c r="L67" s="1231">
        <v>23174</v>
      </c>
      <c r="M67" s="1292"/>
      <c r="N67" s="1292"/>
      <c r="O67" s="647">
        <v>8484</v>
      </c>
      <c r="P67" s="1939">
        <v>1</v>
      </c>
      <c r="Q67" s="1712">
        <f t="shared" si="11"/>
        <v>8484</v>
      </c>
      <c r="R67" s="1731"/>
      <c r="S67" s="954"/>
      <c r="T67" s="954"/>
      <c r="U67" s="954"/>
      <c r="V67" s="1823">
        <f t="shared" si="13"/>
        <v>8484</v>
      </c>
      <c r="W67" s="805"/>
      <c r="X67" s="1166"/>
      <c r="Y67" s="1144"/>
      <c r="Z67" s="1124"/>
      <c r="AA67" s="1124"/>
      <c r="AB67" s="1124"/>
      <c r="AC67" s="1124"/>
      <c r="AD67" s="1124"/>
      <c r="AE67" s="1124"/>
      <c r="AF67" s="1124"/>
      <c r="AG67" s="1144"/>
    </row>
    <row r="68" spans="1:33" ht="97.5" customHeight="1" outlineLevel="2">
      <c r="A68" s="796">
        <v>1114</v>
      </c>
      <c r="B68" s="793" t="s">
        <v>679</v>
      </c>
      <c r="C68" s="1073" t="s">
        <v>680</v>
      </c>
      <c r="D68" s="1292"/>
      <c r="E68" s="1293">
        <v>5</v>
      </c>
      <c r="F68" s="1294">
        <v>43248</v>
      </c>
      <c r="G68" s="1294">
        <f t="shared" si="10"/>
        <v>43252</v>
      </c>
      <c r="H68" s="1292" t="s">
        <v>681</v>
      </c>
      <c r="I68" s="1293" t="s">
        <v>170</v>
      </c>
      <c r="J68" s="643" t="s">
        <v>682</v>
      </c>
      <c r="K68" s="1292" t="s">
        <v>692</v>
      </c>
      <c r="L68" s="1231">
        <v>23174</v>
      </c>
      <c r="M68" s="1292"/>
      <c r="N68" s="1292"/>
      <c r="O68" s="647">
        <v>9427</v>
      </c>
      <c r="P68" s="1939">
        <v>1</v>
      </c>
      <c r="Q68" s="1712">
        <f t="shared" si="11"/>
        <v>9427</v>
      </c>
      <c r="R68" s="1731"/>
      <c r="S68" s="954"/>
      <c r="T68" s="954"/>
      <c r="U68" s="954"/>
      <c r="V68" s="1823">
        <f t="shared" si="13"/>
        <v>9427</v>
      </c>
      <c r="W68" s="805"/>
      <c r="X68" s="1166"/>
      <c r="Y68" s="1144"/>
      <c r="Z68" s="1124"/>
      <c r="AA68" s="1124"/>
      <c r="AB68" s="1124"/>
      <c r="AC68" s="1124"/>
      <c r="AD68" s="1124"/>
      <c r="AE68" s="1124"/>
      <c r="AF68" s="1124"/>
      <c r="AG68" s="1144"/>
    </row>
    <row r="69" spans="1:33" ht="97.5" customHeight="1" outlineLevel="2">
      <c r="A69" s="796">
        <v>1114</v>
      </c>
      <c r="B69" s="793" t="s">
        <v>679</v>
      </c>
      <c r="C69" s="1073" t="s">
        <v>680</v>
      </c>
      <c r="D69" s="1292"/>
      <c r="E69" s="1293">
        <v>5</v>
      </c>
      <c r="F69" s="1294">
        <v>43248</v>
      </c>
      <c r="G69" s="1294">
        <f t="shared" si="10"/>
        <v>43252</v>
      </c>
      <c r="H69" s="1292" t="s">
        <v>681</v>
      </c>
      <c r="I69" s="1293" t="s">
        <v>170</v>
      </c>
      <c r="J69" s="643" t="s">
        <v>682</v>
      </c>
      <c r="K69" s="1292" t="s">
        <v>693</v>
      </c>
      <c r="L69" s="1231">
        <v>23174</v>
      </c>
      <c r="M69" s="1292"/>
      <c r="N69" s="1292"/>
      <c r="O69" s="647">
        <v>1347</v>
      </c>
      <c r="P69" s="1939">
        <v>1</v>
      </c>
      <c r="Q69" s="1712">
        <f t="shared" si="11"/>
        <v>1347</v>
      </c>
      <c r="R69" s="1731"/>
      <c r="S69" s="954"/>
      <c r="T69" s="954"/>
      <c r="U69" s="954"/>
      <c r="V69" s="1823">
        <f t="shared" si="13"/>
        <v>1347</v>
      </c>
      <c r="W69" s="805"/>
      <c r="X69" s="1166"/>
      <c r="Y69" s="1144"/>
      <c r="Z69" s="1124"/>
      <c r="AA69" s="1124"/>
      <c r="AB69" s="1124"/>
      <c r="AC69" s="1124"/>
      <c r="AD69" s="1124"/>
      <c r="AE69" s="1124"/>
      <c r="AF69" s="1124"/>
      <c r="AG69" s="1144"/>
    </row>
    <row r="70" spans="1:33" ht="97.5" customHeight="1" outlineLevel="2">
      <c r="A70" s="796">
        <v>1115</v>
      </c>
      <c r="B70" s="793" t="s">
        <v>694</v>
      </c>
      <c r="C70" s="1073" t="s">
        <v>695</v>
      </c>
      <c r="D70" s="1292"/>
      <c r="E70" s="1293">
        <v>10</v>
      </c>
      <c r="F70" s="1294">
        <v>43257</v>
      </c>
      <c r="G70" s="1294">
        <f t="shared" si="10"/>
        <v>43266</v>
      </c>
      <c r="H70" s="1292" t="s">
        <v>681</v>
      </c>
      <c r="I70" s="1293" t="s">
        <v>170</v>
      </c>
      <c r="J70" s="643" t="s">
        <v>696</v>
      </c>
      <c r="K70" s="1292" t="s">
        <v>697</v>
      </c>
      <c r="L70" s="1231">
        <v>23174</v>
      </c>
      <c r="M70" s="1292"/>
      <c r="N70" s="1292"/>
      <c r="O70" s="647">
        <v>420</v>
      </c>
      <c r="P70" s="1939">
        <v>1</v>
      </c>
      <c r="Q70" s="1712">
        <f t="shared" si="11"/>
        <v>420</v>
      </c>
      <c r="R70" s="1731"/>
      <c r="S70" s="954"/>
      <c r="T70" s="954"/>
      <c r="U70" s="954"/>
      <c r="V70" s="1823">
        <f t="shared" si="13"/>
        <v>420</v>
      </c>
      <c r="W70" s="805"/>
      <c r="X70" s="1166"/>
      <c r="Y70" s="1144"/>
      <c r="Z70" s="1124"/>
      <c r="AA70" s="1124"/>
      <c r="AB70" s="1124"/>
      <c r="AC70" s="1124"/>
      <c r="AD70" s="1124"/>
      <c r="AE70" s="1124"/>
      <c r="AF70" s="1124"/>
      <c r="AG70" s="1144"/>
    </row>
    <row r="71" spans="1:33" ht="97.5" customHeight="1" outlineLevel="2">
      <c r="A71" s="796">
        <v>1115</v>
      </c>
      <c r="B71" s="793" t="s">
        <v>694</v>
      </c>
      <c r="C71" s="1073" t="s">
        <v>695</v>
      </c>
      <c r="D71" s="1292"/>
      <c r="E71" s="1293">
        <v>10</v>
      </c>
      <c r="F71" s="1294">
        <v>43257</v>
      </c>
      <c r="G71" s="1294">
        <f t="shared" si="10"/>
        <v>43266</v>
      </c>
      <c r="H71" s="1292" t="s">
        <v>681</v>
      </c>
      <c r="I71" s="1293" t="s">
        <v>170</v>
      </c>
      <c r="J71" s="643" t="s">
        <v>696</v>
      </c>
      <c r="K71" s="1292" t="s">
        <v>698</v>
      </c>
      <c r="L71" s="1231">
        <v>23174</v>
      </c>
      <c r="M71" s="1292"/>
      <c r="N71" s="1292"/>
      <c r="O71" s="647">
        <v>466.66666666666669</v>
      </c>
      <c r="P71" s="1939">
        <v>1</v>
      </c>
      <c r="Q71" s="1712">
        <f t="shared" si="11"/>
        <v>466.66666666666669</v>
      </c>
      <c r="R71" s="1731"/>
      <c r="S71" s="954"/>
      <c r="T71" s="954"/>
      <c r="U71" s="954"/>
      <c r="V71" s="1823">
        <f>Q71</f>
        <v>466.66666666666669</v>
      </c>
      <c r="W71" s="805"/>
      <c r="X71" s="1166"/>
      <c r="Y71" s="1144"/>
      <c r="Z71" s="1124"/>
      <c r="AA71" s="1124"/>
      <c r="AB71" s="1124"/>
      <c r="AC71" s="1124"/>
      <c r="AD71" s="1124"/>
      <c r="AE71" s="1124"/>
      <c r="AF71" s="1124"/>
      <c r="AG71" s="1144"/>
    </row>
    <row r="72" spans="1:33" ht="97.5" customHeight="1" outlineLevel="2">
      <c r="A72" s="796">
        <v>1115</v>
      </c>
      <c r="B72" s="793" t="s">
        <v>694</v>
      </c>
      <c r="C72" s="1073" t="s">
        <v>695</v>
      </c>
      <c r="D72" s="1292"/>
      <c r="E72" s="1293">
        <v>10</v>
      </c>
      <c r="F72" s="1294">
        <v>43257</v>
      </c>
      <c r="G72" s="1294">
        <f t="shared" si="10"/>
        <v>43266</v>
      </c>
      <c r="H72" s="1292" t="s">
        <v>681</v>
      </c>
      <c r="I72" s="1293" t="s">
        <v>170</v>
      </c>
      <c r="J72" s="643" t="s">
        <v>696</v>
      </c>
      <c r="K72" s="1292" t="s">
        <v>699</v>
      </c>
      <c r="L72" s="1231">
        <v>23174</v>
      </c>
      <c r="M72" s="1292"/>
      <c r="N72" s="1292"/>
      <c r="O72" s="647">
        <v>350</v>
      </c>
      <c r="P72" s="1939">
        <v>1</v>
      </c>
      <c r="Q72" s="1712">
        <f t="shared" si="11"/>
        <v>350</v>
      </c>
      <c r="R72" s="1731"/>
      <c r="S72" s="954"/>
      <c r="T72" s="954"/>
      <c r="U72" s="954"/>
      <c r="V72" s="1823">
        <f t="shared" si="13"/>
        <v>350</v>
      </c>
      <c r="W72" s="805"/>
      <c r="X72" s="1166"/>
      <c r="Y72" s="1144"/>
      <c r="Z72" s="1124"/>
      <c r="AA72" s="1124"/>
      <c r="AB72" s="1124"/>
      <c r="AC72" s="1124"/>
      <c r="AD72" s="1124"/>
      <c r="AE72" s="1124"/>
      <c r="AF72" s="1124"/>
      <c r="AG72" s="1144"/>
    </row>
    <row r="73" spans="1:33" ht="97.5" customHeight="1" outlineLevel="2">
      <c r="A73" s="796">
        <v>1115</v>
      </c>
      <c r="B73" s="793" t="s">
        <v>694</v>
      </c>
      <c r="C73" s="1073" t="s">
        <v>695</v>
      </c>
      <c r="D73" s="1292"/>
      <c r="E73" s="1293">
        <v>10</v>
      </c>
      <c r="F73" s="1294">
        <v>43257</v>
      </c>
      <c r="G73" s="1294">
        <f t="shared" si="10"/>
        <v>43266</v>
      </c>
      <c r="H73" s="1292" t="s">
        <v>681</v>
      </c>
      <c r="I73" s="1293" t="s">
        <v>170</v>
      </c>
      <c r="J73" s="643" t="s">
        <v>696</v>
      </c>
      <c r="K73" s="1292" t="s">
        <v>700</v>
      </c>
      <c r="L73" s="1231">
        <v>23174</v>
      </c>
      <c r="M73" s="1292"/>
      <c r="N73" s="1292"/>
      <c r="O73" s="647">
        <v>233.33333333333334</v>
      </c>
      <c r="P73" s="1939">
        <v>1</v>
      </c>
      <c r="Q73" s="1712">
        <f t="shared" si="11"/>
        <v>233.33333333333334</v>
      </c>
      <c r="R73" s="1731"/>
      <c r="S73" s="954"/>
      <c r="T73" s="954"/>
      <c r="U73" s="954"/>
      <c r="V73" s="1823">
        <f t="shared" si="13"/>
        <v>233.33333333333334</v>
      </c>
      <c r="W73" s="805"/>
      <c r="X73" s="1166"/>
      <c r="Y73" s="1144"/>
      <c r="Z73" s="1124"/>
      <c r="AA73" s="1124"/>
      <c r="AB73" s="1124"/>
      <c r="AC73" s="1124"/>
      <c r="AD73" s="1124"/>
      <c r="AE73" s="1124"/>
      <c r="AF73" s="1124"/>
      <c r="AG73" s="1144"/>
    </row>
    <row r="74" spans="1:33" ht="97.5" customHeight="1" outlineLevel="2">
      <c r="A74" s="796">
        <v>1115</v>
      </c>
      <c r="B74" s="793" t="s">
        <v>694</v>
      </c>
      <c r="C74" s="1073" t="s">
        <v>695</v>
      </c>
      <c r="D74" s="1292"/>
      <c r="E74" s="1293">
        <v>10</v>
      </c>
      <c r="F74" s="1294">
        <v>43257</v>
      </c>
      <c r="G74" s="1294">
        <f t="shared" si="10"/>
        <v>43266</v>
      </c>
      <c r="H74" s="1292" t="s">
        <v>681</v>
      </c>
      <c r="I74" s="1293" t="s">
        <v>170</v>
      </c>
      <c r="J74" s="643" t="s">
        <v>696</v>
      </c>
      <c r="K74" s="1292" t="s">
        <v>683</v>
      </c>
      <c r="L74" s="1231">
        <v>23174</v>
      </c>
      <c r="M74" s="1292"/>
      <c r="N74" s="1292"/>
      <c r="O74" s="647">
        <v>1176</v>
      </c>
      <c r="P74" s="1939">
        <v>1</v>
      </c>
      <c r="Q74" s="1712">
        <f t="shared" si="11"/>
        <v>1176</v>
      </c>
      <c r="R74" s="1731"/>
      <c r="S74" s="954"/>
      <c r="T74" s="954"/>
      <c r="U74" s="954"/>
      <c r="V74" s="1823">
        <f>Q74</f>
        <v>1176</v>
      </c>
      <c r="W74" s="805"/>
      <c r="X74" s="1166"/>
      <c r="Y74" s="1144"/>
      <c r="Z74" s="1124"/>
      <c r="AA74" s="1124"/>
      <c r="AB74" s="1124"/>
      <c r="AC74" s="1124"/>
      <c r="AD74" s="1124"/>
      <c r="AE74" s="1124"/>
      <c r="AF74" s="1124"/>
      <c r="AG74" s="1144"/>
    </row>
    <row r="75" spans="1:33" ht="97.5" customHeight="1" outlineLevel="2">
      <c r="A75" s="796">
        <v>1115</v>
      </c>
      <c r="B75" s="793" t="s">
        <v>694</v>
      </c>
      <c r="C75" s="1073" t="s">
        <v>695</v>
      </c>
      <c r="D75" s="1292"/>
      <c r="E75" s="1293">
        <v>10</v>
      </c>
      <c r="F75" s="1294">
        <v>43257</v>
      </c>
      <c r="G75" s="1294">
        <f t="shared" si="10"/>
        <v>43266</v>
      </c>
      <c r="H75" s="1292" t="s">
        <v>681</v>
      </c>
      <c r="I75" s="1293" t="s">
        <v>170</v>
      </c>
      <c r="J75" s="643" t="s">
        <v>696</v>
      </c>
      <c r="K75" s="1292" t="s">
        <v>684</v>
      </c>
      <c r="L75" s="1231">
        <v>23174</v>
      </c>
      <c r="M75" s="1292"/>
      <c r="N75" s="1292"/>
      <c r="O75" s="647">
        <v>1307</v>
      </c>
      <c r="P75" s="1939">
        <v>1</v>
      </c>
      <c r="Q75" s="1712">
        <f t="shared" si="11"/>
        <v>1307</v>
      </c>
      <c r="R75" s="1731"/>
      <c r="S75" s="954"/>
      <c r="T75" s="954"/>
      <c r="U75" s="954"/>
      <c r="V75" s="1823">
        <f t="shared" si="13"/>
        <v>1307</v>
      </c>
      <c r="W75" s="805"/>
      <c r="X75" s="1166"/>
      <c r="Y75" s="1144"/>
      <c r="Z75" s="1124"/>
      <c r="AA75" s="1124"/>
      <c r="AB75" s="1124"/>
      <c r="AC75" s="1124"/>
      <c r="AD75" s="1124"/>
      <c r="AE75" s="1124"/>
      <c r="AF75" s="1124"/>
      <c r="AG75" s="1144"/>
    </row>
    <row r="76" spans="1:33" ht="97.5" customHeight="1" outlineLevel="2">
      <c r="A76" s="796">
        <v>1115</v>
      </c>
      <c r="B76" s="793" t="s">
        <v>694</v>
      </c>
      <c r="C76" s="1073" t="s">
        <v>695</v>
      </c>
      <c r="D76" s="1292"/>
      <c r="E76" s="1293">
        <v>10</v>
      </c>
      <c r="F76" s="1294">
        <v>43257</v>
      </c>
      <c r="G76" s="1294">
        <f t="shared" si="10"/>
        <v>43266</v>
      </c>
      <c r="H76" s="1292" t="s">
        <v>681</v>
      </c>
      <c r="I76" s="1293" t="s">
        <v>170</v>
      </c>
      <c r="J76" s="643" t="s">
        <v>696</v>
      </c>
      <c r="K76" s="1292" t="s">
        <v>685</v>
      </c>
      <c r="L76" s="1231">
        <v>23174</v>
      </c>
      <c r="M76" s="1292"/>
      <c r="N76" s="1292"/>
      <c r="O76" s="647">
        <v>980</v>
      </c>
      <c r="P76" s="1939">
        <v>1</v>
      </c>
      <c r="Q76" s="1712">
        <f t="shared" si="11"/>
        <v>980</v>
      </c>
      <c r="R76" s="1731"/>
      <c r="S76" s="954"/>
      <c r="T76" s="954"/>
      <c r="U76" s="954"/>
      <c r="V76" s="1823">
        <f t="shared" si="13"/>
        <v>980</v>
      </c>
      <c r="W76" s="805"/>
      <c r="X76" s="1166"/>
      <c r="Y76" s="1144"/>
      <c r="Z76" s="1124"/>
      <c r="AA76" s="1124"/>
      <c r="AB76" s="1124"/>
      <c r="AC76" s="1124"/>
      <c r="AD76" s="1124"/>
      <c r="AE76" s="1124"/>
      <c r="AF76" s="1124"/>
      <c r="AG76" s="1144"/>
    </row>
    <row r="77" spans="1:33" ht="97.5" customHeight="1" outlineLevel="2">
      <c r="A77" s="796">
        <v>1115</v>
      </c>
      <c r="B77" s="793" t="s">
        <v>694</v>
      </c>
      <c r="C77" s="1073" t="s">
        <v>695</v>
      </c>
      <c r="D77" s="1292"/>
      <c r="E77" s="1293">
        <v>10</v>
      </c>
      <c r="F77" s="1294">
        <v>43257</v>
      </c>
      <c r="G77" s="1294">
        <f t="shared" si="10"/>
        <v>43266</v>
      </c>
      <c r="H77" s="1292" t="s">
        <v>681</v>
      </c>
      <c r="I77" s="1293" t="s">
        <v>170</v>
      </c>
      <c r="J77" s="643" t="s">
        <v>696</v>
      </c>
      <c r="K77" s="1292" t="s">
        <v>686</v>
      </c>
      <c r="L77" s="1231">
        <v>23174</v>
      </c>
      <c r="M77" s="1292"/>
      <c r="N77" s="1292"/>
      <c r="O77" s="647">
        <v>653</v>
      </c>
      <c r="P77" s="1939">
        <v>1</v>
      </c>
      <c r="Q77" s="1712">
        <f t="shared" si="11"/>
        <v>653</v>
      </c>
      <c r="R77" s="1731"/>
      <c r="S77" s="954"/>
      <c r="T77" s="954"/>
      <c r="U77" s="954"/>
      <c r="V77" s="805"/>
      <c r="W77" s="1823">
        <f>Q77</f>
        <v>653</v>
      </c>
      <c r="X77" s="1166"/>
      <c r="Y77" s="1144"/>
      <c r="Z77" s="1124"/>
      <c r="AA77" s="1124"/>
      <c r="AB77" s="1124"/>
      <c r="AC77" s="1124"/>
      <c r="AD77" s="1124"/>
      <c r="AE77" s="1124"/>
      <c r="AF77" s="1124"/>
      <c r="AG77" s="1144"/>
    </row>
    <row r="78" spans="1:33" ht="97.5" customHeight="1" outlineLevel="2">
      <c r="A78" s="796">
        <v>1115</v>
      </c>
      <c r="B78" s="793" t="s">
        <v>694</v>
      </c>
      <c r="C78" s="1073" t="s">
        <v>695</v>
      </c>
      <c r="D78" s="1292"/>
      <c r="E78" s="1293">
        <v>10</v>
      </c>
      <c r="F78" s="1294">
        <v>43257</v>
      </c>
      <c r="G78" s="1294">
        <f t="shared" si="10"/>
        <v>43266</v>
      </c>
      <c r="H78" s="1292" t="s">
        <v>681</v>
      </c>
      <c r="I78" s="1293" t="s">
        <v>170</v>
      </c>
      <c r="J78" s="643" t="s">
        <v>696</v>
      </c>
      <c r="K78" s="1292" t="s">
        <v>701</v>
      </c>
      <c r="L78" s="1231">
        <v>23174</v>
      </c>
      <c r="M78" s="1292"/>
      <c r="N78" s="1292"/>
      <c r="O78" s="647">
        <v>4443</v>
      </c>
      <c r="P78" s="1939">
        <v>1</v>
      </c>
      <c r="Q78" s="1712">
        <f t="shared" si="11"/>
        <v>4443</v>
      </c>
      <c r="R78" s="1731"/>
      <c r="S78" s="954"/>
      <c r="T78" s="954"/>
      <c r="U78" s="954"/>
      <c r="V78" s="805"/>
      <c r="W78" s="1823">
        <f>Q78</f>
        <v>4443</v>
      </c>
      <c r="X78" s="1166"/>
      <c r="Y78" s="1144"/>
      <c r="Z78" s="1124"/>
      <c r="AA78" s="1124"/>
      <c r="AB78" s="1124"/>
      <c r="AC78" s="1124"/>
      <c r="AD78" s="1124"/>
      <c r="AE78" s="1124"/>
      <c r="AF78" s="1124"/>
      <c r="AG78" s="1144"/>
    </row>
    <row r="79" spans="1:33" ht="97.5" customHeight="1" outlineLevel="2">
      <c r="A79" s="796">
        <v>1115</v>
      </c>
      <c r="B79" s="793" t="s">
        <v>694</v>
      </c>
      <c r="C79" s="1073" t="s">
        <v>695</v>
      </c>
      <c r="D79" s="1292"/>
      <c r="E79" s="1293">
        <v>10</v>
      </c>
      <c r="F79" s="1294">
        <v>43257</v>
      </c>
      <c r="G79" s="1294">
        <f t="shared" si="10"/>
        <v>43266</v>
      </c>
      <c r="H79" s="1292" t="s">
        <v>681</v>
      </c>
      <c r="I79" s="1293" t="s">
        <v>170</v>
      </c>
      <c r="J79" s="643" t="s">
        <v>696</v>
      </c>
      <c r="K79" s="1292" t="s">
        <v>702</v>
      </c>
      <c r="L79" s="1231">
        <v>23174</v>
      </c>
      <c r="M79" s="1292"/>
      <c r="N79" s="1292"/>
      <c r="O79" s="647">
        <v>3528</v>
      </c>
      <c r="P79" s="1939">
        <v>1</v>
      </c>
      <c r="Q79" s="1712">
        <f t="shared" si="11"/>
        <v>3528</v>
      </c>
      <c r="R79" s="1731"/>
      <c r="S79" s="954"/>
      <c r="T79" s="954"/>
      <c r="U79" s="954"/>
      <c r="V79" s="805"/>
      <c r="W79" s="1823">
        <f>Q79</f>
        <v>3528</v>
      </c>
      <c r="X79" s="1166"/>
      <c r="Y79" s="1144"/>
      <c r="Z79" s="1124"/>
      <c r="AA79" s="1124"/>
      <c r="AB79" s="1124"/>
      <c r="AC79" s="1124"/>
      <c r="AD79" s="1124"/>
      <c r="AE79" s="1124"/>
      <c r="AF79" s="1124"/>
      <c r="AG79" s="1144"/>
    </row>
    <row r="80" spans="1:33" ht="97.5" customHeight="1" outlineLevel="2">
      <c r="A80" s="796">
        <v>1115</v>
      </c>
      <c r="B80" s="793" t="s">
        <v>694</v>
      </c>
      <c r="C80" s="1073" t="s">
        <v>695</v>
      </c>
      <c r="D80" s="1292"/>
      <c r="E80" s="1293">
        <v>10</v>
      </c>
      <c r="F80" s="1294">
        <v>43257</v>
      </c>
      <c r="G80" s="1294">
        <f t="shared" si="10"/>
        <v>43266</v>
      </c>
      <c r="H80" s="1292" t="s">
        <v>681</v>
      </c>
      <c r="I80" s="1293" t="s">
        <v>170</v>
      </c>
      <c r="J80" s="643" t="s">
        <v>696</v>
      </c>
      <c r="K80" s="1292" t="s">
        <v>689</v>
      </c>
      <c r="L80" s="1231">
        <v>23174</v>
      </c>
      <c r="M80" s="1292"/>
      <c r="N80" s="1292"/>
      <c r="O80" s="647">
        <v>3920</v>
      </c>
      <c r="P80" s="1939">
        <v>1</v>
      </c>
      <c r="Q80" s="1712">
        <f t="shared" si="11"/>
        <v>3920</v>
      </c>
      <c r="R80" s="1731"/>
      <c r="S80" s="954"/>
      <c r="T80" s="954"/>
      <c r="U80" s="954"/>
      <c r="V80" s="1823">
        <f>Q80</f>
        <v>3920</v>
      </c>
      <c r="W80" s="805"/>
      <c r="X80" s="1166"/>
      <c r="Y80" s="1144"/>
      <c r="Z80" s="1124"/>
      <c r="AA80" s="1124"/>
      <c r="AB80" s="1124"/>
      <c r="AC80" s="1124"/>
      <c r="AD80" s="1124"/>
      <c r="AE80" s="1124"/>
      <c r="AF80" s="1124"/>
      <c r="AG80" s="1144"/>
    </row>
    <row r="81" spans="1:34" ht="97.5" customHeight="1" outlineLevel="2">
      <c r="A81" s="796">
        <v>1115</v>
      </c>
      <c r="B81" s="793" t="s">
        <v>694</v>
      </c>
      <c r="C81" s="1073" t="s">
        <v>695</v>
      </c>
      <c r="D81" s="1292"/>
      <c r="E81" s="1293">
        <v>10</v>
      </c>
      <c r="F81" s="1294">
        <v>43257</v>
      </c>
      <c r="G81" s="1294">
        <f t="shared" si="10"/>
        <v>43266</v>
      </c>
      <c r="H81" s="1292" t="s">
        <v>681</v>
      </c>
      <c r="I81" s="1293" t="s">
        <v>170</v>
      </c>
      <c r="J81" s="643" t="s">
        <v>696</v>
      </c>
      <c r="K81" s="1292" t="s">
        <v>690</v>
      </c>
      <c r="L81" s="1231">
        <v>23174</v>
      </c>
      <c r="M81" s="1292"/>
      <c r="N81" s="1292"/>
      <c r="O81" s="647">
        <v>1960</v>
      </c>
      <c r="P81" s="1939">
        <v>1</v>
      </c>
      <c r="Q81" s="1712">
        <f t="shared" si="11"/>
        <v>1960</v>
      </c>
      <c r="R81" s="1731"/>
      <c r="S81" s="954"/>
      <c r="T81" s="954"/>
      <c r="U81" s="954"/>
      <c r="V81" s="1823">
        <f>Q81</f>
        <v>1960</v>
      </c>
      <c r="W81" s="805"/>
      <c r="X81" s="1166"/>
      <c r="Y81" s="1144"/>
      <c r="Z81" s="1124"/>
      <c r="AA81" s="1124"/>
      <c r="AB81" s="1124"/>
      <c r="AC81" s="1124"/>
      <c r="AD81" s="1124"/>
      <c r="AE81" s="1124"/>
      <c r="AF81" s="1124"/>
      <c r="AG81" s="1144"/>
    </row>
    <row r="82" spans="1:34" ht="97.5" customHeight="1" outlineLevel="2">
      <c r="A82" s="796">
        <v>1115</v>
      </c>
      <c r="B82" s="793" t="s">
        <v>694</v>
      </c>
      <c r="C82" s="1073" t="s">
        <v>695</v>
      </c>
      <c r="D82" s="1292"/>
      <c r="E82" s="1293">
        <v>10</v>
      </c>
      <c r="F82" s="1294">
        <v>43257</v>
      </c>
      <c r="G82" s="1294">
        <f t="shared" si="10"/>
        <v>43266</v>
      </c>
      <c r="H82" s="1292" t="s">
        <v>681</v>
      </c>
      <c r="I82" s="1293" t="s">
        <v>170</v>
      </c>
      <c r="J82" s="643" t="s">
        <v>696</v>
      </c>
      <c r="K82" s="1292" t="s">
        <v>703</v>
      </c>
      <c r="L82" s="1231">
        <v>23174</v>
      </c>
      <c r="M82" s="1292"/>
      <c r="N82" s="1292"/>
      <c r="O82" s="647">
        <v>16968</v>
      </c>
      <c r="P82" s="1939">
        <v>1</v>
      </c>
      <c r="Q82" s="1712">
        <f t="shared" si="11"/>
        <v>16968</v>
      </c>
      <c r="R82" s="1731"/>
      <c r="S82" s="954"/>
      <c r="T82" s="954"/>
      <c r="U82" s="954"/>
      <c r="V82" s="1823">
        <f>Q82</f>
        <v>16968</v>
      </c>
      <c r="W82" s="805"/>
      <c r="X82" s="1166"/>
      <c r="Y82" s="1144"/>
      <c r="Z82" s="1124"/>
      <c r="AA82" s="1124"/>
      <c r="AB82" s="1124"/>
      <c r="AC82" s="1124"/>
      <c r="AD82" s="1124"/>
      <c r="AE82" s="1124"/>
      <c r="AF82" s="1124"/>
      <c r="AG82" s="1144"/>
    </row>
    <row r="83" spans="1:34" ht="73.900000000000006" customHeight="1" outlineLevel="2">
      <c r="A83" s="796">
        <v>1115</v>
      </c>
      <c r="B83" s="793" t="s">
        <v>694</v>
      </c>
      <c r="C83" s="1073" t="s">
        <v>695</v>
      </c>
      <c r="D83" s="1292"/>
      <c r="E83" s="1293">
        <v>10</v>
      </c>
      <c r="F83" s="1294">
        <v>43257</v>
      </c>
      <c r="G83" s="1294">
        <f t="shared" si="10"/>
        <v>43266</v>
      </c>
      <c r="H83" s="1292" t="s">
        <v>681</v>
      </c>
      <c r="I83" s="1293" t="s">
        <v>170</v>
      </c>
      <c r="J83" s="643" t="s">
        <v>696</v>
      </c>
      <c r="K83" s="1292" t="s">
        <v>692</v>
      </c>
      <c r="L83" s="1231">
        <v>23174</v>
      </c>
      <c r="M83" s="1292"/>
      <c r="N83" s="1292"/>
      <c r="O83" s="647">
        <v>18853</v>
      </c>
      <c r="P83" s="1939">
        <v>1</v>
      </c>
      <c r="Q83" s="1712">
        <f t="shared" si="11"/>
        <v>18853</v>
      </c>
      <c r="R83" s="1731"/>
      <c r="S83" s="954"/>
      <c r="T83" s="954"/>
      <c r="U83" s="954"/>
      <c r="V83" s="954"/>
      <c r="W83" s="954"/>
      <c r="X83" s="1824">
        <f>Q83</f>
        <v>18853</v>
      </c>
      <c r="Y83" s="1144"/>
      <c r="Z83" s="1124"/>
      <c r="AA83" s="1124"/>
      <c r="AB83" s="1124"/>
      <c r="AC83" s="1124"/>
      <c r="AD83" s="1124"/>
      <c r="AE83" s="1124"/>
      <c r="AF83" s="1124"/>
      <c r="AG83" s="1144"/>
    </row>
    <row r="84" spans="1:34" ht="73.900000000000006" customHeight="1" outlineLevel="2">
      <c r="A84" s="796">
        <v>1115</v>
      </c>
      <c r="B84" s="793" t="s">
        <v>694</v>
      </c>
      <c r="C84" s="1073" t="s">
        <v>695</v>
      </c>
      <c r="D84" s="1292"/>
      <c r="E84" s="1293">
        <v>10</v>
      </c>
      <c r="F84" s="1294">
        <v>43257</v>
      </c>
      <c r="G84" s="1294">
        <f t="shared" si="10"/>
        <v>43266</v>
      </c>
      <c r="H84" s="1292" t="s">
        <v>681</v>
      </c>
      <c r="I84" s="1293" t="s">
        <v>170</v>
      </c>
      <c r="J84" s="643" t="s">
        <v>696</v>
      </c>
      <c r="K84" s="1292" t="s">
        <v>693</v>
      </c>
      <c r="L84" s="1231">
        <v>23174</v>
      </c>
      <c r="M84" s="1292"/>
      <c r="N84" s="1292"/>
      <c r="O84" s="647">
        <v>1347</v>
      </c>
      <c r="P84" s="1939">
        <v>1</v>
      </c>
      <c r="Q84" s="1712">
        <f t="shared" si="11"/>
        <v>1347</v>
      </c>
      <c r="R84" s="1731"/>
      <c r="S84" s="954"/>
      <c r="T84" s="954"/>
      <c r="U84" s="954"/>
      <c r="V84" s="954"/>
      <c r="W84" s="954"/>
      <c r="X84" s="1824">
        <f t="shared" ref="X84:X89" si="14">Q84</f>
        <v>1347</v>
      </c>
      <c r="Y84" s="1144"/>
      <c r="Z84" s="1124"/>
      <c r="AA84" s="1124"/>
      <c r="AB84" s="1124"/>
      <c r="AC84" s="1124"/>
      <c r="AD84" s="1124"/>
      <c r="AE84" s="1124"/>
      <c r="AF84" s="1124"/>
      <c r="AG84" s="1144"/>
    </row>
    <row r="85" spans="1:34" ht="73.900000000000006" customHeight="1" outlineLevel="2">
      <c r="A85" s="796">
        <v>1116</v>
      </c>
      <c r="B85" s="793" t="s">
        <v>707</v>
      </c>
      <c r="C85" s="1073" t="s">
        <v>708</v>
      </c>
      <c r="D85" s="1292"/>
      <c r="E85" s="1293">
        <v>1</v>
      </c>
      <c r="F85" s="1294">
        <v>43315</v>
      </c>
      <c r="G85" s="1294">
        <f t="shared" si="10"/>
        <v>43315</v>
      </c>
      <c r="H85" s="1292" t="s">
        <v>667</v>
      </c>
      <c r="I85" s="1293" t="s">
        <v>170</v>
      </c>
      <c r="J85" s="643" t="s">
        <v>696</v>
      </c>
      <c r="K85" s="1292" t="s">
        <v>709</v>
      </c>
      <c r="L85" s="1231">
        <v>23174</v>
      </c>
      <c r="M85" s="1292"/>
      <c r="N85" s="1292"/>
      <c r="O85" s="647">
        <v>252</v>
      </c>
      <c r="P85" s="1939">
        <v>1</v>
      </c>
      <c r="Q85" s="1712">
        <f t="shared" si="11"/>
        <v>252</v>
      </c>
      <c r="R85" s="1731"/>
      <c r="S85" s="954"/>
      <c r="T85" s="954"/>
      <c r="U85" s="954"/>
      <c r="V85" s="954"/>
      <c r="W85" s="954"/>
      <c r="X85" s="1824">
        <f t="shared" si="14"/>
        <v>252</v>
      </c>
      <c r="Y85" s="1144"/>
      <c r="Z85" s="1124"/>
      <c r="AA85" s="1124"/>
      <c r="AB85" s="1124"/>
      <c r="AC85" s="1124"/>
      <c r="AD85" s="1124"/>
      <c r="AE85" s="1124"/>
      <c r="AF85" s="1124"/>
      <c r="AG85" s="1144"/>
    </row>
    <row r="86" spans="1:34" ht="73.900000000000006" customHeight="1" outlineLevel="2">
      <c r="A86" s="796">
        <v>1116</v>
      </c>
      <c r="B86" s="793" t="s">
        <v>707</v>
      </c>
      <c r="C86" s="1073" t="s">
        <v>708</v>
      </c>
      <c r="D86" s="1292"/>
      <c r="E86" s="1293">
        <v>1</v>
      </c>
      <c r="F86" s="1294">
        <v>43315</v>
      </c>
      <c r="G86" s="1294">
        <f>F86+E86-1</f>
        <v>43315</v>
      </c>
      <c r="H86" s="1292" t="s">
        <v>667</v>
      </c>
      <c r="I86" s="1293" t="s">
        <v>170</v>
      </c>
      <c r="J86" s="643" t="s">
        <v>696</v>
      </c>
      <c r="K86" s="1292" t="s">
        <v>710</v>
      </c>
      <c r="L86" s="1231">
        <v>23174</v>
      </c>
      <c r="M86" s="1292"/>
      <c r="N86" s="1292"/>
      <c r="O86" s="647">
        <v>280</v>
      </c>
      <c r="P86" s="1939">
        <v>1</v>
      </c>
      <c r="Q86" s="1712">
        <f>O86*P86</f>
        <v>280</v>
      </c>
      <c r="R86" s="1731"/>
      <c r="S86" s="954"/>
      <c r="T86" s="954"/>
      <c r="U86" s="954"/>
      <c r="V86" s="954"/>
      <c r="W86" s="954"/>
      <c r="X86" s="1824">
        <f t="shared" si="14"/>
        <v>280</v>
      </c>
      <c r="Y86" s="1144"/>
      <c r="Z86" s="1124"/>
      <c r="AA86" s="1124"/>
      <c r="AB86" s="1124"/>
      <c r="AC86" s="1124"/>
      <c r="AD86" s="1124"/>
      <c r="AE86" s="1124"/>
      <c r="AF86" s="1124"/>
      <c r="AG86" s="1144"/>
    </row>
    <row r="87" spans="1:34" ht="73.900000000000006" customHeight="1" outlineLevel="2">
      <c r="A87" s="796">
        <v>1116</v>
      </c>
      <c r="B87" s="793" t="s">
        <v>707</v>
      </c>
      <c r="C87" s="1073" t="s">
        <v>708</v>
      </c>
      <c r="D87" s="1292"/>
      <c r="E87" s="1293">
        <v>1</v>
      </c>
      <c r="F87" s="1294">
        <v>43315</v>
      </c>
      <c r="G87" s="1294">
        <f>F87+E87-1</f>
        <v>43315</v>
      </c>
      <c r="H87" s="1292" t="s">
        <v>667</v>
      </c>
      <c r="I87" s="1293" t="s">
        <v>170</v>
      </c>
      <c r="J87" s="643" t="s">
        <v>696</v>
      </c>
      <c r="K87" s="1292" t="s">
        <v>711</v>
      </c>
      <c r="L87" s="1231">
        <v>23174</v>
      </c>
      <c r="M87" s="1292"/>
      <c r="N87" s="1292"/>
      <c r="O87" s="647">
        <v>210</v>
      </c>
      <c r="P87" s="1939">
        <v>1</v>
      </c>
      <c r="Q87" s="1712">
        <f>O87*P87</f>
        <v>210</v>
      </c>
      <c r="R87" s="1731"/>
      <c r="S87" s="954"/>
      <c r="T87" s="954"/>
      <c r="U87" s="954"/>
      <c r="V87" s="954"/>
      <c r="W87" s="954"/>
      <c r="X87" s="1824">
        <f t="shared" si="14"/>
        <v>210</v>
      </c>
      <c r="Y87" s="1144"/>
      <c r="Z87" s="1124"/>
      <c r="AA87" s="1124"/>
      <c r="AB87" s="1124"/>
      <c r="AC87" s="1124"/>
      <c r="AD87" s="1124"/>
      <c r="AE87" s="1124"/>
      <c r="AF87" s="1124"/>
      <c r="AG87" s="1144"/>
    </row>
    <row r="88" spans="1:34" ht="73.900000000000006" customHeight="1" outlineLevel="2">
      <c r="A88" s="796">
        <v>1116</v>
      </c>
      <c r="B88" s="793" t="s">
        <v>707</v>
      </c>
      <c r="C88" s="1073" t="s">
        <v>708</v>
      </c>
      <c r="D88" s="1292"/>
      <c r="E88" s="1293">
        <v>1</v>
      </c>
      <c r="F88" s="1294">
        <v>43315</v>
      </c>
      <c r="G88" s="1294">
        <f>F88+E88-1</f>
        <v>43315</v>
      </c>
      <c r="H88" s="1292" t="s">
        <v>667</v>
      </c>
      <c r="I88" s="1293" t="s">
        <v>170</v>
      </c>
      <c r="J88" s="643" t="s">
        <v>696</v>
      </c>
      <c r="K88" s="1292" t="s">
        <v>712</v>
      </c>
      <c r="L88" s="1231">
        <v>23174</v>
      </c>
      <c r="M88" s="1292"/>
      <c r="N88" s="1292"/>
      <c r="O88" s="647">
        <v>140</v>
      </c>
      <c r="P88" s="1939">
        <v>1</v>
      </c>
      <c r="Q88" s="1712">
        <f>O88*P88</f>
        <v>140</v>
      </c>
      <c r="R88" s="1731"/>
      <c r="S88" s="954"/>
      <c r="T88" s="954"/>
      <c r="U88" s="954"/>
      <c r="V88" s="954"/>
      <c r="W88" s="954"/>
      <c r="X88" s="1824">
        <f t="shared" si="14"/>
        <v>140</v>
      </c>
      <c r="Y88" s="1144"/>
      <c r="Z88" s="1124"/>
      <c r="AA88" s="1124"/>
      <c r="AB88" s="1124"/>
      <c r="AC88" s="1124"/>
      <c r="AD88" s="1124"/>
      <c r="AE88" s="1124"/>
      <c r="AF88" s="1124"/>
      <c r="AG88" s="1144"/>
    </row>
    <row r="89" spans="1:34" ht="73.900000000000006" customHeight="1" outlineLevel="2">
      <c r="A89" s="796">
        <v>1116</v>
      </c>
      <c r="B89" s="793" t="s">
        <v>707</v>
      </c>
      <c r="C89" s="1073" t="s">
        <v>708</v>
      </c>
      <c r="D89" s="1292"/>
      <c r="E89" s="1293">
        <v>1</v>
      </c>
      <c r="F89" s="1294">
        <v>43315</v>
      </c>
      <c r="G89" s="1294">
        <f>F89+E89-1</f>
        <v>43315</v>
      </c>
      <c r="H89" s="1292" t="s">
        <v>667</v>
      </c>
      <c r="I89" s="1293" t="s">
        <v>170</v>
      </c>
      <c r="J89" s="643" t="s">
        <v>696</v>
      </c>
      <c r="K89" s="1292" t="s">
        <v>713</v>
      </c>
      <c r="L89" s="1231">
        <v>23174</v>
      </c>
      <c r="M89" s="1292"/>
      <c r="N89" s="1292"/>
      <c r="O89" s="647">
        <v>2221</v>
      </c>
      <c r="P89" s="1939">
        <v>1</v>
      </c>
      <c r="Q89" s="1712">
        <f>O89*P89</f>
        <v>2221</v>
      </c>
      <c r="R89" s="1731"/>
      <c r="S89" s="954"/>
      <c r="T89" s="954"/>
      <c r="U89" s="954"/>
      <c r="V89" s="954"/>
      <c r="W89" s="954"/>
      <c r="X89" s="1824">
        <f t="shared" si="14"/>
        <v>2221</v>
      </c>
      <c r="Y89" s="1144"/>
      <c r="Z89" s="1124"/>
      <c r="AA89" s="1124"/>
      <c r="AB89" s="1124"/>
      <c r="AC89" s="1124"/>
      <c r="AD89" s="1124"/>
      <c r="AE89" s="1124"/>
      <c r="AF89" s="1124"/>
      <c r="AG89" s="1144"/>
    </row>
    <row r="90" spans="1:34" ht="39.950000000000003" customHeight="1" outlineLevel="1">
      <c r="A90" s="1745"/>
      <c r="B90" s="1751"/>
      <c r="C90" s="1754"/>
      <c r="D90" s="1758"/>
      <c r="E90" s="1755"/>
      <c r="F90" s="1756"/>
      <c r="G90" s="1756"/>
      <c r="H90" s="1758"/>
      <c r="I90" s="1755"/>
      <c r="J90" s="1757"/>
      <c r="K90" s="1758"/>
      <c r="L90" s="1906" t="s">
        <v>1051</v>
      </c>
      <c r="M90" s="1907"/>
      <c r="N90" s="1907"/>
      <c r="O90" s="1908"/>
      <c r="P90" s="1940"/>
      <c r="Q90" s="1909">
        <f>SUBTOTAL(9,Q22:Q89)</f>
        <v>115185</v>
      </c>
      <c r="R90" s="1731"/>
      <c r="S90" s="1144"/>
      <c r="T90" s="1144"/>
      <c r="U90" s="1144"/>
      <c r="V90" s="1144"/>
      <c r="W90" s="1144"/>
      <c r="X90" s="1904"/>
      <c r="Y90" s="1144"/>
      <c r="Z90" s="1124"/>
      <c r="AA90" s="1124"/>
      <c r="AB90" s="1124"/>
      <c r="AC90" s="1124"/>
      <c r="AD90" s="1124"/>
      <c r="AE90" s="1124"/>
      <c r="AF90" s="1124"/>
      <c r="AG90" s="1144"/>
    </row>
    <row r="91" spans="1:34" ht="39.950000000000003" customHeight="1">
      <c r="A91" s="1745"/>
      <c r="B91" s="1751"/>
      <c r="C91" s="1754"/>
      <c r="D91" s="1758"/>
      <c r="E91" s="1755"/>
      <c r="F91" s="1756"/>
      <c r="G91" s="1756"/>
      <c r="H91" s="1758"/>
      <c r="I91" s="1755"/>
      <c r="J91" s="1757"/>
      <c r="K91" s="1758"/>
      <c r="L91" s="1906" t="s">
        <v>1052</v>
      </c>
      <c r="M91" s="1907"/>
      <c r="N91" s="1907"/>
      <c r="O91" s="1908"/>
      <c r="P91" s="1940"/>
      <c r="Q91" s="1909">
        <f>SUBTOTAL(9,Q10:Q89)</f>
        <v>134501.66666666666</v>
      </c>
      <c r="R91" s="1731"/>
      <c r="S91" s="1144"/>
      <c r="T91" s="1144"/>
      <c r="U91" s="1144"/>
      <c r="V91" s="1144"/>
      <c r="W91" s="1144"/>
      <c r="X91" s="1904"/>
      <c r="Y91" s="1144"/>
      <c r="Z91" s="1124"/>
      <c r="AA91" s="1124"/>
      <c r="AB91" s="1124"/>
      <c r="AC91" s="1124"/>
      <c r="AD91" s="1124"/>
      <c r="AE91" s="1124"/>
      <c r="AF91" s="1124"/>
      <c r="AG91" s="1144"/>
    </row>
    <row r="92" spans="1:34" ht="37.5" customHeight="1">
      <c r="A92" s="1300" t="s">
        <v>234</v>
      </c>
      <c r="B92" s="786"/>
      <c r="C92" s="786"/>
      <c r="D92" s="1300"/>
      <c r="E92" s="1300"/>
      <c r="F92" s="1300"/>
      <c r="G92" s="1300"/>
      <c r="H92" s="1300"/>
      <c r="I92" s="1300"/>
      <c r="J92" s="781"/>
      <c r="K92" s="1300"/>
      <c r="L92" s="1301"/>
      <c r="M92" s="1300"/>
      <c r="N92" s="1300"/>
      <c r="O92" s="1302"/>
      <c r="P92" s="1941"/>
      <c r="Q92" s="1305">
        <f>Q93+Q160</f>
        <v>314558.67633333331</v>
      </c>
      <c r="R92" s="1973"/>
      <c r="S92" s="1302">
        <f t="shared" ref="S92:AG92" si="15">S93+S160</f>
        <v>0</v>
      </c>
      <c r="T92" s="1302">
        <f t="shared" si="15"/>
        <v>78416.399666666664</v>
      </c>
      <c r="U92" s="1302">
        <f t="shared" si="15"/>
        <v>46733.999333333333</v>
      </c>
      <c r="V92" s="1302">
        <f t="shared" si="15"/>
        <v>111933.72499999999</v>
      </c>
      <c r="W92" s="1302">
        <f t="shared" si="15"/>
        <v>45901.552333333326</v>
      </c>
      <c r="X92" s="1302">
        <f t="shared" si="15"/>
        <v>7142</v>
      </c>
      <c r="Y92" s="1302">
        <f t="shared" si="15"/>
        <v>24431</v>
      </c>
      <c r="Z92" s="1302">
        <f t="shared" si="15"/>
        <v>0</v>
      </c>
      <c r="AA92" s="1302">
        <f t="shared" si="15"/>
        <v>0</v>
      </c>
      <c r="AB92" s="1302">
        <f t="shared" si="15"/>
        <v>0</v>
      </c>
      <c r="AC92" s="1302">
        <f t="shared" si="15"/>
        <v>0</v>
      </c>
      <c r="AD92" s="1302">
        <f t="shared" si="15"/>
        <v>0</v>
      </c>
      <c r="AE92" s="1302">
        <f t="shared" si="15"/>
        <v>0</v>
      </c>
      <c r="AF92" s="1302">
        <f t="shared" si="15"/>
        <v>0</v>
      </c>
      <c r="AG92" s="1302">
        <f t="shared" si="15"/>
        <v>314558.67633333331</v>
      </c>
      <c r="AH92" s="1018"/>
    </row>
    <row r="93" spans="1:34" ht="16.5" customHeight="1">
      <c r="A93" s="1324">
        <v>121</v>
      </c>
      <c r="B93" s="1462" t="s">
        <v>715</v>
      </c>
      <c r="C93" s="1497"/>
      <c r="D93" s="1306"/>
      <c r="E93" s="1306"/>
      <c r="F93" s="1306"/>
      <c r="G93" s="1306"/>
      <c r="H93" s="1306"/>
      <c r="I93" s="1306"/>
      <c r="J93" s="636"/>
      <c r="K93" s="1296"/>
      <c r="L93" s="1298"/>
      <c r="M93" s="1296"/>
      <c r="N93" s="1296"/>
      <c r="O93" s="1299"/>
      <c r="P93" s="1942"/>
      <c r="Q93" s="1309">
        <f>+Q115+Q158</f>
        <v>163711</v>
      </c>
      <c r="R93" s="1974"/>
      <c r="S93" s="1307">
        <f t="shared" ref="S93:AF93" si="16">SUM(S94:S157)</f>
        <v>0</v>
      </c>
      <c r="T93" s="1307">
        <f t="shared" si="16"/>
        <v>65000</v>
      </c>
      <c r="U93" s="1307">
        <f t="shared" si="16"/>
        <v>14002</v>
      </c>
      <c r="V93" s="1307">
        <f t="shared" si="16"/>
        <v>31374</v>
      </c>
      <c r="W93" s="1307">
        <f t="shared" si="16"/>
        <v>21762</v>
      </c>
      <c r="X93" s="1307">
        <f t="shared" si="16"/>
        <v>7142</v>
      </c>
      <c r="Y93" s="1307">
        <f t="shared" si="16"/>
        <v>24431</v>
      </c>
      <c r="Z93" s="1307">
        <f t="shared" si="16"/>
        <v>0</v>
      </c>
      <c r="AA93" s="1307">
        <f t="shared" si="16"/>
        <v>0</v>
      </c>
      <c r="AB93" s="1307">
        <f t="shared" si="16"/>
        <v>0</v>
      </c>
      <c r="AC93" s="1307">
        <f t="shared" si="16"/>
        <v>0</v>
      </c>
      <c r="AD93" s="1307">
        <f t="shared" si="16"/>
        <v>0</v>
      </c>
      <c r="AE93" s="1307">
        <f t="shared" si="16"/>
        <v>0</v>
      </c>
      <c r="AF93" s="1307">
        <f t="shared" si="16"/>
        <v>0</v>
      </c>
      <c r="AG93" s="1307">
        <f>SUM(S93:AF93)</f>
        <v>163711</v>
      </c>
      <c r="AH93" s="1614"/>
    </row>
    <row r="94" spans="1:34" s="1826" customFormat="1" ht="72.75" customHeight="1" outlineLevel="2">
      <c r="A94" s="683">
        <v>1211</v>
      </c>
      <c r="B94" s="1760" t="s">
        <v>716</v>
      </c>
      <c r="C94" s="1076" t="s">
        <v>717</v>
      </c>
      <c r="D94" s="1761"/>
      <c r="E94" s="1762" t="e">
        <f t="shared" ref="E94:E99" si="17">+G94-F94+1</f>
        <v>#REF!</v>
      </c>
      <c r="F94" s="1763" t="e">
        <f>+#REF!</f>
        <v>#REF!</v>
      </c>
      <c r="G94" s="1763">
        <v>43231</v>
      </c>
      <c r="H94" s="1764" t="s">
        <v>718</v>
      </c>
      <c r="I94" s="1762" t="s">
        <v>170</v>
      </c>
      <c r="J94" s="667" t="s">
        <v>719</v>
      </c>
      <c r="K94" s="1910" t="s">
        <v>415</v>
      </c>
      <c r="L94" s="1233">
        <v>23173</v>
      </c>
      <c r="M94" s="1761"/>
      <c r="N94" s="1761"/>
      <c r="O94" s="1765">
        <v>156</v>
      </c>
      <c r="P94" s="1943">
        <v>10</v>
      </c>
      <c r="Q94" s="1739">
        <f t="shared" ref="Q94:Q112" si="18">+O94*P94</f>
        <v>1560</v>
      </c>
      <c r="R94" s="1975"/>
      <c r="S94" s="1766"/>
      <c r="T94" s="1766"/>
      <c r="U94" s="1765">
        <v>4396</v>
      </c>
      <c r="V94" s="1766"/>
      <c r="W94" s="1766"/>
      <c r="X94" s="1767"/>
      <c r="Y94" s="1768"/>
      <c r="Z94" s="1825"/>
      <c r="AA94" s="1825"/>
      <c r="AB94" s="1825"/>
      <c r="AC94" s="1825"/>
      <c r="AD94" s="1825"/>
      <c r="AE94" s="1825"/>
      <c r="AF94" s="1825"/>
      <c r="AG94" s="1825"/>
    </row>
    <row r="95" spans="1:34" s="1826" customFormat="1" ht="72.75" customHeight="1" outlineLevel="2">
      <c r="A95" s="683">
        <v>1211</v>
      </c>
      <c r="B95" s="1760" t="s">
        <v>716</v>
      </c>
      <c r="C95" s="1076" t="s">
        <v>717</v>
      </c>
      <c r="D95" s="1761"/>
      <c r="E95" s="1762" t="e">
        <f t="shared" si="17"/>
        <v>#REF!</v>
      </c>
      <c r="F95" s="1763" t="e">
        <f>+F94</f>
        <v>#REF!</v>
      </c>
      <c r="G95" s="1763">
        <v>43231</v>
      </c>
      <c r="H95" s="1764" t="s">
        <v>718</v>
      </c>
      <c r="I95" s="1762" t="s">
        <v>170</v>
      </c>
      <c r="J95" s="667" t="s">
        <v>719</v>
      </c>
      <c r="K95" s="1769" t="s">
        <v>638</v>
      </c>
      <c r="L95" s="1233">
        <v>23173</v>
      </c>
      <c r="M95" s="1761"/>
      <c r="N95" s="1761"/>
      <c r="O95" s="1765">
        <v>10</v>
      </c>
      <c r="P95" s="1943">
        <v>28</v>
      </c>
      <c r="Q95" s="1739">
        <f t="shared" si="18"/>
        <v>280</v>
      </c>
      <c r="R95" s="1975"/>
      <c r="S95" s="1766"/>
      <c r="T95" s="1766"/>
      <c r="U95" s="1765">
        <v>4536</v>
      </c>
      <c r="V95" s="1766"/>
      <c r="W95" s="1766"/>
      <c r="X95" s="1767"/>
      <c r="Y95" s="1768"/>
      <c r="Z95" s="1825"/>
      <c r="AA95" s="1825"/>
      <c r="AB95" s="1825"/>
      <c r="AC95" s="1825"/>
      <c r="AD95" s="1825"/>
      <c r="AE95" s="1825"/>
      <c r="AF95" s="1825"/>
      <c r="AG95" s="1825"/>
    </row>
    <row r="96" spans="1:34" s="1826" customFormat="1" ht="72.75" customHeight="1" outlineLevel="2">
      <c r="A96" s="683">
        <v>1211</v>
      </c>
      <c r="B96" s="1760" t="s">
        <v>716</v>
      </c>
      <c r="C96" s="1076" t="s">
        <v>717</v>
      </c>
      <c r="D96" s="1761"/>
      <c r="E96" s="1762" t="e">
        <f t="shared" si="17"/>
        <v>#REF!</v>
      </c>
      <c r="F96" s="1763" t="e">
        <f>+F95</f>
        <v>#REF!</v>
      </c>
      <c r="G96" s="1763">
        <v>43231</v>
      </c>
      <c r="H96" s="1764" t="s">
        <v>718</v>
      </c>
      <c r="I96" s="1762" t="s">
        <v>170</v>
      </c>
      <c r="J96" s="667" t="s">
        <v>719</v>
      </c>
      <c r="K96" s="1769" t="s">
        <v>724</v>
      </c>
      <c r="L96" s="1233">
        <v>23173</v>
      </c>
      <c r="M96" s="1761"/>
      <c r="N96" s="1761"/>
      <c r="O96" s="1765">
        <v>10</v>
      </c>
      <c r="P96" s="1943">
        <v>28</v>
      </c>
      <c r="Q96" s="1739">
        <f t="shared" si="18"/>
        <v>280</v>
      </c>
      <c r="R96" s="1975"/>
      <c r="S96" s="1766"/>
      <c r="T96" s="1766"/>
      <c r="U96" s="1765">
        <v>616</v>
      </c>
      <c r="V96" s="1766"/>
      <c r="W96" s="1766"/>
      <c r="X96" s="1767"/>
      <c r="Y96" s="1768"/>
      <c r="Z96" s="1825"/>
      <c r="AA96" s="1825"/>
      <c r="AB96" s="1825"/>
      <c r="AC96" s="1825"/>
      <c r="AD96" s="1825"/>
      <c r="AE96" s="1825"/>
      <c r="AF96" s="1825"/>
      <c r="AG96" s="1825"/>
    </row>
    <row r="97" spans="1:33" s="1826" customFormat="1" ht="72.75" customHeight="1" outlineLevel="2">
      <c r="A97" s="683">
        <f>+A96</f>
        <v>1211</v>
      </c>
      <c r="B97" s="1770" t="s">
        <v>730</v>
      </c>
      <c r="C97" s="1076" t="s">
        <v>731</v>
      </c>
      <c r="D97" s="1761"/>
      <c r="E97" s="1762">
        <f t="shared" si="17"/>
        <v>5</v>
      </c>
      <c r="F97" s="1763">
        <v>43248</v>
      </c>
      <c r="G97" s="1763">
        <f>+F97+5-1</f>
        <v>43252</v>
      </c>
      <c r="H97" s="1764" t="s">
        <v>732</v>
      </c>
      <c r="I97" s="1762" t="s">
        <v>170</v>
      </c>
      <c r="J97" s="667" t="s">
        <v>719</v>
      </c>
      <c r="K97" s="1769" t="s">
        <v>734</v>
      </c>
      <c r="L97" s="1231">
        <v>23173</v>
      </c>
      <c r="M97" s="1761"/>
      <c r="N97" s="1761"/>
      <c r="O97" s="1765">
        <v>875</v>
      </c>
      <c r="P97" s="1943">
        <v>7</v>
      </c>
      <c r="Q97" s="1739">
        <f t="shared" si="18"/>
        <v>6125</v>
      </c>
      <c r="R97" s="1975"/>
      <c r="S97" s="1766"/>
      <c r="T97" s="1766"/>
      <c r="U97" s="1765">
        <v>1560</v>
      </c>
      <c r="V97" s="1766"/>
      <c r="W97" s="1766"/>
      <c r="X97" s="1767"/>
      <c r="Y97" s="1768"/>
      <c r="Z97" s="1825"/>
      <c r="AA97" s="1825"/>
      <c r="AB97" s="1825"/>
      <c r="AC97" s="1825"/>
      <c r="AD97" s="1825"/>
      <c r="AE97" s="1825"/>
      <c r="AF97" s="1825"/>
      <c r="AG97" s="1825"/>
    </row>
    <row r="98" spans="1:33" s="1826" customFormat="1" ht="72.75" customHeight="1" outlineLevel="2">
      <c r="A98" s="683">
        <v>1213</v>
      </c>
      <c r="B98" s="1770" t="s">
        <v>738</v>
      </c>
      <c r="C98" s="1076" t="s">
        <v>739</v>
      </c>
      <c r="D98" s="1761"/>
      <c r="E98" s="1762">
        <f t="shared" si="17"/>
        <v>26</v>
      </c>
      <c r="F98" s="1763">
        <v>43262</v>
      </c>
      <c r="G98" s="1763">
        <v>43287</v>
      </c>
      <c r="H98" s="1764"/>
      <c r="I98" s="1762" t="s">
        <v>170</v>
      </c>
      <c r="J98" s="667" t="s">
        <v>719</v>
      </c>
      <c r="K98" s="1769" t="s">
        <v>302</v>
      </c>
      <c r="L98" s="1233">
        <v>23173</v>
      </c>
      <c r="M98" s="1761"/>
      <c r="N98" s="1761"/>
      <c r="O98" s="1765">
        <v>15</v>
      </c>
      <c r="P98" s="1943">
        <v>28</v>
      </c>
      <c r="Q98" s="1739">
        <f t="shared" si="18"/>
        <v>420</v>
      </c>
      <c r="R98" s="1975"/>
      <c r="S98" s="1766"/>
      <c r="T98" s="1766"/>
      <c r="U98" s="1765">
        <v>280</v>
      </c>
      <c r="V98" s="1766"/>
      <c r="W98" s="1766"/>
      <c r="X98" s="1767"/>
      <c r="Y98" s="1768"/>
      <c r="Z98" s="1825"/>
      <c r="AA98" s="1825"/>
      <c r="AB98" s="1825"/>
      <c r="AC98" s="1825"/>
      <c r="AD98" s="1825"/>
      <c r="AE98" s="1825"/>
      <c r="AF98" s="1825"/>
      <c r="AG98" s="1825"/>
    </row>
    <row r="99" spans="1:33" s="1826" customFormat="1" ht="72.75" customHeight="1" outlineLevel="2">
      <c r="A99" s="683">
        <v>1213</v>
      </c>
      <c r="B99" s="1770" t="s">
        <v>738</v>
      </c>
      <c r="C99" s="1076" t="s">
        <v>739</v>
      </c>
      <c r="D99" s="1761"/>
      <c r="E99" s="1762">
        <f t="shared" si="17"/>
        <v>26</v>
      </c>
      <c r="F99" s="1763">
        <v>43262</v>
      </c>
      <c r="G99" s="1763">
        <v>43287</v>
      </c>
      <c r="H99" s="1764"/>
      <c r="I99" s="1762" t="s">
        <v>170</v>
      </c>
      <c r="J99" s="667" t="s">
        <v>719</v>
      </c>
      <c r="K99" s="1769" t="s">
        <v>486</v>
      </c>
      <c r="L99" s="1233">
        <v>23173</v>
      </c>
      <c r="M99" s="1761"/>
      <c r="N99" s="1761"/>
      <c r="O99" s="1765">
        <v>156</v>
      </c>
      <c r="P99" s="1943">
        <v>15</v>
      </c>
      <c r="Q99" s="1739">
        <f t="shared" si="18"/>
        <v>2340</v>
      </c>
      <c r="R99" s="1975"/>
      <c r="S99" s="1766"/>
      <c r="T99" s="1766"/>
      <c r="U99" s="1765">
        <v>1124</v>
      </c>
      <c r="V99" s="1766"/>
      <c r="W99" s="1766"/>
      <c r="X99" s="1767"/>
      <c r="Y99" s="1768"/>
      <c r="Z99" s="1825"/>
      <c r="AA99" s="1825"/>
      <c r="AB99" s="1825"/>
      <c r="AC99" s="1825"/>
      <c r="AD99" s="1825"/>
      <c r="AE99" s="1825"/>
      <c r="AF99" s="1825"/>
      <c r="AG99" s="1825"/>
    </row>
    <row r="100" spans="1:33" s="1826" customFormat="1" ht="72.75" customHeight="1" outlineLevel="2">
      <c r="A100" s="683">
        <v>1213</v>
      </c>
      <c r="B100" s="1770" t="s">
        <v>738</v>
      </c>
      <c r="C100" s="1076" t="s">
        <v>739</v>
      </c>
      <c r="D100" s="1761"/>
      <c r="E100" s="1762"/>
      <c r="F100" s="1763"/>
      <c r="G100" s="1763"/>
      <c r="H100" s="1764"/>
      <c r="I100" s="1762" t="s">
        <v>170</v>
      </c>
      <c r="J100" s="667" t="s">
        <v>719</v>
      </c>
      <c r="K100" s="1769" t="s">
        <v>1013</v>
      </c>
      <c r="L100" s="1233">
        <v>23173</v>
      </c>
      <c r="M100" s="1761"/>
      <c r="N100" s="1761"/>
      <c r="O100" s="1765">
        <v>1</v>
      </c>
      <c r="P100" s="1943">
        <v>60</v>
      </c>
      <c r="Q100" s="1739">
        <f t="shared" si="18"/>
        <v>60</v>
      </c>
      <c r="R100" s="1975"/>
      <c r="S100" s="1766"/>
      <c r="T100" s="1766"/>
      <c r="U100" s="1765">
        <v>280</v>
      </c>
      <c r="V100" s="1766"/>
      <c r="W100" s="1766"/>
      <c r="X100" s="1767"/>
      <c r="Y100" s="1768"/>
      <c r="Z100" s="1825"/>
      <c r="AA100" s="1825"/>
      <c r="AB100" s="1825"/>
      <c r="AC100" s="1825"/>
      <c r="AD100" s="1825"/>
      <c r="AE100" s="1825"/>
      <c r="AF100" s="1825"/>
      <c r="AG100" s="1825"/>
    </row>
    <row r="101" spans="1:33" s="1826" customFormat="1" ht="72.75" customHeight="1" outlineLevel="2">
      <c r="A101" s="683">
        <v>1214</v>
      </c>
      <c r="B101" s="1770" t="s">
        <v>747</v>
      </c>
      <c r="C101" s="1076" t="s">
        <v>748</v>
      </c>
      <c r="D101" s="1761"/>
      <c r="E101" s="1762">
        <f t="shared" ref="E101:E114" si="19">+G101-F101+1</f>
        <v>3</v>
      </c>
      <c r="F101" s="1763">
        <v>43304</v>
      </c>
      <c r="G101" s="1763">
        <f>+F101+3-1</f>
        <v>43306</v>
      </c>
      <c r="H101" s="1764"/>
      <c r="I101" s="1762" t="s">
        <v>170</v>
      </c>
      <c r="J101" s="667"/>
      <c r="K101" s="1769" t="s">
        <v>670</v>
      </c>
      <c r="L101" s="1233">
        <v>23173</v>
      </c>
      <c r="M101" s="1761"/>
      <c r="N101" s="1761"/>
      <c r="O101" s="1765">
        <v>48</v>
      </c>
      <c r="P101" s="1943">
        <v>40</v>
      </c>
      <c r="Q101" s="1739">
        <f t="shared" si="18"/>
        <v>1920</v>
      </c>
      <c r="R101" s="1975"/>
      <c r="S101" s="1766"/>
      <c r="T101" s="1766"/>
      <c r="U101" s="1765">
        <v>314</v>
      </c>
      <c r="V101" s="1766"/>
      <c r="W101" s="1766"/>
      <c r="X101" s="1767"/>
      <c r="Y101" s="1768"/>
      <c r="Z101" s="1825"/>
      <c r="AA101" s="1825"/>
      <c r="AB101" s="1825"/>
      <c r="AC101" s="1825"/>
      <c r="AD101" s="1825"/>
      <c r="AE101" s="1825"/>
      <c r="AF101" s="1825"/>
      <c r="AG101" s="1825"/>
    </row>
    <row r="102" spans="1:33" s="1826" customFormat="1" ht="72.75" customHeight="1" outlineLevel="2">
      <c r="A102" s="683">
        <v>1214</v>
      </c>
      <c r="B102" s="1770" t="s">
        <v>747</v>
      </c>
      <c r="C102" s="1076" t="s">
        <v>748</v>
      </c>
      <c r="D102" s="1761"/>
      <c r="E102" s="1762">
        <f t="shared" si="19"/>
        <v>3</v>
      </c>
      <c r="F102" s="1763">
        <v>43304</v>
      </c>
      <c r="G102" s="1763">
        <f>+F102+3-1</f>
        <v>43306</v>
      </c>
      <c r="H102" s="1764"/>
      <c r="I102" s="1762" t="s">
        <v>170</v>
      </c>
      <c r="J102" s="667"/>
      <c r="K102" s="1769" t="s">
        <v>638</v>
      </c>
      <c r="L102" s="1233">
        <v>23173</v>
      </c>
      <c r="M102" s="1761"/>
      <c r="N102" s="1761"/>
      <c r="O102" s="1765">
        <v>5</v>
      </c>
      <c r="P102" s="1943">
        <v>40</v>
      </c>
      <c r="Q102" s="1739">
        <f t="shared" si="18"/>
        <v>200</v>
      </c>
      <c r="R102" s="1975"/>
      <c r="S102" s="1766"/>
      <c r="T102" s="1766"/>
      <c r="U102" s="1765">
        <v>324</v>
      </c>
      <c r="V102" s="1766"/>
      <c r="W102" s="1766"/>
      <c r="X102" s="1767"/>
      <c r="Y102" s="1768"/>
      <c r="Z102" s="1825"/>
      <c r="AA102" s="1825"/>
      <c r="AB102" s="1825"/>
      <c r="AC102" s="1825"/>
      <c r="AD102" s="1825"/>
      <c r="AE102" s="1825"/>
      <c r="AF102" s="1825"/>
      <c r="AG102" s="1825"/>
    </row>
    <row r="103" spans="1:33" s="1826" customFormat="1" ht="72.75" customHeight="1" outlineLevel="2">
      <c r="A103" s="683">
        <v>1214</v>
      </c>
      <c r="B103" s="1770" t="s">
        <v>747</v>
      </c>
      <c r="C103" s="1076" t="s">
        <v>748</v>
      </c>
      <c r="D103" s="1761"/>
      <c r="E103" s="1762">
        <f t="shared" si="19"/>
        <v>3</v>
      </c>
      <c r="F103" s="1763">
        <v>43304</v>
      </c>
      <c r="G103" s="1763">
        <f>+F103+3-1</f>
        <v>43306</v>
      </c>
      <c r="H103" s="1764"/>
      <c r="I103" s="1762" t="s">
        <v>170</v>
      </c>
      <c r="J103" s="667"/>
      <c r="K103" s="1769" t="s">
        <v>486</v>
      </c>
      <c r="L103" s="1233">
        <v>23173</v>
      </c>
      <c r="M103" s="1761"/>
      <c r="N103" s="1761"/>
      <c r="O103" s="1765">
        <v>312</v>
      </c>
      <c r="P103" s="1943">
        <v>3</v>
      </c>
      <c r="Q103" s="1739">
        <f t="shared" si="18"/>
        <v>936</v>
      </c>
      <c r="R103" s="1975"/>
      <c r="S103" s="1766"/>
      <c r="T103" s="1766"/>
      <c r="U103" s="1765">
        <v>262</v>
      </c>
      <c r="V103" s="1766"/>
      <c r="W103" s="1766"/>
      <c r="X103" s="1767"/>
      <c r="Y103" s="1768"/>
      <c r="Z103" s="1825"/>
      <c r="AA103" s="1825"/>
      <c r="AB103" s="1825"/>
      <c r="AC103" s="1825"/>
      <c r="AD103" s="1825"/>
      <c r="AE103" s="1825"/>
      <c r="AF103" s="1825"/>
      <c r="AG103" s="1825"/>
    </row>
    <row r="104" spans="1:33" s="1826" customFormat="1" ht="72.75" customHeight="1" outlineLevel="2">
      <c r="A104" s="683">
        <v>1215</v>
      </c>
      <c r="B104" s="1770" t="s">
        <v>749</v>
      </c>
      <c r="C104" s="1076" t="s">
        <v>750</v>
      </c>
      <c r="D104" s="1761"/>
      <c r="E104" s="1762">
        <f t="shared" si="19"/>
        <v>6</v>
      </c>
      <c r="F104" s="1763">
        <v>43318</v>
      </c>
      <c r="G104" s="1763">
        <f>F104+6-1</f>
        <v>43323</v>
      </c>
      <c r="H104" s="1764"/>
      <c r="I104" s="1762" t="s">
        <v>170</v>
      </c>
      <c r="J104" s="667"/>
      <c r="K104" s="1769" t="s">
        <v>302</v>
      </c>
      <c r="L104" s="1233">
        <v>23173</v>
      </c>
      <c r="M104" s="1761"/>
      <c r="N104" s="1761"/>
      <c r="O104" s="1765">
        <v>5</v>
      </c>
      <c r="P104" s="1943">
        <v>26</v>
      </c>
      <c r="Q104" s="1739">
        <f t="shared" si="18"/>
        <v>130</v>
      </c>
      <c r="R104" s="1975"/>
      <c r="S104" s="1766"/>
      <c r="T104" s="1766"/>
      <c r="U104" s="1765">
        <v>162</v>
      </c>
      <c r="V104" s="1766"/>
      <c r="W104" s="1766"/>
      <c r="X104" s="1767"/>
      <c r="Y104" s="1768"/>
      <c r="Z104" s="1825"/>
      <c r="AA104" s="1825"/>
      <c r="AB104" s="1825"/>
      <c r="AC104" s="1825"/>
      <c r="AD104" s="1825"/>
      <c r="AE104" s="1825"/>
      <c r="AF104" s="1825"/>
      <c r="AG104" s="1825"/>
    </row>
    <row r="105" spans="1:33" s="1826" customFormat="1" ht="72.75" customHeight="1" outlineLevel="2">
      <c r="A105" s="683">
        <v>1215</v>
      </c>
      <c r="B105" s="1770" t="s">
        <v>749</v>
      </c>
      <c r="C105" s="1076" t="s">
        <v>750</v>
      </c>
      <c r="D105" s="1761"/>
      <c r="E105" s="1762">
        <f t="shared" si="19"/>
        <v>6</v>
      </c>
      <c r="F105" s="1763">
        <v>43318</v>
      </c>
      <c r="G105" s="1763">
        <f>F105+6-1</f>
        <v>43323</v>
      </c>
      <c r="H105" s="1764"/>
      <c r="I105" s="1762" t="s">
        <v>170</v>
      </c>
      <c r="J105" s="667"/>
      <c r="K105" s="1769" t="s">
        <v>486</v>
      </c>
      <c r="L105" s="1233">
        <v>23173</v>
      </c>
      <c r="M105" s="1761"/>
      <c r="N105" s="1761"/>
      <c r="O105" s="1765">
        <v>156</v>
      </c>
      <c r="P105" s="1943">
        <v>6</v>
      </c>
      <c r="Q105" s="1739">
        <f t="shared" si="18"/>
        <v>936</v>
      </c>
      <c r="R105" s="1975"/>
      <c r="S105" s="1766"/>
      <c r="T105" s="1766"/>
      <c r="U105" s="1765">
        <v>148</v>
      </c>
      <c r="V105" s="1766"/>
      <c r="W105" s="1766"/>
      <c r="X105" s="1767"/>
      <c r="Y105" s="1768"/>
      <c r="Z105" s="1825"/>
      <c r="AA105" s="1825"/>
      <c r="AB105" s="1825"/>
      <c r="AC105" s="1825"/>
      <c r="AD105" s="1825"/>
      <c r="AE105" s="1825"/>
      <c r="AF105" s="1825"/>
      <c r="AG105" s="1825"/>
    </row>
    <row r="106" spans="1:33" s="1826" customFormat="1" ht="72" customHeight="1" outlineLevel="2">
      <c r="A106" s="683">
        <v>1215</v>
      </c>
      <c r="B106" s="1770" t="s">
        <v>749</v>
      </c>
      <c r="C106" s="1076" t="s">
        <v>750</v>
      </c>
      <c r="D106" s="1761"/>
      <c r="E106" s="1762">
        <f t="shared" si="19"/>
        <v>6</v>
      </c>
      <c r="F106" s="1763">
        <v>43318</v>
      </c>
      <c r="G106" s="1763">
        <f>F106+6-1</f>
        <v>43323</v>
      </c>
      <c r="H106" s="1764"/>
      <c r="I106" s="1762" t="s">
        <v>170</v>
      </c>
      <c r="J106" s="667"/>
      <c r="K106" s="1769" t="s">
        <v>755</v>
      </c>
      <c r="L106" s="1233">
        <v>23173</v>
      </c>
      <c r="M106" s="1761"/>
      <c r="N106" s="1761"/>
      <c r="O106" s="1765">
        <v>10</v>
      </c>
      <c r="P106" s="1943">
        <v>60</v>
      </c>
      <c r="Q106" s="1739">
        <f t="shared" si="18"/>
        <v>600</v>
      </c>
      <c r="R106" s="1975"/>
      <c r="S106" s="1766"/>
      <c r="T106" s="1766"/>
      <c r="U106" s="1766"/>
      <c r="V106" s="1765">
        <v>4949</v>
      </c>
      <c r="W106" s="1766"/>
      <c r="X106" s="1767"/>
      <c r="Y106" s="1768"/>
      <c r="Z106" s="1825"/>
      <c r="AA106" s="1825"/>
      <c r="AB106" s="1825"/>
      <c r="AC106" s="1825"/>
      <c r="AD106" s="1825"/>
      <c r="AE106" s="1825"/>
      <c r="AF106" s="1825"/>
      <c r="AG106" s="1825"/>
    </row>
    <row r="107" spans="1:33" s="1826" customFormat="1" ht="72" customHeight="1" outlineLevel="2">
      <c r="A107" s="683">
        <v>1216</v>
      </c>
      <c r="B107" s="1770" t="s">
        <v>756</v>
      </c>
      <c r="C107" s="1076" t="s">
        <v>757</v>
      </c>
      <c r="D107" s="1761"/>
      <c r="E107" s="1762">
        <f t="shared" si="19"/>
        <v>27</v>
      </c>
      <c r="F107" s="1763">
        <v>43332</v>
      </c>
      <c r="G107" s="1763">
        <v>43358</v>
      </c>
      <c r="H107" s="1764"/>
      <c r="I107" s="1762" t="s">
        <v>170</v>
      </c>
      <c r="J107" s="667"/>
      <c r="K107" s="1769" t="s">
        <v>302</v>
      </c>
      <c r="L107" s="1233">
        <v>23173</v>
      </c>
      <c r="M107" s="1761"/>
      <c r="N107" s="1761"/>
      <c r="O107" s="1765">
        <v>15</v>
      </c>
      <c r="P107" s="1943">
        <v>30</v>
      </c>
      <c r="Q107" s="1739">
        <f t="shared" si="18"/>
        <v>450</v>
      </c>
      <c r="R107" s="1975"/>
      <c r="S107" s="1766"/>
      <c r="T107" s="1766"/>
      <c r="U107" s="1766"/>
      <c r="V107" s="1765">
        <v>4900</v>
      </c>
      <c r="W107" s="1766"/>
      <c r="X107" s="1767"/>
      <c r="Y107" s="1768"/>
      <c r="Z107" s="1825"/>
      <c r="AA107" s="1825"/>
      <c r="AB107" s="1825"/>
      <c r="AC107" s="1825"/>
      <c r="AD107" s="1825"/>
      <c r="AE107" s="1825"/>
      <c r="AF107" s="1825"/>
      <c r="AG107" s="1825"/>
    </row>
    <row r="108" spans="1:33" s="1826" customFormat="1" ht="72" customHeight="1" outlineLevel="2">
      <c r="A108" s="683">
        <v>1216</v>
      </c>
      <c r="B108" s="1770" t="s">
        <v>756</v>
      </c>
      <c r="C108" s="1076" t="s">
        <v>757</v>
      </c>
      <c r="D108" s="1761"/>
      <c r="E108" s="1762">
        <f t="shared" si="19"/>
        <v>27</v>
      </c>
      <c r="F108" s="1763">
        <v>43332</v>
      </c>
      <c r="G108" s="1763">
        <v>43358</v>
      </c>
      <c r="H108" s="1764"/>
      <c r="I108" s="1762" t="s">
        <v>170</v>
      </c>
      <c r="J108" s="667"/>
      <c r="K108" s="1769" t="s">
        <v>486</v>
      </c>
      <c r="L108" s="1231">
        <v>23173</v>
      </c>
      <c r="M108" s="1761"/>
      <c r="N108" s="1761"/>
      <c r="O108" s="1765">
        <v>156</v>
      </c>
      <c r="P108" s="1943">
        <v>15</v>
      </c>
      <c r="Q108" s="1739">
        <f t="shared" si="18"/>
        <v>2340</v>
      </c>
      <c r="R108" s="1975"/>
      <c r="S108" s="1766"/>
      <c r="T108" s="1766"/>
      <c r="U108" s="1766"/>
      <c r="V108" s="1765">
        <v>6125</v>
      </c>
      <c r="W108" s="1766"/>
      <c r="X108" s="1767"/>
      <c r="Y108" s="1768"/>
      <c r="Z108" s="1825"/>
      <c r="AA108" s="1825"/>
      <c r="AB108" s="1825"/>
      <c r="AC108" s="1825"/>
      <c r="AD108" s="1825"/>
      <c r="AE108" s="1825"/>
      <c r="AF108" s="1825"/>
      <c r="AG108" s="1825"/>
    </row>
    <row r="109" spans="1:33" s="1826" customFormat="1" ht="72" customHeight="1" outlineLevel="2">
      <c r="A109" s="683">
        <v>1216</v>
      </c>
      <c r="B109" s="1770" t="s">
        <v>756</v>
      </c>
      <c r="C109" s="1076" t="s">
        <v>757</v>
      </c>
      <c r="D109" s="1761"/>
      <c r="E109" s="1762">
        <f t="shared" si="19"/>
        <v>27</v>
      </c>
      <c r="F109" s="1763">
        <v>43332</v>
      </c>
      <c r="G109" s="1763">
        <v>43358</v>
      </c>
      <c r="H109" s="1764"/>
      <c r="I109" s="1762" t="s">
        <v>170</v>
      </c>
      <c r="J109" s="667"/>
      <c r="K109" s="1769" t="s">
        <v>761</v>
      </c>
      <c r="L109" s="1233">
        <v>23173</v>
      </c>
      <c r="M109" s="1761"/>
      <c r="N109" s="1761"/>
      <c r="O109" s="1765">
        <v>10</v>
      </c>
      <c r="P109" s="1943">
        <v>50</v>
      </c>
      <c r="Q109" s="1739">
        <f t="shared" si="18"/>
        <v>500</v>
      </c>
      <c r="R109" s="1975"/>
      <c r="S109" s="1766"/>
      <c r="T109" s="1766"/>
      <c r="U109" s="1766"/>
      <c r="V109" s="1765">
        <v>3570</v>
      </c>
      <c r="W109" s="1766"/>
      <c r="X109" s="1767"/>
      <c r="Y109" s="1768"/>
      <c r="Z109" s="1825"/>
      <c r="AA109" s="1825"/>
      <c r="AB109" s="1825"/>
      <c r="AC109" s="1825"/>
      <c r="AD109" s="1825"/>
      <c r="AE109" s="1825"/>
      <c r="AF109" s="1825"/>
      <c r="AG109" s="1825"/>
    </row>
    <row r="110" spans="1:33" s="1826" customFormat="1" ht="72" customHeight="1" outlineLevel="2">
      <c r="A110" s="683">
        <v>1216</v>
      </c>
      <c r="B110" s="1770" t="s">
        <v>756</v>
      </c>
      <c r="C110" s="1076" t="s">
        <v>757</v>
      </c>
      <c r="D110" s="1761"/>
      <c r="E110" s="1762">
        <f t="shared" si="19"/>
        <v>27</v>
      </c>
      <c r="F110" s="1763">
        <v>43332</v>
      </c>
      <c r="G110" s="1763">
        <v>43358</v>
      </c>
      <c r="H110" s="1764"/>
      <c r="I110" s="1762" t="s">
        <v>170</v>
      </c>
      <c r="J110" s="667"/>
      <c r="K110" s="1769" t="s">
        <v>762</v>
      </c>
      <c r="L110" s="1233">
        <v>23173</v>
      </c>
      <c r="M110" s="1761"/>
      <c r="N110" s="1761"/>
      <c r="O110" s="1765">
        <v>15</v>
      </c>
      <c r="P110" s="1943">
        <v>50</v>
      </c>
      <c r="Q110" s="1739">
        <f t="shared" si="18"/>
        <v>750</v>
      </c>
      <c r="R110" s="1975"/>
      <c r="S110" s="1766"/>
      <c r="T110" s="1766"/>
      <c r="U110" s="1766"/>
      <c r="V110" s="1765">
        <v>1414</v>
      </c>
      <c r="W110" s="1766"/>
      <c r="X110" s="1767"/>
      <c r="Y110" s="1768"/>
      <c r="Z110" s="1825"/>
      <c r="AA110" s="1825"/>
      <c r="AB110" s="1825"/>
      <c r="AC110" s="1825"/>
      <c r="AD110" s="1825"/>
      <c r="AE110" s="1825"/>
      <c r="AF110" s="1825"/>
      <c r="AG110" s="1825"/>
    </row>
    <row r="111" spans="1:33" s="1826" customFormat="1" ht="72" customHeight="1" outlineLevel="2">
      <c r="A111" s="683">
        <v>1216</v>
      </c>
      <c r="B111" s="1770" t="s">
        <v>756</v>
      </c>
      <c r="C111" s="1076" t="s">
        <v>757</v>
      </c>
      <c r="D111" s="1761"/>
      <c r="E111" s="1762">
        <f t="shared" si="19"/>
        <v>27</v>
      </c>
      <c r="F111" s="1763">
        <v>43332</v>
      </c>
      <c r="G111" s="1763">
        <v>43358</v>
      </c>
      <c r="H111" s="1764"/>
      <c r="I111" s="1762" t="s">
        <v>170</v>
      </c>
      <c r="J111" s="667"/>
      <c r="K111" s="1769" t="s">
        <v>763</v>
      </c>
      <c r="L111" s="1233">
        <v>23173</v>
      </c>
      <c r="M111" s="1761"/>
      <c r="N111" s="1761"/>
      <c r="O111" s="1765">
        <v>10</v>
      </c>
      <c r="P111" s="1943">
        <f>22+114+28+23+10+10</f>
        <v>207</v>
      </c>
      <c r="Q111" s="1739">
        <f t="shared" si="18"/>
        <v>2070</v>
      </c>
      <c r="R111" s="1975"/>
      <c r="S111" s="1766"/>
      <c r="T111" s="1766"/>
      <c r="U111" s="1766"/>
      <c r="V111" s="1765">
        <v>1400</v>
      </c>
      <c r="W111" s="1766"/>
      <c r="X111" s="1767"/>
      <c r="Y111" s="1768"/>
      <c r="Z111" s="1825"/>
      <c r="AA111" s="1825"/>
      <c r="AB111" s="1825"/>
      <c r="AC111" s="1825"/>
      <c r="AD111" s="1825"/>
      <c r="AE111" s="1825"/>
      <c r="AF111" s="1825"/>
      <c r="AG111" s="1825"/>
    </row>
    <row r="112" spans="1:33" s="1826" customFormat="1" ht="72" customHeight="1" outlineLevel="2">
      <c r="A112" s="683">
        <v>1216</v>
      </c>
      <c r="B112" s="1770" t="s">
        <v>756</v>
      </c>
      <c r="C112" s="1076" t="s">
        <v>757</v>
      </c>
      <c r="D112" s="1761"/>
      <c r="E112" s="1762">
        <f t="shared" si="19"/>
        <v>27</v>
      </c>
      <c r="F112" s="1763">
        <v>43332</v>
      </c>
      <c r="G112" s="1763">
        <v>43358</v>
      </c>
      <c r="H112" s="1764"/>
      <c r="I112" s="1762" t="s">
        <v>170</v>
      </c>
      <c r="J112" s="667"/>
      <c r="K112" s="1769" t="s">
        <v>764</v>
      </c>
      <c r="L112" s="1233">
        <v>23173</v>
      </c>
      <c r="M112" s="1761"/>
      <c r="N112" s="1761"/>
      <c r="O112" s="1765">
        <v>5</v>
      </c>
      <c r="P112" s="1943">
        <v>207</v>
      </c>
      <c r="Q112" s="1739">
        <f t="shared" si="18"/>
        <v>1035</v>
      </c>
      <c r="R112" s="1975"/>
      <c r="S112" s="1766"/>
      <c r="T112" s="1766"/>
      <c r="U112" s="1766"/>
      <c r="V112" s="1765">
        <v>1176</v>
      </c>
      <c r="W112" s="1766"/>
      <c r="X112" s="1767"/>
      <c r="Y112" s="1768"/>
      <c r="Z112" s="1825"/>
      <c r="AA112" s="1825"/>
      <c r="AB112" s="1825"/>
      <c r="AC112" s="1825"/>
      <c r="AD112" s="1825"/>
      <c r="AE112" s="1825"/>
      <c r="AF112" s="1825"/>
      <c r="AG112" s="1825"/>
    </row>
    <row r="113" spans="1:33" s="1826" customFormat="1" ht="72" customHeight="1" outlineLevel="2">
      <c r="A113" s="683">
        <v>1217</v>
      </c>
      <c r="B113" s="1770" t="s">
        <v>499</v>
      </c>
      <c r="C113" s="1076" t="s">
        <v>767</v>
      </c>
      <c r="D113" s="1761"/>
      <c r="E113" s="1762">
        <f t="shared" si="19"/>
        <v>189</v>
      </c>
      <c r="F113" s="1763">
        <v>43185</v>
      </c>
      <c r="G113" s="1763">
        <v>43373</v>
      </c>
      <c r="H113" s="1764"/>
      <c r="I113" s="1762" t="s">
        <v>768</v>
      </c>
      <c r="J113" s="667"/>
      <c r="K113" s="1769"/>
      <c r="L113" s="1233">
        <v>23173</v>
      </c>
      <c r="M113" s="1761"/>
      <c r="N113" s="1761"/>
      <c r="O113" s="1765">
        <v>50000</v>
      </c>
      <c r="P113" s="1943"/>
      <c r="Q113" s="1739">
        <v>50000</v>
      </c>
      <c r="R113" s="1975"/>
      <c r="S113" s="1766"/>
      <c r="T113" s="1766"/>
      <c r="U113" s="1766"/>
      <c r="V113" s="1765">
        <v>700</v>
      </c>
      <c r="W113" s="1766"/>
      <c r="X113" s="1767"/>
      <c r="Y113" s="1768"/>
      <c r="Z113" s="1825"/>
      <c r="AA113" s="1825"/>
      <c r="AB113" s="1825"/>
      <c r="AC113" s="1825"/>
      <c r="AD113" s="1825"/>
      <c r="AE113" s="1825"/>
      <c r="AF113" s="1825"/>
      <c r="AG113" s="1825"/>
    </row>
    <row r="114" spans="1:33" s="1826" customFormat="1" ht="72" customHeight="1" outlineLevel="2">
      <c r="A114" s="683">
        <v>1218</v>
      </c>
      <c r="B114" s="1770" t="s">
        <v>769</v>
      </c>
      <c r="C114" s="1076" t="s">
        <v>770</v>
      </c>
      <c r="D114" s="1761"/>
      <c r="E114" s="1762">
        <f t="shared" si="19"/>
        <v>189</v>
      </c>
      <c r="F114" s="1763">
        <v>43185</v>
      </c>
      <c r="G114" s="1763">
        <v>43373</v>
      </c>
      <c r="H114" s="1764"/>
      <c r="I114" s="1762" t="s">
        <v>768</v>
      </c>
      <c r="J114" s="667"/>
      <c r="K114" s="1769"/>
      <c r="L114" s="1233">
        <v>23173</v>
      </c>
      <c r="M114" s="1761"/>
      <c r="N114" s="1761"/>
      <c r="O114" s="1765">
        <v>15000</v>
      </c>
      <c r="P114" s="1943"/>
      <c r="Q114" s="1739">
        <v>15000</v>
      </c>
      <c r="R114" s="1975"/>
      <c r="S114" s="1766"/>
      <c r="T114" s="1766"/>
      <c r="U114" s="1766"/>
      <c r="V114" s="1765">
        <v>7140</v>
      </c>
      <c r="W114" s="1766"/>
      <c r="X114" s="1767"/>
      <c r="Y114" s="1768"/>
      <c r="Z114" s="1825"/>
      <c r="AA114" s="1825"/>
      <c r="AB114" s="1825"/>
      <c r="AC114" s="1825"/>
      <c r="AD114" s="1825"/>
      <c r="AE114" s="1825"/>
      <c r="AF114" s="1825"/>
      <c r="AG114" s="1825"/>
    </row>
    <row r="115" spans="1:33" s="1826" customFormat="1" ht="39.950000000000003" customHeight="1" outlineLevel="1">
      <c r="A115" s="1912"/>
      <c r="B115" s="1913"/>
      <c r="C115" s="1914"/>
      <c r="D115" s="1915"/>
      <c r="E115" s="1916"/>
      <c r="F115" s="1917"/>
      <c r="G115" s="1917"/>
      <c r="H115" s="1918"/>
      <c r="I115" s="1916"/>
      <c r="J115" s="1919"/>
      <c r="K115" s="1920"/>
      <c r="L115" s="1921" t="s">
        <v>1053</v>
      </c>
      <c r="M115" s="1922"/>
      <c r="N115" s="1922"/>
      <c r="O115" s="1923"/>
      <c r="P115" s="1944"/>
      <c r="Q115" s="1923">
        <f>SUBTOTAL(9,Q94:Q114)</f>
        <v>87932</v>
      </c>
      <c r="R115" s="1975"/>
      <c r="S115" s="1768"/>
      <c r="T115" s="1768"/>
      <c r="U115" s="1768"/>
      <c r="V115" s="1739"/>
      <c r="W115" s="1768"/>
      <c r="X115" s="1911"/>
      <c r="Y115" s="1768"/>
      <c r="Z115" s="1825"/>
      <c r="AA115" s="1825"/>
      <c r="AB115" s="1825"/>
      <c r="AC115" s="1825"/>
      <c r="AD115" s="1825"/>
      <c r="AE115" s="1825"/>
      <c r="AF115" s="1825"/>
      <c r="AG115" s="1825"/>
    </row>
    <row r="116" spans="1:33" s="1826" customFormat="1" ht="72" customHeight="1" outlineLevel="2">
      <c r="A116" s="683">
        <v>1211</v>
      </c>
      <c r="B116" s="1760" t="s">
        <v>716</v>
      </c>
      <c r="C116" s="1076" t="s">
        <v>717</v>
      </c>
      <c r="D116" s="1761"/>
      <c r="E116" s="1762">
        <f t="shared" ref="E116:E157" si="20">+G116-F116+1</f>
        <v>12</v>
      </c>
      <c r="F116" s="1763">
        <v>43220</v>
      </c>
      <c r="G116" s="1763">
        <v>43231</v>
      </c>
      <c r="H116" s="1764" t="s">
        <v>718</v>
      </c>
      <c r="I116" s="1762" t="s">
        <v>170</v>
      </c>
      <c r="J116" s="667" t="s">
        <v>719</v>
      </c>
      <c r="K116" s="1702" t="s">
        <v>720</v>
      </c>
      <c r="L116" s="1233">
        <v>23174</v>
      </c>
      <c r="M116" s="1761"/>
      <c r="N116" s="1761"/>
      <c r="O116" s="1765">
        <v>157</v>
      </c>
      <c r="P116" s="1943">
        <v>28</v>
      </c>
      <c r="Q116" s="1739">
        <f t="shared" ref="Q116:Q157" si="21">+O116*P116</f>
        <v>4396</v>
      </c>
      <c r="R116" s="1975"/>
      <c r="S116" s="1766"/>
      <c r="T116" s="1766"/>
      <c r="U116" s="1766"/>
      <c r="V116" s="1766"/>
      <c r="W116" s="1765">
        <v>5992</v>
      </c>
      <c r="X116" s="1767"/>
      <c r="Y116" s="1768"/>
      <c r="Z116" s="1825"/>
      <c r="AA116" s="1825"/>
      <c r="AB116" s="1825"/>
      <c r="AC116" s="1825"/>
      <c r="AD116" s="1825"/>
      <c r="AE116" s="1825"/>
      <c r="AF116" s="1825"/>
      <c r="AG116" s="1825"/>
    </row>
    <row r="117" spans="1:33" s="1826" customFormat="1" ht="72" customHeight="1" outlineLevel="2">
      <c r="A117" s="683">
        <v>1211</v>
      </c>
      <c r="B117" s="1760" t="s">
        <v>716</v>
      </c>
      <c r="C117" s="1076" t="s">
        <v>717</v>
      </c>
      <c r="D117" s="1761"/>
      <c r="E117" s="1762">
        <f t="shared" si="20"/>
        <v>12</v>
      </c>
      <c r="F117" s="1763">
        <f t="shared" ref="F117:F124" si="22">+F116</f>
        <v>43220</v>
      </c>
      <c r="G117" s="1763">
        <v>43231</v>
      </c>
      <c r="H117" s="1764" t="s">
        <v>718</v>
      </c>
      <c r="I117" s="1762" t="s">
        <v>170</v>
      </c>
      <c r="J117" s="667" t="s">
        <v>719</v>
      </c>
      <c r="K117" s="1769" t="s">
        <v>721</v>
      </c>
      <c r="L117" s="1233">
        <v>23174</v>
      </c>
      <c r="M117" s="1761"/>
      <c r="N117" s="1761"/>
      <c r="O117" s="1765">
        <v>162</v>
      </c>
      <c r="P117" s="1943">
        <v>28</v>
      </c>
      <c r="Q117" s="1739">
        <f t="shared" si="21"/>
        <v>4536</v>
      </c>
      <c r="R117" s="1975"/>
      <c r="S117" s="1766"/>
      <c r="T117" s="1766"/>
      <c r="U117" s="1766"/>
      <c r="V117" s="1766"/>
      <c r="W117" s="1765">
        <v>6300</v>
      </c>
      <c r="X117" s="1767"/>
      <c r="Y117" s="1768"/>
      <c r="Z117" s="1825"/>
      <c r="AA117" s="1825"/>
      <c r="AB117" s="1825"/>
      <c r="AC117" s="1825"/>
      <c r="AD117" s="1825"/>
      <c r="AE117" s="1825"/>
      <c r="AF117" s="1825"/>
      <c r="AG117" s="1825"/>
    </row>
    <row r="118" spans="1:33" s="1826" customFormat="1" ht="72" customHeight="1" outlineLevel="2">
      <c r="A118" s="683">
        <v>1211</v>
      </c>
      <c r="B118" s="1760" t="s">
        <v>716</v>
      </c>
      <c r="C118" s="1076" t="s">
        <v>717</v>
      </c>
      <c r="D118" s="1761"/>
      <c r="E118" s="1762">
        <f t="shared" si="20"/>
        <v>12</v>
      </c>
      <c r="F118" s="1763">
        <f t="shared" si="22"/>
        <v>43220</v>
      </c>
      <c r="G118" s="1763">
        <v>43231</v>
      </c>
      <c r="H118" s="1764" t="s">
        <v>718</v>
      </c>
      <c r="I118" s="1762" t="s">
        <v>170</v>
      </c>
      <c r="J118" s="667" t="s">
        <v>719</v>
      </c>
      <c r="K118" s="1769" t="s">
        <v>722</v>
      </c>
      <c r="L118" s="1233">
        <v>23174</v>
      </c>
      <c r="M118" s="1761"/>
      <c r="N118" s="1761"/>
      <c r="O118" s="1765">
        <v>22</v>
      </c>
      <c r="P118" s="1943">
        <v>28</v>
      </c>
      <c r="Q118" s="1739">
        <f t="shared" si="21"/>
        <v>616</v>
      </c>
      <c r="R118" s="1975"/>
      <c r="S118" s="1766"/>
      <c r="T118" s="1766"/>
      <c r="U118" s="1766"/>
      <c r="V118" s="1766"/>
      <c r="W118" s="1765">
        <v>1064</v>
      </c>
      <c r="X118" s="1767"/>
      <c r="Y118" s="1768"/>
      <c r="Z118" s="1825"/>
      <c r="AA118" s="1825"/>
      <c r="AB118" s="1825"/>
      <c r="AC118" s="1825"/>
      <c r="AD118" s="1825"/>
      <c r="AE118" s="1825"/>
      <c r="AF118" s="1825"/>
      <c r="AG118" s="1825"/>
    </row>
    <row r="119" spans="1:33" s="1826" customFormat="1" ht="72" customHeight="1" outlineLevel="2">
      <c r="A119" s="683">
        <v>1211</v>
      </c>
      <c r="B119" s="1760" t="s">
        <v>716</v>
      </c>
      <c r="C119" s="1076" t="s">
        <v>717</v>
      </c>
      <c r="D119" s="1761"/>
      <c r="E119" s="1762">
        <f t="shared" si="20"/>
        <v>12</v>
      </c>
      <c r="F119" s="1763">
        <f t="shared" si="22"/>
        <v>43220</v>
      </c>
      <c r="G119" s="1763">
        <v>43231</v>
      </c>
      <c r="H119" s="1764" t="s">
        <v>718</v>
      </c>
      <c r="I119" s="1762" t="s">
        <v>170</v>
      </c>
      <c r="J119" s="667" t="s">
        <v>719</v>
      </c>
      <c r="K119" s="1769" t="s">
        <v>723</v>
      </c>
      <c r="L119" s="1233">
        <v>23174</v>
      </c>
      <c r="M119" s="1761"/>
      <c r="N119" s="1761"/>
      <c r="O119" s="1765">
        <v>281</v>
      </c>
      <c r="P119" s="1943">
        <v>4</v>
      </c>
      <c r="Q119" s="1739">
        <f t="shared" si="21"/>
        <v>1124</v>
      </c>
      <c r="R119" s="1975"/>
      <c r="S119" s="1766"/>
      <c r="T119" s="1766"/>
      <c r="U119" s="1766"/>
      <c r="V119" s="1766"/>
      <c r="W119" s="1765">
        <v>428</v>
      </c>
      <c r="X119" s="1767"/>
      <c r="Y119" s="1768"/>
      <c r="Z119" s="1825"/>
      <c r="AA119" s="1825"/>
      <c r="AB119" s="1825"/>
      <c r="AC119" s="1825"/>
      <c r="AD119" s="1825"/>
      <c r="AE119" s="1825"/>
      <c r="AF119" s="1825"/>
      <c r="AG119" s="1825"/>
    </row>
    <row r="120" spans="1:33" s="1826" customFormat="1" ht="72" customHeight="1" outlineLevel="2">
      <c r="A120" s="683">
        <f>+A119</f>
        <v>1211</v>
      </c>
      <c r="B120" s="1760" t="s">
        <v>716</v>
      </c>
      <c r="C120" s="1076" t="s">
        <v>717</v>
      </c>
      <c r="D120" s="1761"/>
      <c r="E120" s="1762">
        <f t="shared" si="20"/>
        <v>12</v>
      </c>
      <c r="F120" s="1763">
        <f t="shared" si="22"/>
        <v>43220</v>
      </c>
      <c r="G120" s="1763">
        <v>43231</v>
      </c>
      <c r="H120" s="1764" t="s">
        <v>718</v>
      </c>
      <c r="I120" s="1762" t="s">
        <v>170</v>
      </c>
      <c r="J120" s="667" t="s">
        <v>719</v>
      </c>
      <c r="K120" s="1769" t="s">
        <v>725</v>
      </c>
      <c r="L120" s="1233">
        <v>23174</v>
      </c>
      <c r="M120" s="1761"/>
      <c r="N120" s="1761"/>
      <c r="O120" s="1765">
        <v>157</v>
      </c>
      <c r="P120" s="1943">
        <v>2</v>
      </c>
      <c r="Q120" s="1739">
        <f t="shared" si="21"/>
        <v>314</v>
      </c>
      <c r="R120" s="1975"/>
      <c r="S120" s="1766"/>
      <c r="T120" s="1766"/>
      <c r="U120" s="1766"/>
      <c r="V120" s="1766"/>
      <c r="W120" s="1765">
        <v>450</v>
      </c>
      <c r="X120" s="1767"/>
      <c r="Y120" s="1768"/>
      <c r="Z120" s="1825"/>
      <c r="AA120" s="1825"/>
      <c r="AB120" s="1825"/>
      <c r="AC120" s="1825"/>
      <c r="AD120" s="1825"/>
      <c r="AE120" s="1825"/>
      <c r="AF120" s="1825"/>
      <c r="AG120" s="1825"/>
    </row>
    <row r="121" spans="1:33" s="1826" customFormat="1" ht="72" customHeight="1" outlineLevel="2">
      <c r="A121" s="683">
        <f>+A120</f>
        <v>1211</v>
      </c>
      <c r="B121" s="1760" t="s">
        <v>716</v>
      </c>
      <c r="C121" s="1076" t="s">
        <v>717</v>
      </c>
      <c r="D121" s="1761"/>
      <c r="E121" s="1762">
        <f t="shared" si="20"/>
        <v>12</v>
      </c>
      <c r="F121" s="1763">
        <f t="shared" si="22"/>
        <v>43220</v>
      </c>
      <c r="G121" s="1763">
        <v>43231</v>
      </c>
      <c r="H121" s="1764" t="s">
        <v>718</v>
      </c>
      <c r="I121" s="1762" t="s">
        <v>170</v>
      </c>
      <c r="J121" s="667" t="s">
        <v>719</v>
      </c>
      <c r="K121" s="1769" t="s">
        <v>726</v>
      </c>
      <c r="L121" s="1233">
        <v>23174</v>
      </c>
      <c r="M121" s="1761"/>
      <c r="N121" s="1761"/>
      <c r="O121" s="1765">
        <v>162</v>
      </c>
      <c r="P121" s="1943">
        <v>2</v>
      </c>
      <c r="Q121" s="1739">
        <f t="shared" si="21"/>
        <v>324</v>
      </c>
      <c r="R121" s="1975"/>
      <c r="S121" s="1766"/>
      <c r="T121" s="1766"/>
      <c r="U121" s="1766"/>
      <c r="V121" s="1766"/>
      <c r="W121" s="1765">
        <v>510</v>
      </c>
      <c r="X121" s="1767"/>
      <c r="Y121" s="1768"/>
      <c r="Z121" s="1825"/>
      <c r="AA121" s="1825"/>
      <c r="AB121" s="1825"/>
      <c r="AC121" s="1825"/>
      <c r="AD121" s="1825"/>
      <c r="AE121" s="1825"/>
      <c r="AF121" s="1825"/>
      <c r="AG121" s="1825"/>
    </row>
    <row r="122" spans="1:33" s="1826" customFormat="1" ht="72" customHeight="1" outlineLevel="2">
      <c r="A122" s="683">
        <f>+A121</f>
        <v>1211</v>
      </c>
      <c r="B122" s="1760" t="s">
        <v>716</v>
      </c>
      <c r="C122" s="1076" t="s">
        <v>717</v>
      </c>
      <c r="D122" s="1761"/>
      <c r="E122" s="1762">
        <f t="shared" si="20"/>
        <v>12</v>
      </c>
      <c r="F122" s="1763">
        <f t="shared" si="22"/>
        <v>43220</v>
      </c>
      <c r="G122" s="1763">
        <v>43231</v>
      </c>
      <c r="H122" s="1764" t="s">
        <v>718</v>
      </c>
      <c r="I122" s="1762" t="s">
        <v>170</v>
      </c>
      <c r="J122" s="667" t="s">
        <v>719</v>
      </c>
      <c r="K122" s="1769" t="s">
        <v>727</v>
      </c>
      <c r="L122" s="1233">
        <v>23174</v>
      </c>
      <c r="M122" s="1761"/>
      <c r="N122" s="1761"/>
      <c r="O122" s="1765">
        <v>131</v>
      </c>
      <c r="P122" s="1943">
        <v>2</v>
      </c>
      <c r="Q122" s="1739">
        <f t="shared" si="21"/>
        <v>262</v>
      </c>
      <c r="R122" s="1975"/>
      <c r="S122" s="1766"/>
      <c r="T122" s="1766"/>
      <c r="U122" s="1766"/>
      <c r="V122" s="1766"/>
      <c r="W122" s="1765">
        <v>356</v>
      </c>
      <c r="X122" s="1767"/>
      <c r="Y122" s="1768"/>
      <c r="Z122" s="1825"/>
      <c r="AA122" s="1825"/>
      <c r="AB122" s="1825"/>
      <c r="AC122" s="1825"/>
      <c r="AD122" s="1825"/>
      <c r="AE122" s="1825"/>
      <c r="AF122" s="1825"/>
      <c r="AG122" s="1825"/>
    </row>
    <row r="123" spans="1:33" s="1826" customFormat="1" ht="72" customHeight="1" outlineLevel="2">
      <c r="A123" s="683">
        <f>+A122</f>
        <v>1211</v>
      </c>
      <c r="B123" s="1760" t="s">
        <v>716</v>
      </c>
      <c r="C123" s="1076" t="s">
        <v>717</v>
      </c>
      <c r="D123" s="1761"/>
      <c r="E123" s="1762">
        <f t="shared" si="20"/>
        <v>12</v>
      </c>
      <c r="F123" s="1763">
        <f t="shared" si="22"/>
        <v>43220</v>
      </c>
      <c r="G123" s="1763">
        <v>43231</v>
      </c>
      <c r="H123" s="1764" t="s">
        <v>718</v>
      </c>
      <c r="I123" s="1762" t="s">
        <v>170</v>
      </c>
      <c r="J123" s="667" t="s">
        <v>719</v>
      </c>
      <c r="K123" s="1769" t="s">
        <v>728</v>
      </c>
      <c r="L123" s="1233">
        <v>23174</v>
      </c>
      <c r="M123" s="1761"/>
      <c r="N123" s="1761"/>
      <c r="O123" s="1765">
        <v>81</v>
      </c>
      <c r="P123" s="1943">
        <v>2</v>
      </c>
      <c r="Q123" s="1739">
        <f t="shared" si="21"/>
        <v>162</v>
      </c>
      <c r="R123" s="1975"/>
      <c r="S123" s="1766"/>
      <c r="T123" s="1766"/>
      <c r="U123" s="1766"/>
      <c r="V123" s="1766"/>
      <c r="W123" s="1765">
        <v>224</v>
      </c>
      <c r="X123" s="1767"/>
      <c r="Y123" s="1768"/>
      <c r="Z123" s="1825"/>
      <c r="AA123" s="1825"/>
      <c r="AB123" s="1825"/>
      <c r="AC123" s="1825"/>
      <c r="AD123" s="1825"/>
      <c r="AE123" s="1825"/>
      <c r="AF123" s="1825"/>
      <c r="AG123" s="1825"/>
    </row>
    <row r="124" spans="1:33" s="1826" customFormat="1" ht="72" customHeight="1" outlineLevel="2">
      <c r="A124" s="683">
        <f>+A122</f>
        <v>1211</v>
      </c>
      <c r="B124" s="1760" t="s">
        <v>716</v>
      </c>
      <c r="C124" s="1076" t="s">
        <v>717</v>
      </c>
      <c r="D124" s="1761"/>
      <c r="E124" s="1762">
        <f t="shared" si="20"/>
        <v>12</v>
      </c>
      <c r="F124" s="1763">
        <f t="shared" si="22"/>
        <v>43220</v>
      </c>
      <c r="G124" s="1763">
        <v>43231</v>
      </c>
      <c r="H124" s="1764" t="s">
        <v>718</v>
      </c>
      <c r="I124" s="1762" t="s">
        <v>170</v>
      </c>
      <c r="J124" s="667" t="s">
        <v>719</v>
      </c>
      <c r="K124" s="1769" t="s">
        <v>729</v>
      </c>
      <c r="L124" s="1233">
        <v>23174</v>
      </c>
      <c r="M124" s="1761"/>
      <c r="N124" s="1761"/>
      <c r="O124" s="1765">
        <v>74</v>
      </c>
      <c r="P124" s="1943">
        <v>2</v>
      </c>
      <c r="Q124" s="1739">
        <f t="shared" si="21"/>
        <v>148</v>
      </c>
      <c r="R124" s="1975"/>
      <c r="S124" s="1766"/>
      <c r="T124" s="1766"/>
      <c r="U124" s="1766"/>
      <c r="V124" s="1766"/>
      <c r="W124" s="1765">
        <v>420</v>
      </c>
      <c r="X124" s="1767"/>
      <c r="Y124" s="1768"/>
      <c r="Z124" s="1825"/>
      <c r="AA124" s="1825"/>
      <c r="AB124" s="1825"/>
      <c r="AC124" s="1825"/>
      <c r="AD124" s="1825"/>
      <c r="AE124" s="1825"/>
      <c r="AF124" s="1825"/>
      <c r="AG124" s="1825"/>
    </row>
    <row r="125" spans="1:33" s="1826" customFormat="1" ht="63.75" customHeight="1" outlineLevel="2">
      <c r="A125" s="683">
        <v>1212</v>
      </c>
      <c r="B125" s="1770" t="s">
        <v>730</v>
      </c>
      <c r="C125" s="1076" t="s">
        <v>731</v>
      </c>
      <c r="D125" s="1761"/>
      <c r="E125" s="1762">
        <f t="shared" si="20"/>
        <v>5</v>
      </c>
      <c r="F125" s="1763">
        <v>43248</v>
      </c>
      <c r="G125" s="1763">
        <f t="shared" ref="G125:G132" si="23">+F125+5-1</f>
        <v>43252</v>
      </c>
      <c r="H125" s="1764" t="s">
        <v>732</v>
      </c>
      <c r="I125" s="1762" t="s">
        <v>170</v>
      </c>
      <c r="J125" s="667" t="s">
        <v>719</v>
      </c>
      <c r="K125" s="1769" t="s">
        <v>733</v>
      </c>
      <c r="L125" s="1231">
        <v>23174</v>
      </c>
      <c r="M125" s="1761"/>
      <c r="N125" s="1761"/>
      <c r="O125" s="1765">
        <v>101</v>
      </c>
      <c r="P125" s="1943">
        <v>49</v>
      </c>
      <c r="Q125" s="1739">
        <f t="shared" si="21"/>
        <v>4949</v>
      </c>
      <c r="R125" s="1975"/>
      <c r="S125" s="1766"/>
      <c r="T125" s="1766"/>
      <c r="U125" s="1766"/>
      <c r="V125" s="1766"/>
      <c r="W125" s="1765">
        <v>2340</v>
      </c>
      <c r="X125" s="1767"/>
      <c r="Y125" s="1768"/>
      <c r="Z125" s="1825"/>
      <c r="AA125" s="1825"/>
      <c r="AB125" s="1825"/>
      <c r="AC125" s="1825"/>
      <c r="AD125" s="1825"/>
      <c r="AE125" s="1825"/>
      <c r="AF125" s="1825"/>
      <c r="AG125" s="1825"/>
    </row>
    <row r="126" spans="1:33" s="1826" customFormat="1" ht="63.75" customHeight="1" outlineLevel="2">
      <c r="A126" s="683">
        <f>+A125</f>
        <v>1212</v>
      </c>
      <c r="B126" s="1770" t="s">
        <v>730</v>
      </c>
      <c r="C126" s="1076" t="s">
        <v>731</v>
      </c>
      <c r="D126" s="1761"/>
      <c r="E126" s="1762">
        <f t="shared" si="20"/>
        <v>5</v>
      </c>
      <c r="F126" s="1763">
        <v>43248</v>
      </c>
      <c r="G126" s="1763">
        <f t="shared" si="23"/>
        <v>43252</v>
      </c>
      <c r="H126" s="1764" t="s">
        <v>732</v>
      </c>
      <c r="I126" s="1762" t="s">
        <v>170</v>
      </c>
      <c r="J126" s="667" t="s">
        <v>719</v>
      </c>
      <c r="K126" s="1771" t="s">
        <v>721</v>
      </c>
      <c r="L126" s="1233">
        <v>23174</v>
      </c>
      <c r="M126" s="1761"/>
      <c r="N126" s="1761"/>
      <c r="O126" s="1765">
        <v>100</v>
      </c>
      <c r="P126" s="1943">
        <v>49</v>
      </c>
      <c r="Q126" s="1739">
        <f t="shared" si="21"/>
        <v>4900</v>
      </c>
      <c r="R126" s="1975"/>
      <c r="S126" s="1766"/>
      <c r="T126" s="1766"/>
      <c r="U126" s="1766"/>
      <c r="V126" s="1766"/>
      <c r="W126" s="1765">
        <v>562</v>
      </c>
      <c r="X126" s="1767"/>
      <c r="Y126" s="1768"/>
      <c r="Z126" s="1825"/>
      <c r="AA126" s="1825"/>
      <c r="AB126" s="1825"/>
      <c r="AC126" s="1825"/>
      <c r="AD126" s="1825"/>
      <c r="AE126" s="1825"/>
      <c r="AF126" s="1825"/>
      <c r="AG126" s="1825"/>
    </row>
    <row r="127" spans="1:33" s="1826" customFormat="1" ht="63.75" customHeight="1" outlineLevel="2">
      <c r="A127" s="683">
        <f>+A126</f>
        <v>1212</v>
      </c>
      <c r="B127" s="1770" t="s">
        <v>730</v>
      </c>
      <c r="C127" s="1076" t="s">
        <v>731</v>
      </c>
      <c r="D127" s="1761"/>
      <c r="E127" s="1762">
        <f t="shared" si="20"/>
        <v>5</v>
      </c>
      <c r="F127" s="1763">
        <v>43248</v>
      </c>
      <c r="G127" s="1763">
        <f t="shared" si="23"/>
        <v>43252</v>
      </c>
      <c r="H127" s="1764" t="s">
        <v>732</v>
      </c>
      <c r="I127" s="1762" t="s">
        <v>170</v>
      </c>
      <c r="J127" s="667" t="s">
        <v>719</v>
      </c>
      <c r="K127" s="1738" t="s">
        <v>735</v>
      </c>
      <c r="L127" s="1233">
        <v>23174</v>
      </c>
      <c r="M127" s="1761"/>
      <c r="N127" s="1761"/>
      <c r="O127" s="1765">
        <v>510</v>
      </c>
      <c r="P127" s="1943">
        <v>7</v>
      </c>
      <c r="Q127" s="1739">
        <f t="shared" si="21"/>
        <v>3570</v>
      </c>
      <c r="R127" s="1975"/>
      <c r="S127" s="1766"/>
      <c r="T127" s="1766"/>
      <c r="U127" s="1766"/>
      <c r="V127" s="1766"/>
      <c r="W127" s="1765">
        <v>60</v>
      </c>
      <c r="X127" s="1767"/>
      <c r="Y127" s="1768"/>
      <c r="Z127" s="1825"/>
      <c r="AA127" s="1825"/>
      <c r="AB127" s="1825"/>
      <c r="AC127" s="1825"/>
      <c r="AD127" s="1825"/>
      <c r="AE127" s="1825"/>
      <c r="AF127" s="1825"/>
      <c r="AG127" s="1825"/>
    </row>
    <row r="128" spans="1:33" s="1826" customFormat="1" ht="58.5" customHeight="1" outlineLevel="2">
      <c r="A128" s="683">
        <f>+A126</f>
        <v>1212</v>
      </c>
      <c r="B128" s="1772" t="s">
        <v>730</v>
      </c>
      <c r="C128" s="1076" t="s">
        <v>731</v>
      </c>
      <c r="D128" s="1761"/>
      <c r="E128" s="1762">
        <f t="shared" si="20"/>
        <v>5</v>
      </c>
      <c r="F128" s="1763">
        <v>43248</v>
      </c>
      <c r="G128" s="1763">
        <f t="shared" si="23"/>
        <v>43252</v>
      </c>
      <c r="H128" s="1764" t="s">
        <v>732</v>
      </c>
      <c r="I128" s="1762" t="s">
        <v>170</v>
      </c>
      <c r="J128" s="667" t="s">
        <v>719</v>
      </c>
      <c r="K128" s="1738" t="s">
        <v>725</v>
      </c>
      <c r="L128" s="1233">
        <v>23174</v>
      </c>
      <c r="M128" s="1761"/>
      <c r="N128" s="1761"/>
      <c r="O128" s="1765">
        <v>101</v>
      </c>
      <c r="P128" s="1943">
        <v>14</v>
      </c>
      <c r="Q128" s="1739">
        <f t="shared" si="21"/>
        <v>1414</v>
      </c>
      <c r="R128" s="1975"/>
      <c r="S128" s="1766"/>
      <c r="T128" s="1766"/>
      <c r="U128" s="1766"/>
      <c r="V128" s="1766"/>
      <c r="W128" s="1765">
        <v>1920</v>
      </c>
      <c r="X128" s="1767"/>
      <c r="Y128" s="1768"/>
      <c r="Z128" s="1825"/>
      <c r="AA128" s="1825"/>
      <c r="AB128" s="1825"/>
      <c r="AC128" s="1825"/>
      <c r="AD128" s="1825"/>
      <c r="AE128" s="1825"/>
      <c r="AF128" s="1825"/>
      <c r="AG128" s="1825"/>
    </row>
    <row r="129" spans="1:33" s="1826" customFormat="1" ht="58.5" customHeight="1" outlineLevel="2">
      <c r="A129" s="683">
        <f>+A128</f>
        <v>1212</v>
      </c>
      <c r="B129" s="1772" t="s">
        <v>730</v>
      </c>
      <c r="C129" s="1076" t="s">
        <v>731</v>
      </c>
      <c r="D129" s="1761"/>
      <c r="E129" s="1762">
        <f t="shared" si="20"/>
        <v>5</v>
      </c>
      <c r="F129" s="1763">
        <v>43248</v>
      </c>
      <c r="G129" s="1763">
        <f t="shared" si="23"/>
        <v>43252</v>
      </c>
      <c r="H129" s="1764" t="s">
        <v>732</v>
      </c>
      <c r="I129" s="1762" t="s">
        <v>170</v>
      </c>
      <c r="J129" s="667" t="s">
        <v>719</v>
      </c>
      <c r="K129" s="1773" t="s">
        <v>726</v>
      </c>
      <c r="L129" s="1233">
        <v>23174</v>
      </c>
      <c r="M129" s="1761"/>
      <c r="N129" s="1761"/>
      <c r="O129" s="1765">
        <v>100</v>
      </c>
      <c r="P129" s="1943">
        <v>14</v>
      </c>
      <c r="Q129" s="1739">
        <f t="shared" si="21"/>
        <v>1400</v>
      </c>
      <c r="R129" s="1975"/>
      <c r="S129" s="1766"/>
      <c r="T129" s="1766"/>
      <c r="U129" s="1766"/>
      <c r="V129" s="1766"/>
      <c r="W129" s="1765">
        <v>200</v>
      </c>
      <c r="X129" s="1767"/>
      <c r="Y129" s="1768"/>
      <c r="Z129" s="1825"/>
      <c r="AA129" s="1825"/>
      <c r="AB129" s="1825"/>
      <c r="AC129" s="1825"/>
      <c r="AD129" s="1825"/>
      <c r="AE129" s="1825"/>
      <c r="AF129" s="1825"/>
      <c r="AG129" s="1825"/>
    </row>
    <row r="130" spans="1:33" s="1826" customFormat="1" ht="58.5" customHeight="1" outlineLevel="2">
      <c r="A130" s="683">
        <f>+A129</f>
        <v>1212</v>
      </c>
      <c r="B130" s="1772" t="s">
        <v>730</v>
      </c>
      <c r="C130" s="1076" t="s">
        <v>731</v>
      </c>
      <c r="D130" s="1761"/>
      <c r="E130" s="1762">
        <f t="shared" si="20"/>
        <v>5</v>
      </c>
      <c r="F130" s="1763">
        <v>43248</v>
      </c>
      <c r="G130" s="1763">
        <f t="shared" si="23"/>
        <v>43252</v>
      </c>
      <c r="H130" s="1764" t="s">
        <v>732</v>
      </c>
      <c r="I130" s="1762" t="s">
        <v>170</v>
      </c>
      <c r="J130" s="667" t="s">
        <v>719</v>
      </c>
      <c r="K130" s="1769" t="s">
        <v>727</v>
      </c>
      <c r="L130" s="1231">
        <v>23174</v>
      </c>
      <c r="M130" s="1761"/>
      <c r="N130" s="1761"/>
      <c r="O130" s="1765">
        <v>84</v>
      </c>
      <c r="P130" s="1943">
        <v>14</v>
      </c>
      <c r="Q130" s="1739">
        <f t="shared" si="21"/>
        <v>1176</v>
      </c>
      <c r="R130" s="1975"/>
      <c r="S130" s="1766"/>
      <c r="T130" s="1766"/>
      <c r="U130" s="1766"/>
      <c r="V130" s="1766"/>
      <c r="W130" s="1765">
        <v>936</v>
      </c>
      <c r="X130" s="1767"/>
      <c r="Y130" s="1768"/>
      <c r="Z130" s="1825"/>
      <c r="AA130" s="1825"/>
      <c r="AB130" s="1825"/>
      <c r="AC130" s="1825"/>
      <c r="AD130" s="1825"/>
      <c r="AE130" s="1825"/>
      <c r="AF130" s="1825"/>
      <c r="AG130" s="1825"/>
    </row>
    <row r="131" spans="1:33" s="1826" customFormat="1" ht="75.75" customHeight="1" outlineLevel="2">
      <c r="A131" s="683">
        <f>+A130</f>
        <v>1212</v>
      </c>
      <c r="B131" s="1772" t="s">
        <v>730</v>
      </c>
      <c r="C131" s="1076" t="s">
        <v>731</v>
      </c>
      <c r="D131" s="1761"/>
      <c r="E131" s="1762">
        <f t="shared" si="20"/>
        <v>5</v>
      </c>
      <c r="F131" s="1763">
        <v>43248</v>
      </c>
      <c r="G131" s="1763">
        <f t="shared" si="23"/>
        <v>43252</v>
      </c>
      <c r="H131" s="1764" t="s">
        <v>732</v>
      </c>
      <c r="I131" s="1762" t="s">
        <v>170</v>
      </c>
      <c r="J131" s="667" t="s">
        <v>719</v>
      </c>
      <c r="K131" s="1773" t="s">
        <v>736</v>
      </c>
      <c r="L131" s="1233">
        <v>23174</v>
      </c>
      <c r="M131" s="1761"/>
      <c r="N131" s="1761"/>
      <c r="O131" s="1765">
        <v>50</v>
      </c>
      <c r="P131" s="1943">
        <v>14</v>
      </c>
      <c r="Q131" s="1739">
        <f t="shared" si="21"/>
        <v>700</v>
      </c>
      <c r="R131" s="1975"/>
      <c r="S131" s="1766"/>
      <c r="T131" s="1766"/>
      <c r="U131" s="1766"/>
      <c r="V131" s="1766"/>
      <c r="W131" s="1766"/>
      <c r="X131" s="1774">
        <v>1742</v>
      </c>
      <c r="Y131" s="1768"/>
      <c r="Z131" s="1825"/>
      <c r="AA131" s="1825"/>
      <c r="AB131" s="1825"/>
      <c r="AC131" s="1825"/>
      <c r="AD131" s="1825"/>
      <c r="AE131" s="1825"/>
      <c r="AF131" s="1825"/>
      <c r="AG131" s="1825"/>
    </row>
    <row r="132" spans="1:33" s="1826" customFormat="1" ht="75.75" customHeight="1" outlineLevel="2">
      <c r="A132" s="683">
        <f>+A131</f>
        <v>1212</v>
      </c>
      <c r="B132" s="1772" t="s">
        <v>730</v>
      </c>
      <c r="C132" s="1076" t="s">
        <v>731</v>
      </c>
      <c r="D132" s="1761"/>
      <c r="E132" s="1762">
        <f t="shared" si="20"/>
        <v>5</v>
      </c>
      <c r="F132" s="1763">
        <v>43248</v>
      </c>
      <c r="G132" s="1763">
        <f t="shared" si="23"/>
        <v>43252</v>
      </c>
      <c r="H132" s="1764" t="s">
        <v>732</v>
      </c>
      <c r="I132" s="1762" t="s">
        <v>170</v>
      </c>
      <c r="J132" s="667" t="s">
        <v>719</v>
      </c>
      <c r="K132" s="1769" t="s">
        <v>737</v>
      </c>
      <c r="L132" s="1233">
        <v>23174</v>
      </c>
      <c r="M132" s="1761"/>
      <c r="N132" s="1761"/>
      <c r="O132" s="1765">
        <v>510</v>
      </c>
      <c r="P132" s="1943">
        <v>14</v>
      </c>
      <c r="Q132" s="1739">
        <f t="shared" si="21"/>
        <v>7140</v>
      </c>
      <c r="R132" s="1975"/>
      <c r="S132" s="1766"/>
      <c r="T132" s="1766"/>
      <c r="U132" s="1766"/>
      <c r="V132" s="1766"/>
      <c r="W132" s="1766"/>
      <c r="X132" s="1774">
        <v>1638</v>
      </c>
      <c r="Y132" s="1768"/>
      <c r="Z132" s="1825"/>
      <c r="AA132" s="1825"/>
      <c r="AB132" s="1825"/>
      <c r="AC132" s="1825"/>
      <c r="AD132" s="1825"/>
      <c r="AE132" s="1825"/>
      <c r="AF132" s="1825"/>
      <c r="AG132" s="1825"/>
    </row>
    <row r="133" spans="1:33" s="1826" customFormat="1" ht="75.75" customHeight="1" outlineLevel="2">
      <c r="A133" s="683">
        <v>1213</v>
      </c>
      <c r="B133" s="1772" t="s">
        <v>738</v>
      </c>
      <c r="C133" s="1076" t="s">
        <v>739</v>
      </c>
      <c r="D133" s="1761"/>
      <c r="E133" s="1762">
        <f t="shared" si="20"/>
        <v>26</v>
      </c>
      <c r="F133" s="1763">
        <v>43262</v>
      </c>
      <c r="G133" s="1763">
        <v>43287</v>
      </c>
      <c r="H133" s="1764"/>
      <c r="I133" s="1762" t="s">
        <v>170</v>
      </c>
      <c r="J133" s="667" t="s">
        <v>719</v>
      </c>
      <c r="K133" s="1769" t="s">
        <v>740</v>
      </c>
      <c r="L133" s="1233">
        <v>23174</v>
      </c>
      <c r="M133" s="1761"/>
      <c r="N133" s="1761"/>
      <c r="O133" s="1765">
        <v>214</v>
      </c>
      <c r="P133" s="1943">
        <v>28</v>
      </c>
      <c r="Q133" s="1739">
        <f t="shared" si="21"/>
        <v>5992</v>
      </c>
      <c r="R133" s="1975"/>
      <c r="S133" s="1766"/>
      <c r="T133" s="1766"/>
      <c r="U133" s="1766"/>
      <c r="V133" s="1766"/>
      <c r="W133" s="1766"/>
      <c r="X133" s="1774">
        <v>988</v>
      </c>
      <c r="Y133" s="1768"/>
      <c r="Z133" s="1825"/>
      <c r="AA133" s="1825"/>
      <c r="AB133" s="1825"/>
      <c r="AC133" s="1825"/>
      <c r="AD133" s="1825"/>
      <c r="AE133" s="1825"/>
      <c r="AF133" s="1825"/>
      <c r="AG133" s="1825"/>
    </row>
    <row r="134" spans="1:33" s="1826" customFormat="1" ht="75.75" customHeight="1" outlineLevel="2">
      <c r="A134" s="683">
        <v>1213</v>
      </c>
      <c r="B134" s="1772" t="s">
        <v>738</v>
      </c>
      <c r="C134" s="1076" t="s">
        <v>739</v>
      </c>
      <c r="D134" s="1761"/>
      <c r="E134" s="1762">
        <f t="shared" si="20"/>
        <v>26</v>
      </c>
      <c r="F134" s="1763">
        <v>43262</v>
      </c>
      <c r="G134" s="1763">
        <v>43287</v>
      </c>
      <c r="H134" s="1764"/>
      <c r="I134" s="1762" t="s">
        <v>170</v>
      </c>
      <c r="J134" s="667" t="s">
        <v>719</v>
      </c>
      <c r="K134" s="1769" t="s">
        <v>741</v>
      </c>
      <c r="L134" s="1233">
        <v>23174</v>
      </c>
      <c r="M134" s="1761"/>
      <c r="N134" s="1761"/>
      <c r="O134" s="1765">
        <v>225</v>
      </c>
      <c r="P134" s="1943">
        <v>28</v>
      </c>
      <c r="Q134" s="1739">
        <f t="shared" si="21"/>
        <v>6300</v>
      </c>
      <c r="R134" s="1975"/>
      <c r="S134" s="1766"/>
      <c r="T134" s="1766"/>
      <c r="U134" s="1766"/>
      <c r="V134" s="1766"/>
      <c r="W134" s="1766"/>
      <c r="X134" s="1774">
        <v>134</v>
      </c>
      <c r="Y134" s="1768"/>
      <c r="Z134" s="1825"/>
      <c r="AA134" s="1825"/>
      <c r="AB134" s="1825"/>
      <c r="AC134" s="1825"/>
      <c r="AD134" s="1825"/>
      <c r="AE134" s="1825"/>
      <c r="AF134" s="1825"/>
      <c r="AG134" s="1825"/>
    </row>
    <row r="135" spans="1:33" s="1826" customFormat="1" ht="75.75" customHeight="1" outlineLevel="2">
      <c r="A135" s="683">
        <v>1213</v>
      </c>
      <c r="B135" s="1772" t="s">
        <v>738</v>
      </c>
      <c r="C135" s="1076" t="s">
        <v>739</v>
      </c>
      <c r="D135" s="1761"/>
      <c r="E135" s="1762">
        <f t="shared" si="20"/>
        <v>26</v>
      </c>
      <c r="F135" s="1763">
        <v>43262</v>
      </c>
      <c r="G135" s="1763">
        <v>43287</v>
      </c>
      <c r="H135" s="1764"/>
      <c r="I135" s="1762" t="s">
        <v>170</v>
      </c>
      <c r="J135" s="667" t="s">
        <v>719</v>
      </c>
      <c r="K135" s="1769" t="s">
        <v>742</v>
      </c>
      <c r="L135" s="1233">
        <v>23174</v>
      </c>
      <c r="M135" s="1761"/>
      <c r="N135" s="1761"/>
      <c r="O135" s="1765">
        <v>38</v>
      </c>
      <c r="P135" s="1943">
        <v>28</v>
      </c>
      <c r="Q135" s="1739">
        <f t="shared" si="21"/>
        <v>1064</v>
      </c>
      <c r="R135" s="1975"/>
      <c r="S135" s="1766"/>
      <c r="T135" s="1766"/>
      <c r="U135" s="1766"/>
      <c r="V135" s="1766"/>
      <c r="W135" s="1766"/>
      <c r="X135" s="1774">
        <v>126</v>
      </c>
      <c r="Y135" s="1768"/>
      <c r="Z135" s="1825"/>
      <c r="AA135" s="1825"/>
      <c r="AB135" s="1825"/>
      <c r="AC135" s="1825"/>
      <c r="AD135" s="1825"/>
      <c r="AE135" s="1825"/>
      <c r="AF135" s="1825"/>
      <c r="AG135" s="1825"/>
    </row>
    <row r="136" spans="1:33" s="1826" customFormat="1" ht="75.75" customHeight="1" outlineLevel="2">
      <c r="A136" s="683">
        <v>1213</v>
      </c>
      <c r="B136" s="1772" t="s">
        <v>738</v>
      </c>
      <c r="C136" s="1076" t="s">
        <v>739</v>
      </c>
      <c r="D136" s="1761"/>
      <c r="E136" s="1762">
        <f t="shared" si="20"/>
        <v>26</v>
      </c>
      <c r="F136" s="1763">
        <v>43262</v>
      </c>
      <c r="G136" s="1763">
        <v>43287</v>
      </c>
      <c r="H136" s="1764"/>
      <c r="I136" s="1762" t="s">
        <v>170</v>
      </c>
      <c r="J136" s="667" t="s">
        <v>719</v>
      </c>
      <c r="K136" s="1769" t="s">
        <v>743</v>
      </c>
      <c r="L136" s="1233">
        <v>23174</v>
      </c>
      <c r="M136" s="1761"/>
      <c r="N136" s="1761"/>
      <c r="O136" s="1765">
        <v>214</v>
      </c>
      <c r="P136" s="1943">
        <v>2</v>
      </c>
      <c r="Q136" s="1739">
        <f t="shared" si="21"/>
        <v>428</v>
      </c>
      <c r="R136" s="1975"/>
      <c r="S136" s="1766"/>
      <c r="T136" s="1766"/>
      <c r="U136" s="1766"/>
      <c r="V136" s="1766"/>
      <c r="W136" s="1766"/>
      <c r="X136" s="1774">
        <v>510</v>
      </c>
      <c r="Y136" s="1768"/>
      <c r="Z136" s="1825"/>
      <c r="AA136" s="1825"/>
      <c r="AB136" s="1825"/>
      <c r="AC136" s="1825"/>
      <c r="AD136" s="1825"/>
      <c r="AE136" s="1825"/>
      <c r="AF136" s="1825"/>
      <c r="AG136" s="1825"/>
    </row>
    <row r="137" spans="1:33" s="1826" customFormat="1" ht="75.75" customHeight="1" outlineLevel="2">
      <c r="A137" s="683">
        <v>1213</v>
      </c>
      <c r="B137" s="1772" t="s">
        <v>738</v>
      </c>
      <c r="C137" s="1076" t="s">
        <v>739</v>
      </c>
      <c r="D137" s="1761"/>
      <c r="E137" s="1762">
        <f t="shared" si="20"/>
        <v>26</v>
      </c>
      <c r="F137" s="1763">
        <v>43262</v>
      </c>
      <c r="G137" s="1763">
        <v>43287</v>
      </c>
      <c r="H137" s="1764"/>
      <c r="I137" s="1762" t="s">
        <v>170</v>
      </c>
      <c r="J137" s="667" t="s">
        <v>719</v>
      </c>
      <c r="K137" s="1769" t="s">
        <v>744</v>
      </c>
      <c r="L137" s="1233">
        <v>23174</v>
      </c>
      <c r="M137" s="1761"/>
      <c r="N137" s="1761"/>
      <c r="O137" s="1765">
        <v>225</v>
      </c>
      <c r="P137" s="1943">
        <v>2</v>
      </c>
      <c r="Q137" s="1739">
        <f t="shared" si="21"/>
        <v>450</v>
      </c>
      <c r="R137" s="1975"/>
      <c r="S137" s="1766"/>
      <c r="T137" s="1766"/>
      <c r="U137" s="1766"/>
      <c r="V137" s="1766"/>
      <c r="W137" s="1766"/>
      <c r="X137" s="1774">
        <v>130</v>
      </c>
      <c r="Y137" s="1768"/>
      <c r="Z137" s="1825"/>
      <c r="AA137" s="1825"/>
      <c r="AB137" s="1825"/>
      <c r="AC137" s="1825"/>
      <c r="AD137" s="1825"/>
      <c r="AE137" s="1825"/>
      <c r="AF137" s="1825"/>
      <c r="AG137" s="1825"/>
    </row>
    <row r="138" spans="1:33" s="1826" customFormat="1" ht="75.75" customHeight="1" outlineLevel="2">
      <c r="A138" s="683">
        <v>1213</v>
      </c>
      <c r="B138" s="1772" t="s">
        <v>738</v>
      </c>
      <c r="C138" s="1076" t="s">
        <v>739</v>
      </c>
      <c r="D138" s="1761"/>
      <c r="E138" s="1762">
        <f t="shared" si="20"/>
        <v>26</v>
      </c>
      <c r="F138" s="1763">
        <v>43262</v>
      </c>
      <c r="G138" s="1763">
        <v>43287</v>
      </c>
      <c r="H138" s="1764"/>
      <c r="I138" s="1762" t="s">
        <v>170</v>
      </c>
      <c r="J138" s="667" t="s">
        <v>719</v>
      </c>
      <c r="K138" s="1769" t="s">
        <v>745</v>
      </c>
      <c r="L138" s="1231">
        <v>23174</v>
      </c>
      <c r="M138" s="1761"/>
      <c r="N138" s="1761"/>
      <c r="O138" s="1765">
        <v>255</v>
      </c>
      <c r="P138" s="1943">
        <v>2</v>
      </c>
      <c r="Q138" s="1739">
        <f t="shared" si="21"/>
        <v>510</v>
      </c>
      <c r="R138" s="1975"/>
      <c r="S138" s="1766"/>
      <c r="T138" s="1766"/>
      <c r="U138" s="1766"/>
      <c r="V138" s="1766"/>
      <c r="W138" s="1766"/>
      <c r="X138" s="1774">
        <v>936</v>
      </c>
      <c r="Y138" s="1768"/>
      <c r="Z138" s="1825"/>
      <c r="AA138" s="1825"/>
      <c r="AB138" s="1825"/>
      <c r="AC138" s="1825"/>
      <c r="AD138" s="1825"/>
      <c r="AE138" s="1825"/>
      <c r="AF138" s="1825"/>
      <c r="AG138" s="1825"/>
    </row>
    <row r="139" spans="1:33" s="1826" customFormat="1" ht="75.75" customHeight="1" outlineLevel="2">
      <c r="A139" s="683">
        <v>1213</v>
      </c>
      <c r="B139" s="1772" t="s">
        <v>738</v>
      </c>
      <c r="C139" s="1076" t="s">
        <v>739</v>
      </c>
      <c r="D139" s="1761"/>
      <c r="E139" s="1762">
        <f t="shared" si="20"/>
        <v>26</v>
      </c>
      <c r="F139" s="1763">
        <v>43262</v>
      </c>
      <c r="G139" s="1763">
        <v>43287</v>
      </c>
      <c r="H139" s="1764"/>
      <c r="I139" s="1762" t="s">
        <v>170</v>
      </c>
      <c r="J139" s="667" t="s">
        <v>719</v>
      </c>
      <c r="K139" s="1769" t="s">
        <v>727</v>
      </c>
      <c r="L139" s="1233">
        <v>23174</v>
      </c>
      <c r="M139" s="1761"/>
      <c r="N139" s="1761"/>
      <c r="O139" s="1765">
        <v>178</v>
      </c>
      <c r="P139" s="1943">
        <v>2</v>
      </c>
      <c r="Q139" s="1739">
        <f t="shared" si="21"/>
        <v>356</v>
      </c>
      <c r="R139" s="1975"/>
      <c r="S139" s="1766"/>
      <c r="T139" s="1766"/>
      <c r="U139" s="1766"/>
      <c r="V139" s="1766"/>
      <c r="W139" s="1766"/>
      <c r="X139" s="1774">
        <v>338</v>
      </c>
      <c r="Y139" s="1768"/>
      <c r="Z139" s="1825"/>
      <c r="AA139" s="1825"/>
      <c r="AB139" s="1825"/>
      <c r="AC139" s="1825"/>
      <c r="AD139" s="1825"/>
      <c r="AE139" s="1825"/>
      <c r="AF139" s="1825"/>
      <c r="AG139" s="1825"/>
    </row>
    <row r="140" spans="1:33" s="1826" customFormat="1" ht="75.75" customHeight="1" outlineLevel="2">
      <c r="A140" s="683">
        <v>1213</v>
      </c>
      <c r="B140" s="1772" t="s">
        <v>738</v>
      </c>
      <c r="C140" s="1076" t="s">
        <v>739</v>
      </c>
      <c r="D140" s="1761"/>
      <c r="E140" s="1762">
        <f t="shared" si="20"/>
        <v>26</v>
      </c>
      <c r="F140" s="1763">
        <v>43262</v>
      </c>
      <c r="G140" s="1763">
        <v>43287</v>
      </c>
      <c r="H140" s="1764"/>
      <c r="I140" s="1762" t="s">
        <v>170</v>
      </c>
      <c r="J140" s="667" t="s">
        <v>719</v>
      </c>
      <c r="K140" s="1769" t="s">
        <v>736</v>
      </c>
      <c r="L140" s="1233">
        <v>23174</v>
      </c>
      <c r="M140" s="1761"/>
      <c r="N140" s="1761"/>
      <c r="O140" s="1765">
        <v>112</v>
      </c>
      <c r="P140" s="1943">
        <v>2</v>
      </c>
      <c r="Q140" s="1739">
        <f t="shared" si="21"/>
        <v>224</v>
      </c>
      <c r="R140" s="1975"/>
      <c r="S140" s="1766"/>
      <c r="T140" s="1766"/>
      <c r="U140" s="1766"/>
      <c r="V140" s="1766"/>
      <c r="W140" s="1766"/>
      <c r="X140" s="1774">
        <v>600</v>
      </c>
      <c r="Y140" s="1768"/>
      <c r="Z140" s="1825"/>
      <c r="AA140" s="1825"/>
      <c r="AB140" s="1825"/>
      <c r="AC140" s="1825"/>
      <c r="AD140" s="1825"/>
      <c r="AE140" s="1825"/>
      <c r="AF140" s="1825"/>
      <c r="AG140" s="1825"/>
    </row>
    <row r="141" spans="1:33" s="1826" customFormat="1" ht="75.75" customHeight="1" outlineLevel="2">
      <c r="A141" s="683">
        <v>1213</v>
      </c>
      <c r="B141" s="1770" t="s">
        <v>738</v>
      </c>
      <c r="C141" s="1076" t="s">
        <v>739</v>
      </c>
      <c r="D141" s="1761"/>
      <c r="E141" s="1762">
        <f t="shared" si="20"/>
        <v>26</v>
      </c>
      <c r="F141" s="1763">
        <v>43262</v>
      </c>
      <c r="G141" s="1763">
        <v>43287</v>
      </c>
      <c r="H141" s="1764"/>
      <c r="I141" s="1762" t="s">
        <v>170</v>
      </c>
      <c r="J141" s="667" t="s">
        <v>719</v>
      </c>
      <c r="K141" s="1769" t="s">
        <v>723</v>
      </c>
      <c r="L141" s="1233">
        <v>23174</v>
      </c>
      <c r="M141" s="1761"/>
      <c r="N141" s="1761"/>
      <c r="O141" s="1765">
        <v>281</v>
      </c>
      <c r="P141" s="1943">
        <v>2</v>
      </c>
      <c r="Q141" s="1739">
        <f t="shared" si="21"/>
        <v>562</v>
      </c>
      <c r="R141" s="1975"/>
      <c r="S141" s="1766"/>
      <c r="T141" s="1766"/>
      <c r="U141" s="1766"/>
      <c r="V141" s="1766"/>
      <c r="W141" s="1766"/>
      <c r="X141" s="1767"/>
      <c r="Y141" s="1739">
        <v>6634</v>
      </c>
      <c r="Z141" s="1825"/>
      <c r="AA141" s="1825"/>
      <c r="AB141" s="1825"/>
      <c r="AC141" s="1825"/>
      <c r="AD141" s="1825"/>
      <c r="AE141" s="1825"/>
      <c r="AF141" s="1825"/>
      <c r="AG141" s="1825"/>
    </row>
    <row r="142" spans="1:33" s="1826" customFormat="1" ht="75.75" customHeight="1" outlineLevel="2">
      <c r="A142" s="683">
        <v>1215</v>
      </c>
      <c r="B142" s="1770" t="s">
        <v>749</v>
      </c>
      <c r="C142" s="1076" t="s">
        <v>750</v>
      </c>
      <c r="D142" s="1761"/>
      <c r="E142" s="1762">
        <f t="shared" si="20"/>
        <v>6</v>
      </c>
      <c r="F142" s="1763">
        <v>43318</v>
      </c>
      <c r="G142" s="1763">
        <f t="shared" ref="G142:G148" si="24">F142+6-1</f>
        <v>43323</v>
      </c>
      <c r="H142" s="1764"/>
      <c r="I142" s="1762" t="s">
        <v>170</v>
      </c>
      <c r="J142" s="667"/>
      <c r="K142" s="1769" t="s">
        <v>751</v>
      </c>
      <c r="L142" s="1233">
        <v>23174</v>
      </c>
      <c r="M142" s="1761"/>
      <c r="N142" s="1761"/>
      <c r="O142" s="1765">
        <v>67</v>
      </c>
      <c r="P142" s="1943">
        <v>26</v>
      </c>
      <c r="Q142" s="1739">
        <f t="shared" si="21"/>
        <v>1742</v>
      </c>
      <c r="R142" s="1975"/>
      <c r="S142" s="1766"/>
      <c r="T142" s="1766"/>
      <c r="U142" s="1766"/>
      <c r="V142" s="1766"/>
      <c r="W142" s="1766"/>
      <c r="X142" s="1767"/>
      <c r="Y142" s="1739">
        <v>6975</v>
      </c>
      <c r="Z142" s="1825"/>
      <c r="AA142" s="1825"/>
      <c r="AB142" s="1825"/>
      <c r="AC142" s="1825"/>
      <c r="AD142" s="1825"/>
      <c r="AE142" s="1825"/>
      <c r="AF142" s="1825"/>
      <c r="AG142" s="1825"/>
    </row>
    <row r="143" spans="1:33" s="1826" customFormat="1" ht="75.75" customHeight="1" outlineLevel="2">
      <c r="A143" s="683">
        <v>1215</v>
      </c>
      <c r="B143" s="1770" t="s">
        <v>749</v>
      </c>
      <c r="C143" s="1076" t="s">
        <v>750</v>
      </c>
      <c r="D143" s="1761"/>
      <c r="E143" s="1762">
        <f t="shared" si="20"/>
        <v>6</v>
      </c>
      <c r="F143" s="1763">
        <v>43318</v>
      </c>
      <c r="G143" s="1763">
        <f t="shared" si="24"/>
        <v>43323</v>
      </c>
      <c r="H143" s="1764"/>
      <c r="I143" s="1762" t="s">
        <v>170</v>
      </c>
      <c r="J143" s="667"/>
      <c r="K143" s="1769" t="s">
        <v>752</v>
      </c>
      <c r="L143" s="1233">
        <v>23174</v>
      </c>
      <c r="M143" s="1761"/>
      <c r="N143" s="1761"/>
      <c r="O143" s="1765">
        <v>63</v>
      </c>
      <c r="P143" s="1943">
        <v>26</v>
      </c>
      <c r="Q143" s="1739">
        <f t="shared" si="21"/>
        <v>1638</v>
      </c>
      <c r="R143" s="1975"/>
      <c r="S143" s="1766"/>
      <c r="T143" s="1766"/>
      <c r="U143" s="1766"/>
      <c r="V143" s="1766"/>
      <c r="W143" s="1766"/>
      <c r="X143" s="1767"/>
      <c r="Y143" s="1739">
        <v>1147</v>
      </c>
      <c r="Z143" s="1825"/>
      <c r="AA143" s="1825"/>
      <c r="AB143" s="1825"/>
      <c r="AC143" s="1825"/>
      <c r="AD143" s="1825"/>
      <c r="AE143" s="1825"/>
      <c r="AF143" s="1825"/>
      <c r="AG143" s="1825"/>
    </row>
    <row r="144" spans="1:33" s="1826" customFormat="1" ht="75.75" customHeight="1" outlineLevel="2">
      <c r="A144" s="683">
        <v>1215</v>
      </c>
      <c r="B144" s="1770" t="s">
        <v>749</v>
      </c>
      <c r="C144" s="1076" t="s">
        <v>750</v>
      </c>
      <c r="D144" s="1761"/>
      <c r="E144" s="1762">
        <f t="shared" si="20"/>
        <v>6</v>
      </c>
      <c r="F144" s="1763">
        <v>43318</v>
      </c>
      <c r="G144" s="1763">
        <f t="shared" si="24"/>
        <v>43323</v>
      </c>
      <c r="H144" s="1764"/>
      <c r="I144" s="1762" t="s">
        <v>170</v>
      </c>
      <c r="J144" s="667"/>
      <c r="K144" s="1769" t="s">
        <v>753</v>
      </c>
      <c r="L144" s="1233">
        <v>23174</v>
      </c>
      <c r="M144" s="1761"/>
      <c r="N144" s="1761"/>
      <c r="O144" s="1765">
        <v>38</v>
      </c>
      <c r="P144" s="1943">
        <v>26</v>
      </c>
      <c r="Q144" s="1739">
        <f t="shared" si="21"/>
        <v>988</v>
      </c>
      <c r="R144" s="1975"/>
      <c r="S144" s="1766"/>
      <c r="T144" s="1766"/>
      <c r="U144" s="1766"/>
      <c r="V144" s="1766"/>
      <c r="W144" s="1766"/>
      <c r="X144" s="1767"/>
      <c r="Y144" s="1739">
        <v>428</v>
      </c>
      <c r="Z144" s="1825"/>
      <c r="AA144" s="1825"/>
      <c r="AB144" s="1825"/>
      <c r="AC144" s="1825"/>
      <c r="AD144" s="1825"/>
      <c r="AE144" s="1825"/>
      <c r="AF144" s="1825"/>
      <c r="AG144" s="1825"/>
    </row>
    <row r="145" spans="1:33" s="1826" customFormat="1" ht="75.75" customHeight="1" outlineLevel="2">
      <c r="A145" s="683">
        <v>1215</v>
      </c>
      <c r="B145" s="1770" t="s">
        <v>749</v>
      </c>
      <c r="C145" s="1076" t="s">
        <v>750</v>
      </c>
      <c r="D145" s="1761"/>
      <c r="E145" s="1762">
        <f t="shared" si="20"/>
        <v>6</v>
      </c>
      <c r="F145" s="1763">
        <v>43318</v>
      </c>
      <c r="G145" s="1763">
        <f t="shared" si="24"/>
        <v>43323</v>
      </c>
      <c r="H145" s="1764"/>
      <c r="I145" s="1762" t="s">
        <v>170</v>
      </c>
      <c r="J145" s="667"/>
      <c r="K145" s="1769" t="s">
        <v>743</v>
      </c>
      <c r="L145" s="1233">
        <v>23174</v>
      </c>
      <c r="M145" s="1761"/>
      <c r="N145" s="1761"/>
      <c r="O145" s="1765">
        <v>67</v>
      </c>
      <c r="P145" s="1943">
        <v>2</v>
      </c>
      <c r="Q145" s="1739">
        <f t="shared" si="21"/>
        <v>134</v>
      </c>
      <c r="R145" s="1975"/>
      <c r="S145" s="1766"/>
      <c r="T145" s="1766"/>
      <c r="U145" s="1766"/>
      <c r="V145" s="1766"/>
      <c r="W145" s="1766"/>
      <c r="X145" s="1767"/>
      <c r="Y145" s="1739">
        <v>450</v>
      </c>
      <c r="Z145" s="1825"/>
      <c r="AA145" s="1825"/>
      <c r="AB145" s="1825"/>
      <c r="AC145" s="1825"/>
      <c r="AD145" s="1825"/>
      <c r="AE145" s="1825"/>
      <c r="AF145" s="1825"/>
      <c r="AG145" s="1825"/>
    </row>
    <row r="146" spans="1:33" s="1826" customFormat="1" ht="75.75" customHeight="1" outlineLevel="2">
      <c r="A146" s="683">
        <v>1215</v>
      </c>
      <c r="B146" s="1770" t="s">
        <v>749</v>
      </c>
      <c r="C146" s="1076" t="s">
        <v>750</v>
      </c>
      <c r="D146" s="1761"/>
      <c r="E146" s="1762">
        <f t="shared" si="20"/>
        <v>6</v>
      </c>
      <c r="F146" s="1763">
        <v>43318</v>
      </c>
      <c r="G146" s="1763">
        <f t="shared" si="24"/>
        <v>43323</v>
      </c>
      <c r="H146" s="1764"/>
      <c r="I146" s="1762" t="s">
        <v>170</v>
      </c>
      <c r="J146" s="667"/>
      <c r="K146" s="1769" t="s">
        <v>754</v>
      </c>
      <c r="L146" s="1233">
        <v>23174</v>
      </c>
      <c r="M146" s="1761"/>
      <c r="N146" s="1761"/>
      <c r="O146" s="1765">
        <v>63</v>
      </c>
      <c r="P146" s="1943">
        <v>2</v>
      </c>
      <c r="Q146" s="1739">
        <f t="shared" si="21"/>
        <v>126</v>
      </c>
      <c r="R146" s="1975"/>
      <c r="S146" s="1766"/>
      <c r="T146" s="1766"/>
      <c r="U146" s="1766"/>
      <c r="V146" s="1766"/>
      <c r="W146" s="1766"/>
      <c r="X146" s="1767"/>
      <c r="Y146" s="1739">
        <v>510</v>
      </c>
      <c r="Z146" s="1825"/>
      <c r="AA146" s="1825"/>
      <c r="AB146" s="1825"/>
      <c r="AC146" s="1825"/>
      <c r="AD146" s="1825"/>
      <c r="AE146" s="1825"/>
      <c r="AF146" s="1825"/>
      <c r="AG146" s="1825"/>
    </row>
    <row r="147" spans="1:33" s="1826" customFormat="1" ht="75.75" customHeight="1" outlineLevel="2">
      <c r="A147" s="683">
        <v>1215</v>
      </c>
      <c r="B147" s="1770" t="s">
        <v>749</v>
      </c>
      <c r="C147" s="1076" t="s">
        <v>750</v>
      </c>
      <c r="D147" s="1761"/>
      <c r="E147" s="1762">
        <f t="shared" si="20"/>
        <v>6</v>
      </c>
      <c r="F147" s="1763">
        <v>43318</v>
      </c>
      <c r="G147" s="1763">
        <f t="shared" si="24"/>
        <v>43323</v>
      </c>
      <c r="H147" s="1764"/>
      <c r="I147" s="1762" t="s">
        <v>170</v>
      </c>
      <c r="J147" s="667"/>
      <c r="K147" s="1769" t="s">
        <v>729</v>
      </c>
      <c r="L147" s="1233">
        <v>23174</v>
      </c>
      <c r="M147" s="1761"/>
      <c r="N147" s="1761"/>
      <c r="O147" s="1765">
        <v>255</v>
      </c>
      <c r="P147" s="1943">
        <v>2</v>
      </c>
      <c r="Q147" s="1739">
        <f t="shared" si="21"/>
        <v>510</v>
      </c>
      <c r="R147" s="1975"/>
      <c r="S147" s="1766"/>
      <c r="T147" s="1766"/>
      <c r="U147" s="1766"/>
      <c r="V147" s="1766"/>
      <c r="W147" s="1766"/>
      <c r="X147" s="1767"/>
      <c r="Y147" s="1739">
        <v>356</v>
      </c>
      <c r="Z147" s="1825"/>
      <c r="AA147" s="1825"/>
      <c r="AB147" s="1825"/>
      <c r="AC147" s="1825"/>
      <c r="AD147" s="1825"/>
      <c r="AE147" s="1825"/>
      <c r="AF147" s="1825"/>
      <c r="AG147" s="1825"/>
    </row>
    <row r="148" spans="1:33" s="1826" customFormat="1" ht="75.75" customHeight="1" outlineLevel="2">
      <c r="A148" s="683">
        <v>1215</v>
      </c>
      <c r="B148" s="1770" t="s">
        <v>749</v>
      </c>
      <c r="C148" s="1076" t="s">
        <v>750</v>
      </c>
      <c r="D148" s="1761"/>
      <c r="E148" s="1762">
        <f t="shared" si="20"/>
        <v>6</v>
      </c>
      <c r="F148" s="1763">
        <v>43318</v>
      </c>
      <c r="G148" s="1763">
        <f t="shared" si="24"/>
        <v>43323</v>
      </c>
      <c r="H148" s="1764"/>
      <c r="I148" s="1762" t="s">
        <v>170</v>
      </c>
      <c r="J148" s="667"/>
      <c r="K148" s="1769" t="s">
        <v>723</v>
      </c>
      <c r="L148" s="1233">
        <v>23174</v>
      </c>
      <c r="M148" s="1761"/>
      <c r="N148" s="1761"/>
      <c r="O148" s="1765">
        <v>169</v>
      </c>
      <c r="P148" s="1943">
        <v>2</v>
      </c>
      <c r="Q148" s="1739">
        <f t="shared" si="21"/>
        <v>338</v>
      </c>
      <c r="R148" s="1975"/>
      <c r="S148" s="1766"/>
      <c r="T148" s="1766"/>
      <c r="U148" s="1766"/>
      <c r="V148" s="1766"/>
      <c r="W148" s="1766"/>
      <c r="X148" s="1767"/>
      <c r="Y148" s="1739">
        <v>224</v>
      </c>
      <c r="Z148" s="1825"/>
      <c r="AA148" s="1825"/>
      <c r="AB148" s="1825"/>
      <c r="AC148" s="1825"/>
      <c r="AD148" s="1825"/>
      <c r="AE148" s="1825"/>
      <c r="AF148" s="1825"/>
      <c r="AG148" s="1825"/>
    </row>
    <row r="149" spans="1:33" s="1826" customFormat="1" ht="75.75" customHeight="1" outlineLevel="2">
      <c r="A149" s="683">
        <v>1216</v>
      </c>
      <c r="B149" s="1770" t="s">
        <v>756</v>
      </c>
      <c r="C149" s="1076" t="s">
        <v>757</v>
      </c>
      <c r="D149" s="1761"/>
      <c r="E149" s="1762">
        <f t="shared" si="20"/>
        <v>27</v>
      </c>
      <c r="F149" s="1763">
        <v>43332</v>
      </c>
      <c r="G149" s="1763">
        <v>43358</v>
      </c>
      <c r="H149" s="1764"/>
      <c r="I149" s="1762" t="s">
        <v>170</v>
      </c>
      <c r="J149" s="667"/>
      <c r="K149" s="1769" t="s">
        <v>758</v>
      </c>
      <c r="L149" s="1233">
        <v>23174</v>
      </c>
      <c r="M149" s="1761"/>
      <c r="N149" s="1761"/>
      <c r="O149" s="1765">
        <v>214</v>
      </c>
      <c r="P149" s="1943">
        <v>31</v>
      </c>
      <c r="Q149" s="1739">
        <f t="shared" si="21"/>
        <v>6634</v>
      </c>
      <c r="R149" s="1975"/>
      <c r="S149" s="1766"/>
      <c r="T149" s="1766"/>
      <c r="U149" s="1766"/>
      <c r="V149" s="1766"/>
      <c r="W149" s="1766"/>
      <c r="X149" s="1767"/>
      <c r="Y149" s="1739">
        <v>450</v>
      </c>
      <c r="Z149" s="1825"/>
      <c r="AA149" s="1825"/>
      <c r="AB149" s="1825"/>
      <c r="AC149" s="1825"/>
      <c r="AD149" s="1825"/>
      <c r="AE149" s="1825"/>
      <c r="AF149" s="1825"/>
      <c r="AG149" s="1825"/>
    </row>
    <row r="150" spans="1:33" s="1826" customFormat="1" ht="75.75" customHeight="1" outlineLevel="2">
      <c r="A150" s="683">
        <v>1216</v>
      </c>
      <c r="B150" s="1770" t="s">
        <v>756</v>
      </c>
      <c r="C150" s="1076" t="s">
        <v>757</v>
      </c>
      <c r="D150" s="1761"/>
      <c r="E150" s="1762">
        <f t="shared" si="20"/>
        <v>27</v>
      </c>
      <c r="F150" s="1763">
        <v>43332</v>
      </c>
      <c r="G150" s="1763">
        <v>43358</v>
      </c>
      <c r="H150" s="1764"/>
      <c r="I150" s="1762" t="s">
        <v>170</v>
      </c>
      <c r="J150" s="667"/>
      <c r="K150" s="1769" t="s">
        <v>759</v>
      </c>
      <c r="L150" s="1231">
        <v>23174</v>
      </c>
      <c r="M150" s="1761"/>
      <c r="N150" s="1761"/>
      <c r="O150" s="1765">
        <v>225</v>
      </c>
      <c r="P150" s="1943">
        <v>31</v>
      </c>
      <c r="Q150" s="1739">
        <f t="shared" si="21"/>
        <v>6975</v>
      </c>
      <c r="R150" s="1975"/>
      <c r="S150" s="1766"/>
      <c r="T150" s="1766"/>
      <c r="U150" s="1766"/>
      <c r="V150" s="1766"/>
      <c r="W150" s="1766"/>
      <c r="X150" s="1767"/>
      <c r="Y150" s="1739">
        <v>2340</v>
      </c>
      <c r="Z150" s="1825"/>
      <c r="AA150" s="1825"/>
      <c r="AB150" s="1825"/>
      <c r="AC150" s="1825"/>
      <c r="AD150" s="1825"/>
      <c r="AE150" s="1825"/>
      <c r="AF150" s="1825"/>
      <c r="AG150" s="1825"/>
    </row>
    <row r="151" spans="1:33" s="1826" customFormat="1" ht="75.75" customHeight="1" outlineLevel="2">
      <c r="A151" s="683">
        <v>1216</v>
      </c>
      <c r="B151" s="1770" t="s">
        <v>756</v>
      </c>
      <c r="C151" s="1076" t="s">
        <v>757</v>
      </c>
      <c r="D151" s="1761"/>
      <c r="E151" s="1762">
        <f t="shared" si="20"/>
        <v>27</v>
      </c>
      <c r="F151" s="1763">
        <v>43332</v>
      </c>
      <c r="G151" s="1763">
        <v>43358</v>
      </c>
      <c r="H151" s="1764"/>
      <c r="I151" s="1762" t="s">
        <v>170</v>
      </c>
      <c r="J151" s="667"/>
      <c r="K151" s="1769" t="s">
        <v>760</v>
      </c>
      <c r="L151" s="1233">
        <v>23174</v>
      </c>
      <c r="M151" s="1761"/>
      <c r="N151" s="1761"/>
      <c r="O151" s="1765">
        <v>37</v>
      </c>
      <c r="P151" s="1943">
        <v>31</v>
      </c>
      <c r="Q151" s="1739">
        <f t="shared" si="21"/>
        <v>1147</v>
      </c>
      <c r="R151" s="1975"/>
      <c r="S151" s="1766"/>
      <c r="T151" s="1766"/>
      <c r="U151" s="1766"/>
      <c r="V151" s="1766"/>
      <c r="W151" s="1766"/>
      <c r="X151" s="1767"/>
      <c r="Y151" s="1739">
        <v>562</v>
      </c>
      <c r="Z151" s="1825"/>
      <c r="AA151" s="1825"/>
      <c r="AB151" s="1825"/>
      <c r="AC151" s="1825"/>
      <c r="AD151" s="1825"/>
      <c r="AE151" s="1825"/>
      <c r="AF151" s="1825"/>
      <c r="AG151" s="1825"/>
    </row>
    <row r="152" spans="1:33" s="1826" customFormat="1" ht="75.75" customHeight="1" outlineLevel="2">
      <c r="A152" s="683">
        <v>1216</v>
      </c>
      <c r="B152" s="1770" t="s">
        <v>756</v>
      </c>
      <c r="C152" s="1076" t="s">
        <v>757</v>
      </c>
      <c r="D152" s="1761"/>
      <c r="E152" s="1762">
        <f t="shared" si="20"/>
        <v>27</v>
      </c>
      <c r="F152" s="1763">
        <v>43332</v>
      </c>
      <c r="G152" s="1763">
        <v>43358</v>
      </c>
      <c r="H152" s="1764"/>
      <c r="I152" s="1762" t="s">
        <v>170</v>
      </c>
      <c r="J152" s="667"/>
      <c r="K152" s="1769" t="s">
        <v>743</v>
      </c>
      <c r="L152" s="1233">
        <v>23174</v>
      </c>
      <c r="M152" s="1761"/>
      <c r="N152" s="1761"/>
      <c r="O152" s="1765">
        <v>214</v>
      </c>
      <c r="P152" s="1943">
        <v>2</v>
      </c>
      <c r="Q152" s="1739">
        <f t="shared" si="21"/>
        <v>428</v>
      </c>
      <c r="R152" s="1975"/>
      <c r="S152" s="1766"/>
      <c r="T152" s="1766"/>
      <c r="U152" s="1766"/>
      <c r="V152" s="1766"/>
      <c r="W152" s="1766"/>
      <c r="X152" s="1767"/>
      <c r="Y152" s="1739">
        <v>500</v>
      </c>
      <c r="Z152" s="1825"/>
      <c r="AA152" s="1825"/>
      <c r="AB152" s="1825"/>
      <c r="AC152" s="1825"/>
      <c r="AD152" s="1825"/>
      <c r="AE152" s="1825"/>
      <c r="AF152" s="1825"/>
      <c r="AG152" s="1825"/>
    </row>
    <row r="153" spans="1:33" s="1826" customFormat="1" ht="75.75" customHeight="1" outlineLevel="2">
      <c r="A153" s="683">
        <v>1216</v>
      </c>
      <c r="B153" s="1770" t="s">
        <v>756</v>
      </c>
      <c r="C153" s="1076" t="s">
        <v>757</v>
      </c>
      <c r="D153" s="1761"/>
      <c r="E153" s="1762">
        <f t="shared" si="20"/>
        <v>27</v>
      </c>
      <c r="F153" s="1763">
        <v>43332</v>
      </c>
      <c r="G153" s="1763">
        <v>43358</v>
      </c>
      <c r="H153" s="1764"/>
      <c r="I153" s="1762" t="s">
        <v>170</v>
      </c>
      <c r="J153" s="667"/>
      <c r="K153" s="1769" t="s">
        <v>744</v>
      </c>
      <c r="L153" s="1233">
        <v>23174</v>
      </c>
      <c r="M153" s="1761"/>
      <c r="N153" s="1761"/>
      <c r="O153" s="1765">
        <v>225</v>
      </c>
      <c r="P153" s="1943">
        <v>2</v>
      </c>
      <c r="Q153" s="1739">
        <f t="shared" si="21"/>
        <v>450</v>
      </c>
      <c r="R153" s="1975"/>
      <c r="S153" s="1766"/>
      <c r="T153" s="1766"/>
      <c r="U153" s="1766"/>
      <c r="V153" s="1766"/>
      <c r="W153" s="1766"/>
      <c r="X153" s="1767"/>
      <c r="Y153" s="1739">
        <v>750</v>
      </c>
      <c r="Z153" s="1825"/>
      <c r="AA153" s="1825"/>
      <c r="AB153" s="1825"/>
      <c r="AC153" s="1825"/>
      <c r="AD153" s="1825"/>
      <c r="AE153" s="1825"/>
      <c r="AF153" s="1825"/>
      <c r="AG153" s="1825"/>
    </row>
    <row r="154" spans="1:33" s="1826" customFormat="1" ht="75.75" customHeight="1" outlineLevel="2">
      <c r="A154" s="683">
        <v>1216</v>
      </c>
      <c r="B154" s="1770" t="s">
        <v>756</v>
      </c>
      <c r="C154" s="1076" t="s">
        <v>757</v>
      </c>
      <c r="D154" s="1761"/>
      <c r="E154" s="1762">
        <f t="shared" si="20"/>
        <v>27</v>
      </c>
      <c r="F154" s="1763">
        <v>43332</v>
      </c>
      <c r="G154" s="1763">
        <v>43358</v>
      </c>
      <c r="H154" s="1764"/>
      <c r="I154" s="1762" t="s">
        <v>170</v>
      </c>
      <c r="J154" s="667"/>
      <c r="K154" s="1769" t="s">
        <v>745</v>
      </c>
      <c r="L154" s="1233">
        <v>23174</v>
      </c>
      <c r="M154" s="1761"/>
      <c r="N154" s="1761"/>
      <c r="O154" s="1765">
        <v>255</v>
      </c>
      <c r="P154" s="1943">
        <v>2</v>
      </c>
      <c r="Q154" s="1739">
        <f t="shared" si="21"/>
        <v>510</v>
      </c>
      <c r="R154" s="1975"/>
      <c r="S154" s="1766"/>
      <c r="T154" s="1766"/>
      <c r="U154" s="1766"/>
      <c r="V154" s="1766"/>
      <c r="W154" s="1766"/>
      <c r="X154" s="1767"/>
      <c r="Y154" s="1739">
        <v>2070</v>
      </c>
      <c r="Z154" s="1825"/>
      <c r="AA154" s="1825"/>
      <c r="AB154" s="1825"/>
      <c r="AC154" s="1825"/>
      <c r="AD154" s="1825"/>
      <c r="AE154" s="1825"/>
      <c r="AF154" s="1825"/>
      <c r="AG154" s="1825"/>
    </row>
    <row r="155" spans="1:33" s="1826" customFormat="1" ht="75.75" customHeight="1" outlineLevel="2">
      <c r="A155" s="683">
        <v>1216</v>
      </c>
      <c r="B155" s="1770" t="s">
        <v>756</v>
      </c>
      <c r="C155" s="1076" t="s">
        <v>757</v>
      </c>
      <c r="D155" s="1761"/>
      <c r="E155" s="1762">
        <f t="shared" si="20"/>
        <v>27</v>
      </c>
      <c r="F155" s="1763">
        <v>43332</v>
      </c>
      <c r="G155" s="1763">
        <v>43358</v>
      </c>
      <c r="H155" s="1764"/>
      <c r="I155" s="1762" t="s">
        <v>170</v>
      </c>
      <c r="J155" s="667"/>
      <c r="K155" s="1769" t="s">
        <v>727</v>
      </c>
      <c r="L155" s="1233">
        <v>23174</v>
      </c>
      <c r="M155" s="1761"/>
      <c r="N155" s="1761"/>
      <c r="O155" s="1765">
        <v>178</v>
      </c>
      <c r="P155" s="1943">
        <v>2</v>
      </c>
      <c r="Q155" s="1739">
        <f t="shared" si="21"/>
        <v>356</v>
      </c>
      <c r="R155" s="1975"/>
      <c r="S155" s="1766"/>
      <c r="T155" s="1766"/>
      <c r="U155" s="1766"/>
      <c r="V155" s="1766"/>
      <c r="W155" s="1766"/>
      <c r="X155" s="1767"/>
      <c r="Y155" s="1739">
        <v>1035</v>
      </c>
      <c r="Z155" s="1825"/>
      <c r="AA155" s="1825"/>
      <c r="AB155" s="1825"/>
      <c r="AC155" s="1825"/>
      <c r="AD155" s="1825"/>
      <c r="AE155" s="1825"/>
      <c r="AF155" s="1825"/>
      <c r="AG155" s="1825"/>
    </row>
    <row r="156" spans="1:33" s="1826" customFormat="1" ht="75.75" customHeight="1" outlineLevel="2">
      <c r="A156" s="683">
        <v>1216</v>
      </c>
      <c r="B156" s="1770" t="s">
        <v>756</v>
      </c>
      <c r="C156" s="1076" t="s">
        <v>757</v>
      </c>
      <c r="D156" s="1761"/>
      <c r="E156" s="1762">
        <f t="shared" si="20"/>
        <v>27</v>
      </c>
      <c r="F156" s="1763">
        <v>43332</v>
      </c>
      <c r="G156" s="1763">
        <v>43358</v>
      </c>
      <c r="H156" s="1764"/>
      <c r="I156" s="1762" t="s">
        <v>170</v>
      </c>
      <c r="J156" s="667"/>
      <c r="K156" s="1769" t="s">
        <v>736</v>
      </c>
      <c r="L156" s="1233">
        <v>23174</v>
      </c>
      <c r="M156" s="1761"/>
      <c r="N156" s="1761"/>
      <c r="O156" s="1765">
        <v>112</v>
      </c>
      <c r="P156" s="1943">
        <v>2</v>
      </c>
      <c r="Q156" s="1739">
        <f t="shared" si="21"/>
        <v>224</v>
      </c>
      <c r="R156" s="1975"/>
      <c r="S156" s="1766"/>
      <c r="T156" s="1765">
        <v>50000</v>
      </c>
      <c r="U156" s="1766"/>
      <c r="V156" s="1766"/>
      <c r="W156" s="1766"/>
      <c r="X156" s="1767"/>
      <c r="Y156" s="1768"/>
      <c r="Z156" s="1825"/>
      <c r="AA156" s="1825"/>
      <c r="AB156" s="1825"/>
      <c r="AC156" s="1825"/>
      <c r="AD156" s="1825"/>
      <c r="AE156" s="1825"/>
      <c r="AF156" s="1825"/>
      <c r="AG156" s="1825"/>
    </row>
    <row r="157" spans="1:33" s="1826" customFormat="1" ht="57.75" customHeight="1" outlineLevel="2">
      <c r="A157" s="1924">
        <v>1216</v>
      </c>
      <c r="B157" s="1925" t="s">
        <v>756</v>
      </c>
      <c r="C157" s="1926" t="s">
        <v>757</v>
      </c>
      <c r="D157" s="1927"/>
      <c r="E157" s="1928">
        <f t="shared" si="20"/>
        <v>27</v>
      </c>
      <c r="F157" s="1929">
        <v>43332</v>
      </c>
      <c r="G157" s="1929">
        <v>43358</v>
      </c>
      <c r="H157" s="1930"/>
      <c r="I157" s="1928" t="s">
        <v>170</v>
      </c>
      <c r="J157" s="1931"/>
      <c r="K157" s="1771" t="s">
        <v>723</v>
      </c>
      <c r="L157" s="1932">
        <v>23174</v>
      </c>
      <c r="M157" s="1927"/>
      <c r="N157" s="1927"/>
      <c r="O157" s="1933">
        <v>281</v>
      </c>
      <c r="P157" s="1945">
        <v>2</v>
      </c>
      <c r="Q157" s="1739">
        <f t="shared" si="21"/>
        <v>562</v>
      </c>
      <c r="R157" s="1975"/>
      <c r="S157" s="1766"/>
      <c r="T157" s="1765">
        <v>15000</v>
      </c>
      <c r="U157" s="1766"/>
      <c r="V157" s="1766"/>
      <c r="W157" s="1766"/>
      <c r="X157" s="1767"/>
      <c r="Y157" s="1768"/>
      <c r="Z157" s="1825"/>
      <c r="AA157" s="1825"/>
      <c r="AB157" s="1825"/>
      <c r="AC157" s="1825"/>
      <c r="AD157" s="1825"/>
      <c r="AE157" s="1825"/>
      <c r="AF157" s="1825"/>
      <c r="AG157" s="1825"/>
    </row>
    <row r="158" spans="1:33" s="1826" customFormat="1" ht="39.950000000000003" customHeight="1" outlineLevel="1">
      <c r="A158" s="1912"/>
      <c r="B158" s="1934"/>
      <c r="C158" s="1914"/>
      <c r="D158" s="1915"/>
      <c r="E158" s="1916"/>
      <c r="F158" s="1917"/>
      <c r="G158" s="1917"/>
      <c r="H158" s="1918"/>
      <c r="I158" s="1916"/>
      <c r="J158" s="1919"/>
      <c r="K158" s="1935"/>
      <c r="L158" s="1921" t="s">
        <v>1051</v>
      </c>
      <c r="M158" s="1922"/>
      <c r="N158" s="1922"/>
      <c r="O158" s="1923"/>
      <c r="P158" s="1944"/>
      <c r="Q158" s="1923">
        <f>SUBTOTAL(9,Q116:Q157)</f>
        <v>75779</v>
      </c>
      <c r="R158" s="1975"/>
      <c r="S158" s="1768"/>
      <c r="T158" s="1739"/>
      <c r="U158" s="1768"/>
      <c r="V158" s="1768"/>
      <c r="W158" s="1768"/>
      <c r="X158" s="1911"/>
      <c r="Y158" s="1768"/>
      <c r="Z158" s="1825"/>
      <c r="AA158" s="1825"/>
      <c r="AB158" s="1825"/>
      <c r="AC158" s="1825"/>
      <c r="AD158" s="1825"/>
      <c r="AE158" s="1825"/>
      <c r="AF158" s="1825"/>
      <c r="AG158" s="1825"/>
    </row>
    <row r="159" spans="1:33" s="1826" customFormat="1" ht="39.950000000000003" customHeight="1">
      <c r="A159" s="1912"/>
      <c r="B159" s="1934"/>
      <c r="C159" s="1914"/>
      <c r="D159" s="1915"/>
      <c r="E159" s="1916"/>
      <c r="F159" s="1917"/>
      <c r="G159" s="1917"/>
      <c r="H159" s="1918"/>
      <c r="I159" s="1916"/>
      <c r="J159" s="1919"/>
      <c r="K159" s="1935"/>
      <c r="L159" s="1921" t="s">
        <v>1052</v>
      </c>
      <c r="M159" s="1922"/>
      <c r="N159" s="1922"/>
      <c r="O159" s="1923"/>
      <c r="P159" s="1944"/>
      <c r="Q159" s="1923">
        <f>SUBTOTAL(9,Q94:Q157)</f>
        <v>163711</v>
      </c>
      <c r="R159" s="1975"/>
      <c r="S159" s="1768"/>
      <c r="T159" s="1739"/>
      <c r="U159" s="1768"/>
      <c r="V159" s="1768"/>
      <c r="W159" s="1768"/>
      <c r="X159" s="1911"/>
      <c r="Y159" s="1768"/>
      <c r="Z159" s="1825"/>
      <c r="AA159" s="1825"/>
      <c r="AB159" s="1825"/>
      <c r="AC159" s="1825"/>
      <c r="AD159" s="1825"/>
      <c r="AE159" s="1825"/>
      <c r="AF159" s="1825"/>
      <c r="AG159" s="1825"/>
    </row>
    <row r="160" spans="1:33" ht="27" customHeight="1">
      <c r="A160" s="1324">
        <v>122</v>
      </c>
      <c r="B160" s="1463" t="s">
        <v>771</v>
      </c>
      <c r="C160" s="1498"/>
      <c r="D160" s="1325"/>
      <c r="E160" s="1325"/>
      <c r="F160" s="1325"/>
      <c r="G160" s="1325"/>
      <c r="H160" s="1325"/>
      <c r="I160" s="1325"/>
      <c r="J160" s="636"/>
      <c r="K160" s="1296"/>
      <c r="L160" s="1298"/>
      <c r="M160" s="1326"/>
      <c r="N160" s="1297"/>
      <c r="O160" s="1327"/>
      <c r="P160" s="1946"/>
      <c r="Q160" s="1343">
        <f>+Q179+Q229</f>
        <v>150847.67633333331</v>
      </c>
      <c r="R160" s="1716"/>
      <c r="S160" s="1329">
        <f t="shared" ref="S160:AF160" si="25">SUM(S161:S228)</f>
        <v>0</v>
      </c>
      <c r="T160" s="1329">
        <f t="shared" si="25"/>
        <v>13416.399666666666</v>
      </c>
      <c r="U160" s="1329">
        <f t="shared" si="25"/>
        <v>32731.999333333333</v>
      </c>
      <c r="V160" s="1329">
        <f t="shared" si="25"/>
        <v>80559.724999999991</v>
      </c>
      <c r="W160" s="1329">
        <f t="shared" si="25"/>
        <v>24139.552333333329</v>
      </c>
      <c r="X160" s="1329">
        <f t="shared" si="25"/>
        <v>0</v>
      </c>
      <c r="Y160" s="1329">
        <f t="shared" si="25"/>
        <v>0</v>
      </c>
      <c r="Z160" s="1329">
        <f t="shared" si="25"/>
        <v>0</v>
      </c>
      <c r="AA160" s="1329">
        <f t="shared" si="25"/>
        <v>0</v>
      </c>
      <c r="AB160" s="1329">
        <f t="shared" si="25"/>
        <v>0</v>
      </c>
      <c r="AC160" s="1329">
        <f t="shared" si="25"/>
        <v>0</v>
      </c>
      <c r="AD160" s="1329">
        <f t="shared" si="25"/>
        <v>0</v>
      </c>
      <c r="AE160" s="1329">
        <f t="shared" si="25"/>
        <v>0</v>
      </c>
      <c r="AF160" s="1329">
        <f t="shared" si="25"/>
        <v>0</v>
      </c>
      <c r="AG160" s="1329">
        <f>SUM(S160:AF160)</f>
        <v>150847.67633333331</v>
      </c>
    </row>
    <row r="161" spans="1:33" ht="57.75" customHeight="1" outlineLevel="2">
      <c r="A161" s="796">
        <v>1221</v>
      </c>
      <c r="B161" s="858" t="s">
        <v>772</v>
      </c>
      <c r="C161" s="1074" t="s">
        <v>773</v>
      </c>
      <c r="D161" s="805"/>
      <c r="E161" s="796"/>
      <c r="F161" s="1775"/>
      <c r="G161" s="1775"/>
      <c r="H161" s="805" t="s">
        <v>774</v>
      </c>
      <c r="I161" s="796" t="s">
        <v>170</v>
      </c>
      <c r="J161" s="792"/>
      <c r="K161" s="1292" t="s">
        <v>782</v>
      </c>
      <c r="L161" s="1776">
        <v>23173</v>
      </c>
      <c r="M161" s="805"/>
      <c r="N161" s="805"/>
      <c r="O161" s="954">
        <v>74.332999999999998</v>
      </c>
      <c r="P161" s="1937">
        <v>1</v>
      </c>
      <c r="Q161" s="1144">
        <f t="shared" ref="Q161:Q172" si="26">O161*P161</f>
        <v>74.332999999999998</v>
      </c>
      <c r="R161" s="1976"/>
      <c r="S161" s="1778"/>
      <c r="T161" s="1727">
        <v>4536</v>
      </c>
      <c r="U161" s="1779"/>
      <c r="V161" s="805"/>
      <c r="W161" s="1777"/>
      <c r="X161" s="1780"/>
      <c r="Y161" s="1124"/>
      <c r="Z161" s="1124"/>
      <c r="AA161" s="1124"/>
      <c r="AB161" s="1124"/>
      <c r="AC161" s="1124"/>
      <c r="AD161" s="1124"/>
      <c r="AE161" s="1124"/>
      <c r="AF161" s="1124"/>
      <c r="AG161" s="1124"/>
    </row>
    <row r="162" spans="1:33" ht="57.75" customHeight="1" outlineLevel="2">
      <c r="A162" s="796">
        <v>1221</v>
      </c>
      <c r="B162" s="858" t="s">
        <v>772</v>
      </c>
      <c r="C162" s="1074" t="s">
        <v>773</v>
      </c>
      <c r="D162" s="805"/>
      <c r="E162" s="796"/>
      <c r="F162" s="1782"/>
      <c r="G162" s="1782"/>
      <c r="H162" s="805" t="s">
        <v>774</v>
      </c>
      <c r="I162" s="796" t="s">
        <v>170</v>
      </c>
      <c r="J162" s="792"/>
      <c r="K162" s="805" t="s">
        <v>415</v>
      </c>
      <c r="L162" s="1776">
        <v>23173</v>
      </c>
      <c r="M162" s="805"/>
      <c r="N162" s="805"/>
      <c r="O162" s="954">
        <v>1666.6666666666667</v>
      </c>
      <c r="P162" s="1937">
        <v>1</v>
      </c>
      <c r="Q162" s="1144">
        <f t="shared" si="26"/>
        <v>1666.6666666666667</v>
      </c>
      <c r="R162" s="1976"/>
      <c r="S162" s="1778"/>
      <c r="T162" s="1727">
        <v>1320</v>
      </c>
      <c r="U162" s="1779"/>
      <c r="V162" s="805"/>
      <c r="W162" s="1777"/>
      <c r="X162" s="1781"/>
      <c r="Y162" s="1124"/>
      <c r="Z162" s="1124"/>
      <c r="AA162" s="1124"/>
      <c r="AB162" s="1124"/>
      <c r="AC162" s="1124"/>
      <c r="AD162" s="1124"/>
      <c r="AE162" s="1124"/>
      <c r="AF162" s="1124"/>
      <c r="AG162" s="1124"/>
    </row>
    <row r="163" spans="1:33" ht="57.75" customHeight="1" outlineLevel="2">
      <c r="A163" s="796">
        <v>1222</v>
      </c>
      <c r="B163" s="858" t="s">
        <v>783</v>
      </c>
      <c r="C163" s="1074" t="s">
        <v>784</v>
      </c>
      <c r="D163" s="805"/>
      <c r="E163" s="796"/>
      <c r="F163" s="1775"/>
      <c r="G163" s="1775"/>
      <c r="H163" s="805" t="s">
        <v>785</v>
      </c>
      <c r="I163" s="796" t="s">
        <v>170</v>
      </c>
      <c r="J163" s="792"/>
      <c r="K163" s="1292" t="s">
        <v>782</v>
      </c>
      <c r="L163" s="1776">
        <v>23173</v>
      </c>
      <c r="M163" s="805"/>
      <c r="N163" s="805"/>
      <c r="O163" s="954">
        <v>74.332999999999998</v>
      </c>
      <c r="P163" s="1937">
        <v>1</v>
      </c>
      <c r="Q163" s="1144">
        <f t="shared" si="26"/>
        <v>74.332999999999998</v>
      </c>
      <c r="R163" s="1976"/>
      <c r="S163" s="1778"/>
      <c r="T163" s="1727">
        <v>260</v>
      </c>
      <c r="U163" s="1779"/>
      <c r="V163" s="805"/>
      <c r="W163" s="1777"/>
      <c r="X163" s="1781"/>
      <c r="Y163" s="1124"/>
      <c r="Z163" s="1124"/>
      <c r="AA163" s="1124"/>
      <c r="AB163" s="1124"/>
      <c r="AC163" s="1124"/>
      <c r="AD163" s="1124"/>
      <c r="AE163" s="1124"/>
      <c r="AF163" s="1124"/>
      <c r="AG163" s="1124"/>
    </row>
    <row r="164" spans="1:33" ht="57.75" customHeight="1" outlineLevel="2">
      <c r="A164" s="796">
        <v>1222</v>
      </c>
      <c r="B164" s="858" t="s">
        <v>783</v>
      </c>
      <c r="C164" s="1074" t="s">
        <v>784</v>
      </c>
      <c r="D164" s="805"/>
      <c r="E164" s="796"/>
      <c r="F164" s="1775"/>
      <c r="G164" s="796"/>
      <c r="H164" s="805" t="s">
        <v>785</v>
      </c>
      <c r="I164" s="796" t="s">
        <v>170</v>
      </c>
      <c r="J164" s="792"/>
      <c r="K164" s="805" t="s">
        <v>415</v>
      </c>
      <c r="L164" s="1776">
        <v>23173</v>
      </c>
      <c r="M164" s="805"/>
      <c r="N164" s="805"/>
      <c r="O164" s="954">
        <v>1666.6666666666667</v>
      </c>
      <c r="P164" s="1937">
        <v>1</v>
      </c>
      <c r="Q164" s="1144">
        <f t="shared" si="26"/>
        <v>1666.6666666666667</v>
      </c>
      <c r="R164" s="1976"/>
      <c r="S164" s="1778"/>
      <c r="T164" s="954">
        <v>4573.333333333333</v>
      </c>
      <c r="U164" s="1779"/>
      <c r="V164" s="805"/>
      <c r="W164" s="1777"/>
      <c r="X164" s="1781"/>
      <c r="Y164" s="1124"/>
      <c r="Z164" s="1124"/>
      <c r="AA164" s="1124"/>
      <c r="AB164" s="1124"/>
      <c r="AC164" s="1124"/>
      <c r="AD164" s="1124"/>
      <c r="AE164" s="1124"/>
      <c r="AF164" s="1124"/>
      <c r="AG164" s="1124"/>
    </row>
    <row r="165" spans="1:33" ht="57.75" customHeight="1" outlineLevel="2">
      <c r="A165" s="796">
        <v>1223</v>
      </c>
      <c r="B165" s="858" t="s">
        <v>786</v>
      </c>
      <c r="C165" s="1074" t="s">
        <v>787</v>
      </c>
      <c r="D165" s="805"/>
      <c r="E165" s="796"/>
      <c r="F165" s="1775"/>
      <c r="G165" s="1775"/>
      <c r="H165" s="805" t="s">
        <v>785</v>
      </c>
      <c r="I165" s="796" t="s">
        <v>170</v>
      </c>
      <c r="J165" s="792"/>
      <c r="K165" s="1292" t="s">
        <v>782</v>
      </c>
      <c r="L165" s="1776">
        <v>23173</v>
      </c>
      <c r="M165" s="805"/>
      <c r="N165" s="805"/>
      <c r="O165" s="954">
        <v>74.332999999999998</v>
      </c>
      <c r="P165" s="1937">
        <v>1</v>
      </c>
      <c r="Q165" s="1144">
        <f t="shared" si="26"/>
        <v>74.332999999999998</v>
      </c>
      <c r="R165" s="1976"/>
      <c r="S165" s="1778"/>
      <c r="T165" s="1727">
        <v>153.33333333333334</v>
      </c>
      <c r="U165" s="1779"/>
      <c r="V165" s="805"/>
      <c r="W165" s="1777"/>
      <c r="X165" s="1781"/>
      <c r="Y165" s="1124"/>
      <c r="Z165" s="1124"/>
      <c r="AA165" s="1124"/>
      <c r="AB165" s="1124"/>
      <c r="AC165" s="1124"/>
      <c r="AD165" s="1124"/>
      <c r="AE165" s="1124"/>
      <c r="AF165" s="1124"/>
      <c r="AG165" s="1124"/>
    </row>
    <row r="166" spans="1:33" ht="57.75" customHeight="1" outlineLevel="2">
      <c r="A166" s="796">
        <v>1223</v>
      </c>
      <c r="B166" s="858" t="s">
        <v>786</v>
      </c>
      <c r="C166" s="1074" t="s">
        <v>787</v>
      </c>
      <c r="D166" s="805"/>
      <c r="E166" s="796"/>
      <c r="F166" s="1775"/>
      <c r="G166" s="1775"/>
      <c r="H166" s="805" t="s">
        <v>785</v>
      </c>
      <c r="I166" s="796" t="s">
        <v>170</v>
      </c>
      <c r="J166" s="792"/>
      <c r="K166" s="805" t="s">
        <v>415</v>
      </c>
      <c r="L166" s="1776">
        <v>23173</v>
      </c>
      <c r="M166" s="805"/>
      <c r="N166" s="805"/>
      <c r="O166" s="954">
        <v>1666.6666666666667</v>
      </c>
      <c r="P166" s="1937">
        <v>1</v>
      </c>
      <c r="Q166" s="1144">
        <f t="shared" si="26"/>
        <v>1666.6666666666667</v>
      </c>
      <c r="R166" s="1976"/>
      <c r="S166" s="1778"/>
      <c r="T166" s="1727">
        <v>238</v>
      </c>
      <c r="U166" s="1779"/>
      <c r="V166" s="805"/>
      <c r="W166" s="1777"/>
      <c r="X166" s="1781"/>
      <c r="Y166" s="1124"/>
      <c r="Z166" s="1124"/>
      <c r="AA166" s="1124"/>
      <c r="AB166" s="1124"/>
      <c r="AC166" s="1124"/>
      <c r="AD166" s="1124"/>
      <c r="AE166" s="1124"/>
      <c r="AF166" s="1124"/>
      <c r="AG166" s="1124"/>
    </row>
    <row r="167" spans="1:33" ht="57.75" customHeight="1" outlineLevel="2">
      <c r="A167" s="796">
        <v>1224</v>
      </c>
      <c r="B167" s="858" t="s">
        <v>788</v>
      </c>
      <c r="C167" s="1074" t="s">
        <v>789</v>
      </c>
      <c r="D167" s="805"/>
      <c r="E167" s="796">
        <v>1</v>
      </c>
      <c r="F167" s="1775">
        <v>43279</v>
      </c>
      <c r="G167" s="1775">
        <f>F167+E167-1</f>
        <v>43279</v>
      </c>
      <c r="H167" s="805" t="s">
        <v>790</v>
      </c>
      <c r="I167" s="796" t="s">
        <v>170</v>
      </c>
      <c r="J167" s="792"/>
      <c r="K167" s="805" t="s">
        <v>670</v>
      </c>
      <c r="L167" s="1776">
        <v>23173</v>
      </c>
      <c r="M167" s="805"/>
      <c r="N167" s="805"/>
      <c r="O167" s="954">
        <v>666.66666666666663</v>
      </c>
      <c r="P167" s="1937">
        <v>1</v>
      </c>
      <c r="Q167" s="1144">
        <f t="shared" si="26"/>
        <v>666.66666666666663</v>
      </c>
      <c r="R167" s="1976"/>
      <c r="S167" s="1778"/>
      <c r="T167" s="1727">
        <v>594.73333333333335</v>
      </c>
      <c r="U167" s="1779"/>
      <c r="V167" s="805"/>
      <c r="W167" s="1777"/>
      <c r="X167" s="1781"/>
      <c r="Y167" s="1124"/>
      <c r="Z167" s="1124"/>
      <c r="AA167" s="1124"/>
      <c r="AB167" s="1124"/>
      <c r="AC167" s="1124"/>
      <c r="AD167" s="1124"/>
      <c r="AE167" s="1124"/>
      <c r="AF167" s="1124"/>
      <c r="AG167" s="1124"/>
    </row>
    <row r="168" spans="1:33" ht="57.75" customHeight="1" outlineLevel="2">
      <c r="A168" s="796">
        <v>1224</v>
      </c>
      <c r="B168" s="858" t="s">
        <v>788</v>
      </c>
      <c r="C168" s="1074" t="s">
        <v>789</v>
      </c>
      <c r="D168" s="805"/>
      <c r="E168" s="796">
        <v>1</v>
      </c>
      <c r="F168" s="1775">
        <v>43279</v>
      </c>
      <c r="G168" s="1775">
        <f>F168+E168-1</f>
        <v>43279</v>
      </c>
      <c r="H168" s="805" t="s">
        <v>790</v>
      </c>
      <c r="I168" s="796" t="s">
        <v>170</v>
      </c>
      <c r="J168" s="792"/>
      <c r="K168" s="805" t="s">
        <v>415</v>
      </c>
      <c r="L168" s="1776">
        <v>23173</v>
      </c>
      <c r="M168" s="805"/>
      <c r="N168" s="805"/>
      <c r="O168" s="954">
        <v>333.33333333333331</v>
      </c>
      <c r="P168" s="1937">
        <v>1</v>
      </c>
      <c r="Q168" s="1144">
        <f t="shared" si="26"/>
        <v>333.33333333333331</v>
      </c>
      <c r="R168" s="1976"/>
      <c r="S168" s="1778"/>
      <c r="T168" s="1727">
        <v>74.332999999999998</v>
      </c>
      <c r="U168" s="1779"/>
      <c r="V168" s="805"/>
      <c r="W168" s="1777"/>
      <c r="X168" s="1781"/>
      <c r="Y168" s="1124"/>
      <c r="Z168" s="1124"/>
      <c r="AA168" s="1124"/>
      <c r="AB168" s="1124"/>
      <c r="AC168" s="1124"/>
      <c r="AD168" s="1124"/>
      <c r="AE168" s="1124"/>
      <c r="AF168" s="1124"/>
      <c r="AG168" s="1124"/>
    </row>
    <row r="169" spans="1:33" ht="57.75" customHeight="1" outlineLevel="2">
      <c r="A169" s="796">
        <v>1224</v>
      </c>
      <c r="B169" s="858" t="s">
        <v>788</v>
      </c>
      <c r="C169" s="1074" t="s">
        <v>789</v>
      </c>
      <c r="D169" s="805"/>
      <c r="E169" s="796">
        <v>1</v>
      </c>
      <c r="F169" s="1775">
        <v>43279</v>
      </c>
      <c r="G169" s="1775">
        <f>F169+E169-1</f>
        <v>43279</v>
      </c>
      <c r="H169" s="805" t="s">
        <v>790</v>
      </c>
      <c r="I169" s="796" t="s">
        <v>170</v>
      </c>
      <c r="J169" s="792"/>
      <c r="K169" s="805" t="s">
        <v>638</v>
      </c>
      <c r="L169" s="1776">
        <v>23173</v>
      </c>
      <c r="M169" s="805"/>
      <c r="N169" s="805"/>
      <c r="O169" s="954">
        <v>216</v>
      </c>
      <c r="P169" s="1937">
        <v>1</v>
      </c>
      <c r="Q169" s="1144">
        <f t="shared" si="26"/>
        <v>216</v>
      </c>
      <c r="R169" s="1976"/>
      <c r="S169" s="1778"/>
      <c r="T169" s="1727">
        <v>1666.6666666666667</v>
      </c>
      <c r="U169" s="1779"/>
      <c r="V169" s="805"/>
      <c r="W169" s="1777"/>
      <c r="X169" s="1781"/>
      <c r="Y169" s="1124"/>
      <c r="Z169" s="1124"/>
      <c r="AA169" s="1124"/>
      <c r="AB169" s="1124"/>
      <c r="AC169" s="1124"/>
      <c r="AD169" s="1124"/>
      <c r="AE169" s="1124"/>
      <c r="AF169" s="1124"/>
      <c r="AG169" s="1124"/>
    </row>
    <row r="170" spans="1:33" ht="57.75" customHeight="1" outlineLevel="2">
      <c r="A170" s="796">
        <v>1225</v>
      </c>
      <c r="B170" s="793" t="s">
        <v>791</v>
      </c>
      <c r="C170" s="857" t="s">
        <v>792</v>
      </c>
      <c r="D170" s="805"/>
      <c r="E170" s="796"/>
      <c r="F170" s="1775">
        <v>43283</v>
      </c>
      <c r="G170" s="796"/>
      <c r="H170" s="805" t="s">
        <v>793</v>
      </c>
      <c r="I170" s="796" t="s">
        <v>170</v>
      </c>
      <c r="J170" s="792"/>
      <c r="K170" s="805" t="s">
        <v>794</v>
      </c>
      <c r="L170" s="1776">
        <v>23173</v>
      </c>
      <c r="M170" s="805"/>
      <c r="N170" s="805"/>
      <c r="O170" s="954">
        <v>12705</v>
      </c>
      <c r="P170" s="1937">
        <v>1</v>
      </c>
      <c r="Q170" s="1144">
        <f t="shared" si="26"/>
        <v>12705</v>
      </c>
      <c r="R170" s="1976"/>
      <c r="S170" s="1778"/>
      <c r="T170" s="1778"/>
      <c r="U170" s="954">
        <v>4956</v>
      </c>
      <c r="V170" s="805"/>
      <c r="W170" s="805"/>
      <c r="X170" s="1781"/>
      <c r="Y170" s="1124"/>
      <c r="Z170" s="1124"/>
      <c r="AA170" s="1124"/>
      <c r="AB170" s="1124"/>
      <c r="AC170" s="1124"/>
      <c r="AD170" s="1124"/>
      <c r="AE170" s="1124"/>
      <c r="AF170" s="1124"/>
      <c r="AG170" s="1124"/>
    </row>
    <row r="171" spans="1:33" ht="57.75" customHeight="1" outlineLevel="2">
      <c r="A171" s="796">
        <v>1226</v>
      </c>
      <c r="B171" s="793" t="s">
        <v>795</v>
      </c>
      <c r="C171" s="857" t="s">
        <v>796</v>
      </c>
      <c r="D171" s="805"/>
      <c r="E171" s="796"/>
      <c r="F171" s="1775"/>
      <c r="G171" s="1775"/>
      <c r="H171" s="805" t="s">
        <v>785</v>
      </c>
      <c r="I171" s="796" t="s">
        <v>170</v>
      </c>
      <c r="J171" s="792"/>
      <c r="K171" s="805" t="s">
        <v>415</v>
      </c>
      <c r="L171" s="1776">
        <v>23173</v>
      </c>
      <c r="M171" s="805"/>
      <c r="N171" s="805"/>
      <c r="O171" s="954">
        <v>833.33333333333337</v>
      </c>
      <c r="P171" s="1937">
        <v>1</v>
      </c>
      <c r="Q171" s="1144">
        <f t="shared" si="26"/>
        <v>833.33333333333337</v>
      </c>
      <c r="R171" s="1976"/>
      <c r="S171" s="1778"/>
      <c r="T171" s="1778"/>
      <c r="U171" s="954">
        <v>290</v>
      </c>
      <c r="V171" s="805"/>
      <c r="W171" s="805"/>
      <c r="X171" s="1781"/>
      <c r="Y171" s="1124"/>
      <c r="Z171" s="1124"/>
      <c r="AA171" s="1124"/>
      <c r="AB171" s="1124"/>
      <c r="AC171" s="1124"/>
      <c r="AD171" s="1124"/>
      <c r="AE171" s="1124"/>
      <c r="AF171" s="1124"/>
      <c r="AG171" s="1124"/>
    </row>
    <row r="172" spans="1:33" ht="57.75" customHeight="1" outlineLevel="2">
      <c r="A172" s="796">
        <v>1226</v>
      </c>
      <c r="B172" s="793" t="s">
        <v>795</v>
      </c>
      <c r="C172" s="857" t="s">
        <v>796</v>
      </c>
      <c r="D172" s="805"/>
      <c r="E172" s="796"/>
      <c r="F172" s="1775"/>
      <c r="G172" s="1775"/>
      <c r="H172" s="805" t="s">
        <v>785</v>
      </c>
      <c r="I172" s="796" t="s">
        <v>170</v>
      </c>
      <c r="J172" s="792"/>
      <c r="K172" s="805" t="s">
        <v>804</v>
      </c>
      <c r="L172" s="1776">
        <v>23173</v>
      </c>
      <c r="M172" s="805"/>
      <c r="N172" s="805"/>
      <c r="O172" s="954">
        <v>35.833333333333336</v>
      </c>
      <c r="P172" s="1937">
        <v>1</v>
      </c>
      <c r="Q172" s="1144">
        <f t="shared" si="26"/>
        <v>35.833333333333336</v>
      </c>
      <c r="R172" s="1976"/>
      <c r="S172" s="1778"/>
      <c r="T172" s="1778"/>
      <c r="U172" s="954">
        <v>1440</v>
      </c>
      <c r="V172" s="805"/>
      <c r="W172" s="805"/>
      <c r="X172" s="1781"/>
      <c r="Y172" s="1124"/>
      <c r="Z172" s="1124"/>
      <c r="AA172" s="1124"/>
      <c r="AB172" s="1124"/>
      <c r="AC172" s="1124"/>
      <c r="AD172" s="1124"/>
      <c r="AE172" s="1124"/>
      <c r="AF172" s="1124"/>
      <c r="AG172" s="1124"/>
    </row>
    <row r="173" spans="1:33" ht="57.75" customHeight="1" outlineLevel="2">
      <c r="A173" s="796">
        <v>1227</v>
      </c>
      <c r="B173" s="793" t="s">
        <v>805</v>
      </c>
      <c r="C173" s="857" t="s">
        <v>806</v>
      </c>
      <c r="D173" s="805"/>
      <c r="E173" s="796"/>
      <c r="F173" s="1775">
        <v>43304</v>
      </c>
      <c r="G173" s="796"/>
      <c r="H173" s="805" t="s">
        <v>793</v>
      </c>
      <c r="I173" s="796" t="s">
        <v>170</v>
      </c>
      <c r="J173" s="792"/>
      <c r="K173" s="805" t="s">
        <v>807</v>
      </c>
      <c r="L173" s="1776">
        <v>23173</v>
      </c>
      <c r="M173" s="805"/>
      <c r="N173" s="805"/>
      <c r="O173" s="954">
        <v>1089</v>
      </c>
      <c r="P173" s="1937">
        <v>1</v>
      </c>
      <c r="Q173" s="1144">
        <f>P173*O173</f>
        <v>1089</v>
      </c>
      <c r="R173" s="1976"/>
      <c r="S173" s="1778"/>
      <c r="T173" s="1778"/>
      <c r="U173" s="954">
        <v>5040</v>
      </c>
      <c r="V173" s="805"/>
      <c r="W173" s="805"/>
      <c r="X173" s="1781"/>
      <c r="Y173" s="1124"/>
      <c r="Z173" s="1124"/>
      <c r="AA173" s="1124"/>
      <c r="AB173" s="1124"/>
      <c r="AC173" s="1124"/>
      <c r="AD173" s="1124"/>
      <c r="AE173" s="1124"/>
      <c r="AF173" s="1124"/>
      <c r="AG173" s="1124"/>
    </row>
    <row r="174" spans="1:33" ht="57.75" customHeight="1" outlineLevel="2">
      <c r="A174" s="796">
        <v>1228</v>
      </c>
      <c r="B174" s="793" t="s">
        <v>808</v>
      </c>
      <c r="C174" s="857" t="s">
        <v>809</v>
      </c>
      <c r="D174" s="805"/>
      <c r="E174" s="796">
        <v>45</v>
      </c>
      <c r="F174" s="1775"/>
      <c r="G174" s="1775"/>
      <c r="H174" s="805" t="s">
        <v>810</v>
      </c>
      <c r="I174" s="796" t="s">
        <v>170</v>
      </c>
      <c r="J174" s="792"/>
      <c r="K174" s="805" t="s">
        <v>818</v>
      </c>
      <c r="L174" s="1776">
        <v>23173</v>
      </c>
      <c r="M174" s="805"/>
      <c r="N174" s="805"/>
      <c r="O174" s="954">
        <v>205.625</v>
      </c>
      <c r="P174" s="1937">
        <v>1</v>
      </c>
      <c r="Q174" s="1144">
        <f>O174*P174</f>
        <v>205.625</v>
      </c>
      <c r="R174" s="1976"/>
      <c r="S174" s="1778"/>
      <c r="T174" s="1778"/>
      <c r="U174" s="954">
        <v>173.33333333333334</v>
      </c>
      <c r="V174" s="805"/>
      <c r="W174" s="805"/>
      <c r="X174" s="1781"/>
      <c r="Y174" s="1124"/>
      <c r="Z174" s="1124"/>
      <c r="AA174" s="1124"/>
      <c r="AB174" s="1124"/>
      <c r="AC174" s="1124"/>
      <c r="AD174" s="1124"/>
      <c r="AE174" s="1124"/>
      <c r="AF174" s="1124"/>
      <c r="AG174" s="1124"/>
    </row>
    <row r="175" spans="1:33" ht="57.75" customHeight="1" outlineLevel="2">
      <c r="A175" s="796">
        <v>1229</v>
      </c>
      <c r="B175" s="793" t="s">
        <v>819</v>
      </c>
      <c r="C175" s="857" t="s">
        <v>820</v>
      </c>
      <c r="D175" s="805"/>
      <c r="E175" s="796"/>
      <c r="F175" s="1775"/>
      <c r="G175" s="1775"/>
      <c r="H175" s="805" t="s">
        <v>774</v>
      </c>
      <c r="I175" s="796" t="s">
        <v>170</v>
      </c>
      <c r="J175" s="792"/>
      <c r="K175" s="1292" t="s">
        <v>818</v>
      </c>
      <c r="L175" s="1776">
        <v>23173</v>
      </c>
      <c r="M175" s="805"/>
      <c r="N175" s="805"/>
      <c r="O175" s="954">
        <v>534.88800000000003</v>
      </c>
      <c r="P175" s="1936">
        <v>1</v>
      </c>
      <c r="Q175" s="1144">
        <f>O175*P175</f>
        <v>534.88800000000003</v>
      </c>
      <c r="R175" s="1976"/>
      <c r="S175" s="1778"/>
      <c r="T175" s="1778"/>
      <c r="U175" s="954">
        <v>816</v>
      </c>
      <c r="V175" s="805"/>
      <c r="W175" s="805"/>
      <c r="X175" s="1781"/>
      <c r="Y175" s="1124"/>
      <c r="Z175" s="1124"/>
      <c r="AA175" s="1124"/>
      <c r="AB175" s="1124"/>
      <c r="AC175" s="1124"/>
      <c r="AD175" s="1124"/>
      <c r="AE175" s="1124"/>
      <c r="AF175" s="1124"/>
      <c r="AG175" s="1124"/>
    </row>
    <row r="176" spans="1:33" ht="57.75" customHeight="1" outlineLevel="2">
      <c r="A176" s="796">
        <v>1229</v>
      </c>
      <c r="B176" s="793" t="s">
        <v>819</v>
      </c>
      <c r="C176" s="857" t="s">
        <v>820</v>
      </c>
      <c r="D176" s="805"/>
      <c r="E176" s="796"/>
      <c r="F176" s="796"/>
      <c r="G176" s="796"/>
      <c r="H176" s="805" t="s">
        <v>774</v>
      </c>
      <c r="I176" s="796" t="s">
        <v>170</v>
      </c>
      <c r="J176" s="792"/>
      <c r="K176" s="805" t="s">
        <v>415</v>
      </c>
      <c r="L176" s="1776">
        <v>23173</v>
      </c>
      <c r="M176" s="805"/>
      <c r="N176" s="805"/>
      <c r="O176" s="954">
        <v>1666.6666666666667</v>
      </c>
      <c r="P176" s="1937">
        <v>1</v>
      </c>
      <c r="Q176" s="1144">
        <f>O176*P176</f>
        <v>1666.6666666666667</v>
      </c>
      <c r="R176" s="1976"/>
      <c r="S176" s="1778"/>
      <c r="T176" s="1778"/>
      <c r="U176" s="954">
        <v>1301.6666666666667</v>
      </c>
      <c r="V176" s="805"/>
      <c r="W176" s="805"/>
      <c r="X176" s="1781"/>
      <c r="Y176" s="1124"/>
      <c r="Z176" s="1124"/>
      <c r="AA176" s="1124"/>
      <c r="AB176" s="1124"/>
      <c r="AC176" s="1124"/>
      <c r="AD176" s="1124"/>
      <c r="AE176" s="1124"/>
      <c r="AF176" s="1124"/>
      <c r="AG176" s="1124"/>
    </row>
    <row r="177" spans="1:33" ht="57.75" customHeight="1" outlineLevel="2">
      <c r="A177" s="796">
        <v>1230</v>
      </c>
      <c r="B177" s="793" t="s">
        <v>826</v>
      </c>
      <c r="C177" s="857" t="s">
        <v>827</v>
      </c>
      <c r="D177" s="805"/>
      <c r="E177" s="796"/>
      <c r="F177" s="1775"/>
      <c r="G177" s="1775"/>
      <c r="H177" s="805" t="s">
        <v>785</v>
      </c>
      <c r="I177" s="796" t="s">
        <v>170</v>
      </c>
      <c r="J177" s="792"/>
      <c r="K177" s="1292" t="s">
        <v>835</v>
      </c>
      <c r="L177" s="1776">
        <v>23173</v>
      </c>
      <c r="M177" s="805"/>
      <c r="N177" s="805"/>
      <c r="O177" s="954">
        <v>30.331</v>
      </c>
      <c r="P177" s="1937">
        <v>1</v>
      </c>
      <c r="Q177" s="1144">
        <f>O177*P177</f>
        <v>30.331</v>
      </c>
      <c r="R177" s="1976"/>
      <c r="S177" s="1778"/>
      <c r="T177" s="1778"/>
      <c r="U177" s="954">
        <v>74.332999999999998</v>
      </c>
      <c r="V177" s="805"/>
      <c r="W177" s="805"/>
      <c r="X177" s="1781"/>
      <c r="Y177" s="1124"/>
      <c r="Z177" s="1124"/>
      <c r="AA177" s="1124"/>
      <c r="AB177" s="1124"/>
      <c r="AC177" s="1124"/>
      <c r="AD177" s="1124"/>
      <c r="AE177" s="1124"/>
      <c r="AF177" s="1124"/>
      <c r="AG177" s="1124"/>
    </row>
    <row r="178" spans="1:33" ht="57.75" customHeight="1" outlineLevel="2">
      <c r="A178" s="796">
        <v>1230</v>
      </c>
      <c r="B178" s="793" t="s">
        <v>826</v>
      </c>
      <c r="C178" s="857" t="s">
        <v>827</v>
      </c>
      <c r="D178" s="805"/>
      <c r="E178" s="796"/>
      <c r="F178" s="796"/>
      <c r="G178" s="796"/>
      <c r="H178" s="805" t="s">
        <v>785</v>
      </c>
      <c r="I178" s="796" t="s">
        <v>170</v>
      </c>
      <c r="J178" s="792"/>
      <c r="K178" s="805" t="s">
        <v>415</v>
      </c>
      <c r="L178" s="1776">
        <v>23173</v>
      </c>
      <c r="M178" s="805"/>
      <c r="N178" s="805"/>
      <c r="O178" s="954">
        <v>833.33333333333337</v>
      </c>
      <c r="P178" s="1937">
        <v>1</v>
      </c>
      <c r="Q178" s="1144">
        <f>O178*P178</f>
        <v>833.33333333333337</v>
      </c>
      <c r="R178" s="1976"/>
      <c r="S178" s="1778"/>
      <c r="T178" s="1778"/>
      <c r="U178" s="954">
        <v>1666.6666666666667</v>
      </c>
      <c r="V178" s="805"/>
      <c r="W178" s="805"/>
      <c r="X178" s="1781"/>
      <c r="Y178" s="1124"/>
      <c r="Z178" s="1124"/>
      <c r="AA178" s="1124"/>
      <c r="AB178" s="1124"/>
      <c r="AC178" s="1124"/>
      <c r="AD178" s="1124"/>
      <c r="AE178" s="1124"/>
      <c r="AF178" s="1124"/>
      <c r="AG178" s="1124"/>
    </row>
    <row r="179" spans="1:33" ht="39.950000000000003" customHeight="1" outlineLevel="1">
      <c r="A179" s="1745"/>
      <c r="B179" s="1751"/>
      <c r="C179" s="1995"/>
      <c r="D179" s="1574"/>
      <c r="E179" s="1745"/>
      <c r="F179" s="1745"/>
      <c r="G179" s="1745"/>
      <c r="H179" s="1574"/>
      <c r="I179" s="1745"/>
      <c r="J179" s="1747"/>
      <c r="K179" s="1574"/>
      <c r="L179" s="1996" t="s">
        <v>1053</v>
      </c>
      <c r="M179" s="1997"/>
      <c r="N179" s="1997"/>
      <c r="O179" s="1998"/>
      <c r="P179" s="1999"/>
      <c r="Q179" s="1998">
        <f>SUBTOTAL(9,Q161:Q178)</f>
        <v>24373.009666666661</v>
      </c>
      <c r="R179" s="1976"/>
      <c r="S179" s="1936"/>
      <c r="T179" s="1936"/>
      <c r="U179" s="1144"/>
      <c r="V179" s="1124"/>
      <c r="W179" s="1124"/>
      <c r="X179" s="1937"/>
      <c r="Y179" s="1124"/>
      <c r="Z179" s="1124"/>
      <c r="AA179" s="1124"/>
      <c r="AB179" s="1124"/>
      <c r="AC179" s="1124"/>
      <c r="AD179" s="1124"/>
      <c r="AE179" s="1124"/>
      <c r="AF179" s="1124"/>
      <c r="AG179" s="1124"/>
    </row>
    <row r="180" spans="1:33" ht="57.75" customHeight="1" outlineLevel="2">
      <c r="A180" s="796">
        <v>1221</v>
      </c>
      <c r="B180" s="793" t="s">
        <v>772</v>
      </c>
      <c r="C180" s="857" t="s">
        <v>773</v>
      </c>
      <c r="D180" s="805"/>
      <c r="E180" s="796">
        <v>10</v>
      </c>
      <c r="F180" s="1775">
        <v>43206</v>
      </c>
      <c r="G180" s="1775">
        <f t="shared" ref="G180:G211" si="27">F180+E180</f>
        <v>43216</v>
      </c>
      <c r="H180" s="805" t="s">
        <v>774</v>
      </c>
      <c r="I180" s="796" t="s">
        <v>170</v>
      </c>
      <c r="J180" s="792"/>
      <c r="K180" s="805" t="s">
        <v>775</v>
      </c>
      <c r="L180" s="1776">
        <v>23174</v>
      </c>
      <c r="M180" s="805"/>
      <c r="N180" s="805"/>
      <c r="O180" s="954">
        <v>4536</v>
      </c>
      <c r="P180" s="1937">
        <v>1</v>
      </c>
      <c r="Q180" s="1144">
        <f t="shared" ref="Q180:Q225" si="28">O180*P180</f>
        <v>4536</v>
      </c>
      <c r="R180" s="1976"/>
      <c r="S180" s="1778"/>
      <c r="T180" s="1778"/>
      <c r="U180" s="954">
        <v>4956</v>
      </c>
      <c r="V180" s="805"/>
      <c r="W180" s="805"/>
      <c r="X180" s="1781"/>
      <c r="Y180" s="1124"/>
      <c r="Z180" s="1124"/>
      <c r="AA180" s="1124"/>
      <c r="AB180" s="1124"/>
      <c r="AC180" s="1124"/>
      <c r="AD180" s="1124"/>
      <c r="AE180" s="1124"/>
      <c r="AF180" s="1124"/>
      <c r="AG180" s="1124"/>
    </row>
    <row r="181" spans="1:33" ht="57.75" customHeight="1" outlineLevel="2">
      <c r="A181" s="796">
        <v>1221</v>
      </c>
      <c r="B181" s="793" t="s">
        <v>772</v>
      </c>
      <c r="C181" s="857" t="s">
        <v>773</v>
      </c>
      <c r="D181" s="805"/>
      <c r="E181" s="796">
        <v>10</v>
      </c>
      <c r="F181" s="1775">
        <v>43206</v>
      </c>
      <c r="G181" s="1775">
        <f t="shared" si="27"/>
        <v>43216</v>
      </c>
      <c r="H181" s="805" t="s">
        <v>774</v>
      </c>
      <c r="I181" s="796" t="s">
        <v>170</v>
      </c>
      <c r="J181" s="792"/>
      <c r="K181" s="805" t="s">
        <v>776</v>
      </c>
      <c r="L181" s="1776">
        <v>23174</v>
      </c>
      <c r="M181" s="805"/>
      <c r="N181" s="805"/>
      <c r="O181" s="954">
        <v>1320</v>
      </c>
      <c r="P181" s="1937">
        <v>1</v>
      </c>
      <c r="Q181" s="1144">
        <f t="shared" si="28"/>
        <v>1320</v>
      </c>
      <c r="R181" s="1976"/>
      <c r="S181" s="1778"/>
      <c r="T181" s="1778"/>
      <c r="U181" s="954">
        <v>290</v>
      </c>
      <c r="V181" s="805"/>
      <c r="W181" s="805"/>
      <c r="X181" s="1781"/>
      <c r="Y181" s="1124"/>
      <c r="Z181" s="1124"/>
      <c r="AA181" s="1124"/>
      <c r="AB181" s="1124"/>
      <c r="AC181" s="1124"/>
      <c r="AD181" s="1124"/>
      <c r="AE181" s="1124"/>
      <c r="AF181" s="1124"/>
      <c r="AG181" s="1124"/>
    </row>
    <row r="182" spans="1:33" ht="57.75" customHeight="1" outlineLevel="2">
      <c r="A182" s="796">
        <v>1221</v>
      </c>
      <c r="B182" s="793" t="s">
        <v>772</v>
      </c>
      <c r="C182" s="857" t="s">
        <v>773</v>
      </c>
      <c r="D182" s="805"/>
      <c r="E182" s="796">
        <v>10</v>
      </c>
      <c r="F182" s="1775">
        <v>43206</v>
      </c>
      <c r="G182" s="1775">
        <f t="shared" si="27"/>
        <v>43216</v>
      </c>
      <c r="H182" s="805" t="s">
        <v>774</v>
      </c>
      <c r="I182" s="796" t="s">
        <v>170</v>
      </c>
      <c r="J182" s="792"/>
      <c r="K182" s="805" t="s">
        <v>777</v>
      </c>
      <c r="L182" s="1776">
        <v>23174</v>
      </c>
      <c r="M182" s="805"/>
      <c r="N182" s="805"/>
      <c r="O182" s="954">
        <v>260</v>
      </c>
      <c r="P182" s="1937">
        <v>1</v>
      </c>
      <c r="Q182" s="1144">
        <f t="shared" si="28"/>
        <v>260</v>
      </c>
      <c r="R182" s="1976"/>
      <c r="S182" s="1778"/>
      <c r="T182" s="1778"/>
      <c r="U182" s="954">
        <v>1440</v>
      </c>
      <c r="V182" s="805"/>
      <c r="W182" s="805"/>
      <c r="X182" s="1781"/>
      <c r="Y182" s="1124"/>
      <c r="Z182" s="1124"/>
      <c r="AA182" s="1124"/>
      <c r="AB182" s="1124"/>
      <c r="AC182" s="1124"/>
      <c r="AD182" s="1124"/>
      <c r="AE182" s="1124"/>
      <c r="AF182" s="1124"/>
      <c r="AG182" s="1124"/>
    </row>
    <row r="183" spans="1:33" ht="57.75" customHeight="1" outlineLevel="2">
      <c r="A183" s="796">
        <v>1221</v>
      </c>
      <c r="B183" s="793" t="s">
        <v>772</v>
      </c>
      <c r="C183" s="857" t="s">
        <v>773</v>
      </c>
      <c r="D183" s="805"/>
      <c r="E183" s="796">
        <v>10</v>
      </c>
      <c r="F183" s="1775">
        <v>43206</v>
      </c>
      <c r="G183" s="1775">
        <f t="shared" si="27"/>
        <v>43216</v>
      </c>
      <c r="H183" s="805" t="s">
        <v>774</v>
      </c>
      <c r="I183" s="796" t="s">
        <v>170</v>
      </c>
      <c r="J183" s="792"/>
      <c r="K183" s="805" t="s">
        <v>778</v>
      </c>
      <c r="L183" s="1776">
        <v>23174</v>
      </c>
      <c r="M183" s="805"/>
      <c r="N183" s="805"/>
      <c r="O183" s="954">
        <v>4573.333333333333</v>
      </c>
      <c r="P183" s="1937">
        <v>1</v>
      </c>
      <c r="Q183" s="1144">
        <f t="shared" si="28"/>
        <v>4573.333333333333</v>
      </c>
      <c r="R183" s="1976"/>
      <c r="S183" s="1778"/>
      <c r="T183" s="1778"/>
      <c r="U183" s="954">
        <v>5040</v>
      </c>
      <c r="V183" s="805"/>
      <c r="W183" s="805"/>
      <c r="X183" s="1781"/>
      <c r="Y183" s="1124"/>
      <c r="Z183" s="1124"/>
      <c r="AA183" s="1124"/>
      <c r="AB183" s="1124"/>
      <c r="AC183" s="1124"/>
      <c r="AD183" s="1124"/>
      <c r="AE183" s="1124"/>
      <c r="AF183" s="1124"/>
      <c r="AG183" s="1124"/>
    </row>
    <row r="184" spans="1:33" ht="57.75" customHeight="1" outlineLevel="2">
      <c r="A184" s="796">
        <v>1221</v>
      </c>
      <c r="B184" s="793" t="s">
        <v>772</v>
      </c>
      <c r="C184" s="857" t="s">
        <v>773</v>
      </c>
      <c r="D184" s="805"/>
      <c r="E184" s="796">
        <v>10</v>
      </c>
      <c r="F184" s="1775">
        <v>43206</v>
      </c>
      <c r="G184" s="1775">
        <f t="shared" si="27"/>
        <v>43216</v>
      </c>
      <c r="H184" s="805" t="s">
        <v>774</v>
      </c>
      <c r="I184" s="796" t="s">
        <v>170</v>
      </c>
      <c r="J184" s="792"/>
      <c r="K184" s="805" t="s">
        <v>779</v>
      </c>
      <c r="L184" s="1776">
        <v>23174</v>
      </c>
      <c r="M184" s="805"/>
      <c r="N184" s="805"/>
      <c r="O184" s="954">
        <v>153.33333333333334</v>
      </c>
      <c r="P184" s="1937">
        <v>1</v>
      </c>
      <c r="Q184" s="1144">
        <f t="shared" si="28"/>
        <v>153.33333333333334</v>
      </c>
      <c r="R184" s="1976"/>
      <c r="S184" s="1778"/>
      <c r="T184" s="1778"/>
      <c r="U184" s="954">
        <v>173.33333333333334</v>
      </c>
      <c r="V184" s="805"/>
      <c r="W184" s="805"/>
      <c r="X184" s="1781"/>
      <c r="Y184" s="1124"/>
      <c r="Z184" s="1124"/>
      <c r="AA184" s="1124"/>
      <c r="AB184" s="1124"/>
      <c r="AC184" s="1124"/>
      <c r="AD184" s="1124"/>
      <c r="AE184" s="1124"/>
      <c r="AF184" s="1124"/>
      <c r="AG184" s="1124"/>
    </row>
    <row r="185" spans="1:33" ht="57.75" customHeight="1" outlineLevel="2">
      <c r="A185" s="796">
        <v>1221</v>
      </c>
      <c r="B185" s="793" t="s">
        <v>772</v>
      </c>
      <c r="C185" s="857" t="s">
        <v>773</v>
      </c>
      <c r="D185" s="805"/>
      <c r="E185" s="796">
        <v>10</v>
      </c>
      <c r="F185" s="1775">
        <v>43206</v>
      </c>
      <c r="G185" s="1775">
        <f t="shared" si="27"/>
        <v>43216</v>
      </c>
      <c r="H185" s="805" t="s">
        <v>774</v>
      </c>
      <c r="I185" s="796" t="s">
        <v>170</v>
      </c>
      <c r="J185" s="792"/>
      <c r="K185" s="805" t="s">
        <v>780</v>
      </c>
      <c r="L185" s="1776">
        <v>23174</v>
      </c>
      <c r="M185" s="805"/>
      <c r="N185" s="805"/>
      <c r="O185" s="954">
        <v>238</v>
      </c>
      <c r="P185" s="1937">
        <v>1</v>
      </c>
      <c r="Q185" s="1144">
        <f t="shared" si="28"/>
        <v>238</v>
      </c>
      <c r="R185" s="1976"/>
      <c r="S185" s="1778"/>
      <c r="T185" s="1778"/>
      <c r="U185" s="954">
        <v>816</v>
      </c>
      <c r="V185" s="805"/>
      <c r="W185" s="805"/>
      <c r="X185" s="1781"/>
      <c r="Y185" s="1124"/>
      <c r="Z185" s="1124"/>
      <c r="AA185" s="1124"/>
      <c r="AB185" s="1124"/>
      <c r="AC185" s="1124"/>
      <c r="AD185" s="1124"/>
      <c r="AE185" s="1124"/>
      <c r="AF185" s="1124"/>
      <c r="AG185" s="1124"/>
    </row>
    <row r="186" spans="1:33" ht="57.75" customHeight="1" outlineLevel="2">
      <c r="A186" s="796">
        <v>1221</v>
      </c>
      <c r="B186" s="793" t="s">
        <v>772</v>
      </c>
      <c r="C186" s="857" t="s">
        <v>773</v>
      </c>
      <c r="D186" s="805"/>
      <c r="E186" s="796">
        <v>10</v>
      </c>
      <c r="F186" s="1775">
        <v>43206</v>
      </c>
      <c r="G186" s="1775">
        <f t="shared" si="27"/>
        <v>43216</v>
      </c>
      <c r="H186" s="805" t="s">
        <v>774</v>
      </c>
      <c r="I186" s="796" t="s">
        <v>170</v>
      </c>
      <c r="J186" s="792"/>
      <c r="K186" s="805" t="s">
        <v>781</v>
      </c>
      <c r="L186" s="1776">
        <v>23174</v>
      </c>
      <c r="M186" s="805"/>
      <c r="N186" s="805"/>
      <c r="O186" s="954">
        <v>594.73333333333335</v>
      </c>
      <c r="P186" s="1937">
        <v>1</v>
      </c>
      <c r="Q186" s="1144">
        <f t="shared" si="28"/>
        <v>594.73333333333335</v>
      </c>
      <c r="R186" s="1976"/>
      <c r="S186" s="1778"/>
      <c r="T186" s="1778"/>
      <c r="U186" s="954">
        <v>1301.6666666666667</v>
      </c>
      <c r="V186" s="805"/>
      <c r="W186" s="805"/>
      <c r="X186" s="1781"/>
      <c r="Y186" s="1124"/>
      <c r="Z186" s="1124"/>
      <c r="AA186" s="1124"/>
      <c r="AB186" s="1124"/>
      <c r="AC186" s="1124"/>
      <c r="AD186" s="1124"/>
      <c r="AE186" s="1124"/>
      <c r="AF186" s="1124"/>
      <c r="AG186" s="1124"/>
    </row>
    <row r="187" spans="1:33" ht="57.75" customHeight="1" outlineLevel="2">
      <c r="A187" s="796">
        <v>1222</v>
      </c>
      <c r="B187" s="793" t="s">
        <v>783</v>
      </c>
      <c r="C187" s="857" t="s">
        <v>784</v>
      </c>
      <c r="D187" s="805"/>
      <c r="E187" s="796">
        <v>10</v>
      </c>
      <c r="F187" s="1775">
        <v>43227</v>
      </c>
      <c r="G187" s="1775">
        <f t="shared" si="27"/>
        <v>43237</v>
      </c>
      <c r="H187" s="805" t="s">
        <v>785</v>
      </c>
      <c r="I187" s="796" t="s">
        <v>170</v>
      </c>
      <c r="J187" s="792"/>
      <c r="K187" s="805" t="s">
        <v>775</v>
      </c>
      <c r="L187" s="1776">
        <v>23174</v>
      </c>
      <c r="M187" s="805"/>
      <c r="N187" s="805"/>
      <c r="O187" s="954">
        <v>4956</v>
      </c>
      <c r="P187" s="1937">
        <v>1</v>
      </c>
      <c r="Q187" s="1144">
        <f t="shared" si="28"/>
        <v>4956</v>
      </c>
      <c r="R187" s="1976"/>
      <c r="S187" s="1778"/>
      <c r="T187" s="1778"/>
      <c r="U187" s="954">
        <v>74.332999999999998</v>
      </c>
      <c r="V187" s="805"/>
      <c r="W187" s="805"/>
      <c r="X187" s="1781"/>
      <c r="Y187" s="1124"/>
      <c r="Z187" s="1124"/>
      <c r="AA187" s="1124"/>
      <c r="AB187" s="1124"/>
      <c r="AC187" s="1124"/>
      <c r="AD187" s="1124"/>
      <c r="AE187" s="1124"/>
      <c r="AF187" s="1124"/>
      <c r="AG187" s="1124"/>
    </row>
    <row r="188" spans="1:33" ht="57.75" customHeight="1" outlineLevel="2">
      <c r="A188" s="796">
        <v>1222</v>
      </c>
      <c r="B188" s="793" t="s">
        <v>783</v>
      </c>
      <c r="C188" s="857" t="s">
        <v>784</v>
      </c>
      <c r="D188" s="805"/>
      <c r="E188" s="796">
        <v>10</v>
      </c>
      <c r="F188" s="1775">
        <v>43227</v>
      </c>
      <c r="G188" s="1775">
        <f t="shared" si="27"/>
        <v>43237</v>
      </c>
      <c r="H188" s="805" t="s">
        <v>785</v>
      </c>
      <c r="I188" s="796" t="s">
        <v>170</v>
      </c>
      <c r="J188" s="792"/>
      <c r="K188" s="805" t="s">
        <v>777</v>
      </c>
      <c r="L188" s="1776">
        <v>23174</v>
      </c>
      <c r="M188" s="805"/>
      <c r="N188" s="805"/>
      <c r="O188" s="954">
        <v>290</v>
      </c>
      <c r="P188" s="1937">
        <v>1</v>
      </c>
      <c r="Q188" s="1144">
        <f t="shared" si="28"/>
        <v>290</v>
      </c>
      <c r="R188" s="1976"/>
      <c r="S188" s="1778"/>
      <c r="T188" s="1778"/>
      <c r="U188" s="954">
        <v>1666.6666666666667</v>
      </c>
      <c r="V188" s="805"/>
      <c r="W188" s="805"/>
      <c r="X188" s="1781"/>
      <c r="Y188" s="1124"/>
      <c r="Z188" s="1124"/>
      <c r="AA188" s="1124"/>
      <c r="AB188" s="1124"/>
      <c r="AC188" s="1124"/>
      <c r="AD188" s="1124"/>
      <c r="AE188" s="1124"/>
      <c r="AF188" s="1124"/>
      <c r="AG188" s="1124"/>
    </row>
    <row r="189" spans="1:33" ht="57.75" customHeight="1" outlineLevel="2">
      <c r="A189" s="796">
        <v>1222</v>
      </c>
      <c r="B189" s="793" t="s">
        <v>783</v>
      </c>
      <c r="C189" s="1074" t="s">
        <v>784</v>
      </c>
      <c r="D189" s="805"/>
      <c r="E189" s="796">
        <v>10</v>
      </c>
      <c r="F189" s="1775">
        <v>43227</v>
      </c>
      <c r="G189" s="1775">
        <f t="shared" si="27"/>
        <v>43237</v>
      </c>
      <c r="H189" s="805" t="s">
        <v>785</v>
      </c>
      <c r="I189" s="796" t="s">
        <v>170</v>
      </c>
      <c r="J189" s="792"/>
      <c r="K189" s="805" t="s">
        <v>776</v>
      </c>
      <c r="L189" s="1776">
        <v>23174</v>
      </c>
      <c r="M189" s="805"/>
      <c r="N189" s="805"/>
      <c r="O189" s="954">
        <v>1440</v>
      </c>
      <c r="P189" s="1937">
        <v>1</v>
      </c>
      <c r="Q189" s="1144">
        <f t="shared" si="28"/>
        <v>1440</v>
      </c>
      <c r="R189" s="1976"/>
      <c r="S189" s="1778"/>
      <c r="T189" s="1779"/>
      <c r="U189" s="954">
        <v>666.66666666666663</v>
      </c>
      <c r="V189" s="805"/>
      <c r="W189" s="805"/>
      <c r="X189" s="1781"/>
      <c r="Y189" s="1124"/>
      <c r="Z189" s="1124"/>
      <c r="AA189" s="1124"/>
      <c r="AB189" s="1124"/>
      <c r="AC189" s="1124"/>
      <c r="AD189" s="1124"/>
      <c r="AE189" s="1124"/>
      <c r="AF189" s="1124"/>
      <c r="AG189" s="1124"/>
    </row>
    <row r="190" spans="1:33" ht="57.75" customHeight="1" outlineLevel="2">
      <c r="A190" s="796">
        <v>1222</v>
      </c>
      <c r="B190" s="793" t="s">
        <v>783</v>
      </c>
      <c r="C190" s="1074" t="s">
        <v>784</v>
      </c>
      <c r="D190" s="805"/>
      <c r="E190" s="796">
        <v>10</v>
      </c>
      <c r="F190" s="1775">
        <v>43227</v>
      </c>
      <c r="G190" s="1775">
        <f t="shared" si="27"/>
        <v>43237</v>
      </c>
      <c r="H190" s="805" t="s">
        <v>785</v>
      </c>
      <c r="I190" s="796" t="s">
        <v>170</v>
      </c>
      <c r="J190" s="792"/>
      <c r="K190" s="805" t="s">
        <v>778</v>
      </c>
      <c r="L190" s="1776">
        <v>23174</v>
      </c>
      <c r="M190" s="805"/>
      <c r="N190" s="805"/>
      <c r="O190" s="954">
        <v>5040</v>
      </c>
      <c r="P190" s="1937">
        <v>1</v>
      </c>
      <c r="Q190" s="1144">
        <f t="shared" si="28"/>
        <v>5040</v>
      </c>
      <c r="R190" s="1976"/>
      <c r="S190" s="1778"/>
      <c r="T190" s="1778"/>
      <c r="U190" s="954">
        <v>333.33333333333331</v>
      </c>
      <c r="V190" s="805"/>
      <c r="W190" s="805"/>
      <c r="X190" s="1781"/>
      <c r="Y190" s="1124"/>
      <c r="Z190" s="1124"/>
      <c r="AA190" s="1124"/>
      <c r="AB190" s="1124"/>
      <c r="AC190" s="1124"/>
      <c r="AD190" s="1124"/>
      <c r="AE190" s="1124"/>
      <c r="AF190" s="1124"/>
      <c r="AG190" s="1124"/>
    </row>
    <row r="191" spans="1:33" ht="57.75" customHeight="1" outlineLevel="2">
      <c r="A191" s="796">
        <v>1222</v>
      </c>
      <c r="B191" s="793" t="s">
        <v>783</v>
      </c>
      <c r="C191" s="1074" t="s">
        <v>784</v>
      </c>
      <c r="D191" s="805"/>
      <c r="E191" s="796">
        <v>10</v>
      </c>
      <c r="F191" s="1775">
        <v>43227</v>
      </c>
      <c r="G191" s="1775">
        <f t="shared" si="27"/>
        <v>43237</v>
      </c>
      <c r="H191" s="805" t="s">
        <v>785</v>
      </c>
      <c r="I191" s="796" t="s">
        <v>170</v>
      </c>
      <c r="J191" s="792"/>
      <c r="K191" s="805" t="s">
        <v>779</v>
      </c>
      <c r="L191" s="1776">
        <v>23174</v>
      </c>
      <c r="M191" s="805"/>
      <c r="N191" s="805"/>
      <c r="O191" s="954">
        <v>173.33333333333334</v>
      </c>
      <c r="P191" s="1937">
        <v>1</v>
      </c>
      <c r="Q191" s="1144">
        <f t="shared" si="28"/>
        <v>173.33333333333334</v>
      </c>
      <c r="R191" s="1976"/>
      <c r="S191" s="1778"/>
      <c r="T191" s="1778"/>
      <c r="U191" s="954">
        <v>216</v>
      </c>
      <c r="V191" s="805"/>
      <c r="W191" s="805"/>
      <c r="X191" s="1781"/>
      <c r="Y191" s="1124"/>
      <c r="Z191" s="1124"/>
      <c r="AA191" s="1124"/>
      <c r="AB191" s="1124"/>
      <c r="AC191" s="1124"/>
      <c r="AD191" s="1124"/>
      <c r="AE191" s="1124"/>
      <c r="AF191" s="1124"/>
      <c r="AG191" s="1124"/>
    </row>
    <row r="192" spans="1:33" ht="57.75" customHeight="1" outlineLevel="2">
      <c r="A192" s="796">
        <v>1222</v>
      </c>
      <c r="B192" s="793" t="s">
        <v>783</v>
      </c>
      <c r="C192" s="1074" t="s">
        <v>784</v>
      </c>
      <c r="D192" s="805"/>
      <c r="E192" s="796">
        <v>10</v>
      </c>
      <c r="F192" s="1775">
        <v>43227</v>
      </c>
      <c r="G192" s="1775">
        <f t="shared" si="27"/>
        <v>43237</v>
      </c>
      <c r="H192" s="805" t="s">
        <v>785</v>
      </c>
      <c r="I192" s="796" t="s">
        <v>170</v>
      </c>
      <c r="J192" s="792"/>
      <c r="K192" s="805" t="s">
        <v>780</v>
      </c>
      <c r="L192" s="1776">
        <v>23174</v>
      </c>
      <c r="M192" s="805"/>
      <c r="N192" s="805"/>
      <c r="O192" s="954">
        <v>816</v>
      </c>
      <c r="P192" s="1937">
        <v>1</v>
      </c>
      <c r="Q192" s="1144">
        <f t="shared" si="28"/>
        <v>816</v>
      </c>
      <c r="R192" s="1976"/>
      <c r="S192" s="1778"/>
      <c r="T192" s="1778"/>
      <c r="U192" s="1778"/>
      <c r="V192" s="1778">
        <v>12705</v>
      </c>
      <c r="W192" s="1778"/>
      <c r="X192" s="1783"/>
      <c r="Y192" s="1743"/>
      <c r="Z192" s="1743"/>
      <c r="AA192" s="1743"/>
      <c r="AB192" s="1743"/>
      <c r="AC192" s="1743"/>
      <c r="AD192" s="1743"/>
      <c r="AE192" s="1743"/>
      <c r="AF192" s="1743"/>
      <c r="AG192" s="1199"/>
    </row>
    <row r="193" spans="1:33" ht="57.75" customHeight="1" outlineLevel="2">
      <c r="A193" s="796">
        <v>1222</v>
      </c>
      <c r="B193" s="793" t="s">
        <v>783</v>
      </c>
      <c r="C193" s="1074" t="s">
        <v>784</v>
      </c>
      <c r="D193" s="805"/>
      <c r="E193" s="796">
        <v>10</v>
      </c>
      <c r="F193" s="1775">
        <v>43227</v>
      </c>
      <c r="G193" s="1775">
        <f t="shared" si="27"/>
        <v>43237</v>
      </c>
      <c r="H193" s="805" t="s">
        <v>785</v>
      </c>
      <c r="I193" s="796" t="s">
        <v>170</v>
      </c>
      <c r="J193" s="792"/>
      <c r="K193" s="805" t="s">
        <v>781</v>
      </c>
      <c r="L193" s="1776">
        <v>23174</v>
      </c>
      <c r="M193" s="805"/>
      <c r="N193" s="805"/>
      <c r="O193" s="954">
        <v>1301.6666666666667</v>
      </c>
      <c r="P193" s="1937">
        <v>1</v>
      </c>
      <c r="Q193" s="1144">
        <f t="shared" si="28"/>
        <v>1301.6666666666667</v>
      </c>
      <c r="R193" s="1976"/>
      <c r="S193" s="1778"/>
      <c r="T193" s="1778"/>
      <c r="U193" s="1779"/>
      <c r="V193" s="954">
        <v>1680</v>
      </c>
      <c r="W193" s="805"/>
      <c r="X193" s="1781"/>
      <c r="Y193" s="1124"/>
      <c r="Z193" s="1124"/>
      <c r="AA193" s="1124"/>
      <c r="AB193" s="1124"/>
      <c r="AC193" s="1124"/>
      <c r="AD193" s="1124"/>
      <c r="AE193" s="1124"/>
      <c r="AF193" s="1124"/>
      <c r="AG193" s="1124"/>
    </row>
    <row r="194" spans="1:33" ht="57.75" customHeight="1" outlineLevel="2">
      <c r="A194" s="796">
        <v>1223</v>
      </c>
      <c r="B194" s="793" t="s">
        <v>786</v>
      </c>
      <c r="C194" s="1074" t="s">
        <v>787</v>
      </c>
      <c r="D194" s="805"/>
      <c r="E194" s="796">
        <v>10</v>
      </c>
      <c r="F194" s="1775">
        <v>43262</v>
      </c>
      <c r="G194" s="1775">
        <f t="shared" si="27"/>
        <v>43272</v>
      </c>
      <c r="H194" s="805" t="s">
        <v>785</v>
      </c>
      <c r="I194" s="796" t="s">
        <v>170</v>
      </c>
      <c r="J194" s="792"/>
      <c r="K194" s="805" t="s">
        <v>775</v>
      </c>
      <c r="L194" s="1776">
        <v>23174</v>
      </c>
      <c r="M194" s="805"/>
      <c r="N194" s="805"/>
      <c r="O194" s="954">
        <v>4956</v>
      </c>
      <c r="P194" s="1937">
        <v>1</v>
      </c>
      <c r="Q194" s="1144">
        <f t="shared" si="28"/>
        <v>4956</v>
      </c>
      <c r="R194" s="1976"/>
      <c r="S194" s="1778"/>
      <c r="T194" s="1778"/>
      <c r="U194" s="1779"/>
      <c r="V194" s="954">
        <v>900</v>
      </c>
      <c r="W194" s="805"/>
      <c r="X194" s="1781"/>
      <c r="Y194" s="1124"/>
      <c r="Z194" s="1124"/>
      <c r="AA194" s="1124"/>
      <c r="AB194" s="1124"/>
      <c r="AC194" s="1124"/>
      <c r="AD194" s="1124"/>
      <c r="AE194" s="1124"/>
      <c r="AF194" s="1124"/>
      <c r="AG194" s="1124"/>
    </row>
    <row r="195" spans="1:33" ht="57.75" customHeight="1" outlineLevel="2">
      <c r="A195" s="796">
        <v>1223</v>
      </c>
      <c r="B195" s="793" t="s">
        <v>786</v>
      </c>
      <c r="C195" s="1074" t="s">
        <v>787</v>
      </c>
      <c r="D195" s="805"/>
      <c r="E195" s="796">
        <v>10</v>
      </c>
      <c r="F195" s="1775">
        <v>43262</v>
      </c>
      <c r="G195" s="1775">
        <f t="shared" si="27"/>
        <v>43272</v>
      </c>
      <c r="H195" s="805" t="s">
        <v>785</v>
      </c>
      <c r="I195" s="796" t="s">
        <v>170</v>
      </c>
      <c r="J195" s="792"/>
      <c r="K195" s="805" t="s">
        <v>777</v>
      </c>
      <c r="L195" s="1776">
        <v>23174</v>
      </c>
      <c r="M195" s="805"/>
      <c r="N195" s="805"/>
      <c r="O195" s="954">
        <v>290</v>
      </c>
      <c r="P195" s="1937">
        <v>1</v>
      </c>
      <c r="Q195" s="1144">
        <f t="shared" si="28"/>
        <v>290</v>
      </c>
      <c r="R195" s="1976"/>
      <c r="S195" s="1778"/>
      <c r="T195" s="1778"/>
      <c r="U195" s="1779"/>
      <c r="V195" s="954">
        <v>120</v>
      </c>
      <c r="W195" s="805"/>
      <c r="X195" s="1781"/>
      <c r="Y195" s="1124"/>
      <c r="Z195" s="1124"/>
      <c r="AA195" s="1124"/>
      <c r="AB195" s="1124"/>
      <c r="AC195" s="1124"/>
      <c r="AD195" s="1124"/>
      <c r="AE195" s="1124"/>
      <c r="AF195" s="1124"/>
      <c r="AG195" s="1124"/>
    </row>
    <row r="196" spans="1:33" ht="57.75" customHeight="1" outlineLevel="2">
      <c r="A196" s="796">
        <v>1223</v>
      </c>
      <c r="B196" s="793" t="s">
        <v>786</v>
      </c>
      <c r="C196" s="1074" t="s">
        <v>787</v>
      </c>
      <c r="D196" s="805"/>
      <c r="E196" s="796">
        <v>10</v>
      </c>
      <c r="F196" s="1775">
        <v>43262</v>
      </c>
      <c r="G196" s="1775">
        <f t="shared" si="27"/>
        <v>43272</v>
      </c>
      <c r="H196" s="805" t="s">
        <v>785</v>
      </c>
      <c r="I196" s="796" t="s">
        <v>170</v>
      </c>
      <c r="J196" s="792"/>
      <c r="K196" s="805" t="s">
        <v>776</v>
      </c>
      <c r="L196" s="1776">
        <v>23174</v>
      </c>
      <c r="M196" s="805"/>
      <c r="N196" s="805"/>
      <c r="O196" s="954">
        <v>1440</v>
      </c>
      <c r="P196" s="1937">
        <v>1</v>
      </c>
      <c r="Q196" s="1144">
        <f t="shared" si="28"/>
        <v>1440</v>
      </c>
      <c r="R196" s="1976"/>
      <c r="S196" s="1778"/>
      <c r="T196" s="1778"/>
      <c r="U196" s="1779"/>
      <c r="V196" s="954">
        <v>773.33333333333337</v>
      </c>
      <c r="W196" s="805"/>
      <c r="X196" s="1781"/>
      <c r="Y196" s="1124"/>
      <c r="Z196" s="1124"/>
      <c r="AA196" s="1124"/>
      <c r="AB196" s="1124"/>
      <c r="AC196" s="1124"/>
      <c r="AD196" s="1124"/>
      <c r="AE196" s="1124"/>
      <c r="AF196" s="1124"/>
      <c r="AG196" s="1124"/>
    </row>
    <row r="197" spans="1:33" ht="57.75" customHeight="1" outlineLevel="2">
      <c r="A197" s="796">
        <v>1223</v>
      </c>
      <c r="B197" s="793" t="s">
        <v>786</v>
      </c>
      <c r="C197" s="1074" t="s">
        <v>787</v>
      </c>
      <c r="D197" s="805"/>
      <c r="E197" s="796">
        <v>10</v>
      </c>
      <c r="F197" s="1775">
        <v>43262</v>
      </c>
      <c r="G197" s="1775">
        <f t="shared" si="27"/>
        <v>43272</v>
      </c>
      <c r="H197" s="805" t="s">
        <v>785</v>
      </c>
      <c r="I197" s="796" t="s">
        <v>170</v>
      </c>
      <c r="J197" s="792"/>
      <c r="K197" s="805" t="s">
        <v>778</v>
      </c>
      <c r="L197" s="1776">
        <v>23174</v>
      </c>
      <c r="M197" s="805"/>
      <c r="N197" s="805"/>
      <c r="O197" s="954">
        <v>5040</v>
      </c>
      <c r="P197" s="1937">
        <v>1</v>
      </c>
      <c r="Q197" s="1144">
        <f t="shared" si="28"/>
        <v>5040</v>
      </c>
      <c r="R197" s="1976"/>
      <c r="S197" s="1778"/>
      <c r="T197" s="1778"/>
      <c r="U197" s="1779"/>
      <c r="V197" s="954">
        <v>106.66666666666667</v>
      </c>
      <c r="W197" s="805"/>
      <c r="X197" s="1781"/>
      <c r="Y197" s="1124"/>
      <c r="Z197" s="1124"/>
      <c r="AA197" s="1124"/>
      <c r="AB197" s="1124"/>
      <c r="AC197" s="1124"/>
      <c r="AD197" s="1124"/>
      <c r="AE197" s="1124"/>
      <c r="AF197" s="1124"/>
      <c r="AG197" s="1124"/>
    </row>
    <row r="198" spans="1:33" ht="57.75" customHeight="1" outlineLevel="2">
      <c r="A198" s="796">
        <v>1223</v>
      </c>
      <c r="B198" s="793" t="s">
        <v>786</v>
      </c>
      <c r="C198" s="1074" t="s">
        <v>787</v>
      </c>
      <c r="D198" s="805"/>
      <c r="E198" s="796">
        <v>10</v>
      </c>
      <c r="F198" s="1775">
        <v>43262</v>
      </c>
      <c r="G198" s="1775">
        <f t="shared" si="27"/>
        <v>43272</v>
      </c>
      <c r="H198" s="805" t="s">
        <v>785</v>
      </c>
      <c r="I198" s="796" t="s">
        <v>170</v>
      </c>
      <c r="J198" s="792"/>
      <c r="K198" s="805" t="s">
        <v>779</v>
      </c>
      <c r="L198" s="1776">
        <v>23174</v>
      </c>
      <c r="M198" s="805"/>
      <c r="N198" s="805"/>
      <c r="O198" s="954">
        <v>173.33333333333334</v>
      </c>
      <c r="P198" s="1937">
        <v>1</v>
      </c>
      <c r="Q198" s="1144">
        <f t="shared" si="28"/>
        <v>173.33333333333334</v>
      </c>
      <c r="R198" s="1976"/>
      <c r="S198" s="1778"/>
      <c r="T198" s="1778"/>
      <c r="U198" s="1779"/>
      <c r="V198" s="954">
        <v>816</v>
      </c>
      <c r="W198" s="805"/>
      <c r="X198" s="1781"/>
      <c r="Y198" s="1124"/>
      <c r="Z198" s="1124"/>
      <c r="AA198" s="1124"/>
      <c r="AB198" s="1124"/>
      <c r="AC198" s="1124"/>
      <c r="AD198" s="1124"/>
      <c r="AE198" s="1124"/>
      <c r="AF198" s="1124"/>
      <c r="AG198" s="1124"/>
    </row>
    <row r="199" spans="1:33" ht="57.75" customHeight="1" outlineLevel="2">
      <c r="A199" s="796">
        <v>1223</v>
      </c>
      <c r="B199" s="793" t="s">
        <v>786</v>
      </c>
      <c r="C199" s="1074" t="s">
        <v>787</v>
      </c>
      <c r="D199" s="805"/>
      <c r="E199" s="796">
        <v>10</v>
      </c>
      <c r="F199" s="1775">
        <v>43262</v>
      </c>
      <c r="G199" s="1775">
        <f t="shared" si="27"/>
        <v>43272</v>
      </c>
      <c r="H199" s="805" t="s">
        <v>785</v>
      </c>
      <c r="I199" s="796" t="s">
        <v>170</v>
      </c>
      <c r="J199" s="792"/>
      <c r="K199" s="805" t="s">
        <v>780</v>
      </c>
      <c r="L199" s="1776">
        <v>23174</v>
      </c>
      <c r="M199" s="805"/>
      <c r="N199" s="805"/>
      <c r="O199" s="954">
        <v>816</v>
      </c>
      <c r="P199" s="1937">
        <v>1</v>
      </c>
      <c r="Q199" s="1144">
        <f t="shared" si="28"/>
        <v>816</v>
      </c>
      <c r="R199" s="1976"/>
      <c r="S199" s="1778"/>
      <c r="T199" s="1778"/>
      <c r="U199" s="1779"/>
      <c r="V199" s="954">
        <v>480</v>
      </c>
      <c r="W199" s="805"/>
      <c r="X199" s="1781"/>
      <c r="Y199" s="1124"/>
      <c r="Z199" s="1124"/>
      <c r="AA199" s="1124"/>
      <c r="AB199" s="1124"/>
      <c r="AC199" s="1124"/>
      <c r="AD199" s="1124"/>
      <c r="AE199" s="1124"/>
      <c r="AF199" s="1124"/>
      <c r="AG199" s="1124"/>
    </row>
    <row r="200" spans="1:33" ht="57.75" customHeight="1" outlineLevel="2">
      <c r="A200" s="796">
        <v>1223</v>
      </c>
      <c r="B200" s="793" t="s">
        <v>786</v>
      </c>
      <c r="C200" s="1074" t="s">
        <v>787</v>
      </c>
      <c r="D200" s="805"/>
      <c r="E200" s="796">
        <v>10</v>
      </c>
      <c r="F200" s="1775">
        <v>43262</v>
      </c>
      <c r="G200" s="1775">
        <f t="shared" si="27"/>
        <v>43272</v>
      </c>
      <c r="H200" s="805" t="s">
        <v>785</v>
      </c>
      <c r="I200" s="796" t="s">
        <v>170</v>
      </c>
      <c r="J200" s="792"/>
      <c r="K200" s="805" t="s">
        <v>781</v>
      </c>
      <c r="L200" s="1776">
        <v>23174</v>
      </c>
      <c r="M200" s="805"/>
      <c r="N200" s="805"/>
      <c r="O200" s="954">
        <v>1301.6666666666667</v>
      </c>
      <c r="P200" s="1937">
        <v>1</v>
      </c>
      <c r="Q200" s="1144">
        <f t="shared" si="28"/>
        <v>1301.6666666666667</v>
      </c>
      <c r="R200" s="1976"/>
      <c r="S200" s="1778"/>
      <c r="T200" s="1778"/>
      <c r="U200" s="1779"/>
      <c r="V200" s="954">
        <v>833.33333333333337</v>
      </c>
      <c r="W200" s="805"/>
      <c r="X200" s="1781"/>
      <c r="Y200" s="1124"/>
      <c r="Z200" s="1124"/>
      <c r="AA200" s="1124"/>
      <c r="AB200" s="1124"/>
      <c r="AC200" s="1124"/>
      <c r="AD200" s="1124"/>
      <c r="AE200" s="1124"/>
      <c r="AF200" s="1124"/>
      <c r="AG200" s="1124"/>
    </row>
    <row r="201" spans="1:33" ht="57.75" customHeight="1" outlineLevel="2">
      <c r="A201" s="796">
        <v>1226</v>
      </c>
      <c r="B201" s="793" t="s">
        <v>795</v>
      </c>
      <c r="C201" s="1074" t="s">
        <v>796</v>
      </c>
      <c r="D201" s="805"/>
      <c r="E201" s="796">
        <v>5</v>
      </c>
      <c r="F201" s="1775">
        <v>43297</v>
      </c>
      <c r="G201" s="1775">
        <f t="shared" si="27"/>
        <v>43302</v>
      </c>
      <c r="H201" s="805" t="s">
        <v>785</v>
      </c>
      <c r="I201" s="796" t="s">
        <v>170</v>
      </c>
      <c r="J201" s="792"/>
      <c r="K201" s="805" t="s">
        <v>797</v>
      </c>
      <c r="L201" s="1776">
        <v>23174</v>
      </c>
      <c r="M201" s="805"/>
      <c r="N201" s="805"/>
      <c r="O201" s="954">
        <v>1680</v>
      </c>
      <c r="P201" s="1937">
        <v>1</v>
      </c>
      <c r="Q201" s="1144">
        <f t="shared" si="28"/>
        <v>1680</v>
      </c>
      <c r="R201" s="1976"/>
      <c r="S201" s="1778"/>
      <c r="T201" s="1778"/>
      <c r="U201" s="1779"/>
      <c r="V201" s="954">
        <v>35.833333333333336</v>
      </c>
      <c r="W201" s="805"/>
      <c r="X201" s="1781"/>
      <c r="Y201" s="1124"/>
      <c r="Z201" s="1124"/>
      <c r="AA201" s="1124"/>
      <c r="AB201" s="1124"/>
      <c r="AC201" s="1124"/>
      <c r="AD201" s="1124"/>
      <c r="AE201" s="1124"/>
      <c r="AF201" s="1124"/>
      <c r="AG201" s="1124"/>
    </row>
    <row r="202" spans="1:33" ht="57.75" customHeight="1" outlineLevel="2">
      <c r="A202" s="796">
        <v>1226</v>
      </c>
      <c r="B202" s="793" t="s">
        <v>795</v>
      </c>
      <c r="C202" s="1074" t="s">
        <v>796</v>
      </c>
      <c r="D202" s="805"/>
      <c r="E202" s="796">
        <v>5</v>
      </c>
      <c r="F202" s="1775">
        <v>43297</v>
      </c>
      <c r="G202" s="1775">
        <f t="shared" si="27"/>
        <v>43302</v>
      </c>
      <c r="H202" s="805" t="s">
        <v>785</v>
      </c>
      <c r="I202" s="796" t="s">
        <v>170</v>
      </c>
      <c r="J202" s="792"/>
      <c r="K202" s="805" t="s">
        <v>798</v>
      </c>
      <c r="L202" s="1776">
        <v>23174</v>
      </c>
      <c r="M202" s="805"/>
      <c r="N202" s="805"/>
      <c r="O202" s="954">
        <v>900</v>
      </c>
      <c r="P202" s="1937">
        <v>1</v>
      </c>
      <c r="Q202" s="1144">
        <f t="shared" si="28"/>
        <v>900</v>
      </c>
      <c r="R202" s="1976"/>
      <c r="S202" s="1784"/>
      <c r="T202" s="1784"/>
      <c r="U202" s="1784"/>
      <c r="V202" s="1779">
        <v>1089</v>
      </c>
      <c r="W202" s="1784"/>
      <c r="X202" s="1785"/>
      <c r="Y202" s="1786"/>
      <c r="Z202" s="1786"/>
      <c r="AA202" s="1786"/>
      <c r="AB202" s="1786"/>
      <c r="AC202" s="1786"/>
      <c r="AD202" s="1786"/>
      <c r="AE202" s="1786"/>
      <c r="AF202" s="1786"/>
      <c r="AG202" s="1199"/>
    </row>
    <row r="203" spans="1:33" ht="57.75" customHeight="1" outlineLevel="2">
      <c r="A203" s="796">
        <v>1226</v>
      </c>
      <c r="B203" s="793" t="s">
        <v>795</v>
      </c>
      <c r="C203" s="1074" t="s">
        <v>796</v>
      </c>
      <c r="D203" s="805"/>
      <c r="E203" s="796">
        <v>5</v>
      </c>
      <c r="F203" s="1775">
        <v>43297</v>
      </c>
      <c r="G203" s="1775">
        <f t="shared" si="27"/>
        <v>43302</v>
      </c>
      <c r="H203" s="805" t="s">
        <v>785</v>
      </c>
      <c r="I203" s="796" t="s">
        <v>170</v>
      </c>
      <c r="J203" s="792"/>
      <c r="K203" s="805" t="s">
        <v>799</v>
      </c>
      <c r="L203" s="1776">
        <v>23174</v>
      </c>
      <c r="M203" s="805"/>
      <c r="N203" s="805"/>
      <c r="O203" s="954">
        <v>120</v>
      </c>
      <c r="P203" s="1937">
        <v>1</v>
      </c>
      <c r="Q203" s="1144">
        <f t="shared" si="28"/>
        <v>120</v>
      </c>
      <c r="R203" s="1976"/>
      <c r="S203" s="1778"/>
      <c r="T203" s="1778"/>
      <c r="U203" s="1779"/>
      <c r="V203" s="954">
        <v>36000</v>
      </c>
      <c r="W203" s="805"/>
      <c r="X203" s="1781"/>
      <c r="Y203" s="1124"/>
      <c r="Z203" s="1124"/>
      <c r="AA203" s="1124"/>
      <c r="AB203" s="1124"/>
      <c r="AC203" s="1124"/>
      <c r="AD203" s="1124"/>
      <c r="AE203" s="1124"/>
      <c r="AF203" s="1124"/>
      <c r="AG203" s="1124"/>
    </row>
    <row r="204" spans="1:33" ht="57.75" customHeight="1" outlineLevel="2">
      <c r="A204" s="796">
        <v>1226</v>
      </c>
      <c r="B204" s="793" t="s">
        <v>795</v>
      </c>
      <c r="C204" s="1074" t="s">
        <v>796</v>
      </c>
      <c r="D204" s="805"/>
      <c r="E204" s="796">
        <v>5</v>
      </c>
      <c r="F204" s="1775">
        <v>43297</v>
      </c>
      <c r="G204" s="1775">
        <f t="shared" si="27"/>
        <v>43302</v>
      </c>
      <c r="H204" s="805" t="s">
        <v>785</v>
      </c>
      <c r="I204" s="796" t="s">
        <v>170</v>
      </c>
      <c r="J204" s="792"/>
      <c r="K204" s="805" t="s">
        <v>800</v>
      </c>
      <c r="L204" s="1776">
        <v>23174</v>
      </c>
      <c r="N204" s="805"/>
      <c r="O204" s="954">
        <v>773.33333333333337</v>
      </c>
      <c r="P204" s="1937">
        <v>1</v>
      </c>
      <c r="Q204" s="1144">
        <f t="shared" si="28"/>
        <v>773.33333333333337</v>
      </c>
      <c r="R204" s="1976"/>
      <c r="S204" s="1778"/>
      <c r="T204" s="1778"/>
      <c r="U204" s="1779"/>
      <c r="V204" s="954">
        <v>7920</v>
      </c>
      <c r="W204" s="805"/>
      <c r="X204" s="1781"/>
      <c r="Y204" s="1124"/>
      <c r="Z204" s="1124"/>
      <c r="AA204" s="1124"/>
      <c r="AB204" s="1124"/>
      <c r="AC204" s="1124"/>
      <c r="AD204" s="1124"/>
      <c r="AE204" s="1124"/>
      <c r="AF204" s="1124"/>
      <c r="AG204" s="1124"/>
    </row>
    <row r="205" spans="1:33" ht="57.75" customHeight="1" outlineLevel="2">
      <c r="A205" s="796">
        <v>1226</v>
      </c>
      <c r="B205" s="793" t="s">
        <v>795</v>
      </c>
      <c r="C205" s="1074" t="s">
        <v>796</v>
      </c>
      <c r="D205" s="805"/>
      <c r="E205" s="796">
        <v>5</v>
      </c>
      <c r="F205" s="1775">
        <v>43297</v>
      </c>
      <c r="G205" s="1775">
        <f t="shared" si="27"/>
        <v>43302</v>
      </c>
      <c r="H205" s="805" t="s">
        <v>785</v>
      </c>
      <c r="I205" s="796" t="s">
        <v>170</v>
      </c>
      <c r="J205" s="792"/>
      <c r="K205" s="805" t="s">
        <v>801</v>
      </c>
      <c r="L205" s="1776">
        <v>23174</v>
      </c>
      <c r="M205" s="805"/>
      <c r="N205" s="805"/>
      <c r="O205" s="954">
        <v>106.66666666666667</v>
      </c>
      <c r="P205" s="1937">
        <v>1</v>
      </c>
      <c r="Q205" s="1144">
        <f t="shared" si="28"/>
        <v>106.66666666666667</v>
      </c>
      <c r="R205" s="1976"/>
      <c r="S205" s="1778"/>
      <c r="T205" s="1778"/>
      <c r="U205" s="1779"/>
      <c r="V205" s="954">
        <v>600</v>
      </c>
      <c r="W205" s="805"/>
      <c r="X205" s="1781"/>
      <c r="Y205" s="1124"/>
      <c r="Z205" s="1124"/>
      <c r="AA205" s="1124"/>
      <c r="AB205" s="1124"/>
      <c r="AC205" s="1124"/>
      <c r="AD205" s="1124"/>
      <c r="AE205" s="1124"/>
      <c r="AF205" s="1124"/>
      <c r="AG205" s="1124"/>
    </row>
    <row r="206" spans="1:33" ht="57.75" customHeight="1" outlineLevel="2">
      <c r="A206" s="796">
        <v>1226</v>
      </c>
      <c r="B206" s="793" t="s">
        <v>795</v>
      </c>
      <c r="C206" s="1074" t="s">
        <v>796</v>
      </c>
      <c r="D206" s="805"/>
      <c r="E206" s="796">
        <v>5</v>
      </c>
      <c r="F206" s="1775">
        <v>43297</v>
      </c>
      <c r="G206" s="1775">
        <f t="shared" si="27"/>
        <v>43302</v>
      </c>
      <c r="H206" s="805" t="s">
        <v>785</v>
      </c>
      <c r="I206" s="796" t="s">
        <v>170</v>
      </c>
      <c r="J206" s="792"/>
      <c r="K206" s="805" t="s">
        <v>802</v>
      </c>
      <c r="L206" s="1776">
        <v>23174</v>
      </c>
      <c r="M206" s="805"/>
      <c r="N206" s="805"/>
      <c r="O206" s="954">
        <v>816</v>
      </c>
      <c r="P206" s="1937">
        <v>1</v>
      </c>
      <c r="Q206" s="1144">
        <f t="shared" si="28"/>
        <v>816</v>
      </c>
      <c r="R206" s="1976"/>
      <c r="S206" s="1778"/>
      <c r="T206" s="1778"/>
      <c r="U206" s="1779"/>
      <c r="V206" s="954">
        <v>6600</v>
      </c>
      <c r="W206" s="805"/>
      <c r="X206" s="1781"/>
      <c r="Y206" s="1124"/>
      <c r="Z206" s="1124"/>
      <c r="AA206" s="1124"/>
      <c r="AB206" s="1124"/>
      <c r="AC206" s="1124"/>
      <c r="AD206" s="1124"/>
      <c r="AE206" s="1124"/>
      <c r="AF206" s="1124"/>
      <c r="AG206" s="1124"/>
    </row>
    <row r="207" spans="1:33" ht="57.75" customHeight="1" outlineLevel="2">
      <c r="A207" s="796">
        <v>1226</v>
      </c>
      <c r="B207" s="793" t="s">
        <v>795</v>
      </c>
      <c r="C207" s="1074" t="s">
        <v>796</v>
      </c>
      <c r="D207" s="805"/>
      <c r="E207" s="796">
        <v>5</v>
      </c>
      <c r="F207" s="1775">
        <v>43297</v>
      </c>
      <c r="G207" s="1775">
        <f t="shared" si="27"/>
        <v>43302</v>
      </c>
      <c r="H207" s="805" t="s">
        <v>785</v>
      </c>
      <c r="I207" s="796" t="s">
        <v>170</v>
      </c>
      <c r="J207" s="792"/>
      <c r="K207" s="805" t="s">
        <v>803</v>
      </c>
      <c r="L207" s="1776">
        <v>23174</v>
      </c>
      <c r="M207" s="805"/>
      <c r="N207" s="805"/>
      <c r="O207" s="954">
        <v>480</v>
      </c>
      <c r="P207" s="1937">
        <v>1</v>
      </c>
      <c r="Q207" s="1144">
        <f t="shared" si="28"/>
        <v>480</v>
      </c>
      <c r="R207" s="1976"/>
      <c r="S207" s="1778"/>
      <c r="T207" s="1778"/>
      <c r="U207" s="1779"/>
      <c r="V207" s="954">
        <v>300</v>
      </c>
      <c r="W207" s="805"/>
      <c r="X207" s="1781"/>
      <c r="Y207" s="1124"/>
      <c r="Z207" s="1124"/>
      <c r="AA207" s="1124"/>
      <c r="AB207" s="1124"/>
      <c r="AC207" s="1124"/>
      <c r="AD207" s="1124"/>
      <c r="AE207" s="1124"/>
      <c r="AF207" s="1124"/>
      <c r="AG207" s="1124"/>
    </row>
    <row r="208" spans="1:33" ht="57.75" customHeight="1" outlineLevel="2">
      <c r="A208" s="796">
        <v>1228</v>
      </c>
      <c r="B208" s="793" t="s">
        <v>808</v>
      </c>
      <c r="C208" s="1074" t="s">
        <v>809</v>
      </c>
      <c r="D208" s="805"/>
      <c r="E208" s="796">
        <v>10</v>
      </c>
      <c r="F208" s="1775">
        <v>43318</v>
      </c>
      <c r="G208" s="1775">
        <f t="shared" si="27"/>
        <v>43328</v>
      </c>
      <c r="H208" s="805" t="s">
        <v>810</v>
      </c>
      <c r="I208" s="796" t="s">
        <v>170</v>
      </c>
      <c r="J208" s="792"/>
      <c r="K208" s="805" t="s">
        <v>811</v>
      </c>
      <c r="L208" s="1776">
        <v>23174</v>
      </c>
      <c r="M208" s="805"/>
      <c r="N208" s="805"/>
      <c r="O208" s="954">
        <v>36000</v>
      </c>
      <c r="P208" s="1937">
        <v>1</v>
      </c>
      <c r="Q208" s="1144">
        <f t="shared" si="28"/>
        <v>36000</v>
      </c>
      <c r="R208" s="1976"/>
      <c r="S208" s="1778"/>
      <c r="T208" s="1778"/>
      <c r="U208" s="1779"/>
      <c r="V208" s="954">
        <v>2720</v>
      </c>
      <c r="W208" s="805"/>
      <c r="X208" s="1781"/>
      <c r="Y208" s="1124"/>
      <c r="Z208" s="1124"/>
      <c r="AA208" s="1124"/>
      <c r="AB208" s="1124"/>
      <c r="AC208" s="1124"/>
      <c r="AD208" s="1124"/>
      <c r="AE208" s="1124"/>
      <c r="AF208" s="1124"/>
      <c r="AG208" s="1124"/>
    </row>
    <row r="209" spans="1:33" ht="57.75" customHeight="1" outlineLevel="2">
      <c r="A209" s="796">
        <v>1228</v>
      </c>
      <c r="B209" s="793" t="s">
        <v>808</v>
      </c>
      <c r="C209" s="1074" t="s">
        <v>809</v>
      </c>
      <c r="D209" s="805"/>
      <c r="E209" s="796">
        <v>10</v>
      </c>
      <c r="F209" s="1775">
        <v>43318</v>
      </c>
      <c r="G209" s="1775">
        <f t="shared" si="27"/>
        <v>43328</v>
      </c>
      <c r="H209" s="805" t="s">
        <v>810</v>
      </c>
      <c r="I209" s="796" t="s">
        <v>170</v>
      </c>
      <c r="J209" s="792"/>
      <c r="K209" s="805" t="s">
        <v>812</v>
      </c>
      <c r="L209" s="1776">
        <v>23174</v>
      </c>
      <c r="M209" s="805"/>
      <c r="N209" s="805"/>
      <c r="O209" s="954">
        <v>7920</v>
      </c>
      <c r="P209" s="1937">
        <v>1</v>
      </c>
      <c r="Q209" s="1144">
        <f t="shared" si="28"/>
        <v>7920</v>
      </c>
      <c r="R209" s="1976"/>
      <c r="S209" s="1778"/>
      <c r="T209" s="1778"/>
      <c r="U209" s="1779"/>
      <c r="V209" s="954">
        <v>6674.9333333333334</v>
      </c>
      <c r="W209" s="805"/>
      <c r="X209" s="1781"/>
      <c r="Y209" s="1124"/>
      <c r="Z209" s="1124"/>
      <c r="AA209" s="1124"/>
      <c r="AB209" s="1124"/>
      <c r="AC209" s="1124"/>
      <c r="AD209" s="1124"/>
      <c r="AE209" s="1124"/>
      <c r="AF209" s="1124"/>
      <c r="AG209" s="1124"/>
    </row>
    <row r="210" spans="1:33" ht="57.75" customHeight="1" outlineLevel="2">
      <c r="A210" s="796">
        <v>1228</v>
      </c>
      <c r="B210" s="793" t="s">
        <v>808</v>
      </c>
      <c r="C210" s="1074" t="s">
        <v>809</v>
      </c>
      <c r="D210" s="805"/>
      <c r="E210" s="796">
        <v>10</v>
      </c>
      <c r="F210" s="1775">
        <v>43318</v>
      </c>
      <c r="G210" s="1775">
        <f t="shared" si="27"/>
        <v>43328</v>
      </c>
      <c r="H210" s="805" t="s">
        <v>810</v>
      </c>
      <c r="I210" s="796" t="s">
        <v>170</v>
      </c>
      <c r="J210" s="792"/>
      <c r="K210" s="805" t="s">
        <v>813</v>
      </c>
      <c r="L210" s="1776">
        <v>23174</v>
      </c>
      <c r="M210" s="805"/>
      <c r="N210" s="805"/>
      <c r="O210" s="954">
        <v>600</v>
      </c>
      <c r="P210" s="1937">
        <v>1</v>
      </c>
      <c r="Q210" s="1144">
        <f t="shared" si="28"/>
        <v>600</v>
      </c>
      <c r="R210" s="1976"/>
      <c r="S210" s="1778"/>
      <c r="T210" s="1778"/>
      <c r="U210" s="1779"/>
      <c r="V210" s="954">
        <v>205.625</v>
      </c>
      <c r="W210" s="805"/>
      <c r="X210" s="1781"/>
      <c r="Y210" s="1124"/>
      <c r="Z210" s="1124"/>
      <c r="AA210" s="1124"/>
      <c r="AB210" s="1124"/>
      <c r="AC210" s="1124"/>
      <c r="AD210" s="1124"/>
      <c r="AE210" s="1124"/>
      <c r="AF210" s="1124"/>
      <c r="AG210" s="1124"/>
    </row>
    <row r="211" spans="1:33" ht="57.75" customHeight="1" outlineLevel="2">
      <c r="A211" s="796">
        <v>1228</v>
      </c>
      <c r="B211" s="793" t="s">
        <v>808</v>
      </c>
      <c r="C211" s="857" t="s">
        <v>809</v>
      </c>
      <c r="D211" s="805"/>
      <c r="E211" s="796">
        <v>10</v>
      </c>
      <c r="F211" s="1775">
        <v>43318</v>
      </c>
      <c r="G211" s="1775">
        <f t="shared" si="27"/>
        <v>43328</v>
      </c>
      <c r="H211" s="805" t="s">
        <v>810</v>
      </c>
      <c r="I211" s="796" t="s">
        <v>170</v>
      </c>
      <c r="J211" s="792"/>
      <c r="K211" s="805" t="s">
        <v>814</v>
      </c>
      <c r="L211" s="1776">
        <v>23174</v>
      </c>
      <c r="M211" s="805"/>
      <c r="N211" s="805"/>
      <c r="O211" s="954">
        <v>6600</v>
      </c>
      <c r="P211" s="1937">
        <v>1</v>
      </c>
      <c r="Q211" s="1144">
        <f t="shared" si="28"/>
        <v>6600</v>
      </c>
      <c r="R211" s="1976"/>
      <c r="S211" s="1778"/>
      <c r="T211" s="1778"/>
      <c r="U211" s="1779"/>
      <c r="V211" s="805"/>
      <c r="W211" s="954">
        <v>1320</v>
      </c>
      <c r="X211" s="1781"/>
      <c r="Y211" s="1124"/>
      <c r="Z211" s="1124"/>
      <c r="AA211" s="1124"/>
      <c r="AB211" s="1124"/>
      <c r="AC211" s="1124"/>
      <c r="AD211" s="1124"/>
      <c r="AE211" s="1124"/>
      <c r="AF211" s="1124"/>
      <c r="AG211" s="1124"/>
    </row>
    <row r="212" spans="1:33" ht="57.75" customHeight="1" outlineLevel="2">
      <c r="A212" s="796">
        <v>1228</v>
      </c>
      <c r="B212" s="793" t="s">
        <v>808</v>
      </c>
      <c r="C212" s="857" t="s">
        <v>809</v>
      </c>
      <c r="D212" s="805"/>
      <c r="E212" s="796">
        <v>10</v>
      </c>
      <c r="F212" s="1775">
        <v>43318</v>
      </c>
      <c r="G212" s="1775">
        <f t="shared" ref="G212:G228" si="29">F212+E212</f>
        <v>43328</v>
      </c>
      <c r="H212" s="805" t="s">
        <v>810</v>
      </c>
      <c r="I212" s="796" t="s">
        <v>170</v>
      </c>
      <c r="J212" s="792"/>
      <c r="K212" s="805" t="s">
        <v>815</v>
      </c>
      <c r="L212" s="1776">
        <v>23174</v>
      </c>
      <c r="M212" s="805"/>
      <c r="N212" s="805"/>
      <c r="O212" s="954">
        <v>300</v>
      </c>
      <c r="P212" s="1937">
        <v>1</v>
      </c>
      <c r="Q212" s="1144">
        <f t="shared" si="28"/>
        <v>300</v>
      </c>
      <c r="R212" s="1976"/>
      <c r="S212" s="1778"/>
      <c r="T212" s="1778"/>
      <c r="U212" s="1779"/>
      <c r="V212" s="805"/>
      <c r="W212" s="954">
        <v>5724</v>
      </c>
      <c r="X212" s="1781"/>
      <c r="Y212" s="1124"/>
      <c r="Z212" s="1124"/>
      <c r="AA212" s="1124"/>
      <c r="AB212" s="1124"/>
      <c r="AC212" s="1124"/>
      <c r="AD212" s="1124"/>
      <c r="AE212" s="1124"/>
      <c r="AF212" s="1124"/>
      <c r="AG212" s="1124"/>
    </row>
    <row r="213" spans="1:33" ht="57.75" customHeight="1" outlineLevel="2">
      <c r="A213" s="796">
        <v>1228</v>
      </c>
      <c r="B213" s="793" t="s">
        <v>808</v>
      </c>
      <c r="C213" s="857" t="s">
        <v>809</v>
      </c>
      <c r="D213" s="805"/>
      <c r="E213" s="796">
        <v>10</v>
      </c>
      <c r="F213" s="1775">
        <v>43318</v>
      </c>
      <c r="G213" s="1775">
        <f t="shared" si="29"/>
        <v>43328</v>
      </c>
      <c r="H213" s="805" t="s">
        <v>810</v>
      </c>
      <c r="I213" s="796" t="s">
        <v>170</v>
      </c>
      <c r="J213" s="792"/>
      <c r="K213" s="805" t="s">
        <v>816</v>
      </c>
      <c r="L213" s="1776">
        <v>23174</v>
      </c>
      <c r="M213" s="805"/>
      <c r="N213" s="805"/>
      <c r="O213" s="954">
        <v>2720</v>
      </c>
      <c r="P213" s="1937">
        <v>1</v>
      </c>
      <c r="Q213" s="1144">
        <f t="shared" si="28"/>
        <v>2720</v>
      </c>
      <c r="R213" s="1976"/>
      <c r="S213" s="1778"/>
      <c r="T213" s="1778"/>
      <c r="U213" s="1779"/>
      <c r="V213" s="805"/>
      <c r="W213" s="954">
        <v>260</v>
      </c>
      <c r="X213" s="1781"/>
      <c r="Y213" s="1124"/>
      <c r="Z213" s="1124"/>
      <c r="AA213" s="1124"/>
      <c r="AB213" s="1124"/>
      <c r="AC213" s="1124"/>
      <c r="AD213" s="1124"/>
      <c r="AE213" s="1124"/>
      <c r="AF213" s="1124"/>
      <c r="AG213" s="1124"/>
    </row>
    <row r="214" spans="1:33" ht="57.75" customHeight="1" outlineLevel="2">
      <c r="A214" s="796">
        <v>1228</v>
      </c>
      <c r="B214" s="793" t="s">
        <v>808</v>
      </c>
      <c r="C214" s="857" t="s">
        <v>809</v>
      </c>
      <c r="D214" s="805"/>
      <c r="E214" s="796">
        <v>10</v>
      </c>
      <c r="F214" s="1775">
        <v>43318</v>
      </c>
      <c r="G214" s="1775">
        <f t="shared" si="29"/>
        <v>43328</v>
      </c>
      <c r="H214" s="805" t="s">
        <v>810</v>
      </c>
      <c r="I214" s="796" t="s">
        <v>170</v>
      </c>
      <c r="J214" s="792"/>
      <c r="K214" s="805" t="s">
        <v>817</v>
      </c>
      <c r="L214" s="1776">
        <v>23174</v>
      </c>
      <c r="M214" s="805"/>
      <c r="N214" s="805"/>
      <c r="O214" s="954">
        <v>6674.9333333333334</v>
      </c>
      <c r="P214" s="1937">
        <v>1</v>
      </c>
      <c r="Q214" s="1144">
        <f t="shared" si="28"/>
        <v>6674.9333333333334</v>
      </c>
      <c r="R214" s="1976"/>
      <c r="S214" s="1778"/>
      <c r="T214" s="1778"/>
      <c r="U214" s="1779"/>
      <c r="V214" s="805"/>
      <c r="W214" s="954">
        <v>5773.333333333333</v>
      </c>
      <c r="X214" s="1781"/>
      <c r="Y214" s="1124"/>
      <c r="Z214" s="1124"/>
      <c r="AA214" s="1124"/>
      <c r="AB214" s="1124"/>
      <c r="AC214" s="1124"/>
      <c r="AD214" s="1124"/>
      <c r="AE214" s="1124"/>
      <c r="AF214" s="1124"/>
      <c r="AG214" s="1124"/>
    </row>
    <row r="215" spans="1:33" ht="57.75" customHeight="1" outlineLevel="2">
      <c r="A215" s="796">
        <v>1229</v>
      </c>
      <c r="B215" s="793" t="s">
        <v>819</v>
      </c>
      <c r="C215" s="857" t="s">
        <v>820</v>
      </c>
      <c r="D215" s="805"/>
      <c r="E215" s="796">
        <v>10</v>
      </c>
      <c r="F215" s="1775">
        <v>43339</v>
      </c>
      <c r="G215" s="1775">
        <f t="shared" si="29"/>
        <v>43349</v>
      </c>
      <c r="H215" s="805" t="s">
        <v>774</v>
      </c>
      <c r="I215" s="796" t="s">
        <v>170</v>
      </c>
      <c r="J215" s="792"/>
      <c r="K215" s="805" t="s">
        <v>821</v>
      </c>
      <c r="L215" s="1776">
        <v>23174</v>
      </c>
      <c r="M215" s="805"/>
      <c r="N215" s="805"/>
      <c r="O215" s="954">
        <v>1320</v>
      </c>
      <c r="P215" s="1937">
        <v>1</v>
      </c>
      <c r="Q215" s="1144">
        <f t="shared" si="28"/>
        <v>1320</v>
      </c>
      <c r="R215" s="1976"/>
      <c r="S215" s="1778"/>
      <c r="T215" s="1778"/>
      <c r="U215" s="1779"/>
      <c r="V215" s="805"/>
      <c r="W215" s="954">
        <v>153.33333333333334</v>
      </c>
      <c r="X215" s="1781"/>
      <c r="Y215" s="1124"/>
      <c r="Z215" s="1124"/>
      <c r="AA215" s="1124"/>
      <c r="AB215" s="1124"/>
      <c r="AC215" s="1124"/>
      <c r="AD215" s="1124"/>
      <c r="AE215" s="1124"/>
      <c r="AF215" s="1124"/>
      <c r="AG215" s="1124"/>
    </row>
    <row r="216" spans="1:33" ht="57.75" customHeight="1" outlineLevel="2">
      <c r="A216" s="796">
        <v>1229</v>
      </c>
      <c r="B216" s="793" t="s">
        <v>819</v>
      </c>
      <c r="C216" s="857" t="s">
        <v>820</v>
      </c>
      <c r="D216" s="805"/>
      <c r="E216" s="796">
        <v>10</v>
      </c>
      <c r="F216" s="1775">
        <v>43339</v>
      </c>
      <c r="G216" s="1775">
        <f t="shared" si="29"/>
        <v>43349</v>
      </c>
      <c r="H216" s="805" t="s">
        <v>774</v>
      </c>
      <c r="I216" s="796" t="s">
        <v>170</v>
      </c>
      <c r="J216" s="792"/>
      <c r="K216" s="805" t="s">
        <v>822</v>
      </c>
      <c r="L216" s="1776">
        <v>23174</v>
      </c>
      <c r="M216" s="805"/>
      <c r="N216" s="805"/>
      <c r="O216" s="954">
        <v>5724</v>
      </c>
      <c r="P216" s="1937">
        <v>1</v>
      </c>
      <c r="Q216" s="1144">
        <f t="shared" si="28"/>
        <v>5724</v>
      </c>
      <c r="R216" s="1976"/>
      <c r="S216" s="1778"/>
      <c r="T216" s="1778"/>
      <c r="U216" s="1779"/>
      <c r="V216" s="805"/>
      <c r="W216" s="954">
        <v>238</v>
      </c>
      <c r="X216" s="1781"/>
      <c r="Y216" s="1124"/>
      <c r="Z216" s="1124"/>
      <c r="AA216" s="1124"/>
      <c r="AB216" s="1124"/>
      <c r="AC216" s="1124"/>
      <c r="AD216" s="1124"/>
      <c r="AE216" s="1124"/>
      <c r="AF216" s="1124"/>
      <c r="AG216" s="1124"/>
    </row>
    <row r="217" spans="1:33" ht="57.75" customHeight="1" outlineLevel="2">
      <c r="A217" s="796">
        <v>1229</v>
      </c>
      <c r="B217" s="793" t="s">
        <v>819</v>
      </c>
      <c r="C217" s="857" t="s">
        <v>820</v>
      </c>
      <c r="D217" s="805"/>
      <c r="E217" s="796">
        <v>10</v>
      </c>
      <c r="F217" s="1775">
        <v>43339</v>
      </c>
      <c r="G217" s="1775">
        <f t="shared" si="29"/>
        <v>43349</v>
      </c>
      <c r="H217" s="805" t="s">
        <v>774</v>
      </c>
      <c r="I217" s="796" t="s">
        <v>170</v>
      </c>
      <c r="J217" s="792"/>
      <c r="K217" s="805" t="s">
        <v>799</v>
      </c>
      <c r="L217" s="1776">
        <v>23174</v>
      </c>
      <c r="M217" s="805"/>
      <c r="N217" s="805"/>
      <c r="O217" s="954">
        <v>260</v>
      </c>
      <c r="P217" s="1937">
        <v>1</v>
      </c>
      <c r="Q217" s="1144">
        <f t="shared" si="28"/>
        <v>260</v>
      </c>
      <c r="R217" s="1976"/>
      <c r="S217" s="1778"/>
      <c r="T217" s="1778"/>
      <c r="U217" s="1779"/>
      <c r="V217" s="805"/>
      <c r="W217" s="954">
        <v>501.66666666666669</v>
      </c>
      <c r="X217" s="1781"/>
      <c r="Y217" s="1124"/>
      <c r="Z217" s="1124"/>
      <c r="AA217" s="1124"/>
      <c r="AB217" s="1124"/>
      <c r="AC217" s="1124"/>
      <c r="AD217" s="1124"/>
      <c r="AE217" s="1124"/>
      <c r="AF217" s="1124"/>
      <c r="AG217" s="1124"/>
    </row>
    <row r="218" spans="1:33" ht="57.75" customHeight="1" outlineLevel="2">
      <c r="A218" s="796">
        <v>1229</v>
      </c>
      <c r="B218" s="793" t="s">
        <v>819</v>
      </c>
      <c r="C218" s="857" t="s">
        <v>820</v>
      </c>
      <c r="D218" s="805"/>
      <c r="E218" s="796">
        <v>10</v>
      </c>
      <c r="F218" s="1775">
        <v>43339</v>
      </c>
      <c r="G218" s="1775">
        <f t="shared" si="29"/>
        <v>43349</v>
      </c>
      <c r="H218" s="805" t="s">
        <v>774</v>
      </c>
      <c r="I218" s="796" t="s">
        <v>170</v>
      </c>
      <c r="J218" s="792"/>
      <c r="K218" s="805" t="s">
        <v>823</v>
      </c>
      <c r="L218" s="1776">
        <v>23174</v>
      </c>
      <c r="M218" s="805"/>
      <c r="N218" s="805"/>
      <c r="O218" s="954">
        <v>5773.333333333333</v>
      </c>
      <c r="P218" s="1937">
        <v>1</v>
      </c>
      <c r="Q218" s="1144">
        <f t="shared" si="28"/>
        <v>5773.333333333333</v>
      </c>
      <c r="R218" s="1976"/>
      <c r="S218" s="1778"/>
      <c r="T218" s="1778"/>
      <c r="U218" s="1779"/>
      <c r="V218" s="805"/>
      <c r="W218" s="954">
        <v>534.88800000000003</v>
      </c>
      <c r="X218" s="1781"/>
      <c r="Y218" s="1124"/>
      <c r="Z218" s="1124"/>
      <c r="AA218" s="1124"/>
      <c r="AB218" s="1124"/>
      <c r="AC218" s="1124"/>
      <c r="AD218" s="1124"/>
      <c r="AE218" s="1124"/>
      <c r="AF218" s="1124"/>
      <c r="AG218" s="1124"/>
    </row>
    <row r="219" spans="1:33" ht="57.75" customHeight="1" outlineLevel="2">
      <c r="A219" s="796">
        <v>1229</v>
      </c>
      <c r="B219" s="793" t="s">
        <v>819</v>
      </c>
      <c r="C219" s="857" t="s">
        <v>820</v>
      </c>
      <c r="D219" s="805"/>
      <c r="E219" s="796">
        <v>10</v>
      </c>
      <c r="F219" s="1775">
        <v>43339</v>
      </c>
      <c r="G219" s="1775">
        <f t="shared" si="29"/>
        <v>43349</v>
      </c>
      <c r="H219" s="805" t="s">
        <v>774</v>
      </c>
      <c r="I219" s="796" t="s">
        <v>170</v>
      </c>
      <c r="J219" s="792"/>
      <c r="K219" s="805" t="s">
        <v>779</v>
      </c>
      <c r="L219" s="1776">
        <v>23174</v>
      </c>
      <c r="M219" s="805"/>
      <c r="N219" s="805"/>
      <c r="O219" s="954">
        <v>153.33333333333334</v>
      </c>
      <c r="P219" s="1937">
        <v>1</v>
      </c>
      <c r="Q219" s="1144">
        <f t="shared" si="28"/>
        <v>153.33333333333334</v>
      </c>
      <c r="R219" s="1976"/>
      <c r="S219" s="1778"/>
      <c r="T219" s="1778"/>
      <c r="U219" s="1779"/>
      <c r="V219" s="805"/>
      <c r="W219" s="954">
        <v>1666.6666666666667</v>
      </c>
      <c r="X219" s="1781"/>
      <c r="Y219" s="1124"/>
      <c r="Z219" s="1124"/>
      <c r="AA219" s="1124"/>
      <c r="AB219" s="1124"/>
      <c r="AC219" s="1124"/>
      <c r="AD219" s="1124"/>
      <c r="AE219" s="1124"/>
      <c r="AF219" s="1124"/>
      <c r="AG219" s="1124"/>
    </row>
    <row r="220" spans="1:33" ht="57.75" customHeight="1" outlineLevel="2">
      <c r="A220" s="796">
        <v>1229</v>
      </c>
      <c r="B220" s="793" t="s">
        <v>819</v>
      </c>
      <c r="C220" s="1074" t="s">
        <v>820</v>
      </c>
      <c r="D220" s="805"/>
      <c r="E220" s="796">
        <v>10</v>
      </c>
      <c r="F220" s="1775">
        <v>43339</v>
      </c>
      <c r="G220" s="1775">
        <f t="shared" si="29"/>
        <v>43349</v>
      </c>
      <c r="H220" s="805" t="s">
        <v>774</v>
      </c>
      <c r="I220" s="796" t="s">
        <v>170</v>
      </c>
      <c r="J220" s="792"/>
      <c r="K220" s="805" t="s">
        <v>824</v>
      </c>
      <c r="L220" s="1776">
        <v>23174</v>
      </c>
      <c r="M220" s="805"/>
      <c r="N220" s="805"/>
      <c r="O220" s="954">
        <v>238</v>
      </c>
      <c r="P220" s="1937">
        <v>1</v>
      </c>
      <c r="Q220" s="1144">
        <f t="shared" si="28"/>
        <v>238</v>
      </c>
      <c r="R220" s="1976"/>
      <c r="S220" s="1778"/>
      <c r="T220" s="1778"/>
      <c r="U220" s="1779"/>
      <c r="V220" s="805"/>
      <c r="W220" s="954">
        <v>2520</v>
      </c>
      <c r="X220" s="1781"/>
      <c r="Y220" s="1124"/>
      <c r="Z220" s="1124"/>
      <c r="AA220" s="1124"/>
      <c r="AB220" s="1124"/>
      <c r="AC220" s="1124"/>
      <c r="AD220" s="1124"/>
      <c r="AE220" s="1124"/>
      <c r="AF220" s="1124"/>
      <c r="AG220" s="1124"/>
    </row>
    <row r="221" spans="1:33" ht="57.75" customHeight="1" outlineLevel="2">
      <c r="A221" s="796">
        <v>1229</v>
      </c>
      <c r="B221" s="793" t="s">
        <v>819</v>
      </c>
      <c r="C221" s="1074" t="s">
        <v>820</v>
      </c>
      <c r="D221" s="805"/>
      <c r="E221" s="796">
        <v>10</v>
      </c>
      <c r="F221" s="1775">
        <v>43339</v>
      </c>
      <c r="G221" s="1775">
        <f t="shared" si="29"/>
        <v>43349</v>
      </c>
      <c r="H221" s="805" t="s">
        <v>774</v>
      </c>
      <c r="I221" s="796" t="s">
        <v>170</v>
      </c>
      <c r="J221" s="792"/>
      <c r="K221" s="805" t="s">
        <v>825</v>
      </c>
      <c r="L221" s="1776">
        <v>23174</v>
      </c>
      <c r="M221" s="805"/>
      <c r="N221" s="805"/>
      <c r="O221" s="954">
        <v>501.66666666666669</v>
      </c>
      <c r="P221" s="1937">
        <v>1</v>
      </c>
      <c r="Q221" s="1144">
        <f t="shared" si="28"/>
        <v>501.66666666666669</v>
      </c>
      <c r="R221" s="1976"/>
      <c r="S221" s="1778"/>
      <c r="T221" s="1778"/>
      <c r="U221" s="1779"/>
      <c r="V221" s="805"/>
      <c r="W221" s="954">
        <v>1236</v>
      </c>
      <c r="X221" s="1781"/>
      <c r="Y221" s="1124"/>
      <c r="Z221" s="1124"/>
      <c r="AA221" s="1124"/>
      <c r="AB221" s="1124"/>
      <c r="AC221" s="1124"/>
      <c r="AD221" s="1124"/>
      <c r="AE221" s="1124"/>
      <c r="AF221" s="1124"/>
      <c r="AG221" s="1124"/>
    </row>
    <row r="222" spans="1:33" ht="57.75" customHeight="1" outlineLevel="2">
      <c r="A222" s="796">
        <v>1230</v>
      </c>
      <c r="B222" s="793" t="s">
        <v>826</v>
      </c>
      <c r="C222" s="1074" t="s">
        <v>827</v>
      </c>
      <c r="D222" s="805"/>
      <c r="E222" s="796">
        <v>5</v>
      </c>
      <c r="F222" s="1775">
        <v>43360</v>
      </c>
      <c r="G222" s="1775">
        <f t="shared" si="29"/>
        <v>43365</v>
      </c>
      <c r="H222" s="805" t="s">
        <v>785</v>
      </c>
      <c r="I222" s="796" t="s">
        <v>170</v>
      </c>
      <c r="J222" s="792"/>
      <c r="K222" s="805" t="s">
        <v>828</v>
      </c>
      <c r="L222" s="1776">
        <v>23174</v>
      </c>
      <c r="M222" s="805"/>
      <c r="N222" s="805"/>
      <c r="O222" s="954">
        <v>2520</v>
      </c>
      <c r="P222" s="1937">
        <v>1</v>
      </c>
      <c r="Q222" s="1144">
        <f t="shared" si="28"/>
        <v>2520</v>
      </c>
      <c r="R222" s="1976"/>
      <c r="S222" s="1778"/>
      <c r="T222" s="1778"/>
      <c r="U222" s="1779"/>
      <c r="V222" s="805"/>
      <c r="W222" s="954">
        <v>260</v>
      </c>
      <c r="X222" s="1781"/>
      <c r="Y222" s="1124"/>
      <c r="Z222" s="1124"/>
      <c r="AA222" s="1124"/>
      <c r="AB222" s="1124"/>
      <c r="AC222" s="1124"/>
      <c r="AD222" s="1124"/>
      <c r="AE222" s="1124"/>
      <c r="AF222" s="1124"/>
      <c r="AG222" s="1124"/>
    </row>
    <row r="223" spans="1:33" ht="57.75" customHeight="1" outlineLevel="2">
      <c r="A223" s="796">
        <v>1230</v>
      </c>
      <c r="B223" s="793" t="s">
        <v>826</v>
      </c>
      <c r="C223" s="1074" t="s">
        <v>827</v>
      </c>
      <c r="D223" s="805"/>
      <c r="E223" s="796">
        <v>5</v>
      </c>
      <c r="F223" s="1775">
        <v>43360</v>
      </c>
      <c r="G223" s="1775">
        <f t="shared" si="29"/>
        <v>43365</v>
      </c>
      <c r="H223" s="805" t="s">
        <v>785</v>
      </c>
      <c r="I223" s="796" t="s">
        <v>170</v>
      </c>
      <c r="J223" s="792"/>
      <c r="K223" s="805" t="s">
        <v>829</v>
      </c>
      <c r="L223" s="1776">
        <v>23174</v>
      </c>
      <c r="M223" s="805"/>
      <c r="N223" s="805"/>
      <c r="O223" s="954">
        <v>1236</v>
      </c>
      <c r="P223" s="1937">
        <v>1</v>
      </c>
      <c r="Q223" s="1144">
        <f t="shared" si="28"/>
        <v>1236</v>
      </c>
      <c r="R223" s="1976"/>
      <c r="S223" s="1778"/>
      <c r="T223" s="1778"/>
      <c r="U223" s="1779"/>
      <c r="V223" s="805"/>
      <c r="W223" s="954">
        <v>1173.3333333333333</v>
      </c>
      <c r="X223" s="1781"/>
      <c r="Y223" s="1124"/>
      <c r="Z223" s="1124"/>
      <c r="AA223" s="1124"/>
      <c r="AB223" s="1124"/>
      <c r="AC223" s="1124"/>
      <c r="AD223" s="1124"/>
      <c r="AE223" s="1124"/>
      <c r="AF223" s="1124"/>
      <c r="AG223" s="1124"/>
    </row>
    <row r="224" spans="1:33" ht="57.75" customHeight="1" outlineLevel="2">
      <c r="A224" s="796">
        <v>1230</v>
      </c>
      <c r="B224" s="793" t="s">
        <v>826</v>
      </c>
      <c r="C224" s="1074" t="s">
        <v>827</v>
      </c>
      <c r="D224" s="805"/>
      <c r="E224" s="796">
        <v>5</v>
      </c>
      <c r="F224" s="1775">
        <v>43360</v>
      </c>
      <c r="G224" s="1775">
        <f t="shared" si="29"/>
        <v>43365</v>
      </c>
      <c r="H224" s="805" t="s">
        <v>785</v>
      </c>
      <c r="I224" s="796" t="s">
        <v>170</v>
      </c>
      <c r="J224" s="792"/>
      <c r="K224" s="805" t="s">
        <v>830</v>
      </c>
      <c r="L224" s="1776">
        <v>23174</v>
      </c>
      <c r="M224" s="805"/>
      <c r="N224" s="805"/>
      <c r="O224" s="954">
        <v>260</v>
      </c>
      <c r="P224" s="1937">
        <v>1</v>
      </c>
      <c r="Q224" s="1144">
        <f t="shared" si="28"/>
        <v>260</v>
      </c>
      <c r="R224" s="1976"/>
      <c r="S224" s="1778"/>
      <c r="T224" s="1778"/>
      <c r="U224" s="1779"/>
      <c r="V224" s="805"/>
      <c r="W224" s="954">
        <v>146.66666666666666</v>
      </c>
      <c r="X224" s="1781"/>
      <c r="Y224" s="1124"/>
      <c r="Z224" s="1124"/>
      <c r="AA224" s="1124"/>
      <c r="AB224" s="1124"/>
      <c r="AC224" s="1124"/>
      <c r="AD224" s="1124"/>
      <c r="AE224" s="1124"/>
      <c r="AF224" s="1124"/>
      <c r="AG224" s="1124"/>
    </row>
    <row r="225" spans="1:33" ht="57.75" customHeight="1" outlineLevel="2">
      <c r="A225" s="796">
        <v>1230</v>
      </c>
      <c r="B225" s="793" t="s">
        <v>826</v>
      </c>
      <c r="C225" s="1074" t="s">
        <v>827</v>
      </c>
      <c r="D225" s="805"/>
      <c r="E225" s="796">
        <v>5</v>
      </c>
      <c r="F225" s="1775">
        <v>43360</v>
      </c>
      <c r="G225" s="1775">
        <f t="shared" si="29"/>
        <v>43365</v>
      </c>
      <c r="H225" s="805" t="s">
        <v>785</v>
      </c>
      <c r="I225" s="796" t="s">
        <v>170</v>
      </c>
      <c r="J225" s="792"/>
      <c r="K225" s="805" t="s">
        <v>831</v>
      </c>
      <c r="L225" s="1776">
        <v>23174</v>
      </c>
      <c r="M225" s="805"/>
      <c r="N225" s="805"/>
      <c r="O225" s="954">
        <v>1173.3333333333333</v>
      </c>
      <c r="P225" s="1937">
        <v>1</v>
      </c>
      <c r="Q225" s="1144">
        <f t="shared" si="28"/>
        <v>1173.3333333333333</v>
      </c>
      <c r="R225" s="1976"/>
      <c r="S225" s="1778"/>
      <c r="T225" s="1778"/>
      <c r="U225" s="1779"/>
      <c r="V225" s="805"/>
      <c r="W225" s="954">
        <v>1088</v>
      </c>
      <c r="X225" s="1781"/>
      <c r="Y225" s="1124"/>
      <c r="Z225" s="1124"/>
      <c r="AA225" s="1124"/>
      <c r="AB225" s="1124"/>
      <c r="AC225" s="1124"/>
      <c r="AD225" s="1124"/>
      <c r="AE225" s="1124"/>
      <c r="AF225" s="1124"/>
      <c r="AG225" s="1124"/>
    </row>
    <row r="226" spans="1:33" ht="57.75" customHeight="1" outlineLevel="2">
      <c r="A226" s="796">
        <v>1230</v>
      </c>
      <c r="B226" s="793" t="s">
        <v>826</v>
      </c>
      <c r="C226" s="1074" t="s">
        <v>827</v>
      </c>
      <c r="D226" s="805"/>
      <c r="E226" s="796">
        <v>5</v>
      </c>
      <c r="F226" s="1775">
        <v>43360</v>
      </c>
      <c r="G226" s="1775">
        <f t="shared" si="29"/>
        <v>43365</v>
      </c>
      <c r="H226" s="805" t="s">
        <v>785</v>
      </c>
      <c r="I226" s="796" t="s">
        <v>170</v>
      </c>
      <c r="J226" s="792"/>
      <c r="K226" s="805" t="s">
        <v>832</v>
      </c>
      <c r="L226" s="1776">
        <v>23174</v>
      </c>
      <c r="M226" s="805"/>
      <c r="N226" s="805"/>
      <c r="O226" s="954">
        <v>146.66666666666666</v>
      </c>
      <c r="P226" s="1937">
        <v>1</v>
      </c>
      <c r="Q226" s="1144">
        <f>P226*O226</f>
        <v>146.66666666666666</v>
      </c>
      <c r="R226" s="1976"/>
      <c r="S226" s="1778"/>
      <c r="T226" s="1778"/>
      <c r="U226" s="1779"/>
      <c r="V226" s="805"/>
      <c r="W226" s="954">
        <v>680</v>
      </c>
      <c r="X226" s="1781"/>
      <c r="Y226" s="1124"/>
      <c r="Z226" s="1124"/>
      <c r="AA226" s="1124"/>
      <c r="AB226" s="1124"/>
      <c r="AC226" s="1124"/>
      <c r="AD226" s="1124"/>
      <c r="AE226" s="1124"/>
      <c r="AF226" s="1124"/>
      <c r="AG226" s="1124"/>
    </row>
    <row r="227" spans="1:33" ht="57.75" customHeight="1" outlineLevel="2">
      <c r="A227" s="796">
        <v>1230</v>
      </c>
      <c r="B227" s="793" t="s">
        <v>826</v>
      </c>
      <c r="C227" s="1074" t="s">
        <v>827</v>
      </c>
      <c r="D227" s="805"/>
      <c r="E227" s="796">
        <v>5</v>
      </c>
      <c r="F227" s="1775">
        <v>43360</v>
      </c>
      <c r="G227" s="1775">
        <f t="shared" si="29"/>
        <v>43365</v>
      </c>
      <c r="H227" s="805" t="s">
        <v>785</v>
      </c>
      <c r="I227" s="796" t="s">
        <v>170</v>
      </c>
      <c r="J227" s="792"/>
      <c r="K227" s="805" t="s">
        <v>833</v>
      </c>
      <c r="L227" s="1776">
        <v>23174</v>
      </c>
      <c r="M227" s="805"/>
      <c r="N227" s="805"/>
      <c r="O227" s="954">
        <v>1088</v>
      </c>
      <c r="P227" s="1937">
        <v>1</v>
      </c>
      <c r="Q227" s="1144">
        <f>P227*O227</f>
        <v>1088</v>
      </c>
      <c r="R227" s="1976"/>
      <c r="S227" s="1778"/>
      <c r="T227" s="1778"/>
      <c r="U227" s="1779"/>
      <c r="V227" s="805"/>
      <c r="W227" s="954">
        <v>30.331</v>
      </c>
      <c r="X227" s="1781"/>
      <c r="Y227" s="1124"/>
      <c r="Z227" s="1124"/>
      <c r="AA227" s="1124"/>
      <c r="AB227" s="1124"/>
      <c r="AC227" s="1124"/>
      <c r="AD227" s="1124"/>
      <c r="AE227" s="1124"/>
      <c r="AF227" s="1124"/>
      <c r="AG227" s="1124"/>
    </row>
    <row r="228" spans="1:33" ht="57.75" customHeight="1" outlineLevel="2">
      <c r="A228" s="796">
        <v>1230</v>
      </c>
      <c r="B228" s="793" t="s">
        <v>826</v>
      </c>
      <c r="C228" s="1074" t="s">
        <v>827</v>
      </c>
      <c r="D228" s="805"/>
      <c r="E228" s="796">
        <v>5</v>
      </c>
      <c r="F228" s="1775">
        <v>43360</v>
      </c>
      <c r="G228" s="1775">
        <f t="shared" si="29"/>
        <v>43365</v>
      </c>
      <c r="H228" s="805" t="s">
        <v>785</v>
      </c>
      <c r="I228" s="796" t="s">
        <v>170</v>
      </c>
      <c r="J228" s="792"/>
      <c r="K228" s="805" t="s">
        <v>834</v>
      </c>
      <c r="L228" s="1776">
        <v>23174</v>
      </c>
      <c r="M228" s="805"/>
      <c r="N228" s="805"/>
      <c r="O228" s="954">
        <v>680</v>
      </c>
      <c r="P228" s="1937">
        <v>1</v>
      </c>
      <c r="Q228" s="1144">
        <f>O228*P228</f>
        <v>680</v>
      </c>
      <c r="R228" s="1976"/>
      <c r="S228" s="1778"/>
      <c r="T228" s="1778"/>
      <c r="U228" s="1779"/>
      <c r="V228" s="805"/>
      <c r="W228" s="954">
        <v>833.33333333333337</v>
      </c>
      <c r="X228" s="1781"/>
      <c r="Y228" s="1124"/>
      <c r="Z228" s="1124"/>
      <c r="AA228" s="1124"/>
      <c r="AB228" s="1124"/>
      <c r="AC228" s="1124"/>
      <c r="AD228" s="1124"/>
      <c r="AE228" s="1124"/>
      <c r="AF228" s="1124"/>
      <c r="AG228" s="1124"/>
    </row>
    <row r="229" spans="1:33" ht="39.950000000000003" customHeight="1" outlineLevel="1">
      <c r="A229" s="2000"/>
      <c r="B229" s="2001"/>
      <c r="C229" s="2002"/>
      <c r="D229" s="2003"/>
      <c r="E229" s="2004"/>
      <c r="F229" s="2005"/>
      <c r="G229" s="2005"/>
      <c r="H229" s="2003"/>
      <c r="I229" s="2006"/>
      <c r="J229" s="1747"/>
      <c r="K229" s="1574"/>
      <c r="L229" s="1996" t="s">
        <v>1051</v>
      </c>
      <c r="M229" s="1997"/>
      <c r="N229" s="1997"/>
      <c r="O229" s="1998"/>
      <c r="P229" s="1999"/>
      <c r="Q229" s="1998">
        <f>SUBTOTAL(9,Q180:Q228)</f>
        <v>126474.66666666666</v>
      </c>
      <c r="R229" s="1976"/>
      <c r="S229" s="1936"/>
      <c r="T229" s="1936"/>
      <c r="U229" s="1743"/>
      <c r="V229" s="1124"/>
      <c r="W229" s="1144"/>
      <c r="X229" s="1937"/>
      <c r="Y229" s="1124"/>
      <c r="Z229" s="1124"/>
      <c r="AA229" s="1124"/>
      <c r="AB229" s="1124"/>
      <c r="AC229" s="1124"/>
      <c r="AD229" s="1124"/>
      <c r="AE229" s="1124"/>
      <c r="AF229" s="1124"/>
      <c r="AG229" s="1124"/>
    </row>
    <row r="230" spans="1:33" ht="39.950000000000003" customHeight="1">
      <c r="A230" s="2000"/>
      <c r="B230" s="2001"/>
      <c r="C230" s="2002"/>
      <c r="D230" s="2003"/>
      <c r="E230" s="2004"/>
      <c r="F230" s="2005"/>
      <c r="G230" s="2005"/>
      <c r="H230" s="2003"/>
      <c r="I230" s="2006"/>
      <c r="J230" s="1747"/>
      <c r="K230" s="1574"/>
      <c r="L230" s="1996" t="s">
        <v>1052</v>
      </c>
      <c r="M230" s="1997"/>
      <c r="N230" s="1997"/>
      <c r="O230" s="1998"/>
      <c r="P230" s="1999"/>
      <c r="Q230" s="1998">
        <f>SUBTOTAL(9,Q161:Q228)</f>
        <v>150847.67633333334</v>
      </c>
      <c r="R230" s="1976"/>
      <c r="S230" s="1936"/>
      <c r="T230" s="1936"/>
      <c r="U230" s="1743"/>
      <c r="V230" s="1124"/>
      <c r="W230" s="1144"/>
      <c r="X230" s="1937"/>
      <c r="Y230" s="1124"/>
      <c r="Z230" s="1124"/>
      <c r="AA230" s="1124"/>
      <c r="AB230" s="1124"/>
      <c r="AC230" s="1124"/>
      <c r="AD230" s="1124"/>
      <c r="AE230" s="1124"/>
      <c r="AF230" s="1124"/>
      <c r="AG230" s="1124"/>
    </row>
    <row r="231" spans="1:33" ht="33.75" customHeight="1">
      <c r="A231" s="1827" t="s">
        <v>235</v>
      </c>
      <c r="B231" s="1517"/>
      <c r="C231" s="1828"/>
      <c r="D231" s="1829"/>
      <c r="E231" s="1829"/>
      <c r="F231" s="1829"/>
      <c r="G231" s="1829"/>
      <c r="H231" s="1829"/>
      <c r="I231" s="1830"/>
      <c r="J231" s="835"/>
      <c r="K231" s="1815"/>
      <c r="L231" s="1817"/>
      <c r="M231" s="1818"/>
      <c r="N231" s="1819"/>
      <c r="O231" s="1820"/>
      <c r="P231" s="1947"/>
      <c r="Q231" s="1832">
        <f>Q232+Q334+Q394</f>
        <v>688782.5104266667</v>
      </c>
      <c r="R231" s="1977">
        <f>+R232+R334+R394</f>
        <v>688782.21</v>
      </c>
      <c r="S231" s="1821">
        <f t="shared" ref="S231:AG231" si="30">S232+S334+S394</f>
        <v>0</v>
      </c>
      <c r="T231" s="1821">
        <f t="shared" si="30"/>
        <v>1800</v>
      </c>
      <c r="U231" s="1821">
        <f t="shared" si="30"/>
        <v>169433.17709333333</v>
      </c>
      <c r="V231" s="1821">
        <f t="shared" si="30"/>
        <v>146150.66666666669</v>
      </c>
      <c r="W231" s="1821">
        <f t="shared" si="30"/>
        <v>40154.666666666672</v>
      </c>
      <c r="X231" s="1831">
        <f t="shared" si="30"/>
        <v>75623</v>
      </c>
      <c r="Y231" s="1832">
        <f t="shared" si="30"/>
        <v>100700</v>
      </c>
      <c r="Z231" s="1833">
        <f t="shared" si="30"/>
        <v>11600</v>
      </c>
      <c r="AA231" s="1833">
        <f t="shared" si="30"/>
        <v>11640</v>
      </c>
      <c r="AB231" s="1833">
        <f t="shared" si="30"/>
        <v>500</v>
      </c>
      <c r="AC231" s="1833">
        <f t="shared" si="30"/>
        <v>500</v>
      </c>
      <c r="AD231" s="1833">
        <f t="shared" si="30"/>
        <v>10200</v>
      </c>
      <c r="AE231" s="1833">
        <f t="shared" si="30"/>
        <v>500</v>
      </c>
      <c r="AF231" s="1833">
        <f t="shared" si="30"/>
        <v>500</v>
      </c>
      <c r="AG231" s="1821">
        <f t="shared" si="30"/>
        <v>569301.51042666659</v>
      </c>
    </row>
    <row r="232" spans="1:33" ht="37.5" customHeight="1">
      <c r="A232" s="1540" t="s">
        <v>236</v>
      </c>
      <c r="B232" s="1461"/>
      <c r="C232" s="1500"/>
      <c r="D232" s="1335"/>
      <c r="E232" s="1335"/>
      <c r="F232" s="1335"/>
      <c r="G232" s="1335"/>
      <c r="H232" s="1335"/>
      <c r="I232" s="1336"/>
      <c r="J232" s="273"/>
      <c r="K232" s="1248"/>
      <c r="L232" s="1269"/>
      <c r="M232" s="1270"/>
      <c r="N232" s="1268"/>
      <c r="O232" s="1271"/>
      <c r="P232" s="1948"/>
      <c r="Q232" s="1338">
        <f>+Q233+Q246+Q263+Q288+Q311</f>
        <v>300354.41666666669</v>
      </c>
      <c r="R232" s="1713">
        <f>+'[2]Compil Costing PPA 3 millions'!F7</f>
        <v>300354.12</v>
      </c>
      <c r="S232" s="1272">
        <f t="shared" ref="S232:AG232" si="31">+S233+S246+S263+S288+S311</f>
        <v>0</v>
      </c>
      <c r="T232" s="1272">
        <f t="shared" si="31"/>
        <v>0</v>
      </c>
      <c r="U232" s="1272">
        <f t="shared" si="31"/>
        <v>95440.083333333328</v>
      </c>
      <c r="V232" s="1272">
        <f t="shared" si="31"/>
        <v>48895.666666666672</v>
      </c>
      <c r="W232" s="1272">
        <f t="shared" si="31"/>
        <v>30154.666666666668</v>
      </c>
      <c r="X232" s="1272">
        <f t="shared" si="31"/>
        <v>22323</v>
      </c>
      <c r="Y232" s="1272">
        <f t="shared" si="31"/>
        <v>1780</v>
      </c>
      <c r="Z232" s="1272">
        <f t="shared" si="31"/>
        <v>0</v>
      </c>
      <c r="AA232" s="1272">
        <f t="shared" si="31"/>
        <v>3040</v>
      </c>
      <c r="AB232" s="1272">
        <f t="shared" si="31"/>
        <v>0</v>
      </c>
      <c r="AC232" s="1272">
        <f t="shared" si="31"/>
        <v>0</v>
      </c>
      <c r="AD232" s="1272">
        <f t="shared" si="31"/>
        <v>0</v>
      </c>
      <c r="AE232" s="1272">
        <f t="shared" si="31"/>
        <v>0</v>
      </c>
      <c r="AF232" s="1272">
        <f t="shared" si="31"/>
        <v>0</v>
      </c>
      <c r="AG232" s="1272">
        <f t="shared" si="31"/>
        <v>201633.41666666666</v>
      </c>
    </row>
    <row r="233" spans="1:33" ht="29.25" customHeight="1">
      <c r="A233" s="1275">
        <v>211</v>
      </c>
      <c r="B233" s="995" t="s">
        <v>59</v>
      </c>
      <c r="C233" s="1083"/>
      <c r="D233" s="1339"/>
      <c r="E233" s="1340"/>
      <c r="F233" s="1340"/>
      <c r="G233" s="1340"/>
      <c r="H233" s="1339"/>
      <c r="I233" s="1341"/>
      <c r="J233" s="283"/>
      <c r="K233" s="1278"/>
      <c r="L233" s="1279"/>
      <c r="M233" s="1280"/>
      <c r="N233" s="1277"/>
      <c r="O233" s="1281"/>
      <c r="P233" s="1949"/>
      <c r="Q233" s="1343">
        <f>+Q235+Q238+Q244</f>
        <v>32625.75</v>
      </c>
      <c r="R233" s="1716"/>
      <c r="S233" s="1282">
        <f t="shared" ref="S233:AF233" si="32">SUM(S234:S243)</f>
        <v>0</v>
      </c>
      <c r="T233" s="1282">
        <f t="shared" si="32"/>
        <v>0</v>
      </c>
      <c r="U233" s="1282">
        <f t="shared" si="32"/>
        <v>32625.75</v>
      </c>
      <c r="V233" s="1282">
        <f t="shared" si="32"/>
        <v>0</v>
      </c>
      <c r="W233" s="1282">
        <f t="shared" si="32"/>
        <v>0</v>
      </c>
      <c r="X233" s="1282">
        <f t="shared" si="32"/>
        <v>0</v>
      </c>
      <c r="Y233" s="1282">
        <f t="shared" si="32"/>
        <v>0</v>
      </c>
      <c r="Z233" s="1282">
        <f t="shared" si="32"/>
        <v>0</v>
      </c>
      <c r="AA233" s="1282">
        <f t="shared" si="32"/>
        <v>0</v>
      </c>
      <c r="AB233" s="1282">
        <f t="shared" si="32"/>
        <v>0</v>
      </c>
      <c r="AC233" s="1282">
        <f t="shared" si="32"/>
        <v>0</v>
      </c>
      <c r="AD233" s="1282">
        <f t="shared" si="32"/>
        <v>0</v>
      </c>
      <c r="AE233" s="1282">
        <f t="shared" si="32"/>
        <v>0</v>
      </c>
      <c r="AF233" s="1282">
        <f t="shared" si="32"/>
        <v>0</v>
      </c>
      <c r="AG233" s="1282">
        <f>SUM(S233:AF233)</f>
        <v>32625.75</v>
      </c>
    </row>
    <row r="234" spans="1:33" ht="32.25" customHeight="1" outlineLevel="2">
      <c r="A234" s="294">
        <v>2112</v>
      </c>
      <c r="B234" s="291" t="s">
        <v>303</v>
      </c>
      <c r="C234" s="824" t="s">
        <v>304</v>
      </c>
      <c r="D234" s="326"/>
      <c r="E234" s="294">
        <v>60</v>
      </c>
      <c r="F234" s="293">
        <v>43221</v>
      </c>
      <c r="G234" s="293">
        <f>+E234+F234</f>
        <v>43281</v>
      </c>
      <c r="H234" s="293" t="s">
        <v>294</v>
      </c>
      <c r="I234" s="294" t="s">
        <v>171</v>
      </c>
      <c r="J234" s="307" t="s">
        <v>295</v>
      </c>
      <c r="K234" s="326" t="s">
        <v>305</v>
      </c>
      <c r="L234" s="1237">
        <v>2461</v>
      </c>
      <c r="M234" s="326"/>
      <c r="N234" s="294"/>
      <c r="O234" s="354">
        <v>504.68333333333334</v>
      </c>
      <c r="P234" s="1938">
        <v>45</v>
      </c>
      <c r="Q234" s="1126">
        <f>+O234*P234</f>
        <v>22710.75</v>
      </c>
      <c r="R234" s="1714"/>
      <c r="S234" s="355"/>
      <c r="T234" s="355"/>
      <c r="U234" s="355">
        <f>+Q234</f>
        <v>22710.75</v>
      </c>
      <c r="V234" s="355"/>
      <c r="W234" s="355"/>
      <c r="X234" s="1137"/>
      <c r="Y234" s="1126"/>
      <c r="Z234" s="1194"/>
      <c r="AA234" s="1194"/>
      <c r="AB234" s="1194"/>
      <c r="AC234" s="1124"/>
      <c r="AD234" s="1124"/>
      <c r="AE234" s="1152"/>
      <c r="AF234" s="1124"/>
      <c r="AG234" s="1156"/>
    </row>
    <row r="235" spans="1:33" ht="39.950000000000003" customHeight="1" outlineLevel="1">
      <c r="A235" s="1745"/>
      <c r="B235" s="1751"/>
      <c r="C235" s="1746"/>
      <c r="D235" s="1574"/>
      <c r="E235" s="1745"/>
      <c r="F235" s="1752"/>
      <c r="G235" s="1752"/>
      <c r="H235" s="1752"/>
      <c r="I235" s="1745"/>
      <c r="J235" s="1747"/>
      <c r="K235" s="1574"/>
      <c r="L235" s="1748" t="s">
        <v>1054</v>
      </c>
      <c r="M235" s="1997"/>
      <c r="N235" s="1997"/>
      <c r="O235" s="1998"/>
      <c r="P235" s="1999"/>
      <c r="Q235" s="1998">
        <f>SUBTOTAL(9,Q234:Q234)</f>
        <v>22710.75</v>
      </c>
      <c r="R235" s="1714"/>
      <c r="S235" s="1126"/>
      <c r="T235" s="1126"/>
      <c r="U235" s="1126"/>
      <c r="V235" s="1126"/>
      <c r="W235" s="1126"/>
      <c r="X235" s="1672"/>
      <c r="Y235" s="1126"/>
      <c r="Z235" s="1194"/>
      <c r="AA235" s="1194"/>
      <c r="AB235" s="1194"/>
      <c r="AC235" s="1124"/>
      <c r="AD235" s="1124"/>
      <c r="AE235" s="1152"/>
      <c r="AF235" s="1124"/>
      <c r="AG235" s="1156"/>
    </row>
    <row r="236" spans="1:33" ht="32.25" customHeight="1" outlineLevel="2">
      <c r="A236" s="294">
        <v>2111</v>
      </c>
      <c r="B236" s="291" t="s">
        <v>59</v>
      </c>
      <c r="C236" s="824" t="s">
        <v>293</v>
      </c>
      <c r="D236" s="326"/>
      <c r="E236" s="294">
        <v>5</v>
      </c>
      <c r="F236" s="293">
        <v>43221</v>
      </c>
      <c r="G236" s="293">
        <f>+E236+F236</f>
        <v>43226</v>
      </c>
      <c r="H236" s="293" t="s">
        <v>294</v>
      </c>
      <c r="I236" s="294" t="s">
        <v>171</v>
      </c>
      <c r="J236" s="307" t="s">
        <v>295</v>
      </c>
      <c r="K236" s="326" t="s">
        <v>301</v>
      </c>
      <c r="L236" s="1237">
        <v>23173</v>
      </c>
      <c r="M236" s="326"/>
      <c r="N236" s="294"/>
      <c r="O236" s="354">
        <v>166.66666666666666</v>
      </c>
      <c r="P236" s="1938">
        <v>3</v>
      </c>
      <c r="Q236" s="1126">
        <f>+O236*P236</f>
        <v>500</v>
      </c>
      <c r="R236" s="1714"/>
      <c r="S236" s="355"/>
      <c r="T236" s="355"/>
      <c r="U236" s="355">
        <f>+Q236</f>
        <v>500</v>
      </c>
      <c r="V236" s="355"/>
      <c r="W236" s="355"/>
      <c r="X236" s="1137"/>
      <c r="Y236" s="1126"/>
      <c r="Z236" s="1194"/>
      <c r="AA236" s="1194"/>
      <c r="AB236" s="1194"/>
      <c r="AC236" s="1124"/>
      <c r="AD236" s="1124"/>
      <c r="AE236" s="1152"/>
      <c r="AF236" s="1124"/>
      <c r="AG236" s="1156"/>
    </row>
    <row r="237" spans="1:33" ht="32.25" customHeight="1" outlineLevel="2">
      <c r="A237" s="294">
        <v>2111</v>
      </c>
      <c r="B237" s="291" t="s">
        <v>59</v>
      </c>
      <c r="C237" s="824" t="s">
        <v>293</v>
      </c>
      <c r="D237" s="326"/>
      <c r="E237" s="294">
        <v>5</v>
      </c>
      <c r="F237" s="293">
        <v>43221</v>
      </c>
      <c r="G237" s="293">
        <f>+E237+F237</f>
        <v>43226</v>
      </c>
      <c r="H237" s="293" t="s">
        <v>294</v>
      </c>
      <c r="I237" s="294" t="s">
        <v>171</v>
      </c>
      <c r="J237" s="307" t="s">
        <v>295</v>
      </c>
      <c r="K237" s="326" t="s">
        <v>302</v>
      </c>
      <c r="L237" s="1237">
        <v>23173</v>
      </c>
      <c r="M237" s="326"/>
      <c r="N237" s="294"/>
      <c r="O237" s="354">
        <v>343.66666666666669</v>
      </c>
      <c r="P237" s="1938">
        <v>3</v>
      </c>
      <c r="Q237" s="1126">
        <f>+O237*P237</f>
        <v>1031</v>
      </c>
      <c r="R237" s="1714"/>
      <c r="S237" s="355"/>
      <c r="T237" s="355"/>
      <c r="U237" s="355">
        <f>+Q237</f>
        <v>1031</v>
      </c>
      <c r="V237" s="355"/>
      <c r="W237" s="355"/>
      <c r="X237" s="1137"/>
      <c r="Y237" s="1126"/>
      <c r="Z237" s="1194"/>
      <c r="AA237" s="1194"/>
      <c r="AB237" s="1194"/>
      <c r="AC237" s="1124"/>
      <c r="AD237" s="1124"/>
      <c r="AE237" s="1152"/>
      <c r="AF237" s="1124"/>
      <c r="AG237" s="1156"/>
    </row>
    <row r="238" spans="1:33" ht="32.25" customHeight="1" outlineLevel="1">
      <c r="A238" s="1745"/>
      <c r="B238" s="1751"/>
      <c r="C238" s="1746"/>
      <c r="D238" s="1574"/>
      <c r="E238" s="1745"/>
      <c r="F238" s="1752"/>
      <c r="G238" s="1752"/>
      <c r="H238" s="1752"/>
      <c r="I238" s="1745"/>
      <c r="J238" s="1747"/>
      <c r="K238" s="1574"/>
      <c r="L238" s="1748" t="s">
        <v>1053</v>
      </c>
      <c r="M238" s="1997"/>
      <c r="N238" s="1997"/>
      <c r="O238" s="1998"/>
      <c r="P238" s="1999"/>
      <c r="Q238" s="1998">
        <f>SUBTOTAL(9,Q236:Q237)</f>
        <v>1531</v>
      </c>
      <c r="R238" s="1714"/>
      <c r="S238" s="1126"/>
      <c r="T238" s="1126"/>
      <c r="U238" s="1126"/>
      <c r="V238" s="1126"/>
      <c r="W238" s="1126"/>
      <c r="X238" s="1672"/>
      <c r="Y238" s="1126"/>
      <c r="Z238" s="1194"/>
      <c r="AA238" s="1194"/>
      <c r="AB238" s="1194"/>
      <c r="AC238" s="1124"/>
      <c r="AD238" s="1124"/>
      <c r="AE238" s="1152"/>
      <c r="AF238" s="1124"/>
      <c r="AG238" s="1156"/>
    </row>
    <row r="239" spans="1:33" ht="32.25" customHeight="1" outlineLevel="2">
      <c r="A239" s="294">
        <v>2111</v>
      </c>
      <c r="B239" s="291" t="s">
        <v>59</v>
      </c>
      <c r="C239" s="824" t="s">
        <v>293</v>
      </c>
      <c r="D239" s="326"/>
      <c r="E239" s="294">
        <v>5</v>
      </c>
      <c r="F239" s="293">
        <v>43221</v>
      </c>
      <c r="G239" s="293">
        <f>+E239+F239</f>
        <v>43226</v>
      </c>
      <c r="H239" s="293" t="s">
        <v>294</v>
      </c>
      <c r="I239" s="294" t="s">
        <v>171</v>
      </c>
      <c r="J239" s="307" t="s">
        <v>295</v>
      </c>
      <c r="K239" s="326" t="s">
        <v>296</v>
      </c>
      <c r="L239" s="1237">
        <v>23174</v>
      </c>
      <c r="M239" s="326"/>
      <c r="N239" s="294"/>
      <c r="O239" s="354">
        <v>1800</v>
      </c>
      <c r="P239" s="1938">
        <v>3</v>
      </c>
      <c r="Q239" s="1126">
        <f>+O239*P239</f>
        <v>5400</v>
      </c>
      <c r="R239" s="1714"/>
      <c r="S239" s="355"/>
      <c r="T239" s="355"/>
      <c r="U239" s="355">
        <f>+Q239</f>
        <v>5400</v>
      </c>
      <c r="V239" s="355"/>
      <c r="W239" s="355"/>
      <c r="X239" s="1137"/>
      <c r="Y239" s="1126"/>
      <c r="Z239" s="1194"/>
      <c r="AA239" s="1194"/>
      <c r="AB239" s="1194"/>
      <c r="AC239" s="1124"/>
      <c r="AD239" s="1124"/>
      <c r="AE239" s="1152"/>
      <c r="AF239" s="1124"/>
      <c r="AG239" s="1156"/>
    </row>
    <row r="240" spans="1:33" ht="32.25" customHeight="1" outlineLevel="2">
      <c r="A240" s="294">
        <v>2111</v>
      </c>
      <c r="B240" s="291" t="s">
        <v>59</v>
      </c>
      <c r="C240" s="824" t="s">
        <v>293</v>
      </c>
      <c r="D240" s="326"/>
      <c r="E240" s="294">
        <v>5</v>
      </c>
      <c r="F240" s="293">
        <v>43221</v>
      </c>
      <c r="G240" s="293">
        <f>+E240+F240</f>
        <v>43226</v>
      </c>
      <c r="H240" s="293" t="s">
        <v>294</v>
      </c>
      <c r="I240" s="294" t="s">
        <v>171</v>
      </c>
      <c r="J240" s="307" t="s">
        <v>295</v>
      </c>
      <c r="K240" s="326" t="s">
        <v>297</v>
      </c>
      <c r="L240" s="1237">
        <v>23174</v>
      </c>
      <c r="M240" s="326"/>
      <c r="N240" s="294"/>
      <c r="O240" s="354">
        <v>177.33333333333334</v>
      </c>
      <c r="P240" s="1938">
        <v>3</v>
      </c>
      <c r="Q240" s="1126">
        <f>+O240*P240</f>
        <v>532</v>
      </c>
      <c r="R240" s="1714"/>
      <c r="S240" s="355"/>
      <c r="T240" s="355"/>
      <c r="U240" s="355">
        <f>+Q240</f>
        <v>532</v>
      </c>
      <c r="V240" s="355"/>
      <c r="W240" s="355"/>
      <c r="X240" s="1137"/>
      <c r="Y240" s="1126"/>
      <c r="Z240" s="1194"/>
      <c r="AA240" s="1194"/>
      <c r="AB240" s="1194"/>
      <c r="AC240" s="1124"/>
      <c r="AD240" s="1124"/>
      <c r="AE240" s="1152"/>
      <c r="AF240" s="1124"/>
      <c r="AG240" s="1156"/>
    </row>
    <row r="241" spans="1:33" ht="32.25" customHeight="1" outlineLevel="2">
      <c r="A241" s="294">
        <v>2111</v>
      </c>
      <c r="B241" s="291" t="s">
        <v>59</v>
      </c>
      <c r="C241" s="824" t="s">
        <v>293</v>
      </c>
      <c r="D241" s="326"/>
      <c r="E241" s="294">
        <v>5</v>
      </c>
      <c r="F241" s="293">
        <v>43221</v>
      </c>
      <c r="G241" s="293">
        <f>+E241+F241</f>
        <v>43226</v>
      </c>
      <c r="H241" s="293" t="s">
        <v>294</v>
      </c>
      <c r="I241" s="294" t="s">
        <v>171</v>
      </c>
      <c r="J241" s="307" t="s">
        <v>295</v>
      </c>
      <c r="K241" s="326" t="s">
        <v>298</v>
      </c>
      <c r="L241" s="1237">
        <v>23174</v>
      </c>
      <c r="M241" s="326"/>
      <c r="N241" s="294"/>
      <c r="O241" s="354">
        <v>224</v>
      </c>
      <c r="P241" s="1938">
        <v>3</v>
      </c>
      <c r="Q241" s="1126">
        <f>+O241*P241</f>
        <v>672</v>
      </c>
      <c r="R241" s="1714"/>
      <c r="S241" s="355"/>
      <c r="T241" s="355"/>
      <c r="U241" s="355">
        <f>+Q241</f>
        <v>672</v>
      </c>
      <c r="V241" s="355"/>
      <c r="W241" s="355"/>
      <c r="X241" s="1137"/>
      <c r="Y241" s="1126"/>
      <c r="Z241" s="1194"/>
      <c r="AA241" s="1194"/>
      <c r="AB241" s="1194"/>
      <c r="AC241" s="1124"/>
      <c r="AD241" s="1124"/>
      <c r="AE241" s="1152"/>
      <c r="AF241" s="1124"/>
      <c r="AG241" s="1156"/>
    </row>
    <row r="242" spans="1:33" ht="32.25" customHeight="1" outlineLevel="2">
      <c r="A242" s="294">
        <v>2111</v>
      </c>
      <c r="B242" s="291" t="s">
        <v>59</v>
      </c>
      <c r="C242" s="824" t="s">
        <v>293</v>
      </c>
      <c r="D242" s="326"/>
      <c r="E242" s="294">
        <v>5</v>
      </c>
      <c r="F242" s="293">
        <v>43221</v>
      </c>
      <c r="G242" s="293">
        <f>+E242+F242</f>
        <v>43226</v>
      </c>
      <c r="H242" s="293" t="s">
        <v>294</v>
      </c>
      <c r="I242" s="294" t="s">
        <v>171</v>
      </c>
      <c r="J242" s="307" t="s">
        <v>295</v>
      </c>
      <c r="K242" s="326" t="s">
        <v>299</v>
      </c>
      <c r="L242" s="1237">
        <v>23174</v>
      </c>
      <c r="M242" s="326"/>
      <c r="N242" s="294"/>
      <c r="O242" s="354">
        <v>166.66666666666666</v>
      </c>
      <c r="P242" s="1938">
        <v>3</v>
      </c>
      <c r="Q242" s="1126">
        <f>+O242*P242</f>
        <v>500</v>
      </c>
      <c r="R242" s="1714"/>
      <c r="S242" s="355"/>
      <c r="T242" s="355"/>
      <c r="U242" s="355">
        <f>+Q242</f>
        <v>500</v>
      </c>
      <c r="V242" s="355"/>
      <c r="W242" s="355"/>
      <c r="X242" s="1137"/>
      <c r="Y242" s="1126"/>
      <c r="Z242" s="1194"/>
      <c r="AA242" s="1194"/>
      <c r="AB242" s="1194"/>
      <c r="AC242" s="1124"/>
      <c r="AD242" s="1124"/>
      <c r="AE242" s="1152"/>
      <c r="AF242" s="1124"/>
      <c r="AG242" s="1156"/>
    </row>
    <row r="243" spans="1:33" ht="32.25" customHeight="1" outlineLevel="2">
      <c r="A243" s="294">
        <v>2111</v>
      </c>
      <c r="B243" s="291" t="s">
        <v>59</v>
      </c>
      <c r="C243" s="824" t="s">
        <v>293</v>
      </c>
      <c r="D243" s="326"/>
      <c r="E243" s="294">
        <v>5</v>
      </c>
      <c r="F243" s="293">
        <v>43221</v>
      </c>
      <c r="G243" s="293">
        <f>+E243+F243</f>
        <v>43226</v>
      </c>
      <c r="H243" s="293" t="s">
        <v>294</v>
      </c>
      <c r="I243" s="294" t="s">
        <v>171</v>
      </c>
      <c r="J243" s="307" t="s">
        <v>295</v>
      </c>
      <c r="K243" s="326" t="s">
        <v>300</v>
      </c>
      <c r="L243" s="1237">
        <v>23174</v>
      </c>
      <c r="M243" s="326"/>
      <c r="N243" s="294"/>
      <c r="O243" s="354">
        <v>426.66666666666669</v>
      </c>
      <c r="P243" s="1938">
        <v>3</v>
      </c>
      <c r="Q243" s="1126">
        <f>+O243*P243</f>
        <v>1280</v>
      </c>
      <c r="R243" s="1714"/>
      <c r="S243" s="355"/>
      <c r="T243" s="355"/>
      <c r="U243" s="355">
        <f>+Q243</f>
        <v>1280</v>
      </c>
      <c r="V243" s="355"/>
      <c r="W243" s="355"/>
      <c r="X243" s="1137"/>
      <c r="Y243" s="1126"/>
      <c r="Z243" s="1194"/>
      <c r="AA243" s="1194"/>
      <c r="AB243" s="1194"/>
      <c r="AC243" s="1124"/>
      <c r="AD243" s="1124"/>
      <c r="AE243" s="1152"/>
      <c r="AF243" s="1124"/>
      <c r="AG243" s="1156"/>
    </row>
    <row r="244" spans="1:33" ht="39.950000000000003" customHeight="1" outlineLevel="1">
      <c r="A244" s="1745"/>
      <c r="B244" s="2007"/>
      <c r="C244" s="2008"/>
      <c r="D244" s="2009"/>
      <c r="E244" s="2010"/>
      <c r="F244" s="2011"/>
      <c r="G244" s="2011"/>
      <c r="H244" s="2011"/>
      <c r="I244" s="2006"/>
      <c r="J244" s="1747"/>
      <c r="K244" s="1574"/>
      <c r="L244" s="1748" t="s">
        <v>1051</v>
      </c>
      <c r="M244" s="1997"/>
      <c r="N244" s="1997"/>
      <c r="O244" s="1998"/>
      <c r="P244" s="1999"/>
      <c r="Q244" s="1998">
        <f>SUBTOTAL(9,Q239:Q243)</f>
        <v>8384</v>
      </c>
      <c r="R244" s="1714"/>
      <c r="S244" s="1126"/>
      <c r="T244" s="1126"/>
      <c r="U244" s="1126"/>
      <c r="V244" s="1126"/>
      <c r="W244" s="1126"/>
      <c r="X244" s="1672"/>
      <c r="Y244" s="1126"/>
      <c r="Z244" s="1194"/>
      <c r="AA244" s="1194"/>
      <c r="AB244" s="1194"/>
      <c r="AC244" s="1124"/>
      <c r="AD244" s="1124"/>
      <c r="AE244" s="1152"/>
      <c r="AF244" s="1124"/>
      <c r="AG244" s="1156"/>
    </row>
    <row r="245" spans="1:33" ht="39.950000000000003" customHeight="1">
      <c r="A245" s="1745"/>
      <c r="B245" s="2007"/>
      <c r="C245" s="2008"/>
      <c r="D245" s="2009"/>
      <c r="E245" s="2010"/>
      <c r="F245" s="2011"/>
      <c r="G245" s="2011"/>
      <c r="H245" s="2011"/>
      <c r="I245" s="2006"/>
      <c r="J245" s="1747"/>
      <c r="K245" s="1574"/>
      <c r="L245" s="1748" t="s">
        <v>1052</v>
      </c>
      <c r="M245" s="1997"/>
      <c r="N245" s="1997"/>
      <c r="O245" s="1998"/>
      <c r="P245" s="1999"/>
      <c r="Q245" s="1998">
        <f>SUBTOTAL(9,Q234:Q243)</f>
        <v>32625.75</v>
      </c>
      <c r="R245" s="1714"/>
      <c r="S245" s="1126"/>
      <c r="T245" s="1126"/>
      <c r="U245" s="1126"/>
      <c r="V245" s="1126"/>
      <c r="W245" s="1126"/>
      <c r="X245" s="1672"/>
      <c r="Y245" s="1126"/>
      <c r="Z245" s="1194"/>
      <c r="AA245" s="1194"/>
      <c r="AB245" s="1194"/>
      <c r="AC245" s="1124"/>
      <c r="AD245" s="1124"/>
      <c r="AE245" s="1152"/>
      <c r="AF245" s="1124"/>
      <c r="AG245" s="1156"/>
    </row>
    <row r="246" spans="1:33" ht="29.25" customHeight="1">
      <c r="A246" s="1275">
        <v>212</v>
      </c>
      <c r="B246" s="995" t="s">
        <v>306</v>
      </c>
      <c r="C246" s="1083"/>
      <c r="D246" s="1339"/>
      <c r="E246" s="1340"/>
      <c r="F246" s="1340"/>
      <c r="G246" s="1340"/>
      <c r="H246" s="1339"/>
      <c r="I246" s="1341"/>
      <c r="J246" s="283"/>
      <c r="K246" s="1278"/>
      <c r="L246" s="1279"/>
      <c r="M246" s="1280"/>
      <c r="N246" s="1277"/>
      <c r="O246" s="1281"/>
      <c r="P246" s="1949"/>
      <c r="Q246" s="1343">
        <f>+Q249+Q251+Q258+Q261</f>
        <v>39681</v>
      </c>
      <c r="R246" s="1716"/>
      <c r="S246" s="1282">
        <f t="shared" ref="S246:AF246" si="33">SUM(S247:S260)</f>
        <v>0</v>
      </c>
      <c r="T246" s="1282">
        <f t="shared" si="33"/>
        <v>0</v>
      </c>
      <c r="U246" s="1282">
        <f t="shared" si="33"/>
        <v>35481</v>
      </c>
      <c r="V246" s="1282">
        <f t="shared" si="33"/>
        <v>0</v>
      </c>
      <c r="W246" s="1282">
        <f t="shared" si="33"/>
        <v>4200</v>
      </c>
      <c r="X246" s="1282">
        <f t="shared" si="33"/>
        <v>0</v>
      </c>
      <c r="Y246" s="1282">
        <f t="shared" si="33"/>
        <v>0</v>
      </c>
      <c r="Z246" s="1282">
        <f t="shared" si="33"/>
        <v>0</v>
      </c>
      <c r="AA246" s="1282">
        <f t="shared" si="33"/>
        <v>0</v>
      </c>
      <c r="AB246" s="1282">
        <f t="shared" si="33"/>
        <v>0</v>
      </c>
      <c r="AC246" s="1282">
        <f t="shared" si="33"/>
        <v>0</v>
      </c>
      <c r="AD246" s="1282">
        <f t="shared" si="33"/>
        <v>0</v>
      </c>
      <c r="AE246" s="1282">
        <f t="shared" si="33"/>
        <v>0</v>
      </c>
      <c r="AF246" s="1282">
        <f t="shared" si="33"/>
        <v>0</v>
      </c>
      <c r="AG246" s="1282">
        <f>SUM(S246:AF246)</f>
        <v>39681</v>
      </c>
    </row>
    <row r="247" spans="1:33" ht="32.25" customHeight="1" outlineLevel="2">
      <c r="A247" s="294">
        <v>2122</v>
      </c>
      <c r="B247" s="291" t="s">
        <v>313</v>
      </c>
      <c r="C247" s="1834" t="s">
        <v>314</v>
      </c>
      <c r="D247" s="326"/>
      <c r="E247" s="294">
        <v>60</v>
      </c>
      <c r="F247" s="293">
        <v>43221</v>
      </c>
      <c r="G247" s="293">
        <f>+E247+F247</f>
        <v>43281</v>
      </c>
      <c r="H247" s="293" t="s">
        <v>294</v>
      </c>
      <c r="I247" s="294" t="s">
        <v>171</v>
      </c>
      <c r="J247" s="307" t="s">
        <v>295</v>
      </c>
      <c r="K247" s="326" t="s">
        <v>315</v>
      </c>
      <c r="L247" s="1237">
        <v>2313</v>
      </c>
      <c r="M247" s="326"/>
      <c r="N247" s="294"/>
      <c r="O247" s="354">
        <v>3333.3333333333335</v>
      </c>
      <c r="P247" s="1938">
        <v>1</v>
      </c>
      <c r="Q247" s="1126">
        <f>+O247*P247</f>
        <v>3333.3333333333335</v>
      </c>
      <c r="R247" s="1714"/>
      <c r="S247" s="355"/>
      <c r="T247" s="355"/>
      <c r="U247" s="355">
        <f>+Q247</f>
        <v>3333.3333333333335</v>
      </c>
      <c r="V247" s="355"/>
      <c r="W247" s="355"/>
      <c r="X247" s="1137"/>
      <c r="Y247" s="1126"/>
      <c r="Z247" s="1194"/>
      <c r="AA247" s="1194"/>
      <c r="AB247" s="1194"/>
      <c r="AC247" s="1124"/>
      <c r="AD247" s="1124"/>
      <c r="AE247" s="1152"/>
      <c r="AF247" s="1124"/>
      <c r="AG247" s="1156"/>
    </row>
    <row r="248" spans="1:33" ht="32.25" customHeight="1" outlineLevel="2">
      <c r="A248" s="294">
        <v>2123</v>
      </c>
      <c r="B248" s="291" t="s">
        <v>316</v>
      </c>
      <c r="C248" s="1834" t="s">
        <v>314</v>
      </c>
      <c r="D248" s="326"/>
      <c r="E248" s="294">
        <v>60</v>
      </c>
      <c r="F248" s="293">
        <v>43221</v>
      </c>
      <c r="G248" s="293">
        <f>+E248+F248</f>
        <v>43281</v>
      </c>
      <c r="H248" s="293" t="s">
        <v>294</v>
      </c>
      <c r="I248" s="294" t="s">
        <v>171</v>
      </c>
      <c r="J248" s="307" t="s">
        <v>295</v>
      </c>
      <c r="K248" s="326" t="s">
        <v>317</v>
      </c>
      <c r="L248" s="1237">
        <v>2313</v>
      </c>
      <c r="M248" s="326"/>
      <c r="N248" s="294"/>
      <c r="O248" s="354">
        <v>2666.6666666666665</v>
      </c>
      <c r="P248" s="1938">
        <v>1</v>
      </c>
      <c r="Q248" s="1126">
        <f>+O248*P248</f>
        <v>2666.6666666666665</v>
      </c>
      <c r="R248" s="1714"/>
      <c r="S248" s="355"/>
      <c r="T248" s="355"/>
      <c r="U248" s="355">
        <f>+Q248</f>
        <v>2666.6666666666665</v>
      </c>
      <c r="V248" s="355"/>
      <c r="W248" s="355"/>
      <c r="X248" s="1137"/>
      <c r="Y248" s="1126"/>
      <c r="Z248" s="1194"/>
      <c r="AA248" s="1194"/>
      <c r="AB248" s="1194"/>
      <c r="AC248" s="1124"/>
      <c r="AD248" s="1124"/>
      <c r="AE248" s="1152"/>
      <c r="AF248" s="1124"/>
      <c r="AG248" s="1156"/>
    </row>
    <row r="249" spans="1:33" ht="39.950000000000003" customHeight="1" outlineLevel="1">
      <c r="A249" s="1745"/>
      <c r="B249" s="1751"/>
      <c r="C249" s="2012"/>
      <c r="D249" s="1574"/>
      <c r="E249" s="1745"/>
      <c r="F249" s="1752"/>
      <c r="G249" s="1752"/>
      <c r="H249" s="1752"/>
      <c r="I249" s="1745"/>
      <c r="J249" s="1747"/>
      <c r="K249" s="1574"/>
      <c r="L249" s="1748" t="s">
        <v>1055</v>
      </c>
      <c r="M249" s="1997"/>
      <c r="N249" s="1997"/>
      <c r="O249" s="1998"/>
      <c r="P249" s="1999"/>
      <c r="Q249" s="1998">
        <f>SUBTOTAL(9,Q247:Q248)</f>
        <v>6000</v>
      </c>
      <c r="R249" s="1714"/>
      <c r="S249" s="1126"/>
      <c r="T249" s="1126"/>
      <c r="U249" s="1126"/>
      <c r="V249" s="1126"/>
      <c r="W249" s="1126"/>
      <c r="X249" s="1672"/>
      <c r="Y249" s="1126"/>
      <c r="Z249" s="1194"/>
      <c r="AA249" s="1194"/>
      <c r="AB249" s="1194"/>
      <c r="AC249" s="1124"/>
      <c r="AD249" s="1124"/>
      <c r="AE249" s="1152"/>
      <c r="AF249" s="1124"/>
      <c r="AG249" s="1156"/>
    </row>
    <row r="250" spans="1:33" ht="32.25" customHeight="1" outlineLevel="2">
      <c r="A250" s="294">
        <v>2125</v>
      </c>
      <c r="B250" s="291" t="s">
        <v>61</v>
      </c>
      <c r="C250" s="1835" t="s">
        <v>321</v>
      </c>
      <c r="D250" s="326"/>
      <c r="E250" s="294">
        <v>15</v>
      </c>
      <c r="F250" s="293">
        <v>43304</v>
      </c>
      <c r="G250" s="293">
        <f>+E250+F250</f>
        <v>43319</v>
      </c>
      <c r="H250" s="293" t="s">
        <v>294</v>
      </c>
      <c r="I250" s="294" t="s">
        <v>171</v>
      </c>
      <c r="J250" s="307" t="s">
        <v>295</v>
      </c>
      <c r="K250" s="326" t="s">
        <v>322</v>
      </c>
      <c r="L250" s="1237">
        <v>2315</v>
      </c>
      <c r="M250" s="326"/>
      <c r="N250" s="294"/>
      <c r="O250" s="354">
        <v>333.33333333333331</v>
      </c>
      <c r="P250" s="1938">
        <v>60</v>
      </c>
      <c r="Q250" s="1126">
        <f>+O250*P250</f>
        <v>20000</v>
      </c>
      <c r="R250" s="1714"/>
      <c r="S250" s="355"/>
      <c r="T250" s="355"/>
      <c r="U250" s="355">
        <f>+Q250</f>
        <v>20000</v>
      </c>
      <c r="V250" s="355"/>
      <c r="W250" s="355"/>
      <c r="X250" s="1137"/>
      <c r="Y250" s="1126"/>
      <c r="Z250" s="1194"/>
      <c r="AA250" s="1194"/>
      <c r="AB250" s="1194"/>
      <c r="AC250" s="1124"/>
      <c r="AD250" s="1124"/>
      <c r="AE250" s="1152"/>
      <c r="AF250" s="1124"/>
      <c r="AG250" s="1156"/>
    </row>
    <row r="251" spans="1:33" ht="39.950000000000003" customHeight="1" outlineLevel="1">
      <c r="A251" s="1745"/>
      <c r="B251" s="1751"/>
      <c r="C251" s="2012"/>
      <c r="D251" s="1574"/>
      <c r="E251" s="1745"/>
      <c r="F251" s="1752"/>
      <c r="G251" s="1752"/>
      <c r="H251" s="1752"/>
      <c r="I251" s="1745"/>
      <c r="J251" s="1747"/>
      <c r="K251" s="1574"/>
      <c r="L251" s="1748" t="s">
        <v>1056</v>
      </c>
      <c r="M251" s="1997"/>
      <c r="N251" s="1997"/>
      <c r="O251" s="1998"/>
      <c r="P251" s="1999"/>
      <c r="Q251" s="1998">
        <f>SUBTOTAL(9,Q250:Q250)</f>
        <v>20000</v>
      </c>
      <c r="R251" s="1714"/>
      <c r="S251" s="1126"/>
      <c r="T251" s="1126"/>
      <c r="U251" s="1126"/>
      <c r="V251" s="1126"/>
      <c r="W251" s="1126"/>
      <c r="X251" s="1672"/>
      <c r="Y251" s="1126"/>
      <c r="Z251" s="1194"/>
      <c r="AA251" s="1194"/>
      <c r="AB251" s="1194"/>
      <c r="AC251" s="1124"/>
      <c r="AD251" s="1124"/>
      <c r="AE251" s="1152"/>
      <c r="AF251" s="1124"/>
      <c r="AG251" s="1156"/>
    </row>
    <row r="252" spans="1:33" ht="32.25" customHeight="1" outlineLevel="2">
      <c r="A252" s="294">
        <v>2121</v>
      </c>
      <c r="B252" s="291" t="s">
        <v>60</v>
      </c>
      <c r="C252" s="824" t="s">
        <v>307</v>
      </c>
      <c r="D252" s="326"/>
      <c r="E252" s="294">
        <v>2</v>
      </c>
      <c r="F252" s="293">
        <v>43227</v>
      </c>
      <c r="G252" s="293">
        <f t="shared" ref="G252:G257" si="34">+E252+F252</f>
        <v>43229</v>
      </c>
      <c r="H252" s="293" t="s">
        <v>294</v>
      </c>
      <c r="I252" s="294" t="s">
        <v>171</v>
      </c>
      <c r="J252" s="307" t="s">
        <v>295</v>
      </c>
      <c r="K252" s="326" t="s">
        <v>308</v>
      </c>
      <c r="L252" s="1237">
        <v>23173</v>
      </c>
      <c r="M252" s="326"/>
      <c r="N252" s="294"/>
      <c r="O252" s="1110">
        <v>270</v>
      </c>
      <c r="P252" s="1938">
        <v>1</v>
      </c>
      <c r="Q252" s="1126">
        <v>90</v>
      </c>
      <c r="R252" s="1714"/>
      <c r="S252" s="355"/>
      <c r="T252" s="355"/>
      <c r="U252" s="355">
        <f t="shared" ref="U252:U257" si="35">+Q252</f>
        <v>90</v>
      </c>
      <c r="V252" s="355"/>
      <c r="W252" s="355"/>
      <c r="X252" s="1137"/>
      <c r="Y252" s="1126"/>
      <c r="Z252" s="1194"/>
      <c r="AA252" s="1194"/>
      <c r="AB252" s="1194"/>
      <c r="AC252" s="1124"/>
      <c r="AD252" s="1124"/>
      <c r="AE252" s="1152"/>
      <c r="AF252" s="1124"/>
      <c r="AG252" s="1156"/>
    </row>
    <row r="253" spans="1:33" ht="32.25" customHeight="1" outlineLevel="2">
      <c r="A253" s="294">
        <v>2121</v>
      </c>
      <c r="B253" s="291" t="s">
        <v>60</v>
      </c>
      <c r="C253" s="824" t="s">
        <v>307</v>
      </c>
      <c r="D253" s="326"/>
      <c r="E253" s="294">
        <v>2</v>
      </c>
      <c r="F253" s="293">
        <v>43227</v>
      </c>
      <c r="G253" s="293">
        <f t="shared" si="34"/>
        <v>43229</v>
      </c>
      <c r="H253" s="293" t="s">
        <v>294</v>
      </c>
      <c r="I253" s="294" t="s">
        <v>171</v>
      </c>
      <c r="J253" s="307" t="s">
        <v>295</v>
      </c>
      <c r="K253" s="326" t="s">
        <v>309</v>
      </c>
      <c r="L253" s="1237">
        <v>23173</v>
      </c>
      <c r="M253" s="326"/>
      <c r="N253" s="294"/>
      <c r="O253" s="1110">
        <v>1260</v>
      </c>
      <c r="P253" s="1938">
        <v>1</v>
      </c>
      <c r="Q253" s="1126">
        <v>420</v>
      </c>
      <c r="R253" s="1714"/>
      <c r="S253" s="355"/>
      <c r="T253" s="355"/>
      <c r="U253" s="355">
        <f t="shared" si="35"/>
        <v>420</v>
      </c>
      <c r="V253" s="355"/>
      <c r="W253" s="355"/>
      <c r="X253" s="1137"/>
      <c r="Y253" s="1126"/>
      <c r="Z253" s="1194"/>
      <c r="AA253" s="1194"/>
      <c r="AB253" s="1194"/>
      <c r="AC253" s="1124"/>
      <c r="AD253" s="1124"/>
      <c r="AE253" s="1152"/>
      <c r="AF253" s="1124"/>
      <c r="AG253" s="1156"/>
    </row>
    <row r="254" spans="1:33" ht="32.25" customHeight="1" outlineLevel="2">
      <c r="A254" s="294">
        <v>2121</v>
      </c>
      <c r="B254" s="291" t="s">
        <v>60</v>
      </c>
      <c r="C254" s="824" t="s">
        <v>307</v>
      </c>
      <c r="D254" s="326"/>
      <c r="E254" s="294">
        <v>2</v>
      </c>
      <c r="F254" s="293">
        <v>43227</v>
      </c>
      <c r="G254" s="293">
        <f t="shared" si="34"/>
        <v>43229</v>
      </c>
      <c r="H254" s="293" t="s">
        <v>294</v>
      </c>
      <c r="I254" s="294" t="s">
        <v>171</v>
      </c>
      <c r="J254" s="307" t="s">
        <v>295</v>
      </c>
      <c r="K254" s="326" t="s">
        <v>301</v>
      </c>
      <c r="L254" s="1237">
        <v>23173</v>
      </c>
      <c r="M254" s="326"/>
      <c r="N254" s="294"/>
      <c r="O254" s="1110">
        <v>900</v>
      </c>
      <c r="P254" s="1938">
        <v>1</v>
      </c>
      <c r="Q254" s="1126">
        <v>300</v>
      </c>
      <c r="R254" s="1714"/>
      <c r="S254" s="355"/>
      <c r="T254" s="355"/>
      <c r="U254" s="355">
        <f t="shared" si="35"/>
        <v>300</v>
      </c>
      <c r="V254" s="355"/>
      <c r="W254" s="355"/>
      <c r="X254" s="1137"/>
      <c r="Y254" s="1126"/>
      <c r="Z254" s="1194"/>
      <c r="AA254" s="1194"/>
      <c r="AB254" s="1194"/>
      <c r="AC254" s="1124"/>
      <c r="AD254" s="1124"/>
      <c r="AE254" s="1152"/>
      <c r="AF254" s="1124"/>
      <c r="AG254" s="1156"/>
    </row>
    <row r="255" spans="1:33" ht="32.25" customHeight="1" outlineLevel="2">
      <c r="A255" s="294">
        <v>2121</v>
      </c>
      <c r="B255" s="291" t="s">
        <v>60</v>
      </c>
      <c r="C255" s="824" t="s">
        <v>307</v>
      </c>
      <c r="D255" s="326"/>
      <c r="E255" s="294">
        <v>2</v>
      </c>
      <c r="F255" s="293">
        <v>43227</v>
      </c>
      <c r="G255" s="293">
        <f t="shared" si="34"/>
        <v>43229</v>
      </c>
      <c r="H255" s="293" t="s">
        <v>294</v>
      </c>
      <c r="I255" s="294" t="s">
        <v>171</v>
      </c>
      <c r="J255" s="307" t="s">
        <v>295</v>
      </c>
      <c r="K255" s="1094" t="s">
        <v>312</v>
      </c>
      <c r="L255" s="1237">
        <v>23173</v>
      </c>
      <c r="M255" s="326"/>
      <c r="N255" s="294"/>
      <c r="O255" s="1110">
        <v>300</v>
      </c>
      <c r="P255" s="1938">
        <v>1</v>
      </c>
      <c r="Q255" s="1126">
        <v>100</v>
      </c>
      <c r="R255" s="1714"/>
      <c r="S255" s="355"/>
      <c r="T255" s="355"/>
      <c r="U255" s="355">
        <f t="shared" si="35"/>
        <v>100</v>
      </c>
      <c r="V255" s="355"/>
      <c r="W255" s="355"/>
      <c r="X255" s="1137"/>
      <c r="Y255" s="1126"/>
      <c r="Z255" s="1194"/>
      <c r="AA255" s="1194"/>
      <c r="AB255" s="1194"/>
      <c r="AC255" s="1124"/>
      <c r="AD255" s="1124"/>
      <c r="AE255" s="1152"/>
      <c r="AF255" s="1124"/>
      <c r="AG255" s="1156"/>
    </row>
    <row r="256" spans="1:33" ht="32.25" customHeight="1" outlineLevel="2">
      <c r="A256" s="294">
        <v>2121</v>
      </c>
      <c r="B256" s="291" t="s">
        <v>60</v>
      </c>
      <c r="C256" s="824" t="s">
        <v>307</v>
      </c>
      <c r="D256" s="326"/>
      <c r="E256" s="294">
        <v>2</v>
      </c>
      <c r="F256" s="293">
        <v>43227</v>
      </c>
      <c r="G256" s="293">
        <f t="shared" si="34"/>
        <v>43229</v>
      </c>
      <c r="H256" s="293" t="s">
        <v>294</v>
      </c>
      <c r="I256" s="294" t="s">
        <v>171</v>
      </c>
      <c r="J256" s="307" t="s">
        <v>295</v>
      </c>
      <c r="K256" s="326" t="s">
        <v>302</v>
      </c>
      <c r="L256" s="1237">
        <v>23173</v>
      </c>
      <c r="M256" s="326"/>
      <c r="N256" s="294"/>
      <c r="O256" s="1110">
        <v>713</v>
      </c>
      <c r="P256" s="1938">
        <v>1</v>
      </c>
      <c r="Q256" s="1126">
        <v>237.66666666666666</v>
      </c>
      <c r="R256" s="1714"/>
      <c r="S256" s="355"/>
      <c r="T256" s="355"/>
      <c r="U256" s="355">
        <f t="shared" si="35"/>
        <v>237.66666666666666</v>
      </c>
      <c r="V256" s="355"/>
      <c r="W256" s="355"/>
      <c r="X256" s="1137"/>
      <c r="Y256" s="1126"/>
      <c r="Z256" s="1194"/>
      <c r="AA256" s="1194"/>
      <c r="AB256" s="1194"/>
      <c r="AC256" s="1124"/>
      <c r="AD256" s="1124"/>
      <c r="AE256" s="1152"/>
      <c r="AF256" s="1124"/>
      <c r="AG256" s="1156"/>
    </row>
    <row r="257" spans="1:33" ht="32.25" customHeight="1" outlineLevel="2">
      <c r="A257" s="294">
        <v>2124</v>
      </c>
      <c r="B257" s="291" t="s">
        <v>318</v>
      </c>
      <c r="C257" s="1834" t="s">
        <v>319</v>
      </c>
      <c r="D257" s="326"/>
      <c r="E257" s="294">
        <v>15</v>
      </c>
      <c r="F257" s="293">
        <v>43283</v>
      </c>
      <c r="G257" s="293">
        <f t="shared" si="34"/>
        <v>43298</v>
      </c>
      <c r="H257" s="293" t="s">
        <v>294</v>
      </c>
      <c r="I257" s="294" t="s">
        <v>171</v>
      </c>
      <c r="J257" s="307" t="s">
        <v>295</v>
      </c>
      <c r="K257" s="1787" t="s">
        <v>320</v>
      </c>
      <c r="L257" s="1237">
        <v>23173</v>
      </c>
      <c r="M257" s="326"/>
      <c r="N257" s="294"/>
      <c r="O257" s="354">
        <v>16666.666666666668</v>
      </c>
      <c r="P257" s="1950">
        <v>0.5</v>
      </c>
      <c r="Q257" s="1126">
        <f>+O257*P257</f>
        <v>8333.3333333333339</v>
      </c>
      <c r="R257" s="1714"/>
      <c r="S257" s="355"/>
      <c r="T257" s="355"/>
      <c r="U257" s="355">
        <f t="shared" si="35"/>
        <v>8333.3333333333339</v>
      </c>
      <c r="V257" s="355"/>
      <c r="W257" s="355"/>
      <c r="X257" s="1137"/>
      <c r="Y257" s="1126"/>
      <c r="Z257" s="1194"/>
      <c r="AA257" s="1194"/>
      <c r="AB257" s="1194"/>
      <c r="AC257" s="1124"/>
      <c r="AD257" s="1124"/>
      <c r="AE257" s="1152"/>
      <c r="AF257" s="1124"/>
      <c r="AG257" s="1156"/>
    </row>
    <row r="258" spans="1:33" ht="39.950000000000003" customHeight="1" outlineLevel="1">
      <c r="A258" s="1745"/>
      <c r="B258" s="1751"/>
      <c r="C258" s="2012"/>
      <c r="D258" s="1574"/>
      <c r="E258" s="1745"/>
      <c r="F258" s="1752"/>
      <c r="G258" s="1752"/>
      <c r="H258" s="1752"/>
      <c r="I258" s="1745"/>
      <c r="J258" s="1747"/>
      <c r="K258" s="2013"/>
      <c r="L258" s="1748" t="s">
        <v>1053</v>
      </c>
      <c r="M258" s="1997"/>
      <c r="N258" s="1997"/>
      <c r="O258" s="1998"/>
      <c r="P258" s="2014"/>
      <c r="Q258" s="1998">
        <f>SUBTOTAL(9,Q252:Q257)</f>
        <v>9481</v>
      </c>
      <c r="R258" s="1714"/>
      <c r="S258" s="1126"/>
      <c r="T258" s="1126"/>
      <c r="U258" s="1126"/>
      <c r="V258" s="1126"/>
      <c r="W258" s="1126"/>
      <c r="X258" s="1672"/>
      <c r="Y258" s="1126"/>
      <c r="Z258" s="1194"/>
      <c r="AA258" s="1194"/>
      <c r="AB258" s="1194"/>
      <c r="AC258" s="1124"/>
      <c r="AD258" s="1124"/>
      <c r="AE258" s="1152"/>
      <c r="AF258" s="1124"/>
      <c r="AG258" s="1156"/>
    </row>
    <row r="259" spans="1:33" ht="32.25" customHeight="1" outlineLevel="2">
      <c r="A259" s="294">
        <v>2121</v>
      </c>
      <c r="B259" s="291" t="s">
        <v>60</v>
      </c>
      <c r="C259" s="824" t="s">
        <v>307</v>
      </c>
      <c r="D259" s="326"/>
      <c r="E259" s="294">
        <v>2</v>
      </c>
      <c r="F259" s="293">
        <v>43227</v>
      </c>
      <c r="G259" s="293">
        <f>+E259+F259</f>
        <v>43229</v>
      </c>
      <c r="H259" s="293" t="s">
        <v>294</v>
      </c>
      <c r="I259" s="294" t="s">
        <v>171</v>
      </c>
      <c r="J259" s="307" t="s">
        <v>295</v>
      </c>
      <c r="K259" s="1094" t="s">
        <v>310</v>
      </c>
      <c r="L259" s="1237">
        <v>23174</v>
      </c>
      <c r="M259" s="326"/>
      <c r="N259" s="294"/>
      <c r="O259" s="1110">
        <v>11400</v>
      </c>
      <c r="P259" s="1938">
        <v>1</v>
      </c>
      <c r="Q259" s="1126">
        <v>3800</v>
      </c>
      <c r="R259" s="1714"/>
      <c r="S259" s="355"/>
      <c r="T259" s="355"/>
      <c r="U259" s="355"/>
      <c r="V259" s="355"/>
      <c r="W259" s="355">
        <f>+Q259</f>
        <v>3800</v>
      </c>
      <c r="X259" s="1137"/>
      <c r="Y259" s="1126"/>
      <c r="Z259" s="1194"/>
      <c r="AA259" s="1194"/>
      <c r="AB259" s="1194"/>
      <c r="AC259" s="1124"/>
      <c r="AD259" s="1124"/>
      <c r="AE259" s="1152"/>
      <c r="AF259" s="1124"/>
      <c r="AG259" s="1156"/>
    </row>
    <row r="260" spans="1:33" ht="32.25" customHeight="1" outlineLevel="2">
      <c r="A260" s="294">
        <v>2121</v>
      </c>
      <c r="B260" s="291" t="s">
        <v>60</v>
      </c>
      <c r="C260" s="824" t="s">
        <v>307</v>
      </c>
      <c r="D260" s="326"/>
      <c r="E260" s="294">
        <v>2</v>
      </c>
      <c r="F260" s="293">
        <v>43227</v>
      </c>
      <c r="G260" s="293">
        <f>+E260+F260</f>
        <v>43229</v>
      </c>
      <c r="H260" s="293" t="s">
        <v>294</v>
      </c>
      <c r="I260" s="294" t="s">
        <v>171</v>
      </c>
      <c r="J260" s="307" t="s">
        <v>295</v>
      </c>
      <c r="K260" s="326" t="s">
        <v>311</v>
      </c>
      <c r="L260" s="1237">
        <v>23174</v>
      </c>
      <c r="M260" s="326"/>
      <c r="N260" s="294"/>
      <c r="O260" s="1110">
        <v>1200</v>
      </c>
      <c r="P260" s="1938">
        <v>1</v>
      </c>
      <c r="Q260" s="1126">
        <v>400</v>
      </c>
      <c r="R260" s="1714"/>
      <c r="S260" s="355"/>
      <c r="T260" s="355"/>
      <c r="U260" s="355"/>
      <c r="V260" s="355"/>
      <c r="W260" s="355">
        <f>+Q260</f>
        <v>400</v>
      </c>
      <c r="X260" s="1137"/>
      <c r="Y260" s="1126"/>
      <c r="Z260" s="1194"/>
      <c r="AA260" s="1194"/>
      <c r="AB260" s="1194"/>
      <c r="AC260" s="1124"/>
      <c r="AD260" s="1124"/>
      <c r="AE260" s="1152"/>
      <c r="AF260" s="1124"/>
      <c r="AG260" s="1156"/>
    </row>
    <row r="261" spans="1:33" ht="39.950000000000003" customHeight="1" outlineLevel="1">
      <c r="A261" s="1745"/>
      <c r="B261" s="2007"/>
      <c r="C261" s="2008"/>
      <c r="D261" s="2009"/>
      <c r="E261" s="2010"/>
      <c r="F261" s="2011"/>
      <c r="G261" s="2011"/>
      <c r="H261" s="2011"/>
      <c r="I261" s="2006"/>
      <c r="J261" s="1747"/>
      <c r="K261" s="1574"/>
      <c r="L261" s="1748" t="s">
        <v>1051</v>
      </c>
      <c r="M261" s="1997"/>
      <c r="N261" s="1997"/>
      <c r="O261" s="2015"/>
      <c r="P261" s="1999"/>
      <c r="Q261" s="1998">
        <f>SUBTOTAL(9,Q259:Q260)</f>
        <v>4200</v>
      </c>
      <c r="R261" s="1714"/>
      <c r="S261" s="1126"/>
      <c r="T261" s="1126"/>
      <c r="U261" s="1126"/>
      <c r="V261" s="1126"/>
      <c r="W261" s="1126"/>
      <c r="X261" s="1672"/>
      <c r="Y261" s="1126"/>
      <c r="Z261" s="1194"/>
      <c r="AA261" s="1194"/>
      <c r="AB261" s="1194"/>
      <c r="AC261" s="1124"/>
      <c r="AD261" s="1124"/>
      <c r="AE261" s="1152"/>
      <c r="AF261" s="1124"/>
      <c r="AG261" s="1156"/>
    </row>
    <row r="262" spans="1:33" ht="39.950000000000003" customHeight="1">
      <c r="A262" s="1745"/>
      <c r="B262" s="2007"/>
      <c r="C262" s="2008"/>
      <c r="D262" s="2009"/>
      <c r="E262" s="2010"/>
      <c r="F262" s="2011"/>
      <c r="G262" s="2011"/>
      <c r="H262" s="2011"/>
      <c r="I262" s="2006"/>
      <c r="J262" s="1747"/>
      <c r="K262" s="1574"/>
      <c r="L262" s="1748" t="s">
        <v>1052</v>
      </c>
      <c r="M262" s="1997"/>
      <c r="N262" s="1997"/>
      <c r="O262" s="2015"/>
      <c r="P262" s="1999"/>
      <c r="Q262" s="1998">
        <f>SUBTOTAL(9,Q247:Q260)</f>
        <v>39681</v>
      </c>
      <c r="R262" s="1714"/>
      <c r="S262" s="1126"/>
      <c r="T262" s="1126"/>
      <c r="U262" s="1126"/>
      <c r="V262" s="1126"/>
      <c r="W262" s="1126"/>
      <c r="X262" s="1672"/>
      <c r="Y262" s="1126"/>
      <c r="Z262" s="1194"/>
      <c r="AA262" s="1194"/>
      <c r="AB262" s="1194"/>
      <c r="AC262" s="1124"/>
      <c r="AD262" s="1124"/>
      <c r="AE262" s="1152"/>
      <c r="AF262" s="1124"/>
      <c r="AG262" s="1156"/>
    </row>
    <row r="263" spans="1:33" ht="29.25" customHeight="1">
      <c r="A263" s="1275">
        <v>213</v>
      </c>
      <c r="B263" s="995" t="s">
        <v>323</v>
      </c>
      <c r="C263" s="1083"/>
      <c r="D263" s="1339"/>
      <c r="E263" s="1340"/>
      <c r="F263" s="1340"/>
      <c r="G263" s="1340"/>
      <c r="H263" s="1339"/>
      <c r="I263" s="1341"/>
      <c r="J263" s="283"/>
      <c r="K263" s="1278"/>
      <c r="L263" s="1279"/>
      <c r="M263" s="1280"/>
      <c r="N263" s="1277"/>
      <c r="O263" s="1281"/>
      <c r="P263" s="1949"/>
      <c r="Q263" s="1343">
        <f>+Q265+Q267+Q269+Q273+Q286</f>
        <v>127504</v>
      </c>
      <c r="R263" s="1716"/>
      <c r="S263" s="1282">
        <f t="shared" ref="S263:AF263" si="36">SUM(S264:S285)</f>
        <v>0</v>
      </c>
      <c r="T263" s="1282">
        <f t="shared" si="36"/>
        <v>0</v>
      </c>
      <c r="U263" s="1282">
        <f t="shared" si="36"/>
        <v>0</v>
      </c>
      <c r="V263" s="1282">
        <f t="shared" si="36"/>
        <v>0</v>
      </c>
      <c r="W263" s="1282">
        <f t="shared" si="36"/>
        <v>4680</v>
      </c>
      <c r="X263" s="1342">
        <f t="shared" si="36"/>
        <v>22323</v>
      </c>
      <c r="Y263" s="1343">
        <f t="shared" si="36"/>
        <v>1780</v>
      </c>
      <c r="Z263" s="1151">
        <f t="shared" si="36"/>
        <v>0</v>
      </c>
      <c r="AA263" s="1151">
        <f t="shared" si="36"/>
        <v>0</v>
      </c>
      <c r="AB263" s="1151">
        <f t="shared" si="36"/>
        <v>0</v>
      </c>
      <c r="AC263" s="1151">
        <f t="shared" si="36"/>
        <v>0</v>
      </c>
      <c r="AD263" s="1151">
        <f t="shared" si="36"/>
        <v>0</v>
      </c>
      <c r="AE263" s="1151">
        <f t="shared" si="36"/>
        <v>0</v>
      </c>
      <c r="AF263" s="1151">
        <f t="shared" si="36"/>
        <v>0</v>
      </c>
      <c r="AG263" s="1151">
        <f>SUM(S263:AF263)</f>
        <v>28783</v>
      </c>
    </row>
    <row r="264" spans="1:33" ht="31.5" outlineLevel="2">
      <c r="A264" s="294">
        <v>2134</v>
      </c>
      <c r="B264" s="291" t="s">
        <v>333</v>
      </c>
      <c r="C264" s="1834" t="s">
        <v>334</v>
      </c>
      <c r="D264" s="326"/>
      <c r="E264" s="294">
        <v>15</v>
      </c>
      <c r="F264" s="293">
        <v>43304</v>
      </c>
      <c r="G264" s="293">
        <f>+E264+F264</f>
        <v>43319</v>
      </c>
      <c r="H264" s="293" t="s">
        <v>294</v>
      </c>
      <c r="I264" s="294" t="s">
        <v>171</v>
      </c>
      <c r="J264" s="307" t="s">
        <v>295</v>
      </c>
      <c r="K264" s="1787" t="s">
        <v>335</v>
      </c>
      <c r="L264" s="1788">
        <v>2461</v>
      </c>
      <c r="M264" s="294"/>
      <c r="N264" s="294"/>
      <c r="O264" s="354">
        <v>504.68333333333334</v>
      </c>
      <c r="P264" s="1951">
        <v>60</v>
      </c>
      <c r="Q264" s="1126">
        <f>+O264*P264</f>
        <v>30281</v>
      </c>
      <c r="R264" s="1714"/>
      <c r="S264" s="355"/>
      <c r="T264" s="355"/>
      <c r="U264" s="355"/>
      <c r="V264" s="355"/>
      <c r="W264" s="355">
        <v>1080</v>
      </c>
      <c r="X264" s="1137">
        <v>1080</v>
      </c>
      <c r="Y264" s="1126"/>
      <c r="Z264" s="1194"/>
      <c r="AA264" s="1194"/>
      <c r="AB264" s="1194"/>
      <c r="AC264" s="1124"/>
      <c r="AD264" s="1124"/>
      <c r="AE264" s="1152"/>
      <c r="AF264" s="1124"/>
      <c r="AG264" s="1156"/>
    </row>
    <row r="265" spans="1:33" ht="39.950000000000003" customHeight="1" outlineLevel="1">
      <c r="A265" s="1745"/>
      <c r="B265" s="1751"/>
      <c r="C265" s="2012"/>
      <c r="D265" s="1574"/>
      <c r="E265" s="1745"/>
      <c r="F265" s="1752"/>
      <c r="G265" s="1752"/>
      <c r="H265" s="1752"/>
      <c r="I265" s="1745"/>
      <c r="J265" s="1747"/>
      <c r="K265" s="2013"/>
      <c r="L265" s="1996" t="s">
        <v>1054</v>
      </c>
      <c r="M265" s="1745"/>
      <c r="N265" s="1745"/>
      <c r="O265" s="1749"/>
      <c r="P265" s="2023"/>
      <c r="Q265" s="2024">
        <f>SUBTOTAL(9,Q264:Q264)</f>
        <v>30281</v>
      </c>
      <c r="R265" s="1714"/>
      <c r="S265" s="1126"/>
      <c r="T265" s="1126"/>
      <c r="U265" s="1126"/>
      <c r="V265" s="1126"/>
      <c r="W265" s="1126"/>
      <c r="X265" s="1672"/>
      <c r="Y265" s="1126"/>
      <c r="Z265" s="1194"/>
      <c r="AA265" s="1194"/>
      <c r="AB265" s="1194"/>
      <c r="AC265" s="1124"/>
      <c r="AD265" s="1124"/>
      <c r="AE265" s="1152"/>
      <c r="AF265" s="1124"/>
      <c r="AG265" s="1156"/>
    </row>
    <row r="266" spans="1:33" outlineLevel="2">
      <c r="A266" s="294">
        <v>2135</v>
      </c>
      <c r="B266" s="291" t="s">
        <v>65</v>
      </c>
      <c r="C266" s="1834" t="s">
        <v>336</v>
      </c>
      <c r="D266" s="326"/>
      <c r="E266" s="294">
        <v>30</v>
      </c>
      <c r="F266" s="293">
        <v>43346</v>
      </c>
      <c r="G266" s="293">
        <f>+E266+F266</f>
        <v>43376</v>
      </c>
      <c r="H266" s="293" t="s">
        <v>294</v>
      </c>
      <c r="I266" s="294" t="s">
        <v>171</v>
      </c>
      <c r="J266" s="307" t="s">
        <v>295</v>
      </c>
      <c r="K266" s="326" t="s">
        <v>337</v>
      </c>
      <c r="L266" s="1237">
        <v>6552</v>
      </c>
      <c r="M266" s="326"/>
      <c r="N266" s="294"/>
      <c r="O266" s="354">
        <v>1166.6666666666667</v>
      </c>
      <c r="P266" s="1951">
        <v>60</v>
      </c>
      <c r="Q266" s="1126">
        <f>+O266*P266</f>
        <v>70000</v>
      </c>
      <c r="R266" s="1714"/>
      <c r="S266" s="355"/>
      <c r="T266" s="355"/>
      <c r="U266" s="355"/>
      <c r="V266" s="355"/>
      <c r="W266" s="355">
        <v>300</v>
      </c>
      <c r="X266" s="1137">
        <v>300</v>
      </c>
      <c r="Y266" s="1126"/>
      <c r="Z266" s="1194"/>
      <c r="AA266" s="1194"/>
      <c r="AB266" s="1194"/>
      <c r="AC266" s="1124"/>
      <c r="AD266" s="1124"/>
      <c r="AE266" s="1152"/>
      <c r="AF266" s="1124"/>
      <c r="AG266" s="1156"/>
    </row>
    <row r="267" spans="1:33" ht="39.950000000000003" customHeight="1" outlineLevel="1">
      <c r="A267" s="1745"/>
      <c r="B267" s="1751"/>
      <c r="C267" s="2012"/>
      <c r="D267" s="1574"/>
      <c r="E267" s="1745"/>
      <c r="F267" s="1752"/>
      <c r="G267" s="1752"/>
      <c r="H267" s="1752"/>
      <c r="I267" s="1745"/>
      <c r="J267" s="1747"/>
      <c r="K267" s="1574"/>
      <c r="L267" s="1748" t="s">
        <v>1057</v>
      </c>
      <c r="M267" s="1574"/>
      <c r="N267" s="1745"/>
      <c r="O267" s="1749"/>
      <c r="P267" s="2023"/>
      <c r="Q267" s="2024">
        <f>SUBTOTAL(9,Q266:Q266)</f>
        <v>70000</v>
      </c>
      <c r="R267" s="1714"/>
      <c r="S267" s="1126"/>
      <c r="T267" s="1126"/>
      <c r="U267" s="1126"/>
      <c r="V267" s="1126"/>
      <c r="W267" s="1126"/>
      <c r="X267" s="1672"/>
      <c r="Y267" s="1126"/>
      <c r="Z267" s="1194"/>
      <c r="AA267" s="1194"/>
      <c r="AB267" s="1194"/>
      <c r="AC267" s="1124"/>
      <c r="AD267" s="1124"/>
      <c r="AE267" s="1152"/>
      <c r="AF267" s="1124"/>
      <c r="AG267" s="1156"/>
    </row>
    <row r="268" spans="1:33" outlineLevel="2">
      <c r="A268" s="294">
        <v>2136</v>
      </c>
      <c r="B268" s="291" t="s">
        <v>66</v>
      </c>
      <c r="C268" s="1835" t="s">
        <v>338</v>
      </c>
      <c r="D268" s="326"/>
      <c r="E268" s="294">
        <v>30</v>
      </c>
      <c r="F268" s="293">
        <v>43346</v>
      </c>
      <c r="G268" s="293">
        <f>+E268+F268</f>
        <v>43376</v>
      </c>
      <c r="H268" s="293" t="s">
        <v>294</v>
      </c>
      <c r="I268" s="294" t="s">
        <v>171</v>
      </c>
      <c r="J268" s="307" t="s">
        <v>295</v>
      </c>
      <c r="K268" s="326" t="s">
        <v>339</v>
      </c>
      <c r="L268" s="1788">
        <v>6565</v>
      </c>
      <c r="M268" s="326"/>
      <c r="N268" s="294"/>
      <c r="O268" s="354">
        <v>60</v>
      </c>
      <c r="P268" s="1951">
        <v>120</v>
      </c>
      <c r="Q268" s="1126">
        <f>+O268*P268</f>
        <v>7200</v>
      </c>
      <c r="R268" s="1714"/>
      <c r="S268" s="355"/>
      <c r="T268" s="355"/>
      <c r="U268" s="355"/>
      <c r="V268" s="355"/>
      <c r="W268" s="355">
        <v>3000</v>
      </c>
      <c r="X268" s="1137">
        <v>3000</v>
      </c>
      <c r="Y268" s="1126"/>
      <c r="Z268" s="1194"/>
      <c r="AA268" s="1194"/>
      <c r="AB268" s="1194"/>
      <c r="AC268" s="1124"/>
      <c r="AD268" s="1124"/>
      <c r="AE268" s="1152"/>
      <c r="AF268" s="1124"/>
      <c r="AG268" s="1156"/>
    </row>
    <row r="269" spans="1:33" ht="39.950000000000003" customHeight="1" outlineLevel="1">
      <c r="A269" s="1745"/>
      <c r="B269" s="1751"/>
      <c r="C269" s="2012"/>
      <c r="D269" s="1574"/>
      <c r="E269" s="1745"/>
      <c r="F269" s="1752"/>
      <c r="G269" s="1752"/>
      <c r="H269" s="1752"/>
      <c r="I269" s="1745"/>
      <c r="J269" s="1747"/>
      <c r="K269" s="1574"/>
      <c r="L269" s="1996" t="s">
        <v>1058</v>
      </c>
      <c r="M269" s="1574"/>
      <c r="N269" s="1745"/>
      <c r="O269" s="1749"/>
      <c r="P269" s="2023"/>
      <c r="Q269" s="2024">
        <f>SUBTOTAL(9,Q268:Q268)</f>
        <v>7200</v>
      </c>
      <c r="R269" s="1714"/>
      <c r="S269" s="1126"/>
      <c r="T269" s="1126"/>
      <c r="U269" s="1126"/>
      <c r="V269" s="1126"/>
      <c r="W269" s="1126"/>
      <c r="X269" s="1672"/>
      <c r="Y269" s="1126"/>
      <c r="Z269" s="1194"/>
      <c r="AA269" s="1194"/>
      <c r="AB269" s="1194"/>
      <c r="AC269" s="1124"/>
      <c r="AD269" s="1124"/>
      <c r="AE269" s="1152"/>
      <c r="AF269" s="1124"/>
      <c r="AG269" s="1156"/>
    </row>
    <row r="270" spans="1:33" ht="47.25" outlineLevel="2">
      <c r="A270" s="294">
        <v>2131</v>
      </c>
      <c r="B270" s="291" t="s">
        <v>62</v>
      </c>
      <c r="C270" s="1834" t="s">
        <v>324</v>
      </c>
      <c r="D270" s="326"/>
      <c r="E270" s="294">
        <v>1</v>
      </c>
      <c r="F270" s="293">
        <v>43304</v>
      </c>
      <c r="G270" s="293">
        <f>+E270+F270</f>
        <v>43305</v>
      </c>
      <c r="H270" s="293" t="s">
        <v>294</v>
      </c>
      <c r="I270" s="294" t="s">
        <v>171</v>
      </c>
      <c r="J270" s="307" t="s">
        <v>295</v>
      </c>
      <c r="K270" s="1094" t="s">
        <v>312</v>
      </c>
      <c r="L270" s="1237">
        <v>23173</v>
      </c>
      <c r="M270" s="326"/>
      <c r="N270" s="294"/>
      <c r="O270" s="354">
        <v>10</v>
      </c>
      <c r="P270" s="1951">
        <v>60</v>
      </c>
      <c r="Q270" s="1126">
        <f>+O270*P270</f>
        <v>600</v>
      </c>
      <c r="R270" s="1714"/>
      <c r="S270" s="355"/>
      <c r="T270" s="355"/>
      <c r="U270" s="355"/>
      <c r="V270" s="355"/>
      <c r="W270" s="355">
        <v>300</v>
      </c>
      <c r="X270" s="1137">
        <v>300</v>
      </c>
      <c r="Y270" s="1126"/>
      <c r="Z270" s="1194"/>
      <c r="AA270" s="1194"/>
      <c r="AB270" s="1194"/>
      <c r="AC270" s="1124"/>
      <c r="AD270" s="1124"/>
      <c r="AE270" s="1152"/>
      <c r="AF270" s="1124"/>
      <c r="AG270" s="1156"/>
    </row>
    <row r="271" spans="1:33" ht="32.25" customHeight="1" outlineLevel="2">
      <c r="A271" s="294">
        <v>2133</v>
      </c>
      <c r="B271" s="291" t="s">
        <v>64</v>
      </c>
      <c r="C271" s="1835" t="s">
        <v>330</v>
      </c>
      <c r="D271" s="326"/>
      <c r="E271" s="294">
        <v>2</v>
      </c>
      <c r="F271" s="293">
        <v>43325</v>
      </c>
      <c r="G271" s="293">
        <f>+E271+F271</f>
        <v>43327</v>
      </c>
      <c r="H271" s="293" t="s">
        <v>294</v>
      </c>
      <c r="I271" s="294" t="s">
        <v>171</v>
      </c>
      <c r="J271" s="307" t="s">
        <v>295</v>
      </c>
      <c r="K271" s="1094" t="s">
        <v>301</v>
      </c>
      <c r="L271" s="1237">
        <v>23173</v>
      </c>
      <c r="M271" s="294"/>
      <c r="N271" s="294"/>
      <c r="O271" s="354">
        <v>33.333333333333336</v>
      </c>
      <c r="P271" s="1951">
        <v>3</v>
      </c>
      <c r="Q271" s="1126">
        <f>+O271*P271</f>
        <v>100</v>
      </c>
      <c r="R271" s="1714"/>
      <c r="S271" s="355"/>
      <c r="T271" s="355"/>
      <c r="U271" s="355"/>
      <c r="V271" s="355"/>
      <c r="W271" s="355"/>
      <c r="X271" s="1137">
        <f t="shared" ref="X271:X283" si="37">+Q271</f>
        <v>100</v>
      </c>
      <c r="Y271" s="1126"/>
      <c r="Z271" s="1194"/>
      <c r="AA271" s="1194"/>
      <c r="AB271" s="1194"/>
      <c r="AC271" s="1124"/>
      <c r="AD271" s="1124"/>
      <c r="AE271" s="1152"/>
      <c r="AF271" s="1124"/>
      <c r="AG271" s="1156"/>
    </row>
    <row r="272" spans="1:33" ht="32.25" customHeight="1" outlineLevel="2">
      <c r="A272" s="294">
        <v>2133</v>
      </c>
      <c r="B272" s="291" t="s">
        <v>64</v>
      </c>
      <c r="C272" s="1835" t="s">
        <v>330</v>
      </c>
      <c r="D272" s="326"/>
      <c r="E272" s="294">
        <v>2</v>
      </c>
      <c r="F272" s="293">
        <v>43325</v>
      </c>
      <c r="G272" s="293">
        <f>+E272+F272</f>
        <v>43327</v>
      </c>
      <c r="H272" s="293" t="s">
        <v>294</v>
      </c>
      <c r="I272" s="294" t="s">
        <v>171</v>
      </c>
      <c r="J272" s="307" t="s">
        <v>295</v>
      </c>
      <c r="K272" s="1094" t="s">
        <v>302</v>
      </c>
      <c r="L272" s="1237">
        <v>23173</v>
      </c>
      <c r="M272" s="294"/>
      <c r="N272" s="294"/>
      <c r="O272" s="354">
        <v>237.66666666666666</v>
      </c>
      <c r="P272" s="1951">
        <v>3</v>
      </c>
      <c r="Q272" s="1126">
        <f>+O272*P272</f>
        <v>713</v>
      </c>
      <c r="R272" s="1714"/>
      <c r="S272" s="355"/>
      <c r="T272" s="355"/>
      <c r="U272" s="355"/>
      <c r="V272" s="355"/>
      <c r="W272" s="355"/>
      <c r="X272" s="1137">
        <f t="shared" si="37"/>
        <v>713</v>
      </c>
      <c r="Y272" s="1126"/>
      <c r="Z272" s="1194"/>
      <c r="AA272" s="1194"/>
      <c r="AB272" s="1194"/>
      <c r="AC272" s="1124"/>
      <c r="AD272" s="1124"/>
      <c r="AE272" s="1152"/>
      <c r="AF272" s="1124"/>
      <c r="AG272" s="1156"/>
    </row>
    <row r="273" spans="1:33" ht="32.25" customHeight="1" outlineLevel="1">
      <c r="A273" s="1745"/>
      <c r="B273" s="1751"/>
      <c r="C273" s="2012"/>
      <c r="D273" s="1574"/>
      <c r="E273" s="1745"/>
      <c r="F273" s="1752"/>
      <c r="G273" s="1752"/>
      <c r="H273" s="1752"/>
      <c r="I273" s="1745"/>
      <c r="J273" s="1747"/>
      <c r="K273" s="2021"/>
      <c r="L273" s="1748" t="s">
        <v>1053</v>
      </c>
      <c r="M273" s="1745"/>
      <c r="N273" s="1745"/>
      <c r="O273" s="1749"/>
      <c r="P273" s="2023"/>
      <c r="Q273" s="2024">
        <f>SUBTOTAL(9,Q270:Q272)</f>
        <v>1413</v>
      </c>
      <c r="R273" s="1714"/>
      <c r="S273" s="1126"/>
      <c r="T273" s="1126"/>
      <c r="U273" s="1126"/>
      <c r="V273" s="1126"/>
      <c r="W273" s="1126"/>
      <c r="X273" s="1672"/>
      <c r="Y273" s="1126"/>
      <c r="Z273" s="1194"/>
      <c r="AA273" s="1194"/>
      <c r="AB273" s="1194"/>
      <c r="AC273" s="1124"/>
      <c r="AD273" s="1124"/>
      <c r="AE273" s="1152"/>
      <c r="AF273" s="1124"/>
      <c r="AG273" s="1156"/>
    </row>
    <row r="274" spans="1:33" ht="47.25" outlineLevel="2">
      <c r="A274" s="294">
        <v>2131</v>
      </c>
      <c r="B274" s="291" t="s">
        <v>62</v>
      </c>
      <c r="C274" s="1834" t="s">
        <v>324</v>
      </c>
      <c r="D274" s="326"/>
      <c r="E274" s="294">
        <v>1</v>
      </c>
      <c r="F274" s="293">
        <v>43318</v>
      </c>
      <c r="G274" s="293">
        <f t="shared" ref="G274:G285" si="38">+E274+F274</f>
        <v>43319</v>
      </c>
      <c r="H274" s="293" t="s">
        <v>294</v>
      </c>
      <c r="I274" s="294" t="s">
        <v>171</v>
      </c>
      <c r="J274" s="307" t="s">
        <v>295</v>
      </c>
      <c r="K274" s="1094" t="s">
        <v>296</v>
      </c>
      <c r="L274" s="1237">
        <v>23174</v>
      </c>
      <c r="M274" s="326"/>
      <c r="N274" s="294"/>
      <c r="O274" s="354">
        <v>36</v>
      </c>
      <c r="P274" s="1951">
        <v>60</v>
      </c>
      <c r="Q274" s="1126">
        <f t="shared" ref="Q274:Q285" si="39">+O274*P274</f>
        <v>2160</v>
      </c>
      <c r="R274" s="1714"/>
      <c r="S274" s="355"/>
      <c r="T274" s="355"/>
      <c r="U274" s="355"/>
      <c r="V274" s="355"/>
      <c r="W274" s="355"/>
      <c r="X274" s="1137">
        <f t="shared" si="37"/>
        <v>2160</v>
      </c>
      <c r="Y274" s="1126"/>
      <c r="Z274" s="1194"/>
      <c r="AA274" s="1194"/>
      <c r="AB274" s="1194"/>
      <c r="AC274" s="1124"/>
      <c r="AD274" s="1124"/>
      <c r="AE274" s="1152"/>
      <c r="AF274" s="1124"/>
      <c r="AG274" s="1156"/>
    </row>
    <row r="275" spans="1:33" ht="47.25" outlineLevel="2">
      <c r="A275" s="294">
        <v>2131</v>
      </c>
      <c r="B275" s="291" t="s">
        <v>62</v>
      </c>
      <c r="C275" s="1834" t="s">
        <v>324</v>
      </c>
      <c r="D275" s="326"/>
      <c r="E275" s="294">
        <v>1</v>
      </c>
      <c r="F275" s="293">
        <v>43304</v>
      </c>
      <c r="G275" s="293">
        <f t="shared" si="38"/>
        <v>43305</v>
      </c>
      <c r="H275" s="293" t="s">
        <v>294</v>
      </c>
      <c r="I275" s="294" t="s">
        <v>171</v>
      </c>
      <c r="J275" s="307" t="s">
        <v>295</v>
      </c>
      <c r="K275" s="1094" t="s">
        <v>325</v>
      </c>
      <c r="L275" s="1237">
        <v>23174</v>
      </c>
      <c r="M275" s="326"/>
      <c r="N275" s="294"/>
      <c r="O275" s="354">
        <v>10</v>
      </c>
      <c r="P275" s="1951">
        <v>60</v>
      </c>
      <c r="Q275" s="1126">
        <f t="shared" si="39"/>
        <v>600</v>
      </c>
      <c r="R275" s="1714"/>
      <c r="S275" s="355"/>
      <c r="T275" s="355"/>
      <c r="U275" s="355"/>
      <c r="V275" s="355"/>
      <c r="W275" s="355"/>
      <c r="X275" s="1137">
        <f t="shared" si="37"/>
        <v>600</v>
      </c>
      <c r="Y275" s="1126"/>
      <c r="Z275" s="1194"/>
      <c r="AA275" s="1194"/>
      <c r="AB275" s="1194"/>
      <c r="AC275" s="1124"/>
      <c r="AD275" s="1124"/>
      <c r="AE275" s="1152"/>
      <c r="AF275" s="1124"/>
      <c r="AG275" s="1156"/>
    </row>
    <row r="276" spans="1:33" ht="47.25" outlineLevel="2">
      <c r="A276" s="294">
        <v>2131</v>
      </c>
      <c r="B276" s="291" t="s">
        <v>62</v>
      </c>
      <c r="C276" s="1834" t="s">
        <v>324</v>
      </c>
      <c r="D276" s="326"/>
      <c r="E276" s="294">
        <v>1</v>
      </c>
      <c r="F276" s="293">
        <v>43304</v>
      </c>
      <c r="G276" s="293">
        <f t="shared" si="38"/>
        <v>43305</v>
      </c>
      <c r="H276" s="293" t="s">
        <v>294</v>
      </c>
      <c r="I276" s="294" t="s">
        <v>171</v>
      </c>
      <c r="J276" s="307" t="s">
        <v>295</v>
      </c>
      <c r="K276" s="1094" t="s">
        <v>326</v>
      </c>
      <c r="L276" s="1237">
        <v>23174</v>
      </c>
      <c r="M276" s="326"/>
      <c r="N276" s="294"/>
      <c r="O276" s="354">
        <v>100</v>
      </c>
      <c r="P276" s="1951">
        <v>60</v>
      </c>
      <c r="Q276" s="1126">
        <f t="shared" si="39"/>
        <v>6000</v>
      </c>
      <c r="R276" s="1714"/>
      <c r="S276" s="355"/>
      <c r="T276" s="355"/>
      <c r="U276" s="355"/>
      <c r="V276" s="355"/>
      <c r="W276" s="355"/>
      <c r="X276" s="1137">
        <f t="shared" si="37"/>
        <v>6000</v>
      </c>
      <c r="Y276" s="1126"/>
      <c r="Z276" s="1194"/>
      <c r="AA276" s="1194"/>
      <c r="AB276" s="1194"/>
      <c r="AC276" s="1124"/>
      <c r="AD276" s="1124"/>
      <c r="AE276" s="1152"/>
      <c r="AF276" s="1124"/>
      <c r="AG276" s="1156"/>
    </row>
    <row r="277" spans="1:33" ht="32.25" customHeight="1" outlineLevel="2">
      <c r="A277" s="294">
        <v>2132</v>
      </c>
      <c r="B277" s="291" t="s">
        <v>63</v>
      </c>
      <c r="C277" s="1834" t="s">
        <v>327</v>
      </c>
      <c r="D277" s="326"/>
      <c r="E277" s="294">
        <v>3</v>
      </c>
      <c r="F277" s="293">
        <v>43318</v>
      </c>
      <c r="G277" s="293">
        <f t="shared" si="38"/>
        <v>43321</v>
      </c>
      <c r="H277" s="293" t="s">
        <v>294</v>
      </c>
      <c r="I277" s="294" t="s">
        <v>171</v>
      </c>
      <c r="J277" s="307" t="s">
        <v>295</v>
      </c>
      <c r="K277" s="1094" t="s">
        <v>328</v>
      </c>
      <c r="L277" s="1237">
        <v>23174</v>
      </c>
      <c r="M277" s="326"/>
      <c r="N277" s="294"/>
      <c r="O277" s="354">
        <v>380</v>
      </c>
      <c r="P277" s="1951">
        <v>3</v>
      </c>
      <c r="Q277" s="1126">
        <f t="shared" si="39"/>
        <v>1140</v>
      </c>
      <c r="R277" s="1714"/>
      <c r="S277" s="355"/>
      <c r="T277" s="355"/>
      <c r="U277" s="355"/>
      <c r="V277" s="355"/>
      <c r="W277" s="355"/>
      <c r="X277" s="1137">
        <f t="shared" si="37"/>
        <v>1140</v>
      </c>
      <c r="Y277" s="1126"/>
      <c r="Z277" s="1194"/>
      <c r="AA277" s="1194"/>
      <c r="AB277" s="1194"/>
      <c r="AC277" s="1124"/>
      <c r="AD277" s="1124"/>
      <c r="AE277" s="1152"/>
      <c r="AF277" s="1124"/>
      <c r="AG277" s="1156"/>
    </row>
    <row r="278" spans="1:33" ht="32.25" customHeight="1" outlineLevel="2">
      <c r="A278" s="294">
        <v>2132</v>
      </c>
      <c r="B278" s="291" t="s">
        <v>63</v>
      </c>
      <c r="C278" s="1834" t="s">
        <v>327</v>
      </c>
      <c r="D278" s="326"/>
      <c r="E278" s="294">
        <v>3</v>
      </c>
      <c r="F278" s="293">
        <v>43318</v>
      </c>
      <c r="G278" s="293">
        <f t="shared" si="38"/>
        <v>43321</v>
      </c>
      <c r="H278" s="293" t="s">
        <v>294</v>
      </c>
      <c r="I278" s="294" t="s">
        <v>171</v>
      </c>
      <c r="J278" s="307" t="s">
        <v>295</v>
      </c>
      <c r="K278" s="1094" t="s">
        <v>325</v>
      </c>
      <c r="L278" s="1237">
        <v>23174</v>
      </c>
      <c r="M278" s="326"/>
      <c r="N278" s="294"/>
      <c r="O278" s="354">
        <v>96.666666666666671</v>
      </c>
      <c r="P278" s="1951">
        <v>3</v>
      </c>
      <c r="Q278" s="1126">
        <f t="shared" si="39"/>
        <v>290</v>
      </c>
      <c r="R278" s="1714"/>
      <c r="S278" s="355"/>
      <c r="T278" s="355"/>
      <c r="U278" s="355"/>
      <c r="V278" s="355"/>
      <c r="W278" s="355"/>
      <c r="X278" s="1137">
        <f t="shared" si="37"/>
        <v>290</v>
      </c>
      <c r="Y278" s="1126"/>
      <c r="Z278" s="1194"/>
      <c r="AA278" s="1194"/>
      <c r="AB278" s="1194"/>
      <c r="AC278" s="1124"/>
      <c r="AD278" s="1124"/>
      <c r="AE278" s="1152"/>
      <c r="AF278" s="1124"/>
      <c r="AG278" s="1156"/>
    </row>
    <row r="279" spans="1:33" ht="32.25" customHeight="1" outlineLevel="2">
      <c r="A279" s="294">
        <v>2132</v>
      </c>
      <c r="B279" s="291" t="s">
        <v>63</v>
      </c>
      <c r="C279" s="1834" t="s">
        <v>327</v>
      </c>
      <c r="D279" s="326"/>
      <c r="E279" s="294">
        <v>3</v>
      </c>
      <c r="F279" s="293">
        <v>43318</v>
      </c>
      <c r="G279" s="293">
        <f t="shared" si="38"/>
        <v>43321</v>
      </c>
      <c r="H279" s="293" t="s">
        <v>294</v>
      </c>
      <c r="I279" s="294" t="s">
        <v>171</v>
      </c>
      <c r="J279" s="307" t="s">
        <v>295</v>
      </c>
      <c r="K279" s="1094" t="s">
        <v>329</v>
      </c>
      <c r="L279" s="1237">
        <v>23174</v>
      </c>
      <c r="M279" s="326"/>
      <c r="N279" s="294"/>
      <c r="O279" s="354">
        <v>1000</v>
      </c>
      <c r="P279" s="1951">
        <v>3</v>
      </c>
      <c r="Q279" s="1126">
        <f t="shared" si="39"/>
        <v>3000</v>
      </c>
      <c r="R279" s="1714"/>
      <c r="S279" s="355"/>
      <c r="T279" s="355"/>
      <c r="U279" s="355"/>
      <c r="V279" s="355"/>
      <c r="W279" s="355"/>
      <c r="X279" s="1137">
        <f t="shared" si="37"/>
        <v>3000</v>
      </c>
      <c r="Y279" s="1126"/>
      <c r="Z279" s="1194"/>
      <c r="AA279" s="1194"/>
      <c r="AB279" s="1194"/>
      <c r="AC279" s="1124"/>
      <c r="AD279" s="1124"/>
      <c r="AE279" s="1152"/>
      <c r="AF279" s="1124"/>
      <c r="AG279" s="1156"/>
    </row>
    <row r="280" spans="1:33" ht="32.25" customHeight="1" outlineLevel="2">
      <c r="A280" s="294">
        <v>2132</v>
      </c>
      <c r="B280" s="291" t="s">
        <v>63</v>
      </c>
      <c r="C280" s="1834" t="s">
        <v>327</v>
      </c>
      <c r="D280" s="326"/>
      <c r="E280" s="294">
        <v>3</v>
      </c>
      <c r="F280" s="293">
        <v>43318</v>
      </c>
      <c r="G280" s="293">
        <f t="shared" si="38"/>
        <v>43321</v>
      </c>
      <c r="H280" s="293" t="s">
        <v>294</v>
      </c>
      <c r="I280" s="294" t="s">
        <v>171</v>
      </c>
      <c r="J280" s="307" t="s">
        <v>295</v>
      </c>
      <c r="K280" s="1094" t="s">
        <v>326</v>
      </c>
      <c r="L280" s="1237">
        <v>23174</v>
      </c>
      <c r="M280" s="294"/>
      <c r="N280" s="294"/>
      <c r="O280" s="354">
        <v>100</v>
      </c>
      <c r="P280" s="1951">
        <v>3</v>
      </c>
      <c r="Q280" s="1126">
        <f t="shared" si="39"/>
        <v>300</v>
      </c>
      <c r="R280" s="1714"/>
      <c r="S280" s="355"/>
      <c r="T280" s="355"/>
      <c r="U280" s="355"/>
      <c r="V280" s="355"/>
      <c r="W280" s="355"/>
      <c r="X280" s="1137">
        <f t="shared" si="37"/>
        <v>300</v>
      </c>
      <c r="Y280" s="1126"/>
      <c r="Z280" s="1194"/>
      <c r="AA280" s="1194"/>
      <c r="AB280" s="1194"/>
      <c r="AC280" s="1124"/>
      <c r="AD280" s="1124"/>
      <c r="AE280" s="1152"/>
      <c r="AF280" s="1124"/>
      <c r="AG280" s="1156"/>
    </row>
    <row r="281" spans="1:33" ht="32.25" customHeight="1" outlineLevel="2">
      <c r="A281" s="294">
        <v>2133</v>
      </c>
      <c r="B281" s="291" t="s">
        <v>64</v>
      </c>
      <c r="C281" s="1835" t="s">
        <v>330</v>
      </c>
      <c r="D281" s="326"/>
      <c r="E281" s="294">
        <v>2</v>
      </c>
      <c r="F281" s="293">
        <v>43325</v>
      </c>
      <c r="G281" s="293">
        <f t="shared" si="38"/>
        <v>43327</v>
      </c>
      <c r="H281" s="293" t="s">
        <v>294</v>
      </c>
      <c r="I281" s="294" t="s">
        <v>171</v>
      </c>
      <c r="J281" s="307" t="s">
        <v>295</v>
      </c>
      <c r="K281" s="1094" t="s">
        <v>296</v>
      </c>
      <c r="L281" s="1237">
        <v>23174</v>
      </c>
      <c r="M281" s="294"/>
      <c r="N281" s="294"/>
      <c r="O281" s="354">
        <v>900</v>
      </c>
      <c r="P281" s="1951">
        <v>3</v>
      </c>
      <c r="Q281" s="1126">
        <f t="shared" si="39"/>
        <v>2700</v>
      </c>
      <c r="R281" s="1714"/>
      <c r="S281" s="355"/>
      <c r="T281" s="355"/>
      <c r="U281" s="355"/>
      <c r="V281" s="355"/>
      <c r="W281" s="355"/>
      <c r="X281" s="1137">
        <f t="shared" si="37"/>
        <v>2700</v>
      </c>
      <c r="Y281" s="1126"/>
      <c r="Z281" s="1194"/>
      <c r="AA281" s="1194"/>
      <c r="AB281" s="1194"/>
      <c r="AC281" s="1124"/>
      <c r="AD281" s="1124"/>
      <c r="AE281" s="1152"/>
      <c r="AF281" s="1124"/>
      <c r="AG281" s="1156"/>
    </row>
    <row r="282" spans="1:33" ht="32.25" customHeight="1" outlineLevel="2">
      <c r="A282" s="294">
        <v>2133</v>
      </c>
      <c r="B282" s="291" t="s">
        <v>64</v>
      </c>
      <c r="C282" s="1835" t="s">
        <v>330</v>
      </c>
      <c r="D282" s="326"/>
      <c r="E282" s="294">
        <v>2</v>
      </c>
      <c r="F282" s="293">
        <v>43325</v>
      </c>
      <c r="G282" s="293">
        <f t="shared" si="38"/>
        <v>43327</v>
      </c>
      <c r="H282" s="293" t="s">
        <v>294</v>
      </c>
      <c r="I282" s="294" t="s">
        <v>171</v>
      </c>
      <c r="J282" s="307" t="s">
        <v>295</v>
      </c>
      <c r="K282" s="1094" t="s">
        <v>297</v>
      </c>
      <c r="L282" s="1237">
        <v>23174</v>
      </c>
      <c r="M282" s="294"/>
      <c r="N282" s="294"/>
      <c r="O282" s="354">
        <v>101.33333333333333</v>
      </c>
      <c r="P282" s="1951">
        <v>3</v>
      </c>
      <c r="Q282" s="1126">
        <f t="shared" si="39"/>
        <v>304</v>
      </c>
      <c r="R282" s="1714"/>
      <c r="S282" s="355"/>
      <c r="T282" s="355"/>
      <c r="U282" s="355"/>
      <c r="V282" s="355"/>
      <c r="W282" s="355"/>
      <c r="X282" s="1137">
        <f t="shared" si="37"/>
        <v>304</v>
      </c>
      <c r="Y282" s="1126"/>
      <c r="Z282" s="1194"/>
      <c r="AA282" s="1194"/>
      <c r="AB282" s="1194"/>
      <c r="AC282" s="1124"/>
      <c r="AD282" s="1124"/>
      <c r="AE282" s="1152"/>
      <c r="AF282" s="1124"/>
      <c r="AG282" s="1156"/>
    </row>
    <row r="283" spans="1:33" ht="32.25" customHeight="1" outlineLevel="2">
      <c r="A283" s="294">
        <v>2133</v>
      </c>
      <c r="B283" s="291" t="s">
        <v>64</v>
      </c>
      <c r="C283" s="1835" t="s">
        <v>330</v>
      </c>
      <c r="D283" s="326"/>
      <c r="E283" s="294">
        <v>2</v>
      </c>
      <c r="F283" s="293">
        <v>43325</v>
      </c>
      <c r="G283" s="293">
        <f t="shared" si="38"/>
        <v>43327</v>
      </c>
      <c r="H283" s="293" t="s">
        <v>294</v>
      </c>
      <c r="I283" s="294" t="s">
        <v>171</v>
      </c>
      <c r="J283" s="307" t="s">
        <v>295</v>
      </c>
      <c r="K283" s="1094" t="s">
        <v>331</v>
      </c>
      <c r="L283" s="1237">
        <v>23174</v>
      </c>
      <c r="M283" s="294"/>
      <c r="N283" s="294"/>
      <c r="O283" s="354">
        <v>112</v>
      </c>
      <c r="P283" s="1951">
        <v>3</v>
      </c>
      <c r="Q283" s="1126">
        <f t="shared" si="39"/>
        <v>336</v>
      </c>
      <c r="R283" s="1714"/>
      <c r="S283" s="355"/>
      <c r="T283" s="355"/>
      <c r="U283" s="355"/>
      <c r="V283" s="355"/>
      <c r="W283" s="355"/>
      <c r="X283" s="1137">
        <f t="shared" si="37"/>
        <v>336</v>
      </c>
      <c r="Y283" s="1126"/>
      <c r="Z283" s="1194"/>
      <c r="AA283" s="1194"/>
      <c r="AB283" s="1194"/>
      <c r="AC283" s="1124"/>
      <c r="AD283" s="1124"/>
      <c r="AE283" s="1152"/>
      <c r="AF283" s="1124"/>
      <c r="AG283" s="1156"/>
    </row>
    <row r="284" spans="1:33" ht="32.25" customHeight="1" outlineLevel="2">
      <c r="A284" s="294">
        <v>2133</v>
      </c>
      <c r="B284" s="291" t="s">
        <v>64</v>
      </c>
      <c r="C284" s="1835" t="s">
        <v>330</v>
      </c>
      <c r="D284" s="326"/>
      <c r="E284" s="294">
        <v>2</v>
      </c>
      <c r="F284" s="293">
        <v>43325</v>
      </c>
      <c r="G284" s="293">
        <f t="shared" si="38"/>
        <v>43327</v>
      </c>
      <c r="H284" s="293" t="s">
        <v>294</v>
      </c>
      <c r="I284" s="294" t="s">
        <v>171</v>
      </c>
      <c r="J284" s="307" t="s">
        <v>295</v>
      </c>
      <c r="K284" s="1094" t="s">
        <v>332</v>
      </c>
      <c r="L284" s="1237">
        <v>23174</v>
      </c>
      <c r="M284" s="294"/>
      <c r="N284" s="294"/>
      <c r="O284" s="354">
        <v>166.66666666666666</v>
      </c>
      <c r="P284" s="1951">
        <v>3</v>
      </c>
      <c r="Q284" s="1126">
        <f t="shared" si="39"/>
        <v>500</v>
      </c>
      <c r="R284" s="1714"/>
      <c r="S284" s="355"/>
      <c r="T284" s="355"/>
      <c r="U284" s="355"/>
      <c r="V284" s="355"/>
      <c r="W284" s="355"/>
      <c r="X284" s="1137"/>
      <c r="Y284" s="1126">
        <f>+Q284</f>
        <v>500</v>
      </c>
      <c r="Z284" s="1194"/>
      <c r="AA284" s="1194"/>
      <c r="AB284" s="1194"/>
      <c r="AC284" s="1124"/>
      <c r="AD284" s="1124"/>
      <c r="AE284" s="1152"/>
      <c r="AF284" s="1124"/>
      <c r="AG284" s="1156"/>
    </row>
    <row r="285" spans="1:33" ht="32.25" customHeight="1" outlineLevel="2">
      <c r="A285" s="294">
        <v>2133</v>
      </c>
      <c r="B285" s="291" t="s">
        <v>64</v>
      </c>
      <c r="C285" s="1835" t="s">
        <v>330</v>
      </c>
      <c r="D285" s="326"/>
      <c r="E285" s="294">
        <v>2</v>
      </c>
      <c r="F285" s="293">
        <v>43325</v>
      </c>
      <c r="G285" s="293">
        <f t="shared" si="38"/>
        <v>43327</v>
      </c>
      <c r="H285" s="293" t="s">
        <v>294</v>
      </c>
      <c r="I285" s="294" t="s">
        <v>171</v>
      </c>
      <c r="J285" s="307" t="s">
        <v>295</v>
      </c>
      <c r="K285" s="1094" t="s">
        <v>311</v>
      </c>
      <c r="L285" s="1704">
        <v>23174</v>
      </c>
      <c r="M285" s="294"/>
      <c r="N285" s="294"/>
      <c r="O285" s="354">
        <v>426.66666666666669</v>
      </c>
      <c r="P285" s="1951">
        <v>3</v>
      </c>
      <c r="Q285" s="1126">
        <f t="shared" si="39"/>
        <v>1280</v>
      </c>
      <c r="R285" s="1714"/>
      <c r="S285" s="355"/>
      <c r="T285" s="355"/>
      <c r="U285" s="355"/>
      <c r="V285" s="355"/>
      <c r="W285" s="355"/>
      <c r="X285" s="1137"/>
      <c r="Y285" s="1126">
        <f>+Q285</f>
        <v>1280</v>
      </c>
      <c r="Z285" s="1194"/>
      <c r="AA285" s="1194"/>
      <c r="AB285" s="1194"/>
      <c r="AC285" s="1124"/>
      <c r="AD285" s="1124"/>
      <c r="AE285" s="1152"/>
      <c r="AF285" s="1124"/>
      <c r="AG285" s="1156"/>
    </row>
    <row r="286" spans="1:33" ht="39.950000000000003" customHeight="1" outlineLevel="1">
      <c r="A286" s="1745"/>
      <c r="B286" s="2016"/>
      <c r="C286" s="2017"/>
      <c r="D286" s="2018"/>
      <c r="E286" s="2019"/>
      <c r="F286" s="2020"/>
      <c r="G286" s="2020"/>
      <c r="H286" s="2020"/>
      <c r="I286" s="2006"/>
      <c r="J286" s="1747"/>
      <c r="K286" s="2021"/>
      <c r="L286" s="1748" t="s">
        <v>1051</v>
      </c>
      <c r="M286" s="1745"/>
      <c r="N286" s="1745"/>
      <c r="O286" s="1749"/>
      <c r="P286" s="2023"/>
      <c r="Q286" s="2024">
        <f>SUBTOTAL(9,Q274:Q285)</f>
        <v>18610</v>
      </c>
      <c r="R286" s="1714"/>
      <c r="S286" s="1126"/>
      <c r="T286" s="1126"/>
      <c r="U286" s="1126"/>
      <c r="V286" s="1126"/>
      <c r="W286" s="1126"/>
      <c r="X286" s="1672"/>
      <c r="Y286" s="1126"/>
      <c r="Z286" s="1194"/>
      <c r="AA286" s="1194"/>
      <c r="AB286" s="1194"/>
      <c r="AC286" s="1124"/>
      <c r="AD286" s="1124"/>
      <c r="AE286" s="1152"/>
      <c r="AF286" s="1124"/>
      <c r="AG286" s="1156"/>
    </row>
    <row r="287" spans="1:33" ht="39.950000000000003" customHeight="1">
      <c r="A287" s="1745"/>
      <c r="B287" s="2016"/>
      <c r="C287" s="2017"/>
      <c r="D287" s="2018"/>
      <c r="E287" s="2019"/>
      <c r="F287" s="2020"/>
      <c r="G287" s="2020"/>
      <c r="H287" s="2020"/>
      <c r="I287" s="2006"/>
      <c r="J287" s="1747"/>
      <c r="K287" s="2021"/>
      <c r="L287" s="2022" t="s">
        <v>1052</v>
      </c>
      <c r="M287" s="1745"/>
      <c r="N287" s="1745"/>
      <c r="O287" s="1749"/>
      <c r="P287" s="2023"/>
      <c r="Q287" s="2024">
        <f>SUBTOTAL(9,Q264:Q285)</f>
        <v>127504</v>
      </c>
      <c r="R287" s="1714"/>
      <c r="S287" s="1126"/>
      <c r="T287" s="1126"/>
      <c r="U287" s="1126"/>
      <c r="V287" s="1126"/>
      <c r="W287" s="1126"/>
      <c r="X287" s="1672"/>
      <c r="Y287" s="1126"/>
      <c r="Z287" s="1194"/>
      <c r="AA287" s="1194"/>
      <c r="AB287" s="1194"/>
      <c r="AC287" s="1124"/>
      <c r="AD287" s="1124"/>
      <c r="AE287" s="1152"/>
      <c r="AF287" s="1124"/>
      <c r="AG287" s="1156"/>
    </row>
    <row r="288" spans="1:33" ht="29.25" customHeight="1">
      <c r="A288" s="1275">
        <v>214</v>
      </c>
      <c r="B288" s="995" t="s">
        <v>340</v>
      </c>
      <c r="C288" s="1083"/>
      <c r="D288" s="1339"/>
      <c r="E288" s="1340"/>
      <c r="F288" s="1340"/>
      <c r="G288" s="1340"/>
      <c r="H288" s="1339"/>
      <c r="I288" s="1341"/>
      <c r="J288" s="283"/>
      <c r="K288" s="1278"/>
      <c r="L288" s="1279"/>
      <c r="M288" s="1280"/>
      <c r="N288" s="1277"/>
      <c r="O288" s="1281"/>
      <c r="P288" s="1949"/>
      <c r="Q288" s="1343">
        <f>+Q290+Q297+Q309</f>
        <v>47057.333333333336</v>
      </c>
      <c r="R288" s="1716"/>
      <c r="S288" s="1282">
        <f t="shared" ref="S288:AF288" si="40">SUM(S289:S308)</f>
        <v>0</v>
      </c>
      <c r="T288" s="1282">
        <f t="shared" si="40"/>
        <v>0</v>
      </c>
      <c r="U288" s="1282">
        <f t="shared" si="40"/>
        <v>22742.666666666664</v>
      </c>
      <c r="V288" s="1282">
        <f t="shared" si="40"/>
        <v>0</v>
      </c>
      <c r="W288" s="1282">
        <f t="shared" si="40"/>
        <v>21274.666666666668</v>
      </c>
      <c r="X288" s="1342">
        <f t="shared" si="40"/>
        <v>0</v>
      </c>
      <c r="Y288" s="1343">
        <f t="shared" si="40"/>
        <v>0</v>
      </c>
      <c r="Z288" s="1151">
        <f t="shared" si="40"/>
        <v>0</v>
      </c>
      <c r="AA288" s="1151">
        <f t="shared" si="40"/>
        <v>3040</v>
      </c>
      <c r="AB288" s="1151">
        <f t="shared" si="40"/>
        <v>0</v>
      </c>
      <c r="AC288" s="1151">
        <f t="shared" si="40"/>
        <v>0</v>
      </c>
      <c r="AD288" s="1151">
        <f t="shared" si="40"/>
        <v>0</v>
      </c>
      <c r="AE288" s="1151">
        <f t="shared" si="40"/>
        <v>0</v>
      </c>
      <c r="AF288" s="1151">
        <f t="shared" si="40"/>
        <v>0</v>
      </c>
      <c r="AG288" s="1151">
        <f>SUM(S288:AF288)</f>
        <v>47057.333333333328</v>
      </c>
    </row>
    <row r="289" spans="1:33" ht="32.25" customHeight="1" outlineLevel="2">
      <c r="A289" s="294">
        <v>2141</v>
      </c>
      <c r="B289" s="291" t="s">
        <v>341</v>
      </c>
      <c r="C289" s="1834" t="s">
        <v>314</v>
      </c>
      <c r="D289" s="326"/>
      <c r="E289" s="294">
        <v>5</v>
      </c>
      <c r="F289" s="293">
        <v>43227</v>
      </c>
      <c r="G289" s="293">
        <f>+E289+F289</f>
        <v>43232</v>
      </c>
      <c r="H289" s="293" t="s">
        <v>294</v>
      </c>
      <c r="I289" s="294" t="s">
        <v>171</v>
      </c>
      <c r="J289" s="307" t="s">
        <v>295</v>
      </c>
      <c r="K289" s="326" t="s">
        <v>315</v>
      </c>
      <c r="L289" s="1237">
        <v>2313</v>
      </c>
      <c r="M289" s="326"/>
      <c r="N289" s="294"/>
      <c r="O289" s="354">
        <v>2666.6666666666665</v>
      </c>
      <c r="P289" s="1938">
        <v>1</v>
      </c>
      <c r="Q289" s="1126">
        <f>+O289*P289</f>
        <v>2666.6666666666665</v>
      </c>
      <c r="R289" s="1714"/>
      <c r="S289" s="355"/>
      <c r="T289" s="355"/>
      <c r="U289" s="355">
        <f>+Q289</f>
        <v>2666.6666666666665</v>
      </c>
      <c r="V289" s="355"/>
      <c r="W289" s="355"/>
      <c r="X289" s="1137"/>
      <c r="Y289" s="1126"/>
      <c r="Z289" s="1194"/>
      <c r="AA289" s="1194"/>
      <c r="AB289" s="1194"/>
      <c r="AC289" s="1124"/>
      <c r="AD289" s="1124"/>
      <c r="AE289" s="1152"/>
      <c r="AF289" s="1124"/>
      <c r="AG289" s="1156"/>
    </row>
    <row r="290" spans="1:33" ht="39.950000000000003" customHeight="1" outlineLevel="1">
      <c r="A290" s="1745"/>
      <c r="B290" s="1751"/>
      <c r="C290" s="2012"/>
      <c r="D290" s="1574"/>
      <c r="E290" s="1745"/>
      <c r="F290" s="1752"/>
      <c r="G290" s="1752"/>
      <c r="H290" s="1752"/>
      <c r="I290" s="1745"/>
      <c r="J290" s="1747"/>
      <c r="K290" s="1574"/>
      <c r="L290" s="1748" t="s">
        <v>1055</v>
      </c>
      <c r="M290" s="1574"/>
      <c r="N290" s="1745"/>
      <c r="O290" s="1749"/>
      <c r="P290" s="2000"/>
      <c r="Q290" s="2024">
        <f>SUBTOTAL(9,Q289:Q289)</f>
        <v>2666.6666666666665</v>
      </c>
      <c r="R290" s="1714"/>
      <c r="S290" s="1126"/>
      <c r="T290" s="1126"/>
      <c r="U290" s="1126"/>
      <c r="V290" s="1126"/>
      <c r="W290" s="1126"/>
      <c r="X290" s="1672"/>
      <c r="Y290" s="1126"/>
      <c r="Z290" s="1194"/>
      <c r="AA290" s="1194"/>
      <c r="AB290" s="1194"/>
      <c r="AC290" s="1124"/>
      <c r="AD290" s="1124"/>
      <c r="AE290" s="1152"/>
      <c r="AF290" s="1124"/>
      <c r="AG290" s="1156"/>
    </row>
    <row r="291" spans="1:33" ht="32.25" customHeight="1" outlineLevel="2">
      <c r="A291" s="294">
        <v>2141</v>
      </c>
      <c r="B291" s="291" t="s">
        <v>341</v>
      </c>
      <c r="C291" s="1834" t="s">
        <v>342</v>
      </c>
      <c r="D291" s="326"/>
      <c r="E291" s="294">
        <v>5</v>
      </c>
      <c r="F291" s="293">
        <v>43227</v>
      </c>
      <c r="G291" s="293">
        <f t="shared" ref="G291:G296" si="41">+E291+F291</f>
        <v>43232</v>
      </c>
      <c r="H291" s="293" t="s">
        <v>294</v>
      </c>
      <c r="I291" s="294" t="s">
        <v>171</v>
      </c>
      <c r="J291" s="307" t="s">
        <v>295</v>
      </c>
      <c r="K291" s="936" t="s">
        <v>343</v>
      </c>
      <c r="L291" s="1237">
        <v>23173</v>
      </c>
      <c r="M291" s="294"/>
      <c r="N291" s="294"/>
      <c r="O291" s="354">
        <v>770</v>
      </c>
      <c r="P291" s="1952">
        <v>2</v>
      </c>
      <c r="Q291" s="1126">
        <f t="shared" ref="Q291:Q296" si="42">+O291*P291</f>
        <v>1540</v>
      </c>
      <c r="R291" s="1714"/>
      <c r="S291" s="355"/>
      <c r="T291" s="355"/>
      <c r="U291" s="355">
        <f t="shared" ref="U291:U296" si="43">+Q291</f>
        <v>1540</v>
      </c>
      <c r="V291" s="355"/>
      <c r="W291" s="355"/>
      <c r="X291" s="1137"/>
      <c r="Y291" s="1126"/>
      <c r="Z291" s="1194"/>
      <c r="AA291" s="1194"/>
      <c r="AB291" s="1194"/>
      <c r="AC291" s="1124"/>
      <c r="AD291" s="1124"/>
      <c r="AE291" s="1152"/>
      <c r="AF291" s="1124"/>
      <c r="AG291" s="1156"/>
    </row>
    <row r="292" spans="1:33" ht="32.25" customHeight="1" outlineLevel="2">
      <c r="A292" s="294">
        <v>2141</v>
      </c>
      <c r="B292" s="291" t="s">
        <v>341</v>
      </c>
      <c r="C292" s="1834" t="s">
        <v>342</v>
      </c>
      <c r="D292" s="326"/>
      <c r="E292" s="294">
        <v>5</v>
      </c>
      <c r="F292" s="293">
        <v>43227</v>
      </c>
      <c r="G292" s="293">
        <f t="shared" si="41"/>
        <v>43232</v>
      </c>
      <c r="H292" s="293" t="s">
        <v>294</v>
      </c>
      <c r="I292" s="294" t="s">
        <v>171</v>
      </c>
      <c r="J292" s="307" t="s">
        <v>295</v>
      </c>
      <c r="K292" s="936" t="s">
        <v>344</v>
      </c>
      <c r="L292" s="1237">
        <v>23173</v>
      </c>
      <c r="M292" s="294"/>
      <c r="N292" s="294"/>
      <c r="O292" s="354">
        <v>165</v>
      </c>
      <c r="P292" s="1952">
        <v>2</v>
      </c>
      <c r="Q292" s="1126">
        <f t="shared" si="42"/>
        <v>330</v>
      </c>
      <c r="R292" s="1714"/>
      <c r="S292" s="355"/>
      <c r="T292" s="355"/>
      <c r="U292" s="355">
        <f t="shared" si="43"/>
        <v>330</v>
      </c>
      <c r="V292" s="355"/>
      <c r="W292" s="355"/>
      <c r="X292" s="1137"/>
      <c r="Y292" s="1126"/>
      <c r="Z292" s="1194"/>
      <c r="AA292" s="1194"/>
      <c r="AB292" s="1194"/>
      <c r="AC292" s="1124"/>
      <c r="AD292" s="1124"/>
      <c r="AE292" s="1152"/>
      <c r="AF292" s="1124"/>
      <c r="AG292" s="1156"/>
    </row>
    <row r="293" spans="1:33" ht="32.25" customHeight="1" outlineLevel="2">
      <c r="A293" s="294">
        <v>2141</v>
      </c>
      <c r="B293" s="291" t="s">
        <v>341</v>
      </c>
      <c r="C293" s="1834" t="s">
        <v>342</v>
      </c>
      <c r="D293" s="326"/>
      <c r="E293" s="294">
        <v>5</v>
      </c>
      <c r="F293" s="293">
        <v>43227</v>
      </c>
      <c r="G293" s="293">
        <f t="shared" si="41"/>
        <v>43232</v>
      </c>
      <c r="H293" s="293" t="s">
        <v>294</v>
      </c>
      <c r="I293" s="294" t="s">
        <v>171</v>
      </c>
      <c r="J293" s="307" t="s">
        <v>295</v>
      </c>
      <c r="K293" s="936" t="s">
        <v>301</v>
      </c>
      <c r="L293" s="1237">
        <v>23173</v>
      </c>
      <c r="M293" s="294"/>
      <c r="N293" s="294"/>
      <c r="O293" s="354">
        <v>500</v>
      </c>
      <c r="P293" s="1952">
        <v>2</v>
      </c>
      <c r="Q293" s="1126">
        <f t="shared" si="42"/>
        <v>1000</v>
      </c>
      <c r="R293" s="1714"/>
      <c r="S293" s="355"/>
      <c r="T293" s="355"/>
      <c r="U293" s="355">
        <f t="shared" si="43"/>
        <v>1000</v>
      </c>
      <c r="V293" s="355"/>
      <c r="W293" s="355"/>
      <c r="X293" s="1137"/>
      <c r="Y293" s="1126"/>
      <c r="Z293" s="1194"/>
      <c r="AA293" s="1194"/>
      <c r="AB293" s="1194"/>
      <c r="AC293" s="1124"/>
      <c r="AD293" s="1124"/>
      <c r="AE293" s="1152"/>
      <c r="AF293" s="1124"/>
      <c r="AG293" s="1156"/>
    </row>
    <row r="294" spans="1:33" ht="32.25" customHeight="1" outlineLevel="2">
      <c r="A294" s="294">
        <v>2141</v>
      </c>
      <c r="B294" s="291" t="s">
        <v>341</v>
      </c>
      <c r="C294" s="1834" t="s">
        <v>342</v>
      </c>
      <c r="D294" s="326"/>
      <c r="E294" s="294">
        <v>5</v>
      </c>
      <c r="F294" s="293">
        <v>43227</v>
      </c>
      <c r="G294" s="293">
        <f t="shared" si="41"/>
        <v>43232</v>
      </c>
      <c r="H294" s="293" t="s">
        <v>294</v>
      </c>
      <c r="I294" s="294" t="s">
        <v>171</v>
      </c>
      <c r="J294" s="307" t="s">
        <v>295</v>
      </c>
      <c r="K294" s="936" t="s">
        <v>302</v>
      </c>
      <c r="L294" s="1237">
        <v>23173</v>
      </c>
      <c r="M294" s="326"/>
      <c r="N294" s="294"/>
      <c r="O294" s="354">
        <v>677</v>
      </c>
      <c r="P294" s="1952">
        <v>2</v>
      </c>
      <c r="Q294" s="1126">
        <f t="shared" si="42"/>
        <v>1354</v>
      </c>
      <c r="R294" s="1714"/>
      <c r="S294" s="355"/>
      <c r="T294" s="355"/>
      <c r="U294" s="355">
        <f t="shared" si="43"/>
        <v>1354</v>
      </c>
      <c r="V294" s="355"/>
      <c r="W294" s="355"/>
      <c r="X294" s="1137"/>
      <c r="Y294" s="1126"/>
      <c r="Z294" s="1194"/>
      <c r="AA294" s="1194"/>
      <c r="AB294" s="1194"/>
      <c r="AC294" s="1124"/>
      <c r="AD294" s="1124"/>
      <c r="AE294" s="1152"/>
      <c r="AF294" s="1124"/>
      <c r="AG294" s="1156"/>
    </row>
    <row r="295" spans="1:33" ht="32.25" customHeight="1" outlineLevel="2">
      <c r="A295" s="294">
        <v>2142</v>
      </c>
      <c r="B295" s="291" t="s">
        <v>347</v>
      </c>
      <c r="C295" s="1835" t="s">
        <v>348</v>
      </c>
      <c r="D295" s="326"/>
      <c r="E295" s="294">
        <v>10</v>
      </c>
      <c r="F295" s="293">
        <v>43283</v>
      </c>
      <c r="G295" s="293">
        <f t="shared" si="41"/>
        <v>43293</v>
      </c>
      <c r="H295" s="293" t="s">
        <v>294</v>
      </c>
      <c r="I295" s="294" t="s">
        <v>171</v>
      </c>
      <c r="J295" s="307" t="s">
        <v>295</v>
      </c>
      <c r="K295" s="1837" t="s">
        <v>301</v>
      </c>
      <c r="L295" s="1237">
        <v>23173</v>
      </c>
      <c r="M295" s="326"/>
      <c r="N295" s="294"/>
      <c r="O295" s="354">
        <v>166.66666666666666</v>
      </c>
      <c r="P295" s="1938">
        <v>4</v>
      </c>
      <c r="Q295" s="1126">
        <f t="shared" si="42"/>
        <v>666.66666666666663</v>
      </c>
      <c r="R295" s="1714"/>
      <c r="S295" s="355"/>
      <c r="T295" s="355"/>
      <c r="U295" s="355">
        <f t="shared" si="43"/>
        <v>666.66666666666663</v>
      </c>
      <c r="V295" s="355"/>
      <c r="W295" s="355"/>
      <c r="X295" s="1137"/>
      <c r="Y295" s="1126"/>
      <c r="Z295" s="1194"/>
      <c r="AA295" s="1194"/>
      <c r="AB295" s="1194"/>
      <c r="AC295" s="1124"/>
      <c r="AD295" s="1124"/>
      <c r="AE295" s="1152"/>
      <c r="AF295" s="1124"/>
      <c r="AG295" s="1156"/>
    </row>
    <row r="296" spans="1:33" ht="32.25" customHeight="1" outlineLevel="2">
      <c r="A296" s="294">
        <v>2142</v>
      </c>
      <c r="B296" s="291" t="s">
        <v>347</v>
      </c>
      <c r="C296" s="1835" t="s">
        <v>348</v>
      </c>
      <c r="D296" s="326"/>
      <c r="E296" s="294">
        <v>10</v>
      </c>
      <c r="F296" s="293">
        <v>43283</v>
      </c>
      <c r="G296" s="293">
        <f t="shared" si="41"/>
        <v>43293</v>
      </c>
      <c r="H296" s="293" t="s">
        <v>294</v>
      </c>
      <c r="I296" s="294" t="s">
        <v>171</v>
      </c>
      <c r="J296" s="307" t="s">
        <v>295</v>
      </c>
      <c r="K296" s="1837" t="s">
        <v>302</v>
      </c>
      <c r="L296" s="1237">
        <v>23173</v>
      </c>
      <c r="M296" s="326"/>
      <c r="N296" s="294"/>
      <c r="O296" s="354">
        <v>870.33333333333337</v>
      </c>
      <c r="P296" s="1938">
        <v>4</v>
      </c>
      <c r="Q296" s="1126">
        <f t="shared" si="42"/>
        <v>3481.3333333333335</v>
      </c>
      <c r="R296" s="1714"/>
      <c r="S296" s="355"/>
      <c r="T296" s="355"/>
      <c r="U296" s="355">
        <f t="shared" si="43"/>
        <v>3481.3333333333335</v>
      </c>
      <c r="V296" s="355"/>
      <c r="W296" s="355"/>
      <c r="X296" s="1137"/>
      <c r="Y296" s="1126"/>
      <c r="Z296" s="1194"/>
      <c r="AA296" s="1194"/>
      <c r="AB296" s="1194"/>
      <c r="AC296" s="1124"/>
      <c r="AD296" s="1124"/>
      <c r="AE296" s="1152"/>
      <c r="AF296" s="1124"/>
      <c r="AG296" s="1156"/>
    </row>
    <row r="297" spans="1:33" ht="39.950000000000003" customHeight="1" outlineLevel="1">
      <c r="A297" s="1745"/>
      <c r="B297" s="1751"/>
      <c r="C297" s="2012"/>
      <c r="D297" s="1574"/>
      <c r="E297" s="1745"/>
      <c r="F297" s="1752"/>
      <c r="G297" s="1752"/>
      <c r="H297" s="1752"/>
      <c r="I297" s="1745"/>
      <c r="J297" s="1747"/>
      <c r="K297" s="2025"/>
      <c r="L297" s="1748" t="s">
        <v>1053</v>
      </c>
      <c r="M297" s="1574"/>
      <c r="N297" s="1745"/>
      <c r="O297" s="1749"/>
      <c r="P297" s="2000"/>
      <c r="Q297" s="2024">
        <f>SUBTOTAL(9,Q291:Q296)</f>
        <v>8372</v>
      </c>
      <c r="R297" s="1714"/>
      <c r="S297" s="1126"/>
      <c r="T297" s="1126"/>
      <c r="U297" s="1126"/>
      <c r="V297" s="1126"/>
      <c r="W297" s="1126"/>
      <c r="X297" s="1672"/>
      <c r="Y297" s="1126"/>
      <c r="Z297" s="1194"/>
      <c r="AA297" s="1194"/>
      <c r="AB297" s="1194"/>
      <c r="AC297" s="1124"/>
      <c r="AD297" s="1124"/>
      <c r="AE297" s="1152"/>
      <c r="AF297" s="1124"/>
      <c r="AG297" s="1156"/>
    </row>
    <row r="298" spans="1:33" ht="32.25" customHeight="1" outlineLevel="2">
      <c r="A298" s="294">
        <v>2141</v>
      </c>
      <c r="B298" s="291" t="s">
        <v>341</v>
      </c>
      <c r="C298" s="1834" t="s">
        <v>342</v>
      </c>
      <c r="D298" s="326"/>
      <c r="E298" s="294">
        <v>5</v>
      </c>
      <c r="F298" s="293">
        <v>43227</v>
      </c>
      <c r="G298" s="293">
        <f t="shared" ref="G298:G308" si="44">+E298+F298</f>
        <v>43232</v>
      </c>
      <c r="H298" s="293" t="s">
        <v>294</v>
      </c>
      <c r="I298" s="294" t="s">
        <v>171</v>
      </c>
      <c r="J298" s="307" t="s">
        <v>295</v>
      </c>
      <c r="K298" s="936" t="s">
        <v>310</v>
      </c>
      <c r="L298" s="1237">
        <v>23174</v>
      </c>
      <c r="M298" s="887"/>
      <c r="N298" s="294"/>
      <c r="O298" s="354">
        <v>5320</v>
      </c>
      <c r="P298" s="1952">
        <v>2</v>
      </c>
      <c r="Q298" s="1126">
        <f t="shared" ref="Q298:Q308" si="45">+O298*P298</f>
        <v>10640</v>
      </c>
      <c r="R298" s="1714"/>
      <c r="S298" s="355"/>
      <c r="T298" s="355"/>
      <c r="U298" s="355">
        <f>+Q298</f>
        <v>10640</v>
      </c>
      <c r="V298" s="355"/>
      <c r="W298" s="355"/>
      <c r="X298" s="1137"/>
      <c r="Y298" s="1126"/>
      <c r="Z298" s="1194"/>
      <c r="AA298" s="1194"/>
      <c r="AB298" s="1194"/>
      <c r="AC298" s="1124"/>
      <c r="AD298" s="1124"/>
      <c r="AE298" s="1152"/>
      <c r="AF298" s="1124"/>
      <c r="AG298" s="1156"/>
    </row>
    <row r="299" spans="1:33" ht="32.25" customHeight="1" outlineLevel="2">
      <c r="A299" s="294">
        <v>2141</v>
      </c>
      <c r="B299" s="291" t="s">
        <v>341</v>
      </c>
      <c r="C299" s="1834" t="s">
        <v>342</v>
      </c>
      <c r="D299" s="326"/>
      <c r="E299" s="294">
        <v>5</v>
      </c>
      <c r="F299" s="293">
        <v>43227</v>
      </c>
      <c r="G299" s="293">
        <f t="shared" si="44"/>
        <v>43232</v>
      </c>
      <c r="H299" s="293" t="s">
        <v>294</v>
      </c>
      <c r="I299" s="294" t="s">
        <v>171</v>
      </c>
      <c r="J299" s="307" t="s">
        <v>295</v>
      </c>
      <c r="K299" s="936" t="s">
        <v>345</v>
      </c>
      <c r="L299" s="1237">
        <v>23174</v>
      </c>
      <c r="M299" s="294"/>
      <c r="N299" s="294"/>
      <c r="O299" s="354">
        <v>532</v>
      </c>
      <c r="P299" s="1952">
        <v>2</v>
      </c>
      <c r="Q299" s="1126">
        <f t="shared" si="45"/>
        <v>1064</v>
      </c>
      <c r="R299" s="1714"/>
      <c r="S299" s="355"/>
      <c r="T299" s="355"/>
      <c r="U299" s="355">
        <f>+Q299</f>
        <v>1064</v>
      </c>
      <c r="V299" s="355"/>
      <c r="W299" s="355"/>
      <c r="X299" s="1137"/>
      <c r="Y299" s="1126"/>
      <c r="Z299" s="1194"/>
      <c r="AA299" s="1194"/>
      <c r="AB299" s="1194"/>
      <c r="AC299" s="1124"/>
      <c r="AD299" s="1124"/>
      <c r="AE299" s="1152"/>
      <c r="AF299" s="1124"/>
      <c r="AG299" s="1156"/>
    </row>
    <row r="300" spans="1:33" ht="32.25" customHeight="1" outlineLevel="2">
      <c r="A300" s="294">
        <v>2141</v>
      </c>
      <c r="B300" s="291" t="s">
        <v>341</v>
      </c>
      <c r="C300" s="1834" t="s">
        <v>342</v>
      </c>
      <c r="D300" s="326"/>
      <c r="E300" s="294">
        <v>5</v>
      </c>
      <c r="F300" s="293">
        <v>43227</v>
      </c>
      <c r="G300" s="293">
        <f t="shared" si="44"/>
        <v>43232</v>
      </c>
      <c r="H300" s="293" t="s">
        <v>294</v>
      </c>
      <c r="I300" s="294" t="s">
        <v>171</v>
      </c>
      <c r="J300" s="307" t="s">
        <v>295</v>
      </c>
      <c r="K300" s="936" t="s">
        <v>300</v>
      </c>
      <c r="L300" s="1237">
        <v>23174</v>
      </c>
      <c r="M300" s="294"/>
      <c r="N300" s="294"/>
      <c r="O300" s="354">
        <v>1000</v>
      </c>
      <c r="P300" s="1952">
        <v>2</v>
      </c>
      <c r="Q300" s="1126">
        <f t="shared" si="45"/>
        <v>2000</v>
      </c>
      <c r="R300" s="1714"/>
      <c r="S300" s="355"/>
      <c r="T300" s="355"/>
      <c r="U300" s="355"/>
      <c r="V300" s="355"/>
      <c r="W300" s="355">
        <f t="shared" ref="W300:W306" si="46">+Q300</f>
        <v>2000</v>
      </c>
      <c r="X300" s="1137"/>
      <c r="Y300" s="1126"/>
      <c r="Z300" s="1194"/>
      <c r="AA300" s="1194"/>
      <c r="AB300" s="1194"/>
      <c r="AC300" s="1124"/>
      <c r="AD300" s="1124"/>
      <c r="AE300" s="1152"/>
      <c r="AF300" s="1124"/>
      <c r="AG300" s="1156"/>
    </row>
    <row r="301" spans="1:33" ht="32.25" customHeight="1" outlineLevel="2">
      <c r="A301" s="294">
        <v>2141</v>
      </c>
      <c r="B301" s="291" t="s">
        <v>341</v>
      </c>
      <c r="C301" s="1834" t="s">
        <v>342</v>
      </c>
      <c r="D301" s="326"/>
      <c r="E301" s="294">
        <v>5</v>
      </c>
      <c r="F301" s="293">
        <v>43227</v>
      </c>
      <c r="G301" s="293">
        <f t="shared" si="44"/>
        <v>43232</v>
      </c>
      <c r="H301" s="293" t="s">
        <v>294</v>
      </c>
      <c r="I301" s="294" t="s">
        <v>171</v>
      </c>
      <c r="J301" s="307" t="s">
        <v>295</v>
      </c>
      <c r="K301" s="936" t="s">
        <v>346</v>
      </c>
      <c r="L301" s="1237">
        <v>23174</v>
      </c>
      <c r="M301" s="887"/>
      <c r="N301" s="294"/>
      <c r="O301" s="354">
        <v>1000</v>
      </c>
      <c r="P301" s="1952">
        <v>2</v>
      </c>
      <c r="Q301" s="1126">
        <f t="shared" si="45"/>
        <v>2000</v>
      </c>
      <c r="R301" s="1714"/>
      <c r="S301" s="355"/>
      <c r="T301" s="355"/>
      <c r="U301" s="355"/>
      <c r="V301" s="355"/>
      <c r="W301" s="355">
        <f t="shared" si="46"/>
        <v>2000</v>
      </c>
      <c r="X301" s="1137"/>
      <c r="Y301" s="1126"/>
      <c r="Z301" s="1194"/>
      <c r="AA301" s="1194"/>
      <c r="AB301" s="1194"/>
      <c r="AC301" s="1124"/>
      <c r="AD301" s="1124"/>
      <c r="AE301" s="1152"/>
      <c r="AF301" s="1124"/>
      <c r="AG301" s="1156"/>
    </row>
    <row r="302" spans="1:33" ht="32.25" customHeight="1" outlineLevel="2">
      <c r="A302" s="294">
        <v>2142</v>
      </c>
      <c r="B302" s="291" t="s">
        <v>347</v>
      </c>
      <c r="C302" s="1835" t="s">
        <v>348</v>
      </c>
      <c r="D302" s="326"/>
      <c r="E302" s="294">
        <v>10</v>
      </c>
      <c r="F302" s="293">
        <v>43283</v>
      </c>
      <c r="G302" s="293">
        <f t="shared" si="44"/>
        <v>43293</v>
      </c>
      <c r="H302" s="293" t="s">
        <v>294</v>
      </c>
      <c r="I302" s="294" t="s">
        <v>171</v>
      </c>
      <c r="J302" s="307" t="s">
        <v>295</v>
      </c>
      <c r="K302" s="1837" t="s">
        <v>296</v>
      </c>
      <c r="L302" s="1237">
        <v>23174</v>
      </c>
      <c r="M302" s="326"/>
      <c r="N302" s="294"/>
      <c r="O302" s="354">
        <v>3000</v>
      </c>
      <c r="P302" s="1938">
        <v>4</v>
      </c>
      <c r="Q302" s="1126">
        <f t="shared" si="45"/>
        <v>12000</v>
      </c>
      <c r="R302" s="1714"/>
      <c r="S302" s="355"/>
      <c r="T302" s="355"/>
      <c r="U302" s="355"/>
      <c r="V302" s="355"/>
      <c r="W302" s="355">
        <f t="shared" si="46"/>
        <v>12000</v>
      </c>
      <c r="X302" s="1137"/>
      <c r="Y302" s="1126"/>
      <c r="Z302" s="1194"/>
      <c r="AA302" s="1194"/>
      <c r="AB302" s="1194"/>
      <c r="AC302" s="1124"/>
      <c r="AD302" s="1124"/>
      <c r="AE302" s="1152"/>
      <c r="AF302" s="1124"/>
      <c r="AG302" s="1156"/>
    </row>
    <row r="303" spans="1:33" ht="32.25" customHeight="1" outlineLevel="2">
      <c r="A303" s="294">
        <v>2142</v>
      </c>
      <c r="B303" s="291" t="s">
        <v>347</v>
      </c>
      <c r="C303" s="1835" t="s">
        <v>348</v>
      </c>
      <c r="D303" s="326"/>
      <c r="E303" s="294">
        <v>10</v>
      </c>
      <c r="F303" s="293">
        <v>43283</v>
      </c>
      <c r="G303" s="293">
        <f t="shared" si="44"/>
        <v>43293</v>
      </c>
      <c r="H303" s="293" t="s">
        <v>294</v>
      </c>
      <c r="I303" s="294" t="s">
        <v>171</v>
      </c>
      <c r="J303" s="307" t="s">
        <v>295</v>
      </c>
      <c r="K303" s="1837" t="s">
        <v>349</v>
      </c>
      <c r="L303" s="1237">
        <v>23174</v>
      </c>
      <c r="M303" s="326"/>
      <c r="N303" s="294"/>
      <c r="O303" s="354">
        <v>304</v>
      </c>
      <c r="P303" s="1938">
        <v>4</v>
      </c>
      <c r="Q303" s="1126">
        <f t="shared" si="45"/>
        <v>1216</v>
      </c>
      <c r="R303" s="1714"/>
      <c r="S303" s="355"/>
      <c r="T303" s="355"/>
      <c r="U303" s="355"/>
      <c r="V303" s="355"/>
      <c r="W303" s="355">
        <f t="shared" si="46"/>
        <v>1216</v>
      </c>
      <c r="X303" s="1137"/>
      <c r="Y303" s="1126"/>
      <c r="Z303" s="1194"/>
      <c r="AA303" s="1194"/>
      <c r="AB303" s="1194"/>
      <c r="AC303" s="1124"/>
      <c r="AD303" s="1124"/>
      <c r="AE303" s="1152"/>
      <c r="AF303" s="1124"/>
      <c r="AG303" s="1156"/>
    </row>
    <row r="304" spans="1:33" ht="32.25" customHeight="1" outlineLevel="2">
      <c r="A304" s="294">
        <v>2142</v>
      </c>
      <c r="B304" s="291" t="s">
        <v>347</v>
      </c>
      <c r="C304" s="1835" t="s">
        <v>348</v>
      </c>
      <c r="D304" s="326"/>
      <c r="E304" s="294">
        <v>10</v>
      </c>
      <c r="F304" s="293">
        <v>43283</v>
      </c>
      <c r="G304" s="293">
        <f t="shared" si="44"/>
        <v>43293</v>
      </c>
      <c r="H304" s="293" t="s">
        <v>294</v>
      </c>
      <c r="I304" s="294" t="s">
        <v>171</v>
      </c>
      <c r="J304" s="307" t="s">
        <v>295</v>
      </c>
      <c r="K304" s="1837" t="s">
        <v>298</v>
      </c>
      <c r="L304" s="1237">
        <v>23174</v>
      </c>
      <c r="M304" s="326"/>
      <c r="N304" s="294"/>
      <c r="O304" s="354">
        <v>448</v>
      </c>
      <c r="P304" s="1938">
        <v>4</v>
      </c>
      <c r="Q304" s="1126">
        <f t="shared" si="45"/>
        <v>1792</v>
      </c>
      <c r="R304" s="1714"/>
      <c r="S304" s="355"/>
      <c r="T304" s="355"/>
      <c r="U304" s="355"/>
      <c r="V304" s="355"/>
      <c r="W304" s="355">
        <f t="shared" si="46"/>
        <v>1792</v>
      </c>
      <c r="X304" s="1137"/>
      <c r="Y304" s="1126"/>
      <c r="Z304" s="1194"/>
      <c r="AA304" s="1194"/>
      <c r="AB304" s="1194"/>
      <c r="AC304" s="1124"/>
      <c r="AD304" s="1124"/>
      <c r="AE304" s="1152"/>
      <c r="AF304" s="1124"/>
      <c r="AG304" s="1156"/>
    </row>
    <row r="305" spans="1:33" ht="32.25" customHeight="1" outlineLevel="2">
      <c r="A305" s="294">
        <v>2142</v>
      </c>
      <c r="B305" s="291" t="s">
        <v>347</v>
      </c>
      <c r="C305" s="1835" t="s">
        <v>348</v>
      </c>
      <c r="D305" s="326"/>
      <c r="E305" s="294">
        <v>10</v>
      </c>
      <c r="F305" s="293">
        <v>43283</v>
      </c>
      <c r="G305" s="293">
        <f t="shared" si="44"/>
        <v>43293</v>
      </c>
      <c r="H305" s="293" t="s">
        <v>294</v>
      </c>
      <c r="I305" s="294" t="s">
        <v>171</v>
      </c>
      <c r="J305" s="307" t="s">
        <v>295</v>
      </c>
      <c r="K305" s="1837" t="s">
        <v>350</v>
      </c>
      <c r="L305" s="1237">
        <v>23174</v>
      </c>
      <c r="M305" s="326"/>
      <c r="N305" s="294"/>
      <c r="O305" s="354">
        <v>166.66666666666666</v>
      </c>
      <c r="P305" s="1938">
        <v>4</v>
      </c>
      <c r="Q305" s="1126">
        <f t="shared" si="45"/>
        <v>666.66666666666663</v>
      </c>
      <c r="R305" s="1714"/>
      <c r="S305" s="355"/>
      <c r="T305" s="355"/>
      <c r="U305" s="355"/>
      <c r="V305" s="355"/>
      <c r="W305" s="355">
        <f t="shared" si="46"/>
        <v>666.66666666666663</v>
      </c>
      <c r="X305" s="1137"/>
      <c r="Y305" s="1126"/>
      <c r="Z305" s="1194"/>
      <c r="AA305" s="1194"/>
      <c r="AB305" s="1194"/>
      <c r="AC305" s="1124"/>
      <c r="AD305" s="1124"/>
      <c r="AE305" s="1152"/>
      <c r="AF305" s="1124"/>
      <c r="AG305" s="1156"/>
    </row>
    <row r="306" spans="1:33" ht="32.25" customHeight="1" outlineLevel="2">
      <c r="A306" s="294">
        <v>2142</v>
      </c>
      <c r="B306" s="291" t="s">
        <v>347</v>
      </c>
      <c r="C306" s="1835" t="s">
        <v>348</v>
      </c>
      <c r="D306" s="326"/>
      <c r="E306" s="294">
        <v>10</v>
      </c>
      <c r="F306" s="293">
        <v>43283</v>
      </c>
      <c r="G306" s="293">
        <f t="shared" si="44"/>
        <v>43293</v>
      </c>
      <c r="H306" s="293" t="s">
        <v>294</v>
      </c>
      <c r="I306" s="294" t="s">
        <v>171</v>
      </c>
      <c r="J306" s="307" t="s">
        <v>295</v>
      </c>
      <c r="K306" s="1837" t="s">
        <v>300</v>
      </c>
      <c r="L306" s="1237">
        <v>23174</v>
      </c>
      <c r="M306" s="326"/>
      <c r="N306" s="294"/>
      <c r="O306" s="354">
        <v>400</v>
      </c>
      <c r="P306" s="1938">
        <v>4</v>
      </c>
      <c r="Q306" s="1126">
        <f t="shared" si="45"/>
        <v>1600</v>
      </c>
      <c r="R306" s="1714"/>
      <c r="S306" s="355"/>
      <c r="T306" s="355"/>
      <c r="U306" s="355"/>
      <c r="V306" s="355"/>
      <c r="W306" s="355">
        <f t="shared" si="46"/>
        <v>1600</v>
      </c>
      <c r="X306" s="1137"/>
      <c r="Y306" s="1126"/>
      <c r="Z306" s="1194"/>
      <c r="AA306" s="1194"/>
      <c r="AB306" s="1194"/>
      <c r="AC306" s="1124"/>
      <c r="AD306" s="1124"/>
      <c r="AE306" s="1152"/>
      <c r="AF306" s="1124"/>
      <c r="AG306" s="1156"/>
    </row>
    <row r="307" spans="1:33" ht="32.25" customHeight="1" outlineLevel="2">
      <c r="A307" s="294">
        <v>2143</v>
      </c>
      <c r="B307" s="291" t="s">
        <v>69</v>
      </c>
      <c r="C307" s="1835" t="s">
        <v>351</v>
      </c>
      <c r="D307" s="326"/>
      <c r="E307" s="294">
        <v>1</v>
      </c>
      <c r="F307" s="293">
        <v>43409</v>
      </c>
      <c r="G307" s="293">
        <f t="shared" si="44"/>
        <v>43410</v>
      </c>
      <c r="H307" s="293" t="s">
        <v>294</v>
      </c>
      <c r="I307" s="294" t="s">
        <v>171</v>
      </c>
      <c r="J307" s="307" t="s">
        <v>295</v>
      </c>
      <c r="K307" s="326" t="s">
        <v>296</v>
      </c>
      <c r="L307" s="1237">
        <v>23174</v>
      </c>
      <c r="M307" s="326"/>
      <c r="N307" s="294"/>
      <c r="O307" s="1557">
        <v>24</v>
      </c>
      <c r="P307" s="1951">
        <v>60</v>
      </c>
      <c r="Q307" s="1126">
        <f t="shared" si="45"/>
        <v>1440</v>
      </c>
      <c r="R307" s="1714"/>
      <c r="S307" s="355"/>
      <c r="T307" s="355"/>
      <c r="U307" s="355"/>
      <c r="V307" s="355"/>
      <c r="W307" s="355"/>
      <c r="X307" s="1137"/>
      <c r="Y307" s="1126"/>
      <c r="Z307" s="1194"/>
      <c r="AA307" s="1126">
        <f>+Q307</f>
        <v>1440</v>
      </c>
      <c r="AB307" s="1194"/>
      <c r="AC307" s="1124"/>
      <c r="AD307" s="1124"/>
      <c r="AE307" s="1152"/>
      <c r="AF307" s="1124"/>
      <c r="AG307" s="1156"/>
    </row>
    <row r="308" spans="1:33" ht="32.25" customHeight="1" outlineLevel="2">
      <c r="A308" s="294">
        <v>2143</v>
      </c>
      <c r="B308" s="291" t="s">
        <v>69</v>
      </c>
      <c r="C308" s="1835" t="s">
        <v>351</v>
      </c>
      <c r="D308" s="326"/>
      <c r="E308" s="294">
        <v>1</v>
      </c>
      <c r="F308" s="293">
        <v>43409</v>
      </c>
      <c r="G308" s="293">
        <f t="shared" si="44"/>
        <v>43410</v>
      </c>
      <c r="H308" s="293" t="s">
        <v>294</v>
      </c>
      <c r="I308" s="294" t="s">
        <v>171</v>
      </c>
      <c r="J308" s="307" t="s">
        <v>295</v>
      </c>
      <c r="K308" s="326" t="s">
        <v>352</v>
      </c>
      <c r="L308" s="1237">
        <v>23174</v>
      </c>
      <c r="M308" s="326"/>
      <c r="N308" s="294"/>
      <c r="O308" s="1557">
        <v>26.666666666666668</v>
      </c>
      <c r="P308" s="1951">
        <v>60</v>
      </c>
      <c r="Q308" s="1126">
        <f t="shared" si="45"/>
        <v>1600</v>
      </c>
      <c r="R308" s="1714"/>
      <c r="S308" s="355"/>
      <c r="T308" s="355"/>
      <c r="U308" s="355"/>
      <c r="V308" s="355"/>
      <c r="W308" s="355"/>
      <c r="X308" s="1137"/>
      <c r="Y308" s="1126"/>
      <c r="Z308" s="1194"/>
      <c r="AA308" s="1126">
        <f>+Q308</f>
        <v>1600</v>
      </c>
      <c r="AB308" s="1194"/>
      <c r="AC308" s="1124"/>
      <c r="AD308" s="1124"/>
      <c r="AE308" s="1152"/>
      <c r="AF308" s="1124"/>
      <c r="AG308" s="1156"/>
    </row>
    <row r="309" spans="1:33" ht="39.950000000000003" customHeight="1" outlineLevel="1">
      <c r="A309" s="1745"/>
      <c r="B309" s="2016"/>
      <c r="C309" s="2017"/>
      <c r="D309" s="2018"/>
      <c r="E309" s="2019"/>
      <c r="F309" s="2020"/>
      <c r="G309" s="2020"/>
      <c r="H309" s="2020"/>
      <c r="I309" s="2006"/>
      <c r="J309" s="1747"/>
      <c r="K309" s="1574"/>
      <c r="L309" s="1748" t="s">
        <v>1051</v>
      </c>
      <c r="M309" s="1574"/>
      <c r="N309" s="1745"/>
      <c r="O309" s="2026"/>
      <c r="P309" s="2023"/>
      <c r="Q309" s="2024">
        <f>SUBTOTAL(9,Q298:Q308)</f>
        <v>36018.666666666672</v>
      </c>
      <c r="R309" s="1714"/>
      <c r="S309" s="1126"/>
      <c r="T309" s="1126"/>
      <c r="U309" s="1126"/>
      <c r="V309" s="1126"/>
      <c r="W309" s="1126"/>
      <c r="X309" s="1672"/>
      <c r="Y309" s="1126"/>
      <c r="Z309" s="1194"/>
      <c r="AA309" s="1126"/>
      <c r="AB309" s="1194"/>
      <c r="AC309" s="1124"/>
      <c r="AD309" s="1124"/>
      <c r="AE309" s="1152"/>
      <c r="AF309" s="1124"/>
      <c r="AG309" s="1156"/>
    </row>
    <row r="310" spans="1:33" ht="39.950000000000003" customHeight="1">
      <c r="A310" s="1745"/>
      <c r="B310" s="2016"/>
      <c r="C310" s="2017"/>
      <c r="D310" s="2018"/>
      <c r="E310" s="2019"/>
      <c r="F310" s="2020"/>
      <c r="G310" s="2020"/>
      <c r="H310" s="2020"/>
      <c r="I310" s="2006"/>
      <c r="J310" s="1747"/>
      <c r="K310" s="1574"/>
      <c r="L310" s="1748" t="s">
        <v>1052</v>
      </c>
      <c r="M310" s="1574"/>
      <c r="N310" s="1745"/>
      <c r="O310" s="2026"/>
      <c r="P310" s="2023"/>
      <c r="Q310" s="2024">
        <f>SUBTOTAL(9,Q289:Q308)</f>
        <v>47057.333333333328</v>
      </c>
      <c r="R310" s="1714"/>
      <c r="S310" s="1126"/>
      <c r="T310" s="1126"/>
      <c r="U310" s="1126"/>
      <c r="V310" s="1126"/>
      <c r="W310" s="1126"/>
      <c r="X310" s="1672"/>
      <c r="Y310" s="1126"/>
      <c r="Z310" s="1194"/>
      <c r="AA310" s="1126"/>
      <c r="AB310" s="1194"/>
      <c r="AC310" s="1124"/>
      <c r="AD310" s="1124"/>
      <c r="AE310" s="1152"/>
      <c r="AF310" s="1124"/>
      <c r="AG310" s="1156"/>
    </row>
    <row r="311" spans="1:33" ht="29.25" customHeight="1">
      <c r="A311" s="1275">
        <v>215</v>
      </c>
      <c r="B311" s="995" t="s">
        <v>353</v>
      </c>
      <c r="C311" s="1083"/>
      <c r="D311" s="1339"/>
      <c r="E311" s="1340"/>
      <c r="F311" s="1340"/>
      <c r="G311" s="1340"/>
      <c r="H311" s="1339"/>
      <c r="I311" s="1341"/>
      <c r="J311" s="283"/>
      <c r="K311" s="1278"/>
      <c r="L311" s="1279"/>
      <c r="M311" s="1280"/>
      <c r="N311" s="1277"/>
      <c r="O311" s="1281"/>
      <c r="P311" s="1949"/>
      <c r="Q311" s="1343">
        <f>+Q315+Q324+Q332</f>
        <v>53486.333333333336</v>
      </c>
      <c r="R311" s="1716"/>
      <c r="S311" s="1282">
        <f t="shared" ref="S311:AF311" si="47">SUM(S312:S331)</f>
        <v>0</v>
      </c>
      <c r="T311" s="1282">
        <f t="shared" si="47"/>
        <v>0</v>
      </c>
      <c r="U311" s="1282">
        <f t="shared" si="47"/>
        <v>4590.6666666666661</v>
      </c>
      <c r="V311" s="1282">
        <f t="shared" si="47"/>
        <v>48895.666666666672</v>
      </c>
      <c r="W311" s="1282">
        <f t="shared" si="47"/>
        <v>0</v>
      </c>
      <c r="X311" s="1342">
        <f t="shared" si="47"/>
        <v>0</v>
      </c>
      <c r="Y311" s="1343">
        <f t="shared" si="47"/>
        <v>0</v>
      </c>
      <c r="Z311" s="1151">
        <f t="shared" si="47"/>
        <v>0</v>
      </c>
      <c r="AA311" s="1151">
        <f t="shared" si="47"/>
        <v>0</v>
      </c>
      <c r="AB311" s="1151">
        <f t="shared" si="47"/>
        <v>0</v>
      </c>
      <c r="AC311" s="1151">
        <f t="shared" si="47"/>
        <v>0</v>
      </c>
      <c r="AD311" s="1151">
        <f t="shared" si="47"/>
        <v>0</v>
      </c>
      <c r="AE311" s="1151">
        <f t="shared" si="47"/>
        <v>0</v>
      </c>
      <c r="AF311" s="1151">
        <f t="shared" si="47"/>
        <v>0</v>
      </c>
      <c r="AG311" s="1151">
        <f>SUM(S311:AF311)</f>
        <v>53486.333333333336</v>
      </c>
    </row>
    <row r="312" spans="1:33" ht="32.25" customHeight="1" outlineLevel="2">
      <c r="A312" s="294">
        <v>2153</v>
      </c>
      <c r="B312" s="291" t="s">
        <v>72</v>
      </c>
      <c r="C312" s="824" t="s">
        <v>359</v>
      </c>
      <c r="D312" s="326"/>
      <c r="E312" s="294">
        <v>30</v>
      </c>
      <c r="F312" s="293">
        <v>43255</v>
      </c>
      <c r="G312" s="293">
        <f>+E312+F312</f>
        <v>43285</v>
      </c>
      <c r="H312" s="293" t="s">
        <v>294</v>
      </c>
      <c r="I312" s="294" t="s">
        <v>171</v>
      </c>
      <c r="J312" s="307" t="s">
        <v>295</v>
      </c>
      <c r="K312" s="326" t="s">
        <v>360</v>
      </c>
      <c r="L312" s="1237">
        <v>23172</v>
      </c>
      <c r="M312" s="326"/>
      <c r="N312" s="294"/>
      <c r="O312" s="354">
        <v>133333.33333333334</v>
      </c>
      <c r="P312" s="1938">
        <v>0.2</v>
      </c>
      <c r="Q312" s="1126">
        <f>+O312*P312</f>
        <v>26666.666666666672</v>
      </c>
      <c r="R312" s="1714"/>
      <c r="S312" s="355"/>
      <c r="T312" s="355"/>
      <c r="U312" s="355"/>
      <c r="V312" s="355">
        <f t="shared" ref="V312:V320" si="48">+Q312</f>
        <v>26666.666666666672</v>
      </c>
      <c r="W312" s="355"/>
      <c r="X312" s="1137"/>
      <c r="Y312" s="1126"/>
      <c r="Z312" s="1194"/>
      <c r="AA312" s="1194"/>
      <c r="AB312" s="1194"/>
      <c r="AC312" s="1124"/>
      <c r="AD312" s="1124"/>
      <c r="AE312" s="1152"/>
      <c r="AF312" s="1124"/>
      <c r="AG312" s="1156"/>
    </row>
    <row r="313" spans="1:33" ht="32.25" customHeight="1" outlineLevel="2">
      <c r="A313" s="294">
        <v>2154</v>
      </c>
      <c r="B313" s="291" t="s">
        <v>73</v>
      </c>
      <c r="C313" s="824" t="s">
        <v>361</v>
      </c>
      <c r="D313" s="326"/>
      <c r="E313" s="294">
        <v>30</v>
      </c>
      <c r="F313" s="293">
        <v>43255</v>
      </c>
      <c r="G313" s="293">
        <f>+E313+F313</f>
        <v>43285</v>
      </c>
      <c r="H313" s="293" t="s">
        <v>294</v>
      </c>
      <c r="I313" s="294" t="s">
        <v>171</v>
      </c>
      <c r="J313" s="307" t="s">
        <v>295</v>
      </c>
      <c r="K313" s="326" t="s">
        <v>360</v>
      </c>
      <c r="L313" s="1237">
        <v>23172</v>
      </c>
      <c r="M313" s="326"/>
      <c r="N313" s="294"/>
      <c r="O313" s="354">
        <v>2000</v>
      </c>
      <c r="P313" s="1938">
        <v>3</v>
      </c>
      <c r="Q313" s="1126">
        <f>+O313*P313</f>
        <v>6000</v>
      </c>
      <c r="R313" s="1714"/>
      <c r="S313" s="355"/>
      <c r="T313" s="355"/>
      <c r="U313" s="355"/>
      <c r="V313" s="355">
        <f t="shared" si="48"/>
        <v>6000</v>
      </c>
      <c r="W313" s="355"/>
      <c r="X313" s="1137"/>
      <c r="Y313" s="1126"/>
      <c r="Z313" s="1194"/>
      <c r="AA313" s="1194"/>
      <c r="AB313" s="1194"/>
      <c r="AC313" s="1124"/>
      <c r="AD313" s="1124"/>
      <c r="AE313" s="1152"/>
      <c r="AF313" s="1124"/>
      <c r="AG313" s="1156"/>
    </row>
    <row r="314" spans="1:33" ht="32.25" customHeight="1" outlineLevel="2">
      <c r="A314" s="294">
        <v>2155</v>
      </c>
      <c r="B314" s="291" t="s">
        <v>74</v>
      </c>
      <c r="C314" s="1834" t="s">
        <v>362</v>
      </c>
      <c r="D314" s="326"/>
      <c r="E314" s="294">
        <v>30</v>
      </c>
      <c r="F314" s="293">
        <v>43255</v>
      </c>
      <c r="G314" s="293">
        <f>+E314+F314</f>
        <v>43285</v>
      </c>
      <c r="H314" s="293" t="s">
        <v>294</v>
      </c>
      <c r="I314" s="294" t="s">
        <v>171</v>
      </c>
      <c r="J314" s="307" t="s">
        <v>295</v>
      </c>
      <c r="K314" s="326" t="s">
        <v>360</v>
      </c>
      <c r="L314" s="1237">
        <v>23172</v>
      </c>
      <c r="M314" s="326"/>
      <c r="N314" s="294"/>
      <c r="O314" s="354">
        <v>833.33333333333337</v>
      </c>
      <c r="P314" s="1938">
        <v>3</v>
      </c>
      <c r="Q314" s="1126">
        <f>+O314*P314</f>
        <v>2500</v>
      </c>
      <c r="R314" s="1714"/>
      <c r="S314" s="355"/>
      <c r="T314" s="355"/>
      <c r="U314" s="355"/>
      <c r="V314" s="355">
        <f t="shared" si="48"/>
        <v>2500</v>
      </c>
      <c r="W314" s="355"/>
      <c r="X314" s="1137"/>
      <c r="Y314" s="1126"/>
      <c r="Z314" s="1194"/>
      <c r="AA314" s="1194"/>
      <c r="AB314" s="1194"/>
      <c r="AC314" s="1124"/>
      <c r="AD314" s="1124"/>
      <c r="AE314" s="1152"/>
      <c r="AF314" s="1124"/>
      <c r="AG314" s="1156"/>
    </row>
    <row r="315" spans="1:33" ht="39.950000000000003" customHeight="1" outlineLevel="1">
      <c r="A315" s="1745"/>
      <c r="B315" s="1751"/>
      <c r="C315" s="2012"/>
      <c r="D315" s="1574"/>
      <c r="E315" s="1745"/>
      <c r="F315" s="1752"/>
      <c r="G315" s="1752"/>
      <c r="H315" s="1752"/>
      <c r="I315" s="1745"/>
      <c r="J315" s="1747"/>
      <c r="K315" s="1574"/>
      <c r="L315" s="1748" t="s">
        <v>1059</v>
      </c>
      <c r="M315" s="1574"/>
      <c r="N315" s="1745"/>
      <c r="O315" s="1749"/>
      <c r="P315" s="2000"/>
      <c r="Q315" s="2024">
        <f>SUBTOTAL(9,Q312:Q314)</f>
        <v>35166.666666666672</v>
      </c>
      <c r="R315" s="1714"/>
      <c r="S315" s="1126"/>
      <c r="T315" s="1126"/>
      <c r="U315" s="1126"/>
      <c r="V315" s="1126"/>
      <c r="W315" s="1126"/>
      <c r="X315" s="1672"/>
      <c r="Y315" s="1126"/>
      <c r="Z315" s="1194"/>
      <c r="AA315" s="1194"/>
      <c r="AB315" s="1194"/>
      <c r="AC315" s="1124"/>
      <c r="AD315" s="1124"/>
      <c r="AE315" s="1152"/>
      <c r="AF315" s="1124"/>
      <c r="AG315" s="1156"/>
    </row>
    <row r="316" spans="1:33" ht="32.25" customHeight="1" outlineLevel="2">
      <c r="A316" s="294">
        <v>2151</v>
      </c>
      <c r="B316" s="291" t="s">
        <v>70</v>
      </c>
      <c r="C316" s="1834" t="s">
        <v>307</v>
      </c>
      <c r="D316" s="326"/>
      <c r="E316" s="294">
        <v>2</v>
      </c>
      <c r="F316" s="293">
        <v>43269</v>
      </c>
      <c r="G316" s="293">
        <f t="shared" ref="G316:G323" si="49">+E316+F316</f>
        <v>43271</v>
      </c>
      <c r="H316" s="293" t="s">
        <v>294</v>
      </c>
      <c r="I316" s="294" t="s">
        <v>171</v>
      </c>
      <c r="J316" s="307" t="s">
        <v>295</v>
      </c>
      <c r="K316" s="326" t="s">
        <v>309</v>
      </c>
      <c r="L316" s="1237">
        <v>23173</v>
      </c>
      <c r="M316" s="294"/>
      <c r="N316" s="294"/>
      <c r="O316" s="354">
        <v>205.33333333333334</v>
      </c>
      <c r="P316" s="1951">
        <v>3</v>
      </c>
      <c r="Q316" s="1126">
        <f t="shared" ref="Q316:Q323" si="50">+O316*P316</f>
        <v>616</v>
      </c>
      <c r="R316" s="1714"/>
      <c r="S316" s="355"/>
      <c r="T316" s="355"/>
      <c r="U316" s="355"/>
      <c r="V316" s="355">
        <f t="shared" si="48"/>
        <v>616</v>
      </c>
      <c r="W316" s="355"/>
      <c r="X316" s="1137"/>
      <c r="Y316" s="1126"/>
      <c r="Z316" s="1194"/>
      <c r="AA316" s="1194"/>
      <c r="AB316" s="1194"/>
      <c r="AC316" s="1124"/>
      <c r="AD316" s="1124"/>
      <c r="AE316" s="1152"/>
      <c r="AF316" s="1124"/>
      <c r="AG316" s="1156"/>
    </row>
    <row r="317" spans="1:33" ht="32.25" customHeight="1" outlineLevel="2">
      <c r="A317" s="294">
        <v>2151</v>
      </c>
      <c r="B317" s="291" t="s">
        <v>70</v>
      </c>
      <c r="C317" s="1834" t="s">
        <v>307</v>
      </c>
      <c r="D317" s="326"/>
      <c r="E317" s="294">
        <v>2</v>
      </c>
      <c r="F317" s="293">
        <v>43269</v>
      </c>
      <c r="G317" s="293">
        <f t="shared" si="49"/>
        <v>43271</v>
      </c>
      <c r="H317" s="293" t="s">
        <v>294</v>
      </c>
      <c r="I317" s="294" t="s">
        <v>171</v>
      </c>
      <c r="J317" s="307" t="s">
        <v>295</v>
      </c>
      <c r="K317" s="326" t="s">
        <v>308</v>
      </c>
      <c r="L317" s="1237">
        <v>23173</v>
      </c>
      <c r="M317" s="326"/>
      <c r="N317" s="294"/>
      <c r="O317" s="354">
        <v>44</v>
      </c>
      <c r="P317" s="1951">
        <v>3</v>
      </c>
      <c r="Q317" s="1126">
        <f t="shared" si="50"/>
        <v>132</v>
      </c>
      <c r="R317" s="1714"/>
      <c r="S317" s="355"/>
      <c r="T317" s="355"/>
      <c r="U317" s="355"/>
      <c r="V317" s="355">
        <f t="shared" si="48"/>
        <v>132</v>
      </c>
      <c r="W317" s="355"/>
      <c r="X317" s="1137"/>
      <c r="Y317" s="1126"/>
      <c r="Z317" s="1194"/>
      <c r="AA317" s="1194"/>
      <c r="AB317" s="1194"/>
      <c r="AC317" s="1124"/>
      <c r="AD317" s="1124"/>
      <c r="AE317" s="1152"/>
      <c r="AF317" s="1124"/>
      <c r="AG317" s="1156"/>
    </row>
    <row r="318" spans="1:33" ht="32.25" customHeight="1" outlineLevel="2">
      <c r="A318" s="294">
        <v>2151</v>
      </c>
      <c r="B318" s="291" t="s">
        <v>70</v>
      </c>
      <c r="C318" s="1834" t="s">
        <v>307</v>
      </c>
      <c r="D318" s="326"/>
      <c r="E318" s="294">
        <v>2</v>
      </c>
      <c r="F318" s="293">
        <v>43269</v>
      </c>
      <c r="G318" s="293">
        <f t="shared" si="49"/>
        <v>43271</v>
      </c>
      <c r="H318" s="293" t="s">
        <v>294</v>
      </c>
      <c r="I318" s="294" t="s">
        <v>171</v>
      </c>
      <c r="J318" s="307" t="s">
        <v>295</v>
      </c>
      <c r="K318" s="326" t="s">
        <v>301</v>
      </c>
      <c r="L318" s="1237">
        <v>23173</v>
      </c>
      <c r="M318" s="326"/>
      <c r="N318" s="294"/>
      <c r="O318" s="354">
        <v>200</v>
      </c>
      <c r="P318" s="1951">
        <v>3</v>
      </c>
      <c r="Q318" s="1126">
        <f t="shared" si="50"/>
        <v>600</v>
      </c>
      <c r="R318" s="1714"/>
      <c r="S318" s="355"/>
      <c r="T318" s="355"/>
      <c r="U318" s="355"/>
      <c r="V318" s="355">
        <f t="shared" si="48"/>
        <v>600</v>
      </c>
      <c r="W318" s="355"/>
      <c r="X318" s="1137"/>
      <c r="Y318" s="1126"/>
      <c r="Z318" s="1194"/>
      <c r="AA318" s="1194"/>
      <c r="AB318" s="1194"/>
      <c r="AC318" s="1124"/>
      <c r="AD318" s="1124"/>
      <c r="AE318" s="1152"/>
      <c r="AF318" s="1124"/>
      <c r="AG318" s="1156"/>
    </row>
    <row r="319" spans="1:33" ht="32.25" customHeight="1" outlineLevel="2">
      <c r="A319" s="294">
        <v>2151</v>
      </c>
      <c r="B319" s="291" t="s">
        <v>70</v>
      </c>
      <c r="C319" s="1834" t="s">
        <v>307</v>
      </c>
      <c r="D319" s="326"/>
      <c r="E319" s="294">
        <v>2</v>
      </c>
      <c r="F319" s="293">
        <v>43269</v>
      </c>
      <c r="G319" s="293">
        <f t="shared" si="49"/>
        <v>43271</v>
      </c>
      <c r="H319" s="293" t="s">
        <v>294</v>
      </c>
      <c r="I319" s="294" t="s">
        <v>171</v>
      </c>
      <c r="J319" s="307" t="s">
        <v>295</v>
      </c>
      <c r="K319" s="326" t="s">
        <v>302</v>
      </c>
      <c r="L319" s="1237">
        <v>23173</v>
      </c>
      <c r="M319" s="326"/>
      <c r="N319" s="294"/>
      <c r="O319" s="354">
        <v>207</v>
      </c>
      <c r="P319" s="1951">
        <v>3</v>
      </c>
      <c r="Q319" s="1126">
        <f t="shared" si="50"/>
        <v>621</v>
      </c>
      <c r="R319" s="1714"/>
      <c r="S319" s="355"/>
      <c r="T319" s="355"/>
      <c r="U319" s="355"/>
      <c r="V319" s="355">
        <f t="shared" si="48"/>
        <v>621</v>
      </c>
      <c r="W319" s="355"/>
      <c r="X319" s="1137"/>
      <c r="Y319" s="1126"/>
      <c r="Z319" s="1194"/>
      <c r="AA319" s="1194"/>
      <c r="AB319" s="1194"/>
      <c r="AC319" s="1124"/>
      <c r="AD319" s="1124"/>
      <c r="AE319" s="1152"/>
      <c r="AF319" s="1124"/>
      <c r="AG319" s="1156"/>
    </row>
    <row r="320" spans="1:33" ht="32.25" customHeight="1" outlineLevel="2">
      <c r="A320" s="294">
        <v>2152</v>
      </c>
      <c r="B320" s="291" t="s">
        <v>71</v>
      </c>
      <c r="C320" s="1835" t="s">
        <v>307</v>
      </c>
      <c r="D320" s="326"/>
      <c r="E320" s="294">
        <v>5</v>
      </c>
      <c r="F320" s="293">
        <v>43234</v>
      </c>
      <c r="G320" s="293">
        <f t="shared" si="49"/>
        <v>43239</v>
      </c>
      <c r="H320" s="293" t="s">
        <v>294</v>
      </c>
      <c r="I320" s="294" t="s">
        <v>171</v>
      </c>
      <c r="J320" s="307" t="s">
        <v>295</v>
      </c>
      <c r="K320" s="326" t="s">
        <v>309</v>
      </c>
      <c r="L320" s="1237">
        <v>23173</v>
      </c>
      <c r="M320" s="326"/>
      <c r="N320" s="294"/>
      <c r="O320" s="354">
        <v>933.33333333333337</v>
      </c>
      <c r="P320" s="1938">
        <v>1</v>
      </c>
      <c r="Q320" s="1126">
        <f t="shared" si="50"/>
        <v>933.33333333333337</v>
      </c>
      <c r="R320" s="1714"/>
      <c r="S320" s="355"/>
      <c r="T320" s="355"/>
      <c r="U320" s="355"/>
      <c r="V320" s="355">
        <f t="shared" si="48"/>
        <v>933.33333333333337</v>
      </c>
      <c r="W320" s="355"/>
      <c r="X320" s="1137"/>
      <c r="Y320" s="1126"/>
      <c r="Z320" s="1194"/>
      <c r="AA320" s="1194"/>
      <c r="AB320" s="1194"/>
      <c r="AC320" s="1124"/>
      <c r="AD320" s="1124"/>
      <c r="AE320" s="1152"/>
      <c r="AF320" s="1124"/>
      <c r="AG320" s="1156"/>
    </row>
    <row r="321" spans="1:33" ht="32.25" customHeight="1" outlineLevel="2">
      <c r="A321" s="294">
        <v>2152</v>
      </c>
      <c r="B321" s="291" t="s">
        <v>71</v>
      </c>
      <c r="C321" s="1835" t="s">
        <v>307</v>
      </c>
      <c r="D321" s="326"/>
      <c r="E321" s="294">
        <v>5</v>
      </c>
      <c r="F321" s="293">
        <v>43234</v>
      </c>
      <c r="G321" s="293">
        <f t="shared" si="49"/>
        <v>43239</v>
      </c>
      <c r="H321" s="293" t="s">
        <v>294</v>
      </c>
      <c r="I321" s="294" t="s">
        <v>171</v>
      </c>
      <c r="J321" s="307" t="s">
        <v>295</v>
      </c>
      <c r="K321" s="326" t="s">
        <v>308</v>
      </c>
      <c r="L321" s="1237">
        <v>23173</v>
      </c>
      <c r="M321" s="326"/>
      <c r="N321" s="294"/>
      <c r="O321" s="354">
        <v>200</v>
      </c>
      <c r="P321" s="1938">
        <v>1</v>
      </c>
      <c r="Q321" s="1126">
        <f t="shared" si="50"/>
        <v>200</v>
      </c>
      <c r="R321" s="1714"/>
      <c r="S321" s="355"/>
      <c r="T321" s="355"/>
      <c r="U321" s="355">
        <f t="shared" ref="U321:U328" si="51">+Q321</f>
        <v>200</v>
      </c>
      <c r="V321" s="355"/>
      <c r="W321" s="355"/>
      <c r="X321" s="1137"/>
      <c r="Y321" s="1126"/>
      <c r="Z321" s="1194"/>
      <c r="AA321" s="1194"/>
      <c r="AB321" s="1194"/>
      <c r="AC321" s="1124"/>
      <c r="AD321" s="1124"/>
      <c r="AE321" s="1152"/>
      <c r="AF321" s="1124"/>
      <c r="AG321" s="1156"/>
    </row>
    <row r="322" spans="1:33" ht="32.25" customHeight="1" outlineLevel="2">
      <c r="A322" s="294">
        <v>2152</v>
      </c>
      <c r="B322" s="291" t="s">
        <v>71</v>
      </c>
      <c r="C322" s="1835" t="s">
        <v>307</v>
      </c>
      <c r="D322" s="326"/>
      <c r="E322" s="294">
        <v>5</v>
      </c>
      <c r="F322" s="293">
        <v>43234</v>
      </c>
      <c r="G322" s="293">
        <f t="shared" si="49"/>
        <v>43239</v>
      </c>
      <c r="H322" s="293" t="s">
        <v>294</v>
      </c>
      <c r="I322" s="294" t="s">
        <v>171</v>
      </c>
      <c r="J322" s="307" t="s">
        <v>295</v>
      </c>
      <c r="K322" s="936" t="s">
        <v>301</v>
      </c>
      <c r="L322" s="1237">
        <v>23173</v>
      </c>
      <c r="M322" s="326"/>
      <c r="N322" s="294"/>
      <c r="O322" s="354">
        <v>666.66666666666663</v>
      </c>
      <c r="P322" s="1938">
        <v>1</v>
      </c>
      <c r="Q322" s="1126">
        <f t="shared" si="50"/>
        <v>666.66666666666663</v>
      </c>
      <c r="R322" s="1714"/>
      <c r="S322" s="355"/>
      <c r="T322" s="355"/>
      <c r="U322" s="355">
        <f t="shared" si="51"/>
        <v>666.66666666666663</v>
      </c>
      <c r="V322" s="355"/>
      <c r="W322" s="355"/>
      <c r="X322" s="1137"/>
      <c r="Y322" s="1126"/>
      <c r="Z322" s="1194"/>
      <c r="AA322" s="1194"/>
      <c r="AB322" s="1194"/>
      <c r="AC322" s="1124"/>
      <c r="AD322" s="1124"/>
      <c r="AE322" s="1152"/>
      <c r="AF322" s="1124"/>
      <c r="AG322" s="1156"/>
    </row>
    <row r="323" spans="1:33" ht="32.25" customHeight="1" outlineLevel="2">
      <c r="A323" s="294">
        <v>2152</v>
      </c>
      <c r="B323" s="291" t="s">
        <v>71</v>
      </c>
      <c r="C323" s="1835" t="s">
        <v>307</v>
      </c>
      <c r="D323" s="326"/>
      <c r="E323" s="294">
        <v>5</v>
      </c>
      <c r="F323" s="293">
        <v>43234</v>
      </c>
      <c r="G323" s="293">
        <f t="shared" si="49"/>
        <v>43239</v>
      </c>
      <c r="H323" s="293" t="s">
        <v>294</v>
      </c>
      <c r="I323" s="294" t="s">
        <v>171</v>
      </c>
      <c r="J323" s="307" t="s">
        <v>295</v>
      </c>
      <c r="K323" s="936" t="s">
        <v>302</v>
      </c>
      <c r="L323" s="1237">
        <v>23173</v>
      </c>
      <c r="M323" s="326"/>
      <c r="N323" s="294"/>
      <c r="O323" s="354">
        <v>276</v>
      </c>
      <c r="P323" s="1938">
        <v>1</v>
      </c>
      <c r="Q323" s="1126">
        <f t="shared" si="50"/>
        <v>276</v>
      </c>
      <c r="R323" s="1714"/>
      <c r="S323" s="355"/>
      <c r="T323" s="355"/>
      <c r="U323" s="355">
        <f t="shared" si="51"/>
        <v>276</v>
      </c>
      <c r="V323" s="355"/>
      <c r="W323" s="355"/>
      <c r="X323" s="1137"/>
      <c r="Y323" s="1126"/>
      <c r="Z323" s="1194"/>
      <c r="AA323" s="1194"/>
      <c r="AB323" s="1194"/>
      <c r="AC323" s="1124"/>
      <c r="AD323" s="1124"/>
      <c r="AE323" s="1152"/>
      <c r="AF323" s="1124"/>
      <c r="AG323" s="1156"/>
    </row>
    <row r="324" spans="1:33" ht="39.950000000000003" customHeight="1" outlineLevel="1">
      <c r="A324" s="1745"/>
      <c r="B324" s="1751"/>
      <c r="C324" s="2012"/>
      <c r="D324" s="1574"/>
      <c r="E324" s="1745"/>
      <c r="F324" s="1752"/>
      <c r="G324" s="1752"/>
      <c r="H324" s="1752"/>
      <c r="I324" s="1745"/>
      <c r="J324" s="1747"/>
      <c r="K324" s="2027"/>
      <c r="L324" s="1748" t="s">
        <v>1053</v>
      </c>
      <c r="M324" s="1574"/>
      <c r="N324" s="1745"/>
      <c r="O324" s="1749"/>
      <c r="P324" s="2000"/>
      <c r="Q324" s="2024">
        <f>SUBTOTAL(9,Q316:Q323)</f>
        <v>4045</v>
      </c>
      <c r="R324" s="1714"/>
      <c r="S324" s="1126"/>
      <c r="T324" s="1126"/>
      <c r="U324" s="1126"/>
      <c r="V324" s="1126"/>
      <c r="W324" s="1126"/>
      <c r="X324" s="1672"/>
      <c r="Y324" s="1126"/>
      <c r="Z324" s="1194"/>
      <c r="AA324" s="1194"/>
      <c r="AB324" s="1194"/>
      <c r="AC324" s="1124"/>
      <c r="AD324" s="1124"/>
      <c r="AE324" s="1152"/>
      <c r="AF324" s="1124"/>
      <c r="AG324" s="1156"/>
    </row>
    <row r="325" spans="1:33" ht="32.25" customHeight="1" outlineLevel="2">
      <c r="A325" s="294">
        <v>2151</v>
      </c>
      <c r="B325" s="291" t="s">
        <v>70</v>
      </c>
      <c r="C325" s="1834" t="s">
        <v>307</v>
      </c>
      <c r="D325" s="326"/>
      <c r="E325" s="294">
        <v>2</v>
      </c>
      <c r="F325" s="293">
        <v>43269</v>
      </c>
      <c r="G325" s="293">
        <f t="shared" ref="G325:G331" si="52">+E325+F325</f>
        <v>43271</v>
      </c>
      <c r="H325" s="293" t="s">
        <v>294</v>
      </c>
      <c r="I325" s="294" t="s">
        <v>171</v>
      </c>
      <c r="J325" s="307" t="s">
        <v>295</v>
      </c>
      <c r="K325" s="326" t="s">
        <v>296</v>
      </c>
      <c r="L325" s="1237">
        <v>23174</v>
      </c>
      <c r="M325" s="326"/>
      <c r="N325" s="294"/>
      <c r="O325" s="354">
        <v>480</v>
      </c>
      <c r="P325" s="1951">
        <v>3</v>
      </c>
      <c r="Q325" s="1126">
        <f t="shared" ref="Q325:Q331" si="53">+O325*P325</f>
        <v>1440</v>
      </c>
      <c r="R325" s="1714"/>
      <c r="S325" s="355"/>
      <c r="T325" s="355"/>
      <c r="U325" s="355">
        <f t="shared" si="51"/>
        <v>1440</v>
      </c>
      <c r="V325" s="355"/>
      <c r="W325" s="355"/>
      <c r="X325" s="1137"/>
      <c r="Y325" s="1126"/>
      <c r="Z325" s="1194"/>
      <c r="AA325" s="1194"/>
      <c r="AB325" s="1194"/>
      <c r="AC325" s="1124"/>
      <c r="AD325" s="1124"/>
      <c r="AE325" s="1152"/>
      <c r="AF325" s="1124"/>
      <c r="AG325" s="1156"/>
    </row>
    <row r="326" spans="1:33" ht="32.25" customHeight="1" outlineLevel="2">
      <c r="A326" s="294">
        <v>2151</v>
      </c>
      <c r="B326" s="291" t="s">
        <v>70</v>
      </c>
      <c r="C326" s="1834" t="s">
        <v>307</v>
      </c>
      <c r="D326" s="326"/>
      <c r="E326" s="294">
        <v>2</v>
      </c>
      <c r="F326" s="293">
        <v>43269</v>
      </c>
      <c r="G326" s="293">
        <f t="shared" si="52"/>
        <v>43271</v>
      </c>
      <c r="H326" s="293" t="s">
        <v>294</v>
      </c>
      <c r="I326" s="294" t="s">
        <v>171</v>
      </c>
      <c r="J326" s="307" t="s">
        <v>295</v>
      </c>
      <c r="K326" s="326" t="s">
        <v>354</v>
      </c>
      <c r="L326" s="1237">
        <v>23174</v>
      </c>
      <c r="M326" s="326"/>
      <c r="N326" s="294"/>
      <c r="O326" s="354">
        <v>202.66666666666666</v>
      </c>
      <c r="P326" s="1951">
        <v>3</v>
      </c>
      <c r="Q326" s="1126">
        <f t="shared" si="53"/>
        <v>608</v>
      </c>
      <c r="R326" s="1714"/>
      <c r="S326" s="355"/>
      <c r="T326" s="355"/>
      <c r="U326" s="355">
        <f t="shared" si="51"/>
        <v>608</v>
      </c>
      <c r="V326" s="355"/>
      <c r="W326" s="355"/>
      <c r="X326" s="1137"/>
      <c r="Y326" s="1126"/>
      <c r="Z326" s="1194"/>
      <c r="AA326" s="1194"/>
      <c r="AB326" s="1194"/>
      <c r="AC326" s="1124"/>
      <c r="AD326" s="1124"/>
      <c r="AE326" s="1152"/>
      <c r="AF326" s="1124"/>
      <c r="AG326" s="1156"/>
    </row>
    <row r="327" spans="1:33" ht="32.25" customHeight="1" outlineLevel="2">
      <c r="A327" s="294">
        <v>2151</v>
      </c>
      <c r="B327" s="291" t="s">
        <v>70</v>
      </c>
      <c r="C327" s="1834" t="s">
        <v>307</v>
      </c>
      <c r="D327" s="326"/>
      <c r="E327" s="294">
        <v>2</v>
      </c>
      <c r="F327" s="293">
        <v>43269</v>
      </c>
      <c r="G327" s="293">
        <f t="shared" si="52"/>
        <v>43271</v>
      </c>
      <c r="H327" s="293" t="s">
        <v>294</v>
      </c>
      <c r="I327" s="294" t="s">
        <v>171</v>
      </c>
      <c r="J327" s="307" t="s">
        <v>295</v>
      </c>
      <c r="K327" s="326" t="s">
        <v>355</v>
      </c>
      <c r="L327" s="1237">
        <v>23174</v>
      </c>
      <c r="M327" s="326"/>
      <c r="N327" s="294"/>
      <c r="O327" s="354">
        <v>333.33333333333331</v>
      </c>
      <c r="P327" s="1951">
        <v>3</v>
      </c>
      <c r="Q327" s="1126">
        <f t="shared" si="53"/>
        <v>1000</v>
      </c>
      <c r="R327" s="1714"/>
      <c r="S327" s="355"/>
      <c r="T327" s="355"/>
      <c r="U327" s="355">
        <f t="shared" si="51"/>
        <v>1000</v>
      </c>
      <c r="V327" s="355"/>
      <c r="W327" s="355"/>
      <c r="X327" s="1137"/>
      <c r="Y327" s="1126"/>
      <c r="Z327" s="1194"/>
      <c r="AA327" s="1194"/>
      <c r="AB327" s="1194"/>
      <c r="AC327" s="1124"/>
      <c r="AD327" s="1124"/>
      <c r="AE327" s="1152"/>
      <c r="AF327" s="1124"/>
      <c r="AG327" s="1156"/>
    </row>
    <row r="328" spans="1:33" ht="32.25" customHeight="1" outlineLevel="2">
      <c r="A328" s="294">
        <v>2151</v>
      </c>
      <c r="B328" s="291" t="s">
        <v>70</v>
      </c>
      <c r="C328" s="1834" t="s">
        <v>307</v>
      </c>
      <c r="D328" s="326"/>
      <c r="E328" s="294">
        <v>2</v>
      </c>
      <c r="F328" s="293">
        <v>43269</v>
      </c>
      <c r="G328" s="293">
        <f t="shared" si="52"/>
        <v>43271</v>
      </c>
      <c r="H328" s="293" t="s">
        <v>294</v>
      </c>
      <c r="I328" s="294" t="s">
        <v>171</v>
      </c>
      <c r="J328" s="307" t="s">
        <v>295</v>
      </c>
      <c r="K328" s="326" t="s">
        <v>356</v>
      </c>
      <c r="L328" s="1237">
        <v>23174</v>
      </c>
      <c r="M328" s="326"/>
      <c r="N328" s="294"/>
      <c r="O328" s="354">
        <v>133.33333333333334</v>
      </c>
      <c r="P328" s="1951">
        <v>3</v>
      </c>
      <c r="Q328" s="1126">
        <f t="shared" si="53"/>
        <v>400</v>
      </c>
      <c r="R328" s="1714"/>
      <c r="S328" s="355"/>
      <c r="T328" s="355"/>
      <c r="U328" s="355">
        <f t="shared" si="51"/>
        <v>400</v>
      </c>
      <c r="V328" s="355"/>
      <c r="W328" s="355"/>
      <c r="X328" s="1137"/>
      <c r="Y328" s="1126"/>
      <c r="Z328" s="1194"/>
      <c r="AA328" s="1194"/>
      <c r="AB328" s="1194"/>
      <c r="AC328" s="1124"/>
      <c r="AD328" s="1124"/>
      <c r="AE328" s="1152"/>
      <c r="AF328" s="1124"/>
      <c r="AG328" s="1156"/>
    </row>
    <row r="329" spans="1:33" ht="32.25" customHeight="1" outlineLevel="2">
      <c r="A329" s="294">
        <v>2152</v>
      </c>
      <c r="B329" s="291" t="s">
        <v>71</v>
      </c>
      <c r="C329" s="1835" t="s">
        <v>307</v>
      </c>
      <c r="D329" s="326"/>
      <c r="E329" s="294">
        <v>5</v>
      </c>
      <c r="F329" s="293">
        <v>43234</v>
      </c>
      <c r="G329" s="293">
        <f t="shared" si="52"/>
        <v>43239</v>
      </c>
      <c r="H329" s="293" t="s">
        <v>294</v>
      </c>
      <c r="I329" s="294" t="s">
        <v>171</v>
      </c>
      <c r="J329" s="307" t="s">
        <v>295</v>
      </c>
      <c r="K329" s="936" t="s">
        <v>357</v>
      </c>
      <c r="L329" s="1237">
        <v>23174</v>
      </c>
      <c r="M329" s="326"/>
      <c r="N329" s="294"/>
      <c r="O329" s="354">
        <v>7093.333333333333</v>
      </c>
      <c r="P329" s="1938">
        <v>1</v>
      </c>
      <c r="Q329" s="1126">
        <f t="shared" si="53"/>
        <v>7093.333333333333</v>
      </c>
      <c r="R329" s="1714"/>
      <c r="S329" s="355"/>
      <c r="T329" s="355"/>
      <c r="U329" s="355"/>
      <c r="V329" s="355">
        <f>+Q329</f>
        <v>7093.333333333333</v>
      </c>
      <c r="W329" s="355"/>
      <c r="X329" s="1137"/>
      <c r="Y329" s="1126"/>
      <c r="Z329" s="1194"/>
      <c r="AA329" s="1194"/>
      <c r="AB329" s="1194"/>
      <c r="AC329" s="1124"/>
      <c r="AD329" s="1124"/>
      <c r="AE329" s="1152"/>
      <c r="AF329" s="1124"/>
      <c r="AG329" s="1156"/>
    </row>
    <row r="330" spans="1:33" ht="32.25" customHeight="1" outlineLevel="2">
      <c r="A330" s="294">
        <v>2152</v>
      </c>
      <c r="B330" s="291" t="s">
        <v>71</v>
      </c>
      <c r="C330" s="1835" t="s">
        <v>307</v>
      </c>
      <c r="D330" s="326"/>
      <c r="E330" s="294">
        <v>5</v>
      </c>
      <c r="F330" s="293">
        <v>43234</v>
      </c>
      <c r="G330" s="293">
        <f t="shared" si="52"/>
        <v>43239</v>
      </c>
      <c r="H330" s="293" t="s">
        <v>294</v>
      </c>
      <c r="I330" s="294" t="s">
        <v>171</v>
      </c>
      <c r="J330" s="307" t="s">
        <v>295</v>
      </c>
      <c r="K330" s="936" t="s">
        <v>346</v>
      </c>
      <c r="L330" s="1237">
        <v>23174</v>
      </c>
      <c r="M330" s="326"/>
      <c r="N330" s="294"/>
      <c r="O330" s="354">
        <v>2666.6666666666665</v>
      </c>
      <c r="P330" s="1938">
        <v>1</v>
      </c>
      <c r="Q330" s="1126">
        <f t="shared" si="53"/>
        <v>2666.6666666666665</v>
      </c>
      <c r="R330" s="1714"/>
      <c r="S330" s="355"/>
      <c r="T330" s="355"/>
      <c r="U330" s="355"/>
      <c r="V330" s="355">
        <f>+Q330</f>
        <v>2666.6666666666665</v>
      </c>
      <c r="W330" s="355"/>
      <c r="X330" s="1137"/>
      <c r="Y330" s="1126"/>
      <c r="Z330" s="1194"/>
      <c r="AA330" s="1194"/>
      <c r="AB330" s="1194"/>
      <c r="AC330" s="1124"/>
      <c r="AD330" s="1124"/>
      <c r="AE330" s="1152"/>
      <c r="AF330" s="1124"/>
      <c r="AG330" s="1156"/>
    </row>
    <row r="331" spans="1:33" ht="32.25" customHeight="1" outlineLevel="2">
      <c r="A331" s="294">
        <v>2152</v>
      </c>
      <c r="B331" s="291" t="s">
        <v>71</v>
      </c>
      <c r="C331" s="1835" t="s">
        <v>307</v>
      </c>
      <c r="D331" s="326"/>
      <c r="E331" s="294">
        <v>5</v>
      </c>
      <c r="F331" s="293">
        <v>43234</v>
      </c>
      <c r="G331" s="293">
        <f t="shared" si="52"/>
        <v>43239</v>
      </c>
      <c r="H331" s="293" t="s">
        <v>294</v>
      </c>
      <c r="I331" s="294" t="s">
        <v>171</v>
      </c>
      <c r="J331" s="307" t="s">
        <v>295</v>
      </c>
      <c r="K331" s="1838" t="s">
        <v>358</v>
      </c>
      <c r="L331" s="1237">
        <v>23174</v>
      </c>
      <c r="M331" s="326"/>
      <c r="N331" s="294"/>
      <c r="O331" s="354">
        <v>1066.6666666666667</v>
      </c>
      <c r="P331" s="1938">
        <v>1</v>
      </c>
      <c r="Q331" s="1126">
        <f t="shared" si="53"/>
        <v>1066.6666666666667</v>
      </c>
      <c r="R331" s="1714"/>
      <c r="S331" s="355"/>
      <c r="T331" s="355"/>
      <c r="U331" s="355"/>
      <c r="V331" s="355">
        <f>+Q331</f>
        <v>1066.6666666666667</v>
      </c>
      <c r="W331" s="355"/>
      <c r="X331" s="1137"/>
      <c r="Y331" s="1126"/>
      <c r="Z331" s="1194"/>
      <c r="AA331" s="1194"/>
      <c r="AB331" s="1194"/>
      <c r="AC331" s="1124"/>
      <c r="AD331" s="1124"/>
      <c r="AE331" s="1152"/>
      <c r="AF331" s="1124"/>
      <c r="AG331" s="1156"/>
    </row>
    <row r="332" spans="1:33" ht="39.950000000000003" customHeight="1" outlineLevel="1">
      <c r="A332" s="1745"/>
      <c r="B332" s="1751"/>
      <c r="C332" s="2012"/>
      <c r="D332" s="1574"/>
      <c r="E332" s="1745"/>
      <c r="F332" s="1752"/>
      <c r="G332" s="1752"/>
      <c r="H332" s="1752"/>
      <c r="I332" s="1745"/>
      <c r="J332" s="1747"/>
      <c r="K332" s="2027"/>
      <c r="L332" s="1748" t="s">
        <v>1051</v>
      </c>
      <c r="M332" s="1574"/>
      <c r="N332" s="1745"/>
      <c r="O332" s="1749"/>
      <c r="P332" s="2000"/>
      <c r="Q332" s="2024">
        <f>SUBTOTAL(9,Q325:Q331)</f>
        <v>14274.666666666664</v>
      </c>
      <c r="R332" s="1714"/>
      <c r="S332" s="1126"/>
      <c r="T332" s="1126"/>
      <c r="U332" s="1126"/>
      <c r="V332" s="1126"/>
      <c r="W332" s="1126"/>
      <c r="X332" s="1672"/>
      <c r="Y332" s="1126"/>
      <c r="Z332" s="1194"/>
      <c r="AA332" s="1194"/>
      <c r="AB332" s="1194"/>
      <c r="AC332" s="1124"/>
      <c r="AD332" s="1124"/>
      <c r="AE332" s="1152"/>
      <c r="AF332" s="1124"/>
      <c r="AG332" s="1156"/>
    </row>
    <row r="333" spans="1:33" ht="39.950000000000003" customHeight="1">
      <c r="A333" s="1745"/>
      <c r="B333" s="1751"/>
      <c r="C333" s="2012"/>
      <c r="D333" s="1574"/>
      <c r="E333" s="1745"/>
      <c r="F333" s="1752"/>
      <c r="G333" s="1752"/>
      <c r="H333" s="1752"/>
      <c r="I333" s="1745"/>
      <c r="J333" s="1747"/>
      <c r="K333" s="2027"/>
      <c r="L333" s="2028" t="s">
        <v>1052</v>
      </c>
      <c r="M333" s="1574"/>
      <c r="N333" s="1745"/>
      <c r="O333" s="1749"/>
      <c r="P333" s="2000"/>
      <c r="Q333" s="2024">
        <f>SUBTOTAL(9,Q312:Q331)</f>
        <v>53486.333333333336</v>
      </c>
      <c r="R333" s="1714"/>
      <c r="S333" s="1126"/>
      <c r="T333" s="1126"/>
      <c r="U333" s="1126"/>
      <c r="V333" s="1126"/>
      <c r="W333" s="1126"/>
      <c r="X333" s="1672"/>
      <c r="Y333" s="1126"/>
      <c r="Z333" s="1194"/>
      <c r="AA333" s="1194"/>
      <c r="AB333" s="1194"/>
      <c r="AC333" s="1124"/>
      <c r="AD333" s="1124"/>
      <c r="AE333" s="1152"/>
      <c r="AF333" s="1124"/>
      <c r="AG333" s="1156"/>
    </row>
    <row r="334" spans="1:33" ht="37.5" customHeight="1">
      <c r="A334" s="1248" t="s">
        <v>237</v>
      </c>
      <c r="B334" s="274"/>
      <c r="C334" s="278"/>
      <c r="D334" s="1270"/>
      <c r="E334" s="1270"/>
      <c r="F334" s="1270"/>
      <c r="G334" s="1270"/>
      <c r="H334" s="1270"/>
      <c r="I334" s="1270"/>
      <c r="J334" s="273"/>
      <c r="K334" s="1248"/>
      <c r="L334" s="1269"/>
      <c r="M334" s="1270"/>
      <c r="N334" s="1268"/>
      <c r="O334" s="1271"/>
      <c r="P334" s="1948"/>
      <c r="Q334" s="1338">
        <f>Q335+Q349+Q366+Q388</f>
        <v>300000</v>
      </c>
      <c r="R334" s="1713">
        <f>+'[2]Compil Costing PPA 3 millions'!F8</f>
        <v>300000</v>
      </c>
      <c r="S334" s="1272">
        <f t="shared" ref="S334:AG334" si="54">S335+S349+S366+S388</f>
        <v>0</v>
      </c>
      <c r="T334" s="1272">
        <f t="shared" si="54"/>
        <v>1800</v>
      </c>
      <c r="U334" s="1272">
        <f t="shared" si="54"/>
        <v>18380</v>
      </c>
      <c r="V334" s="1272">
        <f t="shared" si="54"/>
        <v>64440</v>
      </c>
      <c r="W334" s="1272">
        <f t="shared" si="54"/>
        <v>10000</v>
      </c>
      <c r="X334" s="1337">
        <f t="shared" si="54"/>
        <v>53300</v>
      </c>
      <c r="Y334" s="1338">
        <f t="shared" si="54"/>
        <v>98920</v>
      </c>
      <c r="Z334" s="1071">
        <f t="shared" si="54"/>
        <v>11600</v>
      </c>
      <c r="AA334" s="1071">
        <f t="shared" si="54"/>
        <v>8600</v>
      </c>
      <c r="AB334" s="1071">
        <f t="shared" si="54"/>
        <v>500</v>
      </c>
      <c r="AC334" s="1071">
        <f t="shared" si="54"/>
        <v>500</v>
      </c>
      <c r="AD334" s="1071">
        <f t="shared" si="54"/>
        <v>10200</v>
      </c>
      <c r="AE334" s="1071">
        <f t="shared" si="54"/>
        <v>500</v>
      </c>
      <c r="AF334" s="1071">
        <f t="shared" si="54"/>
        <v>500</v>
      </c>
      <c r="AG334" s="1272">
        <f t="shared" si="54"/>
        <v>279240</v>
      </c>
    </row>
    <row r="335" spans="1:33" s="280" customFormat="1">
      <c r="A335" s="1324">
        <v>221</v>
      </c>
      <c r="B335" s="806" t="s">
        <v>238</v>
      </c>
      <c r="C335" s="1502"/>
      <c r="D335" s="1345"/>
      <c r="E335" s="1345"/>
      <c r="F335" s="1345"/>
      <c r="G335" s="1345"/>
      <c r="H335" s="1345"/>
      <c r="I335" s="1345"/>
      <c r="J335" s="635"/>
      <c r="K335" s="1296"/>
      <c r="L335" s="1347"/>
      <c r="M335" s="1348"/>
      <c r="N335" s="1297"/>
      <c r="O335" s="1349"/>
      <c r="P335" s="1953"/>
      <c r="Q335" s="1352">
        <f>+Q339+Q345+Q347</f>
        <v>42960</v>
      </c>
      <c r="R335" s="1716"/>
      <c r="S335" s="1350">
        <f t="shared" ref="S335:AF335" si="55">SUM(S336:S346)</f>
        <v>0</v>
      </c>
      <c r="T335" s="1350">
        <f t="shared" si="55"/>
        <v>240</v>
      </c>
      <c r="U335" s="1350">
        <f t="shared" si="55"/>
        <v>0</v>
      </c>
      <c r="V335" s="1350">
        <f t="shared" si="55"/>
        <v>740</v>
      </c>
      <c r="W335" s="1350">
        <f t="shared" si="55"/>
        <v>0</v>
      </c>
      <c r="X335" s="1351">
        <f t="shared" si="55"/>
        <v>12480</v>
      </c>
      <c r="Y335" s="1352">
        <f t="shared" si="55"/>
        <v>10300</v>
      </c>
      <c r="Z335" s="1195">
        <f t="shared" si="55"/>
        <v>11100</v>
      </c>
      <c r="AA335" s="1195">
        <f t="shared" si="55"/>
        <v>8100</v>
      </c>
      <c r="AB335" s="1195">
        <f t="shared" si="55"/>
        <v>0</v>
      </c>
      <c r="AC335" s="1195">
        <f t="shared" si="55"/>
        <v>0</v>
      </c>
      <c r="AD335" s="1195">
        <f t="shared" si="55"/>
        <v>0</v>
      </c>
      <c r="AE335" s="1195">
        <f t="shared" si="55"/>
        <v>0</v>
      </c>
      <c r="AF335" s="1195">
        <f t="shared" si="55"/>
        <v>0</v>
      </c>
      <c r="AG335" s="1350">
        <f>SUM(S335:AF335)</f>
        <v>42960</v>
      </c>
    </row>
    <row r="336" spans="1:33" s="280" customFormat="1" outlineLevel="2">
      <c r="A336" s="796" t="e">
        <f>#REF!</f>
        <v>#REF!</v>
      </c>
      <c r="B336" s="808" t="s">
        <v>845</v>
      </c>
      <c r="C336" s="1503" t="s">
        <v>848</v>
      </c>
      <c r="D336" s="797" t="s">
        <v>849</v>
      </c>
      <c r="E336" s="796">
        <v>150</v>
      </c>
      <c r="F336" s="795" t="e">
        <f>+#REF!</f>
        <v>#REF!</v>
      </c>
      <c r="G336" s="795" t="e">
        <f>+#REF!+E336</f>
        <v>#REF!</v>
      </c>
      <c r="H336" s="795" t="s">
        <v>368</v>
      </c>
      <c r="I336" s="796" t="s">
        <v>174</v>
      </c>
      <c r="J336" s="794" t="s">
        <v>169</v>
      </c>
      <c r="K336" s="805" t="s">
        <v>365</v>
      </c>
      <c r="L336" s="1240">
        <v>2313</v>
      </c>
      <c r="M336" s="780"/>
      <c r="N336" s="796" t="s">
        <v>366</v>
      </c>
      <c r="O336" s="1107">
        <v>27000</v>
      </c>
      <c r="P336" s="1938">
        <v>1</v>
      </c>
      <c r="Q336" s="1126">
        <f>+O336*P336</f>
        <v>27000</v>
      </c>
      <c r="R336" s="1714"/>
      <c r="S336" s="799"/>
      <c r="T336" s="1107">
        <v>240</v>
      </c>
      <c r="U336" s="799"/>
      <c r="V336" s="799"/>
      <c r="W336" s="799"/>
      <c r="X336" s="1179"/>
      <c r="Y336" s="1154"/>
      <c r="Z336" s="1165"/>
      <c r="AA336" s="1165"/>
      <c r="AB336" s="1165"/>
      <c r="AC336" s="1152"/>
      <c r="AD336" s="1152"/>
      <c r="AE336" s="1152"/>
      <c r="AF336" s="1152"/>
      <c r="AG336" s="1144"/>
    </row>
    <row r="337" spans="1:33" s="280" customFormat="1" outlineLevel="2">
      <c r="A337" s="796">
        <v>2212</v>
      </c>
      <c r="B337" s="808" t="s">
        <v>851</v>
      </c>
      <c r="C337" s="1503" t="s">
        <v>852</v>
      </c>
      <c r="D337" s="797" t="s">
        <v>849</v>
      </c>
      <c r="E337" s="796">
        <v>95</v>
      </c>
      <c r="F337" s="795">
        <v>43249</v>
      </c>
      <c r="G337" s="795">
        <v>43341</v>
      </c>
      <c r="H337" s="795" t="s">
        <v>368</v>
      </c>
      <c r="I337" s="796" t="s">
        <v>174</v>
      </c>
      <c r="J337" s="794" t="s">
        <v>169</v>
      </c>
      <c r="K337" s="1543" t="s">
        <v>365</v>
      </c>
      <c r="L337" s="1240">
        <v>2313</v>
      </c>
      <c r="M337" s="780"/>
      <c r="N337" s="796" t="s">
        <v>366</v>
      </c>
      <c r="O337" s="1353">
        <v>5000</v>
      </c>
      <c r="P337" s="1954">
        <v>1</v>
      </c>
      <c r="Q337" s="1154">
        <f>O337*P337</f>
        <v>5000</v>
      </c>
      <c r="R337" s="1714"/>
      <c r="S337" s="799"/>
      <c r="T337" s="799"/>
      <c r="U337" s="799"/>
      <c r="V337" s="799"/>
      <c r="W337" s="315"/>
      <c r="X337" s="1137">
        <v>5400</v>
      </c>
      <c r="Y337" s="1126">
        <v>5400</v>
      </c>
      <c r="Z337" s="1126">
        <v>8100</v>
      </c>
      <c r="AA337" s="1165">
        <v>8100</v>
      </c>
      <c r="AB337" s="1165"/>
      <c r="AC337" s="1152"/>
      <c r="AD337" s="1152"/>
      <c r="AE337" s="1152"/>
      <c r="AF337" s="1152"/>
      <c r="AG337" s="1144"/>
    </row>
    <row r="338" spans="1:33" s="280" customFormat="1" outlineLevel="2">
      <c r="A338" s="796">
        <v>2213</v>
      </c>
      <c r="B338" s="808" t="s">
        <v>854</v>
      </c>
      <c r="C338" s="793" t="s">
        <v>367</v>
      </c>
      <c r="D338" s="797" t="s">
        <v>849</v>
      </c>
      <c r="E338" s="796">
        <v>95</v>
      </c>
      <c r="F338" s="795">
        <v>43309</v>
      </c>
      <c r="G338" s="795">
        <v>43403</v>
      </c>
      <c r="H338" s="795" t="s">
        <v>368</v>
      </c>
      <c r="I338" s="796" t="s">
        <v>174</v>
      </c>
      <c r="J338" s="794" t="s">
        <v>169</v>
      </c>
      <c r="K338" s="805" t="s">
        <v>365</v>
      </c>
      <c r="L338" s="1240">
        <v>2313</v>
      </c>
      <c r="M338" s="780"/>
      <c r="N338" s="796" t="s">
        <v>366</v>
      </c>
      <c r="O338" s="1353">
        <v>6000</v>
      </c>
      <c r="P338" s="1954">
        <v>1</v>
      </c>
      <c r="Q338" s="1154">
        <f>O338*P338</f>
        <v>6000</v>
      </c>
      <c r="R338" s="1714"/>
      <c r="S338" s="799"/>
      <c r="T338" s="799"/>
      <c r="U338" s="799"/>
      <c r="V338" s="1107">
        <v>240</v>
      </c>
      <c r="W338" s="799"/>
      <c r="X338" s="1179"/>
      <c r="Y338" s="1154"/>
      <c r="Z338" s="1165"/>
      <c r="AA338" s="1165"/>
      <c r="AB338" s="1165"/>
      <c r="AC338" s="1152"/>
      <c r="AD338" s="1152"/>
      <c r="AE338" s="1152"/>
      <c r="AF338" s="1152"/>
      <c r="AG338" s="1144"/>
    </row>
    <row r="339" spans="1:33" s="280" customFormat="1" ht="39.950000000000003" customHeight="1" outlineLevel="1">
      <c r="A339" s="1745"/>
      <c r="B339" s="1751"/>
      <c r="C339" s="1751"/>
      <c r="D339" s="2033"/>
      <c r="E339" s="1745"/>
      <c r="F339" s="1752"/>
      <c r="G339" s="1752"/>
      <c r="H339" s="1752"/>
      <c r="I339" s="1745"/>
      <c r="J339" s="2034"/>
      <c r="K339" s="1574"/>
      <c r="L339" s="1748" t="s">
        <v>1055</v>
      </c>
      <c r="M339" s="1206"/>
      <c r="N339" s="1745"/>
      <c r="O339" s="2035"/>
      <c r="P339" s="2036"/>
      <c r="Q339" s="2024">
        <f>SUBTOTAL(9,Q336:Q338)</f>
        <v>38000</v>
      </c>
      <c r="R339" s="1714"/>
      <c r="S339" s="1154"/>
      <c r="T339" s="1154"/>
      <c r="U339" s="1154"/>
      <c r="V339" s="1126"/>
      <c r="W339" s="1154"/>
      <c r="X339" s="2031"/>
      <c r="Y339" s="1154"/>
      <c r="Z339" s="1165"/>
      <c r="AA339" s="1165"/>
      <c r="AB339" s="1165"/>
      <c r="AC339" s="1152"/>
      <c r="AD339" s="1152"/>
      <c r="AE339" s="1152"/>
      <c r="AF339" s="1152"/>
      <c r="AG339" s="1144"/>
    </row>
    <row r="340" spans="1:33" s="280" customFormat="1" outlineLevel="2">
      <c r="A340" s="796">
        <v>2211</v>
      </c>
      <c r="B340" s="808" t="s">
        <v>845</v>
      </c>
      <c r="C340" s="793" t="s">
        <v>846</v>
      </c>
      <c r="D340" s="797"/>
      <c r="E340" s="796">
        <v>15</v>
      </c>
      <c r="F340" s="795">
        <v>43199</v>
      </c>
      <c r="G340" s="795">
        <f>+F340+E340</f>
        <v>43214</v>
      </c>
      <c r="H340" s="795" t="s">
        <v>368</v>
      </c>
      <c r="I340" s="796" t="s">
        <v>169</v>
      </c>
      <c r="J340" s="794" t="s">
        <v>174</v>
      </c>
      <c r="K340" s="805" t="s">
        <v>847</v>
      </c>
      <c r="L340" s="1240">
        <v>23173</v>
      </c>
      <c r="M340" s="780"/>
      <c r="N340" s="796" t="s">
        <v>366</v>
      </c>
      <c r="O340" s="1107">
        <v>80</v>
      </c>
      <c r="P340" s="1938">
        <v>3</v>
      </c>
      <c r="Q340" s="1126">
        <f>+P340*O340</f>
        <v>240</v>
      </c>
      <c r="R340" s="1714"/>
      <c r="S340" s="799"/>
      <c r="T340" s="799"/>
      <c r="U340" s="799"/>
      <c r="V340" s="1107">
        <v>500</v>
      </c>
      <c r="W340" s="799"/>
      <c r="X340" s="1179">
        <v>2000</v>
      </c>
      <c r="Y340" s="1154">
        <v>2500</v>
      </c>
      <c r="Z340" s="1165"/>
      <c r="AA340" s="1165"/>
      <c r="AB340" s="1165"/>
      <c r="AC340" s="1152"/>
      <c r="AD340" s="1152"/>
      <c r="AE340" s="1152"/>
      <c r="AF340" s="1152"/>
      <c r="AG340" s="1144"/>
    </row>
    <row r="341" spans="1:33" s="280" customFormat="1" outlineLevel="2">
      <c r="A341" s="796">
        <f>+A340+1</f>
        <v>2212</v>
      </c>
      <c r="B341" s="808" t="s">
        <v>850</v>
      </c>
      <c r="C341" s="793" t="s">
        <v>846</v>
      </c>
      <c r="D341" s="797"/>
      <c r="E341" s="796">
        <v>20</v>
      </c>
      <c r="F341" s="795">
        <v>43226</v>
      </c>
      <c r="G341" s="795">
        <v>43246</v>
      </c>
      <c r="H341" s="795" t="s">
        <v>368</v>
      </c>
      <c r="I341" s="796" t="s">
        <v>169</v>
      </c>
      <c r="J341" s="794" t="s">
        <v>174</v>
      </c>
      <c r="K341" s="805" t="s">
        <v>847</v>
      </c>
      <c r="L341" s="1240">
        <v>23173</v>
      </c>
      <c r="M341" s="780"/>
      <c r="N341" s="796" t="s">
        <v>366</v>
      </c>
      <c r="O341" s="1107">
        <v>80</v>
      </c>
      <c r="P341" s="1938">
        <v>3</v>
      </c>
      <c r="Q341" s="1126">
        <f>O341*P341</f>
        <v>240</v>
      </c>
      <c r="R341" s="1714"/>
      <c r="S341" s="799"/>
      <c r="T341" s="799"/>
      <c r="U341" s="799"/>
      <c r="V341" s="799"/>
      <c r="W341" s="799"/>
      <c r="X341" s="1179">
        <v>240</v>
      </c>
      <c r="Y341" s="1154"/>
      <c r="Z341" s="1165"/>
      <c r="AA341" s="1165"/>
      <c r="AB341" s="1165"/>
      <c r="AC341" s="1152"/>
      <c r="AD341" s="1152"/>
      <c r="AE341" s="1152"/>
      <c r="AF341" s="1152"/>
      <c r="AG341" s="1144"/>
    </row>
    <row r="342" spans="1:33" s="280" customFormat="1" outlineLevel="2">
      <c r="A342" s="796">
        <f>+A341+1</f>
        <v>2213</v>
      </c>
      <c r="B342" s="808" t="s">
        <v>853</v>
      </c>
      <c r="C342" s="793" t="s">
        <v>846</v>
      </c>
      <c r="D342" s="797"/>
      <c r="E342" s="796">
        <v>20</v>
      </c>
      <c r="F342" s="795">
        <v>43288</v>
      </c>
      <c r="G342" s="795">
        <v>43308</v>
      </c>
      <c r="H342" s="795" t="s">
        <v>368</v>
      </c>
      <c r="I342" s="796" t="s">
        <v>169</v>
      </c>
      <c r="J342" s="794" t="s">
        <v>174</v>
      </c>
      <c r="K342" s="805" t="s">
        <v>847</v>
      </c>
      <c r="L342" s="1240">
        <v>23173</v>
      </c>
      <c r="M342" s="780"/>
      <c r="N342" s="796" t="s">
        <v>366</v>
      </c>
      <c r="O342" s="1353">
        <v>80</v>
      </c>
      <c r="P342" s="1954">
        <v>3</v>
      </c>
      <c r="Q342" s="1154">
        <f>O342*P342</f>
        <v>240</v>
      </c>
      <c r="R342" s="1714"/>
      <c r="S342" s="799"/>
      <c r="T342" s="799"/>
      <c r="U342" s="799"/>
      <c r="V342" s="799"/>
      <c r="W342" s="799"/>
      <c r="X342" s="1179">
        <v>600</v>
      </c>
      <c r="Y342" s="1154">
        <v>2400</v>
      </c>
      <c r="Z342" s="1165">
        <v>3000</v>
      </c>
      <c r="AA342" s="1165"/>
      <c r="AB342" s="1165"/>
      <c r="AC342" s="1152"/>
      <c r="AD342" s="1152"/>
      <c r="AE342" s="1152"/>
      <c r="AF342" s="1152"/>
      <c r="AG342" s="1144"/>
    </row>
    <row r="343" spans="1:33" s="280" customFormat="1" ht="47.25" outlineLevel="2">
      <c r="A343" s="796">
        <f>+A342+1</f>
        <v>2214</v>
      </c>
      <c r="B343" s="808" t="s">
        <v>855</v>
      </c>
      <c r="C343" s="793" t="s">
        <v>856</v>
      </c>
      <c r="D343" s="813"/>
      <c r="E343" s="796">
        <v>5</v>
      </c>
      <c r="F343" s="816">
        <v>43318</v>
      </c>
      <c r="G343" s="816">
        <v>43321</v>
      </c>
      <c r="H343" s="795" t="s">
        <v>368</v>
      </c>
      <c r="I343" s="796" t="s">
        <v>174</v>
      </c>
      <c r="J343" s="792" t="s">
        <v>169</v>
      </c>
      <c r="K343" s="805" t="s">
        <v>486</v>
      </c>
      <c r="L343" s="1240">
        <v>23173</v>
      </c>
      <c r="M343" s="780"/>
      <c r="N343" s="796" t="s">
        <v>366</v>
      </c>
      <c r="O343" s="1115">
        <v>343</v>
      </c>
      <c r="P343" s="1954">
        <v>1</v>
      </c>
      <c r="Q343" s="1126">
        <f>O343*P343</f>
        <v>343</v>
      </c>
      <c r="R343" s="1714"/>
      <c r="S343" s="799"/>
      <c r="T343" s="799"/>
      <c r="U343" s="799"/>
      <c r="V343" s="799"/>
      <c r="W343" s="799"/>
      <c r="X343" s="1180">
        <v>343</v>
      </c>
      <c r="Y343" s="1154"/>
      <c r="Z343" s="1165"/>
      <c r="AA343" s="1165"/>
      <c r="AB343" s="1165"/>
      <c r="AC343" s="1152"/>
      <c r="AD343" s="1152"/>
      <c r="AE343" s="1152"/>
      <c r="AF343" s="1152"/>
      <c r="AG343" s="1144"/>
    </row>
    <row r="344" spans="1:33" s="280" customFormat="1" outlineLevel="2">
      <c r="A344" s="796">
        <f>+A342+1</f>
        <v>2214</v>
      </c>
      <c r="B344" s="808" t="s">
        <v>858</v>
      </c>
      <c r="C344" s="793" t="s">
        <v>859</v>
      </c>
      <c r="D344" s="796" t="s">
        <v>514</v>
      </c>
      <c r="E344" s="797">
        <v>20</v>
      </c>
      <c r="F344" s="795">
        <v>43288</v>
      </c>
      <c r="G344" s="795">
        <v>43308</v>
      </c>
      <c r="H344" s="795" t="s">
        <v>368</v>
      </c>
      <c r="I344" s="796" t="s">
        <v>174</v>
      </c>
      <c r="J344" s="794" t="s">
        <v>169</v>
      </c>
      <c r="K344" s="2029" t="s">
        <v>860</v>
      </c>
      <c r="L344" s="1241">
        <v>23173</v>
      </c>
      <c r="M344" s="296"/>
      <c r="N344" s="294"/>
      <c r="O344" s="1357">
        <v>80</v>
      </c>
      <c r="P344" s="1954">
        <v>3</v>
      </c>
      <c r="Q344" s="1154">
        <f>O344*P344</f>
        <v>240</v>
      </c>
      <c r="R344" s="1714"/>
      <c r="S344" s="298"/>
      <c r="T344" s="298"/>
      <c r="U344" s="298"/>
      <c r="V344" s="298"/>
      <c r="W344" s="298"/>
      <c r="X344" s="1355">
        <v>3657</v>
      </c>
      <c r="Y344" s="1154"/>
      <c r="Z344" s="1165"/>
      <c r="AA344" s="1165"/>
      <c r="AB344" s="1165"/>
      <c r="AC344" s="1152"/>
      <c r="AD344" s="1152"/>
      <c r="AE344" s="1152"/>
      <c r="AF344" s="1152"/>
      <c r="AG344" s="1144"/>
    </row>
    <row r="345" spans="1:33" s="280" customFormat="1" ht="39.950000000000003" customHeight="1" outlineLevel="1">
      <c r="A345" s="1745"/>
      <c r="B345" s="1751"/>
      <c r="C345" s="1751"/>
      <c r="D345" s="1745"/>
      <c r="E345" s="2033"/>
      <c r="F345" s="1752"/>
      <c r="G345" s="1752"/>
      <c r="H345" s="1752"/>
      <c r="I345" s="1745"/>
      <c r="J345" s="2034"/>
      <c r="K345" s="2037"/>
      <c r="L345" s="1748" t="s">
        <v>1053</v>
      </c>
      <c r="M345" s="1206"/>
      <c r="N345" s="1745"/>
      <c r="O345" s="2035"/>
      <c r="P345" s="2036"/>
      <c r="Q345" s="2024">
        <f>SUBTOTAL(9,Q340:Q344)</f>
        <v>1303</v>
      </c>
      <c r="R345" s="1714"/>
      <c r="S345" s="1154"/>
      <c r="T345" s="1154"/>
      <c r="U345" s="1154"/>
      <c r="V345" s="1154"/>
      <c r="W345" s="1154"/>
      <c r="X345" s="2032"/>
      <c r="Y345" s="1154"/>
      <c r="Z345" s="1165"/>
      <c r="AA345" s="1165"/>
      <c r="AB345" s="1165"/>
      <c r="AC345" s="1152"/>
      <c r="AD345" s="1152"/>
      <c r="AE345" s="1152"/>
      <c r="AF345" s="1152"/>
      <c r="AG345" s="1144"/>
    </row>
    <row r="346" spans="1:33" s="280" customFormat="1" ht="47.25" outlineLevel="2">
      <c r="A346" s="294">
        <f>A344</f>
        <v>2214</v>
      </c>
      <c r="B346" s="820" t="s">
        <v>855</v>
      </c>
      <c r="C346" s="291" t="s">
        <v>856</v>
      </c>
      <c r="D346" s="821"/>
      <c r="E346" s="294">
        <v>5</v>
      </c>
      <c r="F346" s="1017">
        <v>43318</v>
      </c>
      <c r="G346" s="1017">
        <v>43321</v>
      </c>
      <c r="H346" s="293" t="s">
        <v>368</v>
      </c>
      <c r="I346" s="294" t="s">
        <v>169</v>
      </c>
      <c r="J346" s="307" t="s">
        <v>174</v>
      </c>
      <c r="K346" s="2030" t="s">
        <v>857</v>
      </c>
      <c r="L346" s="1241">
        <v>23174</v>
      </c>
      <c r="M346" s="296"/>
      <c r="N346" s="294"/>
      <c r="O346" s="1354">
        <v>3657</v>
      </c>
      <c r="P346" s="1954">
        <v>1</v>
      </c>
      <c r="Q346" s="1126">
        <f>O346*P346</f>
        <v>3657</v>
      </c>
      <c r="R346" s="1714"/>
      <c r="S346" s="298"/>
      <c r="T346" s="298"/>
      <c r="U346" s="298"/>
      <c r="V346" s="298"/>
      <c r="W346" s="298"/>
      <c r="X346" s="1179">
        <v>240</v>
      </c>
      <c r="Y346" s="1154"/>
      <c r="Z346" s="1165"/>
      <c r="AA346" s="1165"/>
      <c r="AB346" s="1165"/>
      <c r="AC346" s="1152"/>
      <c r="AD346" s="1152"/>
      <c r="AE346" s="1152"/>
      <c r="AF346" s="1152"/>
      <c r="AG346" s="1144"/>
    </row>
    <row r="347" spans="1:33" s="280" customFormat="1" ht="39.950000000000003" customHeight="1" outlineLevel="1">
      <c r="A347" s="1745"/>
      <c r="B347" s="1751"/>
      <c r="C347" s="1751"/>
      <c r="D347" s="1759"/>
      <c r="E347" s="1745"/>
      <c r="F347" s="1752"/>
      <c r="G347" s="1752"/>
      <c r="H347" s="1752"/>
      <c r="I347" s="1745"/>
      <c r="J347" s="1747"/>
      <c r="K347" s="2038"/>
      <c r="L347" s="1748" t="s">
        <v>1051</v>
      </c>
      <c r="M347" s="1206"/>
      <c r="N347" s="1745"/>
      <c r="O347" s="2039"/>
      <c r="P347" s="2036"/>
      <c r="Q347" s="2024">
        <f>SUBTOTAL(9,Q346:Q346)</f>
        <v>3657</v>
      </c>
      <c r="R347" s="1714"/>
      <c r="S347" s="1154"/>
      <c r="T347" s="1154"/>
      <c r="U347" s="1154"/>
      <c r="V347" s="1154"/>
      <c r="W347" s="1154"/>
      <c r="X347" s="2031"/>
      <c r="Y347" s="1154"/>
      <c r="Z347" s="1165"/>
      <c r="AA347" s="1165"/>
      <c r="AB347" s="1165"/>
      <c r="AC347" s="1152"/>
      <c r="AD347" s="1152"/>
      <c r="AE347" s="1152"/>
      <c r="AF347" s="1152"/>
      <c r="AG347" s="1144"/>
    </row>
    <row r="348" spans="1:33" s="280" customFormat="1" ht="39.950000000000003" customHeight="1">
      <c r="A348" s="1745"/>
      <c r="B348" s="1751"/>
      <c r="C348" s="1751"/>
      <c r="D348" s="1759"/>
      <c r="E348" s="1745"/>
      <c r="F348" s="1752"/>
      <c r="G348" s="1752"/>
      <c r="H348" s="1752"/>
      <c r="I348" s="1745"/>
      <c r="J348" s="1747"/>
      <c r="K348" s="2038"/>
      <c r="L348" s="2028" t="s">
        <v>1052</v>
      </c>
      <c r="M348" s="1206"/>
      <c r="N348" s="1745"/>
      <c r="O348" s="2039"/>
      <c r="P348" s="2036"/>
      <c r="Q348" s="2024">
        <f>SUBTOTAL(9,Q336:Q346)</f>
        <v>42960</v>
      </c>
      <c r="R348" s="1714"/>
      <c r="S348" s="1154"/>
      <c r="T348" s="1154"/>
      <c r="U348" s="1154"/>
      <c r="V348" s="1154"/>
      <c r="W348" s="1154"/>
      <c r="X348" s="2031"/>
      <c r="Y348" s="1154"/>
      <c r="Z348" s="1165"/>
      <c r="AA348" s="1165"/>
      <c r="AB348" s="1165"/>
      <c r="AC348" s="1152"/>
      <c r="AD348" s="1152"/>
      <c r="AE348" s="1152"/>
      <c r="AF348" s="1152"/>
      <c r="AG348" s="1144"/>
    </row>
    <row r="349" spans="1:33" ht="33.75" customHeight="1">
      <c r="A349" s="1275">
        <v>222</v>
      </c>
      <c r="B349" s="508" t="s">
        <v>861</v>
      </c>
      <c r="C349" s="1559"/>
      <c r="D349" s="822"/>
      <c r="E349" s="822"/>
      <c r="F349" s="822"/>
      <c r="G349" s="822"/>
      <c r="H349" s="822"/>
      <c r="I349" s="822"/>
      <c r="J349" s="508"/>
      <c r="K349" s="1560"/>
      <c r="L349" s="1561"/>
      <c r="M349" s="822"/>
      <c r="N349" s="822"/>
      <c r="O349" s="1562"/>
      <c r="P349" s="1955"/>
      <c r="Q349" s="1903">
        <f>+Q352+Q355+Q361+Q364</f>
        <v>24920</v>
      </c>
      <c r="R349" s="1978"/>
      <c r="S349" s="1562">
        <f t="shared" ref="S349:AF349" si="56">SUM(S350:S363)</f>
        <v>0</v>
      </c>
      <c r="T349" s="1562">
        <f t="shared" si="56"/>
        <v>720</v>
      </c>
      <c r="U349" s="1562">
        <f t="shared" si="56"/>
        <v>500</v>
      </c>
      <c r="V349" s="1562">
        <f t="shared" si="56"/>
        <v>500</v>
      </c>
      <c r="W349" s="1562">
        <f t="shared" si="56"/>
        <v>9000</v>
      </c>
      <c r="X349" s="1562">
        <f t="shared" si="56"/>
        <v>500</v>
      </c>
      <c r="Y349" s="1562">
        <f t="shared" si="56"/>
        <v>500</v>
      </c>
      <c r="Z349" s="1563">
        <f t="shared" si="56"/>
        <v>500</v>
      </c>
      <c r="AA349" s="1563">
        <f t="shared" si="56"/>
        <v>500</v>
      </c>
      <c r="AB349" s="1563">
        <f t="shared" si="56"/>
        <v>500</v>
      </c>
      <c r="AC349" s="1563">
        <f t="shared" si="56"/>
        <v>500</v>
      </c>
      <c r="AD349" s="1563">
        <f t="shared" si="56"/>
        <v>10200</v>
      </c>
      <c r="AE349" s="1563">
        <f t="shared" si="56"/>
        <v>500</v>
      </c>
      <c r="AF349" s="1563">
        <f t="shared" si="56"/>
        <v>500</v>
      </c>
      <c r="AG349" s="1901">
        <f>SUM(S349:AF349)</f>
        <v>24920</v>
      </c>
    </row>
    <row r="350" spans="1:33" ht="45" customHeight="1" outlineLevel="2">
      <c r="A350" s="294" t="e">
        <f>#REF!</f>
        <v>#REF!</v>
      </c>
      <c r="B350" s="824" t="s">
        <v>99</v>
      </c>
      <c r="C350" s="291" t="s">
        <v>868</v>
      </c>
      <c r="D350" s="821"/>
      <c r="E350" s="294">
        <v>2</v>
      </c>
      <c r="F350" s="293">
        <v>43279</v>
      </c>
      <c r="G350" s="293">
        <f>+F350+E350</f>
        <v>43281</v>
      </c>
      <c r="H350" s="293" t="s">
        <v>869</v>
      </c>
      <c r="I350" s="294" t="s">
        <v>174</v>
      </c>
      <c r="J350" s="306" t="s">
        <v>169</v>
      </c>
      <c r="K350" s="326" t="s">
        <v>365</v>
      </c>
      <c r="L350" s="1237">
        <v>2313</v>
      </c>
      <c r="M350" s="326"/>
      <c r="N350" s="294"/>
      <c r="O350" s="354">
        <v>2711.4</v>
      </c>
      <c r="P350" s="1938">
        <v>1</v>
      </c>
      <c r="Q350" s="1126">
        <f>O350*P350</f>
        <v>2711.4</v>
      </c>
      <c r="R350" s="1714"/>
      <c r="S350" s="355"/>
      <c r="T350" s="355">
        <v>240</v>
      </c>
      <c r="U350" s="355"/>
      <c r="V350" s="355"/>
      <c r="W350" s="355"/>
      <c r="X350" s="1137"/>
      <c r="Y350" s="1126"/>
      <c r="Z350" s="1124"/>
      <c r="AA350" s="1124"/>
      <c r="AB350" s="1124"/>
      <c r="AC350" s="1124"/>
      <c r="AD350" s="1124"/>
      <c r="AE350" s="1124"/>
      <c r="AF350" s="1124"/>
      <c r="AG350" s="1124"/>
    </row>
    <row r="351" spans="1:33" ht="72" customHeight="1" outlineLevel="2">
      <c r="A351" s="1621">
        <v>2224</v>
      </c>
      <c r="B351" s="1616" t="s">
        <v>99</v>
      </c>
      <c r="C351" s="2040" t="s">
        <v>870</v>
      </c>
      <c r="D351" s="2041"/>
      <c r="E351" s="1621">
        <v>2</v>
      </c>
      <c r="F351" s="1620">
        <v>43500</v>
      </c>
      <c r="G351" s="1620">
        <f>+F351+E351</f>
        <v>43502</v>
      </c>
      <c r="H351" s="1620" t="s">
        <v>871</v>
      </c>
      <c r="I351" s="1621" t="s">
        <v>174</v>
      </c>
      <c r="J351" s="2042" t="s">
        <v>169</v>
      </c>
      <c r="K351" s="1680" t="s">
        <v>365</v>
      </c>
      <c r="L351" s="2043">
        <v>2313</v>
      </c>
      <c r="M351" s="1680"/>
      <c r="N351" s="1621"/>
      <c r="O351" s="1681">
        <v>2711.4</v>
      </c>
      <c r="P351" s="1968">
        <v>1</v>
      </c>
      <c r="Q351" s="2044">
        <f>O351*P351</f>
        <v>2711.4</v>
      </c>
      <c r="R351" s="1714"/>
      <c r="S351" s="355"/>
      <c r="T351" s="355"/>
      <c r="U351" s="355">
        <v>250</v>
      </c>
      <c r="V351" s="355">
        <v>250</v>
      </c>
      <c r="W351" s="355">
        <v>250</v>
      </c>
      <c r="X351" s="1137">
        <v>250</v>
      </c>
      <c r="Y351" s="1126">
        <v>250</v>
      </c>
      <c r="Z351" s="1126">
        <v>250</v>
      </c>
      <c r="AA351" s="1126">
        <v>250</v>
      </c>
      <c r="AB351" s="1126">
        <v>250</v>
      </c>
      <c r="AC351" s="1126">
        <v>250</v>
      </c>
      <c r="AD351" s="1126">
        <v>250</v>
      </c>
      <c r="AE351" s="1126">
        <v>250</v>
      </c>
      <c r="AF351" s="1126">
        <v>250</v>
      </c>
      <c r="AG351" s="1156"/>
    </row>
    <row r="352" spans="1:33" ht="39.950000000000003" customHeight="1" outlineLevel="1">
      <c r="A352" s="1745"/>
      <c r="B352" s="1746"/>
      <c r="C352" s="1751"/>
      <c r="D352" s="1759"/>
      <c r="E352" s="1745"/>
      <c r="F352" s="1752"/>
      <c r="G352" s="1752"/>
      <c r="H352" s="1752"/>
      <c r="I352" s="1745"/>
      <c r="J352" s="2046"/>
      <c r="K352" s="1574"/>
      <c r="L352" s="1748" t="s">
        <v>1055</v>
      </c>
      <c r="M352" s="1574"/>
      <c r="N352" s="1745"/>
      <c r="O352" s="1749"/>
      <c r="P352" s="1745"/>
      <c r="Q352" s="2024">
        <f>SUBTOTAL(9,Q350:Q351)</f>
        <v>5422.8</v>
      </c>
      <c r="R352" s="1714"/>
      <c r="S352" s="1126"/>
      <c r="T352" s="1126"/>
      <c r="U352" s="1126"/>
      <c r="V352" s="1126"/>
      <c r="W352" s="1126"/>
      <c r="X352" s="1672"/>
      <c r="Y352" s="1126"/>
      <c r="Z352" s="1126"/>
      <c r="AA352" s="1126"/>
      <c r="AB352" s="1126"/>
      <c r="AC352" s="1126"/>
      <c r="AD352" s="1126"/>
      <c r="AE352" s="1126"/>
      <c r="AF352" s="1126"/>
      <c r="AG352" s="1156"/>
    </row>
    <row r="353" spans="1:33" ht="31.5" outlineLevel="2">
      <c r="A353" s="294">
        <f>A351</f>
        <v>2224</v>
      </c>
      <c r="B353" s="291" t="s">
        <v>862</v>
      </c>
      <c r="C353" s="291" t="s">
        <v>863</v>
      </c>
      <c r="D353" s="821"/>
      <c r="E353" s="294">
        <f>56+365</f>
        <v>421</v>
      </c>
      <c r="F353" s="293">
        <v>43181</v>
      </c>
      <c r="G353" s="293">
        <v>43581</v>
      </c>
      <c r="H353" s="293" t="s">
        <v>368</v>
      </c>
      <c r="I353" s="294" t="s">
        <v>174</v>
      </c>
      <c r="J353" s="307" t="s">
        <v>169</v>
      </c>
      <c r="K353" s="326" t="s">
        <v>864</v>
      </c>
      <c r="L353" s="1237">
        <v>23171</v>
      </c>
      <c r="M353" s="326"/>
      <c r="N353" s="294"/>
      <c r="O353" s="354">
        <v>250</v>
      </c>
      <c r="P353" s="1938">
        <v>12</v>
      </c>
      <c r="Q353" s="1126">
        <f>O353*P353</f>
        <v>3000</v>
      </c>
      <c r="R353" s="1714"/>
      <c r="S353" s="355"/>
      <c r="T353" s="355">
        <v>240</v>
      </c>
      <c r="U353" s="355"/>
      <c r="V353" s="355"/>
      <c r="W353" s="355"/>
      <c r="X353" s="1137"/>
      <c r="Y353" s="1126"/>
      <c r="Z353" s="1124"/>
      <c r="AA353" s="1124"/>
      <c r="AB353" s="1124"/>
      <c r="AC353" s="1124"/>
      <c r="AD353" s="1124"/>
      <c r="AE353" s="1124"/>
      <c r="AF353" s="1124"/>
      <c r="AG353" s="1124"/>
    </row>
    <row r="354" spans="1:33" ht="31.5" outlineLevel="2">
      <c r="A354" s="1621">
        <f>A353</f>
        <v>2224</v>
      </c>
      <c r="B354" s="2040" t="s">
        <v>865</v>
      </c>
      <c r="C354" s="2040" t="s">
        <v>866</v>
      </c>
      <c r="D354" s="2041"/>
      <c r="E354" s="1621">
        <f>56+365</f>
        <v>421</v>
      </c>
      <c r="F354" s="1620">
        <v>43181</v>
      </c>
      <c r="G354" s="1620">
        <v>43581</v>
      </c>
      <c r="H354" s="1620" t="s">
        <v>368</v>
      </c>
      <c r="I354" s="1621" t="s">
        <v>174</v>
      </c>
      <c r="J354" s="1622" t="s">
        <v>169</v>
      </c>
      <c r="K354" s="1680" t="s">
        <v>864</v>
      </c>
      <c r="L354" s="2043">
        <v>23171</v>
      </c>
      <c r="M354" s="1680"/>
      <c r="N354" s="1621"/>
      <c r="O354" s="1681">
        <v>250</v>
      </c>
      <c r="P354" s="1968">
        <v>12</v>
      </c>
      <c r="Q354" s="2044">
        <f>O354*P354</f>
        <v>3000</v>
      </c>
      <c r="R354" s="1714"/>
      <c r="S354" s="355"/>
      <c r="T354" s="355"/>
      <c r="U354" s="355">
        <v>250</v>
      </c>
      <c r="V354" s="355">
        <v>250</v>
      </c>
      <c r="W354" s="355">
        <v>250</v>
      </c>
      <c r="X354" s="1137">
        <v>250</v>
      </c>
      <c r="Y354" s="1126">
        <v>250</v>
      </c>
      <c r="Z354" s="1126">
        <v>250</v>
      </c>
      <c r="AA354" s="1126">
        <v>250</v>
      </c>
      <c r="AB354" s="1126">
        <v>250</v>
      </c>
      <c r="AC354" s="1126">
        <v>250</v>
      </c>
      <c r="AD354" s="1126">
        <v>250</v>
      </c>
      <c r="AE354" s="1126">
        <v>250</v>
      </c>
      <c r="AF354" s="1126">
        <v>250</v>
      </c>
      <c r="AG354" s="1156"/>
    </row>
    <row r="355" spans="1:33" ht="39.950000000000003" customHeight="1" outlineLevel="1">
      <c r="A355" s="1745"/>
      <c r="B355" s="1751"/>
      <c r="C355" s="1751"/>
      <c r="D355" s="1759"/>
      <c r="E355" s="1745"/>
      <c r="F355" s="1752"/>
      <c r="G355" s="1752"/>
      <c r="H355" s="1752"/>
      <c r="I355" s="1745"/>
      <c r="J355" s="1747"/>
      <c r="K355" s="1574"/>
      <c r="L355" s="1748" t="s">
        <v>1060</v>
      </c>
      <c r="M355" s="1574"/>
      <c r="N355" s="1745"/>
      <c r="O355" s="1749"/>
      <c r="P355" s="1745"/>
      <c r="Q355" s="2024">
        <f>SUBTOTAL(9,Q353:Q354)</f>
        <v>6000</v>
      </c>
      <c r="R355" s="1714"/>
      <c r="S355" s="1126"/>
      <c r="T355" s="1126"/>
      <c r="U355" s="1126"/>
      <c r="V355" s="1126"/>
      <c r="W355" s="1126"/>
      <c r="X355" s="1672"/>
      <c r="Y355" s="1126"/>
      <c r="Z355" s="1126"/>
      <c r="AA355" s="1126"/>
      <c r="AB355" s="1126"/>
      <c r="AC355" s="1126"/>
      <c r="AD355" s="1126"/>
      <c r="AE355" s="1126"/>
      <c r="AF355" s="1126"/>
      <c r="AG355" s="1156"/>
    </row>
    <row r="356" spans="1:33" ht="31.5" outlineLevel="2">
      <c r="A356" s="294">
        <v>2221</v>
      </c>
      <c r="B356" s="291" t="s">
        <v>862</v>
      </c>
      <c r="C356" s="291" t="s">
        <v>846</v>
      </c>
      <c r="D356" s="821"/>
      <c r="E356" s="294">
        <v>20</v>
      </c>
      <c r="F356" s="293">
        <v>43199</v>
      </c>
      <c r="G356" s="293">
        <v>43219</v>
      </c>
      <c r="H356" s="293" t="s">
        <v>368</v>
      </c>
      <c r="I356" s="294" t="s">
        <v>169</v>
      </c>
      <c r="J356" s="307" t="s">
        <v>174</v>
      </c>
      <c r="K356" s="326" t="s">
        <v>847</v>
      </c>
      <c r="L356" s="1237">
        <v>23173</v>
      </c>
      <c r="M356" s="326"/>
      <c r="N356" s="294"/>
      <c r="O356" s="354">
        <v>80</v>
      </c>
      <c r="P356" s="1938">
        <v>3</v>
      </c>
      <c r="Q356" s="1126">
        <f>O356*P356</f>
        <v>240</v>
      </c>
      <c r="R356" s="1714"/>
      <c r="S356" s="355"/>
      <c r="T356" s="355">
        <v>240</v>
      </c>
      <c r="U356" s="355"/>
      <c r="V356" s="355"/>
      <c r="W356" s="355"/>
      <c r="X356" s="1137"/>
      <c r="Y356" s="1126"/>
      <c r="Z356" s="1124"/>
      <c r="AA356" s="1124"/>
      <c r="AB356" s="1124"/>
      <c r="AC356" s="1124"/>
      <c r="AD356" s="1124"/>
      <c r="AE356" s="1124"/>
      <c r="AF356" s="1124"/>
      <c r="AG356" s="1124"/>
    </row>
    <row r="357" spans="1:33" ht="31.5" outlineLevel="2">
      <c r="A357" s="294">
        <v>2222</v>
      </c>
      <c r="B357" s="291" t="s">
        <v>865</v>
      </c>
      <c r="C357" s="291" t="s">
        <v>846</v>
      </c>
      <c r="D357" s="821"/>
      <c r="E357" s="294">
        <v>20</v>
      </c>
      <c r="F357" s="293">
        <v>43199</v>
      </c>
      <c r="G357" s="293">
        <v>43219</v>
      </c>
      <c r="H357" s="293" t="s">
        <v>368</v>
      </c>
      <c r="I357" s="294" t="s">
        <v>169</v>
      </c>
      <c r="J357" s="307" t="s">
        <v>174</v>
      </c>
      <c r="K357" s="326" t="s">
        <v>847</v>
      </c>
      <c r="L357" s="1237">
        <v>23173</v>
      </c>
      <c r="M357" s="326"/>
      <c r="N357" s="294"/>
      <c r="O357" s="354">
        <v>80</v>
      </c>
      <c r="P357" s="1938">
        <v>3</v>
      </c>
      <c r="Q357" s="1126">
        <f>O357*P357</f>
        <v>240</v>
      </c>
      <c r="R357" s="1714"/>
      <c r="S357" s="355"/>
      <c r="T357" s="355"/>
      <c r="U357" s="355"/>
      <c r="V357" s="355"/>
      <c r="W357" s="354">
        <v>2711.4</v>
      </c>
      <c r="X357" s="1137"/>
      <c r="Y357" s="1126"/>
      <c r="Z357" s="1124"/>
      <c r="AA357" s="1124"/>
      <c r="AB357" s="1124"/>
      <c r="AC357" s="1124"/>
      <c r="AD357" s="1124"/>
      <c r="AE357" s="1124"/>
      <c r="AF357" s="1124"/>
      <c r="AG357" s="1124"/>
    </row>
    <row r="358" spans="1:33" ht="31.5" outlineLevel="2">
      <c r="A358" s="294">
        <v>2223</v>
      </c>
      <c r="B358" s="824" t="s">
        <v>99</v>
      </c>
      <c r="C358" s="291" t="s">
        <v>846</v>
      </c>
      <c r="D358" s="821"/>
      <c r="E358" s="294">
        <v>20</v>
      </c>
      <c r="F358" s="293">
        <v>43196</v>
      </c>
      <c r="G358" s="293">
        <v>43215</v>
      </c>
      <c r="H358" s="293" t="s">
        <v>368</v>
      </c>
      <c r="I358" s="294" t="s">
        <v>867</v>
      </c>
      <c r="J358" s="307" t="s">
        <v>169</v>
      </c>
      <c r="K358" s="326" t="s">
        <v>847</v>
      </c>
      <c r="L358" s="1237">
        <v>23173</v>
      </c>
      <c r="M358" s="326"/>
      <c r="N358" s="294"/>
      <c r="O358" s="354">
        <v>80</v>
      </c>
      <c r="P358" s="1938">
        <v>3</v>
      </c>
      <c r="Q358" s="1126">
        <f>O358*P358</f>
        <v>240</v>
      </c>
      <c r="R358" s="1714"/>
      <c r="S358" s="355"/>
      <c r="T358" s="355"/>
      <c r="U358" s="355"/>
      <c r="V358" s="355"/>
      <c r="W358" s="354">
        <v>257.33</v>
      </c>
      <c r="X358" s="1137"/>
      <c r="Y358" s="1126"/>
      <c r="Z358" s="1124"/>
      <c r="AA358" s="1124"/>
      <c r="AB358" s="1124"/>
      <c r="AC358" s="1124"/>
      <c r="AD358" s="1124"/>
      <c r="AE358" s="1124"/>
      <c r="AF358" s="1124"/>
      <c r="AG358" s="1124"/>
    </row>
    <row r="359" spans="1:33" ht="31.5" outlineLevel="2">
      <c r="A359" s="294">
        <f>A357</f>
        <v>2222</v>
      </c>
      <c r="B359" s="824" t="s">
        <v>99</v>
      </c>
      <c r="C359" s="291" t="s">
        <v>868</v>
      </c>
      <c r="D359" s="821"/>
      <c r="E359" s="294">
        <v>2</v>
      </c>
      <c r="F359" s="293">
        <v>43279</v>
      </c>
      <c r="G359" s="293">
        <f>+F359+E359</f>
        <v>43281</v>
      </c>
      <c r="H359" s="293" t="s">
        <v>869</v>
      </c>
      <c r="I359" s="293" t="s">
        <v>169</v>
      </c>
      <c r="J359" s="307" t="s">
        <v>174</v>
      </c>
      <c r="K359" s="2029" t="s">
        <v>486</v>
      </c>
      <c r="L359" s="1237">
        <v>23173</v>
      </c>
      <c r="M359" s="326"/>
      <c r="N359" s="294"/>
      <c r="O359" s="354">
        <v>257.33</v>
      </c>
      <c r="P359" s="1938">
        <v>1</v>
      </c>
      <c r="Q359" s="1126">
        <f>O359*P359</f>
        <v>257.33</v>
      </c>
      <c r="R359" s="1714"/>
      <c r="S359" s="355"/>
      <c r="T359" s="355"/>
      <c r="U359" s="355"/>
      <c r="V359" s="355"/>
      <c r="W359" s="354">
        <v>5531.27</v>
      </c>
      <c r="X359" s="1137"/>
      <c r="Y359" s="1126"/>
      <c r="Z359" s="1124"/>
      <c r="AA359" s="1124"/>
      <c r="AB359" s="1124"/>
      <c r="AC359" s="1124"/>
      <c r="AD359" s="1124"/>
      <c r="AE359" s="1124"/>
      <c r="AF359" s="1124"/>
      <c r="AG359" s="1124"/>
    </row>
    <row r="360" spans="1:33" ht="31.5" outlineLevel="2">
      <c r="A360" s="1621">
        <v>2224</v>
      </c>
      <c r="B360" s="1616" t="s">
        <v>99</v>
      </c>
      <c r="C360" s="2040" t="s">
        <v>870</v>
      </c>
      <c r="D360" s="2041"/>
      <c r="E360" s="1621">
        <v>2</v>
      </c>
      <c r="F360" s="1620">
        <v>43500</v>
      </c>
      <c r="G360" s="1620">
        <v>43502</v>
      </c>
      <c r="H360" s="1620" t="s">
        <v>871</v>
      </c>
      <c r="I360" s="1620" t="s">
        <v>169</v>
      </c>
      <c r="J360" s="1622" t="s">
        <v>174</v>
      </c>
      <c r="K360" s="1680" t="s">
        <v>486</v>
      </c>
      <c r="L360" s="2043">
        <v>23173</v>
      </c>
      <c r="M360" s="1680"/>
      <c r="N360" s="1621"/>
      <c r="O360" s="1681">
        <v>431.33</v>
      </c>
      <c r="P360" s="1968">
        <v>1</v>
      </c>
      <c r="Q360" s="2044">
        <f>O360*P360</f>
        <v>431.33</v>
      </c>
      <c r="R360" s="1714"/>
      <c r="S360" s="355"/>
      <c r="T360" s="355"/>
      <c r="U360" s="355"/>
      <c r="V360" s="355"/>
      <c r="W360" s="355"/>
      <c r="X360" s="1137"/>
      <c r="Y360" s="1126"/>
      <c r="Z360" s="1124"/>
      <c r="AA360" s="1124"/>
      <c r="AB360" s="1124"/>
      <c r="AC360" s="1124"/>
      <c r="AD360" s="355">
        <v>2711.4</v>
      </c>
      <c r="AE360" s="1124"/>
      <c r="AF360" s="1124"/>
      <c r="AG360" s="1124"/>
    </row>
    <row r="361" spans="1:33" ht="39.950000000000003" customHeight="1" outlineLevel="1">
      <c r="A361" s="1745"/>
      <c r="B361" s="1746"/>
      <c r="C361" s="1751"/>
      <c r="D361" s="1759"/>
      <c r="E361" s="1745"/>
      <c r="F361" s="1752"/>
      <c r="G361" s="1752"/>
      <c r="H361" s="1752"/>
      <c r="I361" s="1752"/>
      <c r="J361" s="1747"/>
      <c r="K361" s="1574"/>
      <c r="L361" s="1748" t="s">
        <v>1053</v>
      </c>
      <c r="M361" s="1574"/>
      <c r="N361" s="1745"/>
      <c r="O361" s="1749"/>
      <c r="P361" s="1745"/>
      <c r="Q361" s="2024">
        <f>SUBTOTAL(9,Q356:Q360)</f>
        <v>1408.6599999999999</v>
      </c>
      <c r="R361" s="1714"/>
      <c r="S361" s="1126"/>
      <c r="T361" s="1126"/>
      <c r="U361" s="1126"/>
      <c r="V361" s="1126"/>
      <c r="W361" s="1126"/>
      <c r="X361" s="1672"/>
      <c r="Y361" s="1126"/>
      <c r="Z361" s="1124"/>
      <c r="AA361" s="1124"/>
      <c r="AB361" s="1124"/>
      <c r="AC361" s="1124"/>
      <c r="AD361" s="1126"/>
      <c r="AE361" s="1124"/>
      <c r="AF361" s="1124"/>
      <c r="AG361" s="1124"/>
    </row>
    <row r="362" spans="1:33" ht="31.5" outlineLevel="2">
      <c r="A362" s="294">
        <f>A358</f>
        <v>2223</v>
      </c>
      <c r="B362" s="824" t="s">
        <v>99</v>
      </c>
      <c r="C362" s="291" t="s">
        <v>868</v>
      </c>
      <c r="D362" s="821"/>
      <c r="E362" s="294">
        <v>2</v>
      </c>
      <c r="F362" s="293">
        <v>43279</v>
      </c>
      <c r="G362" s="293">
        <f>+F362+E362</f>
        <v>43281</v>
      </c>
      <c r="H362" s="293" t="s">
        <v>869</v>
      </c>
      <c r="I362" s="293" t="s">
        <v>169</v>
      </c>
      <c r="J362" s="307" t="s">
        <v>174</v>
      </c>
      <c r="K362" s="2030" t="s">
        <v>857</v>
      </c>
      <c r="L362" s="1237">
        <v>23174</v>
      </c>
      <c r="M362" s="326"/>
      <c r="N362" s="294"/>
      <c r="O362" s="354">
        <v>5531.27</v>
      </c>
      <c r="P362" s="1938">
        <v>1</v>
      </c>
      <c r="Q362" s="1126">
        <f>O362*P362</f>
        <v>5531.27</v>
      </c>
      <c r="R362" s="1714"/>
      <c r="S362" s="355"/>
      <c r="T362" s="355"/>
      <c r="U362" s="355"/>
      <c r="V362" s="355"/>
      <c r="W362" s="355"/>
      <c r="X362" s="1137"/>
      <c r="Y362" s="1126"/>
      <c r="Z362" s="1124"/>
      <c r="AA362" s="1124"/>
      <c r="AB362" s="1124"/>
      <c r="AC362" s="1124"/>
      <c r="AD362" s="355">
        <v>431.33</v>
      </c>
      <c r="AE362" s="1124"/>
      <c r="AF362" s="1124"/>
      <c r="AG362" s="1124"/>
    </row>
    <row r="363" spans="1:33" ht="31.5" outlineLevel="2">
      <c r="A363" s="1621">
        <v>2224</v>
      </c>
      <c r="B363" s="1616" t="s">
        <v>99</v>
      </c>
      <c r="C363" s="2040" t="s">
        <v>870</v>
      </c>
      <c r="D363" s="2041"/>
      <c r="E363" s="1621">
        <v>2</v>
      </c>
      <c r="F363" s="1620">
        <v>43500</v>
      </c>
      <c r="G363" s="1620">
        <v>43502</v>
      </c>
      <c r="H363" s="1620" t="s">
        <v>871</v>
      </c>
      <c r="I363" s="1620" t="s">
        <v>169</v>
      </c>
      <c r="J363" s="1622" t="s">
        <v>174</v>
      </c>
      <c r="K363" s="2045" t="s">
        <v>857</v>
      </c>
      <c r="L363" s="2043">
        <v>23174</v>
      </c>
      <c r="M363" s="1680"/>
      <c r="N363" s="1621"/>
      <c r="O363" s="1681">
        <v>6557.27</v>
      </c>
      <c r="P363" s="1968">
        <v>1</v>
      </c>
      <c r="Q363" s="2044">
        <f>O363*P363</f>
        <v>6557.27</v>
      </c>
      <c r="R363" s="1714"/>
      <c r="S363" s="355"/>
      <c r="T363" s="355"/>
      <c r="U363" s="355"/>
      <c r="V363" s="355"/>
      <c r="W363" s="355"/>
      <c r="X363" s="1137"/>
      <c r="Y363" s="1126"/>
      <c r="Z363" s="1124"/>
      <c r="AA363" s="1124"/>
      <c r="AB363" s="1124"/>
      <c r="AC363" s="1124"/>
      <c r="AD363" s="355">
        <v>6557.27</v>
      </c>
      <c r="AE363" s="1124"/>
      <c r="AF363" s="1124"/>
      <c r="AG363" s="1124"/>
    </row>
    <row r="364" spans="1:33" ht="39.950000000000003" customHeight="1" outlineLevel="1">
      <c r="A364" s="1745"/>
      <c r="B364" s="1746"/>
      <c r="C364" s="1751"/>
      <c r="D364" s="1759"/>
      <c r="E364" s="1745"/>
      <c r="F364" s="1752"/>
      <c r="G364" s="1752"/>
      <c r="H364" s="1752"/>
      <c r="I364" s="1752"/>
      <c r="J364" s="1747"/>
      <c r="K364" s="2038"/>
      <c r="L364" s="1748" t="s">
        <v>1051</v>
      </c>
      <c r="M364" s="1574"/>
      <c r="N364" s="1745"/>
      <c r="O364" s="1749"/>
      <c r="P364" s="1745"/>
      <c r="Q364" s="2024">
        <f>SUBTOTAL(9,Q362:Q363)</f>
        <v>12088.54</v>
      </c>
      <c r="R364" s="1714"/>
      <c r="S364" s="1126"/>
      <c r="T364" s="1126"/>
      <c r="U364" s="1126"/>
      <c r="V364" s="1126"/>
      <c r="W364" s="1126"/>
      <c r="X364" s="1672"/>
      <c r="Y364" s="1126"/>
      <c r="Z364" s="1124"/>
      <c r="AA364" s="1124"/>
      <c r="AB364" s="1124"/>
      <c r="AC364" s="1124"/>
      <c r="AD364" s="1126"/>
      <c r="AE364" s="1124"/>
      <c r="AF364" s="1124"/>
      <c r="AG364" s="1124"/>
    </row>
    <row r="365" spans="1:33" ht="39.950000000000003" customHeight="1">
      <c r="A365" s="1745"/>
      <c r="B365" s="1746"/>
      <c r="C365" s="1751"/>
      <c r="D365" s="1759"/>
      <c r="E365" s="1745"/>
      <c r="F365" s="1752"/>
      <c r="G365" s="1752"/>
      <c r="H365" s="1752"/>
      <c r="I365" s="1752"/>
      <c r="J365" s="1747"/>
      <c r="K365" s="2038"/>
      <c r="L365" s="2028" t="s">
        <v>1052</v>
      </c>
      <c r="M365" s="1574"/>
      <c r="N365" s="1745"/>
      <c r="O365" s="1749"/>
      <c r="P365" s="1745"/>
      <c r="Q365" s="2024">
        <f>SUBTOTAL(9,Q350:Q363)</f>
        <v>24920</v>
      </c>
      <c r="R365" s="1714"/>
      <c r="S365" s="1126"/>
      <c r="T365" s="1126"/>
      <c r="U365" s="1126"/>
      <c r="V365" s="1126"/>
      <c r="W365" s="1126"/>
      <c r="X365" s="1672"/>
      <c r="Y365" s="1126"/>
      <c r="Z365" s="1124"/>
      <c r="AA365" s="1124"/>
      <c r="AB365" s="1124"/>
      <c r="AC365" s="1124"/>
      <c r="AD365" s="1126"/>
      <c r="AE365" s="1124"/>
      <c r="AF365" s="1124"/>
      <c r="AG365" s="1124"/>
    </row>
    <row r="366" spans="1:33" s="280" customFormat="1" ht="38.25" customHeight="1">
      <c r="A366" s="1275">
        <v>223</v>
      </c>
      <c r="B366" s="508" t="s">
        <v>872</v>
      </c>
      <c r="C366" s="1504"/>
      <c r="D366" s="1358"/>
      <c r="E366" s="1358"/>
      <c r="F366" s="1358"/>
      <c r="G366" s="1358"/>
      <c r="H366" s="1358"/>
      <c r="I366" s="1358"/>
      <c r="J366" s="523"/>
      <c r="K366" s="1560"/>
      <c r="L366" s="1359"/>
      <c r="M366" s="1358"/>
      <c r="N366" s="1358"/>
      <c r="O366" s="1360"/>
      <c r="P366" s="1956"/>
      <c r="Q366" s="1903">
        <f>+Q368+Q371+Q381+Q386</f>
        <v>209880</v>
      </c>
      <c r="R366" s="1979"/>
      <c r="S366" s="1562">
        <f t="shared" ref="S366:AF366" si="57">SUM(S367:S385)</f>
        <v>0</v>
      </c>
      <c r="T366" s="1562">
        <f t="shared" si="57"/>
        <v>840</v>
      </c>
      <c r="U366" s="1562">
        <f t="shared" si="57"/>
        <v>17640</v>
      </c>
      <c r="V366" s="1562">
        <f t="shared" si="57"/>
        <v>63200</v>
      </c>
      <c r="W366" s="1562">
        <f t="shared" si="57"/>
        <v>1000</v>
      </c>
      <c r="X366" s="1562">
        <f t="shared" si="57"/>
        <v>40200</v>
      </c>
      <c r="Y366" s="1562">
        <f t="shared" si="57"/>
        <v>88000</v>
      </c>
      <c r="Z366" s="1562">
        <f t="shared" si="57"/>
        <v>0</v>
      </c>
      <c r="AA366" s="1562">
        <f t="shared" si="57"/>
        <v>0</v>
      </c>
      <c r="AB366" s="1562">
        <f t="shared" si="57"/>
        <v>0</v>
      </c>
      <c r="AC366" s="1562">
        <f t="shared" si="57"/>
        <v>0</v>
      </c>
      <c r="AD366" s="1562">
        <f t="shared" si="57"/>
        <v>0</v>
      </c>
      <c r="AE366" s="1562">
        <f t="shared" si="57"/>
        <v>0</v>
      </c>
      <c r="AF366" s="1562">
        <f t="shared" si="57"/>
        <v>0</v>
      </c>
      <c r="AG366" s="1902">
        <f>SUM(S366:AF366)</f>
        <v>210880</v>
      </c>
    </row>
    <row r="367" spans="1:33" s="833" customFormat="1" ht="31.5" outlineLevel="2">
      <c r="A367" s="294">
        <v>2231</v>
      </c>
      <c r="B367" s="820" t="s">
        <v>1027</v>
      </c>
      <c r="C367" s="291" t="s">
        <v>875</v>
      </c>
      <c r="D367" s="294" t="s">
        <v>849</v>
      </c>
      <c r="E367" s="294">
        <v>30</v>
      </c>
      <c r="F367" s="293">
        <v>43205</v>
      </c>
      <c r="G367" s="293">
        <v>43235</v>
      </c>
      <c r="H367" s="293" t="s">
        <v>368</v>
      </c>
      <c r="I367" s="294" t="s">
        <v>174</v>
      </c>
      <c r="J367" s="307" t="s">
        <v>169</v>
      </c>
      <c r="K367" s="326" t="s">
        <v>365</v>
      </c>
      <c r="L367" s="1237">
        <v>2313</v>
      </c>
      <c r="M367" s="296"/>
      <c r="N367" s="294"/>
      <c r="O367" s="355">
        <v>5000</v>
      </c>
      <c r="P367" s="1938">
        <v>1</v>
      </c>
      <c r="Q367" s="1126">
        <f>O367*P367</f>
        <v>5000</v>
      </c>
      <c r="R367" s="1732"/>
      <c r="S367" s="494"/>
      <c r="T367" s="294">
        <v>240</v>
      </c>
      <c r="U367" s="494"/>
      <c r="V367" s="494"/>
      <c r="W367" s="494"/>
      <c r="X367" s="1181"/>
      <c r="Y367" s="1196"/>
      <c r="Z367" s="1155"/>
      <c r="AA367" s="1155"/>
      <c r="AB367" s="1155"/>
      <c r="AC367" s="1155"/>
      <c r="AD367" s="1155"/>
      <c r="AE367" s="1155"/>
      <c r="AF367" s="1155"/>
      <c r="AG367" s="1124"/>
    </row>
    <row r="368" spans="1:33" s="1570" customFormat="1" ht="39.950000000000003" customHeight="1" outlineLevel="1">
      <c r="A368" s="1750"/>
      <c r="B368" s="1740"/>
      <c r="C368" s="1740"/>
      <c r="D368" s="1750"/>
      <c r="E368" s="1750"/>
      <c r="F368" s="2048"/>
      <c r="G368" s="2048"/>
      <c r="H368" s="2048"/>
      <c r="I368" s="1750"/>
      <c r="J368" s="2049"/>
      <c r="K368" s="1997"/>
      <c r="L368" s="1748" t="s">
        <v>1062</v>
      </c>
      <c r="M368" s="1997"/>
      <c r="N368" s="1750"/>
      <c r="O368" s="2024"/>
      <c r="P368" s="1750"/>
      <c r="Q368" s="2024">
        <f>SUBTOTAL(9,Q367:Q367)</f>
        <v>5000</v>
      </c>
      <c r="R368" s="1732"/>
      <c r="S368" s="1568"/>
      <c r="T368" s="1703"/>
      <c r="U368" s="1568"/>
      <c r="V368" s="1568"/>
      <c r="W368" s="1568"/>
      <c r="X368" s="2047"/>
      <c r="Y368" s="1568"/>
      <c r="Z368" s="1569"/>
      <c r="AA368" s="1569"/>
      <c r="AB368" s="1569"/>
      <c r="AC368" s="1569"/>
      <c r="AD368" s="1569"/>
      <c r="AE368" s="1569"/>
      <c r="AF368" s="1569"/>
      <c r="AG368" s="1124"/>
    </row>
    <row r="369" spans="1:33" s="280" customFormat="1" ht="31.5" outlineLevel="2">
      <c r="A369" s="294">
        <v>2232</v>
      </c>
      <c r="B369" s="291" t="s">
        <v>1028</v>
      </c>
      <c r="C369" s="291" t="s">
        <v>878</v>
      </c>
      <c r="D369" s="821"/>
      <c r="E369" s="1363">
        <v>66</v>
      </c>
      <c r="F369" s="293">
        <v>43195</v>
      </c>
      <c r="G369" s="293">
        <f>F369+E369</f>
        <v>43261</v>
      </c>
      <c r="H369" s="293" t="s">
        <v>368</v>
      </c>
      <c r="I369" s="294" t="s">
        <v>169</v>
      </c>
      <c r="J369" s="307" t="s">
        <v>174</v>
      </c>
      <c r="K369" s="326" t="s">
        <v>879</v>
      </c>
      <c r="L369" s="1241">
        <v>2463</v>
      </c>
      <c r="M369" s="296"/>
      <c r="N369" s="294"/>
      <c r="O369" s="1357">
        <v>1500</v>
      </c>
      <c r="P369" s="1954">
        <v>4</v>
      </c>
      <c r="Q369" s="1154">
        <f>O369*P369</f>
        <v>6000</v>
      </c>
      <c r="R369" s="1714"/>
      <c r="S369" s="298"/>
      <c r="T369" s="294">
        <f>Q369*10/100</f>
        <v>600</v>
      </c>
      <c r="U369" s="294">
        <f>Q369*90/100</f>
        <v>5400</v>
      </c>
      <c r="V369" s="298"/>
      <c r="W369" s="298"/>
      <c r="X369" s="1179"/>
      <c r="Y369" s="1154"/>
      <c r="Z369" s="1152"/>
      <c r="AA369" s="1152"/>
      <c r="AB369" s="1152"/>
      <c r="AC369" s="1152"/>
      <c r="AD369" s="1152"/>
      <c r="AE369" s="1152"/>
      <c r="AF369" s="1152"/>
      <c r="AG369" s="1124"/>
    </row>
    <row r="370" spans="1:33" s="280" customFormat="1" ht="31.5" outlineLevel="2">
      <c r="A370" s="294">
        <v>2232</v>
      </c>
      <c r="B370" s="834" t="s">
        <v>1030</v>
      </c>
      <c r="C370" s="291" t="s">
        <v>883</v>
      </c>
      <c r="D370" s="821"/>
      <c r="E370" s="1363">
        <v>125</v>
      </c>
      <c r="F370" s="293">
        <v>43196</v>
      </c>
      <c r="G370" s="293">
        <f>F370+E370</f>
        <v>43321</v>
      </c>
      <c r="H370" s="293" t="s">
        <v>368</v>
      </c>
      <c r="I370" s="294" t="s">
        <v>169</v>
      </c>
      <c r="J370" s="307" t="s">
        <v>884</v>
      </c>
      <c r="K370" s="326" t="s">
        <v>879</v>
      </c>
      <c r="L370" s="1241">
        <v>2463</v>
      </c>
      <c r="M370" s="296"/>
      <c r="N370" s="294"/>
      <c r="O370" s="1357">
        <v>19200</v>
      </c>
      <c r="P370" s="1954">
        <v>1</v>
      </c>
      <c r="Q370" s="1154">
        <f>O370*P370</f>
        <v>19200</v>
      </c>
      <c r="R370" s="1714"/>
      <c r="S370" s="298"/>
      <c r="T370" s="298"/>
      <c r="U370" s="298"/>
      <c r="V370" s="298">
        <v>6000</v>
      </c>
      <c r="W370" s="298"/>
      <c r="X370" s="1179"/>
      <c r="Y370" s="1154"/>
      <c r="Z370" s="1152"/>
      <c r="AA370" s="1152"/>
      <c r="AB370" s="1152"/>
      <c r="AC370" s="1152"/>
      <c r="AD370" s="1152"/>
      <c r="AE370" s="1152"/>
      <c r="AF370" s="1152"/>
      <c r="AG370" s="1124"/>
    </row>
    <row r="371" spans="1:33" ht="39.950000000000003" customHeight="1" outlineLevel="1">
      <c r="A371" s="1750"/>
      <c r="B371" s="1740"/>
      <c r="C371" s="1740"/>
      <c r="D371" s="2050"/>
      <c r="E371" s="1750"/>
      <c r="F371" s="2048"/>
      <c r="G371" s="2048"/>
      <c r="H371" s="2048"/>
      <c r="I371" s="1750"/>
      <c r="J371" s="2049"/>
      <c r="K371" s="1997"/>
      <c r="L371" s="1748" t="s">
        <v>1061</v>
      </c>
      <c r="M371" s="1997"/>
      <c r="N371" s="1750"/>
      <c r="O371" s="1998"/>
      <c r="P371" s="1750"/>
      <c r="Q371" s="2024">
        <f>SUBTOTAL(9,Q369:Q370)</f>
        <v>25200</v>
      </c>
      <c r="R371" s="1714"/>
      <c r="S371" s="1126"/>
      <c r="T371" s="1126"/>
      <c r="U371" s="1126"/>
      <c r="V371" s="1126"/>
      <c r="W371" s="1126"/>
      <c r="X371" s="1672"/>
      <c r="Y371" s="1126"/>
      <c r="Z371" s="1124"/>
      <c r="AA371" s="1124"/>
      <c r="AB371" s="1124"/>
      <c r="AC371" s="1124"/>
      <c r="AD371" s="1124"/>
      <c r="AE371" s="1124"/>
      <c r="AF371" s="1124"/>
      <c r="AG371" s="1124"/>
    </row>
    <row r="372" spans="1:33" s="280" customFormat="1" ht="31.5" outlineLevel="2">
      <c r="A372" s="294">
        <v>2231</v>
      </c>
      <c r="B372" s="820" t="s">
        <v>1027</v>
      </c>
      <c r="C372" s="291" t="s">
        <v>846</v>
      </c>
      <c r="D372" s="295" t="s">
        <v>849</v>
      </c>
      <c r="E372" s="294">
        <v>20</v>
      </c>
      <c r="F372" s="829">
        <v>43196</v>
      </c>
      <c r="G372" s="829">
        <v>43215</v>
      </c>
      <c r="H372" s="294" t="s">
        <v>368</v>
      </c>
      <c r="I372" s="294" t="s">
        <v>169</v>
      </c>
      <c r="J372" s="307" t="s">
        <v>174</v>
      </c>
      <c r="K372" s="326" t="s">
        <v>847</v>
      </c>
      <c r="L372" s="1241">
        <v>23173</v>
      </c>
      <c r="M372" s="830"/>
      <c r="N372" s="569"/>
      <c r="O372" s="355">
        <v>80</v>
      </c>
      <c r="P372" s="1938">
        <v>3</v>
      </c>
      <c r="Q372" s="1126">
        <f t="shared" ref="Q372:Q380" si="58">O372*P372</f>
        <v>240</v>
      </c>
      <c r="R372" s="1714"/>
      <c r="S372" s="298"/>
      <c r="T372" s="298"/>
      <c r="U372" s="298"/>
      <c r="V372" s="298">
        <v>2000</v>
      </c>
      <c r="W372" s="298"/>
      <c r="X372" s="1179"/>
      <c r="Y372" s="1154"/>
      <c r="Z372" s="1152"/>
      <c r="AA372" s="1152"/>
      <c r="AB372" s="1152"/>
      <c r="AC372" s="1152"/>
      <c r="AD372" s="1152"/>
      <c r="AE372" s="1152"/>
      <c r="AF372" s="1152"/>
      <c r="AG372" s="1124"/>
    </row>
    <row r="373" spans="1:33" s="280" customFormat="1" ht="31.5" outlineLevel="2">
      <c r="A373" s="294">
        <v>2232</v>
      </c>
      <c r="B373" s="834" t="s">
        <v>1029</v>
      </c>
      <c r="C373" s="291" t="s">
        <v>881</v>
      </c>
      <c r="D373" s="821"/>
      <c r="E373" s="1363">
        <v>77</v>
      </c>
      <c r="F373" s="293">
        <v>43196</v>
      </c>
      <c r="G373" s="293">
        <f>F373+E373</f>
        <v>43273</v>
      </c>
      <c r="H373" s="293" t="s">
        <v>368</v>
      </c>
      <c r="I373" s="294" t="s">
        <v>169</v>
      </c>
      <c r="J373" s="307" t="s">
        <v>174</v>
      </c>
      <c r="K373" s="326" t="s">
        <v>320</v>
      </c>
      <c r="L373" s="1241">
        <v>23173</v>
      </c>
      <c r="M373" s="296"/>
      <c r="N373" s="294"/>
      <c r="O373" s="1357">
        <v>2000</v>
      </c>
      <c r="P373" s="1954">
        <v>1</v>
      </c>
      <c r="Q373" s="1154">
        <f t="shared" si="58"/>
        <v>2000</v>
      </c>
      <c r="R373" s="1714"/>
      <c r="S373" s="298"/>
      <c r="T373" s="298"/>
      <c r="U373" s="298"/>
      <c r="V373" s="298"/>
      <c r="W373" s="298"/>
      <c r="X373" s="1179">
        <v>19200</v>
      </c>
      <c r="Y373" s="1154"/>
      <c r="Z373" s="1152"/>
      <c r="AA373" s="1152"/>
      <c r="AB373" s="1152"/>
      <c r="AC373" s="1152"/>
      <c r="AD373" s="1152"/>
      <c r="AE373" s="1152"/>
      <c r="AF373" s="1152"/>
      <c r="AG373" s="1124"/>
    </row>
    <row r="374" spans="1:33" s="280" customFormat="1" ht="31.5" outlineLevel="2">
      <c r="A374" s="294">
        <v>2233</v>
      </c>
      <c r="B374" s="291" t="s">
        <v>1031</v>
      </c>
      <c r="C374" s="291" t="s">
        <v>887</v>
      </c>
      <c r="D374" s="357"/>
      <c r="E374" s="294">
        <v>1</v>
      </c>
      <c r="F374" s="293">
        <v>43235</v>
      </c>
      <c r="G374" s="293">
        <v>43235</v>
      </c>
      <c r="H374" s="293" t="s">
        <v>368</v>
      </c>
      <c r="I374" s="294" t="s">
        <v>867</v>
      </c>
      <c r="J374" s="307" t="s">
        <v>169</v>
      </c>
      <c r="K374" s="326" t="s">
        <v>320</v>
      </c>
      <c r="L374" s="1241">
        <v>23173</v>
      </c>
      <c r="N374" s="341"/>
      <c r="O374" s="1364">
        <v>3000</v>
      </c>
      <c r="P374" s="342">
        <v>1</v>
      </c>
      <c r="Q374" s="1154">
        <f t="shared" si="58"/>
        <v>3000</v>
      </c>
      <c r="R374" s="344"/>
      <c r="S374" s="315"/>
      <c r="T374" s="315"/>
      <c r="U374" s="298">
        <v>3000</v>
      </c>
      <c r="V374" s="315"/>
      <c r="W374" s="315"/>
      <c r="X374" s="315"/>
      <c r="Y374" s="1154"/>
      <c r="Z374" s="1152"/>
      <c r="AA374" s="1152"/>
      <c r="AB374" s="1152"/>
      <c r="AC374" s="1152"/>
      <c r="AD374" s="1152"/>
      <c r="AE374" s="1152"/>
      <c r="AF374" s="1152"/>
      <c r="AG374" s="1124"/>
    </row>
    <row r="375" spans="1:33" s="280" customFormat="1" ht="31.5" outlineLevel="2">
      <c r="A375" s="294">
        <v>2233</v>
      </c>
      <c r="B375" s="291" t="s">
        <v>1032</v>
      </c>
      <c r="C375" s="291" t="s">
        <v>846</v>
      </c>
      <c r="D375" s="294"/>
      <c r="E375" s="294">
        <v>20</v>
      </c>
      <c r="F375" s="293">
        <v>43235</v>
      </c>
      <c r="G375" s="293">
        <v>43256</v>
      </c>
      <c r="H375" s="293" t="s">
        <v>368</v>
      </c>
      <c r="I375" s="294" t="s">
        <v>867</v>
      </c>
      <c r="J375" s="307" t="s">
        <v>169</v>
      </c>
      <c r="K375" s="326" t="s">
        <v>847</v>
      </c>
      <c r="L375" s="1241">
        <v>23173</v>
      </c>
      <c r="M375" s="296"/>
      <c r="N375" s="294"/>
      <c r="O375" s="1357">
        <v>80</v>
      </c>
      <c r="P375" s="342">
        <v>3</v>
      </c>
      <c r="Q375" s="1154">
        <f t="shared" si="58"/>
        <v>240</v>
      </c>
      <c r="R375" s="1714"/>
      <c r="S375" s="298"/>
      <c r="T375" s="298"/>
      <c r="U375" s="298">
        <v>9000</v>
      </c>
      <c r="V375" s="298"/>
      <c r="W375" s="298"/>
      <c r="X375" s="1179"/>
      <c r="Y375" s="1154"/>
      <c r="Z375" s="1152"/>
      <c r="AA375" s="1152"/>
      <c r="AB375" s="1152"/>
      <c r="AC375" s="1152"/>
      <c r="AD375" s="1152"/>
      <c r="AE375" s="1152"/>
      <c r="AF375" s="1152"/>
      <c r="AG375" s="1124"/>
    </row>
    <row r="376" spans="1:33" s="280" customFormat="1" ht="31.5" outlineLevel="2">
      <c r="A376" s="294">
        <v>2233</v>
      </c>
      <c r="B376" s="291" t="s">
        <v>1032</v>
      </c>
      <c r="C376" s="291" t="s">
        <v>890</v>
      </c>
      <c r="D376" s="821"/>
      <c r="E376" s="294">
        <v>66</v>
      </c>
      <c r="F376" s="293">
        <v>43257</v>
      </c>
      <c r="G376" s="293">
        <v>43278</v>
      </c>
      <c r="H376" s="293" t="s">
        <v>368</v>
      </c>
      <c r="I376" s="294" t="s">
        <v>867</v>
      </c>
      <c r="J376" s="307" t="s">
        <v>169</v>
      </c>
      <c r="K376" s="326" t="s">
        <v>302</v>
      </c>
      <c r="L376" s="1241">
        <v>23173</v>
      </c>
      <c r="M376" s="296"/>
      <c r="N376" s="294"/>
      <c r="O376" s="1357">
        <v>8000</v>
      </c>
      <c r="P376" s="1954">
        <v>2</v>
      </c>
      <c r="Q376" s="1154">
        <f t="shared" si="58"/>
        <v>16000</v>
      </c>
      <c r="R376" s="1714"/>
      <c r="S376" s="298"/>
      <c r="T376" s="298"/>
      <c r="U376" s="298">
        <v>240</v>
      </c>
      <c r="V376" s="298"/>
      <c r="W376" s="298"/>
      <c r="X376" s="1179"/>
      <c r="Y376" s="1154"/>
      <c r="Z376" s="1152"/>
      <c r="AA376" s="1152"/>
      <c r="AB376" s="1152"/>
      <c r="AC376" s="1152"/>
      <c r="AD376" s="1152"/>
      <c r="AE376" s="1152"/>
      <c r="AF376" s="1152"/>
      <c r="AG376" s="1124"/>
    </row>
    <row r="377" spans="1:33" s="280" customFormat="1" ht="31.5" outlineLevel="2">
      <c r="A377" s="294">
        <v>2233</v>
      </c>
      <c r="B377" s="291" t="s">
        <v>1033</v>
      </c>
      <c r="C377" s="291" t="s">
        <v>892</v>
      </c>
      <c r="D377" s="821"/>
      <c r="E377" s="294">
        <v>6</v>
      </c>
      <c r="F377" s="293">
        <v>43241</v>
      </c>
      <c r="G377" s="293">
        <v>43246</v>
      </c>
      <c r="H377" s="293" t="s">
        <v>368</v>
      </c>
      <c r="I377" s="294" t="s">
        <v>867</v>
      </c>
      <c r="J377" s="307" t="s">
        <v>169</v>
      </c>
      <c r="K377" s="326" t="s">
        <v>486</v>
      </c>
      <c r="L377" s="1241">
        <v>23173</v>
      </c>
      <c r="M377" s="296"/>
      <c r="N377" s="294"/>
      <c r="O377" s="1357">
        <v>1081</v>
      </c>
      <c r="P377" s="1954">
        <v>4</v>
      </c>
      <c r="Q377" s="1154">
        <f t="shared" si="58"/>
        <v>4324</v>
      </c>
      <c r="R377" s="1714"/>
      <c r="S377" s="298"/>
      <c r="T377" s="298"/>
      <c r="U377" s="298"/>
      <c r="V377" s="298">
        <v>16000</v>
      </c>
      <c r="W377" s="298"/>
      <c r="X377" s="1179"/>
      <c r="Y377" s="1154"/>
      <c r="Z377" s="1152"/>
      <c r="AA377" s="1152"/>
      <c r="AB377" s="1152"/>
      <c r="AC377" s="1152"/>
      <c r="AD377" s="1152"/>
      <c r="AE377" s="1152"/>
      <c r="AF377" s="1152"/>
      <c r="AG377" s="1124"/>
    </row>
    <row r="378" spans="1:33" s="280" customFormat="1" ht="31.5" outlineLevel="2">
      <c r="A378" s="294">
        <v>2233</v>
      </c>
      <c r="B378" s="291" t="s">
        <v>1034</v>
      </c>
      <c r="C378" s="291" t="s">
        <v>894</v>
      </c>
      <c r="D378" s="821"/>
      <c r="E378" s="294">
        <v>2</v>
      </c>
      <c r="F378" s="293">
        <v>43283</v>
      </c>
      <c r="G378" s="293">
        <v>43284</v>
      </c>
      <c r="H378" s="293" t="s">
        <v>895</v>
      </c>
      <c r="I378" s="294" t="s">
        <v>169</v>
      </c>
      <c r="J378" s="307" t="s">
        <v>867</v>
      </c>
      <c r="K378" s="326" t="s">
        <v>896</v>
      </c>
      <c r="L378" s="1241">
        <v>23173</v>
      </c>
      <c r="M378" s="296"/>
      <c r="N378" s="294"/>
      <c r="O378" s="1357">
        <v>1000</v>
      </c>
      <c r="P378" s="1954">
        <v>1</v>
      </c>
      <c r="Q378" s="1154">
        <f t="shared" si="58"/>
        <v>1000</v>
      </c>
      <c r="R378" s="1714"/>
      <c r="S378" s="298"/>
      <c r="T378" s="298"/>
      <c r="U378" s="298"/>
      <c r="V378" s="298">
        <v>4324</v>
      </c>
      <c r="W378" s="298"/>
      <c r="X378" s="1179"/>
      <c r="Y378" s="1154"/>
      <c r="Z378" s="1152"/>
      <c r="AA378" s="1152"/>
      <c r="AB378" s="1152"/>
      <c r="AC378" s="1152"/>
      <c r="AD378" s="1152"/>
      <c r="AE378" s="1152"/>
      <c r="AF378" s="1152"/>
      <c r="AG378" s="1124"/>
    </row>
    <row r="379" spans="1:33" s="280" customFormat="1" ht="31.5" outlineLevel="2">
      <c r="A379" s="294">
        <v>2233</v>
      </c>
      <c r="B379" s="291" t="s">
        <v>1036</v>
      </c>
      <c r="C379" s="291" t="s">
        <v>894</v>
      </c>
      <c r="D379" s="821"/>
      <c r="E379" s="294">
        <v>2</v>
      </c>
      <c r="F379" s="293" t="s">
        <v>899</v>
      </c>
      <c r="G379" s="293" t="s">
        <v>900</v>
      </c>
      <c r="H379" s="293" t="s">
        <v>895</v>
      </c>
      <c r="I379" s="294" t="s">
        <v>169</v>
      </c>
      <c r="J379" s="307" t="s">
        <v>867</v>
      </c>
      <c r="K379" s="326" t="s">
        <v>896</v>
      </c>
      <c r="L379" s="1241">
        <v>23173</v>
      </c>
      <c r="M379" s="296"/>
      <c r="N379" s="294"/>
      <c r="O379" s="1357">
        <v>1000</v>
      </c>
      <c r="P379" s="1954">
        <v>1</v>
      </c>
      <c r="Q379" s="1154">
        <f t="shared" si="58"/>
        <v>1000</v>
      </c>
      <c r="R379" s="1714"/>
      <c r="S379" s="298"/>
      <c r="T379" s="298"/>
      <c r="U379" s="298"/>
      <c r="V379" s="298">
        <v>34636</v>
      </c>
      <c r="W379" s="298"/>
      <c r="X379" s="1179"/>
      <c r="Y379" s="1154"/>
      <c r="Z379" s="1152"/>
      <c r="AA379" s="1152"/>
      <c r="AB379" s="1152"/>
      <c r="AC379" s="1152"/>
      <c r="AD379" s="1152"/>
      <c r="AE379" s="1152"/>
      <c r="AF379" s="1152"/>
      <c r="AG379" s="1124"/>
    </row>
    <row r="380" spans="1:33" s="280" customFormat="1" ht="31.5" outlineLevel="2">
      <c r="A380" s="294">
        <v>2234</v>
      </c>
      <c r="B380" s="820" t="s">
        <v>1038</v>
      </c>
      <c r="C380" s="291" t="s">
        <v>846</v>
      </c>
      <c r="D380" s="821"/>
      <c r="E380" s="295">
        <v>45</v>
      </c>
      <c r="F380" s="293">
        <v>43200</v>
      </c>
      <c r="G380" s="293">
        <v>43245</v>
      </c>
      <c r="H380" s="293" t="s">
        <v>368</v>
      </c>
      <c r="I380" s="294" t="s">
        <v>174</v>
      </c>
      <c r="J380" s="307" t="s">
        <v>169</v>
      </c>
      <c r="K380" s="326" t="s">
        <v>847</v>
      </c>
      <c r="L380" s="1241">
        <v>23173</v>
      </c>
      <c r="M380" s="296"/>
      <c r="N380" s="294"/>
      <c r="O380" s="355">
        <v>80</v>
      </c>
      <c r="P380" s="1938">
        <v>3</v>
      </c>
      <c r="Q380" s="1126">
        <f t="shared" si="58"/>
        <v>240</v>
      </c>
      <c r="R380" s="1714"/>
      <c r="S380" s="298"/>
      <c r="T380" s="298"/>
      <c r="U380" s="298"/>
      <c r="V380" s="298"/>
      <c r="W380" s="298">
        <v>1000</v>
      </c>
      <c r="X380" s="1179"/>
      <c r="Y380" s="1154"/>
      <c r="Z380" s="1152"/>
      <c r="AA380" s="1152"/>
      <c r="AB380" s="1152"/>
      <c r="AC380" s="1152"/>
      <c r="AD380" s="1152"/>
      <c r="AE380" s="1152"/>
      <c r="AF380" s="1152"/>
      <c r="AG380" s="1124"/>
    </row>
    <row r="381" spans="1:33" ht="39.950000000000003" customHeight="1" outlineLevel="1">
      <c r="A381" s="1750"/>
      <c r="B381" s="1740"/>
      <c r="C381" s="1740"/>
      <c r="D381" s="2050"/>
      <c r="E381" s="1750"/>
      <c r="F381" s="2048"/>
      <c r="G381" s="2048"/>
      <c r="H381" s="2048"/>
      <c r="I381" s="1750"/>
      <c r="J381" s="2049"/>
      <c r="K381" s="1997"/>
      <c r="L381" s="1748" t="s">
        <v>1053</v>
      </c>
      <c r="M381" s="1997"/>
      <c r="N381" s="1750"/>
      <c r="O381" s="2024"/>
      <c r="P381" s="1750"/>
      <c r="Q381" s="2024">
        <f>SUBTOTAL(9,Q372:Q380)</f>
        <v>28044</v>
      </c>
      <c r="R381" s="1714"/>
      <c r="S381" s="1126"/>
      <c r="T381" s="1126"/>
      <c r="U381" s="1126"/>
      <c r="V381" s="1126"/>
      <c r="W381" s="1126"/>
      <c r="X381" s="1672"/>
      <c r="Y381" s="1126"/>
      <c r="Z381" s="1124"/>
      <c r="AA381" s="1124"/>
      <c r="AB381" s="1124"/>
      <c r="AC381" s="1124"/>
      <c r="AD381" s="1124"/>
      <c r="AE381" s="1124"/>
      <c r="AF381" s="1124"/>
      <c r="AG381" s="1124"/>
    </row>
    <row r="382" spans="1:33" s="280" customFormat="1" ht="43.5" customHeight="1" outlineLevel="2">
      <c r="A382" s="294">
        <v>2233</v>
      </c>
      <c r="B382" s="291" t="s">
        <v>1031</v>
      </c>
      <c r="C382" s="291" t="s">
        <v>887</v>
      </c>
      <c r="D382" s="821"/>
      <c r="E382" s="294">
        <v>1</v>
      </c>
      <c r="F382" s="293">
        <v>43235</v>
      </c>
      <c r="G382" s="293">
        <v>43235</v>
      </c>
      <c r="H382" s="293" t="s">
        <v>368</v>
      </c>
      <c r="I382" s="294" t="s">
        <v>169</v>
      </c>
      <c r="J382" s="307" t="s">
        <v>867</v>
      </c>
      <c r="K382" s="326" t="s">
        <v>888</v>
      </c>
      <c r="L382" s="1241">
        <v>23174</v>
      </c>
      <c r="M382" s="296"/>
      <c r="N382" s="294"/>
      <c r="O382" s="1357">
        <v>9000</v>
      </c>
      <c r="P382" s="1954">
        <v>1</v>
      </c>
      <c r="Q382" s="1154">
        <f>O382*P382</f>
        <v>9000</v>
      </c>
      <c r="R382" s="1714"/>
      <c r="S382" s="298"/>
      <c r="T382" s="298"/>
      <c r="U382" s="298"/>
      <c r="V382" s="298"/>
      <c r="W382" s="298"/>
      <c r="X382" s="1179">
        <v>20000</v>
      </c>
      <c r="Y382" s="1154"/>
      <c r="Z382" s="1152"/>
      <c r="AA382" s="1152"/>
      <c r="AB382" s="1152"/>
      <c r="AC382" s="1152"/>
      <c r="AD382" s="1152"/>
      <c r="AE382" s="1152"/>
      <c r="AF382" s="1152"/>
      <c r="AG382" s="1124"/>
    </row>
    <row r="383" spans="1:33" s="280" customFormat="1" ht="31.5" outlineLevel="2">
      <c r="A383" s="294">
        <v>2233</v>
      </c>
      <c r="B383" s="291" t="s">
        <v>1033</v>
      </c>
      <c r="C383" s="291" t="s">
        <v>892</v>
      </c>
      <c r="D383" s="821"/>
      <c r="E383" s="294">
        <v>6</v>
      </c>
      <c r="F383" s="293">
        <v>43241</v>
      </c>
      <c r="G383" s="293">
        <v>43246</v>
      </c>
      <c r="H383" s="293" t="s">
        <v>368</v>
      </c>
      <c r="I383" s="294" t="s">
        <v>169</v>
      </c>
      <c r="J383" s="307" t="s">
        <v>867</v>
      </c>
      <c r="K383" s="326" t="s">
        <v>888</v>
      </c>
      <c r="L383" s="1241">
        <v>23174</v>
      </c>
      <c r="M383" s="296"/>
      <c r="N383" s="294"/>
      <c r="O383" s="1357">
        <v>8659</v>
      </c>
      <c r="P383" s="1954">
        <v>4</v>
      </c>
      <c r="Q383" s="1154">
        <f>O383*P383</f>
        <v>34636</v>
      </c>
      <c r="R383" s="1714"/>
      <c r="S383" s="298"/>
      <c r="T383" s="298"/>
      <c r="U383" s="298"/>
      <c r="V383" s="298"/>
      <c r="W383" s="298"/>
      <c r="X383" s="1179">
        <v>1000</v>
      </c>
      <c r="Y383" s="1154"/>
      <c r="Z383" s="1152"/>
      <c r="AA383" s="1152"/>
      <c r="AB383" s="1152"/>
      <c r="AC383" s="1152"/>
      <c r="AD383" s="1152"/>
      <c r="AE383" s="1152"/>
      <c r="AF383" s="1152"/>
      <c r="AG383" s="1124"/>
    </row>
    <row r="384" spans="1:33" s="280" customFormat="1" ht="42.75" customHeight="1" outlineLevel="2">
      <c r="A384" s="294">
        <v>2233</v>
      </c>
      <c r="B384" s="291" t="s">
        <v>1035</v>
      </c>
      <c r="C384" s="291" t="s">
        <v>897</v>
      </c>
      <c r="D384" s="821"/>
      <c r="E384" s="294">
        <v>2</v>
      </c>
      <c r="F384" s="293">
        <v>43318</v>
      </c>
      <c r="G384" s="293">
        <v>43321</v>
      </c>
      <c r="H384" s="293" t="s">
        <v>895</v>
      </c>
      <c r="I384" s="294" t="s">
        <v>867</v>
      </c>
      <c r="J384" s="307" t="s">
        <v>169</v>
      </c>
      <c r="K384" s="326" t="s">
        <v>888</v>
      </c>
      <c r="L384" s="1241">
        <v>23174</v>
      </c>
      <c r="M384" s="296"/>
      <c r="N384" s="294"/>
      <c r="O384" s="1357">
        <v>1000</v>
      </c>
      <c r="P384" s="1954">
        <v>20</v>
      </c>
      <c r="Q384" s="1154">
        <f>O384*P384</f>
        <v>20000</v>
      </c>
      <c r="R384" s="1714"/>
      <c r="S384" s="298"/>
      <c r="T384" s="298"/>
      <c r="U384" s="298"/>
      <c r="V384" s="298"/>
      <c r="W384" s="298"/>
      <c r="X384" s="1179"/>
      <c r="Y384" s="1154">
        <v>88000</v>
      </c>
      <c r="Z384" s="1152"/>
      <c r="AA384" s="1152"/>
      <c r="AB384" s="1152"/>
      <c r="AC384" s="1152"/>
      <c r="AD384" s="1152"/>
      <c r="AE384" s="1152"/>
      <c r="AF384" s="1152"/>
      <c r="AG384" s="1124"/>
    </row>
    <row r="385" spans="1:33" s="280" customFormat="1" ht="31.5" outlineLevel="2">
      <c r="A385" s="294">
        <v>2233</v>
      </c>
      <c r="B385" s="291" t="s">
        <v>1037</v>
      </c>
      <c r="C385" s="291" t="s">
        <v>901</v>
      </c>
      <c r="D385" s="821"/>
      <c r="E385" s="1363">
        <v>30</v>
      </c>
      <c r="F385" s="293" t="s">
        <v>902</v>
      </c>
      <c r="G385" s="293">
        <v>43359</v>
      </c>
      <c r="H385" s="293" t="s">
        <v>895</v>
      </c>
      <c r="I385" s="294" t="s">
        <v>867</v>
      </c>
      <c r="J385" s="307" t="s">
        <v>169</v>
      </c>
      <c r="K385" s="326" t="s">
        <v>888</v>
      </c>
      <c r="L385" s="1241">
        <v>23174</v>
      </c>
      <c r="M385" s="296"/>
      <c r="N385" s="294"/>
      <c r="O385" s="1357">
        <v>440</v>
      </c>
      <c r="P385" s="1954">
        <v>200</v>
      </c>
      <c r="Q385" s="1154">
        <f>O385*P385</f>
        <v>88000</v>
      </c>
      <c r="R385" s="1714"/>
      <c r="S385" s="298"/>
      <c r="T385" s="298"/>
      <c r="U385" s="298"/>
      <c r="V385" s="294">
        <v>240</v>
      </c>
      <c r="W385" s="298"/>
      <c r="X385" s="1179"/>
      <c r="Y385" s="1154"/>
      <c r="Z385" s="1152"/>
      <c r="AA385" s="1152"/>
      <c r="AB385" s="1152"/>
      <c r="AC385" s="1152"/>
      <c r="AD385" s="1152"/>
      <c r="AE385" s="1152"/>
      <c r="AF385" s="1152"/>
      <c r="AG385" s="1124"/>
    </row>
    <row r="386" spans="1:33" ht="39.950000000000003" customHeight="1" outlineLevel="1">
      <c r="A386" s="1750"/>
      <c r="B386" s="1740"/>
      <c r="C386" s="1740"/>
      <c r="D386" s="2050"/>
      <c r="E386" s="1750"/>
      <c r="F386" s="2048"/>
      <c r="G386" s="2048"/>
      <c r="H386" s="2048"/>
      <c r="I386" s="1750"/>
      <c r="J386" s="2049"/>
      <c r="K386" s="1997"/>
      <c r="L386" s="1748" t="s">
        <v>1051</v>
      </c>
      <c r="M386" s="1997"/>
      <c r="N386" s="1750"/>
      <c r="O386" s="1998"/>
      <c r="P386" s="1750"/>
      <c r="Q386" s="2024">
        <f>SUBTOTAL(9,Q382:Q385)</f>
        <v>151636</v>
      </c>
      <c r="R386" s="1714"/>
      <c r="S386" s="1126"/>
      <c r="T386" s="1126"/>
      <c r="U386" s="1126"/>
      <c r="V386" s="1703"/>
      <c r="W386" s="1126"/>
      <c r="X386" s="1672"/>
      <c r="Y386" s="1126"/>
      <c r="Z386" s="1124"/>
      <c r="AA386" s="1124"/>
      <c r="AB386" s="1124"/>
      <c r="AC386" s="1124"/>
      <c r="AD386" s="1124"/>
      <c r="AE386" s="1124"/>
      <c r="AF386" s="1124"/>
      <c r="AG386" s="1124"/>
    </row>
    <row r="387" spans="1:33" ht="39.950000000000003" customHeight="1">
      <c r="A387" s="1750"/>
      <c r="B387" s="1740"/>
      <c r="C387" s="1740"/>
      <c r="D387" s="2050"/>
      <c r="E387" s="1750"/>
      <c r="F387" s="2048"/>
      <c r="G387" s="2048"/>
      <c r="H387" s="2048"/>
      <c r="I387" s="1750"/>
      <c r="J387" s="2049"/>
      <c r="K387" s="1997"/>
      <c r="L387" s="2028" t="s">
        <v>1052</v>
      </c>
      <c r="M387" s="1997"/>
      <c r="N387" s="1750"/>
      <c r="O387" s="1998"/>
      <c r="P387" s="1750"/>
      <c r="Q387" s="2024">
        <f>SUBTOTAL(9,Q367:Q385)</f>
        <v>209880</v>
      </c>
      <c r="R387" s="1714"/>
      <c r="S387" s="1126"/>
      <c r="T387" s="1126"/>
      <c r="U387" s="1126"/>
      <c r="V387" s="1703"/>
      <c r="W387" s="1126"/>
      <c r="X387" s="1672"/>
      <c r="Y387" s="1126"/>
      <c r="Z387" s="1124"/>
      <c r="AA387" s="1124"/>
      <c r="AB387" s="1124"/>
      <c r="AC387" s="1124"/>
      <c r="AD387" s="1124"/>
      <c r="AE387" s="1124"/>
      <c r="AF387" s="1124"/>
      <c r="AG387" s="1124"/>
    </row>
    <row r="388" spans="1:33" s="280" customFormat="1" ht="29.25" customHeight="1">
      <c r="A388" s="1275">
        <v>224</v>
      </c>
      <c r="B388" s="1575" t="s">
        <v>905</v>
      </c>
      <c r="C388" s="1506"/>
      <c r="D388" s="1365"/>
      <c r="E388" s="1365"/>
      <c r="F388" s="1365"/>
      <c r="G388" s="1365"/>
      <c r="H388" s="1365"/>
      <c r="I388" s="1366"/>
      <c r="J388" s="1489"/>
      <c r="K388" s="1001"/>
      <c r="L388" s="1242"/>
      <c r="M388" s="514"/>
      <c r="N388" s="512"/>
      <c r="O388" s="1367"/>
      <c r="P388" s="1957"/>
      <c r="Q388" s="2053">
        <f>+Q390+Q392</f>
        <v>22240</v>
      </c>
      <c r="R388" s="1980"/>
      <c r="S388" s="548">
        <f t="shared" ref="S388:AF388" si="59">SUM(S389:S391)</f>
        <v>0</v>
      </c>
      <c r="T388" s="548">
        <f t="shared" si="59"/>
        <v>0</v>
      </c>
      <c r="U388" s="548">
        <f t="shared" si="59"/>
        <v>240</v>
      </c>
      <c r="V388" s="548">
        <f t="shared" si="59"/>
        <v>0</v>
      </c>
      <c r="W388" s="548">
        <f t="shared" si="59"/>
        <v>0</v>
      </c>
      <c r="X388" s="548">
        <f t="shared" si="59"/>
        <v>120</v>
      </c>
      <c r="Y388" s="548">
        <f t="shared" si="59"/>
        <v>120</v>
      </c>
      <c r="Z388" s="548">
        <f t="shared" si="59"/>
        <v>0</v>
      </c>
      <c r="AA388" s="548">
        <f t="shared" si="59"/>
        <v>0</v>
      </c>
      <c r="AB388" s="548">
        <f t="shared" si="59"/>
        <v>0</v>
      </c>
      <c r="AC388" s="548">
        <f t="shared" si="59"/>
        <v>0</v>
      </c>
      <c r="AD388" s="548">
        <f t="shared" si="59"/>
        <v>0</v>
      </c>
      <c r="AE388" s="548">
        <f t="shared" si="59"/>
        <v>0</v>
      </c>
      <c r="AF388" s="548">
        <f t="shared" si="59"/>
        <v>0</v>
      </c>
      <c r="AG388" s="548">
        <f>SUM(S388:AF388)</f>
        <v>480</v>
      </c>
    </row>
    <row r="389" spans="1:33" ht="31.5" outlineLevel="2">
      <c r="A389" s="294">
        <v>2241</v>
      </c>
      <c r="B389" s="291" t="s">
        <v>906</v>
      </c>
      <c r="C389" s="291" t="s">
        <v>908</v>
      </c>
      <c r="D389" s="821"/>
      <c r="E389" s="1391">
        <v>115</v>
      </c>
      <c r="F389" s="293">
        <v>43232</v>
      </c>
      <c r="G389" s="293">
        <v>43346</v>
      </c>
      <c r="H389" s="293" t="s">
        <v>368</v>
      </c>
      <c r="I389" s="294" t="s">
        <v>174</v>
      </c>
      <c r="J389" s="307" t="s">
        <v>169</v>
      </c>
      <c r="K389" s="326" t="s">
        <v>365</v>
      </c>
      <c r="L389" s="1237">
        <v>2313</v>
      </c>
      <c r="M389" s="326"/>
      <c r="N389" s="294"/>
      <c r="O389" s="354">
        <v>22000</v>
      </c>
      <c r="P389" s="1938">
        <v>1</v>
      </c>
      <c r="Q389" s="1126">
        <f>O389*P389</f>
        <v>22000</v>
      </c>
      <c r="R389" s="1714"/>
      <c r="S389" s="355"/>
      <c r="T389" s="355"/>
      <c r="U389" s="355">
        <v>240</v>
      </c>
      <c r="W389" s="355"/>
      <c r="X389" s="1137"/>
      <c r="Y389" s="1126"/>
      <c r="Z389" s="1124"/>
      <c r="AA389" s="1124"/>
      <c r="AB389" s="1124"/>
      <c r="AC389" s="1124"/>
      <c r="AD389" s="1124"/>
      <c r="AE389" s="1124"/>
      <c r="AF389" s="1124"/>
      <c r="AG389" s="1124"/>
    </row>
    <row r="390" spans="1:33" ht="39.950000000000003" customHeight="1" outlineLevel="1">
      <c r="A390" s="1750"/>
      <c r="B390" s="1740"/>
      <c r="C390" s="1740"/>
      <c r="D390" s="2050"/>
      <c r="E390" s="1750"/>
      <c r="F390" s="2048"/>
      <c r="G390" s="2048"/>
      <c r="H390" s="2048"/>
      <c r="I390" s="1750"/>
      <c r="J390" s="2049"/>
      <c r="K390" s="1997"/>
      <c r="L390" s="1748" t="s">
        <v>1055</v>
      </c>
      <c r="M390" s="1997"/>
      <c r="N390" s="1750"/>
      <c r="O390" s="1998"/>
      <c r="P390" s="2051"/>
      <c r="Q390" s="2024">
        <f>SUBTOTAL(9,Q389:Q389)</f>
        <v>22000</v>
      </c>
      <c r="R390" s="1714"/>
      <c r="S390" s="1126"/>
      <c r="T390" s="1126"/>
      <c r="U390" s="1126"/>
      <c r="W390" s="1126"/>
      <c r="X390" s="1672"/>
      <c r="Y390" s="1126"/>
      <c r="Z390" s="1124"/>
      <c r="AA390" s="1124"/>
      <c r="AB390" s="1124"/>
      <c r="AC390" s="1124"/>
      <c r="AD390" s="1124"/>
      <c r="AE390" s="1124"/>
      <c r="AF390" s="1124"/>
      <c r="AG390" s="1124"/>
    </row>
    <row r="391" spans="1:33" ht="35.25" customHeight="1" outlineLevel="2">
      <c r="A391" s="294">
        <v>2241</v>
      </c>
      <c r="B391" s="291" t="s">
        <v>906</v>
      </c>
      <c r="C391" s="291" t="s">
        <v>907</v>
      </c>
      <c r="D391" s="821"/>
      <c r="E391" s="1391">
        <v>20</v>
      </c>
      <c r="F391" s="293">
        <v>43212</v>
      </c>
      <c r="G391" s="293">
        <v>43231</v>
      </c>
      <c r="H391" s="293" t="s">
        <v>368</v>
      </c>
      <c r="I391" s="294" t="s">
        <v>169</v>
      </c>
      <c r="J391" s="307" t="s">
        <v>174</v>
      </c>
      <c r="K391" s="326" t="s">
        <v>847</v>
      </c>
      <c r="L391" s="1237">
        <v>23173</v>
      </c>
      <c r="M391" s="326"/>
      <c r="N391" s="294"/>
      <c r="O391" s="354">
        <v>80</v>
      </c>
      <c r="P391" s="1938">
        <v>3</v>
      </c>
      <c r="Q391" s="1126">
        <f>O391*P391</f>
        <v>240</v>
      </c>
      <c r="R391" s="1714"/>
      <c r="S391" s="355"/>
      <c r="T391" s="355"/>
      <c r="U391" s="355"/>
      <c r="V391" s="355"/>
      <c r="W391" s="355"/>
      <c r="X391" s="1137">
        <f>Q391*50/100</f>
        <v>120</v>
      </c>
      <c r="Y391" s="1126">
        <f>X391</f>
        <v>120</v>
      </c>
      <c r="Z391" s="1124"/>
      <c r="AA391" s="1124"/>
      <c r="AB391" s="1124"/>
      <c r="AC391" s="1124"/>
      <c r="AD391" s="1124"/>
      <c r="AE391" s="1124"/>
      <c r="AF391" s="1124"/>
      <c r="AG391" s="1124"/>
    </row>
    <row r="392" spans="1:33" ht="39.950000000000003" customHeight="1" outlineLevel="1">
      <c r="A392" s="1750"/>
      <c r="B392" s="1740"/>
      <c r="C392" s="1740"/>
      <c r="D392" s="2050"/>
      <c r="E392" s="1750"/>
      <c r="F392" s="2048"/>
      <c r="G392" s="2048"/>
      <c r="H392" s="2048"/>
      <c r="I392" s="1750"/>
      <c r="J392" s="2049"/>
      <c r="K392" s="1997"/>
      <c r="L392" s="1748" t="s">
        <v>1053</v>
      </c>
      <c r="M392" s="1997"/>
      <c r="N392" s="1750"/>
      <c r="O392" s="1998"/>
      <c r="P392" s="2051"/>
      <c r="Q392" s="2024">
        <f>SUBTOTAL(9,Q391:Q391)</f>
        <v>240</v>
      </c>
      <c r="R392" s="1714"/>
      <c r="S392" s="1126"/>
      <c r="T392" s="1126"/>
      <c r="U392" s="1126"/>
      <c r="V392" s="1126"/>
      <c r="W392" s="1126"/>
      <c r="X392" s="1672"/>
      <c r="Y392" s="1126"/>
      <c r="Z392" s="1124"/>
      <c r="AA392" s="1124"/>
      <c r="AB392" s="1124"/>
      <c r="AC392" s="1124"/>
      <c r="AD392" s="1124"/>
      <c r="AE392" s="1124"/>
      <c r="AF392" s="1124"/>
      <c r="AG392" s="1124"/>
    </row>
    <row r="393" spans="1:33" ht="39.950000000000003" customHeight="1">
      <c r="A393" s="1750"/>
      <c r="B393" s="1740"/>
      <c r="C393" s="1740"/>
      <c r="D393" s="2050"/>
      <c r="E393" s="1750"/>
      <c r="F393" s="2048"/>
      <c r="G393" s="2048"/>
      <c r="H393" s="2048"/>
      <c r="I393" s="1750"/>
      <c r="J393" s="2049"/>
      <c r="K393" s="1997"/>
      <c r="L393" s="2028" t="s">
        <v>1052</v>
      </c>
      <c r="M393" s="1997"/>
      <c r="N393" s="1750"/>
      <c r="O393" s="1998"/>
      <c r="P393" s="2051"/>
      <c r="Q393" s="2024">
        <f>SUBTOTAL(9,Q389:Q391)</f>
        <v>22240</v>
      </c>
      <c r="R393" s="1714"/>
      <c r="S393" s="1126"/>
      <c r="T393" s="1126"/>
      <c r="U393" s="1126"/>
      <c r="V393" s="1126"/>
      <c r="W393" s="1126"/>
      <c r="X393" s="1672"/>
      <c r="Y393" s="1126"/>
      <c r="Z393" s="1124"/>
      <c r="AA393" s="1124"/>
      <c r="AB393" s="1124"/>
      <c r="AC393" s="1124"/>
      <c r="AD393" s="1124"/>
      <c r="AE393" s="1124"/>
      <c r="AF393" s="1124"/>
      <c r="AG393" s="1124"/>
    </row>
    <row r="394" spans="1:33" ht="37.5" customHeight="1">
      <c r="A394" s="1248" t="s">
        <v>240</v>
      </c>
      <c r="B394" s="274"/>
      <c r="C394" s="278"/>
      <c r="D394" s="1270"/>
      <c r="E394" s="1270"/>
      <c r="F394" s="1270"/>
      <c r="G394" s="1270"/>
      <c r="H394" s="1270"/>
      <c r="I394" s="1270"/>
      <c r="J394" s="273"/>
      <c r="K394" s="1248"/>
      <c r="L394" s="1269"/>
      <c r="M394" s="1270"/>
      <c r="N394" s="1268"/>
      <c r="O394" s="1271"/>
      <c r="P394" s="1948"/>
      <c r="Q394" s="1338">
        <f>Q395+Q400+Q407+Q413+Q417</f>
        <v>88428.093760000003</v>
      </c>
      <c r="R394" s="1981">
        <v>88428.09</v>
      </c>
      <c r="S394" s="1272">
        <f t="shared" ref="S394:AG394" si="60">S395+S400+S407+S413+S417</f>
        <v>0</v>
      </c>
      <c r="T394" s="1272">
        <f t="shared" si="60"/>
        <v>0</v>
      </c>
      <c r="U394" s="1272">
        <f t="shared" si="60"/>
        <v>55613.093760000011</v>
      </c>
      <c r="V394" s="1272">
        <f t="shared" si="60"/>
        <v>32815</v>
      </c>
      <c r="W394" s="1272">
        <f t="shared" si="60"/>
        <v>0</v>
      </c>
      <c r="X394" s="1272">
        <f t="shared" si="60"/>
        <v>0</v>
      </c>
      <c r="Y394" s="1272">
        <f t="shared" si="60"/>
        <v>0</v>
      </c>
      <c r="Z394" s="276">
        <f t="shared" si="60"/>
        <v>0</v>
      </c>
      <c r="AA394" s="276">
        <f t="shared" si="60"/>
        <v>0</v>
      </c>
      <c r="AB394" s="276">
        <f t="shared" si="60"/>
        <v>0</v>
      </c>
      <c r="AC394" s="276">
        <f t="shared" si="60"/>
        <v>0</v>
      </c>
      <c r="AD394" s="276">
        <f t="shared" si="60"/>
        <v>0</v>
      </c>
      <c r="AE394" s="276">
        <f t="shared" si="60"/>
        <v>0</v>
      </c>
      <c r="AF394" s="276">
        <f t="shared" si="60"/>
        <v>0</v>
      </c>
      <c r="AG394" s="1272">
        <f t="shared" si="60"/>
        <v>88428.093760000003</v>
      </c>
    </row>
    <row r="395" spans="1:33" ht="25.5" customHeight="1">
      <c r="A395" s="1275">
        <v>231</v>
      </c>
      <c r="B395" s="359" t="s">
        <v>511</v>
      </c>
      <c r="C395" s="1021"/>
      <c r="D395" s="1280"/>
      <c r="E395" s="1280"/>
      <c r="F395" s="1280"/>
      <c r="G395" s="1280"/>
      <c r="H395" s="1280"/>
      <c r="I395" s="1280"/>
      <c r="J395" s="283"/>
      <c r="K395" s="1278"/>
      <c r="L395" s="1279"/>
      <c r="M395" s="1280"/>
      <c r="N395" s="1277"/>
      <c r="O395" s="1281"/>
      <c r="P395" s="1949"/>
      <c r="Q395" s="1343">
        <f>+Q398</f>
        <v>45378.293760000008</v>
      </c>
      <c r="R395" s="1716"/>
      <c r="S395" s="1282">
        <f t="shared" ref="S395:AF395" si="61">SUM(S396:S397)</f>
        <v>0</v>
      </c>
      <c r="T395" s="1282">
        <f t="shared" si="61"/>
        <v>0</v>
      </c>
      <c r="U395" s="1282">
        <f t="shared" si="61"/>
        <v>45378.293760000008</v>
      </c>
      <c r="V395" s="1282">
        <f t="shared" si="61"/>
        <v>0</v>
      </c>
      <c r="W395" s="1282">
        <f t="shared" si="61"/>
        <v>0</v>
      </c>
      <c r="X395" s="1282">
        <f t="shared" si="61"/>
        <v>0</v>
      </c>
      <c r="Y395" s="1282">
        <f t="shared" si="61"/>
        <v>0</v>
      </c>
      <c r="Z395" s="546">
        <f t="shared" si="61"/>
        <v>0</v>
      </c>
      <c r="AA395" s="546">
        <f t="shared" si="61"/>
        <v>0</v>
      </c>
      <c r="AB395" s="546">
        <f t="shared" si="61"/>
        <v>0</v>
      </c>
      <c r="AC395" s="546">
        <f t="shared" si="61"/>
        <v>0</v>
      </c>
      <c r="AD395" s="546">
        <f t="shared" si="61"/>
        <v>0</v>
      </c>
      <c r="AE395" s="546">
        <f t="shared" si="61"/>
        <v>0</v>
      </c>
      <c r="AF395" s="546">
        <f t="shared" si="61"/>
        <v>0</v>
      </c>
      <c r="AG395" s="1282">
        <f>SUM(S395:AF395)</f>
        <v>45378.293760000008</v>
      </c>
    </row>
    <row r="396" spans="1:33" ht="31.5" outlineLevel="2">
      <c r="A396" s="294">
        <v>2311</v>
      </c>
      <c r="B396" s="481" t="s">
        <v>512</v>
      </c>
      <c r="C396" s="1084" t="s">
        <v>513</v>
      </c>
      <c r="D396" s="506" t="s">
        <v>514</v>
      </c>
      <c r="E396" s="506">
        <v>150</v>
      </c>
      <c r="F396" s="1368">
        <v>43193</v>
      </c>
      <c r="G396" s="1368">
        <f>E396+F396</f>
        <v>43343</v>
      </c>
      <c r="H396" s="506" t="s">
        <v>515</v>
      </c>
      <c r="I396" s="506" t="s">
        <v>516</v>
      </c>
      <c r="J396" s="482" t="s">
        <v>517</v>
      </c>
      <c r="K396" s="1369" t="s">
        <v>518</v>
      </c>
      <c r="L396" s="1244">
        <v>23173</v>
      </c>
      <c r="M396" s="506"/>
      <c r="N396" s="506" t="s">
        <v>366</v>
      </c>
      <c r="O396" s="517">
        <v>0.12</v>
      </c>
      <c r="P396" s="1958">
        <v>52301.824000000001</v>
      </c>
      <c r="Q396" s="1706">
        <f>O396*P396</f>
        <v>6276.2188799999994</v>
      </c>
      <c r="R396" s="1733"/>
      <c r="S396" s="487"/>
      <c r="T396" s="488"/>
      <c r="U396" s="487">
        <f>Q396</f>
        <v>6276.2188799999994</v>
      </c>
      <c r="V396" s="487"/>
      <c r="W396" s="487"/>
      <c r="X396" s="1138"/>
      <c r="Y396" s="1156"/>
      <c r="Z396" s="1124"/>
      <c r="AA396" s="1124"/>
      <c r="AB396" s="1124"/>
      <c r="AC396" s="1124"/>
      <c r="AD396" s="1124"/>
      <c r="AE396" s="1124"/>
      <c r="AF396" s="1124"/>
      <c r="AG396" s="1156"/>
    </row>
    <row r="397" spans="1:33" ht="31.5" outlineLevel="2">
      <c r="A397" s="294">
        <v>2312</v>
      </c>
      <c r="B397" s="481" t="s">
        <v>519</v>
      </c>
      <c r="C397" s="1084" t="s">
        <v>520</v>
      </c>
      <c r="D397" s="506" t="s">
        <v>514</v>
      </c>
      <c r="E397" s="506">
        <v>150</v>
      </c>
      <c r="F397" s="1368">
        <v>43193</v>
      </c>
      <c r="G397" s="1368">
        <f>E397+F397</f>
        <v>43343</v>
      </c>
      <c r="H397" s="506" t="s">
        <v>515</v>
      </c>
      <c r="I397" s="506" t="s">
        <v>516</v>
      </c>
      <c r="J397" s="482" t="s">
        <v>517</v>
      </c>
      <c r="K397" s="1369" t="s">
        <v>521</v>
      </c>
      <c r="L397" s="1244">
        <v>23173</v>
      </c>
      <c r="M397" s="1370"/>
      <c r="N397" s="506" t="s">
        <v>366</v>
      </c>
      <c r="O397" s="1371">
        <v>0.11</v>
      </c>
      <c r="P397" s="1959">
        <v>355473.40800000005</v>
      </c>
      <c r="Q397" s="1706">
        <f>O397*P397</f>
        <v>39102.074880000007</v>
      </c>
      <c r="R397" s="1733"/>
      <c r="S397" s="487"/>
      <c r="T397" s="488"/>
      <c r="U397" s="487">
        <f>Q397</f>
        <v>39102.074880000007</v>
      </c>
      <c r="V397" s="487"/>
      <c r="W397" s="487"/>
      <c r="X397" s="1138"/>
      <c r="Y397" s="1156"/>
      <c r="Z397" s="1124"/>
      <c r="AA397" s="1124"/>
      <c r="AB397" s="1124"/>
      <c r="AC397" s="1124"/>
      <c r="AD397" s="1124"/>
      <c r="AE397" s="1124"/>
      <c r="AF397" s="1124"/>
      <c r="AG397" s="1156"/>
    </row>
    <row r="398" spans="1:33" ht="39.950000000000003" customHeight="1" outlineLevel="1">
      <c r="A398" s="1750"/>
      <c r="B398" s="1753"/>
      <c r="C398" s="2054"/>
      <c r="D398" s="2055"/>
      <c r="E398" s="2055"/>
      <c r="F398" s="2056"/>
      <c r="G398" s="2056"/>
      <c r="H398" s="2055"/>
      <c r="I398" s="2055"/>
      <c r="J398" s="2057"/>
      <c r="K398" s="1907"/>
      <c r="L398" s="2058" t="s">
        <v>1053</v>
      </c>
      <c r="M398" s="2059"/>
      <c r="N398" s="2055"/>
      <c r="O398" s="2060"/>
      <c r="P398" s="2061"/>
      <c r="Q398" s="2062">
        <f>SUBTOTAL(9,Q396:Q397)</f>
        <v>45378.293760000008</v>
      </c>
      <c r="R398" s="1733"/>
      <c r="S398" s="1156"/>
      <c r="T398" s="1568"/>
      <c r="U398" s="1156"/>
      <c r="V398" s="1156"/>
      <c r="W398" s="1156"/>
      <c r="X398" s="2052"/>
      <c r="Y398" s="1156"/>
      <c r="Z398" s="1124"/>
      <c r="AA398" s="1124"/>
      <c r="AB398" s="1124"/>
      <c r="AC398" s="1124"/>
      <c r="AD398" s="1124"/>
      <c r="AE398" s="1124"/>
      <c r="AF398" s="1124"/>
      <c r="AG398" s="1156"/>
    </row>
    <row r="399" spans="1:33" ht="39.950000000000003" customHeight="1">
      <c r="A399" s="1750"/>
      <c r="B399" s="1753"/>
      <c r="C399" s="2054"/>
      <c r="D399" s="2055"/>
      <c r="E399" s="2055"/>
      <c r="F399" s="2056"/>
      <c r="G399" s="2056"/>
      <c r="H399" s="2055"/>
      <c r="I399" s="2055"/>
      <c r="J399" s="2057"/>
      <c r="K399" s="1907"/>
      <c r="L399" s="2028" t="s">
        <v>1052</v>
      </c>
      <c r="M399" s="2059"/>
      <c r="N399" s="2055"/>
      <c r="O399" s="2060"/>
      <c r="P399" s="2061"/>
      <c r="Q399" s="2062">
        <f>SUBTOTAL(9,Q396:Q397)</f>
        <v>45378.293760000008</v>
      </c>
      <c r="R399" s="1733"/>
      <c r="S399" s="1156"/>
      <c r="T399" s="1568"/>
      <c r="U399" s="1156"/>
      <c r="V399" s="1156"/>
      <c r="W399" s="1156"/>
      <c r="X399" s="2052"/>
      <c r="Y399" s="1156"/>
      <c r="Z399" s="1124"/>
      <c r="AA399" s="1124"/>
      <c r="AB399" s="1124"/>
      <c r="AC399" s="1124"/>
      <c r="AD399" s="1124"/>
      <c r="AE399" s="1124"/>
      <c r="AF399" s="1124"/>
      <c r="AG399" s="1156"/>
    </row>
    <row r="400" spans="1:33" ht="31.5">
      <c r="A400" s="1275">
        <v>232</v>
      </c>
      <c r="B400" s="981" t="s">
        <v>522</v>
      </c>
      <c r="C400" s="1507"/>
      <c r="D400" s="1280"/>
      <c r="E400" s="1277"/>
      <c r="F400" s="1277"/>
      <c r="G400" s="1277"/>
      <c r="H400" s="1280"/>
      <c r="I400" s="1277"/>
      <c r="J400" s="283"/>
      <c r="K400" s="1278"/>
      <c r="L400" s="1279"/>
      <c r="M400" s="1280"/>
      <c r="N400" s="1277"/>
      <c r="O400" s="1281"/>
      <c r="P400" s="1949"/>
      <c r="Q400" s="1343">
        <f>+Q402+Q405</f>
        <v>32475</v>
      </c>
      <c r="R400" s="1716"/>
      <c r="S400" s="1282">
        <f t="shared" ref="S400:AF400" si="62">SUM(S401:S404)</f>
        <v>0</v>
      </c>
      <c r="T400" s="1282">
        <f t="shared" si="62"/>
        <v>0</v>
      </c>
      <c r="U400" s="1282">
        <f t="shared" si="62"/>
        <v>0</v>
      </c>
      <c r="V400" s="1282">
        <f t="shared" si="62"/>
        <v>32475</v>
      </c>
      <c r="W400" s="1282">
        <f t="shared" si="62"/>
        <v>0</v>
      </c>
      <c r="X400" s="1282">
        <f t="shared" si="62"/>
        <v>0</v>
      </c>
      <c r="Y400" s="1282">
        <f t="shared" si="62"/>
        <v>0</v>
      </c>
      <c r="Z400" s="546">
        <f t="shared" si="62"/>
        <v>0</v>
      </c>
      <c r="AA400" s="546">
        <f t="shared" si="62"/>
        <v>0</v>
      </c>
      <c r="AB400" s="546">
        <f t="shared" si="62"/>
        <v>0</v>
      </c>
      <c r="AC400" s="546">
        <f t="shared" si="62"/>
        <v>0</v>
      </c>
      <c r="AD400" s="546">
        <f t="shared" si="62"/>
        <v>0</v>
      </c>
      <c r="AE400" s="546">
        <f t="shared" si="62"/>
        <v>0</v>
      </c>
      <c r="AF400" s="546">
        <f t="shared" si="62"/>
        <v>0</v>
      </c>
      <c r="AG400" s="1282">
        <f>SUM(S400:AF400)</f>
        <v>32475</v>
      </c>
    </row>
    <row r="401" spans="1:33" ht="69" customHeight="1" outlineLevel="2">
      <c r="A401" s="294">
        <v>2322</v>
      </c>
      <c r="B401" s="481" t="s">
        <v>523</v>
      </c>
      <c r="C401" s="1084" t="s">
        <v>531</v>
      </c>
      <c r="D401" s="506" t="s">
        <v>514</v>
      </c>
      <c r="E401" s="506">
        <v>56</v>
      </c>
      <c r="F401" s="1368">
        <v>43210</v>
      </c>
      <c r="G401" s="1368">
        <f>E401+F401</f>
        <v>43266</v>
      </c>
      <c r="H401" s="506" t="s">
        <v>529</v>
      </c>
      <c r="I401" s="506" t="s">
        <v>526</v>
      </c>
      <c r="J401" s="482" t="s">
        <v>532</v>
      </c>
      <c r="K401" s="1373" t="s">
        <v>533</v>
      </c>
      <c r="L401" s="1244">
        <v>23172</v>
      </c>
      <c r="M401" s="1370"/>
      <c r="N401" s="506" t="s">
        <v>366</v>
      </c>
      <c r="O401" s="1371">
        <v>787</v>
      </c>
      <c r="P401" s="1960">
        <v>1</v>
      </c>
      <c r="Q401" s="1706">
        <f>O401*P401</f>
        <v>787</v>
      </c>
      <c r="R401" s="1733"/>
      <c r="S401" s="487"/>
      <c r="T401" s="487"/>
      <c r="U401" s="487"/>
      <c r="V401" s="488">
        <f>Q401</f>
        <v>787</v>
      </c>
      <c r="W401" s="487"/>
      <c r="X401" s="1138"/>
      <c r="Y401" s="1156"/>
      <c r="Z401" s="1124"/>
      <c r="AA401" s="1124"/>
      <c r="AB401" s="1124"/>
      <c r="AC401" s="1124"/>
      <c r="AD401" s="1124"/>
      <c r="AE401" s="1124"/>
      <c r="AF401" s="1124"/>
      <c r="AG401" s="1156"/>
    </row>
    <row r="402" spans="1:33" ht="39.950000000000003" customHeight="1" outlineLevel="1">
      <c r="A402" s="1745"/>
      <c r="B402" s="2063"/>
      <c r="C402" s="1754"/>
      <c r="D402" s="1755"/>
      <c r="E402" s="1755"/>
      <c r="F402" s="1756"/>
      <c r="G402" s="1756"/>
      <c r="H402" s="1755"/>
      <c r="I402" s="1755"/>
      <c r="J402" s="1757"/>
      <c r="K402" s="2064"/>
      <c r="L402" s="2058" t="s">
        <v>1059</v>
      </c>
      <c r="M402" s="2065"/>
      <c r="N402" s="1755"/>
      <c r="O402" s="2066"/>
      <c r="P402" s="2067"/>
      <c r="Q402" s="2062">
        <f>SUBTOTAL(9,Q401:Q401)</f>
        <v>787</v>
      </c>
      <c r="R402" s="1733"/>
      <c r="S402" s="1156"/>
      <c r="T402" s="1156"/>
      <c r="U402" s="1156"/>
      <c r="V402" s="1568"/>
      <c r="W402" s="1156"/>
      <c r="X402" s="2052"/>
      <c r="Y402" s="1156"/>
      <c r="Z402" s="1124"/>
      <c r="AA402" s="1124"/>
      <c r="AB402" s="1124"/>
      <c r="AC402" s="1124"/>
      <c r="AD402" s="1124"/>
      <c r="AE402" s="1124"/>
      <c r="AF402" s="1124"/>
      <c r="AG402" s="1156"/>
    </row>
    <row r="403" spans="1:33" ht="47.25" outlineLevel="2">
      <c r="A403" s="294">
        <v>2321</v>
      </c>
      <c r="B403" s="481" t="s">
        <v>523</v>
      </c>
      <c r="C403" s="1084" t="s">
        <v>524</v>
      </c>
      <c r="D403" s="506" t="s">
        <v>514</v>
      </c>
      <c r="E403" s="506">
        <v>56</v>
      </c>
      <c r="F403" s="1368">
        <v>43210</v>
      </c>
      <c r="G403" s="1368">
        <f>E403+F403</f>
        <v>43266</v>
      </c>
      <c r="H403" s="506" t="s">
        <v>525</v>
      </c>
      <c r="I403" s="506" t="s">
        <v>526</v>
      </c>
      <c r="J403" s="482" t="s">
        <v>526</v>
      </c>
      <c r="K403" s="1373" t="s">
        <v>527</v>
      </c>
      <c r="L403" s="1244">
        <v>23174</v>
      </c>
      <c r="M403" s="1370"/>
      <c r="N403" s="506" t="s">
        <v>366</v>
      </c>
      <c r="O403" s="1371">
        <v>2104</v>
      </c>
      <c r="P403" s="1960">
        <v>12</v>
      </c>
      <c r="Q403" s="1706">
        <f>O403*P403</f>
        <v>25248</v>
      </c>
      <c r="R403" s="1733"/>
      <c r="S403" s="487"/>
      <c r="T403" s="487"/>
      <c r="U403" s="487"/>
      <c r="V403" s="488">
        <f>Q403</f>
        <v>25248</v>
      </c>
      <c r="W403" s="487"/>
      <c r="X403" s="1138"/>
      <c r="Y403" s="1156"/>
      <c r="Z403" s="1124"/>
      <c r="AA403" s="1124"/>
      <c r="AB403" s="1124"/>
      <c r="AC403" s="1124"/>
      <c r="AD403" s="1124"/>
      <c r="AE403" s="1124"/>
      <c r="AF403" s="1124"/>
      <c r="AG403" s="1156"/>
    </row>
    <row r="404" spans="1:33" ht="47.25" outlineLevel="2">
      <c r="A404" s="294">
        <v>2322</v>
      </c>
      <c r="B404" s="481" t="s">
        <v>523</v>
      </c>
      <c r="C404" s="1084" t="s">
        <v>528</v>
      </c>
      <c r="D404" s="506" t="s">
        <v>514</v>
      </c>
      <c r="E404" s="506">
        <v>56</v>
      </c>
      <c r="F404" s="1368">
        <v>43210</v>
      </c>
      <c r="G404" s="1368">
        <f>E404+F404</f>
        <v>43266</v>
      </c>
      <c r="H404" s="506" t="s">
        <v>529</v>
      </c>
      <c r="I404" s="506" t="s">
        <v>526</v>
      </c>
      <c r="J404" s="482" t="s">
        <v>295</v>
      </c>
      <c r="K404" s="1373" t="s">
        <v>530</v>
      </c>
      <c r="L404" s="1244">
        <v>23174</v>
      </c>
      <c r="M404" s="1370"/>
      <c r="N404" s="506" t="s">
        <v>366</v>
      </c>
      <c r="O404" s="1371">
        <v>6440</v>
      </c>
      <c r="P404" s="1960">
        <v>1</v>
      </c>
      <c r="Q404" s="1706">
        <f>O404*P404</f>
        <v>6440</v>
      </c>
      <c r="R404" s="1733"/>
      <c r="S404" s="487"/>
      <c r="T404" s="487"/>
      <c r="U404" s="487"/>
      <c r="V404" s="488">
        <f>Q404</f>
        <v>6440</v>
      </c>
      <c r="W404" s="487"/>
      <c r="X404" s="1138"/>
      <c r="Y404" s="1156"/>
      <c r="Z404" s="1124"/>
      <c r="AA404" s="1124"/>
      <c r="AB404" s="1124"/>
      <c r="AC404" s="1124"/>
      <c r="AD404" s="1124"/>
      <c r="AE404" s="1124"/>
      <c r="AF404" s="1124"/>
      <c r="AG404" s="1156"/>
    </row>
    <row r="405" spans="1:33" ht="39.950000000000003" customHeight="1" outlineLevel="1">
      <c r="A405" s="1745"/>
      <c r="B405" s="2063"/>
      <c r="C405" s="1754"/>
      <c r="D405" s="1755"/>
      <c r="E405" s="1755"/>
      <c r="F405" s="1756"/>
      <c r="G405" s="1756"/>
      <c r="H405" s="1755"/>
      <c r="I405" s="1755"/>
      <c r="J405" s="1757"/>
      <c r="K405" s="2064"/>
      <c r="L405" s="2058" t="s">
        <v>1051</v>
      </c>
      <c r="M405" s="2065"/>
      <c r="N405" s="1755"/>
      <c r="O405" s="2066"/>
      <c r="P405" s="2067"/>
      <c r="Q405" s="2062">
        <f>SUBTOTAL(9,Q403:Q404)</f>
        <v>31688</v>
      </c>
      <c r="R405" s="1733"/>
      <c r="S405" s="1156"/>
      <c r="T405" s="1156"/>
      <c r="U405" s="1156"/>
      <c r="V405" s="1568"/>
      <c r="W405" s="1156"/>
      <c r="X405" s="2052"/>
      <c r="Y405" s="1156"/>
      <c r="Z405" s="1124"/>
      <c r="AA405" s="1124"/>
      <c r="AB405" s="1124"/>
      <c r="AC405" s="1124"/>
      <c r="AD405" s="1124"/>
      <c r="AE405" s="1124"/>
      <c r="AF405" s="1124"/>
      <c r="AG405" s="1156"/>
    </row>
    <row r="406" spans="1:33" ht="39.950000000000003" customHeight="1">
      <c r="A406" s="1745"/>
      <c r="B406" s="2063"/>
      <c r="C406" s="1754"/>
      <c r="D406" s="1755"/>
      <c r="E406" s="1755"/>
      <c r="F406" s="1756"/>
      <c r="G406" s="1756"/>
      <c r="H406" s="1755"/>
      <c r="I406" s="1755"/>
      <c r="J406" s="1757"/>
      <c r="K406" s="2064"/>
      <c r="L406" s="2028" t="s">
        <v>1052</v>
      </c>
      <c r="M406" s="2065"/>
      <c r="N406" s="1755"/>
      <c r="O406" s="2066"/>
      <c r="P406" s="2067"/>
      <c r="Q406" s="2062">
        <f>SUBTOTAL(9,Q401:Q404)</f>
        <v>32475</v>
      </c>
      <c r="R406" s="1733"/>
      <c r="S406" s="1156"/>
      <c r="T406" s="1156"/>
      <c r="U406" s="1156"/>
      <c r="V406" s="1568"/>
      <c r="W406" s="1156"/>
      <c r="X406" s="2052"/>
      <c r="Y406" s="1156"/>
      <c r="Z406" s="1124"/>
      <c r="AA406" s="1124"/>
      <c r="AB406" s="1124"/>
      <c r="AC406" s="1124"/>
      <c r="AD406" s="1124"/>
      <c r="AE406" s="1124"/>
      <c r="AF406" s="1124"/>
      <c r="AG406" s="1156"/>
    </row>
    <row r="407" spans="1:33" ht="25.5" customHeight="1">
      <c r="A407" s="1275">
        <v>233</v>
      </c>
      <c r="B407" s="981" t="s">
        <v>534</v>
      </c>
      <c r="C407" s="1507"/>
      <c r="D407" s="1277"/>
      <c r="E407" s="1277"/>
      <c r="F407" s="1277"/>
      <c r="G407" s="1277"/>
      <c r="H407" s="1280"/>
      <c r="I407" s="1277"/>
      <c r="J407" s="283"/>
      <c r="K407" s="1278"/>
      <c r="L407" s="1279"/>
      <c r="M407" s="1280"/>
      <c r="N407" s="1277"/>
      <c r="O407" s="1281"/>
      <c r="P407" s="1949"/>
      <c r="Q407" s="1343">
        <f>+Q409+Q411</f>
        <v>3957.8</v>
      </c>
      <c r="R407" s="1716"/>
      <c r="S407" s="1282">
        <f t="shared" ref="S407:AF407" si="63">SUM(S408:S410)</f>
        <v>0</v>
      </c>
      <c r="T407" s="1282">
        <f t="shared" si="63"/>
        <v>0</v>
      </c>
      <c r="U407" s="1282">
        <f t="shared" si="63"/>
        <v>3957.8</v>
      </c>
      <c r="V407" s="1282">
        <f t="shared" si="63"/>
        <v>0</v>
      </c>
      <c r="W407" s="1282">
        <f t="shared" si="63"/>
        <v>0</v>
      </c>
      <c r="X407" s="1282">
        <f t="shared" si="63"/>
        <v>0</v>
      </c>
      <c r="Y407" s="1282">
        <f t="shared" si="63"/>
        <v>0</v>
      </c>
      <c r="Z407" s="546">
        <f t="shared" si="63"/>
        <v>0</v>
      </c>
      <c r="AA407" s="546">
        <f t="shared" si="63"/>
        <v>0</v>
      </c>
      <c r="AB407" s="546">
        <f t="shared" si="63"/>
        <v>0</v>
      </c>
      <c r="AC407" s="546">
        <f t="shared" si="63"/>
        <v>0</v>
      </c>
      <c r="AD407" s="546">
        <f t="shared" si="63"/>
        <v>0</v>
      </c>
      <c r="AE407" s="546">
        <f t="shared" si="63"/>
        <v>0</v>
      </c>
      <c r="AF407" s="546">
        <f t="shared" si="63"/>
        <v>0</v>
      </c>
      <c r="AG407" s="1282">
        <f>SUM(S407:AF407)</f>
        <v>3957.8</v>
      </c>
    </row>
    <row r="408" spans="1:33" ht="25.5" customHeight="1" outlineLevel="2">
      <c r="A408" s="294">
        <v>2332</v>
      </c>
      <c r="B408" s="481" t="s">
        <v>535</v>
      </c>
      <c r="C408" s="1084" t="s">
        <v>536</v>
      </c>
      <c r="D408" s="506" t="s">
        <v>514</v>
      </c>
      <c r="E408" s="506">
        <v>4</v>
      </c>
      <c r="F408" s="1374">
        <v>43234</v>
      </c>
      <c r="G408" s="1368">
        <f>E408+F408</f>
        <v>43238</v>
      </c>
      <c r="H408" s="506" t="s">
        <v>525</v>
      </c>
      <c r="I408" s="1375" t="s">
        <v>526</v>
      </c>
      <c r="J408" s="502" t="s">
        <v>537</v>
      </c>
      <c r="K408" s="1373" t="s">
        <v>538</v>
      </c>
      <c r="L408" s="1244">
        <v>23172</v>
      </c>
      <c r="M408" s="1370"/>
      <c r="N408" s="506" t="s">
        <v>366</v>
      </c>
      <c r="O408" s="1371">
        <v>480</v>
      </c>
      <c r="P408" s="1960">
        <v>1</v>
      </c>
      <c r="Q408" s="1706">
        <f>O408*P408</f>
        <v>480</v>
      </c>
      <c r="R408" s="1733"/>
      <c r="S408" s="487"/>
      <c r="T408" s="487"/>
      <c r="U408" s="488">
        <f>Q408</f>
        <v>480</v>
      </c>
      <c r="V408" s="487"/>
      <c r="W408" s="487"/>
      <c r="X408" s="1138"/>
      <c r="Y408" s="1156"/>
      <c r="Z408" s="1156"/>
      <c r="AA408" s="1156"/>
      <c r="AB408" s="1156"/>
      <c r="AC408" s="1156"/>
      <c r="AD408" s="1156"/>
      <c r="AE408" s="1156"/>
      <c r="AF408" s="1156"/>
      <c r="AG408" s="1156"/>
    </row>
    <row r="409" spans="1:33" ht="39.950000000000003" customHeight="1" outlineLevel="1">
      <c r="A409" s="1574"/>
      <c r="B409" s="2063"/>
      <c r="C409" s="1754"/>
      <c r="D409" s="1758"/>
      <c r="E409" s="1758"/>
      <c r="F409" s="2068"/>
      <c r="G409" s="2069"/>
      <c r="H409" s="1758"/>
      <c r="I409" s="2064"/>
      <c r="J409" s="2070"/>
      <c r="K409" s="2064"/>
      <c r="L409" s="2058" t="s">
        <v>1059</v>
      </c>
      <c r="M409" s="1758"/>
      <c r="N409" s="1758"/>
      <c r="O409" s="2071"/>
      <c r="P409" s="2072"/>
      <c r="Q409" s="1909">
        <f>SUBTOTAL(9,Q408:Q408)</f>
        <v>480</v>
      </c>
      <c r="R409" s="1733"/>
      <c r="S409" s="1156"/>
      <c r="T409" s="1156"/>
      <c r="U409" s="1568"/>
      <c r="V409" s="1156"/>
      <c r="W409" s="1156"/>
      <c r="X409" s="2052"/>
      <c r="Y409" s="1156"/>
      <c r="Z409" s="1156"/>
      <c r="AA409" s="1156"/>
      <c r="AB409" s="1156"/>
      <c r="AC409" s="1156"/>
      <c r="AD409" s="1156"/>
      <c r="AE409" s="1156"/>
      <c r="AF409" s="1156"/>
      <c r="AG409" s="1156"/>
    </row>
    <row r="410" spans="1:33" ht="26.25" customHeight="1" outlineLevel="2">
      <c r="A410" s="294">
        <v>2331</v>
      </c>
      <c r="B410" s="481" t="s">
        <v>535</v>
      </c>
      <c r="C410" s="1084" t="s">
        <v>536</v>
      </c>
      <c r="D410" s="506" t="s">
        <v>514</v>
      </c>
      <c r="E410" s="506">
        <v>6</v>
      </c>
      <c r="F410" s="1374">
        <v>43233</v>
      </c>
      <c r="G410" s="1368">
        <f>E410+F410</f>
        <v>43239</v>
      </c>
      <c r="H410" s="506" t="s">
        <v>525</v>
      </c>
      <c r="I410" s="1375" t="s">
        <v>526</v>
      </c>
      <c r="J410" s="502" t="s">
        <v>537</v>
      </c>
      <c r="K410" s="1373" t="s">
        <v>527</v>
      </c>
      <c r="L410" s="1244">
        <v>23174</v>
      </c>
      <c r="M410" s="1376"/>
      <c r="N410" s="506" t="s">
        <v>366</v>
      </c>
      <c r="O410" s="1371">
        <v>3477.8</v>
      </c>
      <c r="P410" s="1960">
        <v>1</v>
      </c>
      <c r="Q410" s="1706">
        <f>O410*P410</f>
        <v>3477.8</v>
      </c>
      <c r="R410" s="1733"/>
      <c r="S410" s="487"/>
      <c r="T410" s="487"/>
      <c r="U410" s="488">
        <f>Q410</f>
        <v>3477.8</v>
      </c>
      <c r="V410" s="487"/>
      <c r="W410" s="487"/>
      <c r="X410" s="1138"/>
      <c r="Y410" s="1156"/>
      <c r="Z410" s="1156"/>
      <c r="AA410" s="1156"/>
      <c r="AB410" s="1156"/>
      <c r="AC410" s="1156"/>
      <c r="AD410" s="1156"/>
      <c r="AE410" s="1156"/>
      <c r="AF410" s="1156"/>
      <c r="AG410" s="1156"/>
    </row>
    <row r="411" spans="1:33" ht="39.950000000000003" customHeight="1" outlineLevel="1">
      <c r="A411" s="1574"/>
      <c r="B411" s="2063"/>
      <c r="C411" s="1754"/>
      <c r="D411" s="1758"/>
      <c r="E411" s="1758"/>
      <c r="F411" s="2068"/>
      <c r="G411" s="2069"/>
      <c r="H411" s="1758"/>
      <c r="I411" s="2064"/>
      <c r="J411" s="2070"/>
      <c r="K411" s="2064"/>
      <c r="L411" s="2058" t="s">
        <v>1051</v>
      </c>
      <c r="M411" s="2073"/>
      <c r="N411" s="1758"/>
      <c r="O411" s="2071"/>
      <c r="P411" s="2072"/>
      <c r="Q411" s="1909">
        <f>SUBTOTAL(9,Q410:Q410)</f>
        <v>3477.8</v>
      </c>
      <c r="R411" s="1733"/>
      <c r="S411" s="1156"/>
      <c r="T411" s="1156"/>
      <c r="U411" s="1568"/>
      <c r="V411" s="1156"/>
      <c r="W411" s="1156"/>
      <c r="X411" s="2052"/>
      <c r="Y411" s="1156"/>
      <c r="Z411" s="1156"/>
      <c r="AA411" s="1156"/>
      <c r="AB411" s="1156"/>
      <c r="AC411" s="1156"/>
      <c r="AD411" s="1156"/>
      <c r="AE411" s="1156"/>
      <c r="AF411" s="1156"/>
      <c r="AG411" s="1156"/>
    </row>
    <row r="412" spans="1:33" ht="39.950000000000003" customHeight="1">
      <c r="A412" s="1574"/>
      <c r="B412" s="2063"/>
      <c r="C412" s="1754"/>
      <c r="D412" s="1758"/>
      <c r="E412" s="1758"/>
      <c r="F412" s="2068"/>
      <c r="G412" s="2069"/>
      <c r="H412" s="1758"/>
      <c r="I412" s="2064"/>
      <c r="J412" s="2070"/>
      <c r="K412" s="2064"/>
      <c r="L412" s="2028" t="s">
        <v>1052</v>
      </c>
      <c r="M412" s="2073"/>
      <c r="N412" s="1758"/>
      <c r="O412" s="2071"/>
      <c r="P412" s="2072"/>
      <c r="Q412" s="1909">
        <f>SUBTOTAL(9,Q408:Q410)</f>
        <v>3957.8</v>
      </c>
      <c r="R412" s="1733"/>
      <c r="S412" s="1156"/>
      <c r="T412" s="1156"/>
      <c r="U412" s="1568"/>
      <c r="V412" s="1156"/>
      <c r="W412" s="1156"/>
      <c r="X412" s="2052"/>
      <c r="Y412" s="1156"/>
      <c r="Z412" s="1156"/>
      <c r="AA412" s="1156"/>
      <c r="AB412" s="1156"/>
      <c r="AC412" s="1156"/>
      <c r="AD412" s="1156"/>
      <c r="AE412" s="1156"/>
      <c r="AF412" s="1156"/>
      <c r="AG412" s="1156"/>
    </row>
    <row r="413" spans="1:33" ht="35.25" customHeight="1">
      <c r="A413" s="1275">
        <v>234</v>
      </c>
      <c r="B413" s="981" t="s">
        <v>539</v>
      </c>
      <c r="C413" s="1507"/>
      <c r="D413" s="1280"/>
      <c r="E413" s="1277"/>
      <c r="F413" s="1277"/>
      <c r="G413" s="1277"/>
      <c r="H413" s="1280"/>
      <c r="I413" s="1277"/>
      <c r="J413" s="283"/>
      <c r="K413" s="1278"/>
      <c r="L413" s="1279"/>
      <c r="M413" s="1280"/>
      <c r="N413" s="1277"/>
      <c r="O413" s="1281"/>
      <c r="P413" s="1949"/>
      <c r="Q413" s="1343">
        <f>+Q415</f>
        <v>6277</v>
      </c>
      <c r="R413" s="1716"/>
      <c r="S413" s="1282">
        <f t="shared" ref="S413:AF413" si="64">SUM(S414)</f>
        <v>0</v>
      </c>
      <c r="T413" s="1282">
        <f t="shared" si="64"/>
        <v>0</v>
      </c>
      <c r="U413" s="1282">
        <f t="shared" si="64"/>
        <v>6277</v>
      </c>
      <c r="V413" s="1282">
        <f t="shared" si="64"/>
        <v>0</v>
      </c>
      <c r="W413" s="1282">
        <f t="shared" si="64"/>
        <v>0</v>
      </c>
      <c r="X413" s="1282">
        <f t="shared" si="64"/>
        <v>0</v>
      </c>
      <c r="Y413" s="1282">
        <f t="shared" si="64"/>
        <v>0</v>
      </c>
      <c r="Z413" s="546">
        <f t="shared" si="64"/>
        <v>0</v>
      </c>
      <c r="AA413" s="546">
        <f t="shared" si="64"/>
        <v>0</v>
      </c>
      <c r="AB413" s="546">
        <f t="shared" si="64"/>
        <v>0</v>
      </c>
      <c r="AC413" s="546">
        <f t="shared" si="64"/>
        <v>0</v>
      </c>
      <c r="AD413" s="546">
        <f t="shared" si="64"/>
        <v>0</v>
      </c>
      <c r="AE413" s="546">
        <f t="shared" si="64"/>
        <v>0</v>
      </c>
      <c r="AF413" s="546">
        <f t="shared" si="64"/>
        <v>0</v>
      </c>
      <c r="AG413" s="1282">
        <f>SUM(S413:AF413)</f>
        <v>6277</v>
      </c>
    </row>
    <row r="414" spans="1:33" ht="47.25" outlineLevel="2">
      <c r="A414" s="328">
        <v>2341</v>
      </c>
      <c r="B414" s="497" t="s">
        <v>540</v>
      </c>
      <c r="C414" s="1085" t="s">
        <v>541</v>
      </c>
      <c r="D414" s="1377" t="s">
        <v>542</v>
      </c>
      <c r="E414" s="1375">
        <v>135</v>
      </c>
      <c r="F414" s="1374">
        <v>43193</v>
      </c>
      <c r="G414" s="1374">
        <f>E414+F414</f>
        <v>43328</v>
      </c>
      <c r="H414" s="1375" t="s">
        <v>525</v>
      </c>
      <c r="I414" s="1375" t="s">
        <v>169</v>
      </c>
      <c r="J414" s="482" t="s">
        <v>526</v>
      </c>
      <c r="K414" s="1373" t="s">
        <v>543</v>
      </c>
      <c r="L414" s="1244">
        <v>2463</v>
      </c>
      <c r="M414" s="1370"/>
      <c r="N414" s="506" t="s">
        <v>366</v>
      </c>
      <c r="O414" s="1371">
        <v>6277</v>
      </c>
      <c r="P414" s="1961">
        <v>1</v>
      </c>
      <c r="Q414" s="1706">
        <f>O414*P414</f>
        <v>6277</v>
      </c>
      <c r="R414" s="1733"/>
      <c r="S414" s="487"/>
      <c r="T414" s="488"/>
      <c r="U414" s="487">
        <f>Q414</f>
        <v>6277</v>
      </c>
      <c r="V414" s="487"/>
      <c r="W414" s="487"/>
      <c r="X414" s="1138"/>
      <c r="Y414" s="1156"/>
      <c r="Z414" s="1156"/>
      <c r="AA414" s="1156"/>
      <c r="AB414" s="1156"/>
      <c r="AC414" s="1156"/>
      <c r="AD414" s="1156"/>
      <c r="AE414" s="1156"/>
      <c r="AF414" s="1156"/>
      <c r="AG414" s="1156"/>
    </row>
    <row r="415" spans="1:33" ht="39.950000000000003" customHeight="1" outlineLevel="1">
      <c r="A415" s="2074"/>
      <c r="B415" s="2075"/>
      <c r="C415" s="2076"/>
      <c r="D415" s="2077"/>
      <c r="E415" s="2078"/>
      <c r="F415" s="2079"/>
      <c r="G415" s="2079"/>
      <c r="H415" s="2078"/>
      <c r="I415" s="2078"/>
      <c r="J415" s="1753"/>
      <c r="K415" s="2078"/>
      <c r="L415" s="2058" t="s">
        <v>1061</v>
      </c>
      <c r="M415" s="1907"/>
      <c r="N415" s="1907"/>
      <c r="O415" s="1909"/>
      <c r="P415" s="1999"/>
      <c r="Q415" s="1909">
        <f>SUBTOTAL(9,Q414:Q414)</f>
        <v>6277</v>
      </c>
      <c r="R415" s="1733"/>
      <c r="S415" s="1156"/>
      <c r="T415" s="1568"/>
      <c r="U415" s="1156"/>
      <c r="V415" s="1156"/>
      <c r="W415" s="1156"/>
      <c r="X415" s="2052"/>
      <c r="Y415" s="1156"/>
      <c r="Z415" s="1156"/>
      <c r="AA415" s="1156"/>
      <c r="AB415" s="1156"/>
      <c r="AC415" s="1156"/>
      <c r="AD415" s="1156"/>
      <c r="AE415" s="1156"/>
      <c r="AF415" s="1156"/>
      <c r="AG415" s="1156"/>
    </row>
    <row r="416" spans="1:33" ht="39.950000000000003" customHeight="1">
      <c r="A416" s="2074"/>
      <c r="B416" s="2075"/>
      <c r="C416" s="2076"/>
      <c r="D416" s="2077"/>
      <c r="E416" s="2078"/>
      <c r="F416" s="2079"/>
      <c r="G416" s="2079"/>
      <c r="H416" s="2078"/>
      <c r="I416" s="2078"/>
      <c r="J416" s="1753"/>
      <c r="K416" s="2078"/>
      <c r="L416" s="2028" t="s">
        <v>1052</v>
      </c>
      <c r="M416" s="1907"/>
      <c r="N416" s="1907"/>
      <c r="O416" s="1909"/>
      <c r="P416" s="1999"/>
      <c r="Q416" s="1909">
        <f>SUBTOTAL(9,Q414:Q414)</f>
        <v>6277</v>
      </c>
      <c r="R416" s="1733"/>
      <c r="S416" s="1156"/>
      <c r="T416" s="1568"/>
      <c r="U416" s="1156"/>
      <c r="V416" s="1156"/>
      <c r="W416" s="1156"/>
      <c r="X416" s="2052"/>
      <c r="Y416" s="1156"/>
      <c r="Z416" s="1156"/>
      <c r="AA416" s="1156"/>
      <c r="AB416" s="1156"/>
      <c r="AC416" s="1156"/>
      <c r="AD416" s="1156"/>
      <c r="AE416" s="1156"/>
      <c r="AF416" s="1156"/>
      <c r="AG416" s="1156"/>
    </row>
    <row r="417" spans="1:33" ht="24.75" customHeight="1">
      <c r="A417" s="1275">
        <v>235</v>
      </c>
      <c r="B417" s="981" t="s">
        <v>544</v>
      </c>
      <c r="C417" s="1508"/>
      <c r="D417" s="822"/>
      <c r="E417" s="1275"/>
      <c r="F417" s="511"/>
      <c r="G417" s="511"/>
      <c r="H417" s="511"/>
      <c r="I417" s="512"/>
      <c r="J417" s="1490"/>
      <c r="K417" s="1001"/>
      <c r="L417" s="1243"/>
      <c r="M417" s="1001"/>
      <c r="N417" s="512"/>
      <c r="O417" s="1002"/>
      <c r="P417" s="1962"/>
      <c r="Q417" s="1707">
        <f>+Q419</f>
        <v>340</v>
      </c>
      <c r="R417" s="1716"/>
      <c r="S417" s="1109">
        <f t="shared" ref="S417:AF417" si="65">SUM(S418)</f>
        <v>0</v>
      </c>
      <c r="T417" s="1109">
        <f t="shared" si="65"/>
        <v>0</v>
      </c>
      <c r="U417" s="1109">
        <f t="shared" si="65"/>
        <v>0</v>
      </c>
      <c r="V417" s="1109">
        <f t="shared" si="65"/>
        <v>340</v>
      </c>
      <c r="W417" s="1109">
        <f t="shared" si="65"/>
        <v>0</v>
      </c>
      <c r="X417" s="1109">
        <f t="shared" si="65"/>
        <v>0</v>
      </c>
      <c r="Y417" s="1109">
        <f t="shared" si="65"/>
        <v>0</v>
      </c>
      <c r="Z417" s="1109">
        <f t="shared" si="65"/>
        <v>0</v>
      </c>
      <c r="AA417" s="1109">
        <f t="shared" si="65"/>
        <v>0</v>
      </c>
      <c r="AB417" s="1109">
        <f t="shared" si="65"/>
        <v>0</v>
      </c>
      <c r="AC417" s="1109">
        <f t="shared" si="65"/>
        <v>0</v>
      </c>
      <c r="AD417" s="1109">
        <f t="shared" si="65"/>
        <v>0</v>
      </c>
      <c r="AE417" s="1109">
        <f t="shared" si="65"/>
        <v>0</v>
      </c>
      <c r="AF417" s="1109">
        <f t="shared" si="65"/>
        <v>0</v>
      </c>
      <c r="AG417" s="1282">
        <f>SUM(S417:AF417)</f>
        <v>340</v>
      </c>
    </row>
    <row r="418" spans="1:33" ht="31.5" outlineLevel="2">
      <c r="A418" s="294">
        <v>2351</v>
      </c>
      <c r="B418" s="497" t="s">
        <v>545</v>
      </c>
      <c r="C418" s="1085" t="s">
        <v>546</v>
      </c>
      <c r="D418" s="506" t="s">
        <v>514</v>
      </c>
      <c r="E418" s="506">
        <v>70</v>
      </c>
      <c r="F418" s="1374">
        <v>43248</v>
      </c>
      <c r="G418" s="1374">
        <f>E418+F418</f>
        <v>43318</v>
      </c>
      <c r="H418" s="506" t="s">
        <v>529</v>
      </c>
      <c r="I418" s="1375" t="s">
        <v>169</v>
      </c>
      <c r="J418" s="482" t="s">
        <v>526</v>
      </c>
      <c r="K418" s="1369" t="s">
        <v>547</v>
      </c>
      <c r="L418" s="1244">
        <v>2464</v>
      </c>
      <c r="M418" s="326"/>
      <c r="N418" s="506" t="s">
        <v>366</v>
      </c>
      <c r="O418" s="517">
        <v>340</v>
      </c>
      <c r="P418" s="1960">
        <v>1</v>
      </c>
      <c r="Q418" s="1706">
        <f>O418*P418</f>
        <v>340</v>
      </c>
      <c r="R418" s="1715"/>
      <c r="S418" s="487"/>
      <c r="T418" s="487"/>
      <c r="U418" s="488"/>
      <c r="V418" s="487">
        <f>Q418</f>
        <v>340</v>
      </c>
      <c r="W418" s="487"/>
      <c r="X418" s="1138"/>
      <c r="Y418" s="1156"/>
      <c r="Z418" s="1156"/>
      <c r="AA418" s="1156"/>
      <c r="AB418" s="1156"/>
      <c r="AC418" s="1156"/>
      <c r="AD418" s="1156"/>
      <c r="AE418" s="1156"/>
      <c r="AF418" s="1156"/>
      <c r="AG418" s="1156"/>
    </row>
    <row r="419" spans="1:33" ht="39.950000000000003" customHeight="1" outlineLevel="1">
      <c r="A419" s="1997"/>
      <c r="B419" s="2075"/>
      <c r="C419" s="2076"/>
      <c r="D419" s="1907"/>
      <c r="E419" s="1907"/>
      <c r="F419" s="2079"/>
      <c r="G419" s="2079"/>
      <c r="H419" s="1907"/>
      <c r="I419" s="2078"/>
      <c r="J419" s="1753"/>
      <c r="K419" s="1907"/>
      <c r="L419" s="2058" t="s">
        <v>1063</v>
      </c>
      <c r="M419" s="1997"/>
      <c r="N419" s="1907"/>
      <c r="O419" s="1909"/>
      <c r="P419" s="1940"/>
      <c r="Q419" s="1909">
        <f>SUBTOTAL(9,Q418:Q418)</f>
        <v>340</v>
      </c>
      <c r="R419" s="1715"/>
      <c r="S419" s="1156"/>
      <c r="T419" s="1156"/>
      <c r="U419" s="1568"/>
      <c r="V419" s="1156"/>
      <c r="W419" s="1156"/>
      <c r="X419" s="2052"/>
      <c r="Y419" s="1156"/>
      <c r="Z419" s="1156"/>
      <c r="AA419" s="1156"/>
      <c r="AB419" s="1156"/>
      <c r="AC419" s="1156"/>
      <c r="AD419" s="1156"/>
      <c r="AE419" s="1156"/>
      <c r="AF419" s="1156"/>
      <c r="AG419" s="1156"/>
    </row>
    <row r="420" spans="1:33" ht="39.950000000000003" customHeight="1">
      <c r="A420" s="1997"/>
      <c r="B420" s="2075"/>
      <c r="C420" s="2076"/>
      <c r="D420" s="1907"/>
      <c r="E420" s="1907"/>
      <c r="F420" s="2079"/>
      <c r="G420" s="2079"/>
      <c r="H420" s="1907"/>
      <c r="I420" s="2078"/>
      <c r="J420" s="1753"/>
      <c r="K420" s="1907"/>
      <c r="L420" s="2028" t="s">
        <v>1052</v>
      </c>
      <c r="M420" s="1997"/>
      <c r="N420" s="1907"/>
      <c r="O420" s="1909"/>
      <c r="P420" s="1940"/>
      <c r="Q420" s="1909">
        <f>SUBTOTAL(9,Q418:Q418)</f>
        <v>340</v>
      </c>
      <c r="R420" s="1715"/>
      <c r="S420" s="1156"/>
      <c r="T420" s="1156"/>
      <c r="U420" s="1568"/>
      <c r="V420" s="1156"/>
      <c r="W420" s="1156"/>
      <c r="X420" s="2052"/>
      <c r="Y420" s="1156"/>
      <c r="Z420" s="1156"/>
      <c r="AA420" s="1156"/>
      <c r="AB420" s="1156"/>
      <c r="AC420" s="1156"/>
      <c r="AD420" s="1156"/>
      <c r="AE420" s="1156"/>
      <c r="AF420" s="1156"/>
      <c r="AG420" s="1156"/>
    </row>
    <row r="421" spans="1:33" ht="33.75" customHeight="1">
      <c r="A421" s="1815" t="s">
        <v>241</v>
      </c>
      <c r="B421" s="836"/>
      <c r="C421" s="1816"/>
      <c r="D421" s="1818"/>
      <c r="E421" s="1818"/>
      <c r="F421" s="1818"/>
      <c r="G421" s="1818"/>
      <c r="H421" s="1818"/>
      <c r="I421" s="1818"/>
      <c r="J421" s="835"/>
      <c r="K421" s="1815"/>
      <c r="L421" s="1817"/>
      <c r="M421" s="1818"/>
      <c r="N421" s="1819"/>
      <c r="O421" s="1820"/>
      <c r="P421" s="1947"/>
      <c r="Q421" s="1832">
        <f>Q422+Q458</f>
        <v>129720.37666666665</v>
      </c>
      <c r="R421" s="1977">
        <f>+R422+R458</f>
        <v>129240.07333333333</v>
      </c>
      <c r="S421" s="1821">
        <f t="shared" ref="S421:AG421" si="66">S422+S458</f>
        <v>0</v>
      </c>
      <c r="T421" s="1821">
        <f t="shared" si="66"/>
        <v>0</v>
      </c>
      <c r="U421" s="1821">
        <f t="shared" si="66"/>
        <v>4660.333333333333</v>
      </c>
      <c r="V421" s="1821">
        <f t="shared" si="66"/>
        <v>5782.6666666666661</v>
      </c>
      <c r="W421" s="1821">
        <f t="shared" si="66"/>
        <v>57471.000000000007</v>
      </c>
      <c r="X421" s="1821">
        <f t="shared" si="66"/>
        <v>39139.71</v>
      </c>
      <c r="Y421" s="1821">
        <f t="shared" si="66"/>
        <v>0</v>
      </c>
      <c r="Z421" s="838">
        <f t="shared" si="66"/>
        <v>22666.666666666668</v>
      </c>
      <c r="AA421" s="838">
        <f t="shared" si="66"/>
        <v>0</v>
      </c>
      <c r="AB421" s="838">
        <f t="shared" si="66"/>
        <v>0</v>
      </c>
      <c r="AC421" s="838">
        <f t="shared" si="66"/>
        <v>0</v>
      </c>
      <c r="AD421" s="838">
        <f t="shared" si="66"/>
        <v>0</v>
      </c>
      <c r="AE421" s="838">
        <f t="shared" si="66"/>
        <v>0</v>
      </c>
      <c r="AF421" s="838">
        <f t="shared" si="66"/>
        <v>0</v>
      </c>
      <c r="AG421" s="1821">
        <f t="shared" si="66"/>
        <v>129720.37666666668</v>
      </c>
    </row>
    <row r="422" spans="1:33" ht="24.75" customHeight="1">
      <c r="A422" s="1248" t="s">
        <v>242</v>
      </c>
      <c r="B422" s="274"/>
      <c r="C422" s="278"/>
      <c r="D422" s="1270"/>
      <c r="E422" s="1270"/>
      <c r="F422" s="1270"/>
      <c r="G422" s="1270"/>
      <c r="H422" s="1270"/>
      <c r="I422" s="1270"/>
      <c r="J422" s="273"/>
      <c r="K422" s="1248"/>
      <c r="L422" s="1269"/>
      <c r="M422" s="1270"/>
      <c r="N422" s="1268"/>
      <c r="O422" s="1271"/>
      <c r="P422" s="1948"/>
      <c r="Q422" s="1338">
        <f>+Q423</f>
        <v>29720.666666666664</v>
      </c>
      <c r="R422" s="1713">
        <f>+'[3]Compil Costing PPA 3 millions'!F11</f>
        <v>29240.073333333334</v>
      </c>
      <c r="S422" s="1272">
        <f t="shared" ref="S422:AF422" si="67">+S423</f>
        <v>0</v>
      </c>
      <c r="T422" s="1272">
        <f t="shared" si="67"/>
        <v>0</v>
      </c>
      <c r="U422" s="1272">
        <f t="shared" si="67"/>
        <v>4660.333333333333</v>
      </c>
      <c r="V422" s="1272">
        <f t="shared" si="67"/>
        <v>5782.6666666666661</v>
      </c>
      <c r="W422" s="1272">
        <f t="shared" si="67"/>
        <v>6433.333333333333</v>
      </c>
      <c r="X422" s="1272">
        <f t="shared" si="67"/>
        <v>12844.333333333334</v>
      </c>
      <c r="Y422" s="1272">
        <f t="shared" si="67"/>
        <v>0</v>
      </c>
      <c r="Z422" s="276">
        <f t="shared" si="67"/>
        <v>0</v>
      </c>
      <c r="AA422" s="276">
        <f t="shared" si="67"/>
        <v>0</v>
      </c>
      <c r="AB422" s="276">
        <f t="shared" si="67"/>
        <v>0</v>
      </c>
      <c r="AC422" s="276">
        <f t="shared" si="67"/>
        <v>0</v>
      </c>
      <c r="AD422" s="276">
        <f t="shared" si="67"/>
        <v>0</v>
      </c>
      <c r="AE422" s="276">
        <f t="shared" si="67"/>
        <v>0</v>
      </c>
      <c r="AF422" s="276">
        <f t="shared" si="67"/>
        <v>0</v>
      </c>
      <c r="AG422" s="1272">
        <f>+AG423</f>
        <v>29720.666666666664</v>
      </c>
    </row>
    <row r="423" spans="1:33" s="1725" customFormat="1" ht="31.5">
      <c r="A423" s="1790">
        <v>311</v>
      </c>
      <c r="B423" s="1791" t="s">
        <v>243</v>
      </c>
      <c r="C423" s="1792"/>
      <c r="D423" s="1793"/>
      <c r="E423" s="1794"/>
      <c r="F423" s="1794"/>
      <c r="G423" s="1794"/>
      <c r="H423" s="1793"/>
      <c r="I423" s="1794"/>
      <c r="J423" s="1795"/>
      <c r="K423" s="1796"/>
      <c r="L423" s="1797"/>
      <c r="M423" s="1793"/>
      <c r="N423" s="1794"/>
      <c r="O423" s="1885"/>
      <c r="P423" s="1963"/>
      <c r="Q423" s="1994">
        <f>+Q425+Q428+Q438+Q456</f>
        <v>29720.666666666664</v>
      </c>
      <c r="R423" s="1982"/>
      <c r="S423" s="1798">
        <f t="shared" ref="S423:AF423" si="68">SUM(S424:S455)</f>
        <v>0</v>
      </c>
      <c r="T423" s="1798">
        <f t="shared" si="68"/>
        <v>0</v>
      </c>
      <c r="U423" s="1798">
        <f t="shared" si="68"/>
        <v>4660.333333333333</v>
      </c>
      <c r="V423" s="1798">
        <f t="shared" si="68"/>
        <v>5782.6666666666661</v>
      </c>
      <c r="W423" s="1798">
        <f t="shared" si="68"/>
        <v>6433.333333333333</v>
      </c>
      <c r="X423" s="1798">
        <f t="shared" si="68"/>
        <v>12844.333333333334</v>
      </c>
      <c r="Y423" s="1798">
        <f t="shared" si="68"/>
        <v>0</v>
      </c>
      <c r="Z423" s="1800">
        <f t="shared" si="68"/>
        <v>0</v>
      </c>
      <c r="AA423" s="1800">
        <f t="shared" si="68"/>
        <v>0</v>
      </c>
      <c r="AB423" s="1800">
        <f t="shared" si="68"/>
        <v>0</v>
      </c>
      <c r="AC423" s="1800">
        <f t="shared" si="68"/>
        <v>0</v>
      </c>
      <c r="AD423" s="1800">
        <f t="shared" si="68"/>
        <v>0</v>
      </c>
      <c r="AE423" s="1800">
        <f t="shared" si="68"/>
        <v>0</v>
      </c>
      <c r="AF423" s="1800">
        <f t="shared" si="68"/>
        <v>0</v>
      </c>
      <c r="AG423" s="1887">
        <f>SUM(S423:AF423)</f>
        <v>29720.666666666664</v>
      </c>
    </row>
    <row r="424" spans="1:33" s="1725" customFormat="1" ht="57" customHeight="1" outlineLevel="2">
      <c r="A424" s="2092">
        <v>3111</v>
      </c>
      <c r="B424" s="2093" t="s">
        <v>244</v>
      </c>
      <c r="C424" s="2094" t="s">
        <v>245</v>
      </c>
      <c r="D424" s="2095" t="s">
        <v>246</v>
      </c>
      <c r="E424" s="2088">
        <f>70+55</f>
        <v>125</v>
      </c>
      <c r="F424" s="2096">
        <v>43193</v>
      </c>
      <c r="G424" s="2096">
        <f>+F424+E424</f>
        <v>43318</v>
      </c>
      <c r="H424" s="2088" t="s">
        <v>247</v>
      </c>
      <c r="I424" s="2088" t="s">
        <v>176</v>
      </c>
      <c r="J424" s="2089" t="s">
        <v>169</v>
      </c>
      <c r="K424" s="2045" t="s">
        <v>248</v>
      </c>
      <c r="L424" s="2090">
        <v>2313</v>
      </c>
      <c r="M424" s="2045"/>
      <c r="N424" s="2092">
        <v>2313</v>
      </c>
      <c r="O424" s="2097">
        <v>10643</v>
      </c>
      <c r="P424" s="2098">
        <v>1</v>
      </c>
      <c r="Q424" s="2099">
        <f>O424*P424</f>
        <v>10643</v>
      </c>
      <c r="R424" s="1983"/>
      <c r="S424" s="1806"/>
      <c r="T424" s="1806"/>
      <c r="U424" s="1806"/>
      <c r="V424" s="1806"/>
      <c r="W424" s="1806"/>
      <c r="X424" s="1807">
        <f>Q424</f>
        <v>10643</v>
      </c>
      <c r="Y424" s="1808"/>
      <c r="Z424" s="1735"/>
      <c r="AA424" s="1735"/>
      <c r="AB424" s="1735"/>
      <c r="AC424" s="1735"/>
      <c r="AD424" s="1735"/>
      <c r="AE424" s="1735"/>
      <c r="AF424" s="1735"/>
      <c r="AG424" s="1808"/>
    </row>
    <row r="425" spans="1:33" s="1725" customFormat="1" ht="39.950000000000003" customHeight="1" outlineLevel="1">
      <c r="A425" s="2127"/>
      <c r="B425" s="2128"/>
      <c r="C425" s="2129"/>
      <c r="D425" s="2127"/>
      <c r="E425" s="2127"/>
      <c r="F425" s="2130"/>
      <c r="G425" s="2130"/>
      <c r="H425" s="2127"/>
      <c r="I425" s="2127"/>
      <c r="J425" s="2131"/>
      <c r="K425" s="2132"/>
      <c r="L425" s="2133" t="s">
        <v>1055</v>
      </c>
      <c r="M425" s="2132"/>
      <c r="N425" s="2127"/>
      <c r="O425" s="2015"/>
      <c r="P425" s="2127"/>
      <c r="Q425" s="2134">
        <f>SUBTOTAL(9,Q424:Q424)</f>
        <v>10643</v>
      </c>
      <c r="R425" s="1983"/>
      <c r="S425" s="2084"/>
      <c r="T425" s="2084"/>
      <c r="U425" s="2084"/>
      <c r="V425" s="2084"/>
      <c r="W425" s="2084"/>
      <c r="X425" s="2085"/>
      <c r="Y425" s="1808"/>
      <c r="Z425" s="1735"/>
      <c r="AA425" s="1735"/>
      <c r="AB425" s="1735"/>
      <c r="AC425" s="1735"/>
      <c r="AD425" s="1735"/>
      <c r="AE425" s="1735"/>
      <c r="AF425" s="1735"/>
      <c r="AG425" s="1808"/>
    </row>
    <row r="426" spans="1:33" s="1725" customFormat="1" ht="57" customHeight="1" outlineLevel="2">
      <c r="A426" s="2104">
        <v>3112</v>
      </c>
      <c r="B426" s="2105" t="s">
        <v>249</v>
      </c>
      <c r="C426" s="2106" t="s">
        <v>250</v>
      </c>
      <c r="D426" s="2107"/>
      <c r="E426" s="1888">
        <v>45</v>
      </c>
      <c r="F426" s="2108">
        <v>43193</v>
      </c>
      <c r="G426" s="2108">
        <f>F426+E426</f>
        <v>43238</v>
      </c>
      <c r="H426" s="1888" t="s">
        <v>247</v>
      </c>
      <c r="I426" s="1888" t="s">
        <v>169</v>
      </c>
      <c r="J426" s="2109" t="s">
        <v>176</v>
      </c>
      <c r="K426" s="2110" t="s">
        <v>258</v>
      </c>
      <c r="L426" s="2111">
        <v>2463</v>
      </c>
      <c r="M426" s="2112"/>
      <c r="N426" s="2104">
        <v>23173</v>
      </c>
      <c r="O426" s="2113">
        <v>616.66666666666663</v>
      </c>
      <c r="P426" s="2114">
        <v>1</v>
      </c>
      <c r="Q426" s="2115">
        <f>O426*P426</f>
        <v>616.66666666666663</v>
      </c>
      <c r="R426" s="1983"/>
      <c r="S426" s="1806"/>
      <c r="T426" s="1806"/>
      <c r="U426" s="1806">
        <f t="shared" ref="U426:U434" si="69">Q426</f>
        <v>616.66666666666663</v>
      </c>
      <c r="V426" s="1806"/>
      <c r="W426" s="1806"/>
      <c r="X426" s="1807"/>
      <c r="Y426" s="1808"/>
      <c r="Z426" s="1735"/>
      <c r="AA426" s="1735"/>
      <c r="AB426" s="1735"/>
      <c r="AC426" s="1735"/>
      <c r="AD426" s="1735"/>
      <c r="AE426" s="1735"/>
      <c r="AF426" s="1735"/>
      <c r="AG426" s="1808"/>
    </row>
    <row r="427" spans="1:33" s="1725" customFormat="1" ht="57" customHeight="1" outlineLevel="2">
      <c r="A427" s="2092">
        <v>3112</v>
      </c>
      <c r="B427" s="2093" t="s">
        <v>249</v>
      </c>
      <c r="C427" s="2094" t="s">
        <v>250</v>
      </c>
      <c r="D427" s="2095"/>
      <c r="E427" s="2088">
        <v>45</v>
      </c>
      <c r="F427" s="2096">
        <v>43193</v>
      </c>
      <c r="G427" s="2096">
        <f>F427+E427</f>
        <v>43238</v>
      </c>
      <c r="H427" s="2088" t="s">
        <v>247</v>
      </c>
      <c r="I427" s="2088" t="s">
        <v>169</v>
      </c>
      <c r="J427" s="2089" t="s">
        <v>176</v>
      </c>
      <c r="K427" s="2100" t="s">
        <v>259</v>
      </c>
      <c r="L427" s="2090">
        <v>2463</v>
      </c>
      <c r="M427" s="2045"/>
      <c r="N427" s="2088">
        <v>23173</v>
      </c>
      <c r="O427" s="2101">
        <v>2000</v>
      </c>
      <c r="P427" s="2102">
        <v>1</v>
      </c>
      <c r="Q427" s="2099">
        <f>O427*P427</f>
        <v>2000</v>
      </c>
      <c r="R427" s="1983"/>
      <c r="S427" s="1806"/>
      <c r="T427" s="1806"/>
      <c r="U427" s="1806">
        <f t="shared" si="69"/>
        <v>2000</v>
      </c>
      <c r="V427" s="1806"/>
      <c r="W427" s="1806"/>
      <c r="X427" s="1807"/>
      <c r="Y427" s="1808"/>
      <c r="Z427" s="1735"/>
      <c r="AA427" s="1735"/>
      <c r="AB427" s="1735"/>
      <c r="AC427" s="1735"/>
      <c r="AD427" s="1735"/>
      <c r="AE427" s="1735"/>
      <c r="AF427" s="1735"/>
      <c r="AG427" s="1808"/>
    </row>
    <row r="428" spans="1:33" s="1725" customFormat="1" ht="39.950000000000003" customHeight="1" outlineLevel="1">
      <c r="A428" s="2127"/>
      <c r="B428" s="2128"/>
      <c r="C428" s="2129"/>
      <c r="D428" s="2127"/>
      <c r="E428" s="2127"/>
      <c r="F428" s="2130"/>
      <c r="G428" s="2130"/>
      <c r="H428" s="2127"/>
      <c r="I428" s="2127"/>
      <c r="J428" s="2131"/>
      <c r="K428" s="1997"/>
      <c r="L428" s="2133" t="s">
        <v>1061</v>
      </c>
      <c r="M428" s="2132"/>
      <c r="N428" s="2127"/>
      <c r="O428" s="1998"/>
      <c r="P428" s="2135"/>
      <c r="Q428" s="2134">
        <f>SUBTOTAL(9,Q426:Q427)</f>
        <v>2616.6666666666665</v>
      </c>
      <c r="R428" s="1983"/>
      <c r="S428" s="2084"/>
      <c r="T428" s="2084"/>
      <c r="U428" s="2084"/>
      <c r="V428" s="2084"/>
      <c r="W428" s="2084"/>
      <c r="X428" s="2085"/>
      <c r="Y428" s="1808"/>
      <c r="Z428" s="1735"/>
      <c r="AA428" s="1735"/>
      <c r="AB428" s="1735"/>
      <c r="AC428" s="1735"/>
      <c r="AD428" s="1735"/>
      <c r="AE428" s="1735"/>
      <c r="AF428" s="1735"/>
      <c r="AG428" s="1808"/>
    </row>
    <row r="429" spans="1:33" s="1725" customFormat="1" ht="57" customHeight="1" outlineLevel="2">
      <c r="A429" s="2104">
        <v>3112</v>
      </c>
      <c r="B429" s="2105" t="s">
        <v>249</v>
      </c>
      <c r="C429" s="2106" t="s">
        <v>250</v>
      </c>
      <c r="D429" s="2107"/>
      <c r="E429" s="1888">
        <v>45</v>
      </c>
      <c r="F429" s="2108">
        <v>43193</v>
      </c>
      <c r="G429" s="2108">
        <f t="shared" ref="G429:G437" si="70">F429+E429</f>
        <v>43238</v>
      </c>
      <c r="H429" s="1888" t="s">
        <v>247</v>
      </c>
      <c r="I429" s="1888" t="s">
        <v>169</v>
      </c>
      <c r="J429" s="2109" t="s">
        <v>176</v>
      </c>
      <c r="K429" s="2110" t="s">
        <v>256</v>
      </c>
      <c r="L429" s="2111">
        <v>23173</v>
      </c>
      <c r="M429" s="2112"/>
      <c r="N429" s="1888">
        <v>23173</v>
      </c>
      <c r="O429" s="2116">
        <v>255</v>
      </c>
      <c r="P429" s="2114">
        <v>1</v>
      </c>
      <c r="Q429" s="2115">
        <f t="shared" ref="Q429:Q437" si="71">O429*P429</f>
        <v>255</v>
      </c>
      <c r="R429" s="1983"/>
      <c r="S429" s="1806"/>
      <c r="T429" s="1806"/>
      <c r="U429" s="1806">
        <f t="shared" si="69"/>
        <v>255</v>
      </c>
      <c r="V429" s="1806"/>
      <c r="W429" s="1806"/>
      <c r="X429" s="1807"/>
      <c r="Y429" s="1808"/>
      <c r="Z429" s="1735"/>
      <c r="AA429" s="1735"/>
      <c r="AB429" s="1735"/>
      <c r="AC429" s="1735"/>
      <c r="AD429" s="1735"/>
      <c r="AE429" s="1735"/>
      <c r="AF429" s="1735"/>
      <c r="AG429" s="1808"/>
    </row>
    <row r="430" spans="1:33" s="1725" customFormat="1" ht="57" customHeight="1" outlineLevel="2">
      <c r="A430" s="1839">
        <v>3112</v>
      </c>
      <c r="B430" s="1889" t="s">
        <v>249</v>
      </c>
      <c r="C430" s="1840" t="s">
        <v>250</v>
      </c>
      <c r="D430" s="1890"/>
      <c r="E430" s="1802">
        <v>10</v>
      </c>
      <c r="F430" s="1801">
        <v>43238</v>
      </c>
      <c r="G430" s="1801">
        <f t="shared" si="70"/>
        <v>43248</v>
      </c>
      <c r="H430" s="1802" t="s">
        <v>247</v>
      </c>
      <c r="I430" s="1802" t="s">
        <v>169</v>
      </c>
      <c r="J430" s="1803" t="s">
        <v>176</v>
      </c>
      <c r="K430" s="1725" t="s">
        <v>257</v>
      </c>
      <c r="L430" s="1804">
        <v>23173</v>
      </c>
      <c r="M430" s="1544"/>
      <c r="N430" s="1802">
        <v>23172</v>
      </c>
      <c r="O430" s="1841">
        <v>66.666666666666671</v>
      </c>
      <c r="P430" s="1951">
        <v>5</v>
      </c>
      <c r="Q430" s="1721">
        <f t="shared" si="71"/>
        <v>333.33333333333337</v>
      </c>
      <c r="R430" s="1983"/>
      <c r="S430" s="1806"/>
      <c r="T430" s="1806"/>
      <c r="U430" s="1806">
        <f t="shared" si="69"/>
        <v>333.33333333333337</v>
      </c>
      <c r="V430" s="1806"/>
      <c r="W430" s="1806"/>
      <c r="X430" s="1807"/>
      <c r="Y430" s="1808"/>
      <c r="Z430" s="1735"/>
      <c r="AA430" s="1735"/>
      <c r="AB430" s="1735"/>
      <c r="AC430" s="1735"/>
      <c r="AD430" s="1735"/>
      <c r="AE430" s="1735"/>
      <c r="AF430" s="1735"/>
      <c r="AG430" s="1808"/>
    </row>
    <row r="431" spans="1:33" s="1725" customFormat="1" ht="57" customHeight="1" outlineLevel="2">
      <c r="A431" s="1839">
        <v>3114</v>
      </c>
      <c r="B431" s="1889" t="s">
        <v>266</v>
      </c>
      <c r="C431" s="1840" t="s">
        <v>267</v>
      </c>
      <c r="D431" s="1890"/>
      <c r="E431" s="1802">
        <v>45</v>
      </c>
      <c r="F431" s="1801">
        <v>43193</v>
      </c>
      <c r="G431" s="1801">
        <f t="shared" si="70"/>
        <v>43238</v>
      </c>
      <c r="H431" s="1802" t="s">
        <v>247</v>
      </c>
      <c r="I431" s="1802" t="s">
        <v>169</v>
      </c>
      <c r="J431" s="1803" t="s">
        <v>176</v>
      </c>
      <c r="K431" s="326" t="s">
        <v>256</v>
      </c>
      <c r="L431" s="1804">
        <v>23173</v>
      </c>
      <c r="M431" s="1544"/>
      <c r="N431" s="1802">
        <v>23173</v>
      </c>
      <c r="O431" s="1841">
        <v>15</v>
      </c>
      <c r="P431" s="1951">
        <v>1</v>
      </c>
      <c r="Q431" s="1721">
        <f t="shared" si="71"/>
        <v>15</v>
      </c>
      <c r="R431" s="1983"/>
      <c r="S431" s="1806"/>
      <c r="T431" s="1806"/>
      <c r="U431" s="1806">
        <f t="shared" si="69"/>
        <v>15</v>
      </c>
      <c r="V431" s="1806"/>
      <c r="W431" s="1806"/>
      <c r="X431" s="1807"/>
      <c r="Y431" s="1808"/>
      <c r="Z431" s="1735"/>
      <c r="AA431" s="1735"/>
      <c r="AB431" s="1735"/>
      <c r="AC431" s="1735"/>
      <c r="AD431" s="1735"/>
      <c r="AE431" s="1735"/>
      <c r="AF431" s="1735"/>
      <c r="AG431" s="1808"/>
    </row>
    <row r="432" spans="1:33" s="1725" customFormat="1" ht="57" customHeight="1" outlineLevel="2">
      <c r="A432" s="1839">
        <v>3114</v>
      </c>
      <c r="B432" s="1889" t="s">
        <v>266</v>
      </c>
      <c r="C432" s="1840" t="s">
        <v>267</v>
      </c>
      <c r="D432" s="1890"/>
      <c r="E432" s="1802">
        <v>15</v>
      </c>
      <c r="F432" s="1801">
        <v>43269</v>
      </c>
      <c r="G432" s="1801">
        <f t="shared" si="70"/>
        <v>43284</v>
      </c>
      <c r="H432" s="1802" t="s">
        <v>247</v>
      </c>
      <c r="I432" s="1802" t="s">
        <v>169</v>
      </c>
      <c r="J432" s="1803" t="s">
        <v>176</v>
      </c>
      <c r="K432" s="1725" t="s">
        <v>257</v>
      </c>
      <c r="L432" s="1804">
        <v>23173</v>
      </c>
      <c r="M432" s="1544"/>
      <c r="N432" s="1802">
        <v>23172</v>
      </c>
      <c r="O432" s="1841">
        <v>66.666666666666671</v>
      </c>
      <c r="P432" s="1951">
        <v>6</v>
      </c>
      <c r="Q432" s="1721">
        <f t="shared" si="71"/>
        <v>400</v>
      </c>
      <c r="R432" s="1983"/>
      <c r="S432" s="1806"/>
      <c r="T432" s="1806"/>
      <c r="U432" s="1806">
        <f t="shared" si="69"/>
        <v>400</v>
      </c>
      <c r="V432" s="1806"/>
      <c r="W432" s="1806"/>
      <c r="X432" s="1807"/>
      <c r="Y432" s="1808"/>
      <c r="Z432" s="1735"/>
      <c r="AA432" s="1735"/>
      <c r="AB432" s="1735"/>
      <c r="AC432" s="1735"/>
      <c r="AD432" s="1735"/>
      <c r="AE432" s="1735"/>
      <c r="AF432" s="1735"/>
      <c r="AG432" s="1808"/>
    </row>
    <row r="433" spans="1:33" s="1725" customFormat="1" ht="57" customHeight="1" outlineLevel="2">
      <c r="A433" s="1839">
        <v>3115</v>
      </c>
      <c r="B433" s="1889" t="s">
        <v>269</v>
      </c>
      <c r="C433" s="1840" t="s">
        <v>270</v>
      </c>
      <c r="D433" s="1890"/>
      <c r="E433" s="1802">
        <v>45</v>
      </c>
      <c r="F433" s="1801">
        <v>43193</v>
      </c>
      <c r="G433" s="1801">
        <f t="shared" si="70"/>
        <v>43238</v>
      </c>
      <c r="H433" s="1802" t="s">
        <v>247</v>
      </c>
      <c r="I433" s="1802" t="s">
        <v>169</v>
      </c>
      <c r="J433" s="1803" t="s">
        <v>176</v>
      </c>
      <c r="K433" s="326" t="s">
        <v>256</v>
      </c>
      <c r="L433" s="1804">
        <v>23173</v>
      </c>
      <c r="M433" s="1544"/>
      <c r="N433" s="1802">
        <v>23173</v>
      </c>
      <c r="O433" s="1841">
        <v>72.333333333333329</v>
      </c>
      <c r="P433" s="1951">
        <v>1</v>
      </c>
      <c r="Q433" s="1721">
        <f t="shared" si="71"/>
        <v>72.333333333333329</v>
      </c>
      <c r="R433" s="1983"/>
      <c r="S433" s="1806"/>
      <c r="T433" s="1806"/>
      <c r="U433" s="1806">
        <f t="shared" si="69"/>
        <v>72.333333333333329</v>
      </c>
      <c r="V433" s="1806"/>
      <c r="W433" s="1806"/>
      <c r="X433" s="1807"/>
      <c r="Y433" s="1808"/>
      <c r="Z433" s="1735"/>
      <c r="AA433" s="1735"/>
      <c r="AB433" s="1735"/>
      <c r="AC433" s="1735"/>
      <c r="AD433" s="1735"/>
      <c r="AE433" s="1735"/>
      <c r="AF433" s="1735"/>
      <c r="AG433" s="1808"/>
    </row>
    <row r="434" spans="1:33" s="1725" customFormat="1" ht="57" customHeight="1" outlineLevel="2">
      <c r="A434" s="1839">
        <v>3115</v>
      </c>
      <c r="B434" s="1889" t="s">
        <v>269</v>
      </c>
      <c r="C434" s="1840" t="s">
        <v>270</v>
      </c>
      <c r="D434" s="1890"/>
      <c r="E434" s="1802">
        <v>15</v>
      </c>
      <c r="F434" s="1801">
        <v>43290</v>
      </c>
      <c r="G434" s="1801">
        <f t="shared" si="70"/>
        <v>43305</v>
      </c>
      <c r="H434" s="1802" t="s">
        <v>247</v>
      </c>
      <c r="I434" s="1802" t="s">
        <v>169</v>
      </c>
      <c r="J434" s="1803" t="s">
        <v>176</v>
      </c>
      <c r="K434" s="2030" t="s">
        <v>257</v>
      </c>
      <c r="L434" s="1804">
        <v>23173</v>
      </c>
      <c r="M434" s="1544"/>
      <c r="N434" s="1802">
        <v>23172</v>
      </c>
      <c r="O434" s="1841">
        <v>66.666666666666671</v>
      </c>
      <c r="P434" s="1951">
        <v>7</v>
      </c>
      <c r="Q434" s="1721">
        <f t="shared" si="71"/>
        <v>466.66666666666669</v>
      </c>
      <c r="R434" s="1983"/>
      <c r="S434" s="1806"/>
      <c r="T434" s="1806"/>
      <c r="U434" s="1806">
        <f t="shared" si="69"/>
        <v>466.66666666666669</v>
      </c>
      <c r="V434" s="1806"/>
      <c r="W434" s="1806"/>
      <c r="X434" s="1807"/>
      <c r="Y434" s="1808"/>
      <c r="Z434" s="1735"/>
      <c r="AA434" s="1735"/>
      <c r="AB434" s="1735"/>
      <c r="AC434" s="1735"/>
      <c r="AD434" s="1735"/>
      <c r="AE434" s="1735"/>
      <c r="AF434" s="1735"/>
      <c r="AG434" s="1808"/>
    </row>
    <row r="435" spans="1:33" s="1725" customFormat="1" ht="57" customHeight="1" outlineLevel="2">
      <c r="A435" s="1839">
        <v>3116</v>
      </c>
      <c r="B435" s="1889" t="s">
        <v>271</v>
      </c>
      <c r="C435" s="1840" t="s">
        <v>272</v>
      </c>
      <c r="D435" s="1890"/>
      <c r="E435" s="1802">
        <v>15</v>
      </c>
      <c r="F435" s="1801">
        <v>43311</v>
      </c>
      <c r="G435" s="1801">
        <f t="shared" si="70"/>
        <v>43326</v>
      </c>
      <c r="H435" s="1802" t="s">
        <v>247</v>
      </c>
      <c r="I435" s="1802" t="s">
        <v>169</v>
      </c>
      <c r="J435" s="1803" t="s">
        <v>176</v>
      </c>
      <c r="K435" s="1544" t="s">
        <v>273</v>
      </c>
      <c r="L435" s="1804">
        <v>23173</v>
      </c>
      <c r="M435" s="1544"/>
      <c r="N435" s="1802">
        <v>23173</v>
      </c>
      <c r="O435" s="2081">
        <v>0.4</v>
      </c>
      <c r="P435" s="2083">
        <v>170</v>
      </c>
      <c r="Q435" s="1721">
        <f t="shared" si="71"/>
        <v>68</v>
      </c>
      <c r="R435" s="1983"/>
      <c r="S435" s="1806"/>
      <c r="T435" s="1806"/>
      <c r="U435" s="1806"/>
      <c r="V435" s="1806">
        <f t="shared" ref="V435:V444" si="72">Q435</f>
        <v>68</v>
      </c>
      <c r="W435" s="1806"/>
      <c r="X435" s="1807"/>
      <c r="Y435" s="1808"/>
      <c r="Z435" s="1735"/>
      <c r="AA435" s="1735"/>
      <c r="AB435" s="1735"/>
      <c r="AC435" s="1735"/>
      <c r="AD435" s="1735"/>
      <c r="AE435" s="1735"/>
      <c r="AF435" s="1735"/>
      <c r="AG435" s="1808"/>
    </row>
    <row r="436" spans="1:33" s="1725" customFormat="1" ht="57" customHeight="1" outlineLevel="2">
      <c r="A436" s="1839">
        <v>3116</v>
      </c>
      <c r="B436" s="1889" t="s">
        <v>271</v>
      </c>
      <c r="C436" s="1840" t="s">
        <v>272</v>
      </c>
      <c r="D436" s="1890"/>
      <c r="E436" s="1802">
        <v>45</v>
      </c>
      <c r="F436" s="1801">
        <v>43193</v>
      </c>
      <c r="G436" s="1801">
        <f t="shared" si="70"/>
        <v>43238</v>
      </c>
      <c r="H436" s="1802" t="s">
        <v>247</v>
      </c>
      <c r="I436" s="1802" t="s">
        <v>169</v>
      </c>
      <c r="J436" s="1803" t="s">
        <v>176</v>
      </c>
      <c r="K436" s="2029" t="s">
        <v>256</v>
      </c>
      <c r="L436" s="1804">
        <v>23173</v>
      </c>
      <c r="M436" s="1544"/>
      <c r="N436" s="1802">
        <v>23173</v>
      </c>
      <c r="O436" s="2081">
        <v>48.666666666666664</v>
      </c>
      <c r="P436" s="2083">
        <v>1</v>
      </c>
      <c r="Q436" s="1721">
        <f t="shared" si="71"/>
        <v>48.666666666666664</v>
      </c>
      <c r="R436" s="1983"/>
      <c r="S436" s="1806"/>
      <c r="T436" s="1806"/>
      <c r="U436" s="1806"/>
      <c r="V436" s="1806">
        <f t="shared" si="72"/>
        <v>48.666666666666664</v>
      </c>
      <c r="W436" s="1806"/>
      <c r="X436" s="1807"/>
      <c r="Y436" s="1808"/>
      <c r="Z436" s="1735"/>
      <c r="AA436" s="1735"/>
      <c r="AB436" s="1735"/>
      <c r="AC436" s="1735"/>
      <c r="AD436" s="1735"/>
      <c r="AE436" s="1735"/>
      <c r="AF436" s="1735"/>
      <c r="AG436" s="1808"/>
    </row>
    <row r="437" spans="1:33" s="1725" customFormat="1" ht="57" customHeight="1" outlineLevel="2">
      <c r="A437" s="2092">
        <v>3116</v>
      </c>
      <c r="B437" s="2093" t="s">
        <v>271</v>
      </c>
      <c r="C437" s="2094" t="s">
        <v>272</v>
      </c>
      <c r="D437" s="2095"/>
      <c r="E437" s="2088">
        <v>15</v>
      </c>
      <c r="F437" s="2096">
        <v>43311</v>
      </c>
      <c r="G437" s="2096">
        <f t="shared" si="70"/>
        <v>43326</v>
      </c>
      <c r="H437" s="2088" t="s">
        <v>247</v>
      </c>
      <c r="I437" s="2088" t="s">
        <v>169</v>
      </c>
      <c r="J437" s="2089" t="s">
        <v>176</v>
      </c>
      <c r="K437" s="2045" t="s">
        <v>257</v>
      </c>
      <c r="L437" s="2090">
        <v>23173</v>
      </c>
      <c r="M437" s="2045"/>
      <c r="N437" s="2088">
        <v>23172</v>
      </c>
      <c r="O437" s="2091">
        <v>66.666666666666671</v>
      </c>
      <c r="P437" s="2103">
        <v>1</v>
      </c>
      <c r="Q437" s="2099">
        <f t="shared" si="71"/>
        <v>66.666666666666671</v>
      </c>
      <c r="R437" s="1983"/>
      <c r="S437" s="1806"/>
      <c r="T437" s="1806"/>
      <c r="U437" s="1806"/>
      <c r="V437" s="1806">
        <f t="shared" si="72"/>
        <v>66.666666666666671</v>
      </c>
      <c r="W437" s="1806"/>
      <c r="X437" s="1807"/>
      <c r="Y437" s="1808"/>
      <c r="Z437" s="1735"/>
      <c r="AA437" s="1735"/>
      <c r="AB437" s="1735"/>
      <c r="AC437" s="1735"/>
      <c r="AD437" s="1735"/>
      <c r="AE437" s="1735"/>
      <c r="AF437" s="1735"/>
      <c r="AG437" s="1808"/>
    </row>
    <row r="438" spans="1:33" s="1725" customFormat="1" ht="39.950000000000003" customHeight="1" outlineLevel="1">
      <c r="A438" s="2127"/>
      <c r="B438" s="2128"/>
      <c r="C438" s="2129"/>
      <c r="D438" s="2127"/>
      <c r="E438" s="2127"/>
      <c r="F438" s="2130"/>
      <c r="G438" s="2130"/>
      <c r="H438" s="2127"/>
      <c r="I438" s="2127"/>
      <c r="J438" s="2131"/>
      <c r="K438" s="2132"/>
      <c r="L438" s="2133" t="s">
        <v>1053</v>
      </c>
      <c r="M438" s="2132"/>
      <c r="N438" s="2127"/>
      <c r="O438" s="2136"/>
      <c r="P438" s="2135"/>
      <c r="Q438" s="2134">
        <f>SUBTOTAL(9,Q429:Q437)</f>
        <v>1725.666666666667</v>
      </c>
      <c r="R438" s="1983"/>
      <c r="S438" s="2084"/>
      <c r="T438" s="2084"/>
      <c r="U438" s="2084"/>
      <c r="V438" s="2084"/>
      <c r="W438" s="2084"/>
      <c r="X438" s="2085"/>
      <c r="Y438" s="1808"/>
      <c r="Z438" s="1735"/>
      <c r="AA438" s="1735"/>
      <c r="AB438" s="1735"/>
      <c r="AC438" s="1735"/>
      <c r="AD438" s="1735"/>
      <c r="AE438" s="1735"/>
      <c r="AF438" s="1735"/>
      <c r="AG438" s="1808"/>
    </row>
    <row r="439" spans="1:33" s="1725" customFormat="1" ht="57" customHeight="1" outlineLevel="2">
      <c r="A439" s="2104">
        <v>3112</v>
      </c>
      <c r="B439" s="2105" t="s">
        <v>249</v>
      </c>
      <c r="C439" s="2106" t="s">
        <v>250</v>
      </c>
      <c r="D439" s="2107"/>
      <c r="E439" s="1888">
        <v>10</v>
      </c>
      <c r="F439" s="2108">
        <v>43238</v>
      </c>
      <c r="G439" s="2108">
        <f t="shared" ref="G439:G455" si="73">F439+E439</f>
        <v>43248</v>
      </c>
      <c r="H439" s="1888" t="s">
        <v>247</v>
      </c>
      <c r="I439" s="1888" t="s">
        <v>169</v>
      </c>
      <c r="J439" s="2109" t="s">
        <v>176</v>
      </c>
      <c r="K439" s="2112" t="s">
        <v>252</v>
      </c>
      <c r="L439" s="2111">
        <v>23174</v>
      </c>
      <c r="M439" s="2112"/>
      <c r="N439" s="2104">
        <v>23174</v>
      </c>
      <c r="O439" s="2115">
        <v>12</v>
      </c>
      <c r="P439" s="2117">
        <f>15*7</f>
        <v>105</v>
      </c>
      <c r="Q439" s="2115">
        <f t="shared" ref="Q439:Q455" si="74">O439*P439</f>
        <v>1260</v>
      </c>
      <c r="R439" s="1983"/>
      <c r="S439" s="1806"/>
      <c r="T439" s="1806"/>
      <c r="U439" s="1806"/>
      <c r="V439" s="1806">
        <f t="shared" si="72"/>
        <v>1260</v>
      </c>
      <c r="W439" s="1806"/>
      <c r="X439" s="1807"/>
      <c r="Y439" s="1808"/>
      <c r="Z439" s="1735"/>
      <c r="AA439" s="1735"/>
      <c r="AB439" s="1735"/>
      <c r="AC439" s="1735"/>
      <c r="AD439" s="1735"/>
      <c r="AE439" s="1735"/>
      <c r="AF439" s="1735"/>
      <c r="AG439" s="1808"/>
    </row>
    <row r="440" spans="1:33" s="1725" customFormat="1" ht="57" customHeight="1" outlineLevel="2">
      <c r="A440" s="1839">
        <v>3112</v>
      </c>
      <c r="B440" s="1889" t="s">
        <v>249</v>
      </c>
      <c r="C440" s="1840" t="s">
        <v>250</v>
      </c>
      <c r="D440" s="1890"/>
      <c r="E440" s="1802">
        <v>10</v>
      </c>
      <c r="F440" s="1801">
        <v>43238</v>
      </c>
      <c r="G440" s="1801">
        <f t="shared" si="73"/>
        <v>43248</v>
      </c>
      <c r="H440" s="1802" t="s">
        <v>247</v>
      </c>
      <c r="I440" s="1802" t="s">
        <v>169</v>
      </c>
      <c r="J440" s="1803" t="s">
        <v>176</v>
      </c>
      <c r="K440" s="1544" t="s">
        <v>253</v>
      </c>
      <c r="L440" s="1804">
        <v>23174</v>
      </c>
      <c r="M440" s="1544"/>
      <c r="N440" s="1883">
        <v>23174</v>
      </c>
      <c r="O440" s="1721">
        <v>13.333333333333334</v>
      </c>
      <c r="P440" s="1964">
        <f>15*7</f>
        <v>105</v>
      </c>
      <c r="Q440" s="1721">
        <f t="shared" si="74"/>
        <v>1400</v>
      </c>
      <c r="R440" s="1983"/>
      <c r="S440" s="1806"/>
      <c r="T440" s="1806"/>
      <c r="U440" s="1806"/>
      <c r="V440" s="1806">
        <f t="shared" si="72"/>
        <v>1400</v>
      </c>
      <c r="W440" s="1806"/>
      <c r="X440" s="1807"/>
      <c r="Y440" s="1808"/>
      <c r="Z440" s="1735"/>
      <c r="AA440" s="1735"/>
      <c r="AB440" s="1735"/>
      <c r="AC440" s="1735"/>
      <c r="AD440" s="1735"/>
      <c r="AE440" s="1735"/>
      <c r="AF440" s="1735"/>
      <c r="AG440" s="1808"/>
    </row>
    <row r="441" spans="1:33" s="1725" customFormat="1" ht="57" customHeight="1" outlineLevel="2">
      <c r="A441" s="1839">
        <v>3112</v>
      </c>
      <c r="B441" s="1889" t="s">
        <v>249</v>
      </c>
      <c r="C441" s="1840" t="s">
        <v>250</v>
      </c>
      <c r="D441" s="1890"/>
      <c r="E441" s="1802">
        <v>10</v>
      </c>
      <c r="F441" s="1801">
        <v>43238</v>
      </c>
      <c r="G441" s="1801">
        <f t="shared" si="73"/>
        <v>43248</v>
      </c>
      <c r="H441" s="1802" t="s">
        <v>247</v>
      </c>
      <c r="I441" s="1802" t="s">
        <v>169</v>
      </c>
      <c r="J441" s="1803" t="s">
        <v>176</v>
      </c>
      <c r="K441" s="1544" t="s">
        <v>254</v>
      </c>
      <c r="L441" s="1804">
        <v>23174</v>
      </c>
      <c r="M441" s="1544"/>
      <c r="N441" s="1802">
        <v>23174</v>
      </c>
      <c r="O441" s="2082">
        <v>10</v>
      </c>
      <c r="P441" s="2083">
        <v>15</v>
      </c>
      <c r="Q441" s="1721">
        <f t="shared" si="74"/>
        <v>150</v>
      </c>
      <c r="R441" s="1983"/>
      <c r="S441" s="1806"/>
      <c r="T441" s="1806"/>
      <c r="U441" s="1806"/>
      <c r="V441" s="1806">
        <f t="shared" si="72"/>
        <v>150</v>
      </c>
      <c r="W441" s="1806"/>
      <c r="X441" s="1807"/>
      <c r="Y441" s="1808"/>
      <c r="Z441" s="1735"/>
      <c r="AA441" s="1735"/>
      <c r="AB441" s="1735"/>
      <c r="AC441" s="1735"/>
      <c r="AD441" s="1735"/>
      <c r="AE441" s="1735"/>
      <c r="AF441" s="1735"/>
      <c r="AG441" s="1808"/>
    </row>
    <row r="442" spans="1:33" s="1725" customFormat="1" ht="57" customHeight="1" outlineLevel="2">
      <c r="A442" s="1839">
        <v>3112</v>
      </c>
      <c r="B442" s="1889" t="s">
        <v>249</v>
      </c>
      <c r="C442" s="1840" t="s">
        <v>250</v>
      </c>
      <c r="D442" s="1890"/>
      <c r="E442" s="1802">
        <v>10</v>
      </c>
      <c r="F442" s="1801">
        <v>43238</v>
      </c>
      <c r="G442" s="1801">
        <f t="shared" si="73"/>
        <v>43248</v>
      </c>
      <c r="H442" s="1802" t="s">
        <v>247</v>
      </c>
      <c r="I442" s="1802" t="s">
        <v>169</v>
      </c>
      <c r="J442" s="1803" t="s">
        <v>176</v>
      </c>
      <c r="K442" s="1544" t="s">
        <v>255</v>
      </c>
      <c r="L442" s="1804">
        <v>23174</v>
      </c>
      <c r="M442" s="1544"/>
      <c r="N442" s="1802">
        <v>23174</v>
      </c>
      <c r="O442" s="2081">
        <v>0.4</v>
      </c>
      <c r="P442" s="2083">
        <v>170</v>
      </c>
      <c r="Q442" s="1721">
        <f t="shared" si="74"/>
        <v>68</v>
      </c>
      <c r="R442" s="1983"/>
      <c r="S442" s="1806"/>
      <c r="T442" s="1806"/>
      <c r="U442" s="1806"/>
      <c r="V442" s="1806">
        <f t="shared" si="72"/>
        <v>68</v>
      </c>
      <c r="W442" s="1806"/>
      <c r="X442" s="1807"/>
      <c r="Y442" s="1808"/>
      <c r="Z442" s="1735"/>
      <c r="AA442" s="1735"/>
      <c r="AB442" s="1735"/>
      <c r="AC442" s="1735"/>
      <c r="AD442" s="1735"/>
      <c r="AE442" s="1735"/>
      <c r="AF442" s="1735"/>
      <c r="AG442" s="1808"/>
    </row>
    <row r="443" spans="1:33" s="1725" customFormat="1" ht="57" customHeight="1" outlineLevel="2">
      <c r="A443" s="1839">
        <v>3113</v>
      </c>
      <c r="B443" s="1889" t="s">
        <v>260</v>
      </c>
      <c r="C443" s="1840" t="s">
        <v>261</v>
      </c>
      <c r="D443" s="1890"/>
      <c r="E443" s="1802">
        <v>15</v>
      </c>
      <c r="F443" s="1801">
        <v>43248</v>
      </c>
      <c r="G443" s="1801">
        <f t="shared" si="73"/>
        <v>43263</v>
      </c>
      <c r="H443" s="1802" t="s">
        <v>247</v>
      </c>
      <c r="I443" s="1802" t="s">
        <v>169</v>
      </c>
      <c r="J443" s="1803" t="s">
        <v>176</v>
      </c>
      <c r="K443" s="1544" t="s">
        <v>252</v>
      </c>
      <c r="L443" s="1804">
        <v>23174</v>
      </c>
      <c r="M443" s="1544"/>
      <c r="N443" s="1802">
        <v>23174</v>
      </c>
      <c r="O443" s="2080">
        <v>12</v>
      </c>
      <c r="P443" s="1964">
        <f>12*9</f>
        <v>108</v>
      </c>
      <c r="Q443" s="1721">
        <f t="shared" si="74"/>
        <v>1296</v>
      </c>
      <c r="R443" s="1983"/>
      <c r="S443" s="1806"/>
      <c r="T443" s="1806"/>
      <c r="U443" s="1806"/>
      <c r="V443" s="1806">
        <f>Q443</f>
        <v>1296</v>
      </c>
      <c r="W443" s="1806"/>
      <c r="X443" s="1807"/>
      <c r="Y443" s="1808"/>
      <c r="Z443" s="1735"/>
      <c r="AA443" s="1735"/>
      <c r="AB443" s="1735"/>
      <c r="AC443" s="1735"/>
      <c r="AD443" s="1735"/>
      <c r="AE443" s="1735"/>
      <c r="AF443" s="1735"/>
      <c r="AG443" s="1808"/>
    </row>
    <row r="444" spans="1:33" s="1725" customFormat="1" ht="57" customHeight="1" outlineLevel="2">
      <c r="A444" s="1839">
        <v>3113</v>
      </c>
      <c r="B444" s="1889" t="s">
        <v>260</v>
      </c>
      <c r="C444" s="1840" t="s">
        <v>261</v>
      </c>
      <c r="D444" s="1890"/>
      <c r="E444" s="1802">
        <v>15</v>
      </c>
      <c r="F444" s="1801">
        <v>43248</v>
      </c>
      <c r="G444" s="1801">
        <f t="shared" si="73"/>
        <v>43263</v>
      </c>
      <c r="H444" s="1802" t="s">
        <v>247</v>
      </c>
      <c r="I444" s="1802" t="s">
        <v>169</v>
      </c>
      <c r="J444" s="1803" t="s">
        <v>176</v>
      </c>
      <c r="K444" s="1725" t="s">
        <v>253</v>
      </c>
      <c r="L444" s="1804">
        <v>23174</v>
      </c>
      <c r="M444" s="1544"/>
      <c r="N444" s="1802">
        <v>23174</v>
      </c>
      <c r="O444" s="2080">
        <v>13.333333333333334</v>
      </c>
      <c r="P444" s="1964">
        <f>12*8</f>
        <v>96</v>
      </c>
      <c r="Q444" s="1721">
        <f t="shared" si="74"/>
        <v>1280</v>
      </c>
      <c r="R444" s="1983"/>
      <c r="S444" s="1806"/>
      <c r="T444" s="1806"/>
      <c r="U444" s="1806"/>
      <c r="V444" s="1806">
        <f t="shared" si="72"/>
        <v>1280</v>
      </c>
      <c r="W444" s="1806"/>
      <c r="X444" s="1807"/>
      <c r="Y444" s="1808"/>
      <c r="Z444" s="1735"/>
      <c r="AA444" s="1735"/>
      <c r="AB444" s="1735"/>
      <c r="AC444" s="1735"/>
      <c r="AD444" s="1735"/>
      <c r="AE444" s="1735"/>
      <c r="AF444" s="1735"/>
      <c r="AG444" s="1808"/>
    </row>
    <row r="445" spans="1:33" s="1725" customFormat="1" ht="57" customHeight="1" outlineLevel="2">
      <c r="A445" s="1839">
        <v>3113</v>
      </c>
      <c r="B445" s="1889" t="s">
        <v>260</v>
      </c>
      <c r="C445" s="1840" t="s">
        <v>261</v>
      </c>
      <c r="D445" s="1890"/>
      <c r="E445" s="1802">
        <v>15</v>
      </c>
      <c r="F445" s="1801">
        <v>43248</v>
      </c>
      <c r="G445" s="1801">
        <f t="shared" si="73"/>
        <v>43263</v>
      </c>
      <c r="H445" s="1802" t="s">
        <v>247</v>
      </c>
      <c r="I445" s="1802" t="s">
        <v>169</v>
      </c>
      <c r="J445" s="1803" t="s">
        <v>176</v>
      </c>
      <c r="K445" s="2030" t="s">
        <v>263</v>
      </c>
      <c r="L445" s="1804">
        <v>23174</v>
      </c>
      <c r="M445" s="1544"/>
      <c r="N445" s="1802">
        <v>23174</v>
      </c>
      <c r="O445" s="1841">
        <v>58.333333333333336</v>
      </c>
      <c r="P445" s="1951">
        <v>4</v>
      </c>
      <c r="Q445" s="1721">
        <f t="shared" si="74"/>
        <v>233.33333333333334</v>
      </c>
      <c r="R445" s="1983"/>
      <c r="S445" s="1806"/>
      <c r="T445" s="1806"/>
      <c r="U445" s="1806">
        <f>Q445</f>
        <v>233.33333333333334</v>
      </c>
      <c r="W445" s="1806"/>
      <c r="X445" s="1807"/>
      <c r="Y445" s="1808"/>
      <c r="Z445" s="1735"/>
      <c r="AA445" s="1735"/>
      <c r="AB445" s="1735"/>
      <c r="AC445" s="1735"/>
      <c r="AD445" s="1735"/>
      <c r="AE445" s="1735"/>
      <c r="AF445" s="1735"/>
      <c r="AG445" s="1808"/>
    </row>
    <row r="446" spans="1:33" s="1725" customFormat="1" ht="57" customHeight="1" outlineLevel="2">
      <c r="A446" s="1839">
        <v>3113</v>
      </c>
      <c r="B446" s="1889" t="s">
        <v>260</v>
      </c>
      <c r="C446" s="1840" t="s">
        <v>261</v>
      </c>
      <c r="D446" s="1890"/>
      <c r="E446" s="1802">
        <v>15</v>
      </c>
      <c r="F446" s="1801">
        <v>43248</v>
      </c>
      <c r="G446" s="1801">
        <f t="shared" si="73"/>
        <v>43263</v>
      </c>
      <c r="H446" s="1802" t="s">
        <v>247</v>
      </c>
      <c r="I446" s="1802" t="s">
        <v>169</v>
      </c>
      <c r="J446" s="1803" t="s">
        <v>176</v>
      </c>
      <c r="K446" s="1725" t="s">
        <v>264</v>
      </c>
      <c r="L446" s="1804">
        <v>23174</v>
      </c>
      <c r="M446" s="1544"/>
      <c r="N446" s="1802">
        <v>23174</v>
      </c>
      <c r="O446" s="1841">
        <v>36.333333333333336</v>
      </c>
      <c r="P446" s="1951">
        <v>4</v>
      </c>
      <c r="Q446" s="1721">
        <f t="shared" si="74"/>
        <v>145.33333333333334</v>
      </c>
      <c r="R446" s="1983"/>
      <c r="S446" s="1806"/>
      <c r="T446" s="1806"/>
      <c r="U446" s="1806"/>
      <c r="V446" s="1806">
        <f>Q446</f>
        <v>145.33333333333334</v>
      </c>
      <c r="W446" s="1806"/>
      <c r="X446" s="1807"/>
      <c r="Y446" s="1808"/>
      <c r="Z446" s="1735"/>
      <c r="AA446" s="1735"/>
      <c r="AB446" s="1735"/>
      <c r="AC446" s="1735"/>
      <c r="AD446" s="1735"/>
      <c r="AE446" s="1735"/>
      <c r="AF446" s="1735"/>
      <c r="AG446" s="1808"/>
    </row>
    <row r="447" spans="1:33" s="1725" customFormat="1" ht="57" customHeight="1" outlineLevel="2">
      <c r="A447" s="1839">
        <v>3113</v>
      </c>
      <c r="B447" s="1889" t="s">
        <v>260</v>
      </c>
      <c r="C447" s="1840" t="s">
        <v>261</v>
      </c>
      <c r="D447" s="1890"/>
      <c r="E447" s="1802">
        <v>15</v>
      </c>
      <c r="F447" s="1801">
        <v>43248</v>
      </c>
      <c r="G447" s="1801">
        <f t="shared" si="73"/>
        <v>43263</v>
      </c>
      <c r="H447" s="1802" t="s">
        <v>247</v>
      </c>
      <c r="I447" s="1802" t="s">
        <v>169</v>
      </c>
      <c r="J447" s="1803" t="s">
        <v>176</v>
      </c>
      <c r="K447" s="1544" t="s">
        <v>265</v>
      </c>
      <c r="L447" s="1804">
        <v>23174</v>
      </c>
      <c r="M447" s="1544"/>
      <c r="N447" s="1802">
        <v>23174</v>
      </c>
      <c r="O447" s="2081">
        <v>71.666666666666671</v>
      </c>
      <c r="P447" s="2083">
        <v>4</v>
      </c>
      <c r="Q447" s="1721">
        <f t="shared" si="74"/>
        <v>286.66666666666669</v>
      </c>
      <c r="R447" s="1983"/>
      <c r="S447" s="1806"/>
      <c r="T447" s="1806"/>
      <c r="U447" s="1806"/>
      <c r="V447" s="1806"/>
      <c r="W447" s="1806">
        <f t="shared" ref="W447:W452" si="75">Q447</f>
        <v>286.66666666666669</v>
      </c>
      <c r="X447" s="1807"/>
      <c r="Y447" s="1808"/>
      <c r="Z447" s="1735"/>
      <c r="AA447" s="1735"/>
      <c r="AB447" s="1735"/>
      <c r="AC447" s="1735"/>
      <c r="AD447" s="1735"/>
      <c r="AE447" s="1735"/>
      <c r="AF447" s="1735"/>
      <c r="AG447" s="1808"/>
    </row>
    <row r="448" spans="1:33" s="1725" customFormat="1" ht="57" customHeight="1" outlineLevel="2">
      <c r="A448" s="1839">
        <v>3114</v>
      </c>
      <c r="B448" s="1889" t="s">
        <v>266</v>
      </c>
      <c r="C448" s="1840" t="s">
        <v>267</v>
      </c>
      <c r="D448" s="1890"/>
      <c r="E448" s="1802">
        <v>15</v>
      </c>
      <c r="F448" s="1801">
        <v>43269</v>
      </c>
      <c r="G448" s="1801">
        <f t="shared" si="73"/>
        <v>43284</v>
      </c>
      <c r="H448" s="1802" t="s">
        <v>247</v>
      </c>
      <c r="I448" s="1802" t="s">
        <v>169</v>
      </c>
      <c r="J448" s="1803" t="s">
        <v>176</v>
      </c>
      <c r="K448" s="1544" t="s">
        <v>252</v>
      </c>
      <c r="L448" s="1804">
        <v>23174</v>
      </c>
      <c r="M448" s="1544"/>
      <c r="N448" s="1802">
        <v>23174</v>
      </c>
      <c r="O448" s="1810">
        <v>12</v>
      </c>
      <c r="P448" s="1965">
        <f>20*8</f>
        <v>160</v>
      </c>
      <c r="Q448" s="1721">
        <f t="shared" si="74"/>
        <v>1920</v>
      </c>
      <c r="R448" s="1983"/>
      <c r="S448" s="1806"/>
      <c r="T448" s="1806"/>
      <c r="U448" s="1806"/>
      <c r="V448" s="1806"/>
      <c r="W448" s="1806">
        <f t="shared" si="75"/>
        <v>1920</v>
      </c>
      <c r="X448" s="1807"/>
      <c r="Y448" s="1808"/>
      <c r="Z448" s="1735"/>
      <c r="AA448" s="1735"/>
      <c r="AB448" s="1735"/>
      <c r="AC448" s="1735"/>
      <c r="AD448" s="1735"/>
      <c r="AE448" s="1735"/>
      <c r="AF448" s="1735"/>
      <c r="AG448" s="1808"/>
    </row>
    <row r="449" spans="1:33" s="1725" customFormat="1" ht="57" customHeight="1" outlineLevel="2">
      <c r="A449" s="1839">
        <v>3114</v>
      </c>
      <c r="B449" s="1889" t="s">
        <v>266</v>
      </c>
      <c r="C449" s="1840" t="s">
        <v>267</v>
      </c>
      <c r="D449" s="1890"/>
      <c r="E449" s="1802">
        <v>15</v>
      </c>
      <c r="F449" s="1801">
        <v>43269</v>
      </c>
      <c r="G449" s="1801">
        <f t="shared" si="73"/>
        <v>43284</v>
      </c>
      <c r="H449" s="1802" t="s">
        <v>247</v>
      </c>
      <c r="I449" s="1802" t="s">
        <v>169</v>
      </c>
      <c r="J449" s="1803" t="s">
        <v>176</v>
      </c>
      <c r="K449" s="1544" t="s">
        <v>253</v>
      </c>
      <c r="L449" s="1804">
        <v>23174</v>
      </c>
      <c r="M449" s="1544"/>
      <c r="N449" s="1802">
        <v>23174</v>
      </c>
      <c r="O449" s="2080">
        <v>13.333333333333334</v>
      </c>
      <c r="P449" s="1964">
        <f>20*7</f>
        <v>140</v>
      </c>
      <c r="Q449" s="1721">
        <f t="shared" si="74"/>
        <v>1866.6666666666667</v>
      </c>
      <c r="R449" s="1983"/>
      <c r="S449" s="1806"/>
      <c r="T449" s="1806"/>
      <c r="U449" s="1806"/>
      <c r="V449" s="1806"/>
      <c r="W449" s="1806">
        <f t="shared" si="75"/>
        <v>1866.6666666666667</v>
      </c>
      <c r="X449" s="1807"/>
      <c r="Y449" s="1808"/>
      <c r="Z449" s="1735"/>
      <c r="AA449" s="1735"/>
      <c r="AB449" s="1735"/>
      <c r="AC449" s="1735"/>
      <c r="AD449" s="1735"/>
      <c r="AE449" s="1735"/>
      <c r="AF449" s="1735"/>
      <c r="AG449" s="1808"/>
    </row>
    <row r="450" spans="1:33" s="1725" customFormat="1" ht="57" customHeight="1" outlineLevel="2">
      <c r="A450" s="1839">
        <v>3114</v>
      </c>
      <c r="B450" s="1889" t="s">
        <v>266</v>
      </c>
      <c r="C450" s="1840" t="s">
        <v>267</v>
      </c>
      <c r="D450" s="1890"/>
      <c r="E450" s="1802">
        <v>15</v>
      </c>
      <c r="F450" s="1801">
        <v>43269</v>
      </c>
      <c r="G450" s="1801">
        <f t="shared" si="73"/>
        <v>43284</v>
      </c>
      <c r="H450" s="1802" t="s">
        <v>247</v>
      </c>
      <c r="I450" s="1802" t="s">
        <v>169</v>
      </c>
      <c r="J450" s="1803" t="s">
        <v>176</v>
      </c>
      <c r="K450" s="1725" t="s">
        <v>254</v>
      </c>
      <c r="L450" s="1804">
        <v>23174</v>
      </c>
      <c r="M450" s="1544"/>
      <c r="N450" s="1802">
        <v>23174</v>
      </c>
      <c r="O450" s="1841">
        <v>10</v>
      </c>
      <c r="P450" s="1951">
        <v>20</v>
      </c>
      <c r="Q450" s="1721">
        <f t="shared" si="74"/>
        <v>200</v>
      </c>
      <c r="R450" s="1983"/>
      <c r="S450" s="1806"/>
      <c r="T450" s="1806"/>
      <c r="U450" s="1806"/>
      <c r="V450" s="1806"/>
      <c r="W450" s="1806">
        <f t="shared" si="75"/>
        <v>200</v>
      </c>
      <c r="X450" s="1807"/>
      <c r="Y450" s="1808"/>
      <c r="Z450" s="1735"/>
      <c r="AA450" s="1735"/>
      <c r="AB450" s="1735"/>
      <c r="AC450" s="1735"/>
      <c r="AD450" s="1735"/>
      <c r="AE450" s="1735"/>
      <c r="AF450" s="1735"/>
      <c r="AG450" s="1808"/>
    </row>
    <row r="451" spans="1:33" s="1725" customFormat="1" ht="57" customHeight="1" outlineLevel="2">
      <c r="A451" s="1839">
        <v>3114</v>
      </c>
      <c r="B451" s="1889" t="s">
        <v>266</v>
      </c>
      <c r="C451" s="1840" t="s">
        <v>267</v>
      </c>
      <c r="D451" s="1890"/>
      <c r="E451" s="1802">
        <v>15</v>
      </c>
      <c r="F451" s="1801">
        <v>43269</v>
      </c>
      <c r="G451" s="1801">
        <f t="shared" si="73"/>
        <v>43284</v>
      </c>
      <c r="H451" s="1802" t="s">
        <v>247</v>
      </c>
      <c r="I451" s="1802" t="s">
        <v>169</v>
      </c>
      <c r="J451" s="1803" t="s">
        <v>176</v>
      </c>
      <c r="K451" s="2030" t="s">
        <v>255</v>
      </c>
      <c r="L451" s="1804">
        <v>23174</v>
      </c>
      <c r="M451" s="1544"/>
      <c r="N451" s="1802">
        <v>23174</v>
      </c>
      <c r="O451" s="1841">
        <v>0.4</v>
      </c>
      <c r="P451" s="1951">
        <v>170</v>
      </c>
      <c r="Q451" s="1721">
        <f t="shared" si="74"/>
        <v>68</v>
      </c>
      <c r="R451" s="1983"/>
      <c r="S451" s="1806"/>
      <c r="T451" s="1806"/>
      <c r="U451" s="1806">
        <f>Q451</f>
        <v>68</v>
      </c>
      <c r="V451" s="1806"/>
      <c r="X451" s="1807"/>
      <c r="Y451" s="1808"/>
      <c r="Z451" s="1735"/>
      <c r="AA451" s="1735"/>
      <c r="AB451" s="1735"/>
      <c r="AC451" s="1735"/>
      <c r="AD451" s="1735"/>
      <c r="AE451" s="1735"/>
      <c r="AF451" s="1735"/>
      <c r="AG451" s="1808"/>
    </row>
    <row r="452" spans="1:33" s="1725" customFormat="1" ht="57" customHeight="1" outlineLevel="2">
      <c r="A452" s="1839">
        <v>3115</v>
      </c>
      <c r="B452" s="1889" t="s">
        <v>269</v>
      </c>
      <c r="C452" s="1840" t="s">
        <v>270</v>
      </c>
      <c r="D452" s="1890"/>
      <c r="E452" s="1802">
        <v>15</v>
      </c>
      <c r="F452" s="1801">
        <v>43290</v>
      </c>
      <c r="G452" s="1801">
        <f t="shared" si="73"/>
        <v>43305</v>
      </c>
      <c r="H452" s="1802" t="s">
        <v>247</v>
      </c>
      <c r="I452" s="1802" t="s">
        <v>169</v>
      </c>
      <c r="J452" s="1891" t="s">
        <v>176</v>
      </c>
      <c r="K452" s="1735" t="s">
        <v>252</v>
      </c>
      <c r="L452" s="1892">
        <v>23174</v>
      </c>
      <c r="M452" s="1544"/>
      <c r="N452" s="1802">
        <v>23174</v>
      </c>
      <c r="O452" s="2080">
        <v>12</v>
      </c>
      <c r="P452" s="1964">
        <f>20*9</f>
        <v>180</v>
      </c>
      <c r="Q452" s="1721">
        <f t="shared" si="74"/>
        <v>2160</v>
      </c>
      <c r="R452" s="1983"/>
      <c r="S452" s="1806"/>
      <c r="T452" s="1806"/>
      <c r="U452" s="1806"/>
      <c r="V452" s="1806"/>
      <c r="W452" s="1806">
        <f t="shared" si="75"/>
        <v>2160</v>
      </c>
      <c r="X452" s="1807"/>
      <c r="Y452" s="1808"/>
      <c r="Z452" s="1735"/>
      <c r="AA452" s="1735"/>
      <c r="AB452" s="1735"/>
      <c r="AC452" s="1735"/>
      <c r="AD452" s="1735"/>
      <c r="AE452" s="1735"/>
      <c r="AF452" s="1735"/>
      <c r="AG452" s="1808"/>
    </row>
    <row r="453" spans="1:33" s="1725" customFormat="1" ht="57" customHeight="1" outlineLevel="2">
      <c r="A453" s="1839">
        <v>3115</v>
      </c>
      <c r="B453" s="1889" t="s">
        <v>269</v>
      </c>
      <c r="C453" s="1840" t="s">
        <v>270</v>
      </c>
      <c r="D453" s="1890"/>
      <c r="E453" s="1802">
        <v>15</v>
      </c>
      <c r="F453" s="1801">
        <v>43290</v>
      </c>
      <c r="G453" s="1801">
        <f t="shared" si="73"/>
        <v>43305</v>
      </c>
      <c r="H453" s="1802" t="s">
        <v>247</v>
      </c>
      <c r="I453" s="1802" t="s">
        <v>169</v>
      </c>
      <c r="J453" s="1891" t="s">
        <v>176</v>
      </c>
      <c r="K453" s="1735" t="s">
        <v>253</v>
      </c>
      <c r="L453" s="1892">
        <v>23174</v>
      </c>
      <c r="M453" s="1544"/>
      <c r="N453" s="1802">
        <v>23174</v>
      </c>
      <c r="O453" s="2080">
        <v>13.333333333333334</v>
      </c>
      <c r="P453" s="1964">
        <f>20*8</f>
        <v>160</v>
      </c>
      <c r="Q453" s="1721">
        <f t="shared" si="74"/>
        <v>2133.3333333333335</v>
      </c>
      <c r="R453" s="1983"/>
      <c r="S453" s="1806"/>
      <c r="T453" s="1806"/>
      <c r="U453" s="1806"/>
      <c r="V453" s="1806"/>
      <c r="W453" s="1806"/>
      <c r="X453" s="1807">
        <f>Q453</f>
        <v>2133.3333333333335</v>
      </c>
      <c r="Y453" s="1808"/>
      <c r="Z453" s="1735"/>
      <c r="AA453" s="1735"/>
      <c r="AB453" s="1735"/>
      <c r="AC453" s="1735"/>
      <c r="AD453" s="1735"/>
      <c r="AE453" s="1735"/>
      <c r="AF453" s="1735"/>
      <c r="AG453" s="1808"/>
    </row>
    <row r="454" spans="1:33" s="1725" customFormat="1" ht="57" customHeight="1" outlineLevel="2">
      <c r="A454" s="1839">
        <v>3115</v>
      </c>
      <c r="B454" s="1889" t="s">
        <v>269</v>
      </c>
      <c r="C454" s="1840" t="s">
        <v>270</v>
      </c>
      <c r="D454" s="1890"/>
      <c r="E454" s="1802">
        <v>15</v>
      </c>
      <c r="F454" s="1801">
        <v>43290</v>
      </c>
      <c r="G454" s="1801">
        <f t="shared" si="73"/>
        <v>43305</v>
      </c>
      <c r="H454" s="1802" t="s">
        <v>247</v>
      </c>
      <c r="I454" s="1802" t="s">
        <v>169</v>
      </c>
      <c r="J454" s="1803" t="s">
        <v>176</v>
      </c>
      <c r="K454" s="2030" t="s">
        <v>254</v>
      </c>
      <c r="L454" s="1804">
        <v>23174</v>
      </c>
      <c r="M454" s="1544"/>
      <c r="N454" s="1802">
        <v>23174</v>
      </c>
      <c r="O454" s="1841">
        <v>10</v>
      </c>
      <c r="P454" s="1951">
        <v>20</v>
      </c>
      <c r="Q454" s="1721">
        <f t="shared" si="74"/>
        <v>200</v>
      </c>
      <c r="R454" s="1983"/>
      <c r="S454" s="1806"/>
      <c r="T454" s="1806"/>
      <c r="U454" s="1806">
        <f>Q454</f>
        <v>200</v>
      </c>
      <c r="V454" s="1806"/>
      <c r="W454" s="1806"/>
      <c r="Y454" s="1808"/>
      <c r="Z454" s="1735"/>
      <c r="AA454" s="1735"/>
      <c r="AB454" s="1735"/>
      <c r="AC454" s="1735"/>
      <c r="AD454" s="1735"/>
      <c r="AE454" s="1735"/>
      <c r="AF454" s="1735"/>
      <c r="AG454" s="1808"/>
    </row>
    <row r="455" spans="1:33" s="1725" customFormat="1" ht="57" customHeight="1" outlineLevel="2">
      <c r="A455" s="2092">
        <v>3115</v>
      </c>
      <c r="B455" s="2093" t="s">
        <v>269</v>
      </c>
      <c r="C455" s="2094" t="s">
        <v>270</v>
      </c>
      <c r="D455" s="2095"/>
      <c r="E455" s="2088">
        <v>15</v>
      </c>
      <c r="F455" s="2096">
        <v>43290</v>
      </c>
      <c r="G455" s="2096">
        <f t="shared" si="73"/>
        <v>43305</v>
      </c>
      <c r="H455" s="2088" t="s">
        <v>247</v>
      </c>
      <c r="I455" s="2088" t="s">
        <v>169</v>
      </c>
      <c r="J455" s="2089" t="s">
        <v>176</v>
      </c>
      <c r="K455" s="1725" t="s">
        <v>255</v>
      </c>
      <c r="L455" s="2090">
        <v>23174</v>
      </c>
      <c r="M455" s="2045"/>
      <c r="N455" s="2088">
        <v>23174</v>
      </c>
      <c r="O455" s="2091">
        <v>0.4</v>
      </c>
      <c r="P455" s="2103">
        <v>170</v>
      </c>
      <c r="Q455" s="2099">
        <f t="shared" si="74"/>
        <v>68</v>
      </c>
      <c r="R455" s="1983"/>
      <c r="S455" s="1806"/>
      <c r="T455" s="1806"/>
      <c r="U455" s="1806"/>
      <c r="V455" s="1806"/>
      <c r="W455" s="1806"/>
      <c r="X455" s="1807">
        <f>Q455</f>
        <v>68</v>
      </c>
      <c r="Y455" s="1808"/>
      <c r="Z455" s="1735"/>
      <c r="AA455" s="1735"/>
      <c r="AB455" s="1735"/>
      <c r="AC455" s="1735"/>
      <c r="AD455" s="1735"/>
      <c r="AE455" s="1735"/>
      <c r="AF455" s="1735"/>
      <c r="AG455" s="1808"/>
    </row>
    <row r="456" spans="1:33" s="1725" customFormat="1" ht="39.950000000000003" customHeight="1" outlineLevel="1">
      <c r="A456" s="2127"/>
      <c r="B456" s="2128"/>
      <c r="C456" s="2129"/>
      <c r="D456" s="2127"/>
      <c r="E456" s="2127"/>
      <c r="F456" s="2130"/>
      <c r="G456" s="2130"/>
      <c r="H456" s="2127"/>
      <c r="I456" s="2127"/>
      <c r="J456" s="2131"/>
      <c r="K456" s="2132"/>
      <c r="L456" s="2133" t="s">
        <v>1051</v>
      </c>
      <c r="M456" s="2132"/>
      <c r="N456" s="2127"/>
      <c r="O456" s="2136"/>
      <c r="P456" s="2135"/>
      <c r="Q456" s="2134">
        <f>SUBTOTAL(9,Q439:Q455)</f>
        <v>14735.333333333334</v>
      </c>
      <c r="R456" s="2086"/>
      <c r="S456" s="2087"/>
      <c r="T456" s="2087"/>
      <c r="U456" s="2087"/>
      <c r="V456" s="2087"/>
      <c r="W456" s="2087"/>
      <c r="X456" s="2087"/>
      <c r="Y456" s="1808"/>
      <c r="Z456" s="1735"/>
      <c r="AA456" s="1735"/>
      <c r="AB456" s="1735"/>
      <c r="AC456" s="1735"/>
      <c r="AD456" s="1735"/>
      <c r="AE456" s="1735"/>
      <c r="AF456" s="1735"/>
      <c r="AG456" s="1808"/>
    </row>
    <row r="457" spans="1:33" s="1725" customFormat="1" ht="39.950000000000003" customHeight="1">
      <c r="A457" s="2127"/>
      <c r="B457" s="2128"/>
      <c r="C457" s="2129"/>
      <c r="D457" s="2127"/>
      <c r="E457" s="2127"/>
      <c r="F457" s="2130"/>
      <c r="G457" s="2130"/>
      <c r="H457" s="2127"/>
      <c r="I457" s="2127"/>
      <c r="J457" s="2131"/>
      <c r="K457" s="2132"/>
      <c r="L457" s="2137" t="s">
        <v>1052</v>
      </c>
      <c r="M457" s="2132"/>
      <c r="N457" s="2127"/>
      <c r="O457" s="2136"/>
      <c r="P457" s="2135"/>
      <c r="Q457" s="2134">
        <f>SUBTOTAL(9,Q424:Q455)</f>
        <v>29720.666666666664</v>
      </c>
      <c r="R457" s="2086"/>
      <c r="S457" s="2087"/>
      <c r="T457" s="2087"/>
      <c r="U457" s="2087"/>
      <c r="V457" s="2087"/>
      <c r="W457" s="2087"/>
      <c r="X457" s="2087"/>
      <c r="Y457" s="1808"/>
      <c r="Z457" s="1735"/>
      <c r="AA457" s="1735"/>
      <c r="AB457" s="1735"/>
      <c r="AC457" s="1735"/>
      <c r="AD457" s="1735"/>
      <c r="AE457" s="1735"/>
      <c r="AF457" s="1735"/>
      <c r="AG457" s="1808"/>
    </row>
    <row r="458" spans="1:33" ht="24" customHeight="1">
      <c r="A458" s="2118" t="s">
        <v>274</v>
      </c>
      <c r="B458" s="2119"/>
      <c r="C458" s="2120"/>
      <c r="D458" s="2121"/>
      <c r="E458" s="2121"/>
      <c r="F458" s="2121"/>
      <c r="G458" s="2121"/>
      <c r="H458" s="2121"/>
      <c r="I458" s="2121"/>
      <c r="J458" s="2122"/>
      <c r="K458" s="2118"/>
      <c r="L458" s="2123"/>
      <c r="M458" s="2121"/>
      <c r="N458" s="2124"/>
      <c r="O458" s="2125"/>
      <c r="P458" s="2126"/>
      <c r="Q458" s="2125">
        <f>+Q459+Q469+Q479+Q496+Q506+Q515</f>
        <v>99999.709999999992</v>
      </c>
      <c r="R458" s="1981">
        <v>100000</v>
      </c>
      <c r="S458" s="1272">
        <f t="shared" ref="S458:AG458" si="76">+S459+S469+S479+S496+S506+S515</f>
        <v>0</v>
      </c>
      <c r="T458" s="1272">
        <f t="shared" si="76"/>
        <v>0</v>
      </c>
      <c r="U458" s="1272">
        <f t="shared" si="76"/>
        <v>0</v>
      </c>
      <c r="V458" s="1272">
        <f t="shared" si="76"/>
        <v>0</v>
      </c>
      <c r="W458" s="1272">
        <f t="shared" si="76"/>
        <v>51037.666666666672</v>
      </c>
      <c r="X458" s="1272">
        <f t="shared" si="76"/>
        <v>26295.376666666667</v>
      </c>
      <c r="Y458" s="1272">
        <f t="shared" si="76"/>
        <v>0</v>
      </c>
      <c r="Z458" s="276">
        <f t="shared" si="76"/>
        <v>22666.666666666668</v>
      </c>
      <c r="AA458" s="276">
        <f t="shared" si="76"/>
        <v>0</v>
      </c>
      <c r="AB458" s="276">
        <f t="shared" si="76"/>
        <v>0</v>
      </c>
      <c r="AC458" s="276">
        <f t="shared" si="76"/>
        <v>0</v>
      </c>
      <c r="AD458" s="276">
        <f t="shared" si="76"/>
        <v>0</v>
      </c>
      <c r="AE458" s="276">
        <f t="shared" si="76"/>
        <v>0</v>
      </c>
      <c r="AF458" s="276">
        <f t="shared" si="76"/>
        <v>0</v>
      </c>
      <c r="AG458" s="1272">
        <f t="shared" si="76"/>
        <v>99999.71</v>
      </c>
    </row>
    <row r="459" spans="1:33" s="1028" customFormat="1" ht="36.75" customHeight="1">
      <c r="A459" s="1275">
        <v>321</v>
      </c>
      <c r="B459" s="508" t="s">
        <v>552</v>
      </c>
      <c r="C459" s="1559"/>
      <c r="D459" s="822"/>
      <c r="E459" s="822"/>
      <c r="F459" s="822"/>
      <c r="G459" s="822"/>
      <c r="H459" s="822"/>
      <c r="I459" s="822"/>
      <c r="J459" s="543"/>
      <c r="K459" s="1545"/>
      <c r="L459" s="1579"/>
      <c r="M459" s="1000"/>
      <c r="N459" s="1388"/>
      <c r="O459" s="1282"/>
      <c r="P459" s="1966"/>
      <c r="Q459" s="1343">
        <f>+Q463+Q467</f>
        <v>22794.666666666668</v>
      </c>
      <c r="R459" s="1984"/>
      <c r="S459" s="1282">
        <f t="shared" ref="S459:AF459" si="77">SUM(S460:S466)</f>
        <v>0</v>
      </c>
      <c r="T459" s="1282">
        <f t="shared" si="77"/>
        <v>0</v>
      </c>
      <c r="U459" s="1282">
        <f t="shared" si="77"/>
        <v>0</v>
      </c>
      <c r="V459" s="1282">
        <f t="shared" si="77"/>
        <v>0</v>
      </c>
      <c r="W459" s="1282">
        <f t="shared" si="77"/>
        <v>22794.666666666668</v>
      </c>
      <c r="X459" s="1282">
        <f t="shared" si="77"/>
        <v>0</v>
      </c>
      <c r="Y459" s="1282">
        <f t="shared" si="77"/>
        <v>0</v>
      </c>
      <c r="Z459" s="1282">
        <f t="shared" si="77"/>
        <v>0</v>
      </c>
      <c r="AA459" s="1282">
        <f t="shared" si="77"/>
        <v>0</v>
      </c>
      <c r="AB459" s="1282">
        <f t="shared" si="77"/>
        <v>0</v>
      </c>
      <c r="AC459" s="1282">
        <f t="shared" si="77"/>
        <v>0</v>
      </c>
      <c r="AD459" s="1282">
        <f t="shared" si="77"/>
        <v>0</v>
      </c>
      <c r="AE459" s="1282">
        <f t="shared" si="77"/>
        <v>0</v>
      </c>
      <c r="AF459" s="1282">
        <f t="shared" si="77"/>
        <v>0</v>
      </c>
      <c r="AG459" s="1282">
        <f>SUM(S459:AF459)</f>
        <v>22794.666666666668</v>
      </c>
    </row>
    <row r="460" spans="1:33" outlineLevel="2">
      <c r="A460" s="294">
        <v>3212</v>
      </c>
      <c r="B460" s="291" t="s">
        <v>556</v>
      </c>
      <c r="C460" s="824" t="s">
        <v>559</v>
      </c>
      <c r="D460" s="294" t="s">
        <v>514</v>
      </c>
      <c r="E460" s="294">
        <v>45</v>
      </c>
      <c r="F460" s="829">
        <v>43194</v>
      </c>
      <c r="G460" s="829">
        <f>+E460+F460</f>
        <v>43239</v>
      </c>
      <c r="H460" s="1391" t="s">
        <v>555</v>
      </c>
      <c r="I460" s="294" t="s">
        <v>169</v>
      </c>
      <c r="J460" s="307" t="s">
        <v>177</v>
      </c>
      <c r="K460" s="326" t="s">
        <v>302</v>
      </c>
      <c r="L460" s="1237">
        <v>23173</v>
      </c>
      <c r="M460" s="326"/>
      <c r="N460" s="294"/>
      <c r="O460" s="355">
        <v>202.6</v>
      </c>
      <c r="P460" s="1938">
        <v>1</v>
      </c>
      <c r="Q460" s="1126">
        <f>O460*P460</f>
        <v>202.6</v>
      </c>
      <c r="R460" s="1985"/>
      <c r="S460" s="355"/>
      <c r="T460" s="355"/>
      <c r="U460" s="355"/>
      <c r="V460" s="355"/>
      <c r="W460" s="355">
        <v>202.6</v>
      </c>
      <c r="X460" s="1137"/>
      <c r="Y460" s="1126"/>
      <c r="Z460" s="1126"/>
      <c r="AA460" s="1126"/>
      <c r="AB460" s="1126"/>
      <c r="AC460" s="1126"/>
      <c r="AD460" s="1126"/>
      <c r="AE460" s="1126"/>
      <c r="AF460" s="1126"/>
      <c r="AG460" s="1156"/>
    </row>
    <row r="461" spans="1:33" outlineLevel="2">
      <c r="A461" s="294">
        <v>3212</v>
      </c>
      <c r="B461" s="291" t="s">
        <v>556</v>
      </c>
      <c r="C461" s="824" t="s">
        <v>566</v>
      </c>
      <c r="D461" s="1391"/>
      <c r="E461" s="294">
        <f>10</f>
        <v>10</v>
      </c>
      <c r="F461" s="829">
        <v>43252</v>
      </c>
      <c r="G461" s="829">
        <f>+F461+E461</f>
        <v>43262</v>
      </c>
      <c r="H461" s="1391" t="s">
        <v>555</v>
      </c>
      <c r="I461" s="294" t="s">
        <v>169</v>
      </c>
      <c r="J461" s="307" t="s">
        <v>177</v>
      </c>
      <c r="K461" s="326" t="s">
        <v>486</v>
      </c>
      <c r="L461" s="1237">
        <v>23173</v>
      </c>
      <c r="M461" s="326"/>
      <c r="N461" s="294"/>
      <c r="O461" s="2138">
        <v>333.33333333333331</v>
      </c>
      <c r="P461" s="1938">
        <v>1</v>
      </c>
      <c r="Q461" s="1126">
        <f>O461*P461</f>
        <v>333.33333333333331</v>
      </c>
      <c r="R461" s="1985"/>
      <c r="S461" s="355"/>
      <c r="T461" s="355"/>
      <c r="U461" s="355"/>
      <c r="V461" s="355"/>
      <c r="W461" s="355">
        <v>4064</v>
      </c>
      <c r="X461" s="1137"/>
      <c r="Y461" s="1126"/>
      <c r="Z461" s="1126"/>
      <c r="AA461" s="1126"/>
      <c r="AB461" s="1126"/>
      <c r="AC461" s="1126"/>
      <c r="AD461" s="1126"/>
      <c r="AE461" s="1126"/>
      <c r="AF461" s="1126"/>
      <c r="AG461" s="1156"/>
    </row>
    <row r="462" spans="1:33" outlineLevel="2">
      <c r="A462" s="294">
        <v>3214</v>
      </c>
      <c r="B462" s="291" t="s">
        <v>570</v>
      </c>
      <c r="C462" s="824" t="s">
        <v>571</v>
      </c>
      <c r="D462" s="294"/>
      <c r="E462" s="294"/>
      <c r="F462" s="829">
        <v>43282</v>
      </c>
      <c r="G462" s="829"/>
      <c r="H462" s="294" t="s">
        <v>555</v>
      </c>
      <c r="I462" s="294" t="s">
        <v>169</v>
      </c>
      <c r="J462" s="307" t="s">
        <v>177</v>
      </c>
      <c r="K462" s="326" t="s">
        <v>302</v>
      </c>
      <c r="L462" s="1237">
        <v>23173</v>
      </c>
      <c r="M462" s="326"/>
      <c r="N462" s="294"/>
      <c r="O462" s="487">
        <v>0.63</v>
      </c>
      <c r="P462" s="1967">
        <v>25600</v>
      </c>
      <c r="Q462" s="1156">
        <f>+O462*P462</f>
        <v>16128</v>
      </c>
      <c r="R462" s="1985"/>
      <c r="S462" s="355"/>
      <c r="T462" s="355"/>
      <c r="U462" s="355"/>
      <c r="V462" s="355"/>
      <c r="W462" s="355">
        <v>1640</v>
      </c>
      <c r="X462" s="1137"/>
      <c r="Y462" s="1126"/>
      <c r="Z462" s="1126"/>
      <c r="AA462" s="1126"/>
      <c r="AB462" s="1126"/>
      <c r="AC462" s="1126"/>
      <c r="AD462" s="1126"/>
      <c r="AE462" s="1126"/>
      <c r="AF462" s="1126"/>
      <c r="AG462" s="1156"/>
    </row>
    <row r="463" spans="1:33" ht="39.950000000000003" customHeight="1" outlineLevel="1">
      <c r="A463" s="1997"/>
      <c r="B463" s="1740"/>
      <c r="C463" s="2141"/>
      <c r="D463" s="1997"/>
      <c r="E463" s="1997"/>
      <c r="F463" s="2142"/>
      <c r="G463" s="2142"/>
      <c r="H463" s="1997"/>
      <c r="I463" s="1997"/>
      <c r="J463" s="1740"/>
      <c r="K463" s="1997"/>
      <c r="L463" s="1748" t="s">
        <v>1053</v>
      </c>
      <c r="M463" s="1997"/>
      <c r="N463" s="1997"/>
      <c r="O463" s="1998"/>
      <c r="P463" s="2143"/>
      <c r="Q463" s="1998">
        <f>SUBTOTAL(9,Q460:Q462)</f>
        <v>16663.933333333334</v>
      </c>
      <c r="R463" s="2139"/>
      <c r="S463" s="1125"/>
      <c r="T463" s="1125"/>
      <c r="U463" s="1125"/>
      <c r="V463" s="1125"/>
      <c r="W463" s="1125"/>
      <c r="X463" s="1950"/>
      <c r="Y463" s="1125"/>
      <c r="Z463" s="1125"/>
      <c r="AA463" s="1125"/>
      <c r="AB463" s="1125"/>
      <c r="AC463" s="1125"/>
      <c r="AD463" s="1125"/>
      <c r="AE463" s="1125"/>
      <c r="AF463" s="1125"/>
      <c r="AG463" s="1144"/>
    </row>
    <row r="464" spans="1:33" outlineLevel="2">
      <c r="A464" s="294">
        <v>3212</v>
      </c>
      <c r="B464" s="291" t="s">
        <v>556</v>
      </c>
      <c r="C464" s="824" t="s">
        <v>560</v>
      </c>
      <c r="D464" s="1391"/>
      <c r="E464" s="294">
        <f>10</f>
        <v>10</v>
      </c>
      <c r="F464" s="829">
        <v>43252</v>
      </c>
      <c r="G464" s="829">
        <f>+F464+E464</f>
        <v>43262</v>
      </c>
      <c r="H464" s="1391" t="s">
        <v>555</v>
      </c>
      <c r="I464" s="294" t="s">
        <v>177</v>
      </c>
      <c r="J464" s="307"/>
      <c r="K464" s="326" t="s">
        <v>561</v>
      </c>
      <c r="L464" s="1237">
        <v>23174</v>
      </c>
      <c r="M464" s="326"/>
      <c r="N464" s="294"/>
      <c r="O464" s="354">
        <v>4064</v>
      </c>
      <c r="P464" s="1938">
        <v>1</v>
      </c>
      <c r="Q464" s="1126">
        <f>O464*P464</f>
        <v>4064</v>
      </c>
      <c r="R464" s="1985"/>
      <c r="S464" s="355"/>
      <c r="T464" s="355"/>
      <c r="U464" s="355"/>
      <c r="V464" s="355"/>
      <c r="W464" s="355">
        <v>426.73333333333335</v>
      </c>
      <c r="X464" s="1137"/>
      <c r="Y464" s="1126"/>
      <c r="Z464" s="1126"/>
      <c r="AA464" s="1126"/>
      <c r="AB464" s="1126"/>
      <c r="AC464" s="1126"/>
      <c r="AD464" s="1126"/>
      <c r="AE464" s="1126"/>
      <c r="AF464" s="1126"/>
      <c r="AG464" s="1156"/>
    </row>
    <row r="465" spans="1:33" outlineLevel="2">
      <c r="A465" s="294">
        <v>3212</v>
      </c>
      <c r="B465" s="291" t="s">
        <v>556</v>
      </c>
      <c r="C465" s="824" t="s">
        <v>562</v>
      </c>
      <c r="D465" s="1391"/>
      <c r="E465" s="294">
        <f>10</f>
        <v>10</v>
      </c>
      <c r="F465" s="829">
        <v>43252</v>
      </c>
      <c r="G465" s="829">
        <f>+F465+E465</f>
        <v>43262</v>
      </c>
      <c r="H465" s="1391" t="s">
        <v>555</v>
      </c>
      <c r="I465" s="294" t="s">
        <v>177</v>
      </c>
      <c r="J465" s="307"/>
      <c r="K465" s="326" t="s">
        <v>563</v>
      </c>
      <c r="L465" s="1237">
        <v>23174</v>
      </c>
      <c r="M465" s="326"/>
      <c r="N465" s="294"/>
      <c r="O465" s="355">
        <v>1640</v>
      </c>
      <c r="P465" s="1938">
        <v>1</v>
      </c>
      <c r="Q465" s="1126">
        <f>O465*P465</f>
        <v>1640</v>
      </c>
      <c r="R465" s="1985"/>
      <c r="S465" s="355"/>
      <c r="T465" s="355"/>
      <c r="U465" s="355"/>
      <c r="V465" s="355"/>
      <c r="W465" s="355">
        <v>333.33333333333331</v>
      </c>
      <c r="X465" s="1137"/>
      <c r="Y465" s="1126"/>
      <c r="Z465" s="1126"/>
      <c r="AA465" s="1126"/>
      <c r="AB465" s="1126"/>
      <c r="AC465" s="1126"/>
      <c r="AD465" s="1126"/>
      <c r="AE465" s="1126"/>
      <c r="AF465" s="1126"/>
      <c r="AG465" s="1156"/>
    </row>
    <row r="466" spans="1:33" outlineLevel="2">
      <c r="A466" s="294">
        <v>3212</v>
      </c>
      <c r="B466" s="291" t="s">
        <v>556</v>
      </c>
      <c r="C466" s="824" t="s">
        <v>564</v>
      </c>
      <c r="D466" s="1391"/>
      <c r="E466" s="294">
        <f>10</f>
        <v>10</v>
      </c>
      <c r="F466" s="829">
        <v>43252</v>
      </c>
      <c r="G466" s="829">
        <f>+F466+E466</f>
        <v>43262</v>
      </c>
      <c r="H466" s="1391" t="s">
        <v>555</v>
      </c>
      <c r="I466" s="1393" t="s">
        <v>177</v>
      </c>
      <c r="J466" s="307"/>
      <c r="K466" s="326" t="s">
        <v>565</v>
      </c>
      <c r="L466" s="1237">
        <v>23174</v>
      </c>
      <c r="M466" s="326"/>
      <c r="N466" s="294"/>
      <c r="O466" s="355">
        <v>426.73333333333335</v>
      </c>
      <c r="P466" s="1938">
        <v>1</v>
      </c>
      <c r="Q466" s="1126">
        <f>O466*P466</f>
        <v>426.73333333333335</v>
      </c>
      <c r="R466" s="1986"/>
      <c r="S466" s="487"/>
      <c r="T466" s="487"/>
      <c r="U466" s="487"/>
      <c r="V466" s="487"/>
      <c r="W466" s="487">
        <v>16128</v>
      </c>
      <c r="X466" s="1138"/>
      <c r="Y466" s="1156"/>
      <c r="Z466" s="1156"/>
      <c r="AA466" s="1156"/>
      <c r="AB466" s="1156"/>
      <c r="AC466" s="1156"/>
      <c r="AD466" s="1156"/>
      <c r="AE466" s="1156"/>
      <c r="AF466" s="1156"/>
      <c r="AG466" s="1156"/>
    </row>
    <row r="467" spans="1:33" ht="39.950000000000003" customHeight="1" outlineLevel="1">
      <c r="A467" s="1997"/>
      <c r="B467" s="1740"/>
      <c r="C467" s="2141"/>
      <c r="D467" s="1997"/>
      <c r="E467" s="1997"/>
      <c r="F467" s="2142"/>
      <c r="G467" s="2142"/>
      <c r="H467" s="1997"/>
      <c r="I467" s="2144"/>
      <c r="J467" s="1740"/>
      <c r="K467" s="1997"/>
      <c r="L467" s="1748" t="s">
        <v>1051</v>
      </c>
      <c r="M467" s="1997"/>
      <c r="N467" s="1997"/>
      <c r="O467" s="1998"/>
      <c r="P467" s="1999"/>
      <c r="Q467" s="1998">
        <f>SUBTOTAL(9,Q464:Q466)</f>
        <v>6130.7333333333336</v>
      </c>
      <c r="R467" s="2140"/>
      <c r="S467" s="1144"/>
      <c r="T467" s="1144"/>
      <c r="U467" s="1144"/>
      <c r="V467" s="1144"/>
      <c r="W467" s="1144"/>
      <c r="X467" s="1701"/>
      <c r="Y467" s="1144"/>
      <c r="Z467" s="1144"/>
      <c r="AA467" s="1144"/>
      <c r="AB467" s="1144"/>
      <c r="AC467" s="1144"/>
      <c r="AD467" s="1144"/>
      <c r="AE467" s="1144"/>
      <c r="AF467" s="1144"/>
      <c r="AG467" s="1144"/>
    </row>
    <row r="468" spans="1:33" ht="39.950000000000003" customHeight="1">
      <c r="A468" s="1997"/>
      <c r="B468" s="1740"/>
      <c r="C468" s="2141"/>
      <c r="D468" s="1997"/>
      <c r="E468" s="1997"/>
      <c r="F468" s="2142"/>
      <c r="G468" s="2142"/>
      <c r="H468" s="1997"/>
      <c r="I468" s="2144"/>
      <c r="J468" s="1740"/>
      <c r="K468" s="1997"/>
      <c r="L468" s="1748" t="s">
        <v>1052</v>
      </c>
      <c r="M468" s="1997"/>
      <c r="N468" s="1997"/>
      <c r="O468" s="1998"/>
      <c r="P468" s="1999"/>
      <c r="Q468" s="1998">
        <f>SUBTOTAL(9,Q460:Q466)</f>
        <v>22794.666666666668</v>
      </c>
      <c r="R468" s="2140"/>
      <c r="S468" s="1144"/>
      <c r="T468" s="1144"/>
      <c r="U468" s="1144"/>
      <c r="V468" s="1144"/>
      <c r="W468" s="1144"/>
      <c r="X468" s="1701"/>
      <c r="Y468" s="1144"/>
      <c r="Z468" s="1144"/>
      <c r="AA468" s="1144"/>
      <c r="AB468" s="1144"/>
      <c r="AC468" s="1144"/>
      <c r="AD468" s="1144"/>
      <c r="AE468" s="1144"/>
      <c r="AF468" s="1144"/>
      <c r="AG468" s="1144"/>
    </row>
    <row r="469" spans="1:33" ht="27" customHeight="1">
      <c r="A469" s="1275">
        <v>322</v>
      </c>
      <c r="B469" s="508" t="s">
        <v>572</v>
      </c>
      <c r="C469" s="1559"/>
      <c r="D469" s="822"/>
      <c r="E469" s="822"/>
      <c r="F469" s="822"/>
      <c r="G469" s="822"/>
      <c r="H469" s="822"/>
      <c r="I469" s="822"/>
      <c r="J469" s="283"/>
      <c r="K469" s="1278"/>
      <c r="L469" s="1279"/>
      <c r="M469" s="1280"/>
      <c r="N469" s="1277"/>
      <c r="O469" s="1395"/>
      <c r="P469" s="1949"/>
      <c r="Q469" s="1343">
        <f>+Q473+Q477</f>
        <v>7666.666666666667</v>
      </c>
      <c r="R469" s="1987"/>
      <c r="S469" s="1282">
        <f t="shared" ref="S469:AF469" si="78">SUM(S470:S476)</f>
        <v>0</v>
      </c>
      <c r="T469" s="1282">
        <f t="shared" si="78"/>
        <v>0</v>
      </c>
      <c r="U469" s="1282">
        <f t="shared" si="78"/>
        <v>0</v>
      </c>
      <c r="V469" s="1282">
        <f t="shared" si="78"/>
        <v>0</v>
      </c>
      <c r="W469" s="1282">
        <f t="shared" si="78"/>
        <v>0</v>
      </c>
      <c r="X469" s="1282">
        <f t="shared" si="78"/>
        <v>0</v>
      </c>
      <c r="Y469" s="1282">
        <f t="shared" si="78"/>
        <v>0</v>
      </c>
      <c r="Z469" s="1282">
        <f t="shared" si="78"/>
        <v>7666.666666666667</v>
      </c>
      <c r="AA469" s="1282">
        <f t="shared" si="78"/>
        <v>0</v>
      </c>
      <c r="AB469" s="1282">
        <f t="shared" si="78"/>
        <v>0</v>
      </c>
      <c r="AC469" s="1282">
        <f t="shared" si="78"/>
        <v>0</v>
      </c>
      <c r="AD469" s="1282">
        <f t="shared" si="78"/>
        <v>0</v>
      </c>
      <c r="AE469" s="1282">
        <f t="shared" si="78"/>
        <v>0</v>
      </c>
      <c r="AF469" s="1282">
        <f t="shared" si="78"/>
        <v>0</v>
      </c>
      <c r="AG469" s="1282">
        <f>SUM(S469:AF469)</f>
        <v>7666.666666666667</v>
      </c>
    </row>
    <row r="470" spans="1:33" outlineLevel="2">
      <c r="A470" s="294">
        <v>3222</v>
      </c>
      <c r="B470" s="561" t="s">
        <v>575</v>
      </c>
      <c r="C470" s="824" t="s">
        <v>579</v>
      </c>
      <c r="D470" s="294" t="s">
        <v>514</v>
      </c>
      <c r="E470" s="294">
        <v>45</v>
      </c>
      <c r="F470" s="829">
        <v>43194</v>
      </c>
      <c r="G470" s="829">
        <f>+F470+E470</f>
        <v>43239</v>
      </c>
      <c r="H470" s="1391" t="s">
        <v>555</v>
      </c>
      <c r="I470" s="294" t="s">
        <v>169</v>
      </c>
      <c r="J470" s="307"/>
      <c r="K470" s="326" t="s">
        <v>302</v>
      </c>
      <c r="L470" s="1237">
        <v>23173</v>
      </c>
      <c r="M470" s="326"/>
      <c r="N470" s="294"/>
      <c r="O470" s="355">
        <v>202.6</v>
      </c>
      <c r="P470" s="1938">
        <f>1</f>
        <v>1</v>
      </c>
      <c r="Q470" s="1126">
        <f>+O470*P470</f>
        <v>202.6</v>
      </c>
      <c r="R470" s="1985"/>
      <c r="S470" s="355"/>
      <c r="T470" s="355"/>
      <c r="U470" s="355"/>
      <c r="V470" s="355"/>
      <c r="W470" s="355"/>
      <c r="X470" s="1137"/>
      <c r="Y470" s="1126"/>
      <c r="Z470" s="1126">
        <v>202.6</v>
      </c>
      <c r="AA470" s="1126"/>
      <c r="AB470" s="1126"/>
      <c r="AC470" s="1126"/>
      <c r="AD470" s="1126"/>
      <c r="AE470" s="1126"/>
      <c r="AF470" s="1126"/>
      <c r="AG470" s="1156"/>
    </row>
    <row r="471" spans="1:33" outlineLevel="2">
      <c r="A471" s="294">
        <v>3222</v>
      </c>
      <c r="B471" s="561" t="s">
        <v>575</v>
      </c>
      <c r="C471" s="824" t="s">
        <v>566</v>
      </c>
      <c r="D471" s="1391"/>
      <c r="E471" s="294">
        <f>10</f>
        <v>10</v>
      </c>
      <c r="F471" s="829">
        <v>43313</v>
      </c>
      <c r="G471" s="829">
        <f>+F471+E471</f>
        <v>43323</v>
      </c>
      <c r="H471" s="1391" t="s">
        <v>555</v>
      </c>
      <c r="I471" s="294" t="s">
        <v>169</v>
      </c>
      <c r="J471" s="307" t="s">
        <v>177</v>
      </c>
      <c r="K471" s="326" t="s">
        <v>486</v>
      </c>
      <c r="L471" s="1237">
        <v>23173</v>
      </c>
      <c r="M471" s="326"/>
      <c r="N471" s="294"/>
      <c r="O471" s="355">
        <v>333.33333333333331</v>
      </c>
      <c r="P471" s="1938">
        <f>1</f>
        <v>1</v>
      </c>
      <c r="Q471" s="1126">
        <f>+O471*P471</f>
        <v>333.33333333333331</v>
      </c>
      <c r="R471" s="1985"/>
      <c r="S471" s="355"/>
      <c r="T471" s="355"/>
      <c r="U471" s="355"/>
      <c r="V471" s="355"/>
      <c r="W471" s="355"/>
      <c r="X471" s="1137"/>
      <c r="Y471" s="1126"/>
      <c r="Z471" s="1126">
        <v>4064</v>
      </c>
      <c r="AA471" s="1126"/>
      <c r="AB471" s="1126"/>
      <c r="AC471" s="1126"/>
      <c r="AD471" s="1126"/>
      <c r="AE471" s="1126"/>
      <c r="AF471" s="1126"/>
      <c r="AG471" s="1156"/>
    </row>
    <row r="472" spans="1:33" outlineLevel="2">
      <c r="A472" s="294">
        <v>3224</v>
      </c>
      <c r="B472" s="567" t="s">
        <v>583</v>
      </c>
      <c r="C472" s="824" t="s">
        <v>584</v>
      </c>
      <c r="D472" s="1396"/>
      <c r="E472" s="1391">
        <v>5</v>
      </c>
      <c r="F472" s="829">
        <v>43381</v>
      </c>
      <c r="G472" s="829">
        <f>+F472+E472</f>
        <v>43386</v>
      </c>
      <c r="H472" s="1391" t="s">
        <v>555</v>
      </c>
      <c r="I472" s="294" t="s">
        <v>169</v>
      </c>
      <c r="J472" s="307" t="s">
        <v>177</v>
      </c>
      <c r="K472" s="326"/>
      <c r="L472" s="1237">
        <v>23173</v>
      </c>
      <c r="M472" s="326"/>
      <c r="N472" s="294"/>
      <c r="O472" s="487">
        <v>1000</v>
      </c>
      <c r="P472" s="1938">
        <v>1</v>
      </c>
      <c r="Q472" s="1156">
        <f>+O472*P472</f>
        <v>1000</v>
      </c>
      <c r="R472" s="1985"/>
      <c r="S472" s="355"/>
      <c r="T472" s="355"/>
      <c r="U472" s="355"/>
      <c r="V472" s="355"/>
      <c r="W472" s="355"/>
      <c r="X472" s="1137"/>
      <c r="Y472" s="1126"/>
      <c r="Z472" s="1126">
        <v>1640</v>
      </c>
      <c r="AA472" s="1126"/>
      <c r="AB472" s="1126"/>
      <c r="AC472" s="1126"/>
      <c r="AD472" s="1126"/>
      <c r="AE472" s="1126"/>
      <c r="AF472" s="1126"/>
      <c r="AG472" s="1156"/>
    </row>
    <row r="473" spans="1:33" ht="39.950000000000003" customHeight="1" outlineLevel="1">
      <c r="A473" s="1997"/>
      <c r="B473" s="2145"/>
      <c r="C473" s="2141"/>
      <c r="D473" s="1997"/>
      <c r="E473" s="1997"/>
      <c r="F473" s="2142"/>
      <c r="G473" s="2142"/>
      <c r="H473" s="1997"/>
      <c r="I473" s="1997"/>
      <c r="J473" s="1740"/>
      <c r="K473" s="1997"/>
      <c r="L473" s="1748" t="s">
        <v>1053</v>
      </c>
      <c r="M473" s="1997"/>
      <c r="N473" s="1997"/>
      <c r="O473" s="1998"/>
      <c r="P473" s="1999"/>
      <c r="Q473" s="1998">
        <f>SUBTOTAL(9,Q470:Q472)</f>
        <v>1535.9333333333334</v>
      </c>
      <c r="R473" s="1985"/>
      <c r="S473" s="1126"/>
      <c r="T473" s="1126"/>
      <c r="U473" s="1126"/>
      <c r="V473" s="1126"/>
      <c r="W473" s="1126"/>
      <c r="X473" s="1672"/>
      <c r="Y473" s="1126"/>
      <c r="Z473" s="1126"/>
      <c r="AA473" s="1126"/>
      <c r="AB473" s="1126"/>
      <c r="AC473" s="1126"/>
      <c r="AD473" s="1126"/>
      <c r="AE473" s="1126"/>
      <c r="AF473" s="1126"/>
      <c r="AG473" s="1156"/>
    </row>
    <row r="474" spans="1:33" outlineLevel="2">
      <c r="A474" s="294">
        <v>3222</v>
      </c>
      <c r="B474" s="561" t="s">
        <v>575</v>
      </c>
      <c r="C474" s="824" t="s">
        <v>560</v>
      </c>
      <c r="D474" s="1391"/>
      <c r="E474" s="294">
        <v>10</v>
      </c>
      <c r="F474" s="829">
        <v>43313</v>
      </c>
      <c r="G474" s="829">
        <f>+F474+E474</f>
        <v>43323</v>
      </c>
      <c r="H474" s="1391" t="s">
        <v>555</v>
      </c>
      <c r="I474" s="294" t="s">
        <v>177</v>
      </c>
      <c r="J474" s="307"/>
      <c r="K474" s="326" t="s">
        <v>561</v>
      </c>
      <c r="L474" s="1237">
        <v>23174</v>
      </c>
      <c r="M474" s="326"/>
      <c r="N474" s="294"/>
      <c r="O474" s="355">
        <v>4064</v>
      </c>
      <c r="P474" s="1938">
        <f>1</f>
        <v>1</v>
      </c>
      <c r="Q474" s="1126">
        <f>+O474*P474</f>
        <v>4064</v>
      </c>
      <c r="R474" s="1985"/>
      <c r="S474" s="355"/>
      <c r="T474" s="355"/>
      <c r="U474" s="355"/>
      <c r="V474" s="355"/>
      <c r="W474" s="355"/>
      <c r="X474" s="1137"/>
      <c r="Y474" s="1126"/>
      <c r="Z474" s="1126">
        <v>426.73333333333335</v>
      </c>
      <c r="AA474" s="1126"/>
      <c r="AB474" s="1126"/>
      <c r="AC474" s="1126"/>
      <c r="AD474" s="1126"/>
      <c r="AE474" s="1126"/>
      <c r="AF474" s="1126"/>
      <c r="AG474" s="1156"/>
    </row>
    <row r="475" spans="1:33" outlineLevel="2">
      <c r="A475" s="294">
        <v>3222</v>
      </c>
      <c r="B475" s="561" t="s">
        <v>575</v>
      </c>
      <c r="C475" s="824" t="s">
        <v>562</v>
      </c>
      <c r="D475" s="1391"/>
      <c r="E475" s="294">
        <f>10</f>
        <v>10</v>
      </c>
      <c r="F475" s="829">
        <v>43313</v>
      </c>
      <c r="G475" s="829">
        <f>+F475+E475</f>
        <v>43323</v>
      </c>
      <c r="H475" s="1391" t="s">
        <v>555</v>
      </c>
      <c r="I475" s="294" t="s">
        <v>177</v>
      </c>
      <c r="J475" s="307"/>
      <c r="K475" s="326" t="s">
        <v>563</v>
      </c>
      <c r="L475" s="1237">
        <v>23174</v>
      </c>
      <c r="M475" s="326"/>
      <c r="N475" s="294"/>
      <c r="O475" s="355">
        <v>1640</v>
      </c>
      <c r="P475" s="1938">
        <f>1</f>
        <v>1</v>
      </c>
      <c r="Q475" s="1126">
        <f>+O475*P475</f>
        <v>1640</v>
      </c>
      <c r="R475" s="1985"/>
      <c r="S475" s="355"/>
      <c r="T475" s="355"/>
      <c r="U475" s="355"/>
      <c r="V475" s="355"/>
      <c r="W475" s="355"/>
      <c r="X475" s="1137"/>
      <c r="Y475" s="1126"/>
      <c r="Z475" s="1126">
        <v>333.33333333333331</v>
      </c>
      <c r="AA475" s="1126"/>
      <c r="AB475" s="1126"/>
      <c r="AC475" s="1126"/>
      <c r="AD475" s="1126"/>
      <c r="AE475" s="1126"/>
      <c r="AF475" s="1126"/>
      <c r="AG475" s="1156"/>
    </row>
    <row r="476" spans="1:33" outlineLevel="2">
      <c r="A476" s="1842">
        <v>3222</v>
      </c>
      <c r="B476" s="327" t="s">
        <v>575</v>
      </c>
      <c r="C476" s="824" t="s">
        <v>564</v>
      </c>
      <c r="D476" s="1391"/>
      <c r="E476" s="294">
        <f>10</f>
        <v>10</v>
      </c>
      <c r="F476" s="829">
        <v>43313</v>
      </c>
      <c r="G476" s="829">
        <f>+F476+E476</f>
        <v>43323</v>
      </c>
      <c r="H476" s="1391" t="s">
        <v>555</v>
      </c>
      <c r="I476" s="294" t="s">
        <v>177</v>
      </c>
      <c r="J476" s="307"/>
      <c r="K476" s="326" t="s">
        <v>565</v>
      </c>
      <c r="L476" s="1237">
        <v>23174</v>
      </c>
      <c r="M476" s="326"/>
      <c r="N476" s="294"/>
      <c r="O476" s="355">
        <v>426.73333333333335</v>
      </c>
      <c r="P476" s="1938">
        <f>1</f>
        <v>1</v>
      </c>
      <c r="Q476" s="1126">
        <f>+O476*P476</f>
        <v>426.73333333333335</v>
      </c>
      <c r="R476" s="1986"/>
      <c r="S476" s="487"/>
      <c r="T476" s="487"/>
      <c r="U476" s="487"/>
      <c r="V476" s="487"/>
      <c r="W476" s="487"/>
      <c r="X476" s="563"/>
      <c r="Y476" s="1156"/>
      <c r="Z476" s="1156">
        <v>1000</v>
      </c>
      <c r="AA476" s="1156"/>
      <c r="AB476" s="1156"/>
      <c r="AC476" s="1156"/>
      <c r="AD476" s="1156"/>
      <c r="AE476" s="1156"/>
      <c r="AF476" s="1156"/>
      <c r="AG476" s="1158"/>
    </row>
    <row r="477" spans="1:33" ht="39.950000000000003" customHeight="1" outlineLevel="1">
      <c r="A477" s="2074"/>
      <c r="B477" s="1740"/>
      <c r="C477" s="2141"/>
      <c r="D477" s="1997"/>
      <c r="E477" s="1997"/>
      <c r="F477" s="2142"/>
      <c r="G477" s="2142"/>
      <c r="H477" s="1997"/>
      <c r="I477" s="1997"/>
      <c r="J477" s="1740"/>
      <c r="K477" s="1997"/>
      <c r="L477" s="1748" t="s">
        <v>1051</v>
      </c>
      <c r="M477" s="1997"/>
      <c r="N477" s="1997"/>
      <c r="O477" s="1998"/>
      <c r="P477" s="1999"/>
      <c r="Q477" s="1998">
        <f>SUBTOTAL(9,Q474:Q476)</f>
        <v>6130.7333333333336</v>
      </c>
      <c r="R477" s="1986"/>
      <c r="S477" s="1156"/>
      <c r="T477" s="1156"/>
      <c r="U477" s="1156"/>
      <c r="V477" s="1156"/>
      <c r="W477" s="1156"/>
      <c r="X477" s="563"/>
      <c r="Y477" s="1156"/>
      <c r="Z477" s="1156"/>
      <c r="AA477" s="1156"/>
      <c r="AB477" s="1156"/>
      <c r="AC477" s="1156"/>
      <c r="AD477" s="1156"/>
      <c r="AE477" s="1156"/>
      <c r="AF477" s="1156"/>
      <c r="AG477" s="1158"/>
    </row>
    <row r="478" spans="1:33" ht="39.950000000000003" customHeight="1">
      <c r="A478" s="2074"/>
      <c r="B478" s="1740"/>
      <c r="C478" s="2141"/>
      <c r="D478" s="1997"/>
      <c r="E478" s="1997"/>
      <c r="F478" s="2142"/>
      <c r="G478" s="2142"/>
      <c r="H478" s="1997"/>
      <c r="I478" s="1997"/>
      <c r="J478" s="1740"/>
      <c r="K478" s="1997"/>
      <c r="L478" s="1748" t="s">
        <v>1052</v>
      </c>
      <c r="M478" s="1997"/>
      <c r="N478" s="1997"/>
      <c r="O478" s="1998"/>
      <c r="P478" s="1999"/>
      <c r="Q478" s="1998">
        <f>SUBTOTAL(9,Q470:Q476)</f>
        <v>7666.666666666667</v>
      </c>
      <c r="R478" s="1986"/>
      <c r="S478" s="1156"/>
      <c r="T478" s="1156"/>
      <c r="U478" s="1156"/>
      <c r="V478" s="1156"/>
      <c r="W478" s="1156"/>
      <c r="X478" s="563"/>
      <c r="Y478" s="1156"/>
      <c r="Z478" s="1156"/>
      <c r="AA478" s="1156"/>
      <c r="AB478" s="1156"/>
      <c r="AC478" s="1156"/>
      <c r="AD478" s="1156"/>
      <c r="AE478" s="1156"/>
      <c r="AF478" s="1156"/>
      <c r="AG478" s="1158"/>
    </row>
    <row r="479" spans="1:33" ht="31.5">
      <c r="A479" s="1275">
        <v>323</v>
      </c>
      <c r="B479" s="508" t="s">
        <v>585</v>
      </c>
      <c r="C479" s="1559"/>
      <c r="D479" s="822"/>
      <c r="E479" s="822"/>
      <c r="F479" s="822"/>
      <c r="G479" s="822"/>
      <c r="H479" s="822"/>
      <c r="I479" s="822"/>
      <c r="J479" s="283"/>
      <c r="K479" s="1278"/>
      <c r="L479" s="1279"/>
      <c r="M479" s="1280"/>
      <c r="N479" s="1277"/>
      <c r="O479" s="1395"/>
      <c r="P479" s="1949"/>
      <c r="Q479" s="1343">
        <f>+Q485+Q494</f>
        <v>14314.71</v>
      </c>
      <c r="R479" s="1987"/>
      <c r="S479" s="1282">
        <f t="shared" ref="S479:AF479" si="79">SUM(S480:S493)</f>
        <v>0</v>
      </c>
      <c r="T479" s="1282">
        <f t="shared" si="79"/>
        <v>0</v>
      </c>
      <c r="U479" s="1282">
        <f t="shared" si="79"/>
        <v>0</v>
      </c>
      <c r="V479" s="1282">
        <f t="shared" si="79"/>
        <v>0</v>
      </c>
      <c r="W479" s="1282">
        <f t="shared" si="79"/>
        <v>0</v>
      </c>
      <c r="X479" s="1282">
        <f t="shared" si="79"/>
        <v>14314.71</v>
      </c>
      <c r="Y479" s="1282">
        <f t="shared" si="79"/>
        <v>0</v>
      </c>
      <c r="Z479" s="1282">
        <f t="shared" si="79"/>
        <v>0</v>
      </c>
      <c r="AA479" s="1282">
        <f t="shared" si="79"/>
        <v>0</v>
      </c>
      <c r="AB479" s="1282">
        <f t="shared" si="79"/>
        <v>0</v>
      </c>
      <c r="AC479" s="1282">
        <f t="shared" si="79"/>
        <v>0</v>
      </c>
      <c r="AD479" s="1282">
        <f t="shared" si="79"/>
        <v>0</v>
      </c>
      <c r="AE479" s="1282">
        <f t="shared" si="79"/>
        <v>0</v>
      </c>
      <c r="AF479" s="1282">
        <f t="shared" si="79"/>
        <v>0</v>
      </c>
      <c r="AG479" s="1282">
        <f>SUM(S479:AF479)</f>
        <v>14314.71</v>
      </c>
    </row>
    <row r="480" spans="1:33" outlineLevel="2">
      <c r="A480" s="294">
        <v>3232</v>
      </c>
      <c r="B480" s="291" t="s">
        <v>588</v>
      </c>
      <c r="C480" s="824" t="s">
        <v>579</v>
      </c>
      <c r="D480" s="341"/>
      <c r="E480" s="294">
        <v>45</v>
      </c>
      <c r="F480" s="829">
        <v>43194</v>
      </c>
      <c r="G480" s="829">
        <f>+F480+E480</f>
        <v>43239</v>
      </c>
      <c r="H480" s="1391"/>
      <c r="I480" s="294" t="s">
        <v>169</v>
      </c>
      <c r="J480" s="307" t="s">
        <v>177</v>
      </c>
      <c r="K480" s="326" t="s">
        <v>302</v>
      </c>
      <c r="L480" s="1237">
        <v>23173</v>
      </c>
      <c r="M480" s="326"/>
      <c r="N480" s="294"/>
      <c r="O480" s="355">
        <v>79.5</v>
      </c>
      <c r="P480" s="1938">
        <v>1</v>
      </c>
      <c r="Q480" s="1126">
        <f>+O480*P480</f>
        <v>79.5</v>
      </c>
      <c r="R480" s="1985"/>
      <c r="S480" s="355"/>
      <c r="T480" s="355"/>
      <c r="U480" s="355"/>
      <c r="V480" s="355"/>
      <c r="W480" s="355"/>
      <c r="X480" s="1137">
        <v>79.5</v>
      </c>
      <c r="Y480" s="1126"/>
      <c r="Z480" s="1124"/>
      <c r="AA480" s="1124"/>
      <c r="AB480" s="1124"/>
      <c r="AC480" s="1124"/>
      <c r="AD480" s="1124"/>
      <c r="AE480" s="1124"/>
      <c r="AF480" s="1124"/>
      <c r="AG480" s="1156"/>
    </row>
    <row r="481" spans="1:33" outlineLevel="2">
      <c r="A481" s="294">
        <v>3232</v>
      </c>
      <c r="B481" s="291" t="s">
        <v>588</v>
      </c>
      <c r="C481" s="824" t="s">
        <v>566</v>
      </c>
      <c r="D481" s="1391"/>
      <c r="E481" s="294">
        <v>6</v>
      </c>
      <c r="F481" s="829">
        <v>43287</v>
      </c>
      <c r="G481" s="829">
        <f>+F481+E481</f>
        <v>43293</v>
      </c>
      <c r="H481" s="1391"/>
      <c r="I481" s="294" t="s">
        <v>169</v>
      </c>
      <c r="J481" s="307" t="s">
        <v>177</v>
      </c>
      <c r="K481" s="326" t="s">
        <v>486</v>
      </c>
      <c r="L481" s="1237">
        <v>23173</v>
      </c>
      <c r="M481" s="326"/>
      <c r="N481" s="294"/>
      <c r="O481" s="355">
        <v>500</v>
      </c>
      <c r="P481" s="1938">
        <v>1</v>
      </c>
      <c r="Q481" s="1126">
        <f>+O481*P481</f>
        <v>500</v>
      </c>
      <c r="R481" s="1985"/>
      <c r="S481" s="355"/>
      <c r="T481" s="355"/>
      <c r="U481" s="355"/>
      <c r="V481" s="355"/>
      <c r="W481" s="355"/>
      <c r="X481" s="1137">
        <v>2400</v>
      </c>
      <c r="Y481" s="1126"/>
      <c r="Z481" s="1124"/>
      <c r="AA481" s="1124"/>
      <c r="AB481" s="1124"/>
      <c r="AC481" s="1124"/>
      <c r="AD481" s="1124"/>
      <c r="AE481" s="1124"/>
      <c r="AF481" s="1124"/>
      <c r="AG481" s="1156"/>
    </row>
    <row r="482" spans="1:33" ht="36" customHeight="1" outlineLevel="2">
      <c r="A482" s="294">
        <v>3232</v>
      </c>
      <c r="B482" s="291" t="s">
        <v>588</v>
      </c>
      <c r="C482" s="824" t="s">
        <v>591</v>
      </c>
      <c r="D482" s="294" t="s">
        <v>514</v>
      </c>
      <c r="E482" s="294">
        <v>45</v>
      </c>
      <c r="F482" s="829">
        <v>43298</v>
      </c>
      <c r="G482" s="829">
        <f>+F482+E482</f>
        <v>43343</v>
      </c>
      <c r="H482" s="1391"/>
      <c r="I482" s="294" t="s">
        <v>169</v>
      </c>
      <c r="J482" s="307" t="s">
        <v>177</v>
      </c>
      <c r="K482" s="326"/>
      <c r="L482" s="1711">
        <v>23173</v>
      </c>
      <c r="M482" s="326"/>
      <c r="N482" s="294"/>
      <c r="O482" s="355">
        <v>377.33</v>
      </c>
      <c r="P482" s="1938">
        <v>1</v>
      </c>
      <c r="Q482" s="1126">
        <f>+O482*P482</f>
        <v>377.33</v>
      </c>
      <c r="R482" s="1985"/>
      <c r="S482" s="355"/>
      <c r="T482" s="355"/>
      <c r="U482" s="355"/>
      <c r="V482" s="355"/>
      <c r="W482" s="355"/>
      <c r="X482" s="1137">
        <v>1973.3333333333333</v>
      </c>
      <c r="Y482" s="1126"/>
      <c r="Z482" s="1124"/>
      <c r="AA482" s="1124"/>
      <c r="AB482" s="1124"/>
      <c r="AC482" s="1124"/>
      <c r="AD482" s="1124"/>
      <c r="AE482" s="1124"/>
      <c r="AF482" s="1124"/>
      <c r="AG482" s="1156"/>
    </row>
    <row r="483" spans="1:33" ht="36" customHeight="1" outlineLevel="2">
      <c r="A483" s="294">
        <v>3234</v>
      </c>
      <c r="B483" s="291" t="s">
        <v>593</v>
      </c>
      <c r="C483" s="824" t="s">
        <v>579</v>
      </c>
      <c r="D483" s="294" t="s">
        <v>514</v>
      </c>
      <c r="E483" s="294">
        <v>45</v>
      </c>
      <c r="F483" s="829">
        <v>43194</v>
      </c>
      <c r="G483" s="829">
        <f>+F483+E483</f>
        <v>43239</v>
      </c>
      <c r="H483" s="1391"/>
      <c r="I483" s="294" t="s">
        <v>169</v>
      </c>
      <c r="J483" s="307"/>
      <c r="K483" s="326" t="s">
        <v>302</v>
      </c>
      <c r="L483" s="1237">
        <v>23173</v>
      </c>
      <c r="M483" s="326"/>
      <c r="N483" s="294"/>
      <c r="O483" s="355">
        <v>57.333333333333336</v>
      </c>
      <c r="P483" s="1938">
        <v>1</v>
      </c>
      <c r="Q483" s="1126">
        <f>+O483*P483</f>
        <v>57.333333333333336</v>
      </c>
      <c r="R483" s="1985"/>
      <c r="S483" s="355"/>
      <c r="T483" s="355"/>
      <c r="U483" s="355"/>
      <c r="V483" s="355"/>
      <c r="W483" s="355"/>
      <c r="X483" s="1137">
        <v>340.13333333333333</v>
      </c>
      <c r="Y483" s="1126"/>
      <c r="Z483" s="1124"/>
      <c r="AA483" s="1124"/>
      <c r="AB483" s="1124"/>
      <c r="AC483" s="1124"/>
      <c r="AD483" s="1124"/>
      <c r="AE483" s="1124"/>
      <c r="AF483" s="1124"/>
      <c r="AG483" s="1156"/>
    </row>
    <row r="484" spans="1:33" ht="36" customHeight="1" outlineLevel="2">
      <c r="A484" s="294">
        <v>3234</v>
      </c>
      <c r="B484" s="291" t="s">
        <v>593</v>
      </c>
      <c r="C484" s="824" t="s">
        <v>566</v>
      </c>
      <c r="D484" s="1391"/>
      <c r="E484" s="294">
        <v>4</v>
      </c>
      <c r="F484" s="829">
        <v>43367</v>
      </c>
      <c r="G484" s="829">
        <f>+F484+E484</f>
        <v>43371</v>
      </c>
      <c r="H484" s="1391"/>
      <c r="I484" s="294" t="s">
        <v>169</v>
      </c>
      <c r="J484" s="307"/>
      <c r="K484" s="326" t="s">
        <v>486</v>
      </c>
      <c r="L484" s="1237">
        <v>23173</v>
      </c>
      <c r="M484" s="326"/>
      <c r="N484" s="294"/>
      <c r="O484" s="355">
        <v>133.33333333333334</v>
      </c>
      <c r="P484" s="1938">
        <v>1</v>
      </c>
      <c r="Q484" s="1126">
        <f>+O484*P484</f>
        <v>133.33333333333334</v>
      </c>
      <c r="R484" s="1985"/>
      <c r="S484" s="355"/>
      <c r="T484" s="355"/>
      <c r="U484" s="355"/>
      <c r="V484" s="355"/>
      <c r="W484" s="355"/>
      <c r="X484" s="1137">
        <v>500</v>
      </c>
      <c r="Y484" s="1126"/>
      <c r="Z484" s="1124"/>
      <c r="AA484" s="1124"/>
      <c r="AB484" s="1124"/>
      <c r="AC484" s="1124"/>
      <c r="AD484" s="1124"/>
      <c r="AE484" s="1124"/>
      <c r="AF484" s="1124"/>
      <c r="AG484" s="1156"/>
    </row>
    <row r="485" spans="1:33" ht="39.950000000000003" customHeight="1" outlineLevel="1">
      <c r="A485" s="1997"/>
      <c r="B485" s="1740"/>
      <c r="C485" s="2141"/>
      <c r="D485" s="2147"/>
      <c r="E485" s="1997"/>
      <c r="F485" s="2142"/>
      <c r="G485" s="2142"/>
      <c r="H485" s="1997"/>
      <c r="I485" s="1997"/>
      <c r="J485" s="1740"/>
      <c r="K485" s="1997"/>
      <c r="L485" s="1748" t="s">
        <v>1053</v>
      </c>
      <c r="M485" s="1997"/>
      <c r="N485" s="1997"/>
      <c r="O485" s="1998"/>
      <c r="P485" s="1999"/>
      <c r="Q485" s="1998">
        <f>SUBTOTAL(9,Q480:Q484)</f>
        <v>1147.4966666666667</v>
      </c>
      <c r="R485" s="1985"/>
      <c r="S485" s="1126"/>
      <c r="T485" s="1126"/>
      <c r="U485" s="1126"/>
      <c r="V485" s="1126"/>
      <c r="W485" s="1126"/>
      <c r="X485" s="1672"/>
      <c r="Y485" s="1126"/>
      <c r="Z485" s="1124"/>
      <c r="AA485" s="1124"/>
      <c r="AB485" s="1124"/>
      <c r="AC485" s="1124"/>
      <c r="AD485" s="1124"/>
      <c r="AE485" s="1124"/>
      <c r="AF485" s="1124"/>
      <c r="AG485" s="1156"/>
    </row>
    <row r="486" spans="1:33" outlineLevel="2">
      <c r="A486" s="294">
        <v>3232</v>
      </c>
      <c r="B486" s="291" t="s">
        <v>588</v>
      </c>
      <c r="C486" s="824" t="s">
        <v>560</v>
      </c>
      <c r="D486" s="2146"/>
      <c r="E486" s="294">
        <v>6</v>
      </c>
      <c r="F486" s="829">
        <v>43287</v>
      </c>
      <c r="G486" s="829">
        <f t="shared" ref="G486:G493" si="80">+F486+E486</f>
        <v>43293</v>
      </c>
      <c r="H486" s="1391"/>
      <c r="I486" s="294" t="s">
        <v>177</v>
      </c>
      <c r="J486" s="307"/>
      <c r="K486" s="326" t="s">
        <v>561</v>
      </c>
      <c r="L486" s="1237">
        <v>23174</v>
      </c>
      <c r="M486" s="326"/>
      <c r="N486" s="294"/>
      <c r="O486" s="355">
        <v>2400</v>
      </c>
      <c r="P486" s="1938">
        <v>1</v>
      </c>
      <c r="Q486" s="1126">
        <f t="shared" ref="Q486:Q493" si="81">+O486*P486</f>
        <v>2400</v>
      </c>
      <c r="R486" s="1985"/>
      <c r="S486" s="355"/>
      <c r="T486" s="355"/>
      <c r="U486" s="355"/>
      <c r="V486" s="355"/>
      <c r="W486" s="355"/>
      <c r="X486" s="1137">
        <v>377.33</v>
      </c>
      <c r="Y486" s="1126"/>
      <c r="Z486" s="1124"/>
      <c r="AA486" s="1124"/>
      <c r="AB486" s="1124"/>
      <c r="AC486" s="1124"/>
      <c r="AD486" s="1124"/>
      <c r="AE486" s="1124"/>
      <c r="AF486" s="1124"/>
      <c r="AG486" s="1156"/>
    </row>
    <row r="487" spans="1:33" ht="15.75" customHeight="1" outlineLevel="2">
      <c r="A487" s="294">
        <v>3232</v>
      </c>
      <c r="B487" s="567" t="s">
        <v>588</v>
      </c>
      <c r="C487" s="824" t="s">
        <v>562</v>
      </c>
      <c r="D487" s="1391"/>
      <c r="E487" s="294">
        <v>6</v>
      </c>
      <c r="F487" s="829">
        <v>43287</v>
      </c>
      <c r="G487" s="829">
        <f t="shared" si="80"/>
        <v>43293</v>
      </c>
      <c r="H487" s="1391"/>
      <c r="I487" s="294" t="s">
        <v>177</v>
      </c>
      <c r="J487" s="307"/>
      <c r="K487" s="326" t="s">
        <v>563</v>
      </c>
      <c r="L487" s="1237">
        <v>23174</v>
      </c>
      <c r="M487" s="326"/>
      <c r="N487" s="294"/>
      <c r="O487" s="355">
        <v>1973.3333333333333</v>
      </c>
      <c r="P487" s="1938">
        <v>1</v>
      </c>
      <c r="Q487" s="1126">
        <f t="shared" si="81"/>
        <v>1973.3333333333333</v>
      </c>
      <c r="R487" s="1985"/>
      <c r="S487" s="355"/>
      <c r="T487" s="355"/>
      <c r="U487" s="355"/>
      <c r="V487" s="355"/>
      <c r="W487" s="355"/>
      <c r="X487" s="1137">
        <v>2546</v>
      </c>
      <c r="Y487" s="1126"/>
      <c r="Z487" s="1124"/>
      <c r="AA487" s="1124"/>
      <c r="AB487" s="1124"/>
      <c r="AC487" s="1124"/>
      <c r="AD487" s="1124"/>
      <c r="AE487" s="1124"/>
      <c r="AF487" s="1124"/>
      <c r="AG487" s="1156"/>
    </row>
    <row r="488" spans="1:33" ht="15.75" customHeight="1" outlineLevel="2">
      <c r="A488" s="294">
        <v>3232</v>
      </c>
      <c r="B488" s="567" t="s">
        <v>588</v>
      </c>
      <c r="C488" s="824" t="s">
        <v>564</v>
      </c>
      <c r="D488" s="1391"/>
      <c r="E488" s="294">
        <v>6</v>
      </c>
      <c r="F488" s="829">
        <v>43287</v>
      </c>
      <c r="G488" s="829">
        <f t="shared" si="80"/>
        <v>43293</v>
      </c>
      <c r="H488" s="1391"/>
      <c r="I488" s="294" t="s">
        <v>177</v>
      </c>
      <c r="J488" s="307"/>
      <c r="K488" s="326" t="s">
        <v>565</v>
      </c>
      <c r="L488" s="1237">
        <v>23174</v>
      </c>
      <c r="M488" s="326"/>
      <c r="N488" s="294"/>
      <c r="O488" s="355">
        <v>340.13333333333333</v>
      </c>
      <c r="P488" s="1938">
        <v>1</v>
      </c>
      <c r="Q488" s="1126">
        <f t="shared" si="81"/>
        <v>340.13333333333333</v>
      </c>
      <c r="R488" s="1985"/>
      <c r="S488" s="355"/>
      <c r="T488" s="355"/>
      <c r="U488" s="355"/>
      <c r="V488" s="355"/>
      <c r="W488" s="355"/>
      <c r="X488" s="1137">
        <v>1306.6666666666667</v>
      </c>
      <c r="Y488" s="1126"/>
      <c r="Z488" s="1124"/>
      <c r="AA488" s="1124"/>
      <c r="AB488" s="1124"/>
      <c r="AC488" s="1124"/>
      <c r="AD488" s="1124"/>
      <c r="AE488" s="1124"/>
      <c r="AF488" s="1124"/>
      <c r="AG488" s="1156"/>
    </row>
    <row r="489" spans="1:33" ht="15.75" customHeight="1" outlineLevel="2">
      <c r="A489" s="294">
        <v>3233</v>
      </c>
      <c r="B489" s="567" t="s">
        <v>458</v>
      </c>
      <c r="C489" s="824" t="s">
        <v>560</v>
      </c>
      <c r="D489" s="1391"/>
      <c r="E489" s="1391">
        <v>9</v>
      </c>
      <c r="F489" s="829">
        <v>43346</v>
      </c>
      <c r="G489" s="829">
        <f t="shared" si="80"/>
        <v>43355</v>
      </c>
      <c r="H489" s="1391"/>
      <c r="I489" s="294"/>
      <c r="J489" s="307"/>
      <c r="K489" s="326" t="s">
        <v>561</v>
      </c>
      <c r="L489" s="1237">
        <v>23174</v>
      </c>
      <c r="M489" s="326"/>
      <c r="N489" s="294"/>
      <c r="O489" s="487">
        <v>2546</v>
      </c>
      <c r="P489" s="1938">
        <v>1</v>
      </c>
      <c r="Q489" s="1126">
        <f t="shared" si="81"/>
        <v>2546</v>
      </c>
      <c r="R489" s="1985"/>
      <c r="S489" s="355"/>
      <c r="T489" s="355"/>
      <c r="U489" s="355"/>
      <c r="V489" s="355"/>
      <c r="W489" s="355"/>
      <c r="X489" s="1137">
        <v>557.74666666666667</v>
      </c>
      <c r="Y489" s="1126"/>
      <c r="Z489" s="1124"/>
      <c r="AA489" s="1124"/>
      <c r="AB489" s="1124"/>
      <c r="AC489" s="1124"/>
      <c r="AD489" s="1124"/>
      <c r="AE489" s="1124"/>
      <c r="AF489" s="1124"/>
      <c r="AG489" s="1156"/>
    </row>
    <row r="490" spans="1:33" outlineLevel="2">
      <c r="A490" s="294">
        <v>3233</v>
      </c>
      <c r="B490" s="291" t="s">
        <v>458</v>
      </c>
      <c r="C490" s="824" t="s">
        <v>562</v>
      </c>
      <c r="D490" s="1391"/>
      <c r="E490" s="1391">
        <v>9</v>
      </c>
      <c r="F490" s="829">
        <v>43346</v>
      </c>
      <c r="G490" s="829">
        <f t="shared" si="80"/>
        <v>43355</v>
      </c>
      <c r="H490" s="1391"/>
      <c r="I490" s="294"/>
      <c r="J490" s="307"/>
      <c r="K490" s="326" t="s">
        <v>563</v>
      </c>
      <c r="L490" s="1237">
        <v>23174</v>
      </c>
      <c r="M490" s="326"/>
      <c r="N490" s="294"/>
      <c r="O490" s="487">
        <v>1306.6666666666667</v>
      </c>
      <c r="P490" s="1938">
        <v>1</v>
      </c>
      <c r="Q490" s="1126">
        <f t="shared" si="81"/>
        <v>1306.6666666666667</v>
      </c>
      <c r="R490" s="1985"/>
      <c r="S490" s="355"/>
      <c r="T490" s="355"/>
      <c r="U490" s="355"/>
      <c r="V490" s="355"/>
      <c r="W490" s="355"/>
      <c r="X490" s="1137">
        <v>57.333333333333336</v>
      </c>
      <c r="Y490" s="1126"/>
      <c r="Z490" s="1124"/>
      <c r="AA490" s="1124"/>
      <c r="AB490" s="1124"/>
      <c r="AC490" s="1124"/>
      <c r="AD490" s="1124"/>
      <c r="AE490" s="1124"/>
      <c r="AF490" s="1124"/>
      <c r="AG490" s="1156"/>
    </row>
    <row r="491" spans="1:33" outlineLevel="2">
      <c r="A491" s="294">
        <v>3233</v>
      </c>
      <c r="B491" s="291" t="s">
        <v>458</v>
      </c>
      <c r="C491" s="824" t="s">
        <v>564</v>
      </c>
      <c r="D491" s="1391"/>
      <c r="E491" s="1391">
        <v>9</v>
      </c>
      <c r="F491" s="829">
        <v>43346</v>
      </c>
      <c r="G491" s="829">
        <f t="shared" si="80"/>
        <v>43355</v>
      </c>
      <c r="H491" s="1391"/>
      <c r="I491" s="294"/>
      <c r="J491" s="307"/>
      <c r="K491" s="326" t="s">
        <v>565</v>
      </c>
      <c r="L491" s="1237">
        <v>23174</v>
      </c>
      <c r="M491" s="326"/>
      <c r="N491" s="294"/>
      <c r="O491" s="487">
        <v>557.74666666666667</v>
      </c>
      <c r="P491" s="1938">
        <v>1</v>
      </c>
      <c r="Q491" s="1126">
        <f t="shared" si="81"/>
        <v>557.74666666666667</v>
      </c>
      <c r="R491" s="1985"/>
      <c r="S491" s="355"/>
      <c r="T491" s="355"/>
      <c r="U491" s="355"/>
      <c r="V491" s="355"/>
      <c r="W491" s="355"/>
      <c r="X491" s="1137">
        <v>2150</v>
      </c>
      <c r="Y491" s="1126"/>
      <c r="Z491" s="1124"/>
      <c r="AA491" s="1124"/>
      <c r="AB491" s="1124"/>
      <c r="AC491" s="1124"/>
      <c r="AD491" s="1124"/>
      <c r="AE491" s="1124"/>
      <c r="AF491" s="1124"/>
      <c r="AG491" s="1156"/>
    </row>
    <row r="492" spans="1:33" outlineLevel="2">
      <c r="A492" s="294">
        <v>3234</v>
      </c>
      <c r="B492" s="291" t="s">
        <v>593</v>
      </c>
      <c r="C492" s="824" t="s">
        <v>560</v>
      </c>
      <c r="D492" s="1391"/>
      <c r="E492" s="294">
        <v>4</v>
      </c>
      <c r="F492" s="829">
        <v>43367</v>
      </c>
      <c r="G492" s="829">
        <f t="shared" si="80"/>
        <v>43371</v>
      </c>
      <c r="H492" s="1391"/>
      <c r="I492" s="294" t="s">
        <v>177</v>
      </c>
      <c r="J492" s="307"/>
      <c r="K492" s="326" t="s">
        <v>596</v>
      </c>
      <c r="L492" s="1237">
        <v>23174</v>
      </c>
      <c r="M492" s="326"/>
      <c r="N492" s="294"/>
      <c r="O492" s="355">
        <v>2150</v>
      </c>
      <c r="P492" s="1938">
        <v>1</v>
      </c>
      <c r="Q492" s="1126">
        <f t="shared" si="81"/>
        <v>2150</v>
      </c>
      <c r="R492" s="1985"/>
      <c r="S492" s="355"/>
      <c r="T492" s="355"/>
      <c r="U492" s="355"/>
      <c r="V492" s="355"/>
      <c r="W492" s="355"/>
      <c r="X492" s="1137">
        <v>1893.3333333333333</v>
      </c>
      <c r="Y492" s="1126"/>
      <c r="Z492" s="1124"/>
      <c r="AA492" s="1124"/>
      <c r="AB492" s="1124"/>
      <c r="AC492" s="1124"/>
      <c r="AD492" s="1124"/>
      <c r="AE492" s="1124"/>
      <c r="AF492" s="1124"/>
      <c r="AG492" s="1156"/>
    </row>
    <row r="493" spans="1:33" outlineLevel="2">
      <c r="A493" s="294">
        <v>3234</v>
      </c>
      <c r="B493" s="291" t="s">
        <v>593</v>
      </c>
      <c r="C493" s="824" t="s">
        <v>564</v>
      </c>
      <c r="D493" s="1391"/>
      <c r="E493" s="294">
        <v>4</v>
      </c>
      <c r="F493" s="829">
        <v>43367</v>
      </c>
      <c r="G493" s="829">
        <f t="shared" si="80"/>
        <v>43371</v>
      </c>
      <c r="H493" s="1391"/>
      <c r="I493" s="294" t="s">
        <v>177</v>
      </c>
      <c r="J493" s="307"/>
      <c r="K493" s="326" t="s">
        <v>597</v>
      </c>
      <c r="L493" s="1237">
        <v>23174</v>
      </c>
      <c r="M493" s="326"/>
      <c r="N493" s="294"/>
      <c r="O493" s="355">
        <v>1893.3333333333333</v>
      </c>
      <c r="P493" s="1938">
        <v>1</v>
      </c>
      <c r="Q493" s="1126">
        <f t="shared" si="81"/>
        <v>1893.3333333333333</v>
      </c>
      <c r="R493" s="1985"/>
      <c r="S493" s="355"/>
      <c r="T493" s="355"/>
      <c r="U493" s="355"/>
      <c r="V493" s="355"/>
      <c r="W493" s="355"/>
      <c r="X493" s="1137">
        <v>133.33333333333334</v>
      </c>
      <c r="Y493" s="1126"/>
      <c r="Z493" s="1124"/>
      <c r="AA493" s="1124"/>
      <c r="AB493" s="1124"/>
      <c r="AC493" s="1124"/>
      <c r="AD493" s="1124"/>
      <c r="AE493" s="1124"/>
      <c r="AF493" s="1124"/>
      <c r="AG493" s="1156"/>
    </row>
    <row r="494" spans="1:33" ht="39.950000000000003" customHeight="1" outlineLevel="1">
      <c r="A494" s="1997"/>
      <c r="B494" s="1740"/>
      <c r="C494" s="2141"/>
      <c r="D494" s="1997"/>
      <c r="E494" s="1997"/>
      <c r="F494" s="2142"/>
      <c r="G494" s="2142"/>
      <c r="H494" s="1997"/>
      <c r="I494" s="1997"/>
      <c r="J494" s="1740"/>
      <c r="K494" s="1997"/>
      <c r="L494" s="1748" t="s">
        <v>1051</v>
      </c>
      <c r="M494" s="1997"/>
      <c r="N494" s="1997"/>
      <c r="O494" s="1998"/>
      <c r="P494" s="1999"/>
      <c r="Q494" s="1998">
        <f>SUBTOTAL(9,Q486:Q493)</f>
        <v>13167.213333333333</v>
      </c>
      <c r="R494" s="1985"/>
      <c r="S494" s="1126"/>
      <c r="T494" s="1126"/>
      <c r="U494" s="1126"/>
      <c r="V494" s="1126"/>
      <c r="W494" s="1126"/>
      <c r="X494" s="1672"/>
      <c r="Y494" s="1126"/>
      <c r="Z494" s="1124"/>
      <c r="AA494" s="1124"/>
      <c r="AB494" s="1124"/>
      <c r="AC494" s="1124"/>
      <c r="AD494" s="1124"/>
      <c r="AE494" s="1124"/>
      <c r="AF494" s="1124"/>
      <c r="AG494" s="1156"/>
    </row>
    <row r="495" spans="1:33" ht="39.950000000000003" customHeight="1">
      <c r="A495" s="1997"/>
      <c r="B495" s="1740"/>
      <c r="C495" s="2141"/>
      <c r="D495" s="1997"/>
      <c r="E495" s="1997"/>
      <c r="F495" s="2142"/>
      <c r="G495" s="2142"/>
      <c r="H495" s="1997"/>
      <c r="I495" s="1997"/>
      <c r="J495" s="1740"/>
      <c r="K495" s="1997"/>
      <c r="L495" s="1748" t="s">
        <v>1052</v>
      </c>
      <c r="M495" s="1997"/>
      <c r="N495" s="1997"/>
      <c r="O495" s="1998"/>
      <c r="P495" s="1999"/>
      <c r="Q495" s="1998">
        <f>SUBTOTAL(9,Q480:Q493)</f>
        <v>14314.71</v>
      </c>
      <c r="R495" s="1985"/>
      <c r="S495" s="1126"/>
      <c r="T495" s="1126"/>
      <c r="U495" s="1126"/>
      <c r="V495" s="1126"/>
      <c r="W495" s="1126"/>
      <c r="X495" s="1672"/>
      <c r="Y495" s="1126"/>
      <c r="Z495" s="1124"/>
      <c r="AA495" s="1124"/>
      <c r="AB495" s="1124"/>
      <c r="AC495" s="1124"/>
      <c r="AD495" s="1124"/>
      <c r="AE495" s="1124"/>
      <c r="AF495" s="1124"/>
      <c r="AG495" s="1156"/>
    </row>
    <row r="496" spans="1:33" ht="31.5">
      <c r="A496" s="1275">
        <v>324</v>
      </c>
      <c r="B496" s="508" t="s">
        <v>598</v>
      </c>
      <c r="C496" s="1559"/>
      <c r="D496" s="822"/>
      <c r="E496" s="822"/>
      <c r="F496" s="822"/>
      <c r="G496" s="822"/>
      <c r="H496" s="822"/>
      <c r="I496" s="822"/>
      <c r="J496" s="283"/>
      <c r="K496" s="1278"/>
      <c r="L496" s="1279"/>
      <c r="M496" s="1280"/>
      <c r="N496" s="1277"/>
      <c r="O496" s="1395"/>
      <c r="P496" s="1949"/>
      <c r="Q496" s="1343">
        <f>+Q499+Q504</f>
        <v>11980.666666666666</v>
      </c>
      <c r="R496" s="1987"/>
      <c r="S496" s="1282">
        <f t="shared" ref="S496:AF496" si="82">SUM(S497:S503)</f>
        <v>0</v>
      </c>
      <c r="T496" s="1282">
        <f t="shared" si="82"/>
        <v>0</v>
      </c>
      <c r="U496" s="1282">
        <f t="shared" si="82"/>
        <v>0</v>
      </c>
      <c r="V496" s="1282">
        <f t="shared" si="82"/>
        <v>0</v>
      </c>
      <c r="W496" s="1282">
        <f t="shared" si="82"/>
        <v>0</v>
      </c>
      <c r="X496" s="1282">
        <f t="shared" si="82"/>
        <v>11980.666666666668</v>
      </c>
      <c r="Y496" s="1282">
        <f t="shared" si="82"/>
        <v>0</v>
      </c>
      <c r="Z496" s="1282">
        <f t="shared" si="82"/>
        <v>0</v>
      </c>
      <c r="AA496" s="1282">
        <f t="shared" si="82"/>
        <v>0</v>
      </c>
      <c r="AB496" s="1282">
        <f t="shared" si="82"/>
        <v>0</v>
      </c>
      <c r="AC496" s="1282">
        <f t="shared" si="82"/>
        <v>0</v>
      </c>
      <c r="AD496" s="1282">
        <f t="shared" si="82"/>
        <v>0</v>
      </c>
      <c r="AE496" s="1282">
        <f t="shared" si="82"/>
        <v>0</v>
      </c>
      <c r="AF496" s="1282">
        <f t="shared" si="82"/>
        <v>0</v>
      </c>
      <c r="AG496" s="1282">
        <f>SUM(S496:AF496)</f>
        <v>11980.666666666668</v>
      </c>
    </row>
    <row r="497" spans="1:33" outlineLevel="2">
      <c r="A497" s="1393">
        <v>3241</v>
      </c>
      <c r="B497" s="291" t="s">
        <v>599</v>
      </c>
      <c r="C497" s="824" t="s">
        <v>579</v>
      </c>
      <c r="D497" s="341" t="s">
        <v>514</v>
      </c>
      <c r="E497" s="294">
        <v>45</v>
      </c>
      <c r="F497" s="829">
        <v>43194</v>
      </c>
      <c r="G497" s="829">
        <f>+E497+F497</f>
        <v>43239</v>
      </c>
      <c r="H497" s="1391"/>
      <c r="I497" s="294"/>
      <c r="J497" s="307"/>
      <c r="K497" s="326" t="s">
        <v>302</v>
      </c>
      <c r="L497" s="1237">
        <v>23173</v>
      </c>
      <c r="M497" s="326"/>
      <c r="N497" s="294"/>
      <c r="O497" s="355">
        <v>157.33333333333334</v>
      </c>
      <c r="P497" s="1961">
        <v>1</v>
      </c>
      <c r="Q497" s="1568">
        <f>+O497*P497</f>
        <v>157.33333333333334</v>
      </c>
      <c r="R497" s="1985"/>
      <c r="S497" s="355"/>
      <c r="T497" s="355"/>
      <c r="U497" s="355"/>
      <c r="V497" s="355"/>
      <c r="W497" s="355"/>
      <c r="X497" s="1137">
        <v>157.33333333333334</v>
      </c>
      <c r="Y497" s="1126"/>
      <c r="Z497" s="1126"/>
      <c r="AA497" s="1126"/>
      <c r="AB497" s="1126"/>
      <c r="AC497" s="1126"/>
      <c r="AD497" s="1126"/>
      <c r="AE497" s="1126"/>
      <c r="AF497" s="1126"/>
      <c r="AG497" s="1156"/>
    </row>
    <row r="498" spans="1:33" outlineLevel="2">
      <c r="A498" s="1393">
        <v>3241</v>
      </c>
      <c r="B498" s="291" t="s">
        <v>599</v>
      </c>
      <c r="C498" s="824" t="s">
        <v>566</v>
      </c>
      <c r="D498" s="1391"/>
      <c r="E498" s="294">
        <v>5</v>
      </c>
      <c r="F498" s="829">
        <v>43332</v>
      </c>
      <c r="G498" s="829">
        <f>+E498+F498</f>
        <v>43337</v>
      </c>
      <c r="H498" s="1391"/>
      <c r="I498" s="294"/>
      <c r="J498" s="307"/>
      <c r="K498" s="326" t="s">
        <v>486</v>
      </c>
      <c r="L498" s="1237">
        <v>23173</v>
      </c>
      <c r="M498" s="326"/>
      <c r="N498" s="294"/>
      <c r="O498" s="355">
        <v>233.33333333333334</v>
      </c>
      <c r="P498" s="1961">
        <v>1</v>
      </c>
      <c r="Q498" s="1568">
        <f>+O498*P498</f>
        <v>233.33333333333334</v>
      </c>
      <c r="R498" s="1985"/>
      <c r="S498" s="355"/>
      <c r="T498" s="355"/>
      <c r="U498" s="355"/>
      <c r="V498" s="355"/>
      <c r="W498" s="355"/>
      <c r="X498" s="1137">
        <v>3870</v>
      </c>
      <c r="Y498" s="1126"/>
      <c r="Z498" s="1126"/>
      <c r="AA498" s="1126"/>
      <c r="AB498" s="1126"/>
      <c r="AC498" s="1126"/>
      <c r="AD498" s="1126"/>
      <c r="AE498" s="1126"/>
      <c r="AF498" s="1126"/>
      <c r="AG498" s="1156"/>
    </row>
    <row r="499" spans="1:33" ht="39.950000000000003" customHeight="1" outlineLevel="1">
      <c r="A499" s="1997"/>
      <c r="B499" s="1740"/>
      <c r="C499" s="2141"/>
      <c r="D499" s="1997"/>
      <c r="E499" s="1997"/>
      <c r="F499" s="2142"/>
      <c r="G499" s="2142"/>
      <c r="H499" s="1997"/>
      <c r="I499" s="1997"/>
      <c r="J499" s="1740"/>
      <c r="K499" s="1997"/>
      <c r="L499" s="1748" t="s">
        <v>1053</v>
      </c>
      <c r="M499" s="1997"/>
      <c r="N499" s="1997"/>
      <c r="O499" s="1998"/>
      <c r="P499" s="1997"/>
      <c r="Q499" s="1998">
        <f>SUBTOTAL(9,Q497:Q498)</f>
        <v>390.66666666666669</v>
      </c>
      <c r="R499" s="1985"/>
      <c r="S499" s="1126"/>
      <c r="T499" s="1126"/>
      <c r="U499" s="1126"/>
      <c r="V499" s="1126"/>
      <c r="W499" s="1126"/>
      <c r="X499" s="1672"/>
      <c r="Y499" s="1126"/>
      <c r="Z499" s="1126"/>
      <c r="AA499" s="1126"/>
      <c r="AB499" s="1126"/>
      <c r="AC499" s="1126"/>
      <c r="AD499" s="1126"/>
      <c r="AE499" s="1126"/>
      <c r="AF499" s="1126"/>
      <c r="AG499" s="1156"/>
    </row>
    <row r="500" spans="1:33" outlineLevel="2">
      <c r="A500" s="1393">
        <v>3241</v>
      </c>
      <c r="B500" s="291" t="s">
        <v>599</v>
      </c>
      <c r="C500" s="824" t="s">
        <v>560</v>
      </c>
      <c r="D500" s="1391"/>
      <c r="E500" s="294">
        <v>5</v>
      </c>
      <c r="F500" s="829">
        <v>43332</v>
      </c>
      <c r="G500" s="829">
        <f>+E500+F500</f>
        <v>43337</v>
      </c>
      <c r="H500" s="1391"/>
      <c r="I500" s="294"/>
      <c r="J500" s="307"/>
      <c r="K500" s="326" t="s">
        <v>596</v>
      </c>
      <c r="L500" s="1237">
        <v>23174</v>
      </c>
      <c r="M500" s="326"/>
      <c r="N500" s="294"/>
      <c r="O500" s="355">
        <v>3870</v>
      </c>
      <c r="P500" s="1961">
        <v>1</v>
      </c>
      <c r="Q500" s="1568">
        <f>+O500*P500</f>
        <v>3870</v>
      </c>
      <c r="R500" s="1985"/>
      <c r="S500" s="355"/>
      <c r="T500" s="355"/>
      <c r="U500" s="355"/>
      <c r="V500" s="355"/>
      <c r="W500" s="355"/>
      <c r="X500" s="1137">
        <v>1580</v>
      </c>
      <c r="Y500" s="1126"/>
      <c r="Z500" s="1126"/>
      <c r="AA500" s="1126"/>
      <c r="AB500" s="1126"/>
      <c r="AC500" s="1126"/>
      <c r="AD500" s="1126"/>
      <c r="AE500" s="1126"/>
      <c r="AF500" s="1126"/>
      <c r="AG500" s="1156"/>
    </row>
    <row r="501" spans="1:33" outlineLevel="2">
      <c r="A501" s="1393">
        <v>3241</v>
      </c>
      <c r="B501" s="291" t="s">
        <v>599</v>
      </c>
      <c r="C501" s="824" t="s">
        <v>562</v>
      </c>
      <c r="D501" s="1391"/>
      <c r="E501" s="294">
        <v>5</v>
      </c>
      <c r="F501" s="829">
        <v>43332</v>
      </c>
      <c r="G501" s="829">
        <f>+E501+F501</f>
        <v>43337</v>
      </c>
      <c r="H501" s="1391"/>
      <c r="I501" s="294"/>
      <c r="J501" s="307"/>
      <c r="K501" s="326" t="s">
        <v>565</v>
      </c>
      <c r="L501" s="1237">
        <v>23174</v>
      </c>
      <c r="M501" s="326"/>
      <c r="N501" s="294"/>
      <c r="O501" s="355">
        <v>1580</v>
      </c>
      <c r="P501" s="1961">
        <v>1</v>
      </c>
      <c r="Q501" s="1568">
        <f>+O501*P501</f>
        <v>1580</v>
      </c>
      <c r="R501" s="1985"/>
      <c r="S501" s="355"/>
      <c r="T501" s="355"/>
      <c r="U501" s="355"/>
      <c r="V501" s="355"/>
      <c r="W501" s="355"/>
      <c r="X501" s="1137">
        <v>3840</v>
      </c>
      <c r="Y501" s="1126"/>
      <c r="Z501" s="1126"/>
      <c r="AA501" s="1126"/>
      <c r="AB501" s="1126"/>
      <c r="AC501" s="1126"/>
      <c r="AD501" s="1126"/>
      <c r="AE501" s="1126"/>
      <c r="AF501" s="1126"/>
      <c r="AG501" s="1156"/>
    </row>
    <row r="502" spans="1:33" outlineLevel="2">
      <c r="A502" s="1393">
        <v>3241</v>
      </c>
      <c r="B502" s="291" t="s">
        <v>599</v>
      </c>
      <c r="C502" s="824" t="s">
        <v>564</v>
      </c>
      <c r="D502" s="1391"/>
      <c r="E502" s="294">
        <v>5</v>
      </c>
      <c r="F502" s="829">
        <v>43332</v>
      </c>
      <c r="G502" s="829">
        <f>+E502+F502</f>
        <v>43337</v>
      </c>
      <c r="H502" s="1391"/>
      <c r="I502" s="294"/>
      <c r="J502" s="307"/>
      <c r="K502" s="326" t="s">
        <v>597</v>
      </c>
      <c r="L502" s="1237">
        <v>23174</v>
      </c>
      <c r="M502" s="326"/>
      <c r="N502" s="294"/>
      <c r="O502" s="355">
        <v>3840</v>
      </c>
      <c r="P502" s="1961">
        <v>1</v>
      </c>
      <c r="Q502" s="1568">
        <f>+O502*P502</f>
        <v>3840</v>
      </c>
      <c r="R502" s="1985"/>
      <c r="S502" s="355"/>
      <c r="T502" s="355"/>
      <c r="U502" s="355"/>
      <c r="V502" s="355"/>
      <c r="W502" s="355"/>
      <c r="X502" s="1137">
        <v>233.33333333333334</v>
      </c>
      <c r="Y502" s="1126"/>
      <c r="Z502" s="1126"/>
      <c r="AA502" s="1126"/>
      <c r="AB502" s="1126"/>
      <c r="AC502" s="1126"/>
      <c r="AD502" s="1126"/>
      <c r="AE502" s="1126"/>
      <c r="AF502" s="1126"/>
      <c r="AG502" s="1156"/>
    </row>
    <row r="503" spans="1:33" ht="31.5" outlineLevel="2">
      <c r="A503" s="294">
        <v>3242</v>
      </c>
      <c r="B503" s="291" t="s">
        <v>602</v>
      </c>
      <c r="C503" s="824" t="s">
        <v>603</v>
      </c>
      <c r="D503" s="1391"/>
      <c r="E503" s="294">
        <v>3</v>
      </c>
      <c r="F503" s="829">
        <v>43339</v>
      </c>
      <c r="G503" s="829">
        <f>+E503+F503</f>
        <v>43342</v>
      </c>
      <c r="H503" s="1391"/>
      <c r="I503" s="294" t="s">
        <v>177</v>
      </c>
      <c r="J503" s="307" t="s">
        <v>604</v>
      </c>
      <c r="K503" s="326"/>
      <c r="L503" s="1711">
        <v>23174</v>
      </c>
      <c r="M503" s="326"/>
      <c r="N503" s="294"/>
      <c r="O503" s="487">
        <v>2300</v>
      </c>
      <c r="P503" s="1938">
        <v>1</v>
      </c>
      <c r="Q503" s="1156">
        <f>O503*P503</f>
        <v>2300</v>
      </c>
      <c r="R503" s="1986"/>
      <c r="S503" s="487"/>
      <c r="T503" s="487"/>
      <c r="U503" s="487"/>
      <c r="V503" s="487"/>
      <c r="W503" s="555"/>
      <c r="X503" s="1138">
        <v>2300</v>
      </c>
      <c r="Y503" s="1124"/>
      <c r="Z503" s="1124"/>
      <c r="AA503" s="1124"/>
      <c r="AB503" s="1124"/>
      <c r="AC503" s="1124"/>
      <c r="AD503" s="1124"/>
      <c r="AE503" s="1124"/>
      <c r="AF503" s="1124"/>
      <c r="AG503" s="1156"/>
    </row>
    <row r="504" spans="1:33" ht="39.950000000000003" customHeight="1" outlineLevel="1">
      <c r="A504" s="1997"/>
      <c r="B504" s="1740"/>
      <c r="C504" s="2141"/>
      <c r="D504" s="1997"/>
      <c r="E504" s="1997"/>
      <c r="F504" s="2142"/>
      <c r="G504" s="2142"/>
      <c r="H504" s="1997"/>
      <c r="I504" s="1997"/>
      <c r="J504" s="1740"/>
      <c r="K504" s="1997"/>
      <c r="L504" s="1748" t="s">
        <v>1051</v>
      </c>
      <c r="M504" s="1997"/>
      <c r="N504" s="1997"/>
      <c r="O504" s="1998"/>
      <c r="P504" s="1997"/>
      <c r="Q504" s="1998">
        <f>SUBTOTAL(9,Q500:Q503)</f>
        <v>11590</v>
      </c>
      <c r="R504" s="1986"/>
      <c r="S504" s="1156"/>
      <c r="T504" s="1156"/>
      <c r="U504" s="1156"/>
      <c r="V504" s="1156"/>
      <c r="W504" s="1158"/>
      <c r="X504" s="2052"/>
      <c r="Y504" s="1124"/>
      <c r="Z504" s="1124"/>
      <c r="AA504" s="1124"/>
      <c r="AB504" s="1124"/>
      <c r="AC504" s="1124"/>
      <c r="AD504" s="1124"/>
      <c r="AE504" s="1124"/>
      <c r="AF504" s="1124"/>
      <c r="AG504" s="1156"/>
    </row>
    <row r="505" spans="1:33" ht="39.950000000000003" customHeight="1">
      <c r="A505" s="1997"/>
      <c r="B505" s="1740"/>
      <c r="C505" s="2141"/>
      <c r="D505" s="1997"/>
      <c r="E505" s="1997"/>
      <c r="F505" s="2142"/>
      <c r="G505" s="2142"/>
      <c r="H505" s="1997"/>
      <c r="I505" s="1997"/>
      <c r="J505" s="1740"/>
      <c r="K505" s="1997"/>
      <c r="L505" s="1748" t="s">
        <v>1052</v>
      </c>
      <c r="M505" s="1997"/>
      <c r="N505" s="1997"/>
      <c r="O505" s="1998"/>
      <c r="P505" s="1997"/>
      <c r="Q505" s="1998">
        <f>SUBTOTAL(9,Q497:Q503)</f>
        <v>11980.666666666668</v>
      </c>
      <c r="R505" s="1986"/>
      <c r="S505" s="1156"/>
      <c r="T505" s="1156"/>
      <c r="U505" s="1156"/>
      <c r="V505" s="1156"/>
      <c r="W505" s="1158"/>
      <c r="X505" s="2052"/>
      <c r="Y505" s="1124"/>
      <c r="Z505" s="1124"/>
      <c r="AA505" s="1124"/>
      <c r="AB505" s="1124"/>
      <c r="AC505" s="1124"/>
      <c r="AD505" s="1124"/>
      <c r="AE505" s="1124"/>
      <c r="AF505" s="1124"/>
      <c r="AG505" s="1156"/>
    </row>
    <row r="506" spans="1:33" s="1028" customFormat="1" ht="27" customHeight="1">
      <c r="A506" s="1275">
        <v>325</v>
      </c>
      <c r="B506" s="508" t="s">
        <v>605</v>
      </c>
      <c r="C506" s="1559"/>
      <c r="D506" s="822"/>
      <c r="E506" s="822"/>
      <c r="F506" s="822"/>
      <c r="G506" s="822"/>
      <c r="H506" s="822"/>
      <c r="I506" s="822"/>
      <c r="J506" s="543"/>
      <c r="K506" s="1545"/>
      <c r="L506" s="1579"/>
      <c r="M506" s="1000"/>
      <c r="N506" s="1388"/>
      <c r="O506" s="1282"/>
      <c r="P506" s="1966"/>
      <c r="Q506" s="1343">
        <f>+Q509+Q513</f>
        <v>13243</v>
      </c>
      <c r="R506" s="1984"/>
      <c r="S506" s="1282">
        <f t="shared" ref="S506:AF506" si="83">SUM(S507:S512)</f>
        <v>0</v>
      </c>
      <c r="T506" s="1282">
        <f t="shared" si="83"/>
        <v>0</v>
      </c>
      <c r="U506" s="1282">
        <f t="shared" si="83"/>
        <v>0</v>
      </c>
      <c r="V506" s="1282">
        <f t="shared" si="83"/>
        <v>0</v>
      </c>
      <c r="W506" s="1282">
        <f t="shared" si="83"/>
        <v>13243.000000000002</v>
      </c>
      <c r="X506" s="1282">
        <f t="shared" si="83"/>
        <v>0</v>
      </c>
      <c r="Y506" s="1282">
        <f t="shared" si="83"/>
        <v>0</v>
      </c>
      <c r="Z506" s="1282">
        <f t="shared" si="83"/>
        <v>0</v>
      </c>
      <c r="AA506" s="1282">
        <f t="shared" si="83"/>
        <v>0</v>
      </c>
      <c r="AB506" s="1282">
        <f t="shared" si="83"/>
        <v>0</v>
      </c>
      <c r="AC506" s="1282">
        <f t="shared" si="83"/>
        <v>0</v>
      </c>
      <c r="AD506" s="1282">
        <f t="shared" si="83"/>
        <v>0</v>
      </c>
      <c r="AE506" s="1282">
        <f t="shared" si="83"/>
        <v>0</v>
      </c>
      <c r="AF506" s="1282">
        <f t="shared" si="83"/>
        <v>0</v>
      </c>
      <c r="AG506" s="1282">
        <f>SUM(S506:AF506)</f>
        <v>13243.000000000002</v>
      </c>
    </row>
    <row r="507" spans="1:33" outlineLevel="2">
      <c r="A507" s="294">
        <v>3251</v>
      </c>
      <c r="B507" s="291" t="s">
        <v>606</v>
      </c>
      <c r="C507" s="824" t="s">
        <v>579</v>
      </c>
      <c r="D507" s="294" t="s">
        <v>514</v>
      </c>
      <c r="E507" s="294">
        <v>45</v>
      </c>
      <c r="F507" s="1399">
        <v>43194</v>
      </c>
      <c r="G507" s="1399">
        <f>+F507+E507</f>
        <v>43239</v>
      </c>
      <c r="H507" s="1391"/>
      <c r="I507" s="294"/>
      <c r="J507" s="307"/>
      <c r="K507" s="326" t="s">
        <v>302</v>
      </c>
      <c r="L507" s="1237">
        <v>23173</v>
      </c>
      <c r="M507" s="326"/>
      <c r="N507" s="294"/>
      <c r="O507" s="1811">
        <v>155.66666666666666</v>
      </c>
      <c r="P507" s="1938">
        <v>1</v>
      </c>
      <c r="Q507" s="1126">
        <f>+O507*P507</f>
        <v>155.66666666666666</v>
      </c>
      <c r="R507" s="1985"/>
      <c r="S507" s="355"/>
      <c r="T507" s="355"/>
      <c r="U507" s="355"/>
      <c r="V507" s="355"/>
      <c r="W507" s="355">
        <v>155.66666666666666</v>
      </c>
      <c r="X507" s="1137"/>
      <c r="Y507" s="1126"/>
      <c r="Z507" s="1126"/>
      <c r="AA507" s="1126"/>
      <c r="AB507" s="1126"/>
      <c r="AC507" s="1126"/>
      <c r="AD507" s="1126"/>
      <c r="AE507" s="1126"/>
      <c r="AF507" s="1126"/>
      <c r="AG507" s="1156"/>
    </row>
    <row r="508" spans="1:33" outlineLevel="2">
      <c r="A508" s="294">
        <v>3251</v>
      </c>
      <c r="B508" s="291" t="s">
        <v>606</v>
      </c>
      <c r="C508" s="824" t="s">
        <v>566</v>
      </c>
      <c r="D508" s="1391"/>
      <c r="E508" s="294">
        <v>10</v>
      </c>
      <c r="F508" s="1399">
        <v>43299</v>
      </c>
      <c r="G508" s="1399">
        <f>+E508+F508</f>
        <v>43309</v>
      </c>
      <c r="H508" s="1391"/>
      <c r="I508" s="294"/>
      <c r="J508" s="307"/>
      <c r="K508" s="326" t="s">
        <v>486</v>
      </c>
      <c r="L508" s="1237">
        <v>23173</v>
      </c>
      <c r="M508" s="326"/>
      <c r="N508" s="294"/>
      <c r="O508" s="355">
        <v>333.33333333333331</v>
      </c>
      <c r="P508" s="1938">
        <v>1</v>
      </c>
      <c r="Q508" s="1126">
        <f>+O508*P508</f>
        <v>333.33333333333331</v>
      </c>
      <c r="R508" s="1985"/>
      <c r="S508" s="355"/>
      <c r="T508" s="355"/>
      <c r="U508" s="355"/>
      <c r="V508" s="355"/>
      <c r="W508" s="355">
        <v>6048</v>
      </c>
      <c r="X508" s="1137"/>
      <c r="Y508" s="1126"/>
      <c r="Z508" s="1126"/>
      <c r="AA508" s="1126"/>
      <c r="AB508" s="1126"/>
      <c r="AC508" s="1126"/>
      <c r="AD508" s="1126"/>
      <c r="AE508" s="1126"/>
      <c r="AF508" s="1126"/>
      <c r="AG508" s="1156"/>
    </row>
    <row r="509" spans="1:33" ht="39.950000000000003" customHeight="1" outlineLevel="1">
      <c r="A509" s="1997"/>
      <c r="B509" s="1740"/>
      <c r="C509" s="2141"/>
      <c r="D509" s="1997"/>
      <c r="E509" s="1997"/>
      <c r="F509" s="2148"/>
      <c r="G509" s="2148"/>
      <c r="H509" s="1997"/>
      <c r="I509" s="1997"/>
      <c r="J509" s="1740"/>
      <c r="K509" s="1997"/>
      <c r="L509" s="1748" t="s">
        <v>1053</v>
      </c>
      <c r="M509" s="1997"/>
      <c r="N509" s="1997"/>
      <c r="O509" s="1998"/>
      <c r="P509" s="1997"/>
      <c r="Q509" s="1998">
        <f>SUBTOTAL(9,Q507:Q508)</f>
        <v>489</v>
      </c>
      <c r="R509" s="1985"/>
      <c r="S509" s="1126"/>
      <c r="T509" s="1126"/>
      <c r="U509" s="1126"/>
      <c r="V509" s="1126"/>
      <c r="W509" s="1126"/>
      <c r="X509" s="1672"/>
      <c r="Y509" s="1126"/>
      <c r="Z509" s="1126"/>
      <c r="AA509" s="1126"/>
      <c r="AB509" s="1126"/>
      <c r="AC509" s="1126"/>
      <c r="AD509" s="1126"/>
      <c r="AE509" s="1126"/>
      <c r="AF509" s="1126"/>
      <c r="AG509" s="1156"/>
    </row>
    <row r="510" spans="1:33" outlineLevel="2">
      <c r="A510" s="294">
        <v>3251</v>
      </c>
      <c r="B510" s="291" t="s">
        <v>606</v>
      </c>
      <c r="C510" s="824" t="s">
        <v>560</v>
      </c>
      <c r="D510" s="1391"/>
      <c r="E510" s="294">
        <v>10</v>
      </c>
      <c r="F510" s="1399">
        <v>43299</v>
      </c>
      <c r="G510" s="1399">
        <f>+E510+F510</f>
        <v>43309</v>
      </c>
      <c r="H510" s="1391"/>
      <c r="I510" s="294"/>
      <c r="J510" s="307"/>
      <c r="K510" s="326" t="s">
        <v>596</v>
      </c>
      <c r="L510" s="1237">
        <v>23174</v>
      </c>
      <c r="M510" s="326"/>
      <c r="N510" s="294"/>
      <c r="O510" s="355">
        <v>6048</v>
      </c>
      <c r="P510" s="1938">
        <v>1</v>
      </c>
      <c r="Q510" s="1126">
        <f>+O510*P510</f>
        <v>6048</v>
      </c>
      <c r="R510" s="1985"/>
      <c r="S510" s="355"/>
      <c r="T510" s="355"/>
      <c r="U510" s="355"/>
      <c r="V510" s="355"/>
      <c r="W510" s="355">
        <v>546</v>
      </c>
      <c r="X510" s="1137"/>
      <c r="Y510" s="1126"/>
      <c r="Z510" s="1126"/>
      <c r="AA510" s="1126"/>
      <c r="AB510" s="1126"/>
      <c r="AC510" s="1126"/>
      <c r="AD510" s="1126"/>
      <c r="AE510" s="1126"/>
      <c r="AF510" s="1126"/>
      <c r="AG510" s="1156"/>
    </row>
    <row r="511" spans="1:33" outlineLevel="2">
      <c r="A511" s="294">
        <v>3251</v>
      </c>
      <c r="B511" s="291" t="s">
        <v>606</v>
      </c>
      <c r="C511" s="824" t="s">
        <v>562</v>
      </c>
      <c r="D511" s="1391"/>
      <c r="E511" s="294">
        <v>10</v>
      </c>
      <c r="F511" s="1399">
        <v>43299</v>
      </c>
      <c r="G511" s="1399">
        <f>+E511+F511</f>
        <v>43309</v>
      </c>
      <c r="H511" s="1391"/>
      <c r="I511" s="294"/>
      <c r="J511" s="307"/>
      <c r="K511" s="326" t="s">
        <v>565</v>
      </c>
      <c r="L511" s="1237">
        <v>23174</v>
      </c>
      <c r="M511" s="326"/>
      <c r="N511" s="294"/>
      <c r="O511" s="355">
        <v>546</v>
      </c>
      <c r="P511" s="1938">
        <v>1</v>
      </c>
      <c r="Q511" s="1126">
        <f>+O511*P511</f>
        <v>546</v>
      </c>
      <c r="R511" s="1985"/>
      <c r="S511" s="355"/>
      <c r="T511" s="355"/>
      <c r="U511" s="355"/>
      <c r="V511" s="355"/>
      <c r="W511" s="355">
        <v>6160</v>
      </c>
      <c r="X511" s="1137"/>
      <c r="Y511" s="1126"/>
      <c r="Z511" s="1126"/>
      <c r="AA511" s="1126"/>
      <c r="AB511" s="1126"/>
      <c r="AC511" s="1126"/>
      <c r="AD511" s="1126"/>
      <c r="AE511" s="1126"/>
      <c r="AF511" s="1126"/>
      <c r="AG511" s="1156"/>
    </row>
    <row r="512" spans="1:33" outlineLevel="2">
      <c r="A512" s="294">
        <v>3251</v>
      </c>
      <c r="B512" s="291" t="s">
        <v>606</v>
      </c>
      <c r="C512" s="824" t="s">
        <v>564</v>
      </c>
      <c r="D512" s="1391"/>
      <c r="E512" s="294">
        <v>10</v>
      </c>
      <c r="F512" s="1399">
        <v>43299</v>
      </c>
      <c r="G512" s="1399">
        <f>+E512+F512</f>
        <v>43309</v>
      </c>
      <c r="H512" s="1391"/>
      <c r="I512" s="294"/>
      <c r="J512" s="307"/>
      <c r="K512" s="326" t="s">
        <v>597</v>
      </c>
      <c r="L512" s="1237">
        <v>23174</v>
      </c>
      <c r="M512" s="326"/>
      <c r="N512" s="294"/>
      <c r="O512" s="355">
        <v>6160</v>
      </c>
      <c r="P512" s="1938">
        <v>1</v>
      </c>
      <c r="Q512" s="1126">
        <f>+O512*P512</f>
        <v>6160</v>
      </c>
      <c r="R512" s="1985"/>
      <c r="S512" s="355"/>
      <c r="T512" s="355"/>
      <c r="U512" s="355"/>
      <c r="V512" s="355"/>
      <c r="W512" s="355">
        <v>333.33333333333331</v>
      </c>
      <c r="X512" s="1137"/>
      <c r="Y512" s="1126"/>
      <c r="Z512" s="1126"/>
      <c r="AA512" s="1126"/>
      <c r="AB512" s="1126"/>
      <c r="AC512" s="1126"/>
      <c r="AD512" s="1126"/>
      <c r="AE512" s="1126"/>
      <c r="AF512" s="1126"/>
      <c r="AG512" s="1156"/>
    </row>
    <row r="513" spans="1:33" ht="39.950000000000003" customHeight="1" outlineLevel="1">
      <c r="A513" s="1997"/>
      <c r="B513" s="1740"/>
      <c r="C513" s="2141"/>
      <c r="D513" s="1997"/>
      <c r="E513" s="1997"/>
      <c r="F513" s="2148"/>
      <c r="G513" s="2148"/>
      <c r="H513" s="1997"/>
      <c r="I513" s="1997"/>
      <c r="J513" s="1740"/>
      <c r="K513" s="1997"/>
      <c r="L513" s="1748" t="s">
        <v>1051</v>
      </c>
      <c r="M513" s="1997"/>
      <c r="N513" s="1997"/>
      <c r="O513" s="1998"/>
      <c r="P513" s="1997"/>
      <c r="Q513" s="1998">
        <f>SUBTOTAL(9,Q510:Q512)</f>
        <v>12754</v>
      </c>
      <c r="R513" s="1985"/>
      <c r="S513" s="1126"/>
      <c r="T513" s="1126"/>
      <c r="U513" s="1126"/>
      <c r="V513" s="1126"/>
      <c r="W513" s="1126"/>
      <c r="X513" s="1672"/>
      <c r="Y513" s="1126"/>
      <c r="Z513" s="1126"/>
      <c r="AA513" s="1126"/>
      <c r="AB513" s="1126"/>
      <c r="AC513" s="1126"/>
      <c r="AD513" s="1126"/>
      <c r="AE513" s="1126"/>
      <c r="AF513" s="1126"/>
      <c r="AG513" s="1156"/>
    </row>
    <row r="514" spans="1:33" ht="39.950000000000003" customHeight="1">
      <c r="A514" s="1997"/>
      <c r="B514" s="1740"/>
      <c r="C514" s="2141"/>
      <c r="D514" s="1997"/>
      <c r="E514" s="1997"/>
      <c r="F514" s="2148"/>
      <c r="G514" s="2148"/>
      <c r="H514" s="1997"/>
      <c r="I514" s="1997"/>
      <c r="J514" s="1740"/>
      <c r="K514" s="1997"/>
      <c r="L514" s="1748" t="s">
        <v>1052</v>
      </c>
      <c r="M514" s="1997"/>
      <c r="N514" s="1997"/>
      <c r="O514" s="1998"/>
      <c r="P514" s="1997"/>
      <c r="Q514" s="1998">
        <f>SUBTOTAL(9,Q507:Q512)</f>
        <v>13243</v>
      </c>
      <c r="R514" s="1985"/>
      <c r="S514" s="1126"/>
      <c r="T514" s="1126"/>
      <c r="U514" s="1126"/>
      <c r="V514" s="1126"/>
      <c r="W514" s="1126"/>
      <c r="X514" s="1672"/>
      <c r="Y514" s="1126"/>
      <c r="Z514" s="1126"/>
      <c r="AA514" s="1126"/>
      <c r="AB514" s="1126"/>
      <c r="AC514" s="1126"/>
      <c r="AD514" s="1126"/>
      <c r="AE514" s="1126"/>
      <c r="AF514" s="1126"/>
      <c r="AG514" s="1156"/>
    </row>
    <row r="515" spans="1:33" ht="16.5" customHeight="1">
      <c r="A515" s="1275">
        <v>326</v>
      </c>
      <c r="B515" s="508" t="s">
        <v>608</v>
      </c>
      <c r="C515" s="1559"/>
      <c r="D515" s="822"/>
      <c r="E515" s="822"/>
      <c r="F515" s="822"/>
      <c r="G515" s="822"/>
      <c r="H515" s="822"/>
      <c r="I515" s="822"/>
      <c r="J515" s="283"/>
      <c r="K515" s="1278"/>
      <c r="L515" s="1279"/>
      <c r="M515" s="1280"/>
      <c r="N515" s="1277"/>
      <c r="O515" s="1395"/>
      <c r="P515" s="1949"/>
      <c r="Q515" s="1343">
        <f>+Q518</f>
        <v>30000</v>
      </c>
      <c r="R515" s="1987"/>
      <c r="S515" s="1282">
        <f t="shared" ref="S515:AF515" si="84">+S516+S517</f>
        <v>0</v>
      </c>
      <c r="T515" s="1282">
        <f t="shared" si="84"/>
        <v>0</v>
      </c>
      <c r="U515" s="1282">
        <f t="shared" si="84"/>
        <v>0</v>
      </c>
      <c r="V515" s="1282">
        <f t="shared" si="84"/>
        <v>0</v>
      </c>
      <c r="W515" s="1282">
        <f t="shared" si="84"/>
        <v>15000</v>
      </c>
      <c r="X515" s="1282">
        <f t="shared" si="84"/>
        <v>0</v>
      </c>
      <c r="Y515" s="1282">
        <f t="shared" si="84"/>
        <v>0</v>
      </c>
      <c r="Z515" s="546">
        <f t="shared" si="84"/>
        <v>15000</v>
      </c>
      <c r="AA515" s="546">
        <f t="shared" si="84"/>
        <v>0</v>
      </c>
      <c r="AB515" s="546">
        <f t="shared" si="84"/>
        <v>0</v>
      </c>
      <c r="AC515" s="546">
        <f t="shared" si="84"/>
        <v>0</v>
      </c>
      <c r="AD515" s="546">
        <f t="shared" si="84"/>
        <v>0</v>
      </c>
      <c r="AE515" s="546">
        <f t="shared" si="84"/>
        <v>0</v>
      </c>
      <c r="AF515" s="546">
        <f t="shared" si="84"/>
        <v>0</v>
      </c>
      <c r="AG515" s="1282">
        <f>SUM(S515:AF515)</f>
        <v>30000</v>
      </c>
    </row>
    <row r="516" spans="1:33" ht="31.5" outlineLevel="2">
      <c r="A516" s="294">
        <v>3261</v>
      </c>
      <c r="B516" s="291" t="s">
        <v>609</v>
      </c>
      <c r="C516" s="824" t="s">
        <v>610</v>
      </c>
      <c r="D516" s="294" t="s">
        <v>246</v>
      </c>
      <c r="E516" s="1393">
        <f>70+30</f>
        <v>100</v>
      </c>
      <c r="F516" s="1399">
        <v>43192</v>
      </c>
      <c r="G516" s="1399">
        <f>+E516+F516</f>
        <v>43292</v>
      </c>
      <c r="H516" s="1391"/>
      <c r="I516" s="294" t="s">
        <v>611</v>
      </c>
      <c r="J516" s="307"/>
      <c r="K516" s="326"/>
      <c r="L516" s="1711">
        <v>23173</v>
      </c>
      <c r="M516" s="326"/>
      <c r="N516" s="294"/>
      <c r="O516" s="487">
        <v>10000</v>
      </c>
      <c r="P516" s="1938">
        <v>1</v>
      </c>
      <c r="Q516" s="1156">
        <v>10000</v>
      </c>
      <c r="R516" s="1986"/>
      <c r="S516" s="487"/>
      <c r="T516" s="555"/>
      <c r="U516" s="487"/>
      <c r="V516" s="487"/>
      <c r="W516" s="487">
        <f>Q516/2</f>
        <v>5000</v>
      </c>
      <c r="X516" s="574"/>
      <c r="Y516" s="1156"/>
      <c r="Z516" s="487">
        <v>5000</v>
      </c>
      <c r="AA516" s="1156"/>
      <c r="AB516" s="1156"/>
      <c r="AC516" s="1156"/>
      <c r="AD516" s="1156"/>
      <c r="AE516" s="1156"/>
      <c r="AF516" s="1156"/>
      <c r="AG516" s="1156"/>
    </row>
    <row r="517" spans="1:33" ht="31.5" outlineLevel="2">
      <c r="A517" s="294">
        <v>3262</v>
      </c>
      <c r="B517" s="291" t="s">
        <v>612</v>
      </c>
      <c r="C517" s="824" t="s">
        <v>610</v>
      </c>
      <c r="D517" s="294" t="s">
        <v>246</v>
      </c>
      <c r="E517" s="294">
        <f>70+30</f>
        <v>100</v>
      </c>
      <c r="F517" s="1399">
        <v>43192</v>
      </c>
      <c r="G517" s="1399">
        <f>+E517+F517</f>
        <v>43292</v>
      </c>
      <c r="H517" s="1391"/>
      <c r="I517" s="294" t="s">
        <v>611</v>
      </c>
      <c r="J517" s="307"/>
      <c r="K517" s="326"/>
      <c r="L517" s="1711">
        <v>23173</v>
      </c>
      <c r="M517" s="326"/>
      <c r="N517" s="294"/>
      <c r="O517" s="487">
        <v>20000</v>
      </c>
      <c r="P517" s="1938">
        <v>1</v>
      </c>
      <c r="Q517" s="1156">
        <f>+O517*P517</f>
        <v>20000</v>
      </c>
      <c r="R517" s="1986"/>
      <c r="S517" s="487"/>
      <c r="T517" s="555"/>
      <c r="U517" s="487"/>
      <c r="V517" s="487"/>
      <c r="W517" s="487">
        <v>10000</v>
      </c>
      <c r="X517" s="1138"/>
      <c r="Y517" s="1156"/>
      <c r="Z517" s="487">
        <v>10000</v>
      </c>
      <c r="AA517" s="1156"/>
      <c r="AB517" s="1156"/>
      <c r="AC517" s="1156"/>
      <c r="AD517" s="1156"/>
      <c r="AE517" s="1156"/>
      <c r="AF517" s="1156"/>
      <c r="AG517" s="1156"/>
    </row>
    <row r="518" spans="1:33" ht="39.950000000000003" customHeight="1" outlineLevel="1">
      <c r="A518" s="1997"/>
      <c r="B518" s="1740"/>
      <c r="C518" s="2141"/>
      <c r="D518" s="1997"/>
      <c r="E518" s="1997"/>
      <c r="F518" s="2148"/>
      <c r="G518" s="2148"/>
      <c r="H518" s="1997"/>
      <c r="I518" s="1997"/>
      <c r="J518" s="1740"/>
      <c r="K518" s="1997"/>
      <c r="L518" s="1748" t="s">
        <v>1053</v>
      </c>
      <c r="M518" s="1997"/>
      <c r="N518" s="1997"/>
      <c r="O518" s="1998"/>
      <c r="P518" s="1997"/>
      <c r="Q518" s="1998">
        <f>SUBTOTAL(9,Q516:Q517)</f>
        <v>30000</v>
      </c>
      <c r="R518" s="1986"/>
      <c r="S518" s="1156"/>
      <c r="T518" s="1158"/>
      <c r="U518" s="1156"/>
      <c r="V518" s="1156"/>
      <c r="W518" s="1156"/>
      <c r="X518" s="2052"/>
      <c r="Y518" s="1156"/>
      <c r="Z518" s="1156"/>
      <c r="AA518" s="1156"/>
      <c r="AB518" s="1156"/>
      <c r="AC518" s="1156"/>
      <c r="AD518" s="1156"/>
      <c r="AE518" s="1156"/>
      <c r="AF518" s="1156"/>
      <c r="AG518" s="1156"/>
    </row>
    <row r="519" spans="1:33" ht="39.950000000000003" customHeight="1">
      <c r="A519" s="1997"/>
      <c r="B519" s="1740"/>
      <c r="C519" s="2141"/>
      <c r="D519" s="1997"/>
      <c r="E519" s="1997"/>
      <c r="F519" s="2148"/>
      <c r="G519" s="2148"/>
      <c r="H519" s="1997"/>
      <c r="I519" s="1997"/>
      <c r="J519" s="1740"/>
      <c r="K519" s="1997"/>
      <c r="L519" s="1748" t="s">
        <v>1052</v>
      </c>
      <c r="M519" s="1997"/>
      <c r="N519" s="1997"/>
      <c r="O519" s="1998"/>
      <c r="P519" s="1997"/>
      <c r="Q519" s="1998">
        <f>SUBTOTAL(9,Q516:Q517)</f>
        <v>30000</v>
      </c>
      <c r="R519" s="1986"/>
      <c r="S519" s="1156"/>
      <c r="T519" s="1158"/>
      <c r="U519" s="1156"/>
      <c r="V519" s="1156"/>
      <c r="W519" s="1156"/>
      <c r="X519" s="2052"/>
      <c r="Y519" s="1156"/>
      <c r="Z519" s="1156"/>
      <c r="AA519" s="1156"/>
      <c r="AB519" s="1156"/>
      <c r="AC519" s="1156"/>
      <c r="AD519" s="1156"/>
      <c r="AE519" s="1156"/>
      <c r="AF519" s="1156"/>
      <c r="AG519" s="1156"/>
    </row>
    <row r="520" spans="1:33" ht="33.75" customHeight="1">
      <c r="A520" s="1815" t="s">
        <v>275</v>
      </c>
      <c r="B520" s="836"/>
      <c r="C520" s="1816"/>
      <c r="D520" s="1818"/>
      <c r="E520" s="1818"/>
      <c r="F520" s="1818"/>
      <c r="G520" s="1818"/>
      <c r="H520" s="1818"/>
      <c r="I520" s="1818"/>
      <c r="J520" s="835"/>
      <c r="K520" s="1815"/>
      <c r="L520" s="1817"/>
      <c r="M520" s="1818"/>
      <c r="N520" s="1819"/>
      <c r="O520" s="1820"/>
      <c r="P520" s="1947"/>
      <c r="Q520" s="1832">
        <f>+Q521+Q580+Q644+Q666+Q671</f>
        <v>1602692.0064583332</v>
      </c>
      <c r="R520" s="1977">
        <f>+R521+R581+R644+R666+R671</f>
        <v>1602730.0362499999</v>
      </c>
      <c r="S520" s="1821">
        <f t="shared" ref="S520:AG520" si="85">+S521+S580+S644+S666+S671</f>
        <v>0</v>
      </c>
      <c r="T520" s="1821">
        <f t="shared" si="85"/>
        <v>102890.66666666667</v>
      </c>
      <c r="U520" s="1821">
        <f t="shared" si="85"/>
        <v>181943.97916666666</v>
      </c>
      <c r="V520" s="1821">
        <f t="shared" si="85"/>
        <v>220344.96562500001</v>
      </c>
      <c r="W520" s="1821">
        <f t="shared" si="85"/>
        <v>99421.989999999991</v>
      </c>
      <c r="X520" s="1821">
        <f t="shared" si="85"/>
        <v>80107.165312500001</v>
      </c>
      <c r="Y520" s="1821">
        <f t="shared" si="85"/>
        <v>128593.0696875</v>
      </c>
      <c r="Z520" s="838">
        <f t="shared" si="85"/>
        <v>0</v>
      </c>
      <c r="AA520" s="838">
        <f t="shared" si="85"/>
        <v>0</v>
      </c>
      <c r="AB520" s="838">
        <f t="shared" si="85"/>
        <v>0</v>
      </c>
      <c r="AC520" s="838">
        <f t="shared" si="85"/>
        <v>0</v>
      </c>
      <c r="AD520" s="838">
        <f t="shared" si="85"/>
        <v>0</v>
      </c>
      <c r="AE520" s="838">
        <f t="shared" si="85"/>
        <v>0</v>
      </c>
      <c r="AF520" s="838">
        <f t="shared" si="85"/>
        <v>0</v>
      </c>
      <c r="AG520" s="1821">
        <f t="shared" si="85"/>
        <v>1602692.0064583332</v>
      </c>
    </row>
    <row r="521" spans="1:33" ht="21.75" customHeight="1">
      <c r="A521" s="1248" t="s">
        <v>276</v>
      </c>
      <c r="B521" s="274"/>
      <c r="C521" s="278"/>
      <c r="D521" s="1270"/>
      <c r="E521" s="1270"/>
      <c r="F521" s="1270"/>
      <c r="G521" s="1270"/>
      <c r="H521" s="1270"/>
      <c r="I521" s="1270"/>
      <c r="J521" s="273"/>
      <c r="K521" s="1248"/>
      <c r="L521" s="1269"/>
      <c r="M521" s="1270"/>
      <c r="N521" s="1268"/>
      <c r="O521" s="1271"/>
      <c r="P521" s="1948"/>
      <c r="Q521" s="1338">
        <f>+Q522+Q540+Q549</f>
        <v>356290.50312499999</v>
      </c>
      <c r="R521" s="1713">
        <f>+'[2]Compil Costing PPA 3 millions'!F15</f>
        <v>356290.70624999999</v>
      </c>
      <c r="S521" s="1272">
        <f t="shared" ref="S521:AG521" si="86">+S522+S540+S549</f>
        <v>0</v>
      </c>
      <c r="T521" s="1272">
        <f t="shared" si="86"/>
        <v>0</v>
      </c>
      <c r="U521" s="1272">
        <f t="shared" si="86"/>
        <v>65237.8125</v>
      </c>
      <c r="V521" s="1272">
        <f t="shared" si="86"/>
        <v>3181.4656249999998</v>
      </c>
      <c r="W521" s="1272">
        <f t="shared" si="86"/>
        <v>80258.489999999991</v>
      </c>
      <c r="X521" s="1272">
        <f t="shared" si="86"/>
        <v>79019.665312500001</v>
      </c>
      <c r="Y521" s="1272">
        <f t="shared" si="86"/>
        <v>128593.0696875</v>
      </c>
      <c r="Z521" s="276">
        <f t="shared" si="86"/>
        <v>0</v>
      </c>
      <c r="AA521" s="276">
        <f t="shared" si="86"/>
        <v>0</v>
      </c>
      <c r="AB521" s="276">
        <f t="shared" si="86"/>
        <v>0</v>
      </c>
      <c r="AC521" s="276">
        <f t="shared" si="86"/>
        <v>0</v>
      </c>
      <c r="AD521" s="276">
        <f t="shared" si="86"/>
        <v>0</v>
      </c>
      <c r="AE521" s="276">
        <f t="shared" si="86"/>
        <v>0</v>
      </c>
      <c r="AF521" s="276">
        <f t="shared" si="86"/>
        <v>0</v>
      </c>
      <c r="AG521" s="1272">
        <f t="shared" si="86"/>
        <v>356290.50312499999</v>
      </c>
    </row>
    <row r="522" spans="1:33" ht="26.25" customHeight="1">
      <c r="A522" s="1275">
        <v>411</v>
      </c>
      <c r="B522" s="981" t="s">
        <v>911</v>
      </c>
      <c r="C522" s="1582"/>
      <c r="D522" s="1000"/>
      <c r="E522" s="1000"/>
      <c r="F522" s="1000"/>
      <c r="G522" s="1000"/>
      <c r="H522" s="1000"/>
      <c r="I522" s="1000"/>
      <c r="J522" s="283"/>
      <c r="K522" s="1278"/>
      <c r="L522" s="1279"/>
      <c r="M522" s="1280"/>
      <c r="N522" s="1277"/>
      <c r="O522" s="1281"/>
      <c r="P522" s="1949"/>
      <c r="Q522" s="1435">
        <f>+Q524+Q534+Q538</f>
        <v>63605.746874999997</v>
      </c>
      <c r="R522" s="1716"/>
      <c r="S522" s="1395">
        <f t="shared" ref="S522:AF522" si="87">SUM(S523:S537)</f>
        <v>0</v>
      </c>
      <c r="T522" s="1395">
        <f t="shared" si="87"/>
        <v>0</v>
      </c>
      <c r="U522" s="1395">
        <f t="shared" si="87"/>
        <v>20655</v>
      </c>
      <c r="V522" s="1395">
        <f t="shared" si="87"/>
        <v>3181.4656249999998</v>
      </c>
      <c r="W522" s="1395">
        <f t="shared" si="87"/>
        <v>39769.28125</v>
      </c>
      <c r="X522" s="1395">
        <f t="shared" si="87"/>
        <v>0</v>
      </c>
      <c r="Y522" s="1395">
        <f t="shared" si="87"/>
        <v>0</v>
      </c>
      <c r="Z522" s="361">
        <f t="shared" si="87"/>
        <v>0</v>
      </c>
      <c r="AA522" s="361">
        <f t="shared" si="87"/>
        <v>0</v>
      </c>
      <c r="AB522" s="361">
        <f t="shared" si="87"/>
        <v>0</v>
      </c>
      <c r="AC522" s="361">
        <f t="shared" si="87"/>
        <v>0</v>
      </c>
      <c r="AD522" s="361">
        <f t="shared" si="87"/>
        <v>0</v>
      </c>
      <c r="AE522" s="361">
        <f t="shared" si="87"/>
        <v>0</v>
      </c>
      <c r="AF522" s="361">
        <f t="shared" si="87"/>
        <v>0</v>
      </c>
      <c r="AG522" s="1395">
        <f>SUM(S522:AF522)</f>
        <v>63605.746874999997</v>
      </c>
    </row>
    <row r="523" spans="1:33" ht="47.25" customHeight="1" outlineLevel="2">
      <c r="A523" s="294">
        <v>4118</v>
      </c>
      <c r="B523" s="291" t="s">
        <v>930</v>
      </c>
      <c r="C523" s="824" t="s">
        <v>931</v>
      </c>
      <c r="D523" s="326"/>
      <c r="E523" s="1391">
        <f>3</f>
        <v>3</v>
      </c>
      <c r="F523" s="1400">
        <v>43304</v>
      </c>
      <c r="G523" s="1400">
        <f>F523+E523-1</f>
        <v>43306</v>
      </c>
      <c r="H523" s="293" t="s">
        <v>914</v>
      </c>
      <c r="I523" s="845" t="s">
        <v>178</v>
      </c>
      <c r="J523" s="866" t="s">
        <v>932</v>
      </c>
      <c r="K523" s="1787" t="s">
        <v>933</v>
      </c>
      <c r="L523" s="1788">
        <v>23172</v>
      </c>
      <c r="M523" s="1543"/>
      <c r="N523" s="845"/>
      <c r="O523" s="1583">
        <v>15.625</v>
      </c>
      <c r="P523" s="1968">
        <f>45</f>
        <v>45</v>
      </c>
      <c r="Q523" s="1708">
        <f>O523*P523</f>
        <v>703.125</v>
      </c>
      <c r="R523" s="1714"/>
      <c r="S523" s="299"/>
      <c r="T523" s="299"/>
      <c r="U523" s="299">
        <f>Q523</f>
        <v>703.125</v>
      </c>
      <c r="V523" s="299"/>
      <c r="W523" s="299"/>
      <c r="X523" s="1142"/>
      <c r="Y523" s="1124"/>
      <c r="Z523" s="1124"/>
      <c r="AA523" s="1124"/>
      <c r="AB523" s="1124"/>
      <c r="AC523" s="1124"/>
      <c r="AD523" s="1124"/>
      <c r="AE523" s="1124"/>
      <c r="AF523" s="1124"/>
      <c r="AG523" s="1124"/>
    </row>
    <row r="524" spans="1:33" ht="39.950000000000003" customHeight="1" outlineLevel="1">
      <c r="A524" s="1997"/>
      <c r="B524" s="1740"/>
      <c r="C524" s="2141"/>
      <c r="D524" s="1997"/>
      <c r="E524" s="1997"/>
      <c r="F524" s="2152"/>
      <c r="G524" s="2152"/>
      <c r="H524" s="2153"/>
      <c r="I524" s="1997"/>
      <c r="J524" s="1740"/>
      <c r="K524" s="2150"/>
      <c r="L524" s="1996" t="s">
        <v>1059</v>
      </c>
      <c r="M524" s="1997"/>
      <c r="N524" s="1997"/>
      <c r="O524" s="1998"/>
      <c r="P524" s="1997"/>
      <c r="Q524" s="2015">
        <f>SUBTOTAL(9,Q523:Q523)</f>
        <v>703.125</v>
      </c>
      <c r="R524" s="1714"/>
      <c r="S524" s="1127"/>
      <c r="T524" s="1127"/>
      <c r="U524" s="1127"/>
      <c r="V524" s="1127"/>
      <c r="W524" s="1127"/>
      <c r="X524" s="2149"/>
      <c r="Y524" s="1124"/>
      <c r="Z524" s="1124"/>
      <c r="AA524" s="1124"/>
      <c r="AB524" s="1124"/>
      <c r="AC524" s="1124"/>
      <c r="AD524" s="1124"/>
      <c r="AE524" s="1124"/>
      <c r="AF524" s="1124"/>
      <c r="AG524" s="1124"/>
    </row>
    <row r="525" spans="1:33" ht="31.5" outlineLevel="2">
      <c r="A525" s="294">
        <v>4111</v>
      </c>
      <c r="B525" s="824" t="s">
        <v>912</v>
      </c>
      <c r="C525" s="824" t="s">
        <v>913</v>
      </c>
      <c r="D525" s="1401"/>
      <c r="E525" s="1391">
        <f>45+21+5</f>
        <v>71</v>
      </c>
      <c r="F525" s="1400">
        <v>43192</v>
      </c>
      <c r="G525" s="1400">
        <f>F525+E525</f>
        <v>43263</v>
      </c>
      <c r="H525" s="293" t="s">
        <v>914</v>
      </c>
      <c r="I525" s="845" t="s">
        <v>169</v>
      </c>
      <c r="J525" s="866" t="s">
        <v>178</v>
      </c>
      <c r="K525" s="1094" t="s">
        <v>320</v>
      </c>
      <c r="L525" s="1788">
        <v>23173</v>
      </c>
      <c r="M525" s="1543"/>
      <c r="N525" s="845"/>
      <c r="O525" s="1583">
        <v>164.0625</v>
      </c>
      <c r="P525" s="1968">
        <v>1</v>
      </c>
      <c r="Q525" s="1708">
        <f t="shared" ref="Q525:Q533" si="88">O525*P525</f>
        <v>164.0625</v>
      </c>
      <c r="R525" s="1714"/>
      <c r="S525" s="299"/>
      <c r="T525" s="299"/>
      <c r="U525" s="299">
        <f t="shared" ref="U525:U531" si="89">Q525</f>
        <v>164.0625</v>
      </c>
      <c r="V525" s="299"/>
      <c r="W525" s="299"/>
      <c r="X525" s="1142"/>
      <c r="Y525" s="1124"/>
      <c r="Z525" s="1124"/>
      <c r="AA525" s="1124"/>
      <c r="AB525" s="1124"/>
      <c r="AC525" s="1124"/>
      <c r="AD525" s="1124"/>
      <c r="AE525" s="1124"/>
      <c r="AF525" s="1124"/>
      <c r="AG525" s="1124"/>
    </row>
    <row r="526" spans="1:33" ht="31.5" outlineLevel="2">
      <c r="A526" s="294">
        <v>4111</v>
      </c>
      <c r="B526" s="824" t="s">
        <v>912</v>
      </c>
      <c r="C526" s="824" t="s">
        <v>913</v>
      </c>
      <c r="D526" s="1401"/>
      <c r="E526" s="1391">
        <f>45+21+5</f>
        <v>71</v>
      </c>
      <c r="F526" s="1400">
        <v>43192</v>
      </c>
      <c r="G526" s="1400">
        <f>F526+E526</f>
        <v>43263</v>
      </c>
      <c r="H526" s="293" t="s">
        <v>914</v>
      </c>
      <c r="I526" s="845" t="s">
        <v>169</v>
      </c>
      <c r="J526" s="866" t="s">
        <v>178</v>
      </c>
      <c r="K526" s="1094" t="s">
        <v>916</v>
      </c>
      <c r="L526" s="1788">
        <v>23173</v>
      </c>
      <c r="M526" s="1543"/>
      <c r="N526" s="845"/>
      <c r="O526" s="1583">
        <v>31.25</v>
      </c>
      <c r="P526" s="1968">
        <v>5</v>
      </c>
      <c r="Q526" s="1708">
        <f t="shared" si="88"/>
        <v>156.25</v>
      </c>
      <c r="R526" s="1714"/>
      <c r="S526" s="299"/>
      <c r="T526" s="299"/>
      <c r="U526" s="299">
        <f t="shared" si="89"/>
        <v>156.25</v>
      </c>
      <c r="V526" s="299"/>
      <c r="W526" s="299"/>
      <c r="X526" s="1142"/>
      <c r="Y526" s="1124"/>
      <c r="Z526" s="1124"/>
      <c r="AA526" s="1124"/>
      <c r="AB526" s="1124"/>
      <c r="AC526" s="1124"/>
      <c r="AD526" s="1124"/>
      <c r="AE526" s="1124"/>
      <c r="AF526" s="1124"/>
      <c r="AG526" s="1124"/>
    </row>
    <row r="527" spans="1:33" outlineLevel="2">
      <c r="A527" s="1621">
        <v>4112</v>
      </c>
      <c r="B527" s="1616" t="s">
        <v>917</v>
      </c>
      <c r="C527" s="1616" t="s">
        <v>918</v>
      </c>
      <c r="D527" s="1617"/>
      <c r="E527" s="1618">
        <f>3</f>
        <v>3</v>
      </c>
      <c r="F527" s="1619">
        <v>43265</v>
      </c>
      <c r="G527" s="1619">
        <f t="shared" ref="G527:G533" si="90">F527+E527-1</f>
        <v>43267</v>
      </c>
      <c r="H527" s="1620" t="s">
        <v>914</v>
      </c>
      <c r="I527" s="1621" t="s">
        <v>169</v>
      </c>
      <c r="J527" s="1622" t="s">
        <v>178</v>
      </c>
      <c r="K527" s="1678" t="s">
        <v>320</v>
      </c>
      <c r="L527" s="1812">
        <v>23173</v>
      </c>
      <c r="M527" s="1680"/>
      <c r="N527" s="1621"/>
      <c r="O527" s="1681">
        <v>523.125</v>
      </c>
      <c r="P527" s="1968">
        <v>1</v>
      </c>
      <c r="Q527" s="1708">
        <f t="shared" si="88"/>
        <v>523.125</v>
      </c>
      <c r="R527" s="1988"/>
      <c r="S527" s="1682"/>
      <c r="T527" s="1682"/>
      <c r="U527" s="1682">
        <f t="shared" si="89"/>
        <v>523.125</v>
      </c>
      <c r="V527" s="1682"/>
      <c r="W527" s="1682"/>
      <c r="X527" s="1683"/>
      <c r="Y527" s="1680"/>
      <c r="Z527" s="1680"/>
      <c r="AA527" s="1680"/>
      <c r="AB527" s="1680"/>
      <c r="AC527" s="1680"/>
      <c r="AD527" s="1680"/>
      <c r="AE527" s="1680"/>
      <c r="AF527" s="1680"/>
      <c r="AG527" s="1680"/>
    </row>
    <row r="528" spans="1:33" ht="47.25" customHeight="1" outlineLevel="2">
      <c r="A528" s="1631">
        <v>4113</v>
      </c>
      <c r="B528" s="1626" t="s">
        <v>919</v>
      </c>
      <c r="C528" s="1626" t="s">
        <v>920</v>
      </c>
      <c r="D528" s="1627"/>
      <c r="E528" s="1628">
        <f>2</f>
        <v>2</v>
      </c>
      <c r="F528" s="1629">
        <v>43271</v>
      </c>
      <c r="G528" s="1629">
        <f t="shared" si="90"/>
        <v>43272</v>
      </c>
      <c r="H528" s="1630" t="s">
        <v>914</v>
      </c>
      <c r="I528" s="1631" t="s">
        <v>169</v>
      </c>
      <c r="J528" s="1632" t="s">
        <v>178</v>
      </c>
      <c r="K528" s="1679" t="s">
        <v>320</v>
      </c>
      <c r="L528" s="1813">
        <v>23173</v>
      </c>
      <c r="M528" s="1636"/>
      <c r="N528" s="1631"/>
      <c r="O528" s="1676">
        <v>5156.25</v>
      </c>
      <c r="P528" s="1938">
        <v>1</v>
      </c>
      <c r="Q528" s="1708">
        <f t="shared" si="88"/>
        <v>5156.25</v>
      </c>
      <c r="R528" s="1714"/>
      <c r="S528" s="1671"/>
      <c r="T528" s="1671"/>
      <c r="U528" s="1671">
        <f t="shared" si="89"/>
        <v>5156.25</v>
      </c>
      <c r="V528" s="1671"/>
      <c r="W528" s="1671"/>
      <c r="X528" s="1671"/>
      <c r="Y528" s="1636"/>
      <c r="Z528" s="1636"/>
      <c r="AA528" s="1636"/>
      <c r="AB528" s="1636"/>
      <c r="AC528" s="1636"/>
      <c r="AD528" s="1636"/>
      <c r="AE528" s="1636"/>
      <c r="AF528" s="1636"/>
      <c r="AG528" s="1636"/>
    </row>
    <row r="529" spans="1:33" ht="31.5" outlineLevel="2">
      <c r="A529" s="1631">
        <v>4113</v>
      </c>
      <c r="B529" s="1626" t="s">
        <v>919</v>
      </c>
      <c r="C529" s="1626" t="s">
        <v>920</v>
      </c>
      <c r="D529" s="1627"/>
      <c r="E529" s="1628">
        <f>2</f>
        <v>2</v>
      </c>
      <c r="F529" s="1629">
        <v>43271</v>
      </c>
      <c r="G529" s="1629">
        <f t="shared" si="90"/>
        <v>43272</v>
      </c>
      <c r="H529" s="1630" t="s">
        <v>914</v>
      </c>
      <c r="I529" s="1631" t="s">
        <v>169</v>
      </c>
      <c r="J529" s="1632" t="s">
        <v>178</v>
      </c>
      <c r="K529" s="1679" t="s">
        <v>916</v>
      </c>
      <c r="L529" s="1813">
        <v>23173</v>
      </c>
      <c r="M529" s="1636"/>
      <c r="N529" s="1631"/>
      <c r="O529" s="1676">
        <v>31.25</v>
      </c>
      <c r="P529" s="1938">
        <f>2*22</f>
        <v>44</v>
      </c>
      <c r="Q529" s="1708">
        <f t="shared" si="88"/>
        <v>1375</v>
      </c>
      <c r="R529" s="1714"/>
      <c r="S529" s="1671"/>
      <c r="T529" s="1671"/>
      <c r="U529" s="1671">
        <f t="shared" si="89"/>
        <v>1375</v>
      </c>
      <c r="V529" s="1671"/>
      <c r="W529" s="1671"/>
      <c r="X529" s="1671"/>
      <c r="Y529" s="1636"/>
      <c r="Z529" s="1636"/>
      <c r="AA529" s="1636"/>
      <c r="AB529" s="1636"/>
      <c r="AC529" s="1636"/>
      <c r="AD529" s="1636"/>
      <c r="AE529" s="1636"/>
      <c r="AF529" s="1636"/>
      <c r="AG529" s="1636"/>
    </row>
    <row r="530" spans="1:33" ht="31.5" outlineLevel="2">
      <c r="A530" s="1631">
        <v>4114</v>
      </c>
      <c r="B530" s="1626" t="s">
        <v>921</v>
      </c>
      <c r="C530" s="1626" t="s">
        <v>922</v>
      </c>
      <c r="D530" s="1627"/>
      <c r="E530" s="1628">
        <f>3</f>
        <v>3</v>
      </c>
      <c r="F530" s="1635">
        <v>43279</v>
      </c>
      <c r="G530" s="1629">
        <f t="shared" si="90"/>
        <v>43281</v>
      </c>
      <c r="H530" s="1630" t="s">
        <v>914</v>
      </c>
      <c r="I530" s="1631" t="s">
        <v>169</v>
      </c>
      <c r="J530" s="1632" t="s">
        <v>178</v>
      </c>
      <c r="K530" s="1679" t="s">
        <v>670</v>
      </c>
      <c r="L530" s="1813">
        <v>23173</v>
      </c>
      <c r="M530" s="1636"/>
      <c r="N530" s="1631"/>
      <c r="O530" s="1676">
        <v>153.125</v>
      </c>
      <c r="P530" s="1938">
        <v>2</v>
      </c>
      <c r="Q530" s="1708">
        <f t="shared" si="88"/>
        <v>306.25</v>
      </c>
      <c r="R530" s="1714"/>
      <c r="S530" s="1671"/>
      <c r="T530" s="1671"/>
      <c r="U530" s="1671">
        <f t="shared" si="89"/>
        <v>306.25</v>
      </c>
      <c r="V530" s="1671"/>
      <c r="W530" s="1671"/>
      <c r="X530" s="1671"/>
      <c r="Y530" s="1636"/>
      <c r="Z530" s="1636"/>
      <c r="AA530" s="1636"/>
      <c r="AB530" s="1636"/>
      <c r="AC530" s="1636"/>
      <c r="AD530" s="1636"/>
      <c r="AE530" s="1636"/>
      <c r="AF530" s="1636"/>
      <c r="AG530" s="1636"/>
    </row>
    <row r="531" spans="1:33" ht="31.5" outlineLevel="2">
      <c r="A531" s="1631">
        <v>4116</v>
      </c>
      <c r="B531" s="1675" t="s">
        <v>926</v>
      </c>
      <c r="C531" s="1626" t="s">
        <v>927</v>
      </c>
      <c r="D531" s="1636"/>
      <c r="E531" s="1628">
        <f>30</f>
        <v>30</v>
      </c>
      <c r="F531" s="1629">
        <v>43290</v>
      </c>
      <c r="G531" s="1629">
        <f t="shared" si="90"/>
        <v>43319</v>
      </c>
      <c r="H531" s="1630" t="s">
        <v>914</v>
      </c>
      <c r="I531" s="1631" t="s">
        <v>169</v>
      </c>
      <c r="J531" s="1632" t="s">
        <v>178</v>
      </c>
      <c r="K531" s="1679" t="s">
        <v>320</v>
      </c>
      <c r="L531" s="1813">
        <v>23173</v>
      </c>
      <c r="M531" s="1636"/>
      <c r="N531" s="1631"/>
      <c r="O531" s="1676">
        <v>12270.9375</v>
      </c>
      <c r="P531" s="1938">
        <v>1</v>
      </c>
      <c r="Q531" s="1708">
        <f t="shared" si="88"/>
        <v>12270.9375</v>
      </c>
      <c r="R531" s="1714"/>
      <c r="S531" s="1671"/>
      <c r="T531" s="1671"/>
      <c r="U531" s="1671">
        <f t="shared" si="89"/>
        <v>12270.9375</v>
      </c>
      <c r="V531" s="1671"/>
      <c r="W531" s="1671"/>
      <c r="X531" s="1671"/>
      <c r="Y531" s="1636"/>
      <c r="Z531" s="1636"/>
      <c r="AA531" s="1636"/>
      <c r="AB531" s="1636"/>
      <c r="AC531" s="1636"/>
      <c r="AD531" s="1636"/>
      <c r="AE531" s="1636"/>
      <c r="AF531" s="1636"/>
      <c r="AG531" s="1636"/>
    </row>
    <row r="532" spans="1:33" ht="36.75" customHeight="1" outlineLevel="2">
      <c r="A532" s="1631">
        <v>4117</v>
      </c>
      <c r="B532" s="1675" t="s">
        <v>928</v>
      </c>
      <c r="C532" s="1626" t="s">
        <v>929</v>
      </c>
      <c r="D532" s="1636"/>
      <c r="E532" s="1628">
        <f>6</f>
        <v>6</v>
      </c>
      <c r="F532" s="1629">
        <v>43290</v>
      </c>
      <c r="G532" s="1629">
        <f t="shared" si="90"/>
        <v>43295</v>
      </c>
      <c r="H532" s="1630" t="s">
        <v>914</v>
      </c>
      <c r="I532" s="1631" t="s">
        <v>169</v>
      </c>
      <c r="J532" s="1632" t="s">
        <v>178</v>
      </c>
      <c r="K532" s="1679" t="s">
        <v>320</v>
      </c>
      <c r="L532" s="1813">
        <v>23173</v>
      </c>
      <c r="M532" s="1636"/>
      <c r="N532" s="1631"/>
      <c r="O532" s="1676">
        <v>599.375</v>
      </c>
      <c r="P532" s="1938">
        <v>1</v>
      </c>
      <c r="Q532" s="1708">
        <f t="shared" si="88"/>
        <v>599.375</v>
      </c>
      <c r="R532" s="1714"/>
      <c r="S532" s="1671"/>
      <c r="T532" s="1671"/>
      <c r="U532" s="1671"/>
      <c r="V532" s="1671">
        <f>Q532</f>
        <v>599.375</v>
      </c>
      <c r="W532" s="1671"/>
      <c r="X532" s="1671"/>
      <c r="Y532" s="1636"/>
      <c r="Z532" s="1636"/>
      <c r="AA532" s="1636"/>
      <c r="AB532" s="1636"/>
      <c r="AC532" s="1636"/>
      <c r="AD532" s="1636"/>
      <c r="AE532" s="1636"/>
      <c r="AF532" s="1636"/>
      <c r="AG532" s="1636"/>
    </row>
    <row r="533" spans="1:33" ht="31.5" outlineLevel="2">
      <c r="A533" s="1631">
        <v>4119</v>
      </c>
      <c r="B533" s="1675" t="s">
        <v>934</v>
      </c>
      <c r="C533" s="1626" t="s">
        <v>935</v>
      </c>
      <c r="D533" s="1636"/>
      <c r="E533" s="1628">
        <f>5</f>
        <v>5</v>
      </c>
      <c r="F533" s="1629">
        <v>43325</v>
      </c>
      <c r="G533" s="1629">
        <f t="shared" si="90"/>
        <v>43329</v>
      </c>
      <c r="H533" s="1630" t="s">
        <v>914</v>
      </c>
      <c r="I533" s="1631" t="s">
        <v>169</v>
      </c>
      <c r="J533" s="1632" t="s">
        <v>178</v>
      </c>
      <c r="K533" s="1679" t="s">
        <v>320</v>
      </c>
      <c r="L533" s="1813">
        <v>23173</v>
      </c>
      <c r="M533" s="1636"/>
      <c r="N533" s="1631"/>
      <c r="O533" s="1676">
        <v>1000</v>
      </c>
      <c r="P533" s="1938">
        <v>1</v>
      </c>
      <c r="Q533" s="1708">
        <f t="shared" si="88"/>
        <v>1000</v>
      </c>
      <c r="R533" s="1714"/>
      <c r="S533" s="1671"/>
      <c r="T533" s="1671"/>
      <c r="U533" s="1671"/>
      <c r="V533" s="1671">
        <f>Q533</f>
        <v>1000</v>
      </c>
      <c r="W533" s="1671"/>
      <c r="X533" s="1671"/>
      <c r="Y533" s="1636"/>
      <c r="Z533" s="1636"/>
      <c r="AA533" s="1636"/>
      <c r="AB533" s="1636"/>
      <c r="AC533" s="1636"/>
      <c r="AD533" s="1636"/>
      <c r="AE533" s="1636"/>
      <c r="AF533" s="1636"/>
      <c r="AG533" s="1636"/>
    </row>
    <row r="534" spans="1:33" ht="39.950000000000003" customHeight="1" outlineLevel="1">
      <c r="A534" s="1997"/>
      <c r="B534" s="1740"/>
      <c r="C534" s="2141"/>
      <c r="D534" s="1997"/>
      <c r="E534" s="1997"/>
      <c r="F534" s="2152"/>
      <c r="G534" s="2152"/>
      <c r="H534" s="2153"/>
      <c r="I534" s="1997"/>
      <c r="J534" s="1740"/>
      <c r="K534" s="2151"/>
      <c r="L534" s="1996" t="s">
        <v>1053</v>
      </c>
      <c r="M534" s="1997"/>
      <c r="N534" s="1997"/>
      <c r="O534" s="1998"/>
      <c r="P534" s="1997"/>
      <c r="Q534" s="2015">
        <f>SUBTOTAL(9,Q525:Q533)</f>
        <v>21551.25</v>
      </c>
      <c r="R534" s="1714"/>
      <c r="S534" s="1127"/>
      <c r="T534" s="1127"/>
      <c r="U534" s="1127"/>
      <c r="V534" s="1127"/>
      <c r="W534" s="1127"/>
      <c r="X534" s="1127"/>
      <c r="Y534" s="1124"/>
      <c r="Z534" s="1124"/>
      <c r="AA534" s="1124"/>
      <c r="AB534" s="1124"/>
      <c r="AC534" s="1124"/>
      <c r="AD534" s="1124"/>
      <c r="AE534" s="1124"/>
      <c r="AF534" s="1124"/>
      <c r="AG534" s="1124"/>
    </row>
    <row r="535" spans="1:33" ht="31.5" outlineLevel="2">
      <c r="A535" s="1631">
        <v>4111</v>
      </c>
      <c r="B535" s="1626" t="s">
        <v>912</v>
      </c>
      <c r="C535" s="1626" t="s">
        <v>913</v>
      </c>
      <c r="D535" s="1627"/>
      <c r="E535" s="1628">
        <f>45+21+5</f>
        <v>71</v>
      </c>
      <c r="F535" s="1629">
        <v>43192</v>
      </c>
      <c r="G535" s="1629">
        <f>F535+E535</f>
        <v>43263</v>
      </c>
      <c r="H535" s="1630" t="s">
        <v>914</v>
      </c>
      <c r="I535" s="1631" t="s">
        <v>178</v>
      </c>
      <c r="J535" s="1632" t="s">
        <v>169</v>
      </c>
      <c r="K535" s="1679" t="s">
        <v>915</v>
      </c>
      <c r="L535" s="1813">
        <v>23174</v>
      </c>
      <c r="M535" s="1636"/>
      <c r="N535" s="1631"/>
      <c r="O535" s="1676">
        <v>1582.090625</v>
      </c>
      <c r="P535" s="1938">
        <v>1</v>
      </c>
      <c r="Q535" s="1708">
        <f>O535*P535</f>
        <v>1582.090625</v>
      </c>
      <c r="R535" s="1714"/>
      <c r="S535" s="1671"/>
      <c r="T535" s="1671"/>
      <c r="U535" s="1671"/>
      <c r="V535" s="1671">
        <f>Q535</f>
        <v>1582.090625</v>
      </c>
      <c r="W535" s="1671"/>
      <c r="X535" s="1671"/>
      <c r="Y535" s="1636"/>
      <c r="Z535" s="1636"/>
      <c r="AA535" s="1636"/>
      <c r="AB535" s="1636"/>
      <c r="AC535" s="1636"/>
      <c r="AD535" s="1636"/>
      <c r="AE535" s="1636"/>
      <c r="AF535" s="1636"/>
      <c r="AG535" s="1636"/>
    </row>
    <row r="536" spans="1:33" ht="31.5" outlineLevel="2">
      <c r="A536" s="1631">
        <v>4113</v>
      </c>
      <c r="B536" s="1626" t="s">
        <v>919</v>
      </c>
      <c r="C536" s="1626" t="s">
        <v>920</v>
      </c>
      <c r="D536" s="1627"/>
      <c r="E536" s="1628">
        <f>2</f>
        <v>2</v>
      </c>
      <c r="F536" s="1629">
        <v>43271</v>
      </c>
      <c r="G536" s="1629">
        <f>F536+E536-1</f>
        <v>43272</v>
      </c>
      <c r="H536" s="1630" t="s">
        <v>914</v>
      </c>
      <c r="I536" s="1631" t="s">
        <v>178</v>
      </c>
      <c r="J536" s="1632" t="s">
        <v>169</v>
      </c>
      <c r="K536" s="1679" t="s">
        <v>888</v>
      </c>
      <c r="L536" s="1813">
        <v>23174</v>
      </c>
      <c r="M536" s="1636"/>
      <c r="N536" s="1631"/>
      <c r="O536" s="1676">
        <v>34491.78125</v>
      </c>
      <c r="P536" s="1938">
        <v>1</v>
      </c>
      <c r="Q536" s="1708">
        <f>O536*P536</f>
        <v>34491.78125</v>
      </c>
      <c r="R536" s="1714"/>
      <c r="S536" s="1671"/>
      <c r="T536" s="1671"/>
      <c r="U536" s="1671"/>
      <c r="V536" s="1671"/>
      <c r="W536" s="1671">
        <f>Q536</f>
        <v>34491.78125</v>
      </c>
      <c r="X536" s="1671"/>
      <c r="Y536" s="1636"/>
      <c r="Z536" s="1636"/>
      <c r="AA536" s="1636"/>
      <c r="AB536" s="1636"/>
      <c r="AC536" s="1636"/>
      <c r="AD536" s="1636"/>
      <c r="AE536" s="1636"/>
      <c r="AF536" s="1636"/>
      <c r="AG536" s="1636"/>
    </row>
    <row r="537" spans="1:33" ht="31.5" outlineLevel="2">
      <c r="A537" s="1631">
        <v>4119</v>
      </c>
      <c r="B537" s="1675" t="s">
        <v>934</v>
      </c>
      <c r="C537" s="1626" t="s">
        <v>935</v>
      </c>
      <c r="D537" s="1636"/>
      <c r="E537" s="1628">
        <f>5</f>
        <v>5</v>
      </c>
      <c r="F537" s="1629">
        <v>43325</v>
      </c>
      <c r="G537" s="1629">
        <f>F537+E537-1</f>
        <v>43329</v>
      </c>
      <c r="H537" s="1630" t="s">
        <v>914</v>
      </c>
      <c r="I537" s="1631" t="s">
        <v>178</v>
      </c>
      <c r="J537" s="1632" t="s">
        <v>169</v>
      </c>
      <c r="K537" s="1679" t="s">
        <v>888</v>
      </c>
      <c r="L537" s="1813">
        <v>23174</v>
      </c>
      <c r="M537" s="1636"/>
      <c r="N537" s="1631"/>
      <c r="O537" s="1676">
        <v>5277.5</v>
      </c>
      <c r="P537" s="1938">
        <v>1</v>
      </c>
      <c r="Q537" s="1708">
        <f>O537*P537</f>
        <v>5277.5</v>
      </c>
      <c r="R537" s="1714"/>
      <c r="S537" s="1671"/>
      <c r="T537" s="1671"/>
      <c r="U537" s="1671"/>
      <c r="V537" s="1671"/>
      <c r="W537" s="1671">
        <f>Q537</f>
        <v>5277.5</v>
      </c>
      <c r="X537" s="1671"/>
      <c r="Y537" s="1636"/>
      <c r="Z537" s="1636"/>
      <c r="AA537" s="1636"/>
      <c r="AB537" s="1636"/>
      <c r="AC537" s="1636"/>
      <c r="AD537" s="1636"/>
      <c r="AE537" s="1636"/>
      <c r="AF537" s="1636"/>
      <c r="AG537" s="1636"/>
    </row>
    <row r="538" spans="1:33" ht="39.950000000000003" customHeight="1" outlineLevel="1">
      <c r="A538" s="1997"/>
      <c r="B538" s="1740"/>
      <c r="C538" s="2141"/>
      <c r="D538" s="1997"/>
      <c r="E538" s="1997"/>
      <c r="F538" s="2152"/>
      <c r="G538" s="2152"/>
      <c r="H538" s="2153"/>
      <c r="I538" s="1997"/>
      <c r="J538" s="1740"/>
      <c r="K538" s="2151"/>
      <c r="L538" s="1996" t="s">
        <v>1051</v>
      </c>
      <c r="M538" s="1997"/>
      <c r="N538" s="1997"/>
      <c r="O538" s="1998"/>
      <c r="P538" s="1997"/>
      <c r="Q538" s="2015">
        <f>SUBTOTAL(9,Q535:Q537)</f>
        <v>41351.371874999997</v>
      </c>
      <c r="R538" s="1714"/>
      <c r="S538" s="1127"/>
      <c r="T538" s="1127"/>
      <c r="U538" s="1127"/>
      <c r="V538" s="1127"/>
      <c r="W538" s="1127"/>
      <c r="X538" s="1127"/>
      <c r="Y538" s="1124"/>
      <c r="Z538" s="1124"/>
      <c r="AA538" s="1124"/>
      <c r="AB538" s="1124"/>
      <c r="AC538" s="1124"/>
      <c r="AD538" s="1124"/>
      <c r="AE538" s="1124"/>
      <c r="AF538" s="1124"/>
      <c r="AG538" s="1124"/>
    </row>
    <row r="539" spans="1:33" ht="39.950000000000003" customHeight="1">
      <c r="A539" s="1997"/>
      <c r="B539" s="1740"/>
      <c r="C539" s="2141"/>
      <c r="D539" s="1997"/>
      <c r="E539" s="1997"/>
      <c r="F539" s="2152"/>
      <c r="G539" s="2152"/>
      <c r="H539" s="2153"/>
      <c r="I539" s="1997"/>
      <c r="J539" s="1740"/>
      <c r="K539" s="2151"/>
      <c r="L539" s="1996" t="s">
        <v>1052</v>
      </c>
      <c r="M539" s="1997"/>
      <c r="N539" s="1997"/>
      <c r="O539" s="1998"/>
      <c r="P539" s="1997"/>
      <c r="Q539" s="2015">
        <f>SUBTOTAL(9,Q523:Q537)</f>
        <v>63605.746874999997</v>
      </c>
      <c r="R539" s="1714"/>
      <c r="S539" s="1127"/>
      <c r="T539" s="1127"/>
      <c r="U539" s="1127"/>
      <c r="V539" s="1127"/>
      <c r="W539" s="1127"/>
      <c r="X539" s="1127"/>
      <c r="Y539" s="1124"/>
      <c r="Z539" s="1124"/>
      <c r="AA539" s="1124"/>
      <c r="AB539" s="1124"/>
      <c r="AC539" s="1124"/>
      <c r="AD539" s="1124"/>
      <c r="AE539" s="1124"/>
      <c r="AF539" s="1124"/>
      <c r="AG539" s="1124"/>
    </row>
    <row r="540" spans="1:33" ht="31.5">
      <c r="A540" s="1640">
        <v>412</v>
      </c>
      <c r="B540" s="1685" t="s">
        <v>936</v>
      </c>
      <c r="C540" s="1686"/>
      <c r="D540" s="1687"/>
      <c r="E540" s="1687"/>
      <c r="F540" s="1687"/>
      <c r="G540" s="1687"/>
      <c r="H540" s="1687"/>
      <c r="I540" s="1687"/>
      <c r="J540" s="1221"/>
      <c r="K540" s="1641"/>
      <c r="L540" s="1642"/>
      <c r="M540" s="1643"/>
      <c r="N540" s="1644"/>
      <c r="O540" s="1645"/>
      <c r="P540" s="1949"/>
      <c r="Q540" s="1435">
        <f>+Q544+Q547</f>
        <v>9103.5</v>
      </c>
      <c r="R540" s="1716"/>
      <c r="S540" s="1646">
        <f t="shared" ref="S540:AF540" si="91">SUM(S541:S546)</f>
        <v>0</v>
      </c>
      <c r="T540" s="1646">
        <f t="shared" si="91"/>
        <v>0</v>
      </c>
      <c r="U540" s="1646">
        <f t="shared" si="91"/>
        <v>0</v>
      </c>
      <c r="V540" s="1646">
        <f t="shared" si="91"/>
        <v>0</v>
      </c>
      <c r="W540" s="1646">
        <f t="shared" si="91"/>
        <v>9103.5</v>
      </c>
      <c r="X540" s="1646">
        <f t="shared" si="91"/>
        <v>0</v>
      </c>
      <c r="Y540" s="1646">
        <f t="shared" si="91"/>
        <v>0</v>
      </c>
      <c r="Z540" s="1224">
        <f t="shared" si="91"/>
        <v>0</v>
      </c>
      <c r="AA540" s="1224">
        <f t="shared" si="91"/>
        <v>0</v>
      </c>
      <c r="AB540" s="1224">
        <f t="shared" si="91"/>
        <v>0</v>
      </c>
      <c r="AC540" s="1224">
        <f t="shared" si="91"/>
        <v>0</v>
      </c>
      <c r="AD540" s="1224">
        <f t="shared" si="91"/>
        <v>0</v>
      </c>
      <c r="AE540" s="1224">
        <f t="shared" si="91"/>
        <v>0</v>
      </c>
      <c r="AF540" s="1224">
        <f t="shared" si="91"/>
        <v>0</v>
      </c>
      <c r="AG540" s="1395">
        <f>SUM(S540:AF540)</f>
        <v>9103.5</v>
      </c>
    </row>
    <row r="541" spans="1:33" s="1570" customFormat="1" ht="57" customHeight="1" outlineLevel="2">
      <c r="A541" s="1647">
        <v>4121</v>
      </c>
      <c r="B541" s="1648" t="s">
        <v>937</v>
      </c>
      <c r="C541" s="1648" t="s">
        <v>939</v>
      </c>
      <c r="D541" s="1649"/>
      <c r="E541" s="1650">
        <f>2</f>
        <v>2</v>
      </c>
      <c r="F541" s="1629">
        <v>43297</v>
      </c>
      <c r="G541" s="1629">
        <f>F541+E541-1</f>
        <v>43298</v>
      </c>
      <c r="H541" s="1651" t="s">
        <v>178</v>
      </c>
      <c r="I541" s="1651" t="s">
        <v>169</v>
      </c>
      <c r="J541" s="1632" t="s">
        <v>178</v>
      </c>
      <c r="K541" s="1679" t="s">
        <v>486</v>
      </c>
      <c r="L541" s="1813">
        <v>23173</v>
      </c>
      <c r="M541" s="1688"/>
      <c r="N541" s="1653"/>
      <c r="O541" s="1689">
        <v>46.875</v>
      </c>
      <c r="P541" s="1969">
        <v>2</v>
      </c>
      <c r="Q541" s="1722">
        <f>O541*P541</f>
        <v>93.75</v>
      </c>
      <c r="R541" s="1717"/>
      <c r="S541" s="1690"/>
      <c r="T541" s="1690"/>
      <c r="U541" s="1690"/>
      <c r="V541" s="1690"/>
      <c r="W541" s="1690">
        <f>Q541</f>
        <v>93.75</v>
      </c>
      <c r="X541" s="1690"/>
      <c r="Y541" s="1690"/>
      <c r="Z541" s="1691"/>
      <c r="AA541" s="1691"/>
      <c r="AB541" s="1691"/>
      <c r="AC541" s="1691"/>
      <c r="AD541" s="1691"/>
      <c r="AE541" s="1691"/>
      <c r="AF541" s="1691"/>
      <c r="AG541" s="1636"/>
    </row>
    <row r="542" spans="1:33" s="1570" customFormat="1" ht="33" customHeight="1" outlineLevel="2">
      <c r="A542" s="1647">
        <v>4122</v>
      </c>
      <c r="B542" s="1648" t="s">
        <v>23</v>
      </c>
      <c r="C542" s="1648" t="s">
        <v>940</v>
      </c>
      <c r="D542" s="1649"/>
      <c r="E542" s="1650">
        <f>3</f>
        <v>3</v>
      </c>
      <c r="F542" s="1629">
        <v>43300</v>
      </c>
      <c r="G542" s="1629">
        <f>F542+E542-1</f>
        <v>43302</v>
      </c>
      <c r="H542" s="1651" t="s">
        <v>178</v>
      </c>
      <c r="I542" s="1651" t="s">
        <v>169</v>
      </c>
      <c r="J542" s="1632" t="s">
        <v>178</v>
      </c>
      <c r="K542" s="1679" t="s">
        <v>486</v>
      </c>
      <c r="L542" s="1813">
        <v>23173</v>
      </c>
      <c r="M542" s="1688"/>
      <c r="N542" s="1653"/>
      <c r="O542" s="1689">
        <v>31.25</v>
      </c>
      <c r="P542" s="1969">
        <v>3</v>
      </c>
      <c r="Q542" s="1722">
        <f>O542*P542</f>
        <v>93.75</v>
      </c>
      <c r="R542" s="1717"/>
      <c r="S542" s="1690"/>
      <c r="T542" s="1690"/>
      <c r="U542" s="1690"/>
      <c r="V542" s="1690"/>
      <c r="W542" s="1690">
        <f>Q542</f>
        <v>93.75</v>
      </c>
      <c r="X542" s="1690"/>
      <c r="Y542" s="1690"/>
      <c r="Z542" s="1691"/>
      <c r="AA542" s="1691"/>
      <c r="AB542" s="1691"/>
      <c r="AC542" s="1691"/>
      <c r="AD542" s="1691"/>
      <c r="AE542" s="1691"/>
      <c r="AF542" s="1691"/>
      <c r="AG542" s="1636"/>
    </row>
    <row r="543" spans="1:33" s="1570" customFormat="1" ht="44.25" customHeight="1" outlineLevel="2">
      <c r="A543" s="1647">
        <v>4122</v>
      </c>
      <c r="B543" s="1648" t="s">
        <v>23</v>
      </c>
      <c r="C543" s="1648" t="s">
        <v>940</v>
      </c>
      <c r="D543" s="1649"/>
      <c r="E543" s="1650">
        <f>3</f>
        <v>3</v>
      </c>
      <c r="F543" s="1629">
        <v>43300</v>
      </c>
      <c r="G543" s="1629">
        <f>F543+E543-1</f>
        <v>43302</v>
      </c>
      <c r="H543" s="1651" t="s">
        <v>178</v>
      </c>
      <c r="I543" s="1651" t="s">
        <v>169</v>
      </c>
      <c r="J543" s="1632" t="s">
        <v>178</v>
      </c>
      <c r="K543" s="1679" t="s">
        <v>320</v>
      </c>
      <c r="L543" s="1813">
        <v>23173</v>
      </c>
      <c r="M543" s="1688"/>
      <c r="N543" s="1653"/>
      <c r="O543" s="1689">
        <v>164.0625</v>
      </c>
      <c r="P543" s="1969">
        <v>1</v>
      </c>
      <c r="Q543" s="1722">
        <f>O543*P543</f>
        <v>164.0625</v>
      </c>
      <c r="R543" s="1717"/>
      <c r="S543" s="1690"/>
      <c r="T543" s="1690"/>
      <c r="U543" s="1690"/>
      <c r="V543" s="1690"/>
      <c r="W543" s="1690">
        <f>Q543</f>
        <v>164.0625</v>
      </c>
      <c r="X543" s="1690"/>
      <c r="Y543" s="1690"/>
      <c r="Z543" s="1691"/>
      <c r="AA543" s="1691"/>
      <c r="AB543" s="1691"/>
      <c r="AC543" s="1691"/>
      <c r="AD543" s="1691"/>
      <c r="AE543" s="1691"/>
      <c r="AF543" s="1691"/>
      <c r="AG543" s="1636"/>
    </row>
    <row r="544" spans="1:33" s="1570" customFormat="1" ht="39.950000000000003" customHeight="1" outlineLevel="1">
      <c r="A544" s="1997"/>
      <c r="B544" s="2141"/>
      <c r="C544" s="2141"/>
      <c r="D544" s="2154"/>
      <c r="E544" s="2151"/>
      <c r="F544" s="2152"/>
      <c r="G544" s="2152"/>
      <c r="H544" s="2151"/>
      <c r="I544" s="2151"/>
      <c r="J544" s="1740"/>
      <c r="K544" s="2151"/>
      <c r="L544" s="1996" t="s">
        <v>1053</v>
      </c>
      <c r="M544" s="1907"/>
      <c r="N544" s="1907"/>
      <c r="O544" s="1998"/>
      <c r="P544" s="1907"/>
      <c r="Q544" s="1909">
        <f>SUBTOTAL(9,Q541:Q543)</f>
        <v>351.5625</v>
      </c>
      <c r="R544" s="1717"/>
      <c r="S544" s="1588"/>
      <c r="T544" s="1588"/>
      <c r="U544" s="1588"/>
      <c r="V544" s="1588"/>
      <c r="W544" s="1588"/>
      <c r="X544" s="1588"/>
      <c r="Y544" s="1588"/>
      <c r="Z544" s="1569"/>
      <c r="AA544" s="1569"/>
      <c r="AB544" s="1569"/>
      <c r="AC544" s="1569"/>
      <c r="AD544" s="1569"/>
      <c r="AE544" s="1569"/>
      <c r="AF544" s="1569"/>
      <c r="AG544" s="1124"/>
    </row>
    <row r="545" spans="1:33" s="1570" customFormat="1" ht="37.5" customHeight="1" outlineLevel="2">
      <c r="A545" s="1647">
        <v>4121</v>
      </c>
      <c r="B545" s="1648" t="s">
        <v>937</v>
      </c>
      <c r="C545" s="1648" t="s">
        <v>938</v>
      </c>
      <c r="D545" s="1649"/>
      <c r="E545" s="1650">
        <f>2</f>
        <v>2</v>
      </c>
      <c r="F545" s="1629">
        <v>43297</v>
      </c>
      <c r="G545" s="1629">
        <f>F545+E545-1</f>
        <v>43298</v>
      </c>
      <c r="H545" s="1651" t="s">
        <v>178</v>
      </c>
      <c r="I545" s="1651" t="s">
        <v>178</v>
      </c>
      <c r="J545" s="1652" t="s">
        <v>169</v>
      </c>
      <c r="K545" s="1679" t="s">
        <v>888</v>
      </c>
      <c r="L545" s="1813">
        <v>23174</v>
      </c>
      <c r="M545" s="1688"/>
      <c r="N545" s="1653"/>
      <c r="O545" s="1689">
        <v>3106.9156250000001</v>
      </c>
      <c r="P545" s="1969">
        <v>1</v>
      </c>
      <c r="Q545" s="1722">
        <f>O545*P545</f>
        <v>3106.9156250000001</v>
      </c>
      <c r="R545" s="1717"/>
      <c r="S545" s="1690"/>
      <c r="T545" s="1690"/>
      <c r="U545" s="1690"/>
      <c r="V545" s="1690"/>
      <c r="W545" s="1690">
        <f>Q545</f>
        <v>3106.9156250000001</v>
      </c>
      <c r="X545" s="1690"/>
      <c r="Y545" s="1690"/>
      <c r="Z545" s="1691"/>
      <c r="AA545" s="1691"/>
      <c r="AB545" s="1691"/>
      <c r="AC545" s="1691"/>
      <c r="AD545" s="1691"/>
      <c r="AE545" s="1691"/>
      <c r="AF545" s="1691"/>
      <c r="AG545" s="1636"/>
    </row>
    <row r="546" spans="1:33" s="1570" customFormat="1" ht="37.5" customHeight="1" outlineLevel="2">
      <c r="A546" s="1647">
        <v>4122</v>
      </c>
      <c r="B546" s="1648" t="s">
        <v>23</v>
      </c>
      <c r="C546" s="1648" t="s">
        <v>939</v>
      </c>
      <c r="D546" s="1649"/>
      <c r="E546" s="1650">
        <f>3</f>
        <v>3</v>
      </c>
      <c r="F546" s="1629">
        <v>43300</v>
      </c>
      <c r="G546" s="1629">
        <f>F546+E546-1</f>
        <v>43302</v>
      </c>
      <c r="H546" s="1651" t="s">
        <v>178</v>
      </c>
      <c r="I546" s="1651" t="s">
        <v>178</v>
      </c>
      <c r="J546" s="1652" t="s">
        <v>169</v>
      </c>
      <c r="K546" s="1679" t="s">
        <v>888</v>
      </c>
      <c r="L546" s="1813">
        <v>23174</v>
      </c>
      <c r="M546" s="1688"/>
      <c r="N546" s="1653"/>
      <c r="O546" s="1689">
        <v>5645.0218750000004</v>
      </c>
      <c r="P546" s="1969">
        <v>1</v>
      </c>
      <c r="Q546" s="1722">
        <f>O546*P546</f>
        <v>5645.0218750000004</v>
      </c>
      <c r="R546" s="1717"/>
      <c r="S546" s="1690"/>
      <c r="T546" s="1690"/>
      <c r="U546" s="1690"/>
      <c r="V546" s="1690"/>
      <c r="W546" s="1690">
        <f>Q546</f>
        <v>5645.0218750000004</v>
      </c>
      <c r="X546" s="1690"/>
      <c r="Y546" s="1690"/>
      <c r="Z546" s="1691"/>
      <c r="AA546" s="1691"/>
      <c r="AB546" s="1691"/>
      <c r="AC546" s="1691"/>
      <c r="AD546" s="1691"/>
      <c r="AE546" s="1691"/>
      <c r="AF546" s="1691"/>
      <c r="AG546" s="1636"/>
    </row>
    <row r="547" spans="1:33" s="1570" customFormat="1" ht="39.950000000000003" customHeight="1" outlineLevel="1">
      <c r="A547" s="1997"/>
      <c r="B547" s="2141"/>
      <c r="C547" s="2141"/>
      <c r="D547" s="2154"/>
      <c r="E547" s="2151"/>
      <c r="F547" s="2152"/>
      <c r="G547" s="2152"/>
      <c r="H547" s="2151"/>
      <c r="I547" s="2151"/>
      <c r="J547" s="2155"/>
      <c r="K547" s="2151"/>
      <c r="L547" s="1996" t="s">
        <v>1051</v>
      </c>
      <c r="M547" s="1907"/>
      <c r="N547" s="1907"/>
      <c r="O547" s="1998"/>
      <c r="P547" s="1907"/>
      <c r="Q547" s="1909">
        <f>SUBTOTAL(9,Q545:Q546)</f>
        <v>8751.9375</v>
      </c>
      <c r="R547" s="1717"/>
      <c r="S547" s="1588"/>
      <c r="T547" s="1588"/>
      <c r="U547" s="1588"/>
      <c r="V547" s="1588"/>
      <c r="W547" s="1588"/>
      <c r="X547" s="1588"/>
      <c r="Y547" s="1588"/>
      <c r="Z547" s="1569"/>
      <c r="AA547" s="1569"/>
      <c r="AB547" s="1569"/>
      <c r="AC547" s="1569"/>
      <c r="AD547" s="1569"/>
      <c r="AE547" s="1569"/>
      <c r="AF547" s="1569"/>
      <c r="AG547" s="1124"/>
    </row>
    <row r="548" spans="1:33" s="1570" customFormat="1" ht="39.950000000000003" customHeight="1">
      <c r="A548" s="1997"/>
      <c r="B548" s="2141"/>
      <c r="C548" s="2141"/>
      <c r="D548" s="2154"/>
      <c r="E548" s="2151"/>
      <c r="F548" s="2152"/>
      <c r="G548" s="2152"/>
      <c r="H548" s="2151"/>
      <c r="I548" s="2151"/>
      <c r="J548" s="2155"/>
      <c r="K548" s="2151"/>
      <c r="L548" s="1996" t="s">
        <v>1052</v>
      </c>
      <c r="M548" s="1907"/>
      <c r="N548" s="1907"/>
      <c r="O548" s="1998"/>
      <c r="P548" s="1907"/>
      <c r="Q548" s="1909">
        <f>SUBTOTAL(9,Q541:Q546)</f>
        <v>9103.5</v>
      </c>
      <c r="R548" s="1717"/>
      <c r="S548" s="1588"/>
      <c r="T548" s="1588"/>
      <c r="U548" s="1588"/>
      <c r="V548" s="1588"/>
      <c r="W548" s="1588"/>
      <c r="X548" s="1588"/>
      <c r="Y548" s="1588"/>
      <c r="Z548" s="1569"/>
      <c r="AA548" s="1569"/>
      <c r="AB548" s="1569"/>
      <c r="AC548" s="1569"/>
      <c r="AD548" s="1569"/>
      <c r="AE548" s="1569"/>
      <c r="AF548" s="1569"/>
      <c r="AG548" s="1124"/>
    </row>
    <row r="549" spans="1:33" ht="31.5">
      <c r="A549" s="1640">
        <v>413</v>
      </c>
      <c r="B549" s="1685" t="s">
        <v>941</v>
      </c>
      <c r="C549" s="1686"/>
      <c r="D549" s="1687"/>
      <c r="E549" s="1687"/>
      <c r="F549" s="1687"/>
      <c r="G549" s="1687"/>
      <c r="H549" s="1687"/>
      <c r="I549" s="1687"/>
      <c r="J549" s="1221"/>
      <c r="K549" s="1641"/>
      <c r="L549" s="1642"/>
      <c r="M549" s="1643"/>
      <c r="N549" s="1644"/>
      <c r="O549" s="1645"/>
      <c r="P549" s="1949"/>
      <c r="Q549" s="1435">
        <f>+Q551+Q553+Q555+Q557+Q559+Q562+Q572+Q578</f>
        <v>283581.25624999998</v>
      </c>
      <c r="R549" s="1716"/>
      <c r="S549" s="1646">
        <f t="shared" ref="S549:AF549" si="92">SUM(S550:S577)</f>
        <v>0</v>
      </c>
      <c r="T549" s="1646">
        <f t="shared" si="92"/>
        <v>0</v>
      </c>
      <c r="U549" s="1646">
        <f t="shared" si="92"/>
        <v>44582.8125</v>
      </c>
      <c r="V549" s="1646">
        <f t="shared" si="92"/>
        <v>0</v>
      </c>
      <c r="W549" s="1646">
        <f t="shared" si="92"/>
        <v>31385.708749999998</v>
      </c>
      <c r="X549" s="1646">
        <f t="shared" si="92"/>
        <v>79019.665312500001</v>
      </c>
      <c r="Y549" s="1646">
        <f t="shared" si="92"/>
        <v>128593.0696875</v>
      </c>
      <c r="Z549" s="1646">
        <f t="shared" si="92"/>
        <v>0</v>
      </c>
      <c r="AA549" s="1646">
        <f t="shared" si="92"/>
        <v>0</v>
      </c>
      <c r="AB549" s="1646">
        <f t="shared" si="92"/>
        <v>0</v>
      </c>
      <c r="AC549" s="1646">
        <f t="shared" si="92"/>
        <v>0</v>
      </c>
      <c r="AD549" s="1646">
        <f t="shared" si="92"/>
        <v>0</v>
      </c>
      <c r="AE549" s="1646">
        <f t="shared" si="92"/>
        <v>0</v>
      </c>
      <c r="AF549" s="1646">
        <f t="shared" si="92"/>
        <v>0</v>
      </c>
      <c r="AG549" s="1395">
        <f>SUM(S549:AF549)</f>
        <v>283581.25624999998</v>
      </c>
    </row>
    <row r="550" spans="1:33" ht="51.75" customHeight="1" outlineLevel="2">
      <c r="A550" s="845">
        <v>4132</v>
      </c>
      <c r="B550" s="1730" t="s">
        <v>1045</v>
      </c>
      <c r="C550" s="1843" t="s">
        <v>962</v>
      </c>
      <c r="D550" s="1543"/>
      <c r="E550" s="1391">
        <f>10</f>
        <v>10</v>
      </c>
      <c r="F550" s="1400">
        <v>43360</v>
      </c>
      <c r="G550" s="1400">
        <f>E550+F550-1</f>
        <v>43369</v>
      </c>
      <c r="H550" s="933" t="s">
        <v>914</v>
      </c>
      <c r="I550" s="1418" t="s">
        <v>169</v>
      </c>
      <c r="J550" s="1491" t="s">
        <v>178</v>
      </c>
      <c r="K550" s="1787" t="s">
        <v>963</v>
      </c>
      <c r="L550" s="1788">
        <v>2313</v>
      </c>
      <c r="M550" s="326"/>
      <c r="N550" s="294"/>
      <c r="O550" s="355">
        <v>750</v>
      </c>
      <c r="P550" s="1938">
        <v>14</v>
      </c>
      <c r="Q550" s="1126">
        <f>O550*P550</f>
        <v>10500</v>
      </c>
      <c r="R550" s="1989"/>
      <c r="S550" s="913"/>
      <c r="T550" s="913"/>
      <c r="U550" s="913">
        <f>Q550</f>
        <v>10500</v>
      </c>
      <c r="V550" s="913"/>
      <c r="W550" s="913"/>
      <c r="X550" s="1600"/>
      <c r="Y550" s="1127"/>
      <c r="Z550" s="1124"/>
      <c r="AA550" s="1124"/>
      <c r="AB550" s="1124"/>
      <c r="AC550" s="1124"/>
      <c r="AD550" s="1124"/>
      <c r="AE550" s="1124"/>
      <c r="AF550" s="1124"/>
      <c r="AG550" s="1124"/>
    </row>
    <row r="551" spans="1:33" ht="39.950000000000003" customHeight="1" outlineLevel="1">
      <c r="A551" s="1997"/>
      <c r="B551" s="1740"/>
      <c r="C551" s="2158"/>
      <c r="D551" s="1997"/>
      <c r="E551" s="1997"/>
      <c r="F551" s="2152"/>
      <c r="G551" s="2152"/>
      <c r="H551" s="2153"/>
      <c r="I551" s="2151"/>
      <c r="J551" s="2155"/>
      <c r="K551" s="2150"/>
      <c r="L551" s="1996" t="s">
        <v>1055</v>
      </c>
      <c r="M551" s="1997"/>
      <c r="N551" s="1997"/>
      <c r="O551" s="1998"/>
      <c r="P551" s="1997"/>
      <c r="Q551" s="1998">
        <f>SUBTOTAL(9,Q550:Q550)</f>
        <v>10500</v>
      </c>
      <c r="R551" s="2156"/>
      <c r="S551" s="1682"/>
      <c r="T551" s="1682"/>
      <c r="U551" s="1682"/>
      <c r="V551" s="1682"/>
      <c r="W551" s="1682"/>
      <c r="X551" s="2157"/>
      <c r="Y551" s="1127"/>
      <c r="Z551" s="1124"/>
      <c r="AA551" s="1124"/>
      <c r="AB551" s="1124"/>
      <c r="AC551" s="1124"/>
      <c r="AD551" s="1124"/>
      <c r="AE551" s="1124"/>
      <c r="AF551" s="1124"/>
      <c r="AG551" s="1124"/>
    </row>
    <row r="552" spans="1:33" ht="47.25" outlineLevel="2">
      <c r="A552" s="845">
        <v>4131</v>
      </c>
      <c r="B552" s="857" t="s">
        <v>1039</v>
      </c>
      <c r="C552" s="1598" t="s">
        <v>944</v>
      </c>
      <c r="D552" s="1599"/>
      <c r="E552" s="1391">
        <f>45+21</f>
        <v>66</v>
      </c>
      <c r="F552" s="1400">
        <v>43192</v>
      </c>
      <c r="G552" s="1400">
        <f>E552+F552-1</f>
        <v>43257</v>
      </c>
      <c r="H552" s="845" t="s">
        <v>178</v>
      </c>
      <c r="I552" s="845" t="s">
        <v>169</v>
      </c>
      <c r="J552" s="866" t="s">
        <v>178</v>
      </c>
      <c r="K552" s="1787" t="s">
        <v>946</v>
      </c>
      <c r="L552" s="1788">
        <v>2314</v>
      </c>
      <c r="M552" s="326"/>
      <c r="N552" s="294"/>
      <c r="O552" s="354">
        <v>125</v>
      </c>
      <c r="P552" s="1938">
        <v>1</v>
      </c>
      <c r="Q552" s="1126">
        <f>O552*P552</f>
        <v>125</v>
      </c>
      <c r="R552" s="1989"/>
      <c r="S552" s="913"/>
      <c r="T552" s="913"/>
      <c r="U552" s="913">
        <f t="shared" ref="U552:U558" si="93">Q552</f>
        <v>125</v>
      </c>
      <c r="V552" s="913"/>
      <c r="W552" s="913"/>
      <c r="X552" s="1600"/>
      <c r="Y552" s="1127"/>
      <c r="Z552" s="1124"/>
      <c r="AA552" s="1124"/>
      <c r="AB552" s="1124"/>
      <c r="AC552" s="1124"/>
      <c r="AD552" s="1124"/>
      <c r="AE552" s="1124"/>
      <c r="AF552" s="1124"/>
      <c r="AG552" s="1124"/>
    </row>
    <row r="553" spans="1:33" ht="39.950000000000003" customHeight="1" outlineLevel="1">
      <c r="A553" s="1997"/>
      <c r="B553" s="2141"/>
      <c r="C553" s="2159"/>
      <c r="D553" s="2160"/>
      <c r="E553" s="1997"/>
      <c r="F553" s="2152"/>
      <c r="G553" s="2152"/>
      <c r="H553" s="1997"/>
      <c r="I553" s="1997"/>
      <c r="J553" s="1740"/>
      <c r="K553" s="2150"/>
      <c r="L553" s="1996" t="s">
        <v>1065</v>
      </c>
      <c r="M553" s="1997"/>
      <c r="N553" s="1997"/>
      <c r="O553" s="1998"/>
      <c r="P553" s="1997"/>
      <c r="Q553" s="1998">
        <f>SUBTOTAL(9,Q552:Q552)</f>
        <v>125</v>
      </c>
      <c r="R553" s="2156"/>
      <c r="S553" s="1682"/>
      <c r="T553" s="1682"/>
      <c r="U553" s="1682"/>
      <c r="V553" s="1682"/>
      <c r="W553" s="1682"/>
      <c r="X553" s="2157"/>
      <c r="Y553" s="1127"/>
      <c r="Z553" s="1124"/>
      <c r="AA553" s="1124"/>
      <c r="AB553" s="1124"/>
      <c r="AC553" s="1124"/>
      <c r="AD553" s="1124"/>
      <c r="AE553" s="1124"/>
      <c r="AF553" s="1124"/>
      <c r="AG553" s="1124"/>
    </row>
    <row r="554" spans="1:33" ht="47.25" outlineLevel="2">
      <c r="A554" s="845">
        <v>4131</v>
      </c>
      <c r="B554" s="857" t="s">
        <v>1039</v>
      </c>
      <c r="C554" s="1598" t="s">
        <v>944</v>
      </c>
      <c r="D554" s="1599"/>
      <c r="E554" s="1391">
        <f>45+21</f>
        <v>66</v>
      </c>
      <c r="F554" s="1400">
        <v>43192</v>
      </c>
      <c r="G554" s="1400">
        <f>E554+F554-1</f>
        <v>43257</v>
      </c>
      <c r="H554" s="845" t="s">
        <v>178</v>
      </c>
      <c r="I554" s="845" t="s">
        <v>169</v>
      </c>
      <c r="J554" s="866" t="s">
        <v>178</v>
      </c>
      <c r="K554" s="1787" t="s">
        <v>948</v>
      </c>
      <c r="L554" s="1788">
        <v>2431</v>
      </c>
      <c r="M554" s="326"/>
      <c r="N554" s="294"/>
      <c r="O554" s="354">
        <v>7375</v>
      </c>
      <c r="P554" s="1938">
        <v>1</v>
      </c>
      <c r="Q554" s="1126">
        <f>O554*P554</f>
        <v>7375</v>
      </c>
      <c r="R554" s="1989"/>
      <c r="S554" s="913"/>
      <c r="T554" s="913"/>
      <c r="U554" s="913">
        <f t="shared" si="93"/>
        <v>7375</v>
      </c>
      <c r="V554" s="913"/>
      <c r="W554" s="913"/>
      <c r="X554" s="1600"/>
      <c r="Y554" s="1127"/>
      <c r="Z554" s="1124"/>
      <c r="AA554" s="1124"/>
      <c r="AB554" s="1124"/>
      <c r="AC554" s="1124"/>
      <c r="AD554" s="1124"/>
      <c r="AE554" s="1124"/>
      <c r="AF554" s="1124"/>
      <c r="AG554" s="1124"/>
    </row>
    <row r="555" spans="1:33" ht="39.950000000000003" customHeight="1" outlineLevel="1">
      <c r="A555" s="1997"/>
      <c r="B555" s="2141"/>
      <c r="C555" s="2159"/>
      <c r="D555" s="2160"/>
      <c r="E555" s="1997"/>
      <c r="F555" s="2152"/>
      <c r="G555" s="2152"/>
      <c r="H555" s="1997"/>
      <c r="I555" s="1997"/>
      <c r="J555" s="1740"/>
      <c r="K555" s="2150"/>
      <c r="L555" s="1996" t="s">
        <v>1064</v>
      </c>
      <c r="M555" s="1997"/>
      <c r="N555" s="1997"/>
      <c r="O555" s="1998"/>
      <c r="P555" s="1997"/>
      <c r="Q555" s="1998">
        <f>SUBTOTAL(9,Q554:Q554)</f>
        <v>7375</v>
      </c>
      <c r="R555" s="2156"/>
      <c r="S555" s="1682"/>
      <c r="T555" s="1682"/>
      <c r="U555" s="1682"/>
      <c r="V555" s="1682"/>
      <c r="W555" s="1682"/>
      <c r="X555" s="2157"/>
      <c r="Y555" s="1127"/>
      <c r="Z555" s="1124"/>
      <c r="AA555" s="1124"/>
      <c r="AB555" s="1124"/>
      <c r="AC555" s="1124"/>
      <c r="AD555" s="1124"/>
      <c r="AE555" s="1124"/>
      <c r="AF555" s="1124"/>
      <c r="AG555" s="1124"/>
    </row>
    <row r="556" spans="1:33" ht="49.5" customHeight="1" outlineLevel="2">
      <c r="A556" s="845">
        <v>4131</v>
      </c>
      <c r="B556" s="857" t="s">
        <v>1039</v>
      </c>
      <c r="C556" s="1598" t="s">
        <v>944</v>
      </c>
      <c r="D556" s="1599"/>
      <c r="E556" s="1391">
        <f>45+21</f>
        <v>66</v>
      </c>
      <c r="F556" s="1400">
        <v>43192</v>
      </c>
      <c r="G556" s="1400">
        <f>E556+F556-1</f>
        <v>43257</v>
      </c>
      <c r="H556" s="845" t="s">
        <v>178</v>
      </c>
      <c r="I556" s="845" t="s">
        <v>169</v>
      </c>
      <c r="J556" s="866" t="s">
        <v>178</v>
      </c>
      <c r="K556" s="1787" t="s">
        <v>945</v>
      </c>
      <c r="L556" s="1788">
        <v>2461</v>
      </c>
      <c r="M556" s="326"/>
      <c r="N556" s="294"/>
      <c r="O556" s="354">
        <v>3356.25</v>
      </c>
      <c r="P556" s="1938">
        <v>1</v>
      </c>
      <c r="Q556" s="1126">
        <f>O556*P556</f>
        <v>3356.25</v>
      </c>
      <c r="R556" s="1989"/>
      <c r="S556" s="913"/>
      <c r="T556" s="913"/>
      <c r="U556" s="913">
        <f t="shared" si="93"/>
        <v>3356.25</v>
      </c>
      <c r="V556" s="913"/>
      <c r="W556" s="913"/>
      <c r="X556" s="1600"/>
      <c r="Y556" s="1127"/>
      <c r="Z556" s="1124"/>
      <c r="AA556" s="1124"/>
      <c r="AB556" s="1124"/>
      <c r="AC556" s="1124"/>
      <c r="AD556" s="1124"/>
      <c r="AE556" s="1124"/>
      <c r="AF556" s="1124"/>
      <c r="AG556" s="1124"/>
    </row>
    <row r="557" spans="1:33" ht="39.950000000000003" customHeight="1" outlineLevel="1">
      <c r="A557" s="1997"/>
      <c r="B557" s="2141"/>
      <c r="C557" s="2159"/>
      <c r="D557" s="2160"/>
      <c r="E557" s="1997"/>
      <c r="F557" s="2152"/>
      <c r="G557" s="2152"/>
      <c r="H557" s="1997"/>
      <c r="I557" s="1997"/>
      <c r="J557" s="1740"/>
      <c r="K557" s="2150"/>
      <c r="L557" s="1996" t="s">
        <v>1054</v>
      </c>
      <c r="M557" s="1997"/>
      <c r="N557" s="1997"/>
      <c r="O557" s="1998"/>
      <c r="P557" s="1997"/>
      <c r="Q557" s="1998">
        <f>SUBTOTAL(9,Q556:Q556)</f>
        <v>3356.25</v>
      </c>
      <c r="R557" s="2156"/>
      <c r="S557" s="1682"/>
      <c r="T557" s="1682"/>
      <c r="U557" s="1682"/>
      <c r="V557" s="1682"/>
      <c r="W557" s="1682"/>
      <c r="X557" s="2157"/>
      <c r="Y557" s="1127"/>
      <c r="Z557" s="1124"/>
      <c r="AA557" s="1124"/>
      <c r="AB557" s="1124"/>
      <c r="AC557" s="1124"/>
      <c r="AD557" s="1124"/>
      <c r="AE557" s="1124"/>
      <c r="AF557" s="1124"/>
      <c r="AG557" s="1124"/>
    </row>
    <row r="558" spans="1:33" ht="47.25" outlineLevel="2">
      <c r="A558" s="845">
        <v>4131</v>
      </c>
      <c r="B558" s="857" t="s">
        <v>1039</v>
      </c>
      <c r="C558" s="1598" t="s">
        <v>944</v>
      </c>
      <c r="D558" s="1599"/>
      <c r="E558" s="1391">
        <f>45+21</f>
        <v>66</v>
      </c>
      <c r="F558" s="1400">
        <v>43192</v>
      </c>
      <c r="G558" s="1400">
        <f>E558+F558-1</f>
        <v>43257</v>
      </c>
      <c r="H558" s="845" t="s">
        <v>178</v>
      </c>
      <c r="I558" s="845" t="s">
        <v>169</v>
      </c>
      <c r="J558" s="866" t="s">
        <v>178</v>
      </c>
      <c r="K558" s="1787" t="s">
        <v>947</v>
      </c>
      <c r="L558" s="1788">
        <v>2463</v>
      </c>
      <c r="M558" s="326"/>
      <c r="N558" s="294"/>
      <c r="O558" s="354">
        <v>23062.5</v>
      </c>
      <c r="P558" s="1938">
        <v>1</v>
      </c>
      <c r="Q558" s="1126">
        <f>O558*P558</f>
        <v>23062.5</v>
      </c>
      <c r="R558" s="1989"/>
      <c r="S558" s="913"/>
      <c r="T558" s="913"/>
      <c r="U558" s="913">
        <f t="shared" si="93"/>
        <v>23062.5</v>
      </c>
      <c r="V558" s="913"/>
      <c r="W558" s="913"/>
      <c r="X558" s="1600"/>
      <c r="Y558" s="1127"/>
      <c r="Z558" s="1124"/>
      <c r="AA558" s="1124"/>
      <c r="AB558" s="1124"/>
      <c r="AC558" s="1124"/>
      <c r="AD558" s="1124"/>
      <c r="AE558" s="1124"/>
      <c r="AF558" s="1124"/>
      <c r="AG558" s="1124"/>
    </row>
    <row r="559" spans="1:33" ht="39.950000000000003" customHeight="1" outlineLevel="1">
      <c r="A559" s="1997"/>
      <c r="B559" s="2141"/>
      <c r="C559" s="2159"/>
      <c r="D559" s="2160"/>
      <c r="E559" s="1997"/>
      <c r="F559" s="2152"/>
      <c r="G559" s="2152"/>
      <c r="H559" s="1997"/>
      <c r="I559" s="1997"/>
      <c r="J559" s="1740"/>
      <c r="K559" s="2150"/>
      <c r="L559" s="1996" t="s">
        <v>1061</v>
      </c>
      <c r="M559" s="1997"/>
      <c r="N559" s="1997"/>
      <c r="O559" s="1998"/>
      <c r="P559" s="1997"/>
      <c r="Q559" s="1998">
        <f>SUBTOTAL(9,Q558:Q558)</f>
        <v>23062.5</v>
      </c>
      <c r="R559" s="2156"/>
      <c r="S559" s="1682"/>
      <c r="T559" s="1682"/>
      <c r="U559" s="1682"/>
      <c r="V559" s="1682"/>
      <c r="W559" s="1682"/>
      <c r="X559" s="2157"/>
      <c r="Y559" s="1127"/>
      <c r="Z559" s="1124"/>
      <c r="AA559" s="1124"/>
      <c r="AB559" s="1124"/>
      <c r="AC559" s="1124"/>
      <c r="AD559" s="1124"/>
      <c r="AE559" s="1124"/>
      <c r="AF559" s="1124"/>
      <c r="AG559" s="1124"/>
    </row>
    <row r="560" spans="1:33" ht="60.75" customHeight="1" outlineLevel="2">
      <c r="A560" s="845">
        <v>4131</v>
      </c>
      <c r="B560" s="1730" t="s">
        <v>1040</v>
      </c>
      <c r="C560" s="888" t="s">
        <v>950</v>
      </c>
      <c r="D560" s="1543"/>
      <c r="E560" s="1403">
        <f>9</f>
        <v>9</v>
      </c>
      <c r="F560" s="1404">
        <v>43283</v>
      </c>
      <c r="G560" s="1400">
        <f>E560+F560-1</f>
        <v>43291</v>
      </c>
      <c r="H560" s="293" t="s">
        <v>914</v>
      </c>
      <c r="I560" s="845" t="s">
        <v>169</v>
      </c>
      <c r="J560" s="866" t="s">
        <v>178</v>
      </c>
      <c r="K560" s="1787" t="s">
        <v>951</v>
      </c>
      <c r="L560" s="1788">
        <v>23172</v>
      </c>
      <c r="M560" s="1543"/>
      <c r="N560" s="845"/>
      <c r="O560" s="354">
        <v>312.5</v>
      </c>
      <c r="P560" s="1968">
        <v>1</v>
      </c>
      <c r="Q560" s="1126">
        <f>O560*P560</f>
        <v>312.5</v>
      </c>
      <c r="R560" s="1989"/>
      <c r="S560" s="913"/>
      <c r="T560" s="913"/>
      <c r="U560" s="913"/>
      <c r="V560" s="913"/>
      <c r="W560" s="913">
        <f>Q560</f>
        <v>312.5</v>
      </c>
      <c r="X560" s="1600"/>
      <c r="Y560" s="1127"/>
      <c r="Z560" s="1124"/>
      <c r="AA560" s="1124"/>
      <c r="AB560" s="1124"/>
      <c r="AC560" s="1124"/>
      <c r="AD560" s="1124"/>
      <c r="AE560" s="1124"/>
      <c r="AF560" s="1124"/>
      <c r="AG560" s="1124"/>
    </row>
    <row r="561" spans="1:33" ht="60.75" customHeight="1" outlineLevel="2">
      <c r="A561" s="845">
        <v>4132</v>
      </c>
      <c r="B561" s="1730" t="s">
        <v>1043</v>
      </c>
      <c r="C561" s="888" t="s">
        <v>958</v>
      </c>
      <c r="D561" s="1543"/>
      <c r="E561" s="1403">
        <f>4+30+4+4+4+2+5+4+6+4</f>
        <v>67</v>
      </c>
      <c r="F561" s="1404">
        <v>43311</v>
      </c>
      <c r="G561" s="1400">
        <f>E561+F561-1</f>
        <v>43377</v>
      </c>
      <c r="H561" s="293" t="s">
        <v>914</v>
      </c>
      <c r="I561" s="1418" t="s">
        <v>169</v>
      </c>
      <c r="J561" s="1491" t="s">
        <v>178</v>
      </c>
      <c r="K561" s="1787" t="s">
        <v>951</v>
      </c>
      <c r="L561" s="1788">
        <v>23172</v>
      </c>
      <c r="M561" s="1543"/>
      <c r="N561" s="845"/>
      <c r="O561" s="355">
        <v>312.5</v>
      </c>
      <c r="P561" s="1968">
        <v>1</v>
      </c>
      <c r="Q561" s="1126">
        <f>O561*P561</f>
        <v>312.5</v>
      </c>
      <c r="R561" s="1989"/>
      <c r="S561" s="913"/>
      <c r="T561" s="913"/>
      <c r="U561" s="913"/>
      <c r="V561" s="913"/>
      <c r="W561" s="913">
        <f>Q561</f>
        <v>312.5</v>
      </c>
      <c r="X561" s="1600"/>
      <c r="Y561" s="1127"/>
      <c r="Z561" s="1124"/>
      <c r="AA561" s="1124"/>
      <c r="AB561" s="1124"/>
      <c r="AC561" s="1124"/>
      <c r="AD561" s="1124"/>
      <c r="AE561" s="1124"/>
      <c r="AF561" s="1124"/>
      <c r="AG561" s="1124"/>
    </row>
    <row r="562" spans="1:33" ht="39.950000000000003" customHeight="1" outlineLevel="1">
      <c r="A562" s="1997"/>
      <c r="B562" s="1740"/>
      <c r="C562" s="2141"/>
      <c r="D562" s="1997"/>
      <c r="E562" s="1997"/>
      <c r="F562" s="2152"/>
      <c r="G562" s="2152"/>
      <c r="H562" s="2153"/>
      <c r="I562" s="2151"/>
      <c r="J562" s="2155"/>
      <c r="K562" s="2150"/>
      <c r="L562" s="1996" t="s">
        <v>1059</v>
      </c>
      <c r="M562" s="1997"/>
      <c r="N562" s="1997"/>
      <c r="O562" s="1998"/>
      <c r="P562" s="1997"/>
      <c r="Q562" s="1998">
        <f>SUBTOTAL(9,Q560:Q561)</f>
        <v>625</v>
      </c>
      <c r="R562" s="2156"/>
      <c r="S562" s="1682"/>
      <c r="T562" s="1682"/>
      <c r="U562" s="1682"/>
      <c r="V562" s="1682"/>
      <c r="W562" s="1682"/>
      <c r="X562" s="2157"/>
      <c r="Y562" s="1127"/>
      <c r="Z562" s="1124"/>
      <c r="AA562" s="1124"/>
      <c r="AB562" s="1124"/>
      <c r="AC562" s="1124"/>
      <c r="AD562" s="1124"/>
      <c r="AE562" s="1124"/>
      <c r="AF562" s="1124"/>
      <c r="AG562" s="1124"/>
    </row>
    <row r="563" spans="1:33" ht="60.75" customHeight="1" outlineLevel="2">
      <c r="A563" s="845">
        <v>4131</v>
      </c>
      <c r="B563" s="857" t="s">
        <v>1039</v>
      </c>
      <c r="C563" s="1598" t="s">
        <v>944</v>
      </c>
      <c r="D563" s="1599"/>
      <c r="E563" s="1403">
        <f>45+21</f>
        <v>66</v>
      </c>
      <c r="F563" s="1404">
        <v>43192</v>
      </c>
      <c r="G563" s="1400">
        <f t="shared" ref="G563:G571" si="94">E563+F563-1</f>
        <v>43257</v>
      </c>
      <c r="H563" s="294" t="s">
        <v>178</v>
      </c>
      <c r="I563" s="845" t="s">
        <v>169</v>
      </c>
      <c r="J563" s="866" t="s">
        <v>178</v>
      </c>
      <c r="K563" s="1787" t="s">
        <v>320</v>
      </c>
      <c r="L563" s="1788">
        <v>23173</v>
      </c>
      <c r="M563" s="1543"/>
      <c r="N563" s="845"/>
      <c r="O563" s="354">
        <v>4340.625</v>
      </c>
      <c r="P563" s="1968">
        <v>1</v>
      </c>
      <c r="Q563" s="1126">
        <f t="shared" ref="Q563:Q571" si="95">O563*P563</f>
        <v>4340.625</v>
      </c>
      <c r="R563" s="1989"/>
      <c r="S563" s="913"/>
      <c r="T563" s="913"/>
      <c r="U563" s="913"/>
      <c r="V563" s="913"/>
      <c r="W563" s="913">
        <f>Q563</f>
        <v>4340.625</v>
      </c>
      <c r="X563" s="1600"/>
      <c r="Y563" s="1127"/>
      <c r="Z563" s="1124"/>
      <c r="AA563" s="1124"/>
      <c r="AB563" s="1124"/>
      <c r="AC563" s="1124"/>
      <c r="AD563" s="1124"/>
      <c r="AE563" s="1124"/>
      <c r="AF563" s="1124"/>
      <c r="AG563" s="1124"/>
    </row>
    <row r="564" spans="1:33" ht="60.75" customHeight="1" outlineLevel="2">
      <c r="A564" s="845">
        <v>4131</v>
      </c>
      <c r="B564" s="1730" t="s">
        <v>1040</v>
      </c>
      <c r="C564" s="888" t="s">
        <v>950</v>
      </c>
      <c r="D564" s="1543"/>
      <c r="E564" s="1403">
        <f>9</f>
        <v>9</v>
      </c>
      <c r="F564" s="1404">
        <v>43283</v>
      </c>
      <c r="G564" s="1400">
        <f t="shared" si="94"/>
        <v>43291</v>
      </c>
      <c r="H564" s="293" t="s">
        <v>914</v>
      </c>
      <c r="I564" s="845" t="s">
        <v>169</v>
      </c>
      <c r="J564" s="866" t="s">
        <v>178</v>
      </c>
      <c r="K564" s="1094" t="s">
        <v>320</v>
      </c>
      <c r="L564" s="1788">
        <v>23173</v>
      </c>
      <c r="M564" s="1543"/>
      <c r="N564" s="845"/>
      <c r="O564" s="354">
        <v>941.5625</v>
      </c>
      <c r="P564" s="1968">
        <v>1</v>
      </c>
      <c r="Q564" s="1126">
        <f t="shared" si="95"/>
        <v>941.5625</v>
      </c>
      <c r="R564" s="1989"/>
      <c r="S564" s="913"/>
      <c r="T564" s="913"/>
      <c r="U564" s="913"/>
      <c r="V564" s="913"/>
      <c r="W564" s="913">
        <f>Q564</f>
        <v>941.5625</v>
      </c>
      <c r="X564" s="1600"/>
      <c r="Y564" s="1127"/>
      <c r="Z564" s="1124"/>
      <c r="AA564" s="1124"/>
      <c r="AB564" s="1124"/>
      <c r="AC564" s="1124"/>
      <c r="AD564" s="1124"/>
      <c r="AE564" s="1124"/>
      <c r="AF564" s="1124"/>
      <c r="AG564" s="1124"/>
    </row>
    <row r="565" spans="1:33" ht="63" outlineLevel="2">
      <c r="A565" s="845">
        <v>4131</v>
      </c>
      <c r="B565" s="1730" t="s">
        <v>1040</v>
      </c>
      <c r="C565" s="888" t="s">
        <v>950</v>
      </c>
      <c r="D565" s="1543"/>
      <c r="E565" s="1403">
        <f>9</f>
        <v>9</v>
      </c>
      <c r="F565" s="1400">
        <v>43283</v>
      </c>
      <c r="G565" s="1400">
        <f t="shared" si="94"/>
        <v>43291</v>
      </c>
      <c r="H565" s="293" t="s">
        <v>914</v>
      </c>
      <c r="I565" s="845" t="s">
        <v>169</v>
      </c>
      <c r="J565" s="866" t="s">
        <v>178</v>
      </c>
      <c r="K565" s="1094" t="s">
        <v>916</v>
      </c>
      <c r="L565" s="1788">
        <v>23173</v>
      </c>
      <c r="M565" s="1543"/>
      <c r="N565" s="845"/>
      <c r="O565" s="354">
        <v>31.25</v>
      </c>
      <c r="P565" s="1968">
        <v>8</v>
      </c>
      <c r="Q565" s="1126">
        <f t="shared" si="95"/>
        <v>250</v>
      </c>
      <c r="R565" s="1989"/>
      <c r="S565" s="1601"/>
      <c r="T565" s="1601"/>
      <c r="U565" s="1601"/>
      <c r="V565" s="1601"/>
      <c r="W565" s="913">
        <f>Q565</f>
        <v>250</v>
      </c>
      <c r="X565" s="1602"/>
      <c r="Y565" s="1164"/>
      <c r="Z565" s="1124"/>
      <c r="AA565" s="1124"/>
      <c r="AB565" s="1124"/>
      <c r="AC565" s="1124"/>
      <c r="AD565" s="1124"/>
      <c r="AE565" s="1124"/>
      <c r="AF565" s="1124"/>
      <c r="AG565" s="1124"/>
    </row>
    <row r="566" spans="1:33" ht="63" outlineLevel="2">
      <c r="A566" s="845">
        <v>4131</v>
      </c>
      <c r="B566" s="858" t="s">
        <v>1041</v>
      </c>
      <c r="C566" s="857" t="s">
        <v>953</v>
      </c>
      <c r="D566" s="1543"/>
      <c r="E566" s="1403">
        <f>2</f>
        <v>2</v>
      </c>
      <c r="F566" s="1400">
        <v>43306</v>
      </c>
      <c r="G566" s="1400">
        <f t="shared" si="94"/>
        <v>43307</v>
      </c>
      <c r="H566" s="293" t="s">
        <v>914</v>
      </c>
      <c r="I566" s="845" t="s">
        <v>169</v>
      </c>
      <c r="J566" s="866" t="s">
        <v>178</v>
      </c>
      <c r="K566" s="1094" t="s">
        <v>320</v>
      </c>
      <c r="L566" s="1788">
        <v>23173</v>
      </c>
      <c r="M566" s="1543"/>
      <c r="N566" s="845"/>
      <c r="O566" s="354">
        <v>11320.09375</v>
      </c>
      <c r="P566" s="1968">
        <v>1</v>
      </c>
      <c r="Q566" s="1126">
        <f t="shared" si="95"/>
        <v>11320.09375</v>
      </c>
      <c r="R566" s="1990"/>
      <c r="S566" s="913"/>
      <c r="T566" s="913"/>
      <c r="U566" s="913"/>
      <c r="V566" s="913"/>
      <c r="W566" s="913">
        <f>Q566</f>
        <v>11320.09375</v>
      </c>
      <c r="X566" s="1600"/>
      <c r="Y566" s="1127"/>
      <c r="Z566" s="1124"/>
      <c r="AA566" s="1124"/>
      <c r="AB566" s="1124"/>
      <c r="AC566" s="1124"/>
      <c r="AD566" s="1124"/>
      <c r="AE566" s="1124"/>
      <c r="AF566" s="1124"/>
      <c r="AG566" s="1124"/>
    </row>
    <row r="567" spans="1:33" ht="63" outlineLevel="2">
      <c r="A567" s="845">
        <v>4131</v>
      </c>
      <c r="B567" s="858" t="s">
        <v>1041</v>
      </c>
      <c r="C567" s="857" t="s">
        <v>953</v>
      </c>
      <c r="D567" s="1543"/>
      <c r="E567" s="1403">
        <f>2</f>
        <v>2</v>
      </c>
      <c r="F567" s="1400">
        <v>43306</v>
      </c>
      <c r="G567" s="1400">
        <f t="shared" si="94"/>
        <v>43307</v>
      </c>
      <c r="H567" s="293" t="s">
        <v>914</v>
      </c>
      <c r="I567" s="845" t="s">
        <v>169</v>
      </c>
      <c r="J567" s="866" t="s">
        <v>178</v>
      </c>
      <c r="K567" s="1094" t="s">
        <v>916</v>
      </c>
      <c r="L567" s="1788">
        <v>23173</v>
      </c>
      <c r="M567" s="1543"/>
      <c r="N567" s="845"/>
      <c r="O567" s="354">
        <v>46.875</v>
      </c>
      <c r="P567" s="1968">
        <f>2*22</f>
        <v>44</v>
      </c>
      <c r="Q567" s="1126">
        <f t="shared" si="95"/>
        <v>2062.5</v>
      </c>
      <c r="R567" s="1990"/>
      <c r="S567" s="913"/>
      <c r="T567" s="913"/>
      <c r="U567" s="913"/>
      <c r="V567" s="913"/>
      <c r="W567" s="913">
        <f>Q567</f>
        <v>2062.5</v>
      </c>
      <c r="X567" s="1600"/>
      <c r="Y567" s="1127"/>
      <c r="Z567" s="1124"/>
      <c r="AA567" s="1124"/>
      <c r="AB567" s="1124"/>
      <c r="AC567" s="1124"/>
      <c r="AD567" s="1124"/>
      <c r="AE567" s="1124"/>
      <c r="AF567" s="1124"/>
      <c r="AG567" s="1124"/>
    </row>
    <row r="568" spans="1:33" ht="47.25" outlineLevel="2">
      <c r="A568" s="845">
        <v>4132</v>
      </c>
      <c r="B568" s="1730" t="s">
        <v>1044</v>
      </c>
      <c r="C568" s="888" t="s">
        <v>960</v>
      </c>
      <c r="D568" s="1543"/>
      <c r="E568" s="1403">
        <f>5</f>
        <v>5</v>
      </c>
      <c r="F568" s="1400">
        <v>43318</v>
      </c>
      <c r="G568" s="1400">
        <f t="shared" si="94"/>
        <v>43322</v>
      </c>
      <c r="H568" s="293" t="s">
        <v>914</v>
      </c>
      <c r="I568" s="1418" t="s">
        <v>169</v>
      </c>
      <c r="J568" s="1491" t="s">
        <v>178</v>
      </c>
      <c r="K568" s="1094" t="s">
        <v>320</v>
      </c>
      <c r="L568" s="1788">
        <v>23173</v>
      </c>
      <c r="M568" s="1543"/>
      <c r="N568" s="845"/>
      <c r="O568" s="355">
        <v>164.0625</v>
      </c>
      <c r="P568" s="1968">
        <v>1</v>
      </c>
      <c r="Q568" s="1126">
        <f t="shared" si="95"/>
        <v>164.0625</v>
      </c>
      <c r="R568" s="1718"/>
      <c r="S568" s="913"/>
      <c r="T568" s="913"/>
      <c r="U568" s="913">
        <f>Q568</f>
        <v>164.0625</v>
      </c>
      <c r="V568" s="913"/>
      <c r="W568" s="913"/>
      <c r="X568" s="1600"/>
      <c r="Y568" s="1127"/>
      <c r="Z568" s="1124"/>
      <c r="AA568" s="1124"/>
      <c r="AB568" s="1124"/>
      <c r="AC568" s="1124"/>
      <c r="AD568" s="1124"/>
      <c r="AE568" s="1124"/>
      <c r="AF568" s="1124"/>
      <c r="AG568" s="1124"/>
    </row>
    <row r="569" spans="1:33" ht="54" customHeight="1" outlineLevel="2">
      <c r="A569" s="294">
        <v>4132</v>
      </c>
      <c r="B569" s="820" t="s">
        <v>1044</v>
      </c>
      <c r="C569" s="876" t="s">
        <v>960</v>
      </c>
      <c r="D569" s="1543"/>
      <c r="E569" s="1403">
        <f>5</f>
        <v>5</v>
      </c>
      <c r="F569" s="1404">
        <v>43318</v>
      </c>
      <c r="G569" s="1400">
        <f t="shared" si="94"/>
        <v>43322</v>
      </c>
      <c r="H569" s="293" t="s">
        <v>914</v>
      </c>
      <c r="I569" s="1418" t="s">
        <v>169</v>
      </c>
      <c r="J569" s="1491" t="s">
        <v>178</v>
      </c>
      <c r="K569" s="1094" t="s">
        <v>486</v>
      </c>
      <c r="L569" s="1788">
        <v>23173</v>
      </c>
      <c r="M569" s="1543"/>
      <c r="N569" s="845"/>
      <c r="O569" s="1111">
        <v>31.25</v>
      </c>
      <c r="P569" s="1968">
        <v>5</v>
      </c>
      <c r="Q569" s="1126">
        <f t="shared" si="95"/>
        <v>156.25</v>
      </c>
      <c r="R569" s="1717"/>
      <c r="S569" s="913"/>
      <c r="T569" s="913"/>
      <c r="U569" s="913"/>
      <c r="V569" s="913"/>
      <c r="W569" s="913">
        <f>0.08*Q569</f>
        <v>12.5</v>
      </c>
      <c r="X569" s="1600">
        <f>0.19*Q569</f>
        <v>29.6875</v>
      </c>
      <c r="Y569" s="1127">
        <f>(0.16+0.49+0.08)*Q569</f>
        <v>114.0625</v>
      </c>
      <c r="Z569" s="1124"/>
      <c r="AA569" s="1124"/>
      <c r="AB569" s="1124"/>
      <c r="AC569" s="1124"/>
      <c r="AD569" s="1124"/>
      <c r="AE569" s="1124"/>
      <c r="AF569" s="1124"/>
      <c r="AG569" s="1124"/>
    </row>
    <row r="570" spans="1:33" ht="45" customHeight="1" outlineLevel="2">
      <c r="A570" s="294">
        <v>4132</v>
      </c>
      <c r="B570" s="820" t="s">
        <v>1043</v>
      </c>
      <c r="C570" s="876" t="s">
        <v>958</v>
      </c>
      <c r="D570" s="1543"/>
      <c r="E570" s="1403">
        <f>4+30+4+4+4+2+5+4+6+4</f>
        <v>67</v>
      </c>
      <c r="F570" s="1404">
        <v>43311</v>
      </c>
      <c r="G570" s="1400">
        <f t="shared" si="94"/>
        <v>43377</v>
      </c>
      <c r="H570" s="293" t="s">
        <v>914</v>
      </c>
      <c r="I570" s="1418" t="s">
        <v>169</v>
      </c>
      <c r="J570" s="1491" t="s">
        <v>178</v>
      </c>
      <c r="K570" s="1094" t="s">
        <v>320</v>
      </c>
      <c r="L570" s="1788">
        <v>23173</v>
      </c>
      <c r="M570" s="1543"/>
      <c r="N570" s="845"/>
      <c r="O570" s="1111">
        <v>5254.34375</v>
      </c>
      <c r="P570" s="1968">
        <v>1</v>
      </c>
      <c r="Q570" s="1126">
        <f t="shared" si="95"/>
        <v>5254.34375</v>
      </c>
      <c r="R570" s="1717"/>
      <c r="S570" s="913"/>
      <c r="T570" s="913"/>
      <c r="U570" s="913"/>
      <c r="V570" s="913"/>
      <c r="W570" s="913">
        <f>0.08*Q570</f>
        <v>420.34750000000003</v>
      </c>
      <c r="X570" s="1600">
        <f>0.19*Q570</f>
        <v>998.3253125</v>
      </c>
      <c r="Y570" s="1127">
        <f>(0.16+0.49+0.08)*Q570</f>
        <v>3835.6709375</v>
      </c>
      <c r="Z570" s="1124"/>
      <c r="AA570" s="1124"/>
      <c r="AB570" s="1124"/>
      <c r="AC570" s="1124"/>
      <c r="AD570" s="1124"/>
      <c r="AE570" s="1124"/>
      <c r="AF570" s="1124"/>
      <c r="AG570" s="1124"/>
    </row>
    <row r="571" spans="1:33" ht="45" customHeight="1" outlineLevel="2">
      <c r="A571" s="294">
        <v>4132</v>
      </c>
      <c r="B571" s="820" t="s">
        <v>1043</v>
      </c>
      <c r="C571" s="876" t="s">
        <v>958</v>
      </c>
      <c r="D571" s="1543"/>
      <c r="E571" s="1403">
        <f>4+30+4+4+4+2+5+4+6+4</f>
        <v>67</v>
      </c>
      <c r="F571" s="1404">
        <v>43311</v>
      </c>
      <c r="G571" s="1400">
        <f t="shared" si="94"/>
        <v>43377</v>
      </c>
      <c r="H571" s="293" t="s">
        <v>914</v>
      </c>
      <c r="I571" s="1418" t="s">
        <v>169</v>
      </c>
      <c r="J571" s="1491" t="s">
        <v>178</v>
      </c>
      <c r="K571" s="1094" t="s">
        <v>486</v>
      </c>
      <c r="L571" s="1788">
        <v>23173</v>
      </c>
      <c r="M571" s="1543"/>
      <c r="N571" s="845"/>
      <c r="O571" s="1111">
        <v>31.25</v>
      </c>
      <c r="P571" s="1968">
        <f>(4+4+5+4+5)</f>
        <v>22</v>
      </c>
      <c r="Q571" s="1126">
        <f t="shared" si="95"/>
        <v>687.5</v>
      </c>
      <c r="R571" s="1717"/>
      <c r="S571" s="913"/>
      <c r="T571" s="913"/>
      <c r="U571" s="913"/>
      <c r="V571" s="913"/>
      <c r="W571" s="913">
        <f>0.08*Q571</f>
        <v>55</v>
      </c>
      <c r="X571" s="1600">
        <f>0.19*Q571</f>
        <v>130.625</v>
      </c>
      <c r="Y571" s="1127">
        <f>(0.16+0.49+0.08)*Q571</f>
        <v>501.875</v>
      </c>
      <c r="Z571" s="1124"/>
      <c r="AA571" s="1124"/>
      <c r="AB571" s="1124"/>
      <c r="AC571" s="1124"/>
      <c r="AD571" s="1124"/>
      <c r="AE571" s="1124"/>
      <c r="AF571" s="1124"/>
      <c r="AG571" s="1124"/>
    </row>
    <row r="572" spans="1:33" ht="39.950000000000003" customHeight="1" outlineLevel="1">
      <c r="A572" s="1997"/>
      <c r="B572" s="1740"/>
      <c r="C572" s="2141"/>
      <c r="D572" s="1997"/>
      <c r="E572" s="1997"/>
      <c r="F572" s="2152"/>
      <c r="G572" s="2152"/>
      <c r="H572" s="2153"/>
      <c r="I572" s="2151"/>
      <c r="J572" s="2155"/>
      <c r="K572" s="2151"/>
      <c r="L572" s="1996" t="s">
        <v>1053</v>
      </c>
      <c r="M572" s="1997"/>
      <c r="N572" s="1997"/>
      <c r="O572" s="1998"/>
      <c r="P572" s="1997"/>
      <c r="Q572" s="1998">
        <f>SUBTOTAL(9,Q563:Q571)</f>
        <v>25176.9375</v>
      </c>
      <c r="R572" s="1717"/>
      <c r="S572" s="1682"/>
      <c r="T572" s="1682"/>
      <c r="U572" s="1682"/>
      <c r="V572" s="1682"/>
      <c r="W572" s="1682"/>
      <c r="X572" s="2157"/>
      <c r="Y572" s="1127"/>
      <c r="Z572" s="1124"/>
      <c r="AA572" s="1124"/>
      <c r="AB572" s="1124"/>
      <c r="AC572" s="1124"/>
      <c r="AD572" s="1124"/>
      <c r="AE572" s="1124"/>
      <c r="AF572" s="1124"/>
      <c r="AG572" s="1124"/>
    </row>
    <row r="573" spans="1:33" ht="45" customHeight="1" outlineLevel="2">
      <c r="A573" s="294">
        <v>4131</v>
      </c>
      <c r="B573" s="291" t="s">
        <v>1042</v>
      </c>
      <c r="C573" s="824" t="s">
        <v>955</v>
      </c>
      <c r="D573" s="1543"/>
      <c r="E573" s="1403">
        <f>15</f>
        <v>15</v>
      </c>
      <c r="F573" s="1404">
        <v>43241</v>
      </c>
      <c r="G573" s="1400">
        <f>E573+F573-1</f>
        <v>43255</v>
      </c>
      <c r="H573" s="293" t="s">
        <v>914</v>
      </c>
      <c r="I573" s="845" t="s">
        <v>178</v>
      </c>
      <c r="J573" s="866" t="s">
        <v>169</v>
      </c>
      <c r="K573" s="1094" t="s">
        <v>888</v>
      </c>
      <c r="L573" s="1788">
        <v>23174</v>
      </c>
      <c r="M573" s="1543"/>
      <c r="N573" s="845"/>
      <c r="O573" s="1583">
        <v>141976</v>
      </c>
      <c r="P573" s="1968">
        <v>1</v>
      </c>
      <c r="Q573" s="1126">
        <f>O573*P573</f>
        <v>141976</v>
      </c>
      <c r="R573" s="1717"/>
      <c r="S573" s="913"/>
      <c r="T573" s="913"/>
      <c r="U573" s="913"/>
      <c r="V573" s="913"/>
      <c r="W573" s="913">
        <f>0.08*Q573</f>
        <v>11358.08</v>
      </c>
      <c r="X573" s="1600">
        <f>0.19*Q573</f>
        <v>26975.439999999999</v>
      </c>
      <c r="Y573" s="1127">
        <f>(0.16+0.49+0.08)*Q573</f>
        <v>103642.48</v>
      </c>
      <c r="Z573" s="1124"/>
      <c r="AA573" s="1124"/>
      <c r="AB573" s="1124"/>
      <c r="AC573" s="1124"/>
      <c r="AD573" s="1124"/>
      <c r="AE573" s="1124"/>
      <c r="AF573" s="1124"/>
      <c r="AG573" s="1124"/>
    </row>
    <row r="574" spans="1:33" ht="45" customHeight="1" outlineLevel="2">
      <c r="A574" s="294">
        <v>4131</v>
      </c>
      <c r="B574" s="820" t="s">
        <v>1040</v>
      </c>
      <c r="C574" s="876" t="s">
        <v>950</v>
      </c>
      <c r="D574" s="1543"/>
      <c r="E574" s="1403">
        <f>9</f>
        <v>9</v>
      </c>
      <c r="F574" s="1404">
        <v>43283</v>
      </c>
      <c r="G574" s="1400">
        <f>E574+F574-1</f>
        <v>43291</v>
      </c>
      <c r="H574" s="293" t="s">
        <v>914</v>
      </c>
      <c r="I574" s="294" t="s">
        <v>178</v>
      </c>
      <c r="J574" s="307" t="s">
        <v>169</v>
      </c>
      <c r="K574" s="1094" t="s">
        <v>888</v>
      </c>
      <c r="L574" s="1788">
        <v>23174</v>
      </c>
      <c r="M574" s="1543"/>
      <c r="N574" s="845"/>
      <c r="O574" s="1583">
        <v>7333.0281249999998</v>
      </c>
      <c r="P574" s="1968">
        <v>1</v>
      </c>
      <c r="Q574" s="1126">
        <f>O574*P574</f>
        <v>7333.0281249999998</v>
      </c>
      <c r="R574" s="1717"/>
      <c r="S574" s="913"/>
      <c r="T574" s="913"/>
      <c r="U574" s="913"/>
      <c r="V574" s="913"/>
      <c r="W574" s="913"/>
      <c r="X574" s="1600">
        <f>Q574</f>
        <v>7333.0281249999998</v>
      </c>
      <c r="Y574" s="1127"/>
      <c r="Z574" s="1124"/>
      <c r="AA574" s="1124"/>
      <c r="AB574" s="1124"/>
      <c r="AC574" s="1124"/>
      <c r="AD574" s="1124"/>
      <c r="AE574" s="1124"/>
      <c r="AF574" s="1124"/>
      <c r="AG574" s="1124"/>
    </row>
    <row r="575" spans="1:33" ht="45" customHeight="1" outlineLevel="2">
      <c r="A575" s="294">
        <v>4131</v>
      </c>
      <c r="B575" s="291" t="s">
        <v>1041</v>
      </c>
      <c r="C575" s="824" t="s">
        <v>953</v>
      </c>
      <c r="D575" s="1543"/>
      <c r="E575" s="1403">
        <f>2</f>
        <v>2</v>
      </c>
      <c r="F575" s="1404">
        <v>43306</v>
      </c>
      <c r="G575" s="1400">
        <f>E575+F575-1</f>
        <v>43307</v>
      </c>
      <c r="H575" s="293" t="s">
        <v>914</v>
      </c>
      <c r="I575" s="845" t="s">
        <v>178</v>
      </c>
      <c r="J575" s="866" t="s">
        <v>169</v>
      </c>
      <c r="K575" s="1094" t="s">
        <v>888</v>
      </c>
      <c r="L575" s="1788">
        <v>23174</v>
      </c>
      <c r="M575" s="1543"/>
      <c r="N575" s="845"/>
      <c r="O575" s="1583">
        <v>41183.768750000003</v>
      </c>
      <c r="P575" s="1968">
        <v>1</v>
      </c>
      <c r="Q575" s="1126">
        <f>O575*P575</f>
        <v>41183.768750000003</v>
      </c>
      <c r="R575" s="1717"/>
      <c r="S575" s="913"/>
      <c r="T575" s="913"/>
      <c r="U575" s="913"/>
      <c r="V575" s="913"/>
      <c r="W575" s="913"/>
      <c r="X575" s="1600">
        <f>Q575</f>
        <v>41183.768750000003</v>
      </c>
      <c r="Y575" s="1127"/>
      <c r="Z575" s="1124"/>
      <c r="AA575" s="1124"/>
      <c r="AB575" s="1124"/>
      <c r="AC575" s="1124"/>
      <c r="AD575" s="1124"/>
      <c r="AE575" s="1124"/>
      <c r="AF575" s="1124"/>
      <c r="AG575" s="1124"/>
    </row>
    <row r="576" spans="1:33" ht="45" customHeight="1" outlineLevel="2">
      <c r="A576" s="294">
        <v>4132</v>
      </c>
      <c r="B576" s="820" t="s">
        <v>1044</v>
      </c>
      <c r="C576" s="876" t="s">
        <v>960</v>
      </c>
      <c r="D576" s="1543"/>
      <c r="E576" s="1403">
        <f>5</f>
        <v>5</v>
      </c>
      <c r="F576" s="1404">
        <v>43318</v>
      </c>
      <c r="G576" s="1400">
        <f>E576+F576-1</f>
        <v>43322</v>
      </c>
      <c r="H576" s="293" t="s">
        <v>914</v>
      </c>
      <c r="I576" s="1418" t="s">
        <v>178</v>
      </c>
      <c r="J576" s="1491" t="s">
        <v>169</v>
      </c>
      <c r="K576" s="1094" t="s">
        <v>888</v>
      </c>
      <c r="L576" s="1788">
        <v>23174</v>
      </c>
      <c r="M576" s="1543"/>
      <c r="N576" s="845"/>
      <c r="O576" s="1111">
        <v>2368.7906250000001</v>
      </c>
      <c r="P576" s="1968">
        <v>1</v>
      </c>
      <c r="Q576" s="1126">
        <f>O576*P576</f>
        <v>2368.7906250000001</v>
      </c>
      <c r="R576" s="1717"/>
      <c r="S576" s="913"/>
      <c r="T576" s="913"/>
      <c r="U576" s="913"/>
      <c r="V576" s="913"/>
      <c r="W576" s="913"/>
      <c r="X576" s="1600">
        <f>Q576</f>
        <v>2368.7906250000001</v>
      </c>
      <c r="Y576" s="1127"/>
      <c r="Z576" s="1124"/>
      <c r="AA576" s="1124"/>
      <c r="AB576" s="1124"/>
      <c r="AC576" s="1124"/>
      <c r="AD576" s="1124"/>
      <c r="AE576" s="1124"/>
      <c r="AF576" s="1124"/>
      <c r="AG576" s="1124"/>
    </row>
    <row r="577" spans="1:33" ht="55.5" customHeight="1" outlineLevel="2">
      <c r="A577" s="294">
        <v>4132</v>
      </c>
      <c r="B577" s="1730" t="s">
        <v>1043</v>
      </c>
      <c r="C577" s="888" t="s">
        <v>958</v>
      </c>
      <c r="D577" s="1543"/>
      <c r="E577" s="1403">
        <f>4+30+4+4+4+2+5+4+6+4</f>
        <v>67</v>
      </c>
      <c r="F577" s="1400">
        <v>43311</v>
      </c>
      <c r="G577" s="1400">
        <f>E577+F577-1</f>
        <v>43377</v>
      </c>
      <c r="H577" s="293" t="s">
        <v>914</v>
      </c>
      <c r="I577" s="845" t="s">
        <v>178</v>
      </c>
      <c r="J577" s="866" t="s">
        <v>169</v>
      </c>
      <c r="K577" s="1094" t="s">
        <v>888</v>
      </c>
      <c r="L577" s="1788">
        <v>23174</v>
      </c>
      <c r="M577" s="1543"/>
      <c r="N577" s="845"/>
      <c r="O577" s="1111">
        <v>20498.981250000001</v>
      </c>
      <c r="P577" s="1968">
        <v>1</v>
      </c>
      <c r="Q577" s="1126">
        <f>O577*P577</f>
        <v>20498.981250000001</v>
      </c>
      <c r="R577" s="1718"/>
      <c r="S577" s="913"/>
      <c r="T577" s="913"/>
      <c r="U577" s="913"/>
      <c r="V577" s="913"/>
      <c r="W577" s="913"/>
      <c r="X577" s="1600"/>
      <c r="Y577" s="1127">
        <f>Q577</f>
        <v>20498.981250000001</v>
      </c>
      <c r="Z577" s="1124"/>
      <c r="AA577" s="1124"/>
      <c r="AB577" s="1124"/>
      <c r="AC577" s="1124"/>
      <c r="AD577" s="1124"/>
      <c r="AE577" s="1124"/>
      <c r="AF577" s="1124"/>
      <c r="AG577" s="1124"/>
    </row>
    <row r="578" spans="1:33" ht="39.950000000000003" customHeight="1" outlineLevel="1">
      <c r="A578" s="1997"/>
      <c r="B578" s="1740"/>
      <c r="C578" s="2141"/>
      <c r="D578" s="1997"/>
      <c r="E578" s="1997"/>
      <c r="F578" s="2152"/>
      <c r="G578" s="2152"/>
      <c r="H578" s="2153"/>
      <c r="I578" s="1997"/>
      <c r="J578" s="1740"/>
      <c r="K578" s="2151"/>
      <c r="L578" s="1996" t="s">
        <v>1051</v>
      </c>
      <c r="M578" s="1997"/>
      <c r="N578" s="1997"/>
      <c r="O578" s="1998"/>
      <c r="P578" s="1997"/>
      <c r="Q578" s="1998">
        <f>SUBTOTAL(9,Q573:Q577)</f>
        <v>213360.56875000001</v>
      </c>
      <c r="R578" s="1718"/>
      <c r="S578" s="1682"/>
      <c r="T578" s="1682"/>
      <c r="U578" s="1682"/>
      <c r="V578" s="1682"/>
      <c r="W578" s="1682"/>
      <c r="X578" s="2157"/>
      <c r="Y578" s="1127"/>
      <c r="Z578" s="1124"/>
      <c r="AA578" s="1124"/>
      <c r="AB578" s="1124"/>
      <c r="AC578" s="1124"/>
      <c r="AD578" s="1124"/>
      <c r="AE578" s="1124"/>
      <c r="AF578" s="1124"/>
      <c r="AG578" s="1124"/>
    </row>
    <row r="579" spans="1:33" ht="39.950000000000003" customHeight="1">
      <c r="A579" s="1997"/>
      <c r="B579" s="1740"/>
      <c r="C579" s="2141"/>
      <c r="D579" s="1997"/>
      <c r="E579" s="1997"/>
      <c r="F579" s="2152"/>
      <c r="G579" s="2152"/>
      <c r="H579" s="2153"/>
      <c r="I579" s="1997"/>
      <c r="J579" s="1740"/>
      <c r="K579" s="2151"/>
      <c r="L579" s="1996" t="s">
        <v>1052</v>
      </c>
      <c r="M579" s="1997"/>
      <c r="N579" s="1997"/>
      <c r="O579" s="1998"/>
      <c r="P579" s="1997"/>
      <c r="Q579" s="1998">
        <f>SUBTOTAL(9,Q550:Q577)</f>
        <v>283581.25625000003</v>
      </c>
      <c r="R579" s="1718"/>
      <c r="S579" s="1682"/>
      <c r="T579" s="1682"/>
      <c r="U579" s="1682"/>
      <c r="V579" s="1682"/>
      <c r="W579" s="1682"/>
      <c r="X579" s="2157"/>
      <c r="Y579" s="1127"/>
      <c r="Z579" s="1124"/>
      <c r="AA579" s="1124"/>
      <c r="AB579" s="1124"/>
      <c r="AC579" s="1124"/>
      <c r="AD579" s="1124"/>
      <c r="AE579" s="1124"/>
      <c r="AF579" s="1124"/>
      <c r="AG579" s="1124"/>
    </row>
    <row r="580" spans="1:33" ht="26.25" customHeight="1">
      <c r="A580" s="1248" t="s">
        <v>277</v>
      </c>
      <c r="B580" s="274"/>
      <c r="C580" s="278"/>
      <c r="D580" s="1270"/>
      <c r="E580" s="1270"/>
      <c r="F580" s="1270"/>
      <c r="G580" s="1270"/>
      <c r="H580" s="1270"/>
      <c r="I580" s="1270"/>
      <c r="J580" s="273"/>
      <c r="K580" s="1248"/>
      <c r="L580" s="1269"/>
      <c r="M580" s="1270"/>
      <c r="N580" s="1268"/>
      <c r="O580" s="1271"/>
      <c r="P580" s="1948"/>
      <c r="Q580" s="1338">
        <f>+Q581+Q587+Q595+Q599+Q603+Q610+Q625+Q631</f>
        <v>348173.33333333331</v>
      </c>
      <c r="R580" s="1713">
        <f>+'[7]Compil Costing PPA 3 millions'!F16+'[7]Compil Costing PPA 3 millions'!F18+'[7]Compil Costing PPA 3 millions'!F19</f>
        <v>1137594.3333333335</v>
      </c>
      <c r="S580" s="1272">
        <f t="shared" ref="S580:AG580" si="96">+S581+S587+S595+S599+S603+S610+S625+S631</f>
        <v>0</v>
      </c>
      <c r="T580" s="1272">
        <f t="shared" si="96"/>
        <v>93216.666666666672</v>
      </c>
      <c r="U580" s="1272">
        <f t="shared" si="96"/>
        <v>114456.16666666666</v>
      </c>
      <c r="V580" s="1272">
        <f t="shared" si="96"/>
        <v>138325.5</v>
      </c>
      <c r="W580" s="1272">
        <f t="shared" si="96"/>
        <v>1087.5</v>
      </c>
      <c r="X580" s="1272">
        <f t="shared" si="96"/>
        <v>1087.5</v>
      </c>
      <c r="Y580" s="1272">
        <f t="shared" si="96"/>
        <v>0</v>
      </c>
      <c r="Z580" s="276">
        <f t="shared" si="96"/>
        <v>0</v>
      </c>
      <c r="AA580" s="276">
        <f t="shared" si="96"/>
        <v>0</v>
      </c>
      <c r="AB580" s="276">
        <f t="shared" si="96"/>
        <v>0</v>
      </c>
      <c r="AC580" s="276">
        <f t="shared" si="96"/>
        <v>0</v>
      </c>
      <c r="AD580" s="276">
        <f t="shared" si="96"/>
        <v>0</v>
      </c>
      <c r="AE580" s="276">
        <f t="shared" si="96"/>
        <v>0</v>
      </c>
      <c r="AF580" s="276">
        <f t="shared" si="96"/>
        <v>0</v>
      </c>
      <c r="AG580" s="1272">
        <f t="shared" si="96"/>
        <v>348173.33333333331</v>
      </c>
    </row>
    <row r="581" spans="1:33" ht="32.25" thickBot="1">
      <c r="A581" s="1275">
        <v>421</v>
      </c>
      <c r="B581" s="359" t="s">
        <v>439</v>
      </c>
      <c r="C581" s="1021"/>
      <c r="D581" s="1280"/>
      <c r="E581" s="1280"/>
      <c r="F581" s="1280"/>
      <c r="G581" s="1280"/>
      <c r="H581" s="1280"/>
      <c r="I581" s="1280"/>
      <c r="J581" s="283"/>
      <c r="K581" s="1278"/>
      <c r="L581" s="1279"/>
      <c r="M581" s="1280"/>
      <c r="N581" s="1277"/>
      <c r="O581" s="1281"/>
      <c r="P581" s="1949"/>
      <c r="Q581" s="1343">
        <f>+Q585</f>
        <v>5437.5</v>
      </c>
      <c r="R581" s="1716">
        <v>348173</v>
      </c>
      <c r="S581" s="1395">
        <f t="shared" ref="S581:AF581" si="97">SUM(S582:S584)</f>
        <v>0</v>
      </c>
      <c r="T581" s="1395">
        <f t="shared" si="97"/>
        <v>0</v>
      </c>
      <c r="U581" s="1395">
        <f t="shared" si="97"/>
        <v>0</v>
      </c>
      <c r="V581" s="1395">
        <f t="shared" si="97"/>
        <v>3262.5</v>
      </c>
      <c r="W581" s="1395">
        <f t="shared" si="97"/>
        <v>1087.5</v>
      </c>
      <c r="X581" s="1395">
        <f t="shared" si="97"/>
        <v>1087.5</v>
      </c>
      <c r="Y581" s="1395">
        <f t="shared" si="97"/>
        <v>0</v>
      </c>
      <c r="Z581" s="361">
        <f t="shared" si="97"/>
        <v>0</v>
      </c>
      <c r="AA581" s="361">
        <f t="shared" si="97"/>
        <v>0</v>
      </c>
      <c r="AB581" s="361">
        <f t="shared" si="97"/>
        <v>0</v>
      </c>
      <c r="AC581" s="361">
        <f t="shared" si="97"/>
        <v>0</v>
      </c>
      <c r="AD581" s="361">
        <f t="shared" si="97"/>
        <v>0</v>
      </c>
      <c r="AE581" s="361">
        <f t="shared" si="97"/>
        <v>0</v>
      </c>
      <c r="AF581" s="361">
        <f t="shared" si="97"/>
        <v>0</v>
      </c>
      <c r="AG581" s="1282">
        <f>SUM(S581:AF581)</f>
        <v>5437.5</v>
      </c>
    </row>
    <row r="582" spans="1:33" ht="66" customHeight="1" outlineLevel="2" thickTop="1" thickBot="1">
      <c r="A582" s="294">
        <v>4211</v>
      </c>
      <c r="B582" s="291" t="s">
        <v>440</v>
      </c>
      <c r="C582" s="824" t="s">
        <v>1047</v>
      </c>
      <c r="D582" s="326"/>
      <c r="E582" s="294">
        <f>50</f>
        <v>50</v>
      </c>
      <c r="F582" s="1844">
        <v>43186</v>
      </c>
      <c r="G582" s="1845">
        <f>+F582+E582</f>
        <v>43236</v>
      </c>
      <c r="H582" s="293" t="s">
        <v>368</v>
      </c>
      <c r="I582" s="294" t="s">
        <v>169</v>
      </c>
      <c r="J582" s="307" t="s">
        <v>442</v>
      </c>
      <c r="K582" s="326" t="s">
        <v>443</v>
      </c>
      <c r="L582" s="1788">
        <v>2313</v>
      </c>
      <c r="M582" s="326"/>
      <c r="N582" s="294"/>
      <c r="O582" s="1846">
        <v>217.5</v>
      </c>
      <c r="P582" s="1849">
        <v>15</v>
      </c>
      <c r="Q582" s="1144">
        <v>3262.5</v>
      </c>
      <c r="R582" s="1991"/>
      <c r="S582" s="1847"/>
      <c r="T582" s="1847"/>
      <c r="U582" s="1847"/>
      <c r="V582" s="1847">
        <v>3262.5</v>
      </c>
      <c r="W582" s="1847"/>
      <c r="X582" s="1849"/>
      <c r="Y582" s="1850"/>
      <c r="Z582" s="1124"/>
      <c r="AA582" s="1199"/>
      <c r="AB582" s="1124"/>
      <c r="AC582" s="1124"/>
      <c r="AD582" s="1124"/>
      <c r="AE582" s="1124"/>
      <c r="AF582" s="1124"/>
      <c r="AG582" s="1850"/>
    </row>
    <row r="583" spans="1:33" ht="48.75" outlineLevel="2" thickTop="1" thickBot="1">
      <c r="A583" s="294">
        <v>4212</v>
      </c>
      <c r="B583" s="291" t="s">
        <v>446</v>
      </c>
      <c r="C583" s="824" t="s">
        <v>1046</v>
      </c>
      <c r="D583" s="326"/>
      <c r="E583" s="294">
        <v>70</v>
      </c>
      <c r="F583" s="1844">
        <v>43186</v>
      </c>
      <c r="G583" s="1845">
        <f>+F583+E583</f>
        <v>43256</v>
      </c>
      <c r="H583" s="293" t="s">
        <v>368</v>
      </c>
      <c r="I583" s="294" t="s">
        <v>169</v>
      </c>
      <c r="J583" s="307" t="s">
        <v>442</v>
      </c>
      <c r="K583" s="326" t="s">
        <v>443</v>
      </c>
      <c r="L583" s="1788">
        <v>2313</v>
      </c>
      <c r="M583" s="326"/>
      <c r="N583" s="294"/>
      <c r="O583" s="1846">
        <v>217.5</v>
      </c>
      <c r="P583" s="1849">
        <v>5</v>
      </c>
      <c r="Q583" s="1742">
        <f>O583*P583</f>
        <v>1087.5</v>
      </c>
      <c r="R583" s="1991"/>
      <c r="S583" s="1847"/>
      <c r="T583" s="1847"/>
      <c r="U583" s="1847"/>
      <c r="V583" s="1847"/>
      <c r="W583" s="1847">
        <v>1087.5</v>
      </c>
      <c r="X583" s="1849"/>
      <c r="Y583" s="1850"/>
      <c r="Z583" s="1124"/>
      <c r="AA583" s="1124"/>
      <c r="AB583" s="1124"/>
      <c r="AC583" s="1124"/>
      <c r="AD583" s="1124"/>
      <c r="AE583" s="1124"/>
      <c r="AF583" s="1124"/>
      <c r="AG583" s="1850"/>
    </row>
    <row r="584" spans="1:33" ht="63.75" outlineLevel="2" thickTop="1">
      <c r="A584" s="1621">
        <v>4213</v>
      </c>
      <c r="B584" s="2040" t="s">
        <v>448</v>
      </c>
      <c r="C584" s="1616" t="s">
        <v>1048</v>
      </c>
      <c r="D584" s="1680"/>
      <c r="E584" s="1621">
        <v>70</v>
      </c>
      <c r="F584" s="2162">
        <v>43186</v>
      </c>
      <c r="G584" s="2163">
        <f>+F584+E584</f>
        <v>43256</v>
      </c>
      <c r="H584" s="1620" t="s">
        <v>368</v>
      </c>
      <c r="I584" s="1621" t="s">
        <v>169</v>
      </c>
      <c r="J584" s="1622" t="s">
        <v>442</v>
      </c>
      <c r="K584" s="1680" t="s">
        <v>443</v>
      </c>
      <c r="L584" s="1812">
        <v>2313</v>
      </c>
      <c r="M584" s="1680"/>
      <c r="N584" s="1621"/>
      <c r="O584" s="1856">
        <v>217.5</v>
      </c>
      <c r="P584" s="2164">
        <v>5</v>
      </c>
      <c r="Q584" s="2165">
        <f>O584*P584</f>
        <v>1087.5</v>
      </c>
      <c r="R584" s="1991"/>
      <c r="S584" s="1847"/>
      <c r="T584" s="1847"/>
      <c r="U584" s="1847"/>
      <c r="V584" s="1847"/>
      <c r="W584" s="1847"/>
      <c r="X584" s="1849">
        <v>1087.5</v>
      </c>
      <c r="Y584" s="1850"/>
      <c r="Z584" s="1124"/>
      <c r="AA584" s="1124"/>
      <c r="AB584" s="1124"/>
      <c r="AC584" s="1124"/>
      <c r="AD584" s="1124"/>
      <c r="AE584" s="1124"/>
      <c r="AF584" s="1124"/>
      <c r="AG584" s="1850"/>
    </row>
    <row r="585" spans="1:33" ht="39.950000000000003" customHeight="1" outlineLevel="1">
      <c r="A585" s="1997"/>
      <c r="B585" s="1740"/>
      <c r="C585" s="2141"/>
      <c r="D585" s="1997"/>
      <c r="E585" s="1997"/>
      <c r="F585" s="2168"/>
      <c r="G585" s="2169"/>
      <c r="H585" s="2153"/>
      <c r="I585" s="1997"/>
      <c r="J585" s="1740"/>
      <c r="K585" s="1997"/>
      <c r="L585" s="1996" t="s">
        <v>1055</v>
      </c>
      <c r="M585" s="1997"/>
      <c r="N585" s="1997"/>
      <c r="O585" s="1998"/>
      <c r="P585" s="2166"/>
      <c r="Q585" s="2167">
        <f>SUBTOTAL(9,Q582:Q584)</f>
        <v>5437.5</v>
      </c>
      <c r="R585" s="1859"/>
      <c r="S585" s="2161"/>
      <c r="T585" s="2161"/>
      <c r="U585" s="2161"/>
      <c r="V585" s="2161"/>
      <c r="W585" s="2161"/>
      <c r="X585" s="2161"/>
      <c r="Y585" s="1850"/>
      <c r="Z585" s="1124"/>
      <c r="AA585" s="1124"/>
      <c r="AB585" s="1124"/>
      <c r="AC585" s="1124"/>
      <c r="AD585" s="1124"/>
      <c r="AE585" s="1124"/>
      <c r="AF585" s="1124"/>
      <c r="AG585" s="1850"/>
    </row>
    <row r="586" spans="1:33" ht="39.950000000000003" customHeight="1">
      <c r="A586" s="1997"/>
      <c r="B586" s="1740"/>
      <c r="C586" s="2141"/>
      <c r="D586" s="1997"/>
      <c r="E586" s="1997"/>
      <c r="F586" s="2168"/>
      <c r="G586" s="2169"/>
      <c r="H586" s="2153"/>
      <c r="I586" s="1997"/>
      <c r="J586" s="1740"/>
      <c r="K586" s="1997"/>
      <c r="L586" s="1996" t="s">
        <v>1052</v>
      </c>
      <c r="M586" s="1997"/>
      <c r="N586" s="1997"/>
      <c r="O586" s="1998"/>
      <c r="P586" s="2166"/>
      <c r="Q586" s="2167">
        <f>SUBTOTAL(9,Q582:Q584)</f>
        <v>5437.5</v>
      </c>
      <c r="R586" s="1859"/>
      <c r="S586" s="2161"/>
      <c r="T586" s="2161"/>
      <c r="U586" s="2161"/>
      <c r="V586" s="2161"/>
      <c r="W586" s="2161"/>
      <c r="X586" s="2161"/>
      <c r="Y586" s="1850"/>
      <c r="Z586" s="1124"/>
      <c r="AA586" s="1124"/>
      <c r="AB586" s="1124"/>
      <c r="AC586" s="1124"/>
      <c r="AD586" s="1124"/>
      <c r="AE586" s="1124"/>
      <c r="AF586" s="1124"/>
      <c r="AG586" s="1850"/>
    </row>
    <row r="587" spans="1:33" ht="25.5" customHeight="1" thickBot="1">
      <c r="A587" s="1275">
        <v>422</v>
      </c>
      <c r="B587" s="359" t="s">
        <v>450</v>
      </c>
      <c r="C587" s="1021"/>
      <c r="D587" s="1280"/>
      <c r="E587" s="1280"/>
      <c r="F587" s="1280"/>
      <c r="G587" s="1280"/>
      <c r="H587" s="1280"/>
      <c r="I587" s="1280"/>
      <c r="J587" s="283"/>
      <c r="K587" s="1278"/>
      <c r="L587" s="1279"/>
      <c r="M587" s="1280"/>
      <c r="N587" s="1277"/>
      <c r="O587" s="1281"/>
      <c r="P587" s="1949"/>
      <c r="Q587" s="1343">
        <f>+Q589+Q593</f>
        <v>15217.333333333332</v>
      </c>
      <c r="R587" s="1992"/>
      <c r="S587" s="1395">
        <f t="shared" ref="S587:AF587" si="98">SUM(S588:S592)</f>
        <v>0</v>
      </c>
      <c r="T587" s="1395">
        <f t="shared" si="98"/>
        <v>0</v>
      </c>
      <c r="U587" s="1395">
        <f t="shared" si="98"/>
        <v>9997.3333333333321</v>
      </c>
      <c r="V587" s="1395">
        <f t="shared" si="98"/>
        <v>5220</v>
      </c>
      <c r="W587" s="1395">
        <f t="shared" si="98"/>
        <v>0</v>
      </c>
      <c r="X587" s="1395">
        <f t="shared" si="98"/>
        <v>0</v>
      </c>
      <c r="Y587" s="1395">
        <f t="shared" si="98"/>
        <v>0</v>
      </c>
      <c r="Z587" s="361">
        <f t="shared" si="98"/>
        <v>0</v>
      </c>
      <c r="AA587" s="361">
        <f t="shared" si="98"/>
        <v>0</v>
      </c>
      <c r="AB587" s="361">
        <f t="shared" si="98"/>
        <v>0</v>
      </c>
      <c r="AC587" s="361">
        <f t="shared" si="98"/>
        <v>0</v>
      </c>
      <c r="AD587" s="361">
        <f t="shared" si="98"/>
        <v>0</v>
      </c>
      <c r="AE587" s="361">
        <f t="shared" si="98"/>
        <v>0</v>
      </c>
      <c r="AF587" s="361">
        <f t="shared" si="98"/>
        <v>0</v>
      </c>
      <c r="AG587" s="1282">
        <f>SUM(S587:AF587)</f>
        <v>15217.333333333332</v>
      </c>
    </row>
    <row r="588" spans="1:33" ht="32.25" outlineLevel="2" thickTop="1">
      <c r="A588" s="1621">
        <v>4221</v>
      </c>
      <c r="B588" s="1893" t="s">
        <v>451</v>
      </c>
      <c r="C588" s="1616" t="s">
        <v>452</v>
      </c>
      <c r="D588" s="1680"/>
      <c r="E588" s="1621">
        <f>50</f>
        <v>50</v>
      </c>
      <c r="F588" s="2162">
        <v>43186</v>
      </c>
      <c r="G588" s="2163">
        <f>+F588+E588</f>
        <v>43236</v>
      </c>
      <c r="H588" s="1620" t="s">
        <v>368</v>
      </c>
      <c r="I588" s="1621" t="s">
        <v>169</v>
      </c>
      <c r="J588" s="1622" t="s">
        <v>179</v>
      </c>
      <c r="K588" s="1680" t="s">
        <v>365</v>
      </c>
      <c r="L588" s="1812">
        <v>2313</v>
      </c>
      <c r="M588" s="1680"/>
      <c r="N588" s="1621"/>
      <c r="O588" s="1856">
        <v>174</v>
      </c>
      <c r="P588" s="2170">
        <v>30</v>
      </c>
      <c r="Q588" s="2165">
        <f>O588*P588</f>
        <v>5220</v>
      </c>
      <c r="R588" s="1991"/>
      <c r="S588" s="1847"/>
      <c r="T588" s="1847"/>
      <c r="U588" s="1847"/>
      <c r="V588" s="1847">
        <v>5220</v>
      </c>
      <c r="W588" s="355"/>
      <c r="X588" s="1137"/>
      <c r="Y588" s="1126"/>
      <c r="Z588" s="1124"/>
      <c r="AA588" s="1124"/>
      <c r="AB588" s="1124"/>
      <c r="AC588" s="1124"/>
      <c r="AD588" s="1124"/>
      <c r="AE588" s="1124"/>
      <c r="AF588" s="1124"/>
      <c r="AG588" s="1156"/>
    </row>
    <row r="589" spans="1:33" ht="39.950000000000003" customHeight="1" outlineLevel="1">
      <c r="A589" s="1997"/>
      <c r="B589" s="1740"/>
      <c r="C589" s="2141"/>
      <c r="D589" s="1997"/>
      <c r="E589" s="1997"/>
      <c r="F589" s="2168"/>
      <c r="G589" s="2169"/>
      <c r="H589" s="2153"/>
      <c r="I589" s="1997"/>
      <c r="J589" s="1740"/>
      <c r="K589" s="1997"/>
      <c r="L589" s="1996" t="s">
        <v>1055</v>
      </c>
      <c r="M589" s="1997"/>
      <c r="N589" s="1997"/>
      <c r="O589" s="1998"/>
      <c r="P589" s="1997"/>
      <c r="Q589" s="2167">
        <f>SUBTOTAL(9,Q588:Q588)</f>
        <v>5220</v>
      </c>
      <c r="R589" s="1991"/>
      <c r="S589" s="1847"/>
      <c r="T589" s="1847"/>
      <c r="U589" s="1847"/>
      <c r="V589" s="1847"/>
      <c r="W589" s="1126"/>
      <c r="X589" s="1672"/>
      <c r="Y589" s="1126"/>
      <c r="Z589" s="1124"/>
      <c r="AA589" s="1124"/>
      <c r="AB589" s="1124"/>
      <c r="AC589" s="1124"/>
      <c r="AD589" s="1124"/>
      <c r="AE589" s="1124"/>
      <c r="AF589" s="1124"/>
      <c r="AG589" s="1156"/>
    </row>
    <row r="590" spans="1:33" ht="32.25" outlineLevel="2" thickBot="1">
      <c r="A590" s="1393">
        <v>4222</v>
      </c>
      <c r="B590" s="1894" t="s">
        <v>453</v>
      </c>
      <c r="C590" s="2173" t="s">
        <v>454</v>
      </c>
      <c r="D590" s="1585"/>
      <c r="E590" s="2174">
        <v>5</v>
      </c>
      <c r="F590" s="1899">
        <v>43241</v>
      </c>
      <c r="G590" s="1845">
        <f>+F590+E590-1</f>
        <v>43245</v>
      </c>
      <c r="H590" s="1900" t="s">
        <v>455</v>
      </c>
      <c r="I590" s="1393" t="s">
        <v>179</v>
      </c>
      <c r="J590" s="557" t="s">
        <v>456</v>
      </c>
      <c r="K590" s="1585" t="s">
        <v>457</v>
      </c>
      <c r="L590" s="2175">
        <v>23174</v>
      </c>
      <c r="M590" s="1585"/>
      <c r="N590" s="1393"/>
      <c r="O590" s="2176">
        <v>160</v>
      </c>
      <c r="P590" s="2177">
        <v>40</v>
      </c>
      <c r="Q590" s="2178">
        <f>O590*P590</f>
        <v>6400</v>
      </c>
      <c r="R590" s="1991"/>
      <c r="S590" s="1847"/>
      <c r="T590" s="1847"/>
      <c r="U590" s="1847">
        <v>6400</v>
      </c>
      <c r="V590" s="1847"/>
      <c r="W590" s="355"/>
      <c r="X590" s="1137"/>
      <c r="Y590" s="1126"/>
      <c r="Z590" s="1124"/>
      <c r="AA590" s="1124"/>
      <c r="AB590" s="1124"/>
      <c r="AC590" s="1124"/>
      <c r="AD590" s="1124"/>
      <c r="AE590" s="1124"/>
      <c r="AF590" s="1124"/>
      <c r="AG590" s="1156"/>
    </row>
    <row r="591" spans="1:33" ht="33" outlineLevel="2" thickTop="1" thickBot="1">
      <c r="A591" s="294">
        <v>4223</v>
      </c>
      <c r="B591" s="1729" t="s">
        <v>458</v>
      </c>
      <c r="C591" s="1724" t="s">
        <v>459</v>
      </c>
      <c r="D591" s="326"/>
      <c r="E591" s="1853">
        <v>3</v>
      </c>
      <c r="F591" s="1844">
        <v>43248</v>
      </c>
      <c r="G591" s="1845">
        <f>+F591+E591-1</f>
        <v>43250</v>
      </c>
      <c r="H591" s="293" t="s">
        <v>460</v>
      </c>
      <c r="I591" s="294" t="s">
        <v>179</v>
      </c>
      <c r="J591" s="306" t="s">
        <v>461</v>
      </c>
      <c r="K591" s="326" t="s">
        <v>457</v>
      </c>
      <c r="L591" s="1788">
        <v>23174</v>
      </c>
      <c r="M591" s="326"/>
      <c r="N591" s="294"/>
      <c r="O591" s="1846">
        <v>134.66666666666666</v>
      </c>
      <c r="P591" s="1849">
        <v>8</v>
      </c>
      <c r="Q591" s="1742">
        <f>O591*P591</f>
        <v>1077.3333333333333</v>
      </c>
      <c r="R591" s="1991"/>
      <c r="S591" s="355"/>
      <c r="T591" s="355"/>
      <c r="U591" s="1847">
        <v>1077.3333333333333</v>
      </c>
      <c r="V591" s="355"/>
      <c r="W591" s="355"/>
      <c r="X591" s="1137"/>
      <c r="Y591" s="1126"/>
      <c r="Z591" s="1124"/>
      <c r="AA591" s="1124"/>
      <c r="AB591" s="1124"/>
      <c r="AC591" s="1124"/>
      <c r="AD591" s="1124"/>
      <c r="AE591" s="1124"/>
      <c r="AF591" s="1124"/>
      <c r="AG591" s="1156"/>
    </row>
    <row r="592" spans="1:33" ht="32.25" outlineLevel="2" thickTop="1">
      <c r="A592" s="1621">
        <v>4224</v>
      </c>
      <c r="B592" s="1893" t="s">
        <v>462</v>
      </c>
      <c r="C592" s="2171" t="s">
        <v>463</v>
      </c>
      <c r="D592" s="1680"/>
      <c r="E592" s="2172">
        <v>5</v>
      </c>
      <c r="F592" s="2162">
        <v>43255</v>
      </c>
      <c r="G592" s="2163">
        <f>+F592+E592-1</f>
        <v>43259</v>
      </c>
      <c r="H592" s="1620" t="s">
        <v>455</v>
      </c>
      <c r="I592" s="1621" t="s">
        <v>179</v>
      </c>
      <c r="J592" s="2042" t="s">
        <v>461</v>
      </c>
      <c r="K592" s="1680" t="s">
        <v>457</v>
      </c>
      <c r="L592" s="1812">
        <v>23174</v>
      </c>
      <c r="M592" s="1680"/>
      <c r="N592" s="1621"/>
      <c r="O592" s="1856">
        <v>84</v>
      </c>
      <c r="P592" s="2164">
        <v>30</v>
      </c>
      <c r="Q592" s="2165">
        <f>O592*P592</f>
        <v>2520</v>
      </c>
      <c r="R592" s="1991"/>
      <c r="S592" s="1847"/>
      <c r="T592" s="1847"/>
      <c r="U592" s="1847">
        <v>2520</v>
      </c>
      <c r="V592" s="1847"/>
      <c r="W592" s="1847"/>
      <c r="X592" s="1137"/>
      <c r="Y592" s="1126"/>
      <c r="Z592" s="1124"/>
      <c r="AA592" s="1124"/>
      <c r="AB592" s="1124"/>
      <c r="AC592" s="1124"/>
      <c r="AD592" s="1124"/>
      <c r="AE592" s="1124"/>
      <c r="AF592" s="1124"/>
      <c r="AG592" s="1156"/>
    </row>
    <row r="593" spans="1:33" ht="39.950000000000003" customHeight="1" outlineLevel="1">
      <c r="A593" s="1997"/>
      <c r="B593" s="1740"/>
      <c r="C593" s="2141"/>
      <c r="D593" s="1997"/>
      <c r="E593" s="1997"/>
      <c r="F593" s="2168"/>
      <c r="G593" s="2169"/>
      <c r="H593" s="2153"/>
      <c r="I593" s="1997"/>
      <c r="J593" s="2188"/>
      <c r="K593" s="1997"/>
      <c r="L593" s="1996" t="s">
        <v>1051</v>
      </c>
      <c r="M593" s="1997"/>
      <c r="N593" s="1997"/>
      <c r="O593" s="1998"/>
      <c r="P593" s="2166"/>
      <c r="Q593" s="2167">
        <f>SUBTOTAL(9,Q590:Q592)</f>
        <v>9997.3333333333321</v>
      </c>
      <c r="R593" s="1859"/>
      <c r="S593" s="2161"/>
      <c r="T593" s="2161"/>
      <c r="U593" s="2161"/>
      <c r="V593" s="2161"/>
      <c r="W593" s="2161"/>
      <c r="X593" s="1672"/>
      <c r="Y593" s="1126"/>
      <c r="Z593" s="1124"/>
      <c r="AA593" s="1124"/>
      <c r="AB593" s="1124"/>
      <c r="AC593" s="1124"/>
      <c r="AD593" s="1124"/>
      <c r="AE593" s="1124"/>
      <c r="AF593" s="1124"/>
      <c r="AG593" s="1156"/>
    </row>
    <row r="594" spans="1:33" ht="39.950000000000003" customHeight="1">
      <c r="A594" s="1997"/>
      <c r="B594" s="1740"/>
      <c r="C594" s="2141"/>
      <c r="D594" s="1997"/>
      <c r="E594" s="1997"/>
      <c r="F594" s="2168"/>
      <c r="G594" s="2169"/>
      <c r="H594" s="2153"/>
      <c r="I594" s="1997"/>
      <c r="J594" s="2188"/>
      <c r="K594" s="1997"/>
      <c r="L594" s="1996" t="s">
        <v>1052</v>
      </c>
      <c r="M594" s="1997"/>
      <c r="N594" s="1997"/>
      <c r="O594" s="1998"/>
      <c r="P594" s="2166"/>
      <c r="Q594" s="2167">
        <f>SUBTOTAL(9,Q588:Q592)</f>
        <v>15217.333333333334</v>
      </c>
      <c r="R594" s="1859"/>
      <c r="S594" s="2161"/>
      <c r="T594" s="2161"/>
      <c r="U594" s="2161"/>
      <c r="V594" s="2161"/>
      <c r="W594" s="2161"/>
      <c r="X594" s="1672"/>
      <c r="Y594" s="1126"/>
      <c r="Z594" s="1124"/>
      <c r="AA594" s="1124"/>
      <c r="AB594" s="1124"/>
      <c r="AC594" s="1124"/>
      <c r="AD594" s="1124"/>
      <c r="AE594" s="1124"/>
      <c r="AF594" s="1124"/>
      <c r="AG594" s="1156"/>
    </row>
    <row r="595" spans="1:33" ht="32.25" thickBot="1">
      <c r="A595" s="2179">
        <v>423</v>
      </c>
      <c r="B595" s="1466" t="s">
        <v>464</v>
      </c>
      <c r="C595" s="1511"/>
      <c r="D595" s="1422"/>
      <c r="E595" s="1422"/>
      <c r="F595" s="1422"/>
      <c r="G595" s="1422"/>
      <c r="H595" s="1422"/>
      <c r="I595" s="1423"/>
      <c r="J595" s="2180"/>
      <c r="K595" s="2181"/>
      <c r="L595" s="2182"/>
      <c r="M595" s="2183"/>
      <c r="N595" s="2184"/>
      <c r="O595" s="2185"/>
      <c r="P595" s="2186"/>
      <c r="Q595" s="2187">
        <f>+Q597</f>
        <v>6400</v>
      </c>
      <c r="R595" s="1992"/>
      <c r="S595" s="1395">
        <f t="shared" ref="S595:AF595" si="99">SUM(S596)</f>
        <v>0</v>
      </c>
      <c r="T595" s="1395">
        <f t="shared" si="99"/>
        <v>0</v>
      </c>
      <c r="U595" s="1395">
        <f t="shared" si="99"/>
        <v>0</v>
      </c>
      <c r="V595" s="1395">
        <f t="shared" si="99"/>
        <v>6400</v>
      </c>
      <c r="W595" s="1395">
        <f t="shared" si="99"/>
        <v>0</v>
      </c>
      <c r="X595" s="1395">
        <f t="shared" si="99"/>
        <v>0</v>
      </c>
      <c r="Y595" s="1395">
        <f t="shared" si="99"/>
        <v>0</v>
      </c>
      <c r="Z595" s="361">
        <f t="shared" si="99"/>
        <v>0</v>
      </c>
      <c r="AA595" s="361">
        <f t="shared" si="99"/>
        <v>0</v>
      </c>
      <c r="AB595" s="361">
        <f t="shared" si="99"/>
        <v>0</v>
      </c>
      <c r="AC595" s="361">
        <f t="shared" si="99"/>
        <v>0</v>
      </c>
      <c r="AD595" s="361">
        <f t="shared" si="99"/>
        <v>0</v>
      </c>
      <c r="AE595" s="361">
        <f t="shared" si="99"/>
        <v>0</v>
      </c>
      <c r="AF595" s="361">
        <f t="shared" si="99"/>
        <v>0</v>
      </c>
      <c r="AG595" s="1282">
        <f>SUM(S595:AF595)</f>
        <v>6400</v>
      </c>
    </row>
    <row r="596" spans="1:33" ht="51" customHeight="1" outlineLevel="2" thickTop="1">
      <c r="A596" s="1621">
        <v>4231</v>
      </c>
      <c r="B596" s="1893" t="s">
        <v>465</v>
      </c>
      <c r="C596" s="2171" t="s">
        <v>466</v>
      </c>
      <c r="D596" s="2189"/>
      <c r="E596" s="2172">
        <v>5</v>
      </c>
      <c r="F596" s="2162">
        <v>43269</v>
      </c>
      <c r="G596" s="2163">
        <f>+F596+E596-1</f>
        <v>43273</v>
      </c>
      <c r="H596" s="2189" t="s">
        <v>368</v>
      </c>
      <c r="I596" s="2172" t="s">
        <v>179</v>
      </c>
      <c r="J596" s="2042" t="s">
        <v>461</v>
      </c>
      <c r="K596" s="1680" t="s">
        <v>457</v>
      </c>
      <c r="L596" s="2043">
        <v>23174</v>
      </c>
      <c r="M596" s="2189"/>
      <c r="N596" s="2189"/>
      <c r="O596" s="1856">
        <v>160</v>
      </c>
      <c r="P596" s="1971">
        <v>40</v>
      </c>
      <c r="Q596" s="2190">
        <f>O596*P596</f>
        <v>6400</v>
      </c>
      <c r="R596" s="1991"/>
      <c r="S596" s="1847"/>
      <c r="T596" s="1847"/>
      <c r="U596" s="1847"/>
      <c r="V596" s="1847">
        <v>6400</v>
      </c>
      <c r="W596" s="1847"/>
      <c r="X596" s="1854"/>
      <c r="Y596" s="1124"/>
      <c r="Z596" s="1734"/>
      <c r="AA596" s="1734"/>
      <c r="AB596" s="1734"/>
      <c r="AC596" s="1734"/>
      <c r="AD596" s="1734"/>
      <c r="AE596" s="1734"/>
      <c r="AF596" s="1734"/>
      <c r="AG596" s="1734"/>
    </row>
    <row r="597" spans="1:33" ht="39.950000000000003" customHeight="1" outlineLevel="1">
      <c r="A597" s="1997"/>
      <c r="B597" s="1740"/>
      <c r="C597" s="2141"/>
      <c r="D597" s="1997"/>
      <c r="E597" s="1997"/>
      <c r="F597" s="2168"/>
      <c r="G597" s="2169"/>
      <c r="H597" s="1997"/>
      <c r="I597" s="1997"/>
      <c r="J597" s="2188"/>
      <c r="K597" s="1997"/>
      <c r="L597" s="1748" t="s">
        <v>1051</v>
      </c>
      <c r="M597" s="1997"/>
      <c r="N597" s="1997"/>
      <c r="O597" s="1998"/>
      <c r="P597" s="2192"/>
      <c r="Q597" s="1998">
        <f>SUBTOTAL(9,Q596:Q596)</f>
        <v>6400</v>
      </c>
      <c r="R597" s="1859"/>
      <c r="S597" s="2161"/>
      <c r="T597" s="2161"/>
      <c r="U597" s="2161"/>
      <c r="V597" s="2161"/>
      <c r="W597" s="2161"/>
      <c r="X597" s="357"/>
      <c r="Y597" s="1124"/>
      <c r="Z597" s="1734"/>
      <c r="AA597" s="1734"/>
      <c r="AB597" s="1734"/>
      <c r="AC597" s="1734"/>
      <c r="AD597" s="1734"/>
      <c r="AE597" s="1734"/>
      <c r="AF597" s="1734"/>
      <c r="AG597" s="1734"/>
    </row>
    <row r="598" spans="1:33" ht="39.950000000000003" customHeight="1">
      <c r="A598" s="1997"/>
      <c r="B598" s="1740"/>
      <c r="C598" s="2141"/>
      <c r="D598" s="1997"/>
      <c r="E598" s="1997"/>
      <c r="F598" s="2168"/>
      <c r="G598" s="2169"/>
      <c r="H598" s="1997"/>
      <c r="I598" s="1997"/>
      <c r="J598" s="2188"/>
      <c r="K598" s="1997"/>
      <c r="L598" s="1748" t="s">
        <v>1052</v>
      </c>
      <c r="M598" s="1997"/>
      <c r="N598" s="1997"/>
      <c r="O598" s="1998"/>
      <c r="P598" s="2192"/>
      <c r="Q598" s="1998">
        <f>SUBTOTAL(9,Q596:Q596)</f>
        <v>6400</v>
      </c>
      <c r="R598" s="1859"/>
      <c r="S598" s="2161"/>
      <c r="T598" s="2161"/>
      <c r="U598" s="2161"/>
      <c r="V598" s="2161"/>
      <c r="W598" s="2161"/>
      <c r="X598" s="357"/>
      <c r="Y598" s="1124"/>
      <c r="Z598" s="1734"/>
      <c r="AA598" s="1734"/>
      <c r="AB598" s="1734"/>
      <c r="AC598" s="1734"/>
      <c r="AD598" s="1734"/>
      <c r="AE598" s="1734"/>
      <c r="AF598" s="1734"/>
      <c r="AG598" s="1734"/>
    </row>
    <row r="599" spans="1:33" ht="34.5" customHeight="1" thickBot="1">
      <c r="A599" s="2179">
        <v>424</v>
      </c>
      <c r="B599" s="2191" t="s">
        <v>467</v>
      </c>
      <c r="C599" s="1511"/>
      <c r="D599" s="1422"/>
      <c r="E599" s="1422"/>
      <c r="F599" s="1422"/>
      <c r="G599" s="1422"/>
      <c r="H599" s="1422"/>
      <c r="I599" s="1423"/>
      <c r="J599" s="2180"/>
      <c r="K599" s="2181"/>
      <c r="L599" s="2182"/>
      <c r="M599" s="2183"/>
      <c r="N599" s="2184"/>
      <c r="O599" s="2185"/>
      <c r="P599" s="2186"/>
      <c r="Q599" s="2187">
        <f>+Q601</f>
        <v>66990</v>
      </c>
      <c r="R599" s="1992"/>
      <c r="S599" s="1395">
        <f t="shared" ref="S599:AF599" si="100">SUM(S600)</f>
        <v>0</v>
      </c>
      <c r="T599" s="1395">
        <f t="shared" si="100"/>
        <v>0</v>
      </c>
      <c r="U599" s="1395">
        <f t="shared" si="100"/>
        <v>0</v>
      </c>
      <c r="V599" s="1395">
        <f t="shared" si="100"/>
        <v>66990</v>
      </c>
      <c r="W599" s="1395">
        <f t="shared" si="100"/>
        <v>0</v>
      </c>
      <c r="X599" s="1395">
        <f t="shared" si="100"/>
        <v>0</v>
      </c>
      <c r="Y599" s="1395">
        <f t="shared" si="100"/>
        <v>0</v>
      </c>
      <c r="Z599" s="361">
        <f t="shared" si="100"/>
        <v>0</v>
      </c>
      <c r="AA599" s="361">
        <f t="shared" si="100"/>
        <v>0</v>
      </c>
      <c r="AB599" s="361">
        <f t="shared" si="100"/>
        <v>0</v>
      </c>
      <c r="AC599" s="361">
        <f t="shared" si="100"/>
        <v>0</v>
      </c>
      <c r="AD599" s="361">
        <f t="shared" si="100"/>
        <v>0</v>
      </c>
      <c r="AE599" s="361">
        <f t="shared" si="100"/>
        <v>0</v>
      </c>
      <c r="AF599" s="361">
        <f t="shared" si="100"/>
        <v>0</v>
      </c>
      <c r="AG599" s="1282">
        <f>SUM(S599:AF599)</f>
        <v>66990</v>
      </c>
    </row>
    <row r="600" spans="1:33" ht="63.75" outlineLevel="2" thickTop="1">
      <c r="A600" s="1621">
        <v>4241</v>
      </c>
      <c r="B600" s="2193" t="s">
        <v>468</v>
      </c>
      <c r="C600" s="2171" t="s">
        <v>469</v>
      </c>
      <c r="D600" s="1680"/>
      <c r="E600" s="2172">
        <v>2</v>
      </c>
      <c r="F600" s="2162">
        <v>43283</v>
      </c>
      <c r="G600" s="2163">
        <f>+F600+E600-1</f>
        <v>43284</v>
      </c>
      <c r="H600" s="1620" t="s">
        <v>470</v>
      </c>
      <c r="I600" s="1621" t="s">
        <v>179</v>
      </c>
      <c r="J600" s="2042" t="s">
        <v>461</v>
      </c>
      <c r="K600" s="1680" t="s">
        <v>457</v>
      </c>
      <c r="L600" s="2043">
        <v>23174</v>
      </c>
      <c r="M600" s="1680"/>
      <c r="N600" s="1621"/>
      <c r="O600" s="1856">
        <v>3045</v>
      </c>
      <c r="P600" s="1971">
        <v>22</v>
      </c>
      <c r="Q600" s="2190">
        <f>O600*P600</f>
        <v>66990</v>
      </c>
      <c r="R600" s="1991"/>
      <c r="S600" s="1847"/>
      <c r="T600" s="1847"/>
      <c r="U600" s="1847"/>
      <c r="V600" s="1847">
        <v>66990</v>
      </c>
      <c r="W600" s="1847"/>
      <c r="X600" s="1137"/>
      <c r="Y600" s="1126"/>
      <c r="Z600" s="1126"/>
      <c r="AA600" s="1126"/>
      <c r="AB600" s="1126"/>
      <c r="AC600" s="1126"/>
      <c r="AD600" s="1126"/>
      <c r="AE600" s="1126"/>
      <c r="AF600" s="1126"/>
      <c r="AG600" s="1156"/>
    </row>
    <row r="601" spans="1:33" ht="39.950000000000003" customHeight="1" outlineLevel="1">
      <c r="A601" s="1997"/>
      <c r="B601" s="1740"/>
      <c r="C601" s="2141"/>
      <c r="D601" s="1997"/>
      <c r="E601" s="1997"/>
      <c r="F601" s="2168"/>
      <c r="G601" s="2169"/>
      <c r="H601" s="2153"/>
      <c r="I601" s="1997"/>
      <c r="J601" s="2188"/>
      <c r="K601" s="1997"/>
      <c r="L601" s="1748" t="s">
        <v>1051</v>
      </c>
      <c r="M601" s="1997"/>
      <c r="N601" s="1997"/>
      <c r="O601" s="1998"/>
      <c r="P601" s="2192"/>
      <c r="Q601" s="1998">
        <f>SUBTOTAL(9,Q600:Q600)</f>
        <v>66990</v>
      </c>
      <c r="R601" s="1859"/>
      <c r="S601" s="2161"/>
      <c r="T601" s="2161"/>
      <c r="U601" s="2161"/>
      <c r="V601" s="2161"/>
      <c r="W601" s="2161"/>
      <c r="X601" s="1672"/>
      <c r="Y601" s="1126"/>
      <c r="Z601" s="1126"/>
      <c r="AA601" s="1126"/>
      <c r="AB601" s="1126"/>
      <c r="AC601" s="1126"/>
      <c r="AD601" s="1126"/>
      <c r="AE601" s="1126"/>
      <c r="AF601" s="1126"/>
      <c r="AG601" s="1156"/>
    </row>
    <row r="602" spans="1:33" ht="39.950000000000003" customHeight="1">
      <c r="A602" s="1997"/>
      <c r="B602" s="1740"/>
      <c r="C602" s="2141"/>
      <c r="D602" s="1997"/>
      <c r="E602" s="1997"/>
      <c r="F602" s="2168"/>
      <c r="G602" s="2169"/>
      <c r="H602" s="2153"/>
      <c r="I602" s="1997"/>
      <c r="J602" s="2188"/>
      <c r="K602" s="1997"/>
      <c r="L602" s="1748" t="s">
        <v>1052</v>
      </c>
      <c r="M602" s="1997"/>
      <c r="N602" s="1997"/>
      <c r="O602" s="1998"/>
      <c r="P602" s="2192"/>
      <c r="Q602" s="1998">
        <f>SUBTOTAL(9,Q600:Q600)</f>
        <v>66990</v>
      </c>
      <c r="R602" s="1859"/>
      <c r="S602" s="2161"/>
      <c r="T602" s="2161"/>
      <c r="U602" s="2161"/>
      <c r="V602" s="2161"/>
      <c r="W602" s="2161"/>
      <c r="X602" s="1672"/>
      <c r="Y602" s="1126"/>
      <c r="Z602" s="1126"/>
      <c r="AA602" s="1126"/>
      <c r="AB602" s="1126"/>
      <c r="AC602" s="1126"/>
      <c r="AD602" s="1126"/>
      <c r="AE602" s="1126"/>
      <c r="AF602" s="1126"/>
      <c r="AG602" s="1156"/>
    </row>
    <row r="603" spans="1:33" ht="26.25" customHeight="1" thickBot="1">
      <c r="A603" s="2179">
        <v>425</v>
      </c>
      <c r="B603" s="1466" t="s">
        <v>471</v>
      </c>
      <c r="C603" s="1511"/>
      <c r="D603" s="1422"/>
      <c r="E603" s="1422"/>
      <c r="F603" s="1422"/>
      <c r="G603" s="1422"/>
      <c r="H603" s="1422"/>
      <c r="I603" s="1423"/>
      <c r="J603" s="2180"/>
      <c r="K603" s="2181"/>
      <c r="L603" s="2182"/>
      <c r="M603" s="2183"/>
      <c r="N603" s="2184"/>
      <c r="O603" s="2185"/>
      <c r="P603" s="2186"/>
      <c r="Q603" s="2187">
        <f>+Q608</f>
        <v>104413.66666666667</v>
      </c>
      <c r="R603" s="1992"/>
      <c r="S603" s="1395">
        <f t="shared" ref="S603:AF603" si="101">SUM(S604:S607)</f>
        <v>0</v>
      </c>
      <c r="T603" s="1395">
        <f t="shared" si="101"/>
        <v>93216.666666666672</v>
      </c>
      <c r="U603" s="1395">
        <f t="shared" si="101"/>
        <v>6760</v>
      </c>
      <c r="V603" s="1395">
        <f t="shared" si="101"/>
        <v>4437</v>
      </c>
      <c r="W603" s="1395">
        <f t="shared" si="101"/>
        <v>0</v>
      </c>
      <c r="X603" s="1395">
        <f t="shared" si="101"/>
        <v>0</v>
      </c>
      <c r="Y603" s="1395">
        <f t="shared" si="101"/>
        <v>0</v>
      </c>
      <c r="Z603" s="361">
        <f t="shared" si="101"/>
        <v>0</v>
      </c>
      <c r="AA603" s="361">
        <f t="shared" si="101"/>
        <v>0</v>
      </c>
      <c r="AB603" s="361">
        <f t="shared" si="101"/>
        <v>0</v>
      </c>
      <c r="AC603" s="361">
        <f t="shared" si="101"/>
        <v>0</v>
      </c>
      <c r="AD603" s="361">
        <f t="shared" si="101"/>
        <v>0</v>
      </c>
      <c r="AE603" s="361">
        <f t="shared" si="101"/>
        <v>0</v>
      </c>
      <c r="AF603" s="361">
        <f t="shared" si="101"/>
        <v>0</v>
      </c>
      <c r="AG603" s="1282">
        <f>SUM(S603:AF603)</f>
        <v>104413.66666666667</v>
      </c>
    </row>
    <row r="604" spans="1:33" ht="17.25" outlineLevel="2" thickTop="1" thickBot="1">
      <c r="A604" s="294">
        <v>4251</v>
      </c>
      <c r="B604" s="1728" t="s">
        <v>472</v>
      </c>
      <c r="C604" s="1724" t="s">
        <v>473</v>
      </c>
      <c r="D604" s="326"/>
      <c r="E604" s="294">
        <v>15</v>
      </c>
      <c r="F604" s="1844">
        <v>43201</v>
      </c>
      <c r="G604" s="1845">
        <f>+F604+E604-1</f>
        <v>43215</v>
      </c>
      <c r="H604" s="293" t="s">
        <v>474</v>
      </c>
      <c r="I604" s="294" t="s">
        <v>179</v>
      </c>
      <c r="J604" s="307" t="s">
        <v>169</v>
      </c>
      <c r="K604" s="326" t="s">
        <v>252</v>
      </c>
      <c r="L604" s="1237">
        <v>23174</v>
      </c>
      <c r="M604" s="326"/>
      <c r="N604" s="294"/>
      <c r="O604" s="1846">
        <v>0.23333333333333334</v>
      </c>
      <c r="P604" s="1970">
        <v>57500</v>
      </c>
      <c r="Q604" s="1144">
        <f>O604*P604</f>
        <v>13416.666666666666</v>
      </c>
      <c r="R604" s="1991"/>
      <c r="S604" s="355"/>
      <c r="T604" s="1847">
        <v>13416.666666666666</v>
      </c>
      <c r="U604" s="1847"/>
      <c r="V604" s="1847"/>
      <c r="W604" s="355"/>
      <c r="X604" s="1137"/>
      <c r="Y604" s="1126"/>
      <c r="Z604" s="1126"/>
      <c r="AA604" s="1126"/>
      <c r="AB604" s="1126"/>
      <c r="AC604" s="1126"/>
      <c r="AD604" s="1126"/>
      <c r="AE604" s="1126"/>
      <c r="AF604" s="1126"/>
      <c r="AG604" s="1156"/>
    </row>
    <row r="605" spans="1:33" ht="33" outlineLevel="2" thickTop="1" thickBot="1">
      <c r="A605" s="294">
        <v>4252</v>
      </c>
      <c r="B605" s="1728" t="s">
        <v>475</v>
      </c>
      <c r="C605" s="1724" t="s">
        <v>476</v>
      </c>
      <c r="D605" s="326"/>
      <c r="E605" s="294">
        <v>10</v>
      </c>
      <c r="F605" s="1844">
        <v>43213</v>
      </c>
      <c r="G605" s="1845">
        <f>+F605+E605-1</f>
        <v>43222</v>
      </c>
      <c r="H605" s="293" t="s">
        <v>474</v>
      </c>
      <c r="I605" s="294" t="s">
        <v>179</v>
      </c>
      <c r="J605" s="307" t="s">
        <v>180</v>
      </c>
      <c r="K605" s="326" t="s">
        <v>457</v>
      </c>
      <c r="L605" s="1237">
        <v>23174</v>
      </c>
      <c r="M605" s="326"/>
      <c r="N605" s="294"/>
      <c r="O605" s="1846">
        <v>350</v>
      </c>
      <c r="P605" s="1970">
        <v>228</v>
      </c>
      <c r="Q605" s="1144">
        <f>O605*P605</f>
        <v>79800</v>
      </c>
      <c r="R605" s="1991"/>
      <c r="S605" s="355"/>
      <c r="T605" s="1847">
        <v>79800</v>
      </c>
      <c r="U605" s="1847"/>
      <c r="V605" s="1847"/>
      <c r="W605" s="355"/>
      <c r="X605" s="1137"/>
      <c r="Y605" s="1126"/>
      <c r="Z605" s="1126"/>
      <c r="AA605" s="1126"/>
      <c r="AB605" s="1126"/>
      <c r="AC605" s="1126"/>
      <c r="AD605" s="1126"/>
      <c r="AE605" s="1126"/>
      <c r="AF605" s="1126"/>
      <c r="AG605" s="1156"/>
    </row>
    <row r="606" spans="1:33" ht="17.25" outlineLevel="2" thickTop="1" thickBot="1">
      <c r="A606" s="294">
        <v>4253</v>
      </c>
      <c r="B606" s="1728" t="s">
        <v>477</v>
      </c>
      <c r="C606" s="1724" t="s">
        <v>478</v>
      </c>
      <c r="D606" s="326"/>
      <c r="E606" s="294">
        <v>10</v>
      </c>
      <c r="F606" s="1844">
        <v>43227</v>
      </c>
      <c r="G606" s="1845">
        <f>+F606+E606-1</f>
        <v>43236</v>
      </c>
      <c r="H606" s="293" t="s">
        <v>368</v>
      </c>
      <c r="I606" s="294" t="s">
        <v>179</v>
      </c>
      <c r="J606" s="307" t="s">
        <v>180</v>
      </c>
      <c r="K606" s="326" t="s">
        <v>457</v>
      </c>
      <c r="L606" s="1237">
        <v>23174</v>
      </c>
      <c r="M606" s="326"/>
      <c r="N606" s="294"/>
      <c r="O606" s="1846">
        <v>260</v>
      </c>
      <c r="P606" s="1970">
        <v>26</v>
      </c>
      <c r="Q606" s="1144">
        <f>O606*P606</f>
        <v>6760</v>
      </c>
      <c r="R606" s="1991"/>
      <c r="S606" s="1847"/>
      <c r="T606" s="1847"/>
      <c r="U606" s="1847">
        <v>6760</v>
      </c>
      <c r="V606" s="1847"/>
      <c r="W606" s="355"/>
      <c r="X606" s="1137"/>
      <c r="Y606" s="1126"/>
      <c r="Z606" s="1126"/>
      <c r="AA606" s="1126"/>
      <c r="AB606" s="1126"/>
      <c r="AC606" s="1126"/>
      <c r="AD606" s="1126"/>
      <c r="AE606" s="1126"/>
      <c r="AF606" s="1126"/>
      <c r="AG606" s="1156"/>
    </row>
    <row r="607" spans="1:33" ht="32.25" outlineLevel="2" thickTop="1">
      <c r="A607" s="1621">
        <v>4254</v>
      </c>
      <c r="B607" s="2194" t="s">
        <v>479</v>
      </c>
      <c r="C607" s="2171" t="s">
        <v>480</v>
      </c>
      <c r="D607" s="1680"/>
      <c r="E607" s="1621">
        <v>6</v>
      </c>
      <c r="F607" s="2162">
        <v>43269</v>
      </c>
      <c r="G607" s="2163">
        <f>+F607+E607-1</f>
        <v>43274</v>
      </c>
      <c r="H607" s="1620" t="s">
        <v>368</v>
      </c>
      <c r="I607" s="1621" t="s">
        <v>179</v>
      </c>
      <c r="J607" s="1622" t="s">
        <v>180</v>
      </c>
      <c r="K607" s="1680" t="s">
        <v>457</v>
      </c>
      <c r="L607" s="2043">
        <v>23174</v>
      </c>
      <c r="M607" s="1680"/>
      <c r="N607" s="1621"/>
      <c r="O607" s="1856">
        <v>177.48</v>
      </c>
      <c r="P607" s="1971">
        <v>25</v>
      </c>
      <c r="Q607" s="2190">
        <f>O607*P607</f>
        <v>4437</v>
      </c>
      <c r="R607" s="1991"/>
      <c r="S607" s="1847"/>
      <c r="T607" s="1847"/>
      <c r="U607" s="1847"/>
      <c r="V607" s="1847">
        <v>4437</v>
      </c>
      <c r="W607" s="355"/>
      <c r="X607" s="1137"/>
      <c r="Y607" s="1126"/>
      <c r="Z607" s="1126"/>
      <c r="AA607" s="1126"/>
      <c r="AB607" s="1126"/>
      <c r="AC607" s="1126"/>
      <c r="AD607" s="1126"/>
      <c r="AE607" s="1126"/>
      <c r="AF607" s="1126"/>
      <c r="AG607" s="1156"/>
    </row>
    <row r="608" spans="1:33" ht="39.950000000000003" customHeight="1" outlineLevel="1">
      <c r="A608" s="1997"/>
      <c r="B608" s="2196"/>
      <c r="C608" s="2141"/>
      <c r="D608" s="1997"/>
      <c r="E608" s="1997"/>
      <c r="F608" s="2168"/>
      <c r="G608" s="2169"/>
      <c r="H608" s="2153"/>
      <c r="I608" s="1997"/>
      <c r="J608" s="1740"/>
      <c r="K608" s="1997"/>
      <c r="L608" s="1748" t="s">
        <v>1051</v>
      </c>
      <c r="M608" s="1997"/>
      <c r="N608" s="1997"/>
      <c r="O608" s="1998"/>
      <c r="P608" s="2192"/>
      <c r="Q608" s="1998">
        <f>SUBTOTAL(9,Q604:Q607)</f>
        <v>104413.66666666667</v>
      </c>
      <c r="R608" s="1859"/>
      <c r="S608" s="2161"/>
      <c r="T608" s="2161"/>
      <c r="U608" s="2161"/>
      <c r="V608" s="2161"/>
      <c r="W608" s="1126"/>
      <c r="X608" s="1672"/>
      <c r="Y608" s="1126"/>
      <c r="Z608" s="1126"/>
      <c r="AA608" s="1126"/>
      <c r="AB608" s="1126"/>
      <c r="AC608" s="1126"/>
      <c r="AD608" s="1126"/>
      <c r="AE608" s="1126"/>
      <c r="AF608" s="1126"/>
      <c r="AG608" s="1156"/>
    </row>
    <row r="609" spans="1:33" ht="39.950000000000003" customHeight="1">
      <c r="A609" s="1997"/>
      <c r="B609" s="2196"/>
      <c r="C609" s="2141"/>
      <c r="D609" s="1997"/>
      <c r="E609" s="1997"/>
      <c r="F609" s="2168"/>
      <c r="G609" s="2169"/>
      <c r="H609" s="2153"/>
      <c r="I609" s="1997"/>
      <c r="J609" s="1740"/>
      <c r="K609" s="1997"/>
      <c r="L609" s="1748" t="s">
        <v>1052</v>
      </c>
      <c r="M609" s="1997"/>
      <c r="N609" s="1997"/>
      <c r="O609" s="1998"/>
      <c r="P609" s="2192"/>
      <c r="Q609" s="1998">
        <f>SUBTOTAL(9,Q604:Q607)</f>
        <v>104413.66666666667</v>
      </c>
      <c r="R609" s="1859"/>
      <c r="S609" s="2161"/>
      <c r="T609" s="2161"/>
      <c r="U609" s="2161"/>
      <c r="V609" s="2161"/>
      <c r="W609" s="1126"/>
      <c r="X609" s="1672"/>
      <c r="Y609" s="1126"/>
      <c r="Z609" s="1126"/>
      <c r="AA609" s="1126"/>
      <c r="AB609" s="1126"/>
      <c r="AC609" s="1126"/>
      <c r="AD609" s="1126"/>
      <c r="AE609" s="1126"/>
      <c r="AF609" s="1126"/>
      <c r="AG609" s="1156"/>
    </row>
    <row r="610" spans="1:33" ht="35.25" customHeight="1" thickBot="1">
      <c r="A610" s="2179">
        <v>426</v>
      </c>
      <c r="B610" s="1466" t="s">
        <v>481</v>
      </c>
      <c r="C610" s="1511"/>
      <c r="D610" s="1422"/>
      <c r="E610" s="1422"/>
      <c r="F610" s="1422"/>
      <c r="G610" s="1422"/>
      <c r="H610" s="1422"/>
      <c r="I610" s="1423"/>
      <c r="J610" s="2180"/>
      <c r="K610" s="2181"/>
      <c r="L610" s="2182"/>
      <c r="M610" s="2184"/>
      <c r="N610" s="2184"/>
      <c r="O610" s="2195"/>
      <c r="P610" s="2186"/>
      <c r="Q610" s="2187">
        <f>+Q612+Q615+Q618+Q623</f>
        <v>41478.833333333336</v>
      </c>
      <c r="R610" s="1719"/>
      <c r="S610" s="1395">
        <f t="shared" ref="S610:AF610" si="102">SUM(S611:S622)</f>
        <v>0</v>
      </c>
      <c r="T610" s="1395">
        <f t="shared" si="102"/>
        <v>0</v>
      </c>
      <c r="U610" s="1395">
        <f t="shared" si="102"/>
        <v>33648.833333333328</v>
      </c>
      <c r="V610" s="1395">
        <f t="shared" si="102"/>
        <v>7830</v>
      </c>
      <c r="W610" s="1395">
        <f t="shared" si="102"/>
        <v>0</v>
      </c>
      <c r="X610" s="1395">
        <f t="shared" si="102"/>
        <v>0</v>
      </c>
      <c r="Y610" s="1395">
        <f t="shared" si="102"/>
        <v>0</v>
      </c>
      <c r="Z610" s="361">
        <f t="shared" si="102"/>
        <v>0</v>
      </c>
      <c r="AA610" s="361">
        <f t="shared" si="102"/>
        <v>0</v>
      </c>
      <c r="AB610" s="361">
        <f t="shared" si="102"/>
        <v>0</v>
      </c>
      <c r="AC610" s="361">
        <f t="shared" si="102"/>
        <v>0</v>
      </c>
      <c r="AD610" s="361">
        <f t="shared" si="102"/>
        <v>0</v>
      </c>
      <c r="AE610" s="361">
        <f t="shared" si="102"/>
        <v>0</v>
      </c>
      <c r="AF610" s="361">
        <f t="shared" si="102"/>
        <v>0</v>
      </c>
      <c r="AG610" s="1282">
        <f>SUM(S610:AF610)</f>
        <v>41478.833333333328</v>
      </c>
    </row>
    <row r="611" spans="1:33" ht="32.25" outlineLevel="2" thickTop="1">
      <c r="A611" s="1621">
        <v>4261</v>
      </c>
      <c r="B611" s="2197" t="s">
        <v>482</v>
      </c>
      <c r="C611" s="2171" t="s">
        <v>483</v>
      </c>
      <c r="D611" s="1680"/>
      <c r="E611" s="1621">
        <v>50</v>
      </c>
      <c r="F611" s="2162">
        <v>43186</v>
      </c>
      <c r="G611" s="2163">
        <f>+F611+E611-3</f>
        <v>43233</v>
      </c>
      <c r="H611" s="1620" t="s">
        <v>368</v>
      </c>
      <c r="I611" s="1621" t="s">
        <v>169</v>
      </c>
      <c r="J611" s="1622" t="s">
        <v>179</v>
      </c>
      <c r="K611" s="2198" t="s">
        <v>365</v>
      </c>
      <c r="L611" s="1812">
        <v>2313</v>
      </c>
      <c r="M611" s="1680"/>
      <c r="N611" s="1621"/>
      <c r="O611" s="1856">
        <v>174</v>
      </c>
      <c r="P611" s="1971">
        <v>45</v>
      </c>
      <c r="Q611" s="2190">
        <f>O611*P611</f>
        <v>7830</v>
      </c>
      <c r="R611" s="1991"/>
      <c r="S611" s="1848"/>
      <c r="T611" s="1848"/>
      <c r="U611" s="1848"/>
      <c r="V611" s="1848">
        <v>7830</v>
      </c>
      <c r="W611" s="1848"/>
      <c r="X611" s="1137"/>
      <c r="Y611" s="1126"/>
      <c r="Z611" s="1126"/>
      <c r="AA611" s="1126"/>
      <c r="AB611" s="1126"/>
      <c r="AC611" s="1126"/>
      <c r="AD611" s="1126"/>
      <c r="AE611" s="1126"/>
      <c r="AF611" s="1126"/>
      <c r="AG611" s="1156"/>
    </row>
    <row r="612" spans="1:33" ht="39.950000000000003" customHeight="1" outlineLevel="1">
      <c r="A612" s="1997"/>
      <c r="B612" s="1740"/>
      <c r="C612" s="2141"/>
      <c r="D612" s="1997"/>
      <c r="E612" s="1997"/>
      <c r="F612" s="2168"/>
      <c r="G612" s="2169"/>
      <c r="H612" s="2153"/>
      <c r="I612" s="1997"/>
      <c r="J612" s="1740"/>
      <c r="K612" s="2150"/>
      <c r="L612" s="1996" t="s">
        <v>1055</v>
      </c>
      <c r="M612" s="1997"/>
      <c r="N612" s="1997"/>
      <c r="O612" s="1998"/>
      <c r="P612" s="2192"/>
      <c r="Q612" s="1998">
        <f>SUBTOTAL(9,Q611:Q611)</f>
        <v>7830</v>
      </c>
      <c r="R612" s="1991"/>
      <c r="S612" s="1848"/>
      <c r="T612" s="1848"/>
      <c r="U612" s="1848"/>
      <c r="V612" s="1848"/>
      <c r="W612" s="1848"/>
      <c r="X612" s="1672"/>
      <c r="Y612" s="1126"/>
      <c r="Z612" s="1126"/>
      <c r="AA612" s="1126"/>
      <c r="AB612" s="1126"/>
      <c r="AC612" s="1126"/>
      <c r="AD612" s="1126"/>
      <c r="AE612" s="1126"/>
      <c r="AF612" s="1126"/>
      <c r="AG612" s="1156"/>
    </row>
    <row r="613" spans="1:33" ht="32.25" outlineLevel="2" thickBot="1">
      <c r="A613" s="1393">
        <v>4262</v>
      </c>
      <c r="B613" s="2199" t="s">
        <v>484</v>
      </c>
      <c r="C613" s="2200" t="s">
        <v>485</v>
      </c>
      <c r="D613" s="1585"/>
      <c r="E613" s="1393">
        <v>6</v>
      </c>
      <c r="F613" s="1899">
        <v>43234</v>
      </c>
      <c r="G613" s="1845">
        <f>+F613+E613-1</f>
        <v>43239</v>
      </c>
      <c r="H613" s="1900" t="s">
        <v>368</v>
      </c>
      <c r="I613" s="1393" t="s">
        <v>179</v>
      </c>
      <c r="J613" s="557"/>
      <c r="K613" s="1585" t="s">
        <v>486</v>
      </c>
      <c r="L613" s="2175">
        <v>23172</v>
      </c>
      <c r="M613" s="1585"/>
      <c r="N613" s="1393"/>
      <c r="O613" s="2176">
        <v>10</v>
      </c>
      <c r="P613" s="2201">
        <v>5</v>
      </c>
      <c r="Q613" s="2113">
        <f>O613*P613</f>
        <v>50</v>
      </c>
      <c r="R613" s="1991"/>
      <c r="S613" s="1848"/>
      <c r="T613" s="1848"/>
      <c r="U613" s="1848">
        <v>5076.666666666667</v>
      </c>
      <c r="V613" s="1848"/>
      <c r="W613" s="1848"/>
      <c r="X613" s="1137"/>
      <c r="Y613" s="1126"/>
      <c r="Z613" s="1126"/>
      <c r="AA613" s="1126"/>
      <c r="AB613" s="1126"/>
      <c r="AC613" s="1126"/>
      <c r="AD613" s="1126"/>
      <c r="AE613" s="1126"/>
      <c r="AF613" s="1126"/>
      <c r="AG613" s="1156"/>
    </row>
    <row r="614" spans="1:33" ht="16.5" outlineLevel="2" thickTop="1">
      <c r="A614" s="1621">
        <v>4263</v>
      </c>
      <c r="B614" s="2197" t="s">
        <v>487</v>
      </c>
      <c r="C614" s="2171" t="s">
        <v>488</v>
      </c>
      <c r="D614" s="1680"/>
      <c r="E614" s="1621">
        <v>10</v>
      </c>
      <c r="F614" s="2162">
        <v>43241</v>
      </c>
      <c r="G614" s="2163">
        <f>+F614+E614-1</f>
        <v>43250</v>
      </c>
      <c r="H614" s="1621" t="s">
        <v>372</v>
      </c>
      <c r="I614" s="1621" t="s">
        <v>179</v>
      </c>
      <c r="J614" s="1622"/>
      <c r="K614" s="1680" t="s">
        <v>486</v>
      </c>
      <c r="L614" s="1812">
        <v>23172</v>
      </c>
      <c r="M614" s="1680"/>
      <c r="N614" s="1621"/>
      <c r="O614" s="1856">
        <v>10</v>
      </c>
      <c r="P614" s="1971">
        <v>10</v>
      </c>
      <c r="Q614" s="2190">
        <f>O614*P614</f>
        <v>100</v>
      </c>
      <c r="R614" s="1991"/>
      <c r="S614" s="1848"/>
      <c r="T614" s="1848"/>
      <c r="U614" s="1848">
        <v>165.83333333333334</v>
      </c>
      <c r="V614" s="1848"/>
      <c r="W614" s="1848"/>
      <c r="X614" s="1137"/>
      <c r="Y614" s="1126"/>
      <c r="Z614" s="1126"/>
      <c r="AA614" s="1126"/>
      <c r="AB614" s="1126"/>
      <c r="AC614" s="1126"/>
      <c r="AD614" s="1126"/>
      <c r="AE614" s="1126"/>
      <c r="AF614" s="1126"/>
      <c r="AG614" s="1156"/>
    </row>
    <row r="615" spans="1:33" ht="39.950000000000003" customHeight="1" outlineLevel="1">
      <c r="A615" s="1997"/>
      <c r="B615" s="1740"/>
      <c r="C615" s="2141"/>
      <c r="D615" s="1997"/>
      <c r="E615" s="1997"/>
      <c r="F615" s="2168"/>
      <c r="G615" s="2169"/>
      <c r="H615" s="1997"/>
      <c r="I615" s="1997"/>
      <c r="J615" s="1740"/>
      <c r="K615" s="1997"/>
      <c r="L615" s="1996" t="s">
        <v>1059</v>
      </c>
      <c r="M615" s="1997"/>
      <c r="N615" s="1997"/>
      <c r="O615" s="1998"/>
      <c r="P615" s="2192"/>
      <c r="Q615" s="1998">
        <f>SUBTOTAL(9,Q613:Q614)</f>
        <v>150</v>
      </c>
      <c r="R615" s="1991"/>
      <c r="S615" s="1848"/>
      <c r="T615" s="1848"/>
      <c r="U615" s="1848"/>
      <c r="V615" s="1848"/>
      <c r="W615" s="1848"/>
      <c r="X615" s="1672"/>
      <c r="Y615" s="1126"/>
      <c r="Z615" s="1126"/>
      <c r="AA615" s="1126"/>
      <c r="AB615" s="1126"/>
      <c r="AC615" s="1126"/>
      <c r="AD615" s="1126"/>
      <c r="AE615" s="1126"/>
      <c r="AF615" s="1126"/>
      <c r="AG615" s="1156"/>
    </row>
    <row r="616" spans="1:33" ht="32.25" outlineLevel="2" thickBot="1">
      <c r="A616" s="1393">
        <v>4262</v>
      </c>
      <c r="B616" s="2199" t="s">
        <v>484</v>
      </c>
      <c r="C616" s="2200" t="s">
        <v>485</v>
      </c>
      <c r="D616" s="1585"/>
      <c r="E616" s="1393">
        <v>6</v>
      </c>
      <c r="F616" s="1899">
        <v>43234</v>
      </c>
      <c r="G616" s="1845">
        <f>+F616+E616-1</f>
        <v>43239</v>
      </c>
      <c r="H616" s="1900" t="s">
        <v>368</v>
      </c>
      <c r="I616" s="1393" t="s">
        <v>179</v>
      </c>
      <c r="J616" s="557"/>
      <c r="K616" s="1585" t="s">
        <v>320</v>
      </c>
      <c r="L616" s="2175">
        <v>23173</v>
      </c>
      <c r="M616" s="1585"/>
      <c r="N616" s="1393"/>
      <c r="O616" s="2176">
        <v>165.83333333333334</v>
      </c>
      <c r="P616" s="2201">
        <v>1</v>
      </c>
      <c r="Q616" s="2113">
        <f>O616*P616</f>
        <v>165.83333333333334</v>
      </c>
      <c r="R616" s="1991"/>
      <c r="S616" s="1848"/>
      <c r="T616" s="1848"/>
      <c r="U616" s="1848">
        <v>50</v>
      </c>
      <c r="V616" s="1848"/>
      <c r="W616" s="1848"/>
      <c r="X616" s="1137"/>
      <c r="Y616" s="1126"/>
      <c r="Z616" s="1126"/>
      <c r="AA616" s="1126"/>
      <c r="AB616" s="1126"/>
      <c r="AC616" s="1126"/>
      <c r="AD616" s="1126"/>
      <c r="AE616" s="1126"/>
      <c r="AF616" s="1126"/>
      <c r="AG616" s="1156"/>
    </row>
    <row r="617" spans="1:33" ht="16.5" outlineLevel="2" thickTop="1">
      <c r="A617" s="1621">
        <v>4263</v>
      </c>
      <c r="B617" s="2197" t="s">
        <v>487</v>
      </c>
      <c r="C617" s="2171" t="s">
        <v>488</v>
      </c>
      <c r="D617" s="1680"/>
      <c r="E617" s="1621">
        <v>10</v>
      </c>
      <c r="F617" s="2162">
        <v>43241</v>
      </c>
      <c r="G617" s="2163">
        <f>+F617+E617-1</f>
        <v>43250</v>
      </c>
      <c r="H617" s="1621" t="s">
        <v>372</v>
      </c>
      <c r="I617" s="1621" t="s">
        <v>179</v>
      </c>
      <c r="J617" s="1622"/>
      <c r="K617" s="1680" t="s">
        <v>320</v>
      </c>
      <c r="L617" s="1812">
        <v>23173</v>
      </c>
      <c r="M617" s="1680"/>
      <c r="N617" s="1621"/>
      <c r="O617" s="1856">
        <v>356.33333333333331</v>
      </c>
      <c r="P617" s="1971">
        <v>1</v>
      </c>
      <c r="Q617" s="2190">
        <f>O617*P617</f>
        <v>356.33333333333331</v>
      </c>
      <c r="R617" s="1991"/>
      <c r="S617" s="1848"/>
      <c r="T617" s="1848"/>
      <c r="U617" s="1848">
        <v>20400</v>
      </c>
      <c r="V617" s="1848"/>
      <c r="W617" s="1848"/>
      <c r="X617" s="1137"/>
      <c r="Y617" s="1126"/>
      <c r="Z617" s="1126"/>
      <c r="AA617" s="1126"/>
      <c r="AB617" s="1126"/>
      <c r="AC617" s="1126"/>
      <c r="AD617" s="1126"/>
      <c r="AE617" s="1126"/>
      <c r="AF617" s="1126"/>
      <c r="AG617" s="1156"/>
    </row>
    <row r="618" spans="1:33" ht="39.950000000000003" customHeight="1" outlineLevel="1">
      <c r="A618" s="1997"/>
      <c r="B618" s="1740"/>
      <c r="C618" s="2141"/>
      <c r="D618" s="1997"/>
      <c r="E618" s="1997"/>
      <c r="F618" s="2168"/>
      <c r="G618" s="2169"/>
      <c r="H618" s="1997"/>
      <c r="I618" s="1997"/>
      <c r="J618" s="1740"/>
      <c r="K618" s="1997"/>
      <c r="L618" s="1996" t="s">
        <v>1053</v>
      </c>
      <c r="M618" s="1997"/>
      <c r="N618" s="1997"/>
      <c r="O618" s="1998"/>
      <c r="P618" s="2192"/>
      <c r="Q618" s="1998">
        <f>SUBTOTAL(9,Q616:Q617)</f>
        <v>522.16666666666663</v>
      </c>
      <c r="R618" s="1991"/>
      <c r="S618" s="1859"/>
      <c r="T618" s="1859"/>
      <c r="U618" s="1848"/>
      <c r="V618" s="1859"/>
      <c r="W618" s="1859"/>
      <c r="X618" s="1672"/>
      <c r="Y618" s="1126"/>
      <c r="Z618" s="1126"/>
      <c r="AA618" s="1126"/>
      <c r="AB618" s="1126"/>
      <c r="AC618" s="1126"/>
      <c r="AD618" s="1126"/>
      <c r="AE618" s="1126"/>
      <c r="AF618" s="1126"/>
      <c r="AG618" s="1156"/>
    </row>
    <row r="619" spans="1:33" ht="32.25" outlineLevel="2" thickBot="1">
      <c r="A619" s="1393">
        <v>4262</v>
      </c>
      <c r="B619" s="2199" t="s">
        <v>484</v>
      </c>
      <c r="C619" s="2200" t="s">
        <v>485</v>
      </c>
      <c r="D619" s="1585"/>
      <c r="E619" s="1393">
        <v>6</v>
      </c>
      <c r="F619" s="1899">
        <v>43234</v>
      </c>
      <c r="G619" s="1845">
        <f>+F619+E619-1</f>
        <v>43239</v>
      </c>
      <c r="H619" s="1900" t="s">
        <v>368</v>
      </c>
      <c r="I619" s="1393" t="s">
        <v>179</v>
      </c>
      <c r="J619" s="557"/>
      <c r="K619" s="1585" t="s">
        <v>457</v>
      </c>
      <c r="L619" s="2175">
        <v>23174</v>
      </c>
      <c r="M619" s="1585"/>
      <c r="N619" s="1393"/>
      <c r="O619" s="2176">
        <v>5076.666666666667</v>
      </c>
      <c r="P619" s="2202">
        <v>1</v>
      </c>
      <c r="Q619" s="2113">
        <f>O619*P619</f>
        <v>5076.666666666667</v>
      </c>
      <c r="R619" s="1991"/>
      <c r="S619" s="355"/>
      <c r="T619" s="355"/>
      <c r="U619" s="1848">
        <v>356.33333333333331</v>
      </c>
      <c r="V619" s="355"/>
      <c r="W619" s="355"/>
      <c r="X619" s="1137"/>
      <c r="Y619" s="1126"/>
      <c r="Z619" s="1126"/>
      <c r="AA619" s="1126"/>
      <c r="AB619" s="1126"/>
      <c r="AC619" s="1126"/>
      <c r="AD619" s="1126"/>
      <c r="AE619" s="1126"/>
      <c r="AF619" s="1126"/>
      <c r="AG619" s="1156"/>
    </row>
    <row r="620" spans="1:33" ht="17.25" outlineLevel="2" thickTop="1" thickBot="1">
      <c r="A620" s="294">
        <v>4263</v>
      </c>
      <c r="B620" s="1728" t="s">
        <v>487</v>
      </c>
      <c r="C620" s="1724" t="s">
        <v>488</v>
      </c>
      <c r="D620" s="326"/>
      <c r="E620" s="294">
        <v>10</v>
      </c>
      <c r="F620" s="1844">
        <v>43241</v>
      </c>
      <c r="G620" s="1845">
        <f>+F620+E620-1</f>
        <v>43250</v>
      </c>
      <c r="H620" s="294" t="s">
        <v>372</v>
      </c>
      <c r="I620" s="294" t="s">
        <v>179</v>
      </c>
      <c r="J620" s="307"/>
      <c r="K620" s="326" t="s">
        <v>457</v>
      </c>
      <c r="L620" s="1788">
        <v>23174</v>
      </c>
      <c r="M620" s="326"/>
      <c r="N620" s="294"/>
      <c r="O620" s="1846">
        <v>20400</v>
      </c>
      <c r="P620" s="1971">
        <v>1</v>
      </c>
      <c r="Q620" s="1144">
        <f>O620*P620</f>
        <v>20400</v>
      </c>
      <c r="R620" s="1991"/>
      <c r="S620" s="355"/>
      <c r="T620" s="355"/>
      <c r="U620" s="1848">
        <v>100</v>
      </c>
      <c r="V620" s="355"/>
      <c r="W620" s="355"/>
      <c r="X620" s="1137"/>
      <c r="Y620" s="1126"/>
      <c r="Z620" s="1126"/>
      <c r="AA620" s="1126"/>
      <c r="AB620" s="1126"/>
      <c r="AC620" s="1126"/>
      <c r="AD620" s="1126"/>
      <c r="AE620" s="1126"/>
      <c r="AF620" s="1126"/>
      <c r="AG620" s="1156"/>
    </row>
    <row r="621" spans="1:33" ht="17.25" outlineLevel="2" thickTop="1" thickBot="1">
      <c r="A621" s="294">
        <v>4264</v>
      </c>
      <c r="B621" s="1728" t="s">
        <v>458</v>
      </c>
      <c r="C621" s="1724" t="s">
        <v>489</v>
      </c>
      <c r="D621" s="326"/>
      <c r="E621" s="294">
        <v>2</v>
      </c>
      <c r="F621" s="1844">
        <v>43255</v>
      </c>
      <c r="G621" s="1845">
        <f>+F621+E621-1</f>
        <v>43256</v>
      </c>
      <c r="H621" s="294" t="s">
        <v>490</v>
      </c>
      <c r="I621" s="294" t="s">
        <v>179</v>
      </c>
      <c r="J621" s="307"/>
      <c r="K621" s="326" t="s">
        <v>457</v>
      </c>
      <c r="L621" s="1788">
        <v>23174</v>
      </c>
      <c r="M621" s="326"/>
      <c r="N621" s="294"/>
      <c r="O621" s="1846">
        <v>0</v>
      </c>
      <c r="P621" s="1971"/>
      <c r="Q621" s="1144"/>
      <c r="R621" s="1991"/>
      <c r="S621" s="355"/>
      <c r="T621" s="355"/>
      <c r="U621" s="1848"/>
      <c r="V621" s="355"/>
      <c r="W621" s="355"/>
      <c r="X621" s="1137"/>
      <c r="Y621" s="1126"/>
      <c r="Z621" s="1126"/>
      <c r="AA621" s="1126"/>
      <c r="AB621" s="1126"/>
      <c r="AC621" s="1126"/>
      <c r="AD621" s="1126"/>
      <c r="AE621" s="1126"/>
      <c r="AF621" s="1126"/>
      <c r="AG621" s="1156"/>
    </row>
    <row r="622" spans="1:33" ht="66" customHeight="1" outlineLevel="2" thickTop="1">
      <c r="A622" s="1621">
        <v>4265</v>
      </c>
      <c r="B622" s="2197" t="s">
        <v>491</v>
      </c>
      <c r="C622" s="2171" t="s">
        <v>492</v>
      </c>
      <c r="D622" s="1680"/>
      <c r="E622" s="1621">
        <v>5</v>
      </c>
      <c r="F622" s="2162">
        <v>43261</v>
      </c>
      <c r="G622" s="2163">
        <f>+F622+E622-1</f>
        <v>43265</v>
      </c>
      <c r="H622" s="1621" t="s">
        <v>493</v>
      </c>
      <c r="I622" s="1621" t="s">
        <v>179</v>
      </c>
      <c r="J622" s="1622"/>
      <c r="K622" s="1680" t="s">
        <v>457</v>
      </c>
      <c r="L622" s="1812">
        <v>23174</v>
      </c>
      <c r="M622" s="1680"/>
      <c r="N622" s="1621"/>
      <c r="O622" s="1856">
        <v>750</v>
      </c>
      <c r="P622" s="1971">
        <v>10</v>
      </c>
      <c r="Q622" s="2190">
        <f>O622*P622</f>
        <v>7500</v>
      </c>
      <c r="R622" s="1991"/>
      <c r="S622" s="355"/>
      <c r="T622" s="355"/>
      <c r="U622" s="1848">
        <v>7500</v>
      </c>
      <c r="V622" s="355"/>
      <c r="W622" s="355"/>
      <c r="X622" s="1137"/>
      <c r="Y622" s="1126"/>
      <c r="Z622" s="1126"/>
      <c r="AA622" s="1126"/>
      <c r="AB622" s="1126"/>
      <c r="AC622" s="1126"/>
      <c r="AD622" s="1126"/>
      <c r="AE622" s="1126"/>
      <c r="AF622" s="1126"/>
      <c r="AG622" s="1156"/>
    </row>
    <row r="623" spans="1:33" ht="39.950000000000003" customHeight="1" outlineLevel="1">
      <c r="A623" s="1997"/>
      <c r="B623" s="1740"/>
      <c r="C623" s="2141"/>
      <c r="D623" s="1997"/>
      <c r="E623" s="1997"/>
      <c r="F623" s="2168"/>
      <c r="G623" s="2169"/>
      <c r="H623" s="1997"/>
      <c r="I623" s="1997"/>
      <c r="J623" s="1740"/>
      <c r="K623" s="1997"/>
      <c r="L623" s="1996" t="s">
        <v>1051</v>
      </c>
      <c r="M623" s="1997"/>
      <c r="N623" s="1997"/>
      <c r="O623" s="1998"/>
      <c r="P623" s="2192"/>
      <c r="Q623" s="1998">
        <f>SUBTOTAL(9,Q619:Q622)</f>
        <v>32976.666666666672</v>
      </c>
      <c r="R623" s="1859"/>
      <c r="S623" s="1126"/>
      <c r="T623" s="1126"/>
      <c r="U623" s="1859"/>
      <c r="V623" s="1126"/>
      <c r="W623" s="1126"/>
      <c r="X623" s="1672"/>
      <c r="Y623" s="1126"/>
      <c r="Z623" s="1126"/>
      <c r="AA623" s="1126"/>
      <c r="AB623" s="1126"/>
      <c r="AC623" s="1126"/>
      <c r="AD623" s="1126"/>
      <c r="AE623" s="1126"/>
      <c r="AF623" s="1126"/>
      <c r="AG623" s="1156"/>
    </row>
    <row r="624" spans="1:33" ht="39.950000000000003" customHeight="1">
      <c r="A624" s="1997"/>
      <c r="B624" s="1740"/>
      <c r="C624" s="2141"/>
      <c r="D624" s="1997"/>
      <c r="E624" s="1997"/>
      <c r="F624" s="2168"/>
      <c r="G624" s="2169"/>
      <c r="H624" s="1997"/>
      <c r="I624" s="1997"/>
      <c r="J624" s="1740"/>
      <c r="K624" s="1997"/>
      <c r="L624" s="1996" t="s">
        <v>1052</v>
      </c>
      <c r="M624" s="1997"/>
      <c r="N624" s="1997"/>
      <c r="O624" s="1998"/>
      <c r="P624" s="2192"/>
      <c r="Q624" s="1998">
        <f>SUBTOTAL(9,Q611:Q622)</f>
        <v>41478.833333333328</v>
      </c>
      <c r="R624" s="1859"/>
      <c r="S624" s="1126"/>
      <c r="T624" s="1126"/>
      <c r="U624" s="1859"/>
      <c r="V624" s="1126"/>
      <c r="W624" s="1126"/>
      <c r="X624" s="1672"/>
      <c r="Y624" s="1126"/>
      <c r="Z624" s="1126"/>
      <c r="AA624" s="1126"/>
      <c r="AB624" s="1126"/>
      <c r="AC624" s="1126"/>
      <c r="AD624" s="1126"/>
      <c r="AE624" s="1126"/>
      <c r="AF624" s="1126"/>
      <c r="AG624" s="1156"/>
    </row>
    <row r="625" spans="1:33" ht="28.5" customHeight="1" thickBot="1">
      <c r="A625" s="2179">
        <v>427</v>
      </c>
      <c r="B625" s="1466" t="s">
        <v>494</v>
      </c>
      <c r="C625" s="1511"/>
      <c r="D625" s="1422"/>
      <c r="E625" s="1422"/>
      <c r="F625" s="1422"/>
      <c r="G625" s="1422"/>
      <c r="H625" s="1422"/>
      <c r="I625" s="1423"/>
      <c r="J625" s="2180"/>
      <c r="K625" s="2181"/>
      <c r="L625" s="2182"/>
      <c r="M625" s="2183"/>
      <c r="N625" s="2184"/>
      <c r="O625" s="2185"/>
      <c r="P625" s="2186"/>
      <c r="Q625" s="2187">
        <f>+Q627+Q629</f>
        <v>10762.5</v>
      </c>
      <c r="R625" s="1992"/>
      <c r="S625" s="1395">
        <f t="shared" ref="S625:AF625" si="103">SUM(S626:S628)</f>
        <v>0</v>
      </c>
      <c r="T625" s="1395">
        <f t="shared" si="103"/>
        <v>0</v>
      </c>
      <c r="U625" s="1395">
        <f t="shared" si="103"/>
        <v>7500</v>
      </c>
      <c r="V625" s="1395">
        <f t="shared" si="103"/>
        <v>3262.5</v>
      </c>
      <c r="W625" s="1395">
        <f t="shared" si="103"/>
        <v>0</v>
      </c>
      <c r="X625" s="1395">
        <f t="shared" si="103"/>
        <v>0</v>
      </c>
      <c r="Y625" s="1395">
        <f t="shared" si="103"/>
        <v>0</v>
      </c>
      <c r="Z625" s="361">
        <f t="shared" si="103"/>
        <v>0</v>
      </c>
      <c r="AA625" s="361">
        <f t="shared" si="103"/>
        <v>0</v>
      </c>
      <c r="AB625" s="361">
        <f t="shared" si="103"/>
        <v>0</v>
      </c>
      <c r="AC625" s="361">
        <f t="shared" si="103"/>
        <v>0</v>
      </c>
      <c r="AD625" s="361">
        <f t="shared" si="103"/>
        <v>0</v>
      </c>
      <c r="AE625" s="361">
        <f t="shared" si="103"/>
        <v>0</v>
      </c>
      <c r="AF625" s="361">
        <f t="shared" si="103"/>
        <v>0</v>
      </c>
      <c r="AG625" s="1282">
        <f>SUM(S625:AF625)</f>
        <v>10762.5</v>
      </c>
    </row>
    <row r="626" spans="1:33" ht="48" outlineLevel="2" thickTop="1">
      <c r="A626" s="1621">
        <v>4271</v>
      </c>
      <c r="B626" s="2040" t="s">
        <v>495</v>
      </c>
      <c r="C626" s="1616" t="s">
        <v>496</v>
      </c>
      <c r="D626" s="1680"/>
      <c r="E626" s="1621">
        <v>50</v>
      </c>
      <c r="F626" s="2162">
        <v>43186</v>
      </c>
      <c r="G626" s="2163">
        <f>+F626+E626-1</f>
        <v>43235</v>
      </c>
      <c r="H626" s="1620"/>
      <c r="I626" s="1621" t="s">
        <v>169</v>
      </c>
      <c r="J626" s="1622" t="s">
        <v>179</v>
      </c>
      <c r="K626" s="1680" t="s">
        <v>365</v>
      </c>
      <c r="L626" s="1812">
        <v>2313</v>
      </c>
      <c r="M626" s="1680"/>
      <c r="N626" s="1621"/>
      <c r="O626" s="1856">
        <v>217.5</v>
      </c>
      <c r="P626" s="1971">
        <v>15</v>
      </c>
      <c r="Q626" s="2190">
        <f>O626*P626</f>
        <v>3262.5</v>
      </c>
      <c r="R626" s="1991"/>
      <c r="S626" s="355"/>
      <c r="T626" s="355"/>
      <c r="U626" s="355"/>
      <c r="V626" s="299">
        <v>3262.5</v>
      </c>
      <c r="W626" s="355"/>
      <c r="X626" s="1137"/>
      <c r="Y626" s="1126"/>
      <c r="Z626" s="1126"/>
      <c r="AA626" s="1126"/>
      <c r="AB626" s="1126"/>
      <c r="AC626" s="1126"/>
      <c r="AD626" s="1126"/>
      <c r="AE626" s="1126"/>
      <c r="AF626" s="1126"/>
      <c r="AG626" s="1156"/>
    </row>
    <row r="627" spans="1:33" ht="39.950000000000003" customHeight="1" outlineLevel="1">
      <c r="A627" s="1997"/>
      <c r="B627" s="1740"/>
      <c r="C627" s="2141"/>
      <c r="D627" s="1997"/>
      <c r="E627" s="1997"/>
      <c r="F627" s="2168"/>
      <c r="G627" s="2169"/>
      <c r="H627" s="2153"/>
      <c r="I627" s="1997"/>
      <c r="J627" s="1740"/>
      <c r="K627" s="1997"/>
      <c r="L627" s="1996" t="s">
        <v>1055</v>
      </c>
      <c r="M627" s="1997"/>
      <c r="N627" s="1997"/>
      <c r="O627" s="1998"/>
      <c r="P627" s="2192"/>
      <c r="Q627" s="1998">
        <f>SUBTOTAL(9,Q626:Q626)</f>
        <v>3262.5</v>
      </c>
      <c r="R627" s="1991"/>
      <c r="S627" s="1126"/>
      <c r="T627" s="1126"/>
      <c r="U627" s="1126"/>
      <c r="V627" s="1127"/>
      <c r="W627" s="1126"/>
      <c r="X627" s="1672"/>
      <c r="Y627" s="1126"/>
      <c r="Z627" s="1126"/>
      <c r="AA627" s="1126"/>
      <c r="AB627" s="1126"/>
      <c r="AC627" s="1126"/>
      <c r="AD627" s="1126"/>
      <c r="AE627" s="1126"/>
      <c r="AF627" s="1126"/>
      <c r="AG627" s="1156"/>
    </row>
    <row r="628" spans="1:33" ht="31.5" outlineLevel="2">
      <c r="A628" s="2203">
        <v>4272</v>
      </c>
      <c r="B628" s="2204" t="s">
        <v>497</v>
      </c>
      <c r="C628" s="2205"/>
      <c r="D628" s="2206"/>
      <c r="E628" s="2203">
        <v>3</v>
      </c>
      <c r="F628" s="2207">
        <v>43240</v>
      </c>
      <c r="G628" s="2163">
        <f>+F628+E628-1</f>
        <v>43242</v>
      </c>
      <c r="H628" s="2203" t="s">
        <v>493</v>
      </c>
      <c r="I628" s="2203" t="s">
        <v>179</v>
      </c>
      <c r="K628" s="2206" t="s">
        <v>457</v>
      </c>
      <c r="L628" s="2208">
        <v>23174</v>
      </c>
      <c r="M628" s="2206"/>
      <c r="N628" s="2203"/>
      <c r="O628" s="2209">
        <v>750</v>
      </c>
      <c r="P628" s="2202">
        <v>10</v>
      </c>
      <c r="Q628" s="2210">
        <f>O628*P628</f>
        <v>7500</v>
      </c>
      <c r="R628" s="1991"/>
      <c r="S628" s="355"/>
      <c r="T628" s="355"/>
      <c r="U628" s="299">
        <v>7500</v>
      </c>
      <c r="V628" s="355"/>
      <c r="W628" s="355"/>
      <c r="X628" s="1137"/>
      <c r="Y628" s="1126"/>
      <c r="Z628" s="1126"/>
      <c r="AA628" s="1126"/>
      <c r="AB628" s="1126"/>
      <c r="AC628" s="1126"/>
      <c r="AD628" s="1126"/>
      <c r="AE628" s="1126"/>
      <c r="AF628" s="1126"/>
      <c r="AG628" s="1156"/>
    </row>
    <row r="629" spans="1:33" ht="39.950000000000003" customHeight="1" outlineLevel="1">
      <c r="A629" s="1997"/>
      <c r="B629" s="1740"/>
      <c r="C629" s="2141"/>
      <c r="D629" s="1997"/>
      <c r="E629" s="1997"/>
      <c r="F629" s="2168"/>
      <c r="G629" s="2169"/>
      <c r="H629" s="1997"/>
      <c r="I629" s="1997"/>
      <c r="J629" s="1740"/>
      <c r="K629" s="1997"/>
      <c r="L629" s="1996" t="s">
        <v>1051</v>
      </c>
      <c r="M629" s="1997"/>
      <c r="N629" s="1997"/>
      <c r="O629" s="1998"/>
      <c r="P629" s="2192"/>
      <c r="Q629" s="1998">
        <f>SUBTOTAL(9,Q628:Q628)</f>
        <v>7500</v>
      </c>
      <c r="R629" s="1859"/>
      <c r="S629" s="1126"/>
      <c r="T629" s="1126"/>
      <c r="U629" s="1127"/>
      <c r="V629" s="1126"/>
      <c r="W629" s="1126"/>
      <c r="X629" s="1672"/>
      <c r="Y629" s="1126"/>
      <c r="Z629" s="1126"/>
      <c r="AA629" s="1126"/>
      <c r="AB629" s="1126"/>
      <c r="AC629" s="1126"/>
      <c r="AD629" s="1126"/>
      <c r="AE629" s="1126"/>
      <c r="AF629" s="1126"/>
      <c r="AG629" s="1156"/>
    </row>
    <row r="630" spans="1:33" ht="39.950000000000003" customHeight="1">
      <c r="A630" s="1997"/>
      <c r="B630" s="1740"/>
      <c r="C630" s="2141"/>
      <c r="D630" s="1997"/>
      <c r="E630" s="1997"/>
      <c r="F630" s="2168"/>
      <c r="G630" s="2169"/>
      <c r="H630" s="1997"/>
      <c r="I630" s="1997"/>
      <c r="J630" s="1740"/>
      <c r="K630" s="1997"/>
      <c r="L630" s="1996" t="s">
        <v>1052</v>
      </c>
      <c r="M630" s="1997"/>
      <c r="N630" s="1997"/>
      <c r="O630" s="1998"/>
      <c r="P630" s="2192"/>
      <c r="Q630" s="1998">
        <f>SUBTOTAL(9,Q626:Q628)</f>
        <v>10762.5</v>
      </c>
      <c r="R630" s="1859"/>
      <c r="S630" s="1126"/>
      <c r="T630" s="1126"/>
      <c r="U630" s="1127"/>
      <c r="V630" s="1126"/>
      <c r="W630" s="1126"/>
      <c r="X630" s="1672"/>
      <c r="Y630" s="1126"/>
      <c r="Z630" s="1126"/>
      <c r="AA630" s="1126"/>
      <c r="AB630" s="1126"/>
      <c r="AC630" s="1126"/>
      <c r="AD630" s="1126"/>
      <c r="AE630" s="1126"/>
      <c r="AF630" s="1126"/>
      <c r="AG630" s="1156"/>
    </row>
    <row r="631" spans="1:33" ht="31.5">
      <c r="A631" s="2179">
        <v>428</v>
      </c>
      <c r="B631" s="2191" t="s">
        <v>498</v>
      </c>
      <c r="C631" s="2211"/>
      <c r="D631" s="2183"/>
      <c r="E631" s="2183"/>
      <c r="F631" s="2183"/>
      <c r="G631" s="2183"/>
      <c r="H631" s="2183"/>
      <c r="I631" s="2183"/>
      <c r="J631" s="2180"/>
      <c r="K631" s="2181"/>
      <c r="L631" s="2182"/>
      <c r="M631" s="2183"/>
      <c r="N631" s="2184"/>
      <c r="O631" s="2185"/>
      <c r="P631" s="2186"/>
      <c r="Q631" s="2187">
        <f>+Q634+Q636+Q638+Q640+Q642</f>
        <v>97473.499999999985</v>
      </c>
      <c r="R631" s="1992"/>
      <c r="S631" s="1395">
        <f t="shared" ref="S631:AF631" si="104">SUM(S632:S641)</f>
        <v>0</v>
      </c>
      <c r="T631" s="1395">
        <f t="shared" si="104"/>
        <v>0</v>
      </c>
      <c r="U631" s="1395">
        <f t="shared" si="104"/>
        <v>56550</v>
      </c>
      <c r="V631" s="1395">
        <f t="shared" si="104"/>
        <v>40923.5</v>
      </c>
      <c r="W631" s="1395">
        <f t="shared" si="104"/>
        <v>0</v>
      </c>
      <c r="X631" s="1395">
        <f t="shared" si="104"/>
        <v>0</v>
      </c>
      <c r="Y631" s="1395">
        <f t="shared" si="104"/>
        <v>0</v>
      </c>
      <c r="Z631" s="361">
        <f t="shared" si="104"/>
        <v>0</v>
      </c>
      <c r="AA631" s="361">
        <f t="shared" si="104"/>
        <v>0</v>
      </c>
      <c r="AB631" s="361">
        <f t="shared" si="104"/>
        <v>0</v>
      </c>
      <c r="AC631" s="361">
        <f t="shared" si="104"/>
        <v>0</v>
      </c>
      <c r="AD631" s="361">
        <f t="shared" si="104"/>
        <v>0</v>
      </c>
      <c r="AE631" s="361">
        <f t="shared" si="104"/>
        <v>0</v>
      </c>
      <c r="AF631" s="361">
        <f t="shared" si="104"/>
        <v>0</v>
      </c>
      <c r="AG631" s="1282">
        <f>SUM(S631:AF631)</f>
        <v>97473.5</v>
      </c>
    </row>
    <row r="632" spans="1:33" ht="16.5" outlineLevel="2" thickBot="1">
      <c r="A632" s="294">
        <v>4281</v>
      </c>
      <c r="B632" s="1897" t="s">
        <v>499</v>
      </c>
      <c r="C632" s="1898" t="s">
        <v>500</v>
      </c>
      <c r="D632" s="1585"/>
      <c r="E632" s="1393">
        <v>50</v>
      </c>
      <c r="F632" s="1899">
        <v>43186</v>
      </c>
      <c r="G632" s="1845">
        <f>+F632+E632-1</f>
        <v>43235</v>
      </c>
      <c r="H632" s="1900" t="s">
        <v>501</v>
      </c>
      <c r="I632" s="1393" t="s">
        <v>169</v>
      </c>
      <c r="J632" s="307" t="s">
        <v>179</v>
      </c>
      <c r="K632" s="326" t="s">
        <v>502</v>
      </c>
      <c r="L632" s="1788">
        <v>2313</v>
      </c>
      <c r="M632" s="326"/>
      <c r="N632" s="1848"/>
      <c r="O632" s="1846">
        <v>907.67376190476193</v>
      </c>
      <c r="P632" s="1970">
        <v>14</v>
      </c>
      <c r="Q632" s="1144">
        <f>+O632*P632</f>
        <v>12707.432666666668</v>
      </c>
      <c r="R632" s="1991"/>
      <c r="S632" s="1848"/>
      <c r="T632" s="355"/>
      <c r="U632" s="1848"/>
      <c r="V632" s="1848">
        <v>12707.432666666668</v>
      </c>
      <c r="W632" s="355"/>
      <c r="X632" s="1137"/>
      <c r="Y632" s="1126"/>
      <c r="Z632" s="1124"/>
      <c r="AA632" s="1124"/>
      <c r="AB632" s="1124"/>
      <c r="AC632" s="1124"/>
      <c r="AD632" s="1124"/>
      <c r="AE632" s="1124"/>
      <c r="AF632" s="1124"/>
      <c r="AG632" s="1156"/>
    </row>
    <row r="633" spans="1:33" ht="16.5" outlineLevel="2" thickTop="1">
      <c r="A633" s="1621">
        <v>4282</v>
      </c>
      <c r="B633" s="2212" t="s">
        <v>503</v>
      </c>
      <c r="C633" s="2213" t="s">
        <v>504</v>
      </c>
      <c r="D633" s="1680"/>
      <c r="E633" s="1621">
        <v>50</v>
      </c>
      <c r="F633" s="2162">
        <v>43186</v>
      </c>
      <c r="G633" s="2163">
        <f>+F633+E633-1</f>
        <v>43235</v>
      </c>
      <c r="H633" s="1620" t="s">
        <v>501</v>
      </c>
      <c r="I633" s="1621" t="s">
        <v>169</v>
      </c>
      <c r="J633" s="1622" t="s">
        <v>179</v>
      </c>
      <c r="K633" s="1680" t="s">
        <v>502</v>
      </c>
      <c r="L633" s="1812">
        <v>2313</v>
      </c>
      <c r="M633" s="1680"/>
      <c r="N633" s="1621"/>
      <c r="O633" s="1856">
        <v>208.73557142857143</v>
      </c>
      <c r="P633" s="1971">
        <f>14*3</f>
        <v>42</v>
      </c>
      <c r="Q633" s="2190">
        <f>+O633*P633</f>
        <v>8766.8940000000002</v>
      </c>
      <c r="R633" s="1991"/>
      <c r="S633" s="1848"/>
      <c r="T633" s="355"/>
      <c r="U633" s="1848"/>
      <c r="V633" s="1848">
        <v>8766.8940000000002</v>
      </c>
      <c r="W633" s="355"/>
      <c r="X633" s="1137"/>
      <c r="Y633" s="1126"/>
      <c r="Z633" s="1124"/>
      <c r="AA633" s="1124"/>
      <c r="AB633" s="1124"/>
      <c r="AC633" s="1124"/>
      <c r="AD633" s="1124"/>
      <c r="AE633" s="1124"/>
      <c r="AF633" s="1124"/>
      <c r="AG633" s="1156"/>
    </row>
    <row r="634" spans="1:33" ht="39.950000000000003" customHeight="1" outlineLevel="1">
      <c r="A634" s="1997"/>
      <c r="B634" s="2196"/>
      <c r="C634" s="2223"/>
      <c r="D634" s="1997"/>
      <c r="E634" s="1997"/>
      <c r="F634" s="2168"/>
      <c r="G634" s="2169"/>
      <c r="H634" s="2153"/>
      <c r="I634" s="1997"/>
      <c r="J634" s="1740"/>
      <c r="K634" s="1997"/>
      <c r="L634" s="1996" t="s">
        <v>1055</v>
      </c>
      <c r="M634" s="1997"/>
      <c r="N634" s="1997"/>
      <c r="O634" s="1998"/>
      <c r="P634" s="2192"/>
      <c r="Q634" s="1998">
        <f>SUBTOTAL(9,Q632:Q633)</f>
        <v>21474.326666666668</v>
      </c>
      <c r="R634" s="1991"/>
      <c r="S634" s="1855"/>
      <c r="T634" s="1126"/>
      <c r="U634" s="1848"/>
      <c r="V634" s="1848"/>
      <c r="W634" s="1126"/>
      <c r="X634" s="1672"/>
      <c r="Y634" s="1126"/>
      <c r="Z634" s="1124"/>
      <c r="AA634" s="1124"/>
      <c r="AB634" s="1124"/>
      <c r="AC634" s="1124"/>
      <c r="AD634" s="1124"/>
      <c r="AE634" s="1124"/>
      <c r="AF634" s="1124"/>
      <c r="AG634" s="1156"/>
    </row>
    <row r="635" spans="1:33" outlineLevel="2">
      <c r="A635" s="2203">
        <v>4284</v>
      </c>
      <c r="B635" s="2214" t="s">
        <v>508</v>
      </c>
      <c r="C635" s="2215" t="s">
        <v>509</v>
      </c>
      <c r="D635" s="2206"/>
      <c r="E635" s="2203">
        <v>50</v>
      </c>
      <c r="F635" s="2207">
        <v>43186</v>
      </c>
      <c r="G635" s="2163">
        <f>+F635+E635-1</f>
        <v>43235</v>
      </c>
      <c r="H635" s="2216" t="s">
        <v>179</v>
      </c>
      <c r="I635" s="2203" t="s">
        <v>169</v>
      </c>
      <c r="J635" s="2217"/>
      <c r="K635" s="2206" t="s">
        <v>510</v>
      </c>
      <c r="L635" s="2208">
        <v>2472</v>
      </c>
      <c r="M635" s="2206"/>
      <c r="N635" s="2203"/>
      <c r="O635" s="2209">
        <v>28275</v>
      </c>
      <c r="P635" s="2202">
        <v>2</v>
      </c>
      <c r="Q635" s="2210">
        <f>O635*P635</f>
        <v>56550</v>
      </c>
      <c r="R635" s="1991"/>
      <c r="S635" s="1855"/>
      <c r="T635" s="355"/>
      <c r="U635" s="1848"/>
      <c r="V635" s="1848">
        <v>17989.099333333332</v>
      </c>
      <c r="W635" s="355"/>
      <c r="X635" s="1137"/>
      <c r="Y635" s="1126"/>
      <c r="Z635" s="1124"/>
      <c r="AA635" s="1124"/>
      <c r="AB635" s="1124"/>
      <c r="AC635" s="1124"/>
      <c r="AD635" s="1124"/>
      <c r="AE635" s="1124"/>
      <c r="AF635" s="1124"/>
      <c r="AG635" s="1156"/>
    </row>
    <row r="636" spans="1:33" ht="39.950000000000003" customHeight="1" outlineLevel="1">
      <c r="A636" s="1997"/>
      <c r="B636" s="1740"/>
      <c r="C636" s="2141"/>
      <c r="D636" s="1997"/>
      <c r="E636" s="1997"/>
      <c r="F636" s="2168"/>
      <c r="G636" s="2169"/>
      <c r="H636" s="2153"/>
      <c r="I636" s="1997"/>
      <c r="J636" s="1740"/>
      <c r="K636" s="1997"/>
      <c r="L636" s="1996" t="s">
        <v>1066</v>
      </c>
      <c r="M636" s="1997"/>
      <c r="N636" s="1997"/>
      <c r="O636" s="1998"/>
      <c r="P636" s="2192"/>
      <c r="Q636" s="1998">
        <f>SUBTOTAL(9,Q635:Q635)</f>
        <v>56550</v>
      </c>
      <c r="R636" s="1991"/>
      <c r="S636" s="1859"/>
      <c r="T636" s="1126"/>
      <c r="U636" s="1848"/>
      <c r="V636" s="1848"/>
      <c r="W636" s="1126"/>
      <c r="X636" s="1672"/>
      <c r="Y636" s="1126"/>
      <c r="Z636" s="1124"/>
      <c r="AA636" s="1124"/>
      <c r="AB636" s="1124"/>
      <c r="AC636" s="1124"/>
      <c r="AD636" s="1124"/>
      <c r="AE636" s="1124"/>
      <c r="AF636" s="1124"/>
      <c r="AG636" s="1156"/>
    </row>
    <row r="637" spans="1:33" ht="31.5" outlineLevel="2">
      <c r="A637" s="2203">
        <v>4283</v>
      </c>
      <c r="B637" s="2218" t="s">
        <v>505</v>
      </c>
      <c r="C637" s="2219" t="s">
        <v>506</v>
      </c>
      <c r="D637" s="2206"/>
      <c r="E637" s="2220">
        <v>15</v>
      </c>
      <c r="F637" s="2207">
        <v>43255</v>
      </c>
      <c r="G637" s="2163">
        <f>+F637+E637-1</f>
        <v>43269</v>
      </c>
      <c r="H637" s="2216" t="s">
        <v>501</v>
      </c>
      <c r="I637" s="2203" t="s">
        <v>179</v>
      </c>
      <c r="J637" s="2217" t="s">
        <v>507</v>
      </c>
      <c r="K637" s="2206" t="s">
        <v>486</v>
      </c>
      <c r="L637" s="2208">
        <v>23172</v>
      </c>
      <c r="M637" s="2206"/>
      <c r="N637" s="2203"/>
      <c r="O637" s="2209">
        <v>33.333333333333336</v>
      </c>
      <c r="P637" s="2202">
        <v>12</v>
      </c>
      <c r="Q637" s="2210">
        <f>O637*P637</f>
        <v>400</v>
      </c>
      <c r="R637" s="1991"/>
      <c r="S637" s="1858"/>
      <c r="T637" s="355"/>
      <c r="U637" s="1848"/>
      <c r="V637" s="1848">
        <v>1060.0740000000001</v>
      </c>
      <c r="W637" s="355"/>
      <c r="X637" s="1137"/>
      <c r="Y637" s="1126"/>
      <c r="Z637" s="1124"/>
      <c r="AA637" s="1124"/>
      <c r="AB637" s="1124"/>
      <c r="AC637" s="1124"/>
      <c r="AD637" s="1124"/>
      <c r="AE637" s="1124"/>
      <c r="AF637" s="1124"/>
      <c r="AG637" s="1156"/>
    </row>
    <row r="638" spans="1:33" ht="39.950000000000003" customHeight="1" outlineLevel="1">
      <c r="A638" s="1997"/>
      <c r="B638" s="2196"/>
      <c r="C638" s="2223"/>
      <c r="D638" s="1997"/>
      <c r="E638" s="2151"/>
      <c r="F638" s="2168"/>
      <c r="G638" s="2169"/>
      <c r="H638" s="2153"/>
      <c r="I638" s="1997"/>
      <c r="J638" s="1740"/>
      <c r="K638" s="1997"/>
      <c r="L638" s="1996" t="s">
        <v>1059</v>
      </c>
      <c r="M638" s="1997"/>
      <c r="N638" s="1997"/>
      <c r="O638" s="1998"/>
      <c r="P638" s="2192"/>
      <c r="Q638" s="1998">
        <f>SUBTOTAL(9,Q637:Q637)</f>
        <v>400</v>
      </c>
      <c r="R638" s="1991"/>
      <c r="S638" s="1859"/>
      <c r="T638" s="1126"/>
      <c r="U638" s="1848"/>
      <c r="V638" s="1848"/>
      <c r="W638" s="1126"/>
      <c r="X638" s="1672"/>
      <c r="Y638" s="1126"/>
      <c r="Z638" s="1124"/>
      <c r="AA638" s="1124"/>
      <c r="AB638" s="1124"/>
      <c r="AC638" s="1124"/>
      <c r="AD638" s="1124"/>
      <c r="AE638" s="1124"/>
      <c r="AF638" s="1124"/>
      <c r="AG638" s="1156"/>
    </row>
    <row r="639" spans="1:33" ht="31.5" outlineLevel="2">
      <c r="A639" s="2203">
        <v>4283</v>
      </c>
      <c r="B639" s="2218" t="s">
        <v>505</v>
      </c>
      <c r="C639" s="2219" t="s">
        <v>506</v>
      </c>
      <c r="D639" s="2206"/>
      <c r="E639" s="2220">
        <v>15</v>
      </c>
      <c r="F639" s="2207">
        <v>43255</v>
      </c>
      <c r="G639" s="2163">
        <f>+F639+E639-1</f>
        <v>43269</v>
      </c>
      <c r="H639" s="2216" t="s">
        <v>501</v>
      </c>
      <c r="I639" s="2203" t="s">
        <v>179</v>
      </c>
      <c r="J639" s="2217" t="s">
        <v>507</v>
      </c>
      <c r="K639" s="2206" t="s">
        <v>320</v>
      </c>
      <c r="L639" s="2208">
        <v>23173</v>
      </c>
      <c r="M639" s="2206"/>
      <c r="N639" s="2203"/>
      <c r="O639" s="2209">
        <v>1060.0740000000001</v>
      </c>
      <c r="P639" s="2202">
        <v>1</v>
      </c>
      <c r="Q639" s="2210">
        <f>O639*P639</f>
        <v>1060.0740000000001</v>
      </c>
      <c r="R639" s="1991"/>
      <c r="S639" s="1859"/>
      <c r="T639" s="355"/>
      <c r="U639" s="1848"/>
      <c r="V639" s="1848">
        <v>400</v>
      </c>
      <c r="W639" s="355"/>
      <c r="X639" s="1137"/>
      <c r="Y639" s="1126"/>
      <c r="Z639" s="1124"/>
      <c r="AA639" s="1124"/>
      <c r="AB639" s="1124"/>
      <c r="AC639" s="1124"/>
      <c r="AD639" s="1124"/>
      <c r="AE639" s="1124"/>
      <c r="AF639" s="1124"/>
      <c r="AG639" s="1156"/>
    </row>
    <row r="640" spans="1:33" ht="39.950000000000003" customHeight="1" outlineLevel="1">
      <c r="A640" s="1997"/>
      <c r="B640" s="2196"/>
      <c r="C640" s="2223"/>
      <c r="D640" s="1997"/>
      <c r="E640" s="2151"/>
      <c r="F640" s="2168"/>
      <c r="G640" s="2169"/>
      <c r="H640" s="2153"/>
      <c r="I640" s="1997"/>
      <c r="J640" s="1740"/>
      <c r="K640" s="1997"/>
      <c r="L640" s="1996" t="s">
        <v>1053</v>
      </c>
      <c r="M640" s="1997"/>
      <c r="N640" s="1997"/>
      <c r="O640" s="1998"/>
      <c r="P640" s="2192"/>
      <c r="Q640" s="1998">
        <f>SUBTOTAL(9,Q639:Q639)</f>
        <v>1060.0740000000001</v>
      </c>
      <c r="R640" s="1991"/>
      <c r="S640" s="1859"/>
      <c r="T640" s="1126"/>
      <c r="U640" s="1848"/>
      <c r="V640" s="1848"/>
      <c r="W640" s="1126"/>
      <c r="X640" s="1672"/>
      <c r="Y640" s="1126"/>
      <c r="Z640" s="1124"/>
      <c r="AA640" s="1124"/>
      <c r="AB640" s="1124"/>
      <c r="AC640" s="1124"/>
      <c r="AD640" s="1124"/>
      <c r="AE640" s="1124"/>
      <c r="AF640" s="1124"/>
      <c r="AG640" s="1156"/>
    </row>
    <row r="641" spans="1:33" ht="31.5" outlineLevel="2">
      <c r="A641" s="2203">
        <v>4283</v>
      </c>
      <c r="B641" s="2221" t="s">
        <v>505</v>
      </c>
      <c r="C641" s="2219" t="s">
        <v>506</v>
      </c>
      <c r="D641" s="2206"/>
      <c r="E641" s="2220">
        <v>15</v>
      </c>
      <c r="F641" s="2207">
        <v>43255</v>
      </c>
      <c r="G641" s="2163">
        <f>+F641+E641-1</f>
        <v>43269</v>
      </c>
      <c r="H641" s="2216" t="s">
        <v>501</v>
      </c>
      <c r="I641" s="2203" t="s">
        <v>179</v>
      </c>
      <c r="J641" s="2217" t="s">
        <v>507</v>
      </c>
      <c r="K641" s="2206" t="s">
        <v>457</v>
      </c>
      <c r="L641" s="2208">
        <v>23174</v>
      </c>
      <c r="M641" s="2206"/>
      <c r="N641" s="2203"/>
      <c r="O641" s="2209">
        <v>17989.099333333332</v>
      </c>
      <c r="P641" s="2202">
        <v>1</v>
      </c>
      <c r="Q641" s="2210">
        <f>O641*P641</f>
        <v>17989.099333333332</v>
      </c>
      <c r="R641" s="1991"/>
      <c r="S641" s="355"/>
      <c r="T641" s="355"/>
      <c r="U641" s="1848">
        <v>56550</v>
      </c>
      <c r="V641" s="1848"/>
      <c r="W641" s="355"/>
      <c r="X641" s="1137"/>
      <c r="Y641" s="1126"/>
      <c r="Z641" s="1124"/>
      <c r="AA641" s="1124"/>
      <c r="AB641" s="1124"/>
      <c r="AC641" s="1124"/>
      <c r="AD641" s="1124"/>
      <c r="AE641" s="1124"/>
      <c r="AF641" s="1124"/>
      <c r="AG641" s="1156"/>
    </row>
    <row r="642" spans="1:33" ht="39.950000000000003" customHeight="1" outlineLevel="1">
      <c r="A642" s="1997"/>
      <c r="B642" s="2196"/>
      <c r="C642" s="2223"/>
      <c r="D642" s="1997"/>
      <c r="E642" s="2151"/>
      <c r="F642" s="2168"/>
      <c r="G642" s="2169"/>
      <c r="H642" s="2153"/>
      <c r="I642" s="1997"/>
      <c r="J642" s="1740"/>
      <c r="K642" s="1997"/>
      <c r="L642" s="1996" t="s">
        <v>1051</v>
      </c>
      <c r="M642" s="1997"/>
      <c r="N642" s="1997"/>
      <c r="O642" s="1998"/>
      <c r="P642" s="2192"/>
      <c r="Q642" s="1998">
        <f>SUBTOTAL(9,Q641:Q641)</f>
        <v>17989.099333333332</v>
      </c>
      <c r="R642" s="1859"/>
      <c r="S642" s="1126"/>
      <c r="T642" s="1126"/>
      <c r="U642" s="1859"/>
      <c r="V642" s="1859"/>
      <c r="W642" s="1126"/>
      <c r="X642" s="1672"/>
      <c r="Y642" s="1126"/>
      <c r="Z642" s="1124"/>
      <c r="AA642" s="1124"/>
      <c r="AB642" s="1124"/>
      <c r="AC642" s="1124"/>
      <c r="AD642" s="1124"/>
      <c r="AE642" s="1124"/>
      <c r="AF642" s="1124"/>
      <c r="AG642" s="1156"/>
    </row>
    <row r="643" spans="1:33" ht="39.950000000000003" customHeight="1">
      <c r="A643" s="1997"/>
      <c r="B643" s="2196"/>
      <c r="C643" s="2223"/>
      <c r="D643" s="1997"/>
      <c r="E643" s="2151"/>
      <c r="F643" s="2168"/>
      <c r="G643" s="2169"/>
      <c r="H643" s="2153"/>
      <c r="I643" s="1997"/>
      <c r="J643" s="1740"/>
      <c r="K643" s="1997"/>
      <c r="L643" s="1996" t="s">
        <v>1052</v>
      </c>
      <c r="M643" s="1997"/>
      <c r="N643" s="1997"/>
      <c r="O643" s="1998"/>
      <c r="P643" s="2192"/>
      <c r="Q643" s="1998">
        <f>SUBTOTAL(9,Q632:Q641)</f>
        <v>97473.499999999985</v>
      </c>
      <c r="R643" s="1859"/>
      <c r="S643" s="1126"/>
      <c r="T643" s="1126"/>
      <c r="U643" s="1859"/>
      <c r="V643" s="1859"/>
      <c r="W643" s="1126"/>
      <c r="X643" s="1672"/>
      <c r="Y643" s="1126"/>
      <c r="Z643" s="1124"/>
      <c r="AA643" s="1124"/>
      <c r="AB643" s="1124"/>
      <c r="AC643" s="1124"/>
      <c r="AD643" s="1124"/>
      <c r="AE643" s="1124"/>
      <c r="AF643" s="1124"/>
      <c r="AG643" s="1156"/>
    </row>
    <row r="644" spans="1:33" ht="30" customHeight="1">
      <c r="A644" s="2118" t="s">
        <v>278</v>
      </c>
      <c r="B644" s="2119"/>
      <c r="C644" s="2120"/>
      <c r="D644" s="2121"/>
      <c r="E644" s="2121"/>
      <c r="F644" s="2121"/>
      <c r="G644" s="2121"/>
      <c r="H644" s="2121"/>
      <c r="I644" s="2121"/>
      <c r="J644" s="2122"/>
      <c r="K644" s="2118"/>
      <c r="L644" s="2123"/>
      <c r="M644" s="2121"/>
      <c r="N644" s="2124"/>
      <c r="O644" s="2222"/>
      <c r="P644" s="2126"/>
      <c r="Q644" s="2125">
        <f>Q645+Q651</f>
        <v>108838</v>
      </c>
      <c r="R644" s="1713">
        <f>+'[7]Compil Costing PPA 3 millions'!F17</f>
        <v>108845.33</v>
      </c>
      <c r="S644" s="1272">
        <f t="shared" ref="S644:AG644" si="105">S645+S651</f>
        <v>0</v>
      </c>
      <c r="T644" s="1272">
        <f t="shared" si="105"/>
        <v>9674</v>
      </c>
      <c r="U644" s="1272">
        <f t="shared" si="105"/>
        <v>2250</v>
      </c>
      <c r="V644" s="1272">
        <f t="shared" si="105"/>
        <v>78838</v>
      </c>
      <c r="W644" s="1272">
        <f t="shared" si="105"/>
        <v>18076</v>
      </c>
      <c r="X644" s="1272">
        <f t="shared" si="105"/>
        <v>0</v>
      </c>
      <c r="Y644" s="1272">
        <f t="shared" si="105"/>
        <v>0</v>
      </c>
      <c r="Z644" s="276">
        <f t="shared" si="105"/>
        <v>0</v>
      </c>
      <c r="AA644" s="276">
        <f t="shared" si="105"/>
        <v>0</v>
      </c>
      <c r="AB644" s="276">
        <f t="shared" si="105"/>
        <v>0</v>
      </c>
      <c r="AC644" s="276">
        <f t="shared" si="105"/>
        <v>0</v>
      </c>
      <c r="AD644" s="276">
        <f t="shared" si="105"/>
        <v>0</v>
      </c>
      <c r="AE644" s="276">
        <f t="shared" si="105"/>
        <v>0</v>
      </c>
      <c r="AF644" s="276">
        <f t="shared" si="105"/>
        <v>0</v>
      </c>
      <c r="AG644" s="1272">
        <f t="shared" si="105"/>
        <v>108838</v>
      </c>
    </row>
    <row r="645" spans="1:33" ht="30" customHeight="1">
      <c r="A645" s="1275">
        <v>431</v>
      </c>
      <c r="B645" s="359" t="s">
        <v>369</v>
      </c>
      <c r="C645" s="1021"/>
      <c r="D645" s="1280"/>
      <c r="E645" s="1280"/>
      <c r="F645" s="1280"/>
      <c r="G645" s="1280"/>
      <c r="H645" s="1280"/>
      <c r="I645" s="1280"/>
      <c r="J645" s="283"/>
      <c r="K645" s="1278"/>
      <c r="L645" s="1279"/>
      <c r="M645" s="1280"/>
      <c r="N645" s="1277"/>
      <c r="O645" s="1281"/>
      <c r="P645" s="1949"/>
      <c r="Q645" s="1343">
        <f>+Q647+Q649</f>
        <v>9674</v>
      </c>
      <c r="R645" s="1716"/>
      <c r="S645" s="1395">
        <f t="shared" ref="S645:AF645" si="106">SUM(S646:S648)</f>
        <v>0</v>
      </c>
      <c r="T645" s="1395">
        <f t="shared" si="106"/>
        <v>9674</v>
      </c>
      <c r="U645" s="1395">
        <f t="shared" si="106"/>
        <v>0</v>
      </c>
      <c r="V645" s="1395">
        <f t="shared" si="106"/>
        <v>0</v>
      </c>
      <c r="W645" s="1395">
        <f t="shared" si="106"/>
        <v>0</v>
      </c>
      <c r="X645" s="1395">
        <f t="shared" si="106"/>
        <v>0</v>
      </c>
      <c r="Y645" s="1395">
        <f t="shared" si="106"/>
        <v>0</v>
      </c>
      <c r="Z645" s="361">
        <f t="shared" si="106"/>
        <v>0</v>
      </c>
      <c r="AA645" s="361">
        <f t="shared" si="106"/>
        <v>0</v>
      </c>
      <c r="AB645" s="361">
        <f t="shared" si="106"/>
        <v>0</v>
      </c>
      <c r="AC645" s="361">
        <f t="shared" si="106"/>
        <v>0</v>
      </c>
      <c r="AD645" s="361">
        <f t="shared" si="106"/>
        <v>0</v>
      </c>
      <c r="AE645" s="361">
        <f t="shared" si="106"/>
        <v>0</v>
      </c>
      <c r="AF645" s="361">
        <f t="shared" si="106"/>
        <v>0</v>
      </c>
      <c r="AG645" s="1282">
        <f>SUM(S645:AF645)</f>
        <v>9674</v>
      </c>
    </row>
    <row r="646" spans="1:33" ht="63" outlineLevel="2">
      <c r="A646" s="294">
        <v>4311</v>
      </c>
      <c r="B646" s="820" t="s">
        <v>370</v>
      </c>
      <c r="C646" s="824" t="s">
        <v>371</v>
      </c>
      <c r="D646" s="326"/>
      <c r="E646" s="294">
        <f>3+30</f>
        <v>33</v>
      </c>
      <c r="F646" s="293">
        <f>G646-E646</f>
        <v>43184</v>
      </c>
      <c r="G646" s="293">
        <v>43217</v>
      </c>
      <c r="H646" s="293" t="s">
        <v>372</v>
      </c>
      <c r="I646" s="294" t="s">
        <v>169</v>
      </c>
      <c r="J646" s="307" t="s">
        <v>373</v>
      </c>
      <c r="K646" s="326" t="s">
        <v>374</v>
      </c>
      <c r="L646" s="1237">
        <v>23173</v>
      </c>
      <c r="M646" s="326"/>
      <c r="N646" s="294"/>
      <c r="O646" s="354">
        <v>214</v>
      </c>
      <c r="P646" s="1938">
        <v>1</v>
      </c>
      <c r="Q646" s="1126">
        <f>O646*P646</f>
        <v>214</v>
      </c>
      <c r="R646" s="1714"/>
      <c r="S646" s="355"/>
      <c r="T646" s="299">
        <f>100%*Q646</f>
        <v>214</v>
      </c>
      <c r="U646" s="355"/>
      <c r="V646" s="355"/>
      <c r="W646" s="355"/>
      <c r="X646" s="1137"/>
      <c r="Y646" s="1126"/>
      <c r="Z646" s="1199"/>
      <c r="AA646" s="1124"/>
      <c r="AB646" s="1124"/>
      <c r="AC646" s="1124"/>
      <c r="AD646" s="1124"/>
      <c r="AE646" s="1124"/>
      <c r="AF646" s="1124"/>
      <c r="AG646" s="1156"/>
    </row>
    <row r="647" spans="1:33" ht="39.950000000000003" customHeight="1" outlineLevel="1">
      <c r="A647" s="1997"/>
      <c r="B647" s="1740"/>
      <c r="C647" s="2141"/>
      <c r="D647" s="1997"/>
      <c r="E647" s="1997"/>
      <c r="F647" s="2153"/>
      <c r="G647" s="2153"/>
      <c r="H647" s="2153"/>
      <c r="I647" s="1997"/>
      <c r="J647" s="1740"/>
      <c r="K647" s="1997"/>
      <c r="L647" s="1748" t="s">
        <v>1053</v>
      </c>
      <c r="M647" s="1997"/>
      <c r="N647" s="1997"/>
      <c r="O647" s="1998"/>
      <c r="P647" s="1997"/>
      <c r="Q647" s="1998">
        <f>SUBTOTAL(9,Q646:Q646)</f>
        <v>214</v>
      </c>
      <c r="R647" s="1714"/>
      <c r="S647" s="1126"/>
      <c r="T647" s="1127"/>
      <c r="U647" s="1126"/>
      <c r="V647" s="1126"/>
      <c r="W647" s="1126"/>
      <c r="X647" s="1672"/>
      <c r="Y647" s="1126"/>
      <c r="Z647" s="1199"/>
      <c r="AA647" s="1124"/>
      <c r="AB647" s="1124"/>
      <c r="AC647" s="1124"/>
      <c r="AD647" s="1124"/>
      <c r="AE647" s="1124"/>
      <c r="AF647" s="1124"/>
      <c r="AG647" s="1156"/>
    </row>
    <row r="648" spans="1:33" ht="63" outlineLevel="2">
      <c r="A648" s="294">
        <v>4311</v>
      </c>
      <c r="B648" s="820" t="s">
        <v>370</v>
      </c>
      <c r="C648" s="824" t="s">
        <v>371</v>
      </c>
      <c r="D648" s="326"/>
      <c r="E648" s="294">
        <v>3</v>
      </c>
      <c r="F648" s="293">
        <f>G648-E648</f>
        <v>43214</v>
      </c>
      <c r="G648" s="293">
        <v>43217</v>
      </c>
      <c r="H648" s="293" t="s">
        <v>372</v>
      </c>
      <c r="I648" s="294" t="s">
        <v>180</v>
      </c>
      <c r="J648" s="307" t="s">
        <v>373</v>
      </c>
      <c r="K648" s="326" t="s">
        <v>375</v>
      </c>
      <c r="L648" s="1237">
        <v>23174</v>
      </c>
      <c r="M648" s="326"/>
      <c r="N648" s="294"/>
      <c r="O648" s="354">
        <v>215</v>
      </c>
      <c r="P648" s="1938">
        <v>44</v>
      </c>
      <c r="Q648" s="1126">
        <f>O648*P648</f>
        <v>9460</v>
      </c>
      <c r="R648" s="1714"/>
      <c r="S648" s="355"/>
      <c r="T648" s="299">
        <f>100%*Q648</f>
        <v>9460</v>
      </c>
      <c r="U648" s="355"/>
      <c r="V648" s="355"/>
      <c r="W648" s="355"/>
      <c r="X648" s="1137"/>
      <c r="Y648" s="1126"/>
      <c r="Z648" s="1199"/>
      <c r="AA648" s="1124"/>
      <c r="AB648" s="1124"/>
      <c r="AC648" s="1124"/>
      <c r="AD648" s="1124"/>
      <c r="AE648" s="1124"/>
      <c r="AF648" s="1124"/>
      <c r="AG648" s="1156"/>
    </row>
    <row r="649" spans="1:33" ht="39.950000000000003" customHeight="1" outlineLevel="1">
      <c r="A649" s="1997"/>
      <c r="B649" s="1740"/>
      <c r="C649" s="2141"/>
      <c r="D649" s="1997"/>
      <c r="E649" s="1997"/>
      <c r="F649" s="2153"/>
      <c r="G649" s="2153"/>
      <c r="H649" s="2153"/>
      <c r="I649" s="1997"/>
      <c r="J649" s="1740"/>
      <c r="K649" s="1997"/>
      <c r="L649" s="1748" t="s">
        <v>1051</v>
      </c>
      <c r="M649" s="1997"/>
      <c r="N649" s="1997"/>
      <c r="O649" s="1998"/>
      <c r="P649" s="1997"/>
      <c r="Q649" s="1998">
        <f>SUBTOTAL(9,Q648:Q648)</f>
        <v>9460</v>
      </c>
      <c r="R649" s="1714"/>
      <c r="S649" s="1126"/>
      <c r="T649" s="1127"/>
      <c r="U649" s="1126"/>
      <c r="V649" s="1126"/>
      <c r="W649" s="1126"/>
      <c r="X649" s="1672"/>
      <c r="Y649" s="1126"/>
      <c r="Z649" s="1199"/>
      <c r="AA649" s="1124"/>
      <c r="AB649" s="1124"/>
      <c r="AC649" s="1124"/>
      <c r="AD649" s="1124"/>
      <c r="AE649" s="1124"/>
      <c r="AF649" s="1124"/>
      <c r="AG649" s="1156"/>
    </row>
    <row r="650" spans="1:33" ht="39.950000000000003" customHeight="1">
      <c r="A650" s="1997"/>
      <c r="B650" s="1740"/>
      <c r="C650" s="2141"/>
      <c r="D650" s="1997"/>
      <c r="E650" s="1997"/>
      <c r="F650" s="2153"/>
      <c r="G650" s="2153"/>
      <c r="H650" s="2153"/>
      <c r="I650" s="1997"/>
      <c r="J650" s="1740"/>
      <c r="K650" s="1997"/>
      <c r="L650" s="1748" t="s">
        <v>1052</v>
      </c>
      <c r="M650" s="1997"/>
      <c r="N650" s="1997"/>
      <c r="O650" s="1998"/>
      <c r="P650" s="1997"/>
      <c r="Q650" s="1998">
        <f>SUBTOTAL(9,Q646:Q648)</f>
        <v>9674</v>
      </c>
      <c r="R650" s="1714"/>
      <c r="S650" s="1126"/>
      <c r="T650" s="1127"/>
      <c r="U650" s="1126"/>
      <c r="V650" s="1126"/>
      <c r="W650" s="1126"/>
      <c r="X650" s="1672"/>
      <c r="Y650" s="1126"/>
      <c r="Z650" s="1199"/>
      <c r="AA650" s="1124"/>
      <c r="AB650" s="1124"/>
      <c r="AC650" s="1124"/>
      <c r="AD650" s="1124"/>
      <c r="AE650" s="1124"/>
      <c r="AF650" s="1124"/>
      <c r="AG650" s="1156"/>
    </row>
    <row r="651" spans="1:33" ht="30" customHeight="1">
      <c r="A651" s="1275">
        <v>432</v>
      </c>
      <c r="B651" s="359" t="s">
        <v>376</v>
      </c>
      <c r="C651" s="1021"/>
      <c r="D651" s="1280"/>
      <c r="E651" s="1280"/>
      <c r="F651" s="1280"/>
      <c r="G651" s="1280"/>
      <c r="H651" s="1280"/>
      <c r="I651" s="1280"/>
      <c r="J651" s="283"/>
      <c r="K651" s="1278"/>
      <c r="L651" s="1279"/>
      <c r="M651" s="1280"/>
      <c r="N651" s="1277"/>
      <c r="O651" s="1281"/>
      <c r="P651" s="1949"/>
      <c r="Q651" s="1343">
        <f>+Q654+Q660+Q664</f>
        <v>99164</v>
      </c>
      <c r="R651" s="1716"/>
      <c r="S651" s="1395">
        <f t="shared" ref="S651:AF651" si="107">SUM(S652:S663)</f>
        <v>0</v>
      </c>
      <c r="T651" s="1395">
        <f t="shared" si="107"/>
        <v>0</v>
      </c>
      <c r="U651" s="1395">
        <f t="shared" si="107"/>
        <v>2250</v>
      </c>
      <c r="V651" s="1395">
        <f t="shared" si="107"/>
        <v>78838</v>
      </c>
      <c r="W651" s="1395">
        <f t="shared" si="107"/>
        <v>18076</v>
      </c>
      <c r="X651" s="1395">
        <f t="shared" si="107"/>
        <v>0</v>
      </c>
      <c r="Y651" s="1395">
        <f t="shared" si="107"/>
        <v>0</v>
      </c>
      <c r="Z651" s="361">
        <f t="shared" si="107"/>
        <v>0</v>
      </c>
      <c r="AA651" s="361">
        <f t="shared" si="107"/>
        <v>0</v>
      </c>
      <c r="AB651" s="361">
        <f t="shared" si="107"/>
        <v>0</v>
      </c>
      <c r="AC651" s="361">
        <f t="shared" si="107"/>
        <v>0</v>
      </c>
      <c r="AD651" s="361">
        <f t="shared" si="107"/>
        <v>0</v>
      </c>
      <c r="AE651" s="361">
        <f t="shared" si="107"/>
        <v>0</v>
      </c>
      <c r="AF651" s="361">
        <f t="shared" si="107"/>
        <v>0</v>
      </c>
      <c r="AG651" s="1282">
        <f>SUM(S651:AF651)</f>
        <v>99164</v>
      </c>
    </row>
    <row r="652" spans="1:33" ht="31.5" outlineLevel="2">
      <c r="A652" s="294">
        <v>4321</v>
      </c>
      <c r="B652" s="820" t="s">
        <v>377</v>
      </c>
      <c r="C652" s="1093" t="s">
        <v>1014</v>
      </c>
      <c r="D652" s="326"/>
      <c r="E652" s="294">
        <f>60+15</f>
        <v>75</v>
      </c>
      <c r="F652" s="293">
        <f>G652-E652</f>
        <v>43188</v>
      </c>
      <c r="G652" s="293">
        <v>43263</v>
      </c>
      <c r="H652" s="293"/>
      <c r="I652" s="294" t="s">
        <v>169</v>
      </c>
      <c r="J652" s="307" t="s">
        <v>180</v>
      </c>
      <c r="K652" s="326" t="s">
        <v>365</v>
      </c>
      <c r="L652" s="1237">
        <v>2313</v>
      </c>
      <c r="M652" s="326"/>
      <c r="N652" s="294"/>
      <c r="O652" s="354">
        <v>11250</v>
      </c>
      <c r="P652" s="1938">
        <v>1</v>
      </c>
      <c r="Q652" s="1126">
        <f>O652*P652</f>
        <v>11250</v>
      </c>
      <c r="R652" s="1714"/>
      <c r="S652" s="299"/>
      <c r="T652" s="299"/>
      <c r="U652" s="299">
        <f>20%*Q652</f>
        <v>2250</v>
      </c>
      <c r="V652" s="299">
        <f>40%*Q652</f>
        <v>4500</v>
      </c>
      <c r="W652" s="299">
        <f>40%*Q652</f>
        <v>4500</v>
      </c>
      <c r="X652" s="1142"/>
      <c r="Y652" s="1127"/>
      <c r="Z652" s="1199"/>
      <c r="AA652" s="1124"/>
      <c r="AB652" s="1124"/>
      <c r="AC652" s="1124"/>
      <c r="AD652" s="1124"/>
      <c r="AE652" s="1124"/>
      <c r="AF652" s="1124"/>
      <c r="AG652" s="1164"/>
    </row>
    <row r="653" spans="1:33" ht="31.5" outlineLevel="2">
      <c r="A653" s="294">
        <v>4322</v>
      </c>
      <c r="B653" s="820" t="s">
        <v>379</v>
      </c>
      <c r="C653" s="1093" t="s">
        <v>1015</v>
      </c>
      <c r="D653" s="326"/>
      <c r="E653" s="294">
        <v>20</v>
      </c>
      <c r="F653" s="293">
        <f>G653-E653</f>
        <v>43266</v>
      </c>
      <c r="G653" s="293">
        <v>43286</v>
      </c>
      <c r="H653" s="293" t="s">
        <v>372</v>
      </c>
      <c r="I653" s="294" t="s">
        <v>169</v>
      </c>
      <c r="J653" s="307" t="s">
        <v>180</v>
      </c>
      <c r="K653" s="326" t="s">
        <v>365</v>
      </c>
      <c r="L653" s="1237">
        <v>2313</v>
      </c>
      <c r="M653" s="326"/>
      <c r="N653" s="294"/>
      <c r="O653" s="354">
        <v>94</v>
      </c>
      <c r="P653" s="1938">
        <v>60</v>
      </c>
      <c r="Q653" s="1126">
        <f>O653*P653</f>
        <v>5640</v>
      </c>
      <c r="R653" s="1714"/>
      <c r="S653" s="299"/>
      <c r="T653" s="299"/>
      <c r="U653" s="299"/>
      <c r="V653" s="299">
        <f>100%*Q653</f>
        <v>5640</v>
      </c>
      <c r="W653" s="299"/>
      <c r="X653" s="1142"/>
      <c r="Y653" s="1127"/>
      <c r="Z653" s="1199"/>
      <c r="AA653" s="1124"/>
      <c r="AB653" s="1124"/>
      <c r="AC653" s="1124"/>
      <c r="AD653" s="1124"/>
      <c r="AE653" s="1124"/>
      <c r="AF653" s="1124"/>
      <c r="AG653" s="1164"/>
    </row>
    <row r="654" spans="1:33" ht="39.950000000000003" customHeight="1" outlineLevel="1">
      <c r="A654" s="1997"/>
      <c r="B654" s="1740"/>
      <c r="C654" s="2158"/>
      <c r="D654" s="1997"/>
      <c r="E654" s="1997"/>
      <c r="F654" s="2153"/>
      <c r="G654" s="2153"/>
      <c r="H654" s="2153"/>
      <c r="I654" s="1997"/>
      <c r="J654" s="1740"/>
      <c r="K654" s="1997"/>
      <c r="L654" s="1748" t="s">
        <v>1055</v>
      </c>
      <c r="M654" s="1997"/>
      <c r="N654" s="1997"/>
      <c r="O654" s="1998"/>
      <c r="P654" s="1997"/>
      <c r="Q654" s="1998">
        <f>SUBTOTAL(9,Q652:Q653)</f>
        <v>16890</v>
      </c>
      <c r="R654" s="1714"/>
      <c r="S654" s="1127"/>
      <c r="T654" s="1127"/>
      <c r="U654" s="1127"/>
      <c r="V654" s="1127"/>
      <c r="W654" s="1127"/>
      <c r="X654" s="2149"/>
      <c r="Y654" s="1127"/>
      <c r="Z654" s="1199"/>
      <c r="AA654" s="1124"/>
      <c r="AB654" s="1124"/>
      <c r="AC654" s="1124"/>
      <c r="AD654" s="1124"/>
      <c r="AE654" s="1124"/>
      <c r="AF654" s="1124"/>
      <c r="AG654" s="1164"/>
    </row>
    <row r="655" spans="1:33" outlineLevel="2">
      <c r="A655" s="294">
        <v>4323</v>
      </c>
      <c r="B655" s="820" t="s">
        <v>1007</v>
      </c>
      <c r="C655" s="1093" t="s">
        <v>382</v>
      </c>
      <c r="D655" s="326"/>
      <c r="E655" s="294">
        <f>3+30</f>
        <v>33</v>
      </c>
      <c r="F655" s="293">
        <f>G655-E655</f>
        <v>43263</v>
      </c>
      <c r="G655" s="293">
        <v>43296</v>
      </c>
      <c r="H655" s="293" t="s">
        <v>372</v>
      </c>
      <c r="I655" s="294" t="s">
        <v>169</v>
      </c>
      <c r="J655" s="307"/>
      <c r="K655" s="326" t="s">
        <v>384</v>
      </c>
      <c r="L655" s="1237">
        <v>23173</v>
      </c>
      <c r="M655" s="326"/>
      <c r="N655" s="294"/>
      <c r="O655" s="354">
        <v>147</v>
      </c>
      <c r="P655" s="1938">
        <v>6</v>
      </c>
      <c r="Q655" s="1126">
        <f>O655*P655</f>
        <v>882</v>
      </c>
      <c r="R655" s="1714"/>
      <c r="S655" s="299"/>
      <c r="T655" s="299"/>
      <c r="U655" s="299"/>
      <c r="V655" s="299"/>
      <c r="W655" s="299">
        <f>100%*Q655</f>
        <v>882</v>
      </c>
      <c r="X655" s="1142"/>
      <c r="Y655" s="1127"/>
      <c r="Z655" s="1199"/>
      <c r="AA655" s="1124"/>
      <c r="AB655" s="1124"/>
      <c r="AC655" s="1124"/>
      <c r="AD655" s="1124"/>
      <c r="AE655" s="1124"/>
      <c r="AF655" s="1124"/>
      <c r="AG655" s="1164"/>
    </row>
    <row r="656" spans="1:33" ht="78.75" outlineLevel="2">
      <c r="A656" s="294">
        <v>4324</v>
      </c>
      <c r="B656" s="820" t="s">
        <v>400</v>
      </c>
      <c r="C656" s="824" t="s">
        <v>401</v>
      </c>
      <c r="D656" s="326"/>
      <c r="E656" s="294">
        <f>45+10</f>
        <v>55</v>
      </c>
      <c r="F656" s="293">
        <f>G656-E656</f>
        <v>43211</v>
      </c>
      <c r="G656" s="293">
        <v>43266</v>
      </c>
      <c r="H656" s="293" t="s">
        <v>390</v>
      </c>
      <c r="I656" s="294" t="s">
        <v>169</v>
      </c>
      <c r="J656" s="307"/>
      <c r="K656" s="326" t="s">
        <v>384</v>
      </c>
      <c r="L656" s="1237">
        <v>23173</v>
      </c>
      <c r="M656" s="326"/>
      <c r="N656" s="294"/>
      <c r="O656" s="354">
        <v>577</v>
      </c>
      <c r="P656" s="1938">
        <v>22</v>
      </c>
      <c r="Q656" s="1126">
        <f>O656*P656</f>
        <v>12694</v>
      </c>
      <c r="R656" s="1714"/>
      <c r="S656" s="299"/>
      <c r="T656" s="299"/>
      <c r="U656" s="299"/>
      <c r="V656" s="299"/>
      <c r="W656" s="299">
        <f>100%*Q656</f>
        <v>12694</v>
      </c>
      <c r="X656" s="1142"/>
      <c r="Y656" s="1127"/>
      <c r="Z656" s="1199"/>
      <c r="AA656" s="1124"/>
      <c r="AB656" s="1124"/>
      <c r="AC656" s="1124"/>
      <c r="AD656" s="1124"/>
      <c r="AE656" s="1124"/>
      <c r="AF656" s="1124"/>
      <c r="AG656" s="1164"/>
    </row>
    <row r="657" spans="1:33" ht="47.25" outlineLevel="2">
      <c r="A657" s="294">
        <v>4324</v>
      </c>
      <c r="B657" s="820" t="s">
        <v>385</v>
      </c>
      <c r="C657" s="1093" t="s">
        <v>386</v>
      </c>
      <c r="D657" s="326"/>
      <c r="E657" s="294">
        <f>10+45</f>
        <v>55</v>
      </c>
      <c r="F657" s="293">
        <f>G657-E657</f>
        <v>43211</v>
      </c>
      <c r="G657" s="293">
        <v>43266</v>
      </c>
      <c r="H657" s="293" t="s">
        <v>390</v>
      </c>
      <c r="I657" s="294" t="s">
        <v>169</v>
      </c>
      <c r="J657" s="307" t="s">
        <v>387</v>
      </c>
      <c r="K657" s="820" t="s">
        <v>388</v>
      </c>
      <c r="L657" s="1237">
        <v>23173</v>
      </c>
      <c r="M657" s="326"/>
      <c r="N657" s="294"/>
      <c r="O657" s="354">
        <v>469</v>
      </c>
      <c r="P657" s="1938">
        <v>22</v>
      </c>
      <c r="Q657" s="1126">
        <f>O657*P657</f>
        <v>10318</v>
      </c>
      <c r="R657" s="1714"/>
      <c r="S657" s="299"/>
      <c r="T657" s="299"/>
      <c r="U657" s="299"/>
      <c r="V657" s="299">
        <f>100%*Q657</f>
        <v>10318</v>
      </c>
      <c r="W657" s="299"/>
      <c r="X657" s="1142"/>
      <c r="Y657" s="1127"/>
      <c r="Z657" s="1199"/>
      <c r="AA657" s="1124"/>
      <c r="AB657" s="1124"/>
      <c r="AC657" s="1124"/>
      <c r="AD657" s="1124"/>
      <c r="AE657" s="1124"/>
      <c r="AF657" s="1124"/>
      <c r="AG657" s="1164"/>
    </row>
    <row r="658" spans="1:33" ht="47.25" outlineLevel="2">
      <c r="A658" s="294">
        <v>4324</v>
      </c>
      <c r="B658" s="820" t="s">
        <v>385</v>
      </c>
      <c r="C658" s="1093" t="s">
        <v>386</v>
      </c>
      <c r="D658" s="326"/>
      <c r="E658" s="294">
        <f>10+45</f>
        <v>55</v>
      </c>
      <c r="F658" s="293">
        <f>G658-E658</f>
        <v>43211</v>
      </c>
      <c r="G658" s="293">
        <v>43266</v>
      </c>
      <c r="H658" s="293" t="s">
        <v>390</v>
      </c>
      <c r="I658" s="294" t="s">
        <v>169</v>
      </c>
      <c r="J658" s="307" t="s">
        <v>387</v>
      </c>
      <c r="K658" s="326" t="s">
        <v>1049</v>
      </c>
      <c r="L658" s="1237">
        <v>23173</v>
      </c>
      <c r="M658" s="326"/>
      <c r="N658" s="294"/>
      <c r="O658" s="354">
        <v>313</v>
      </c>
      <c r="P658" s="1938">
        <v>22</v>
      </c>
      <c r="Q658" s="1126">
        <f>O658*P658</f>
        <v>6886</v>
      </c>
      <c r="R658" s="1714"/>
      <c r="S658" s="299"/>
      <c r="T658" s="299"/>
      <c r="U658" s="299"/>
      <c r="V658" s="299">
        <f t="shared" ref="V658:V663" si="108">100%*Q658</f>
        <v>6886</v>
      </c>
      <c r="W658" s="299"/>
      <c r="X658" s="1142"/>
      <c r="Y658" s="1127"/>
      <c r="Z658" s="1199"/>
      <c r="AA658" s="1124"/>
      <c r="AB658" s="1124"/>
      <c r="AC658" s="1124"/>
      <c r="AD658" s="1124"/>
      <c r="AE658" s="1124"/>
      <c r="AF658" s="1124"/>
      <c r="AG658" s="1164"/>
    </row>
    <row r="659" spans="1:33" outlineLevel="2">
      <c r="A659" s="294">
        <v>4324</v>
      </c>
      <c r="B659" s="291" t="s">
        <v>402</v>
      </c>
      <c r="C659" s="1093" t="s">
        <v>403</v>
      </c>
      <c r="D659" s="326"/>
      <c r="E659" s="294">
        <f>3+30</f>
        <v>33</v>
      </c>
      <c r="F659" s="293">
        <f>G659-E659</f>
        <v>43233</v>
      </c>
      <c r="G659" s="293">
        <v>43266</v>
      </c>
      <c r="H659" s="293" t="s">
        <v>372</v>
      </c>
      <c r="I659" s="294" t="s">
        <v>180</v>
      </c>
      <c r="J659" s="307"/>
      <c r="K659" s="326" t="s">
        <v>384</v>
      </c>
      <c r="L659" s="1237">
        <v>23173</v>
      </c>
      <c r="M659" s="326"/>
      <c r="N659" s="294"/>
      <c r="O659" s="354">
        <v>47.5</v>
      </c>
      <c r="P659" s="1938">
        <v>64</v>
      </c>
      <c r="Q659" s="1126">
        <f>O659*P659</f>
        <v>3040</v>
      </c>
      <c r="R659" s="1714"/>
      <c r="S659" s="299"/>
      <c r="T659" s="299"/>
      <c r="U659" s="299"/>
      <c r="V659" s="299">
        <f t="shared" si="108"/>
        <v>3040</v>
      </c>
      <c r="W659" s="299"/>
      <c r="X659" s="1142"/>
      <c r="Y659" s="1127"/>
      <c r="Z659" s="1199"/>
      <c r="AA659" s="1124"/>
      <c r="AB659" s="1124"/>
      <c r="AC659" s="1124"/>
      <c r="AD659" s="1124"/>
      <c r="AE659" s="1124"/>
      <c r="AF659" s="1124"/>
      <c r="AG659" s="1164"/>
    </row>
    <row r="660" spans="1:33" ht="39.950000000000003" customHeight="1" outlineLevel="1">
      <c r="A660" s="1997"/>
      <c r="B660" s="1740"/>
      <c r="C660" s="2158"/>
      <c r="D660" s="1997"/>
      <c r="E660" s="1997"/>
      <c r="F660" s="2153"/>
      <c r="G660" s="2153"/>
      <c r="H660" s="2153"/>
      <c r="I660" s="1997"/>
      <c r="J660" s="1740"/>
      <c r="K660" s="1997"/>
      <c r="L660" s="1748" t="s">
        <v>1053</v>
      </c>
      <c r="M660" s="1997"/>
      <c r="N660" s="1997"/>
      <c r="O660" s="1998"/>
      <c r="P660" s="1997"/>
      <c r="Q660" s="1998">
        <f>SUBTOTAL(9,Q655:Q659)</f>
        <v>33820</v>
      </c>
      <c r="R660" s="1714"/>
      <c r="S660" s="1127"/>
      <c r="T660" s="1127"/>
      <c r="U660" s="1127"/>
      <c r="V660" s="1127"/>
      <c r="W660" s="1127"/>
      <c r="X660" s="2149"/>
      <c r="Y660" s="1127"/>
      <c r="Z660" s="1199"/>
      <c r="AA660" s="1124"/>
      <c r="AB660" s="1124"/>
      <c r="AC660" s="1124"/>
      <c r="AD660" s="1124"/>
      <c r="AE660" s="1124"/>
      <c r="AF660" s="1124"/>
      <c r="AG660" s="1164"/>
    </row>
    <row r="661" spans="1:33" outlineLevel="2">
      <c r="A661" s="294">
        <v>4323</v>
      </c>
      <c r="B661" s="820" t="s">
        <v>1007</v>
      </c>
      <c r="C661" s="1093" t="s">
        <v>382</v>
      </c>
      <c r="D661" s="326"/>
      <c r="E661" s="294">
        <v>3</v>
      </c>
      <c r="F661" s="293">
        <f>G661-E661</f>
        <v>43293</v>
      </c>
      <c r="G661" s="293">
        <v>43296</v>
      </c>
      <c r="H661" s="293" t="s">
        <v>372</v>
      </c>
      <c r="I661" s="294" t="s">
        <v>180</v>
      </c>
      <c r="J661" s="307"/>
      <c r="K661" s="326" t="s">
        <v>383</v>
      </c>
      <c r="L661" s="1237">
        <v>23174</v>
      </c>
      <c r="M661" s="326"/>
      <c r="N661" s="294"/>
      <c r="O661" s="354">
        <v>142</v>
      </c>
      <c r="P661" s="1938">
        <v>144</v>
      </c>
      <c r="Q661" s="1126">
        <f>O661*P661</f>
        <v>20448</v>
      </c>
      <c r="R661" s="1714"/>
      <c r="S661" s="299"/>
      <c r="T661" s="299"/>
      <c r="U661" s="299"/>
      <c r="V661" s="299">
        <f t="shared" si="108"/>
        <v>20448</v>
      </c>
      <c r="W661" s="299"/>
      <c r="X661" s="1142"/>
      <c r="Y661" s="1127"/>
      <c r="Z661" s="1199"/>
      <c r="AA661" s="1124"/>
      <c r="AB661" s="1124"/>
      <c r="AC661" s="1124"/>
      <c r="AD661" s="1124"/>
      <c r="AE661" s="1124"/>
      <c r="AF661" s="1124"/>
      <c r="AG661" s="1164"/>
    </row>
    <row r="662" spans="1:33" ht="47.25" outlineLevel="2">
      <c r="A662" s="294">
        <v>4324</v>
      </c>
      <c r="B662" s="820" t="s">
        <v>385</v>
      </c>
      <c r="C662" s="1093" t="s">
        <v>386</v>
      </c>
      <c r="D662" s="326"/>
      <c r="E662" s="294">
        <f>10+45</f>
        <v>55</v>
      </c>
      <c r="F662" s="293">
        <f>G662-E662</f>
        <v>43211</v>
      </c>
      <c r="G662" s="293">
        <v>43266</v>
      </c>
      <c r="H662" s="293" t="s">
        <v>390</v>
      </c>
      <c r="I662" s="294" t="s">
        <v>169</v>
      </c>
      <c r="J662" s="307" t="s">
        <v>387</v>
      </c>
      <c r="K662" s="820" t="s">
        <v>392</v>
      </c>
      <c r="L662" s="1237">
        <v>23174</v>
      </c>
      <c r="M662" s="326"/>
      <c r="N662" s="294"/>
      <c r="O662" s="354">
        <v>313</v>
      </c>
      <c r="P662" s="1938">
        <v>22</v>
      </c>
      <c r="Q662" s="1126">
        <f>O662*P662</f>
        <v>6886</v>
      </c>
      <c r="R662" s="1714"/>
      <c r="S662" s="299"/>
      <c r="T662" s="299"/>
      <c r="U662" s="299"/>
      <c r="V662" s="299">
        <f t="shared" si="108"/>
        <v>6886</v>
      </c>
      <c r="W662" s="299"/>
      <c r="X662" s="1142"/>
      <c r="Y662" s="1127"/>
      <c r="Z662" s="1199"/>
      <c r="AA662" s="1124"/>
      <c r="AB662" s="1124"/>
      <c r="AC662" s="1124"/>
      <c r="AD662" s="1124"/>
      <c r="AE662" s="1124"/>
      <c r="AF662" s="1124"/>
      <c r="AG662" s="1164"/>
    </row>
    <row r="663" spans="1:33" ht="47.25" outlineLevel="2">
      <c r="A663" s="294">
        <v>4324</v>
      </c>
      <c r="B663" s="820" t="s">
        <v>385</v>
      </c>
      <c r="C663" s="1093" t="s">
        <v>386</v>
      </c>
      <c r="D663" s="326"/>
      <c r="E663" s="294">
        <v>10</v>
      </c>
      <c r="F663" s="293">
        <f>G663-E663</f>
        <v>43256</v>
      </c>
      <c r="G663" s="293">
        <v>43266</v>
      </c>
      <c r="H663" s="293" t="s">
        <v>396</v>
      </c>
      <c r="I663" s="294" t="s">
        <v>180</v>
      </c>
      <c r="J663" s="307" t="s">
        <v>387</v>
      </c>
      <c r="K663" s="326" t="s">
        <v>1050</v>
      </c>
      <c r="L663" s="1237">
        <v>23174</v>
      </c>
      <c r="M663" s="326"/>
      <c r="N663" s="294"/>
      <c r="O663" s="354">
        <v>240</v>
      </c>
      <c r="P663" s="1938">
        <v>88</v>
      </c>
      <c r="Q663" s="1126">
        <f>O663*P663</f>
        <v>21120</v>
      </c>
      <c r="R663" s="1714"/>
      <c r="S663" s="299"/>
      <c r="T663" s="299"/>
      <c r="U663" s="299"/>
      <c r="V663" s="299">
        <f t="shared" si="108"/>
        <v>21120</v>
      </c>
      <c r="W663" s="299"/>
      <c r="X663" s="1142"/>
      <c r="Y663" s="1127"/>
      <c r="Z663" s="1199"/>
      <c r="AA663" s="1124"/>
      <c r="AB663" s="1124"/>
      <c r="AC663" s="1124"/>
      <c r="AD663" s="1124"/>
      <c r="AE663" s="1124"/>
      <c r="AF663" s="1124"/>
      <c r="AG663" s="1164"/>
    </row>
    <row r="664" spans="1:33" ht="39.950000000000003" customHeight="1" outlineLevel="1">
      <c r="A664" s="1997"/>
      <c r="B664" s="1740"/>
      <c r="C664" s="2158"/>
      <c r="D664" s="1997"/>
      <c r="E664" s="1997"/>
      <c r="F664" s="2153"/>
      <c r="G664" s="2153"/>
      <c r="H664" s="2153"/>
      <c r="I664" s="1997"/>
      <c r="J664" s="1740"/>
      <c r="K664" s="1997"/>
      <c r="L664" s="1748" t="s">
        <v>1051</v>
      </c>
      <c r="M664" s="1997"/>
      <c r="N664" s="1997"/>
      <c r="O664" s="1998"/>
      <c r="P664" s="1997"/>
      <c r="Q664" s="1998">
        <f>SUBTOTAL(9,Q661:Q663)</f>
        <v>48454</v>
      </c>
      <c r="R664" s="1714"/>
      <c r="S664" s="1127"/>
      <c r="T664" s="1127"/>
      <c r="U664" s="1127"/>
      <c r="V664" s="1127"/>
      <c r="W664" s="1127"/>
      <c r="X664" s="2149"/>
      <c r="Y664" s="1127"/>
      <c r="Z664" s="1199"/>
      <c r="AA664" s="1124"/>
      <c r="AB664" s="1124"/>
      <c r="AC664" s="1124"/>
      <c r="AD664" s="1124"/>
      <c r="AE664" s="1124"/>
      <c r="AF664" s="1124"/>
      <c r="AG664" s="1164"/>
    </row>
    <row r="665" spans="1:33" ht="39.950000000000003" customHeight="1">
      <c r="A665" s="1997"/>
      <c r="B665" s="1740"/>
      <c r="C665" s="2158"/>
      <c r="D665" s="1997"/>
      <c r="E665" s="1997"/>
      <c r="F665" s="2153"/>
      <c r="G665" s="2153"/>
      <c r="H665" s="2153"/>
      <c r="I665" s="1997"/>
      <c r="J665" s="1740"/>
      <c r="K665" s="1997"/>
      <c r="L665" s="1748" t="s">
        <v>1052</v>
      </c>
      <c r="M665" s="1997"/>
      <c r="N665" s="1997"/>
      <c r="O665" s="1998"/>
      <c r="P665" s="1997"/>
      <c r="Q665" s="1998">
        <f>SUBTOTAL(9,Q652:Q663)</f>
        <v>99164</v>
      </c>
      <c r="R665" s="1714"/>
      <c r="S665" s="1127"/>
      <c r="T665" s="1127"/>
      <c r="U665" s="1127"/>
      <c r="V665" s="1127"/>
      <c r="W665" s="1127"/>
      <c r="X665" s="2149"/>
      <c r="Y665" s="1127"/>
      <c r="Z665" s="1199"/>
      <c r="AA665" s="1124"/>
      <c r="AB665" s="1124"/>
      <c r="AC665" s="1124"/>
      <c r="AD665" s="1124"/>
      <c r="AE665" s="1124"/>
      <c r="AF665" s="1124"/>
      <c r="AG665" s="1164"/>
    </row>
    <row r="666" spans="1:33" ht="30" customHeight="1">
      <c r="A666" s="1248" t="s">
        <v>968</v>
      </c>
      <c r="B666" s="274"/>
      <c r="C666" s="278"/>
      <c r="D666" s="1270"/>
      <c r="E666" s="1270"/>
      <c r="F666" s="1270"/>
      <c r="G666" s="1270"/>
      <c r="H666" s="1270"/>
      <c r="I666" s="1270"/>
      <c r="J666" s="273"/>
      <c r="K666" s="1248"/>
      <c r="L666" s="1269"/>
      <c r="M666" s="1270"/>
      <c r="N666" s="1268"/>
      <c r="O666" s="1271"/>
      <c r="P666" s="1948"/>
      <c r="Q666" s="1338">
        <f>SUM(Q667:Q670)</f>
        <v>466696.17</v>
      </c>
      <c r="R666" s="1713">
        <v>466727</v>
      </c>
      <c r="S666" s="1272">
        <f t="shared" ref="S666:AF666" si="109">SUM(S667:S670)</f>
        <v>0</v>
      </c>
      <c r="T666" s="1272">
        <f t="shared" si="109"/>
        <v>0</v>
      </c>
      <c r="U666" s="1272">
        <f t="shared" si="109"/>
        <v>0</v>
      </c>
      <c r="V666" s="1272">
        <f t="shared" si="109"/>
        <v>0</v>
      </c>
      <c r="W666" s="1272">
        <f t="shared" si="109"/>
        <v>0</v>
      </c>
      <c r="X666" s="1272">
        <f t="shared" si="109"/>
        <v>0</v>
      </c>
      <c r="Y666" s="1272">
        <f t="shared" si="109"/>
        <v>0</v>
      </c>
      <c r="Z666" s="276">
        <f t="shared" si="109"/>
        <v>0</v>
      </c>
      <c r="AA666" s="276">
        <f t="shared" si="109"/>
        <v>0</v>
      </c>
      <c r="AB666" s="276">
        <f t="shared" si="109"/>
        <v>0</v>
      </c>
      <c r="AC666" s="276">
        <f t="shared" si="109"/>
        <v>0</v>
      </c>
      <c r="AD666" s="276">
        <f t="shared" si="109"/>
        <v>0</v>
      </c>
      <c r="AE666" s="276">
        <f t="shared" si="109"/>
        <v>0</v>
      </c>
      <c r="AF666" s="276">
        <f t="shared" si="109"/>
        <v>0</v>
      </c>
      <c r="AG666" s="1272">
        <f>SUM(AG667:AG670)</f>
        <v>466696.17</v>
      </c>
    </row>
    <row r="667" spans="1:33" ht="30" customHeight="1">
      <c r="A667" s="1275">
        <v>441</v>
      </c>
      <c r="B667" s="1021" t="s">
        <v>186</v>
      </c>
      <c r="C667" s="1021" t="s">
        <v>971</v>
      </c>
      <c r="D667" s="1278"/>
      <c r="E667" s="1278"/>
      <c r="F667" s="1278"/>
      <c r="G667" s="1278"/>
      <c r="H667" s="1278"/>
      <c r="I667" s="1277" t="s">
        <v>169</v>
      </c>
      <c r="J667" s="283"/>
      <c r="K667" s="1278"/>
      <c r="L667" s="1279"/>
      <c r="M667" s="1280"/>
      <c r="N667" s="1277"/>
      <c r="O667" s="1281"/>
      <c r="P667" s="1949"/>
      <c r="Q667" s="1435">
        <v>16000</v>
      </c>
      <c r="R667" s="1716"/>
      <c r="S667" s="362"/>
      <c r="T667" s="362"/>
      <c r="U667" s="362"/>
      <c r="V667" s="362"/>
      <c r="W667" s="362"/>
      <c r="X667" s="1139"/>
      <c r="Y667" s="1134"/>
      <c r="Z667" s="1134"/>
      <c r="AA667" s="1134"/>
      <c r="AB667" s="1134"/>
      <c r="AC667" s="1134"/>
      <c r="AD667" s="1134"/>
      <c r="AE667" s="1134"/>
      <c r="AF667" s="1134"/>
      <c r="AG667" s="1395">
        <v>16000</v>
      </c>
    </row>
    <row r="668" spans="1:33" ht="30" customHeight="1">
      <c r="A668" s="1275">
        <v>442</v>
      </c>
      <c r="B668" s="1128" t="s">
        <v>44</v>
      </c>
      <c r="C668" s="1130" t="s">
        <v>972</v>
      </c>
      <c r="D668" s="1430"/>
      <c r="E668" s="1430"/>
      <c r="F668" s="1430"/>
      <c r="G668" s="1430"/>
      <c r="H668" s="1430"/>
      <c r="I668" s="1277" t="s">
        <v>169</v>
      </c>
      <c r="J668" s="1129"/>
      <c r="K668" s="1432"/>
      <c r="L668" s="1433"/>
      <c r="M668" s="1430"/>
      <c r="N668" s="1431"/>
      <c r="O668" s="1434"/>
      <c r="P668" s="1949"/>
      <c r="Q668" s="1435">
        <v>92060</v>
      </c>
      <c r="R668" s="1716"/>
      <c r="S668" s="1134"/>
      <c r="T668" s="1134"/>
      <c r="U668" s="1134"/>
      <c r="V668" s="1134"/>
      <c r="W668" s="1134"/>
      <c r="X668" s="1139"/>
      <c r="Y668" s="1134"/>
      <c r="Z668" s="1134"/>
      <c r="AA668" s="1134"/>
      <c r="AB668" s="1134"/>
      <c r="AC668" s="1134"/>
      <c r="AD668" s="1134"/>
      <c r="AE668" s="1134"/>
      <c r="AF668" s="1134"/>
      <c r="AG668" s="1435">
        <v>92060</v>
      </c>
    </row>
    <row r="669" spans="1:33" ht="30" customHeight="1">
      <c r="A669" s="1275">
        <v>443</v>
      </c>
      <c r="B669" s="1128" t="s">
        <v>43</v>
      </c>
      <c r="C669" s="1130" t="s">
        <v>973</v>
      </c>
      <c r="D669" s="1430"/>
      <c r="E669" s="1430"/>
      <c r="F669" s="1430"/>
      <c r="G669" s="1430"/>
      <c r="H669" s="1430"/>
      <c r="I669" s="1277" t="s">
        <v>169</v>
      </c>
      <c r="J669" s="1129"/>
      <c r="K669" s="1432"/>
      <c r="L669" s="1433"/>
      <c r="M669" s="1430"/>
      <c r="N669" s="1431"/>
      <c r="O669" s="1434"/>
      <c r="P669" s="1949"/>
      <c r="Q669" s="1435">
        <v>10636.17</v>
      </c>
      <c r="R669" s="1716"/>
      <c r="S669" s="1134"/>
      <c r="T669" s="1134"/>
      <c r="U669" s="1134"/>
      <c r="V669" s="1134"/>
      <c r="W669" s="1134"/>
      <c r="X669" s="1139"/>
      <c r="Y669" s="1134"/>
      <c r="Z669" s="1134"/>
      <c r="AA669" s="1134"/>
      <c r="AB669" s="1134"/>
      <c r="AC669" s="1134"/>
      <c r="AD669" s="1134"/>
      <c r="AE669" s="1134"/>
      <c r="AF669" s="1134"/>
      <c r="AG669" s="1435">
        <v>10636.17</v>
      </c>
    </row>
    <row r="670" spans="1:33" ht="30" customHeight="1">
      <c r="A670" s="1275">
        <v>444</v>
      </c>
      <c r="B670" s="1128" t="s">
        <v>46</v>
      </c>
      <c r="C670" s="1130" t="s">
        <v>974</v>
      </c>
      <c r="D670" s="1430"/>
      <c r="E670" s="1430"/>
      <c r="F670" s="1430"/>
      <c r="G670" s="1430"/>
      <c r="H670" s="1430"/>
      <c r="I670" s="1277" t="s">
        <v>169</v>
      </c>
      <c r="J670" s="1129"/>
      <c r="K670" s="1432"/>
      <c r="L670" s="1433"/>
      <c r="M670" s="1430"/>
      <c r="N670" s="1431"/>
      <c r="O670" s="1434"/>
      <c r="P670" s="1949"/>
      <c r="Q670" s="1435">
        <v>348000</v>
      </c>
      <c r="R670" s="1716"/>
      <c r="S670" s="1134"/>
      <c r="T670" s="1134"/>
      <c r="U670" s="1134"/>
      <c r="V670" s="1134"/>
      <c r="W670" s="1134"/>
      <c r="X670" s="1139"/>
      <c r="Y670" s="1134"/>
      <c r="Z670" s="1134"/>
      <c r="AA670" s="1134"/>
      <c r="AB670" s="1134"/>
      <c r="AC670" s="1134"/>
      <c r="AD670" s="1134"/>
      <c r="AE670" s="1134"/>
      <c r="AF670" s="1134"/>
      <c r="AG670" s="1435">
        <v>348000</v>
      </c>
    </row>
    <row r="671" spans="1:33" ht="30" customHeight="1">
      <c r="A671" s="1248" t="s">
        <v>969</v>
      </c>
      <c r="B671" s="274"/>
      <c r="C671" s="278"/>
      <c r="D671" s="1270"/>
      <c r="E671" s="1270"/>
      <c r="F671" s="1270"/>
      <c r="G671" s="1270"/>
      <c r="H671" s="1270"/>
      <c r="I671" s="1270"/>
      <c r="J671" s="273"/>
      <c r="K671" s="1248"/>
      <c r="L671" s="1269"/>
      <c r="M671" s="1270"/>
      <c r="N671" s="1268"/>
      <c r="O671" s="1271"/>
      <c r="P671" s="1948"/>
      <c r="Q671" s="1338">
        <f>Q672+Q680</f>
        <v>322694</v>
      </c>
      <c r="R671" s="1713">
        <v>322694</v>
      </c>
      <c r="S671" s="1436"/>
      <c r="T671" s="1248"/>
      <c r="U671" s="1248"/>
      <c r="V671" s="1270"/>
      <c r="W671" s="1270"/>
      <c r="X671" s="1437"/>
      <c r="Y671" s="1438"/>
      <c r="Z671" s="1070"/>
      <c r="AA671" s="1070"/>
      <c r="AB671" s="1070"/>
      <c r="AC671" s="1070"/>
      <c r="AD671" s="1070"/>
      <c r="AE671" s="1070"/>
      <c r="AF671" s="1070"/>
      <c r="AG671" s="1272">
        <f>AG672+AG680</f>
        <v>322694</v>
      </c>
    </row>
    <row r="672" spans="1:33" ht="30" customHeight="1">
      <c r="A672" s="1275">
        <v>451</v>
      </c>
      <c r="B672" s="1128" t="s">
        <v>970</v>
      </c>
      <c r="C672" s="1130"/>
      <c r="D672" s="1430"/>
      <c r="E672" s="1430"/>
      <c r="F672" s="1430"/>
      <c r="G672" s="1430"/>
      <c r="H672" s="1430"/>
      <c r="I672" s="1277" t="s">
        <v>169</v>
      </c>
      <c r="J672" s="1129"/>
      <c r="K672" s="1432"/>
      <c r="L672" s="1433"/>
      <c r="M672" s="1430"/>
      <c r="N672" s="1431"/>
      <c r="O672" s="1434"/>
      <c r="P672" s="1949"/>
      <c r="Q672" s="1435">
        <v>322694</v>
      </c>
      <c r="R672" s="1716"/>
      <c r="S672" s="1134"/>
      <c r="T672" s="1134"/>
      <c r="U672" s="1134"/>
      <c r="V672" s="1134"/>
      <c r="W672" s="1134"/>
      <c r="X672" s="1139"/>
      <c r="Y672" s="1134"/>
      <c r="Z672" s="1134"/>
      <c r="AA672" s="1134"/>
      <c r="AB672" s="1134"/>
      <c r="AC672" s="1134"/>
      <c r="AD672" s="1134"/>
      <c r="AE672" s="1134"/>
      <c r="AF672" s="1134"/>
      <c r="AG672" s="1435">
        <v>322694</v>
      </c>
    </row>
    <row r="673" spans="1:33" ht="30" customHeight="1">
      <c r="A673" s="1815" t="s">
        <v>279</v>
      </c>
      <c r="B673" s="836"/>
      <c r="C673" s="1816"/>
      <c r="D673" s="1818"/>
      <c r="E673" s="1818"/>
      <c r="F673" s="1818"/>
      <c r="G673" s="1818"/>
      <c r="H673" s="1818"/>
      <c r="I673" s="1818"/>
      <c r="J673" s="835"/>
      <c r="K673" s="1815"/>
      <c r="L673" s="1817"/>
      <c r="M673" s="1818"/>
      <c r="N673" s="1819"/>
      <c r="O673" s="1820"/>
      <c r="P673" s="1947"/>
      <c r="Q673" s="1832"/>
      <c r="R673" s="1977"/>
      <c r="S673" s="1860"/>
      <c r="T673" s="1860"/>
      <c r="U673" s="1860"/>
      <c r="V673" s="1860"/>
      <c r="W673" s="1860"/>
      <c r="X673" s="1861"/>
      <c r="Y673" s="1862"/>
      <c r="Z673" s="1863"/>
      <c r="AA673" s="1863"/>
      <c r="AB673" s="1863"/>
      <c r="AC673" s="1863"/>
      <c r="AD673" s="1863"/>
      <c r="AE673" s="1863"/>
      <c r="AF673" s="1863"/>
      <c r="AG673" s="1821"/>
    </row>
    <row r="674" spans="1:33" ht="30" customHeight="1">
      <c r="A674" s="1248" t="s">
        <v>280</v>
      </c>
      <c r="B674" s="274"/>
      <c r="C674" s="278"/>
      <c r="D674" s="1270"/>
      <c r="E674" s="1270"/>
      <c r="F674" s="1270"/>
      <c r="G674" s="1270"/>
      <c r="H674" s="1270"/>
      <c r="I674" s="1270"/>
      <c r="J674" s="273"/>
      <c r="K674" s="1248"/>
      <c r="L674" s="1269"/>
      <c r="M674" s="1270"/>
      <c r="N674" s="1268"/>
      <c r="O674" s="1271"/>
      <c r="P674" s="1948"/>
      <c r="Q674" s="1338"/>
      <c r="R674" s="1713"/>
      <c r="S674" s="1248"/>
      <c r="T674" s="1248"/>
      <c r="U674" s="1248"/>
      <c r="V674" s="1270"/>
      <c r="W674" s="1270"/>
      <c r="X674" s="1437"/>
      <c r="Y674" s="1438"/>
      <c r="Z674" s="1070"/>
      <c r="AA674" s="1070"/>
      <c r="AB674" s="1070"/>
      <c r="AC674" s="1070"/>
      <c r="AD674" s="1070"/>
      <c r="AE674" s="1070"/>
      <c r="AF674" s="1070"/>
      <c r="AG674" s="1272"/>
    </row>
    <row r="675" spans="1:33" ht="30" customHeight="1">
      <c r="A675" s="1275">
        <v>511</v>
      </c>
      <c r="B675" s="359"/>
      <c r="C675" s="1021"/>
      <c r="D675" s="1280"/>
      <c r="E675" s="1280"/>
      <c r="F675" s="1280"/>
      <c r="G675" s="1280"/>
      <c r="H675" s="1280"/>
      <c r="I675" s="1280"/>
      <c r="J675" s="283"/>
      <c r="K675" s="1278"/>
      <c r="L675" s="1279"/>
      <c r="M675" s="1280"/>
      <c r="N675" s="1277"/>
      <c r="O675" s="1281"/>
      <c r="P675" s="1949"/>
      <c r="Q675" s="1435"/>
      <c r="R675" s="1716"/>
      <c r="S675" s="362"/>
      <c r="T675" s="362"/>
      <c r="U675" s="362"/>
      <c r="V675" s="362"/>
      <c r="W675" s="362"/>
      <c r="X675" s="1139"/>
      <c r="Y675" s="1134"/>
      <c r="Z675" s="1134"/>
      <c r="AA675" s="1134"/>
      <c r="AB675" s="1134"/>
      <c r="AC675" s="1134"/>
      <c r="AD675" s="1134"/>
      <c r="AE675" s="1134"/>
      <c r="AF675" s="1134"/>
      <c r="AG675" s="1395"/>
    </row>
    <row r="676" spans="1:33">
      <c r="A676" s="294">
        <v>5111</v>
      </c>
      <c r="B676" s="973"/>
      <c r="C676" s="824"/>
      <c r="D676" s="326"/>
      <c r="E676" s="294"/>
      <c r="F676" s="293"/>
      <c r="G676" s="293"/>
      <c r="H676" s="293"/>
      <c r="I676" s="294"/>
      <c r="J676" s="307"/>
      <c r="K676" s="326"/>
      <c r="L676" s="1237"/>
      <c r="M676" s="326"/>
      <c r="N676" s="294"/>
      <c r="O676" s="354"/>
      <c r="P676" s="1938"/>
      <c r="Q676" s="1126"/>
      <c r="R676" s="1714"/>
      <c r="S676" s="355"/>
      <c r="T676" s="355"/>
      <c r="U676" s="355"/>
      <c r="V676" s="355"/>
      <c r="W676" s="355"/>
      <c r="X676" s="1137"/>
      <c r="Y676" s="1126"/>
      <c r="Z676" s="1126"/>
      <c r="AA676" s="1126"/>
      <c r="AB676" s="1126"/>
      <c r="AC676" s="1126"/>
      <c r="AD676" s="1126"/>
      <c r="AE676" s="1126"/>
      <c r="AF676" s="1126"/>
      <c r="AG676" s="355"/>
    </row>
    <row r="677" spans="1:33" ht="30" customHeight="1">
      <c r="A677" s="1864" t="s">
        <v>964</v>
      </c>
      <c r="B677" s="1865"/>
      <c r="C677" s="1866"/>
      <c r="D677" s="1867"/>
      <c r="E677" s="1867"/>
      <c r="F677" s="1867"/>
      <c r="G677" s="1867"/>
      <c r="H677" s="1867"/>
      <c r="I677" s="1868"/>
      <c r="J677" s="841"/>
      <c r="K677" s="1869"/>
      <c r="L677" s="1870"/>
      <c r="M677" s="1871"/>
      <c r="N677" s="1871"/>
      <c r="O677" s="1872"/>
      <c r="P677" s="1972"/>
      <c r="Q677" s="1832">
        <f>Q678+Q683+Q688</f>
        <v>129744.98000000001</v>
      </c>
      <c r="R677" s="1993">
        <f>+R678+R683+R688</f>
        <v>129747.66</v>
      </c>
      <c r="S677" s="1872">
        <f t="shared" ref="S677:AG677" si="110">S678+S683+S688</f>
        <v>0</v>
      </c>
      <c r="T677" s="1872">
        <f t="shared" si="110"/>
        <v>10350</v>
      </c>
      <c r="U677" s="1872">
        <f t="shared" si="110"/>
        <v>27783</v>
      </c>
      <c r="V677" s="1872">
        <f t="shared" si="110"/>
        <v>30319.986666666668</v>
      </c>
      <c r="W677" s="1872">
        <f t="shared" si="110"/>
        <v>35925.993333333332</v>
      </c>
      <c r="X677" s="1872">
        <f t="shared" si="110"/>
        <v>25366</v>
      </c>
      <c r="Y677" s="1872">
        <f t="shared" si="110"/>
        <v>0</v>
      </c>
      <c r="Z677" s="842">
        <f t="shared" si="110"/>
        <v>0</v>
      </c>
      <c r="AA677" s="842">
        <f t="shared" si="110"/>
        <v>0</v>
      </c>
      <c r="AB677" s="842">
        <f t="shared" si="110"/>
        <v>0</v>
      </c>
      <c r="AC677" s="842">
        <f t="shared" si="110"/>
        <v>0</v>
      </c>
      <c r="AD677" s="842">
        <f t="shared" si="110"/>
        <v>0</v>
      </c>
      <c r="AE677" s="842">
        <f t="shared" si="110"/>
        <v>0</v>
      </c>
      <c r="AF677" s="842">
        <f t="shared" si="110"/>
        <v>0</v>
      </c>
      <c r="AG677" s="1872">
        <f t="shared" si="110"/>
        <v>129744.98</v>
      </c>
    </row>
    <row r="678" spans="1:33" ht="30" customHeight="1">
      <c r="A678" s="1248" t="s">
        <v>282</v>
      </c>
      <c r="B678" s="274"/>
      <c r="C678" s="278"/>
      <c r="D678" s="1270"/>
      <c r="E678" s="1270"/>
      <c r="F678" s="1270"/>
      <c r="G678" s="1270"/>
      <c r="H678" s="1270"/>
      <c r="I678" s="1270"/>
      <c r="J678" s="273"/>
      <c r="K678" s="1248"/>
      <c r="L678" s="1269"/>
      <c r="M678" s="1270"/>
      <c r="N678" s="1268"/>
      <c r="O678" s="1271"/>
      <c r="P678" s="1948"/>
      <c r="Q678" s="1338">
        <f>+Q679+Q681</f>
        <v>0</v>
      </c>
      <c r="R678" s="1713"/>
      <c r="S678" s="1272">
        <f t="shared" ref="S678:AG678" si="111">+S679+S681</f>
        <v>0</v>
      </c>
      <c r="T678" s="1272">
        <f t="shared" si="111"/>
        <v>0</v>
      </c>
      <c r="U678" s="1272">
        <f t="shared" si="111"/>
        <v>0</v>
      </c>
      <c r="V678" s="1272">
        <f t="shared" si="111"/>
        <v>0</v>
      </c>
      <c r="W678" s="1272">
        <f t="shared" si="111"/>
        <v>0</v>
      </c>
      <c r="X678" s="1272">
        <f t="shared" si="111"/>
        <v>0</v>
      </c>
      <c r="Y678" s="1272">
        <f t="shared" si="111"/>
        <v>0</v>
      </c>
      <c r="Z678" s="276">
        <f t="shared" si="111"/>
        <v>0</v>
      </c>
      <c r="AA678" s="276">
        <f t="shared" si="111"/>
        <v>0</v>
      </c>
      <c r="AB678" s="276">
        <f t="shared" si="111"/>
        <v>0</v>
      </c>
      <c r="AC678" s="276">
        <f t="shared" si="111"/>
        <v>0</v>
      </c>
      <c r="AD678" s="276">
        <f t="shared" si="111"/>
        <v>0</v>
      </c>
      <c r="AE678" s="276">
        <f t="shared" si="111"/>
        <v>0</v>
      </c>
      <c r="AF678" s="276">
        <f t="shared" si="111"/>
        <v>0</v>
      </c>
      <c r="AG678" s="1272">
        <f t="shared" si="111"/>
        <v>0</v>
      </c>
    </row>
    <row r="679" spans="1:33" ht="30" customHeight="1">
      <c r="A679" s="1275">
        <v>611</v>
      </c>
      <c r="B679" s="359"/>
      <c r="C679" s="1021"/>
      <c r="D679" s="1280"/>
      <c r="E679" s="1280"/>
      <c r="F679" s="1280"/>
      <c r="G679" s="1280"/>
      <c r="H679" s="1280"/>
      <c r="I679" s="1280"/>
      <c r="J679" s="283"/>
      <c r="K679" s="1278"/>
      <c r="L679" s="1279"/>
      <c r="M679" s="1280"/>
      <c r="N679" s="1277"/>
      <c r="O679" s="1281"/>
      <c r="P679" s="1949"/>
      <c r="Q679" s="1435">
        <f>SUM(Q680:Q680)</f>
        <v>0</v>
      </c>
      <c r="R679" s="1716"/>
      <c r="S679" s="1395">
        <f t="shared" ref="S679:AF679" si="112">SUM(S680:S680)</f>
        <v>0</v>
      </c>
      <c r="T679" s="1395">
        <f t="shared" si="112"/>
        <v>0</v>
      </c>
      <c r="U679" s="1395">
        <f t="shared" si="112"/>
        <v>0</v>
      </c>
      <c r="V679" s="1395">
        <f t="shared" si="112"/>
        <v>0</v>
      </c>
      <c r="W679" s="1395">
        <f t="shared" si="112"/>
        <v>0</v>
      </c>
      <c r="X679" s="1395">
        <f t="shared" si="112"/>
        <v>0</v>
      </c>
      <c r="Y679" s="1395">
        <f t="shared" si="112"/>
        <v>0</v>
      </c>
      <c r="Z679" s="361">
        <f t="shared" si="112"/>
        <v>0</v>
      </c>
      <c r="AA679" s="361">
        <f t="shared" si="112"/>
        <v>0</v>
      </c>
      <c r="AB679" s="361">
        <f t="shared" si="112"/>
        <v>0</v>
      </c>
      <c r="AC679" s="361">
        <f t="shared" si="112"/>
        <v>0</v>
      </c>
      <c r="AD679" s="361">
        <f t="shared" si="112"/>
        <v>0</v>
      </c>
      <c r="AE679" s="361">
        <f t="shared" si="112"/>
        <v>0</v>
      </c>
      <c r="AF679" s="361">
        <f t="shared" si="112"/>
        <v>0</v>
      </c>
      <c r="AG679" s="1395">
        <f>SUM(S679:AF679)</f>
        <v>0</v>
      </c>
    </row>
    <row r="680" spans="1:33">
      <c r="A680" s="294">
        <v>6111</v>
      </c>
      <c r="B680" s="973"/>
      <c r="C680" s="824"/>
      <c r="D680" s="326"/>
      <c r="E680" s="294"/>
      <c r="F680" s="293"/>
      <c r="G680" s="293"/>
      <c r="H680" s="293"/>
      <c r="I680" s="294"/>
      <c r="J680" s="307"/>
      <c r="K680" s="326"/>
      <c r="L680" s="1237"/>
      <c r="M680" s="326"/>
      <c r="N680" s="294"/>
      <c r="O680" s="354"/>
      <c r="P680" s="1938"/>
      <c r="Q680" s="1126"/>
      <c r="R680" s="1714"/>
      <c r="S680" s="355"/>
      <c r="T680" s="355"/>
      <c r="U680" s="355"/>
      <c r="V680" s="355"/>
      <c r="W680" s="355"/>
      <c r="X680" s="1137"/>
      <c r="Y680" s="1126"/>
      <c r="Z680" s="1126"/>
      <c r="AA680" s="1126"/>
      <c r="AB680" s="1126"/>
      <c r="AC680" s="1126"/>
      <c r="AD680" s="1126"/>
      <c r="AE680" s="1126"/>
      <c r="AF680" s="1126"/>
      <c r="AG680" s="355"/>
    </row>
    <row r="681" spans="1:33" ht="30" customHeight="1">
      <c r="A681" s="1275">
        <v>612</v>
      </c>
      <c r="B681" s="359"/>
      <c r="C681" s="1021"/>
      <c r="D681" s="1280"/>
      <c r="E681" s="1280"/>
      <c r="F681" s="1280"/>
      <c r="G681" s="1280"/>
      <c r="H681" s="1280"/>
      <c r="I681" s="1280"/>
      <c r="J681" s="283"/>
      <c r="K681" s="1278"/>
      <c r="L681" s="1279"/>
      <c r="M681" s="1280"/>
      <c r="N681" s="1277"/>
      <c r="O681" s="1281"/>
      <c r="P681" s="1949"/>
      <c r="Q681" s="1435">
        <f>SUM(Q682:Q682)</f>
        <v>0</v>
      </c>
      <c r="R681" s="1716"/>
      <c r="S681" s="1395">
        <f t="shared" ref="S681:AF681" si="113">SUM(S682:S682)</f>
        <v>0</v>
      </c>
      <c r="T681" s="1395">
        <f t="shared" si="113"/>
        <v>0</v>
      </c>
      <c r="U681" s="1395">
        <f t="shared" si="113"/>
        <v>0</v>
      </c>
      <c r="V681" s="1395">
        <f t="shared" si="113"/>
        <v>0</v>
      </c>
      <c r="W681" s="1395">
        <f t="shared" si="113"/>
        <v>0</v>
      </c>
      <c r="X681" s="1395">
        <f t="shared" si="113"/>
        <v>0</v>
      </c>
      <c r="Y681" s="1395">
        <f t="shared" si="113"/>
        <v>0</v>
      </c>
      <c r="Z681" s="361">
        <f t="shared" si="113"/>
        <v>0</v>
      </c>
      <c r="AA681" s="361">
        <f t="shared" si="113"/>
        <v>0</v>
      </c>
      <c r="AB681" s="361">
        <f t="shared" si="113"/>
        <v>0</v>
      </c>
      <c r="AC681" s="361">
        <f t="shared" si="113"/>
        <v>0</v>
      </c>
      <c r="AD681" s="361">
        <f t="shared" si="113"/>
        <v>0</v>
      </c>
      <c r="AE681" s="361">
        <f t="shared" si="113"/>
        <v>0</v>
      </c>
      <c r="AF681" s="361">
        <f t="shared" si="113"/>
        <v>0</v>
      </c>
      <c r="AG681" s="1395">
        <f>SUM(S681:AF681)</f>
        <v>0</v>
      </c>
    </row>
    <row r="682" spans="1:33">
      <c r="A682" s="294">
        <v>6121</v>
      </c>
      <c r="B682" s="973"/>
      <c r="C682" s="824"/>
      <c r="D682" s="326"/>
      <c r="E682" s="294"/>
      <c r="F682" s="293"/>
      <c r="G682" s="293"/>
      <c r="H682" s="293"/>
      <c r="I682" s="294"/>
      <c r="J682" s="307"/>
      <c r="K682" s="326"/>
      <c r="L682" s="1237"/>
      <c r="M682" s="326"/>
      <c r="N682" s="294"/>
      <c r="O682" s="354"/>
      <c r="P682" s="1938"/>
      <c r="Q682" s="1126"/>
      <c r="R682" s="1714"/>
      <c r="S682" s="355"/>
      <c r="T682" s="355"/>
      <c r="U682" s="355"/>
      <c r="V682" s="355"/>
      <c r="W682" s="355"/>
      <c r="X682" s="1137"/>
      <c r="Y682" s="1126"/>
      <c r="Z682" s="1126"/>
      <c r="AA682" s="1126"/>
      <c r="AB682" s="1126"/>
      <c r="AC682" s="1126"/>
      <c r="AD682" s="1126"/>
      <c r="AE682" s="1126"/>
      <c r="AF682" s="1126"/>
      <c r="AG682" s="355"/>
    </row>
    <row r="683" spans="1:33" ht="30" customHeight="1">
      <c r="A683" s="1553" t="s">
        <v>283</v>
      </c>
      <c r="B683" s="1542"/>
      <c r="C683" s="1500"/>
      <c r="D683" s="1450"/>
      <c r="E683" s="1450"/>
      <c r="F683" s="1450"/>
      <c r="G683" s="1450"/>
      <c r="H683" s="1450"/>
      <c r="I683" s="1451"/>
      <c r="J683" s="273"/>
      <c r="K683" s="1248"/>
      <c r="L683" s="1269"/>
      <c r="M683" s="1270"/>
      <c r="N683" s="1268"/>
      <c r="O683" s="1271"/>
      <c r="P683" s="1948"/>
      <c r="Q683" s="1338">
        <f>+Q684+Q686</f>
        <v>0</v>
      </c>
      <c r="R683" s="1713"/>
      <c r="S683" s="1272">
        <f t="shared" ref="S683:AG683" si="114">+S684+S686</f>
        <v>0</v>
      </c>
      <c r="T683" s="1272">
        <f t="shared" si="114"/>
        <v>0</v>
      </c>
      <c r="U683" s="1272">
        <f t="shared" si="114"/>
        <v>0</v>
      </c>
      <c r="V683" s="1272">
        <f t="shared" si="114"/>
        <v>0</v>
      </c>
      <c r="W683" s="1272">
        <f t="shared" si="114"/>
        <v>0</v>
      </c>
      <c r="X683" s="1272">
        <f t="shared" si="114"/>
        <v>0</v>
      </c>
      <c r="Y683" s="1272">
        <f t="shared" si="114"/>
        <v>0</v>
      </c>
      <c r="Z683" s="276">
        <f t="shared" si="114"/>
        <v>0</v>
      </c>
      <c r="AA683" s="276">
        <f t="shared" si="114"/>
        <v>0</v>
      </c>
      <c r="AB683" s="276">
        <f t="shared" si="114"/>
        <v>0</v>
      </c>
      <c r="AC683" s="276">
        <f t="shared" si="114"/>
        <v>0</v>
      </c>
      <c r="AD683" s="276">
        <f t="shared" si="114"/>
        <v>0</v>
      </c>
      <c r="AE683" s="276">
        <f t="shared" si="114"/>
        <v>0</v>
      </c>
      <c r="AF683" s="276">
        <f t="shared" si="114"/>
        <v>0</v>
      </c>
      <c r="AG683" s="1272">
        <f t="shared" si="114"/>
        <v>0</v>
      </c>
    </row>
    <row r="684" spans="1:33" ht="30" customHeight="1">
      <c r="A684" s="1275">
        <v>621</v>
      </c>
      <c r="B684" s="359"/>
      <c r="C684" s="1021"/>
      <c r="D684" s="1280"/>
      <c r="E684" s="1280"/>
      <c r="F684" s="1280"/>
      <c r="G684" s="1280"/>
      <c r="H684" s="1280"/>
      <c r="I684" s="1280"/>
      <c r="J684" s="283"/>
      <c r="K684" s="1278"/>
      <c r="L684" s="1279"/>
      <c r="M684" s="1280"/>
      <c r="N684" s="1277"/>
      <c r="O684" s="1281"/>
      <c r="P684" s="1949"/>
      <c r="Q684" s="1435">
        <f>SUM(Q685:Q685)</f>
        <v>0</v>
      </c>
      <c r="R684" s="1716"/>
      <c r="S684" s="1395">
        <f t="shared" ref="S684:AF684" si="115">SUM(S685:S685)</f>
        <v>0</v>
      </c>
      <c r="T684" s="1395">
        <f t="shared" si="115"/>
        <v>0</v>
      </c>
      <c r="U684" s="1395">
        <f t="shared" si="115"/>
        <v>0</v>
      </c>
      <c r="V684" s="1395">
        <f t="shared" si="115"/>
        <v>0</v>
      </c>
      <c r="W684" s="1395">
        <f t="shared" si="115"/>
        <v>0</v>
      </c>
      <c r="X684" s="1395">
        <f t="shared" si="115"/>
        <v>0</v>
      </c>
      <c r="Y684" s="1395">
        <f t="shared" si="115"/>
        <v>0</v>
      </c>
      <c r="Z684" s="361">
        <f t="shared" si="115"/>
        <v>0</v>
      </c>
      <c r="AA684" s="361">
        <f t="shared" si="115"/>
        <v>0</v>
      </c>
      <c r="AB684" s="361">
        <f t="shared" si="115"/>
        <v>0</v>
      </c>
      <c r="AC684" s="361">
        <f t="shared" si="115"/>
        <v>0</v>
      </c>
      <c r="AD684" s="361">
        <f t="shared" si="115"/>
        <v>0</v>
      </c>
      <c r="AE684" s="361">
        <f t="shared" si="115"/>
        <v>0</v>
      </c>
      <c r="AF684" s="361">
        <f t="shared" si="115"/>
        <v>0</v>
      </c>
      <c r="AG684" s="1395">
        <f>SUM(S684:AF684)</f>
        <v>0</v>
      </c>
    </row>
    <row r="685" spans="1:33">
      <c r="A685" s="294">
        <v>6211</v>
      </c>
      <c r="B685" s="973"/>
      <c r="C685" s="824"/>
      <c r="D685" s="326"/>
      <c r="E685" s="294"/>
      <c r="F685" s="293"/>
      <c r="G685" s="293"/>
      <c r="H685" s="293"/>
      <c r="I685" s="294"/>
      <c r="J685" s="307"/>
      <c r="K685" s="326"/>
      <c r="L685" s="1237"/>
      <c r="M685" s="326"/>
      <c r="N685" s="294"/>
      <c r="O685" s="354"/>
      <c r="P685" s="1938"/>
      <c r="Q685" s="1126"/>
      <c r="R685" s="1714"/>
      <c r="S685" s="355"/>
      <c r="T685" s="355"/>
      <c r="U685" s="355"/>
      <c r="V685" s="355"/>
      <c r="W685" s="355"/>
      <c r="X685" s="1137"/>
      <c r="Y685" s="1126"/>
      <c r="Z685" s="1126"/>
      <c r="AA685" s="1126"/>
      <c r="AB685" s="1126"/>
      <c r="AC685" s="1126"/>
      <c r="AD685" s="1126"/>
      <c r="AE685" s="1126"/>
      <c r="AF685" s="1126"/>
      <c r="AG685" s="1156"/>
    </row>
    <row r="686" spans="1:33" ht="30" customHeight="1">
      <c r="A686" s="1275">
        <v>622</v>
      </c>
      <c r="B686" s="359"/>
      <c r="C686" s="1021"/>
      <c r="D686" s="1280"/>
      <c r="E686" s="1280"/>
      <c r="F686" s="1280"/>
      <c r="G686" s="1280"/>
      <c r="H686" s="1280"/>
      <c r="I686" s="1280"/>
      <c r="J686" s="283"/>
      <c r="K686" s="1278"/>
      <c r="L686" s="1279"/>
      <c r="M686" s="1280"/>
      <c r="N686" s="1277"/>
      <c r="O686" s="1281"/>
      <c r="P686" s="1949"/>
      <c r="Q686" s="1435">
        <f>SUM(Q687:Q687)</f>
        <v>0</v>
      </c>
      <c r="R686" s="1716"/>
      <c r="S686" s="1395">
        <f t="shared" ref="S686:AF686" si="116">SUM(S687:S687)</f>
        <v>0</v>
      </c>
      <c r="T686" s="1395">
        <f t="shared" si="116"/>
        <v>0</v>
      </c>
      <c r="U686" s="1395">
        <f t="shared" si="116"/>
        <v>0</v>
      </c>
      <c r="V686" s="1395">
        <f t="shared" si="116"/>
        <v>0</v>
      </c>
      <c r="W686" s="1395">
        <f t="shared" si="116"/>
        <v>0</v>
      </c>
      <c r="X686" s="1395">
        <f t="shared" si="116"/>
        <v>0</v>
      </c>
      <c r="Y686" s="1395">
        <f t="shared" si="116"/>
        <v>0</v>
      </c>
      <c r="Z686" s="361">
        <f t="shared" si="116"/>
        <v>0</v>
      </c>
      <c r="AA686" s="361">
        <f t="shared" si="116"/>
        <v>0</v>
      </c>
      <c r="AB686" s="361">
        <f t="shared" si="116"/>
        <v>0</v>
      </c>
      <c r="AC686" s="361">
        <f t="shared" si="116"/>
        <v>0</v>
      </c>
      <c r="AD686" s="361">
        <f t="shared" si="116"/>
        <v>0</v>
      </c>
      <c r="AE686" s="361">
        <f t="shared" si="116"/>
        <v>0</v>
      </c>
      <c r="AF686" s="361">
        <f t="shared" si="116"/>
        <v>0</v>
      </c>
      <c r="AG686" s="1395">
        <f>SUM(S686:AF686)</f>
        <v>0</v>
      </c>
    </row>
    <row r="687" spans="1:33">
      <c r="A687" s="294">
        <v>6221</v>
      </c>
      <c r="B687" s="973"/>
      <c r="C687" s="824"/>
      <c r="D687" s="326"/>
      <c r="E687" s="294"/>
      <c r="F687" s="293"/>
      <c r="G687" s="293"/>
      <c r="H687" s="293"/>
      <c r="I687" s="294"/>
      <c r="J687" s="307"/>
      <c r="K687" s="326"/>
      <c r="L687" s="1237"/>
      <c r="M687" s="326"/>
      <c r="N687" s="294"/>
      <c r="O687" s="354"/>
      <c r="P687" s="1938"/>
      <c r="Q687" s="1126"/>
      <c r="R687" s="1714"/>
      <c r="S687" s="355"/>
      <c r="T687" s="355"/>
      <c r="U687" s="355"/>
      <c r="V687" s="355"/>
      <c r="W687" s="355"/>
      <c r="X687" s="1137"/>
      <c r="Y687" s="1126"/>
      <c r="Z687" s="1126"/>
      <c r="AA687" s="1126"/>
      <c r="AB687" s="1126"/>
      <c r="AC687" s="1126"/>
      <c r="AD687" s="1126"/>
      <c r="AE687" s="1126"/>
      <c r="AF687" s="1126"/>
      <c r="AG687" s="1156"/>
    </row>
    <row r="688" spans="1:33" ht="30" customHeight="1">
      <c r="A688" s="1248" t="s">
        <v>284</v>
      </c>
      <c r="B688" s="274"/>
      <c r="C688" s="278"/>
      <c r="D688" s="1270"/>
      <c r="E688" s="1270"/>
      <c r="F688" s="1270"/>
      <c r="G688" s="1270"/>
      <c r="H688" s="1270"/>
      <c r="I688" s="1270"/>
      <c r="J688" s="273"/>
      <c r="K688" s="1248"/>
      <c r="L688" s="1269"/>
      <c r="M688" s="1270"/>
      <c r="N688" s="1268"/>
      <c r="O688" s="1271"/>
      <c r="P688" s="1948"/>
      <c r="Q688" s="1338">
        <f>Q689+Q701</f>
        <v>129744.98000000001</v>
      </c>
      <c r="R688" s="1713">
        <f>+'[7]Compil Costing PPA 3 millions'!F20</f>
        <v>129747.66</v>
      </c>
      <c r="S688" s="1272">
        <f t="shared" ref="S688:AG688" si="117">S689+S701</f>
        <v>0</v>
      </c>
      <c r="T688" s="1272">
        <f t="shared" si="117"/>
        <v>10350</v>
      </c>
      <c r="U688" s="1272">
        <f t="shared" si="117"/>
        <v>27783</v>
      </c>
      <c r="V688" s="1272">
        <f t="shared" si="117"/>
        <v>30319.986666666668</v>
      </c>
      <c r="W688" s="1272">
        <f t="shared" si="117"/>
        <v>35925.993333333332</v>
      </c>
      <c r="X688" s="1272">
        <f t="shared" si="117"/>
        <v>25366</v>
      </c>
      <c r="Y688" s="1272">
        <f t="shared" si="117"/>
        <v>0</v>
      </c>
      <c r="Z688" s="276">
        <f t="shared" si="117"/>
        <v>0</v>
      </c>
      <c r="AA688" s="276">
        <f t="shared" si="117"/>
        <v>0</v>
      </c>
      <c r="AB688" s="276">
        <f t="shared" si="117"/>
        <v>0</v>
      </c>
      <c r="AC688" s="276">
        <f t="shared" si="117"/>
        <v>0</v>
      </c>
      <c r="AD688" s="276">
        <f t="shared" si="117"/>
        <v>0</v>
      </c>
      <c r="AE688" s="276">
        <f t="shared" si="117"/>
        <v>0</v>
      </c>
      <c r="AF688" s="276">
        <f t="shared" si="117"/>
        <v>0</v>
      </c>
      <c r="AG688" s="1272">
        <f t="shared" si="117"/>
        <v>129744.98</v>
      </c>
    </row>
    <row r="689" spans="1:33" ht="47.25">
      <c r="A689" s="1275">
        <v>631</v>
      </c>
      <c r="B689" s="359" t="s">
        <v>140</v>
      </c>
      <c r="C689" s="1021"/>
      <c r="D689" s="1280"/>
      <c r="E689" s="1280"/>
      <c r="F689" s="1280"/>
      <c r="G689" s="1280"/>
      <c r="H689" s="1280"/>
      <c r="I689" s="1280"/>
      <c r="J689" s="283"/>
      <c r="K689" s="1278"/>
      <c r="L689" s="1279"/>
      <c r="M689" s="1280"/>
      <c r="N689" s="1277"/>
      <c r="O689" s="1281"/>
      <c r="P689" s="1949"/>
      <c r="Q689" s="1343">
        <f>+Q691+Q695+Q699</f>
        <v>39400</v>
      </c>
      <c r="R689" s="1716"/>
      <c r="S689" s="1282">
        <f t="shared" ref="S689:AF689" si="118">SUM(S690:S698)</f>
        <v>0</v>
      </c>
      <c r="T689" s="1282">
        <f t="shared" si="118"/>
        <v>3600</v>
      </c>
      <c r="U689" s="1282">
        <f t="shared" si="118"/>
        <v>10200</v>
      </c>
      <c r="V689" s="1282">
        <f t="shared" si="118"/>
        <v>10200</v>
      </c>
      <c r="W689" s="1282">
        <f t="shared" si="118"/>
        <v>8200.0000000000018</v>
      </c>
      <c r="X689" s="1282">
        <f t="shared" si="118"/>
        <v>7200</v>
      </c>
      <c r="Y689" s="1282">
        <f t="shared" si="118"/>
        <v>0</v>
      </c>
      <c r="Z689" s="1282">
        <f t="shared" si="118"/>
        <v>0</v>
      </c>
      <c r="AA689" s="1282">
        <f t="shared" si="118"/>
        <v>0</v>
      </c>
      <c r="AB689" s="1282">
        <f t="shared" si="118"/>
        <v>0</v>
      </c>
      <c r="AC689" s="1282">
        <f t="shared" si="118"/>
        <v>0</v>
      </c>
      <c r="AD689" s="1282">
        <f t="shared" si="118"/>
        <v>0</v>
      </c>
      <c r="AE689" s="1282">
        <f t="shared" si="118"/>
        <v>0</v>
      </c>
      <c r="AF689" s="1282">
        <f t="shared" si="118"/>
        <v>0</v>
      </c>
      <c r="AG689" s="1282">
        <f>SUM(S689:AF689)</f>
        <v>39400</v>
      </c>
    </row>
    <row r="690" spans="1:33" ht="24" customHeight="1" outlineLevel="2">
      <c r="A690" s="1621">
        <v>6311</v>
      </c>
      <c r="B690" s="2040" t="s">
        <v>404</v>
      </c>
      <c r="C690" s="1616" t="s">
        <v>405</v>
      </c>
      <c r="D690" s="1680"/>
      <c r="E690" s="1621"/>
      <c r="F690" s="2224">
        <v>43205</v>
      </c>
      <c r="G690" s="2224">
        <v>43342</v>
      </c>
      <c r="H690" s="2225" t="s">
        <v>406</v>
      </c>
      <c r="I690" s="1621" t="s">
        <v>181</v>
      </c>
      <c r="J690" s="1622" t="s">
        <v>407</v>
      </c>
      <c r="K690" s="1680" t="s">
        <v>408</v>
      </c>
      <c r="L690" s="2043">
        <v>2313</v>
      </c>
      <c r="M690" s="1680"/>
      <c r="N690" s="1621"/>
      <c r="O690" s="1681">
        <v>18000</v>
      </c>
      <c r="P690" s="2226">
        <v>1</v>
      </c>
      <c r="Q690" s="2227">
        <f>O690*P690</f>
        <v>18000</v>
      </c>
      <c r="R690" s="1714"/>
      <c r="S690" s="299"/>
      <c r="T690" s="299">
        <v>3600</v>
      </c>
      <c r="U690" s="299"/>
      <c r="V690" s="299"/>
      <c r="W690" s="299">
        <v>7200</v>
      </c>
      <c r="X690" s="1142">
        <v>7200</v>
      </c>
      <c r="Y690" s="1127"/>
      <c r="Z690" s="1127"/>
      <c r="AA690" s="1127"/>
      <c r="AB690" s="1127"/>
      <c r="AC690" s="1127"/>
      <c r="AD690" s="1127"/>
      <c r="AE690" s="1127"/>
      <c r="AF690" s="1127"/>
      <c r="AG690" s="1164"/>
    </row>
    <row r="691" spans="1:33" ht="39.950000000000003" customHeight="1" outlineLevel="1">
      <c r="A691" s="1997"/>
      <c r="B691" s="1740"/>
      <c r="C691" s="2141"/>
      <c r="D691" s="1997"/>
      <c r="E691" s="1997"/>
      <c r="F691" s="2234"/>
      <c r="G691" s="2234"/>
      <c r="H691" s="1997"/>
      <c r="I691" s="1997"/>
      <c r="J691" s="1740"/>
      <c r="K691" s="1997"/>
      <c r="L691" s="1748" t="s">
        <v>1055</v>
      </c>
      <c r="M691" s="1997"/>
      <c r="N691" s="1997"/>
      <c r="O691" s="1998"/>
      <c r="P691" s="2235"/>
      <c r="Q691" s="1998">
        <f>SUBTOTAL(9,Q690:Q690)</f>
        <v>18000</v>
      </c>
      <c r="R691" s="1714"/>
      <c r="S691" s="1127"/>
      <c r="T691" s="1127"/>
      <c r="U691" s="1127"/>
      <c r="V691" s="1127"/>
      <c r="W691" s="1127"/>
      <c r="X691" s="2149"/>
      <c r="Y691" s="1127"/>
      <c r="Z691" s="1127"/>
      <c r="AA691" s="1127"/>
      <c r="AB691" s="1127"/>
      <c r="AC691" s="1127"/>
      <c r="AD691" s="1127"/>
      <c r="AE691" s="1127"/>
      <c r="AF691" s="1127"/>
      <c r="AG691" s="1164"/>
    </row>
    <row r="692" spans="1:33" ht="94.5" outlineLevel="2">
      <c r="A692" s="1393">
        <v>6312</v>
      </c>
      <c r="B692" s="2228" t="s">
        <v>409</v>
      </c>
      <c r="C692" s="2173" t="s">
        <v>410</v>
      </c>
      <c r="D692" s="1585"/>
      <c r="E692" s="1393"/>
      <c r="F692" s="1900">
        <v>43241</v>
      </c>
      <c r="G692" s="1900">
        <v>43273</v>
      </c>
      <c r="H692" s="1875" t="s">
        <v>406</v>
      </c>
      <c r="I692" s="1393" t="s">
        <v>181</v>
      </c>
      <c r="J692" s="557" t="s">
        <v>411</v>
      </c>
      <c r="K692" s="1585" t="s">
        <v>415</v>
      </c>
      <c r="L692" s="2229">
        <v>23173</v>
      </c>
      <c r="M692" s="1585"/>
      <c r="N692" s="1393"/>
      <c r="O692" s="2230">
        <v>166.75</v>
      </c>
      <c r="P692" s="2231">
        <v>4</v>
      </c>
      <c r="Q692" s="2232">
        <f>O692*P692</f>
        <v>667</v>
      </c>
      <c r="R692" s="1714"/>
      <c r="S692" s="299"/>
      <c r="T692" s="299"/>
      <c r="U692" s="299">
        <v>4200</v>
      </c>
      <c r="V692" s="299">
        <v>4200</v>
      </c>
      <c r="W692" s="299"/>
      <c r="X692" s="1142"/>
      <c r="Y692" s="1127"/>
      <c r="Z692" s="1127"/>
      <c r="AA692" s="1127"/>
      <c r="AB692" s="1127"/>
      <c r="AC692" s="1127"/>
      <c r="AD692" s="1127"/>
      <c r="AE692" s="1127"/>
      <c r="AF692" s="1127"/>
      <c r="AG692" s="1164"/>
    </row>
    <row r="693" spans="1:33" ht="94.5" outlineLevel="2">
      <c r="A693" s="294">
        <v>6313</v>
      </c>
      <c r="B693" s="291" t="s">
        <v>416</v>
      </c>
      <c r="C693" s="824" t="s">
        <v>417</v>
      </c>
      <c r="D693" s="326"/>
      <c r="E693" s="294"/>
      <c r="F693" s="293">
        <v>43294</v>
      </c>
      <c r="G693" s="293">
        <v>43294</v>
      </c>
      <c r="H693" s="1875" t="s">
        <v>406</v>
      </c>
      <c r="I693" s="294" t="s">
        <v>181</v>
      </c>
      <c r="J693" s="307" t="s">
        <v>411</v>
      </c>
      <c r="K693" s="326" t="s">
        <v>418</v>
      </c>
      <c r="L693" s="1237">
        <v>23173</v>
      </c>
      <c r="M693" s="326"/>
      <c r="N693" s="294"/>
      <c r="O693" s="354">
        <v>666.66666666666799</v>
      </c>
      <c r="P693" s="1967">
        <v>1</v>
      </c>
      <c r="Q693" s="1126">
        <f>O693*P693</f>
        <v>666.66666666666799</v>
      </c>
      <c r="R693" s="1714"/>
      <c r="S693" s="299"/>
      <c r="T693" s="299"/>
      <c r="U693" s="299">
        <v>4000</v>
      </c>
      <c r="V693" s="299">
        <v>4000</v>
      </c>
      <c r="W693" s="299"/>
      <c r="X693" s="1142"/>
      <c r="Y693" s="1127"/>
      <c r="Z693" s="1127"/>
      <c r="AA693" s="1127"/>
      <c r="AB693" s="1127"/>
      <c r="AC693" s="1127"/>
      <c r="AD693" s="1127"/>
      <c r="AE693" s="1127"/>
      <c r="AF693" s="1127"/>
      <c r="AG693" s="1164"/>
    </row>
    <row r="694" spans="1:33" ht="94.5" outlineLevel="2">
      <c r="A694" s="1621">
        <v>6313</v>
      </c>
      <c r="B694" s="2040" t="s">
        <v>416</v>
      </c>
      <c r="C694" s="1616" t="s">
        <v>417</v>
      </c>
      <c r="D694" s="1680"/>
      <c r="E694" s="1621"/>
      <c r="F694" s="1620">
        <v>43294</v>
      </c>
      <c r="G694" s="1620">
        <v>43294</v>
      </c>
      <c r="H694" s="1875" t="s">
        <v>406</v>
      </c>
      <c r="I694" s="1621" t="s">
        <v>181</v>
      </c>
      <c r="J694" s="1622" t="s">
        <v>411</v>
      </c>
      <c r="K694" s="1680" t="s">
        <v>415</v>
      </c>
      <c r="L694" s="2043">
        <v>23173</v>
      </c>
      <c r="M694" s="1680"/>
      <c r="N694" s="1621"/>
      <c r="O694" s="1681">
        <v>333.33333333333331</v>
      </c>
      <c r="P694" s="2226">
        <v>1</v>
      </c>
      <c r="Q694" s="2044">
        <f>O694*P694</f>
        <v>333.33333333333331</v>
      </c>
      <c r="R694" s="1714"/>
      <c r="S694" s="299"/>
      <c r="T694" s="299"/>
      <c r="U694" s="299">
        <v>1666.5</v>
      </c>
      <c r="V694" s="299">
        <v>1666.5</v>
      </c>
      <c r="W694" s="299"/>
      <c r="X694" s="1142"/>
      <c r="Y694" s="1127"/>
      <c r="Z694" s="1127"/>
      <c r="AA694" s="1127"/>
      <c r="AB694" s="1127"/>
      <c r="AC694" s="1127"/>
      <c r="AD694" s="1127"/>
      <c r="AE694" s="1127"/>
      <c r="AF694" s="1127"/>
      <c r="AG694" s="1164"/>
    </row>
    <row r="695" spans="1:33" ht="39.950000000000003" customHeight="1" outlineLevel="1">
      <c r="A695" s="1997"/>
      <c r="B695" s="1740"/>
      <c r="C695" s="2141"/>
      <c r="D695" s="1997"/>
      <c r="E695" s="1997"/>
      <c r="F695" s="2153"/>
      <c r="G695" s="2153"/>
      <c r="H695" s="1997"/>
      <c r="I695" s="1997"/>
      <c r="J695" s="1740"/>
      <c r="K695" s="1997"/>
      <c r="L695" s="1748" t="s">
        <v>1053</v>
      </c>
      <c r="M695" s="1997"/>
      <c r="N695" s="1997"/>
      <c r="O695" s="1998"/>
      <c r="P695" s="2235"/>
      <c r="Q695" s="1998">
        <f>SUBTOTAL(9,Q692:Q694)</f>
        <v>1667.0000000000011</v>
      </c>
      <c r="R695" s="1714"/>
      <c r="S695" s="1127"/>
      <c r="T695" s="1127"/>
      <c r="U695" s="1127"/>
      <c r="V695" s="1127"/>
      <c r="W695" s="1127"/>
      <c r="X695" s="2149"/>
      <c r="Y695" s="1127"/>
      <c r="Z695" s="1127"/>
      <c r="AA695" s="1127"/>
      <c r="AB695" s="1127"/>
      <c r="AC695" s="1127"/>
      <c r="AD695" s="1127"/>
      <c r="AE695" s="1127"/>
      <c r="AF695" s="1127"/>
      <c r="AG695" s="1164"/>
    </row>
    <row r="696" spans="1:33" ht="94.5" outlineLevel="2">
      <c r="A696" s="1393">
        <v>6312</v>
      </c>
      <c r="B696" s="2228" t="s">
        <v>409</v>
      </c>
      <c r="C696" s="2173" t="s">
        <v>410</v>
      </c>
      <c r="D696" s="1585"/>
      <c r="E696" s="1393"/>
      <c r="F696" s="1900">
        <v>43241</v>
      </c>
      <c r="G696" s="1900">
        <v>43273</v>
      </c>
      <c r="H696" s="1875" t="s">
        <v>406</v>
      </c>
      <c r="I696" s="1393" t="s">
        <v>181</v>
      </c>
      <c r="J696" s="557" t="s">
        <v>411</v>
      </c>
      <c r="K696" s="1585" t="s">
        <v>412</v>
      </c>
      <c r="L696" s="2229">
        <v>23174</v>
      </c>
      <c r="M696" s="1585"/>
      <c r="N696" s="1393"/>
      <c r="O696" s="2230">
        <v>2100</v>
      </c>
      <c r="P696" s="2231">
        <v>4</v>
      </c>
      <c r="Q696" s="2232">
        <f>O696*P696</f>
        <v>8400</v>
      </c>
      <c r="R696" s="1714"/>
      <c r="S696" s="299"/>
      <c r="T696" s="299"/>
      <c r="U696" s="299">
        <v>333.5</v>
      </c>
      <c r="V696" s="299">
        <v>333.5</v>
      </c>
      <c r="W696" s="299"/>
      <c r="X696" s="1142"/>
      <c r="Y696" s="1127"/>
      <c r="Z696" s="1127"/>
      <c r="AA696" s="1127"/>
      <c r="AB696" s="1127"/>
      <c r="AC696" s="1127"/>
      <c r="AD696" s="1127"/>
      <c r="AE696" s="1127"/>
      <c r="AF696" s="1127"/>
      <c r="AG696" s="1164"/>
    </row>
    <row r="697" spans="1:33" ht="94.5" outlineLevel="2">
      <c r="A697" s="294">
        <v>6312</v>
      </c>
      <c r="B697" s="291" t="s">
        <v>409</v>
      </c>
      <c r="C697" s="824" t="s">
        <v>410</v>
      </c>
      <c r="D697" s="326"/>
      <c r="E697" s="294"/>
      <c r="F697" s="293">
        <v>43241</v>
      </c>
      <c r="G697" s="293">
        <v>43273</v>
      </c>
      <c r="H697" s="1875" t="s">
        <v>406</v>
      </c>
      <c r="I697" s="294" t="s">
        <v>181</v>
      </c>
      <c r="J697" s="307" t="s">
        <v>411</v>
      </c>
      <c r="K697" s="326" t="s">
        <v>413</v>
      </c>
      <c r="L697" s="1237">
        <v>23174</v>
      </c>
      <c r="M697" s="326"/>
      <c r="N697" s="294"/>
      <c r="O697" s="354">
        <v>2000</v>
      </c>
      <c r="P697" s="1967">
        <v>4</v>
      </c>
      <c r="Q697" s="1126">
        <f>O697*P697</f>
        <v>8000</v>
      </c>
      <c r="R697" s="1714"/>
      <c r="S697" s="299"/>
      <c r="T697" s="299"/>
      <c r="U697" s="299"/>
      <c r="V697" s="299"/>
      <c r="W697" s="299">
        <v>666.66666666666799</v>
      </c>
      <c r="X697" s="1142"/>
      <c r="Y697" s="1127"/>
      <c r="Z697" s="1127"/>
      <c r="AA697" s="1127"/>
      <c r="AB697" s="1127"/>
      <c r="AC697" s="1127"/>
      <c r="AD697" s="1127"/>
      <c r="AE697" s="1127"/>
      <c r="AF697" s="1127"/>
      <c r="AG697" s="1164"/>
    </row>
    <row r="698" spans="1:33" ht="94.5" outlineLevel="2">
      <c r="A698" s="1621">
        <v>6312</v>
      </c>
      <c r="B698" s="2040" t="s">
        <v>409</v>
      </c>
      <c r="C698" s="1616" t="s">
        <v>410</v>
      </c>
      <c r="D698" s="1680"/>
      <c r="E698" s="1621"/>
      <c r="F698" s="1620">
        <v>43241</v>
      </c>
      <c r="G698" s="1620">
        <v>43273</v>
      </c>
      <c r="H698" s="1875" t="s">
        <v>406</v>
      </c>
      <c r="I698" s="1621" t="s">
        <v>181</v>
      </c>
      <c r="J698" s="1622" t="s">
        <v>411</v>
      </c>
      <c r="K698" s="1680" t="s">
        <v>414</v>
      </c>
      <c r="L698" s="2043">
        <v>23174</v>
      </c>
      <c r="M698" s="1680"/>
      <c r="N698" s="1621"/>
      <c r="O698" s="1681">
        <v>833.25</v>
      </c>
      <c r="P698" s="2226">
        <v>4</v>
      </c>
      <c r="Q698" s="2044">
        <f>O698*P698</f>
        <v>3333</v>
      </c>
      <c r="R698" s="1714"/>
      <c r="S698" s="299"/>
      <c r="T698" s="299"/>
      <c r="U698" s="299"/>
      <c r="V698" s="299"/>
      <c r="W698" s="299">
        <v>333.33333333333331</v>
      </c>
      <c r="X698" s="1142"/>
      <c r="Y698" s="1127"/>
      <c r="Z698" s="1127"/>
      <c r="AA698" s="1127"/>
      <c r="AB698" s="1127"/>
      <c r="AC698" s="1127"/>
      <c r="AD698" s="1127"/>
      <c r="AE698" s="1127"/>
      <c r="AF698" s="1127"/>
      <c r="AG698" s="1164"/>
    </row>
    <row r="699" spans="1:33" ht="39.950000000000003" customHeight="1" outlineLevel="1">
      <c r="A699" s="1997"/>
      <c r="B699" s="1740"/>
      <c r="C699" s="2141"/>
      <c r="D699" s="1997"/>
      <c r="E699" s="1997"/>
      <c r="F699" s="2153"/>
      <c r="G699" s="2153"/>
      <c r="H699" s="1997"/>
      <c r="I699" s="1997"/>
      <c r="J699" s="1740"/>
      <c r="K699" s="1997"/>
      <c r="L699" s="1748" t="s">
        <v>1051</v>
      </c>
      <c r="M699" s="1997"/>
      <c r="N699" s="1997"/>
      <c r="O699" s="1998"/>
      <c r="P699" s="2235"/>
      <c r="Q699" s="1998">
        <f>SUBTOTAL(9,Q696:Q698)</f>
        <v>19733</v>
      </c>
      <c r="R699" s="1714"/>
      <c r="S699" s="1127"/>
      <c r="T699" s="1127"/>
      <c r="U699" s="1127"/>
      <c r="V699" s="1127"/>
      <c r="W699" s="1127"/>
      <c r="X699" s="2149"/>
      <c r="Y699" s="1127"/>
      <c r="Z699" s="1127"/>
      <c r="AA699" s="1127"/>
      <c r="AB699" s="1127"/>
      <c r="AC699" s="1127"/>
      <c r="AD699" s="1127"/>
      <c r="AE699" s="1127"/>
      <c r="AF699" s="1127"/>
      <c r="AG699" s="1164"/>
    </row>
    <row r="700" spans="1:33" ht="39.950000000000003" customHeight="1">
      <c r="A700" s="1997"/>
      <c r="B700" s="1740"/>
      <c r="C700" s="2141"/>
      <c r="D700" s="1997"/>
      <c r="E700" s="1997"/>
      <c r="F700" s="2153"/>
      <c r="G700" s="2153"/>
      <c r="H700" s="1997"/>
      <c r="I700" s="1997"/>
      <c r="J700" s="1740"/>
      <c r="K700" s="1997"/>
      <c r="L700" s="1748" t="s">
        <v>1052</v>
      </c>
      <c r="M700" s="1997"/>
      <c r="N700" s="1997"/>
      <c r="O700" s="1998"/>
      <c r="P700" s="2235"/>
      <c r="Q700" s="1998">
        <f>SUBTOTAL(9,Q690:Q698)</f>
        <v>39400</v>
      </c>
      <c r="R700" s="1714"/>
      <c r="S700" s="1127"/>
      <c r="T700" s="1127"/>
      <c r="U700" s="1127"/>
      <c r="V700" s="1127"/>
      <c r="W700" s="1127"/>
      <c r="X700" s="2149"/>
      <c r="Y700" s="1127"/>
      <c r="Z700" s="1127"/>
      <c r="AA700" s="1127"/>
      <c r="AB700" s="1127"/>
      <c r="AC700" s="1127"/>
      <c r="AD700" s="1127"/>
      <c r="AE700" s="1127"/>
      <c r="AF700" s="1127"/>
      <c r="AG700" s="1164"/>
    </row>
    <row r="701" spans="1:33" ht="47.25">
      <c r="A701" s="2179">
        <v>632</v>
      </c>
      <c r="B701" s="2191" t="s">
        <v>141</v>
      </c>
      <c r="C701" s="2211"/>
      <c r="D701" s="2183"/>
      <c r="E701" s="2183"/>
      <c r="F701" s="2183"/>
      <c r="G701" s="2183"/>
      <c r="H701" s="2183"/>
      <c r="I701" s="2183"/>
      <c r="J701" s="2180"/>
      <c r="K701" s="2181"/>
      <c r="L701" s="2182"/>
      <c r="M701" s="2183"/>
      <c r="N701" s="2184"/>
      <c r="O701" s="2185"/>
      <c r="P701" s="2233"/>
      <c r="Q701" s="2187">
        <f>+Q703+Q711+Q718</f>
        <v>90344.98000000001</v>
      </c>
      <c r="R701" s="1716"/>
      <c r="S701" s="1282">
        <f t="shared" ref="S701:AF701" si="119">SUM(S702:S717)</f>
        <v>0</v>
      </c>
      <c r="T701" s="1282">
        <f t="shared" si="119"/>
        <v>6750</v>
      </c>
      <c r="U701" s="1282">
        <f t="shared" si="119"/>
        <v>17583</v>
      </c>
      <c r="V701" s="1282">
        <f t="shared" si="119"/>
        <v>20119.986666666668</v>
      </c>
      <c r="W701" s="1282">
        <f t="shared" si="119"/>
        <v>27725.993333333332</v>
      </c>
      <c r="X701" s="1282">
        <f t="shared" si="119"/>
        <v>18166</v>
      </c>
      <c r="Y701" s="1282">
        <f t="shared" si="119"/>
        <v>0</v>
      </c>
      <c r="Z701" s="1282">
        <f t="shared" si="119"/>
        <v>0</v>
      </c>
      <c r="AA701" s="1282">
        <f t="shared" si="119"/>
        <v>0</v>
      </c>
      <c r="AB701" s="1282">
        <f t="shared" si="119"/>
        <v>0</v>
      </c>
      <c r="AC701" s="1282">
        <f t="shared" si="119"/>
        <v>0</v>
      </c>
      <c r="AD701" s="1282">
        <f t="shared" si="119"/>
        <v>0</v>
      </c>
      <c r="AE701" s="1282">
        <f t="shared" si="119"/>
        <v>0</v>
      </c>
      <c r="AF701" s="1282">
        <f t="shared" si="119"/>
        <v>0</v>
      </c>
      <c r="AG701" s="1282">
        <f>SUM(S701:AF701)</f>
        <v>90344.98</v>
      </c>
    </row>
    <row r="702" spans="1:33" ht="62.45" customHeight="1" outlineLevel="2">
      <c r="A702" s="1621">
        <v>6321</v>
      </c>
      <c r="B702" s="2040" t="s">
        <v>419</v>
      </c>
      <c r="C702" s="1616" t="s">
        <v>420</v>
      </c>
      <c r="D702" s="1680"/>
      <c r="E702" s="1621"/>
      <c r="F702" s="2237">
        <v>43205</v>
      </c>
      <c r="G702" s="2237">
        <v>43311</v>
      </c>
      <c r="H702" s="1875" t="s">
        <v>421</v>
      </c>
      <c r="I702" s="1621" t="s">
        <v>181</v>
      </c>
      <c r="J702" s="1622" t="s">
        <v>407</v>
      </c>
      <c r="K702" s="1680" t="s">
        <v>408</v>
      </c>
      <c r="L702" s="2043">
        <v>2313</v>
      </c>
      <c r="M702" s="1680"/>
      <c r="N702" s="1621"/>
      <c r="O702" s="1681">
        <v>33750</v>
      </c>
      <c r="P702" s="2226">
        <v>1</v>
      </c>
      <c r="Q702" s="2227">
        <f>O702*P702</f>
        <v>33750</v>
      </c>
      <c r="R702" s="1714"/>
      <c r="S702" s="299"/>
      <c r="T702" s="299">
        <v>6750</v>
      </c>
      <c r="U702" s="299"/>
      <c r="V702" s="299"/>
      <c r="W702" s="299">
        <v>13500</v>
      </c>
      <c r="X702" s="1142">
        <v>13500</v>
      </c>
      <c r="Y702" s="1127"/>
      <c r="Z702" s="1127"/>
      <c r="AA702" s="1127"/>
      <c r="AB702" s="1127"/>
      <c r="AC702" s="1127"/>
      <c r="AD702" s="1127"/>
      <c r="AE702" s="1127"/>
      <c r="AF702" s="1127"/>
      <c r="AG702" s="1164"/>
    </row>
    <row r="703" spans="1:33" ht="39.950000000000003" customHeight="1" outlineLevel="1">
      <c r="A703" s="1997"/>
      <c r="B703" s="1740"/>
      <c r="C703" s="2141"/>
      <c r="D703" s="1997"/>
      <c r="E703" s="1997"/>
      <c r="F703" s="2246"/>
      <c r="G703" s="2246"/>
      <c r="H703" s="1997"/>
      <c r="I703" s="1997"/>
      <c r="J703" s="1740"/>
      <c r="K703" s="1997"/>
      <c r="L703" s="1748" t="s">
        <v>1055</v>
      </c>
      <c r="M703" s="1997"/>
      <c r="N703" s="1997"/>
      <c r="O703" s="1998"/>
      <c r="P703" s="2235"/>
      <c r="Q703" s="1998">
        <f>SUBTOTAL(9,Q702:Q702)</f>
        <v>33750</v>
      </c>
      <c r="R703" s="1714"/>
      <c r="S703" s="1127"/>
      <c r="T703" s="1127"/>
      <c r="U703" s="1127"/>
      <c r="V703" s="1127"/>
      <c r="W703" s="1127"/>
      <c r="X703" s="2149"/>
      <c r="Y703" s="1127"/>
      <c r="Z703" s="1127"/>
      <c r="AA703" s="1127"/>
      <c r="AB703" s="1127"/>
      <c r="AC703" s="1127"/>
      <c r="AD703" s="1127"/>
      <c r="AE703" s="1127"/>
      <c r="AF703" s="1127"/>
      <c r="AG703" s="1164"/>
    </row>
    <row r="704" spans="1:33" ht="141.75" outlineLevel="2">
      <c r="A704" s="1393">
        <v>6322</v>
      </c>
      <c r="B704" s="2228" t="s">
        <v>422</v>
      </c>
      <c r="C704" s="2173"/>
      <c r="D704" s="1585"/>
      <c r="E704" s="1393"/>
      <c r="F704" s="2239">
        <v>43227</v>
      </c>
      <c r="G704" s="2239">
        <v>43238</v>
      </c>
      <c r="H704" s="1875" t="s">
        <v>421</v>
      </c>
      <c r="I704" s="1393" t="s">
        <v>181</v>
      </c>
      <c r="J704" s="557" t="s">
        <v>423</v>
      </c>
      <c r="K704" s="1585" t="s">
        <v>415</v>
      </c>
      <c r="L704" s="2229">
        <v>23173</v>
      </c>
      <c r="M704" s="1585"/>
      <c r="N704" s="1393"/>
      <c r="O704" s="2230">
        <v>166.66666666666666</v>
      </c>
      <c r="P704" s="2231">
        <v>2</v>
      </c>
      <c r="Q704" s="2232">
        <f t="shared" ref="Q704:Q710" si="120">O704*P704</f>
        <v>333.33333333333331</v>
      </c>
      <c r="R704" s="1714"/>
      <c r="S704" s="355"/>
      <c r="T704" s="355"/>
      <c r="U704" s="355">
        <v>6720</v>
      </c>
      <c r="V704" s="355"/>
      <c r="W704" s="355"/>
      <c r="X704" s="1137"/>
      <c r="Y704" s="1126"/>
      <c r="Z704" s="1126"/>
      <c r="AA704" s="1126"/>
      <c r="AB704" s="1126"/>
      <c r="AC704" s="1126"/>
      <c r="AD704" s="1126"/>
      <c r="AE704" s="1126"/>
      <c r="AF704" s="1126"/>
      <c r="AG704" s="1156"/>
    </row>
    <row r="705" spans="1:33" ht="141.75" outlineLevel="2">
      <c r="A705" s="294">
        <v>6322</v>
      </c>
      <c r="B705" s="291" t="s">
        <v>422</v>
      </c>
      <c r="C705" s="824"/>
      <c r="D705" s="326"/>
      <c r="E705" s="294"/>
      <c r="F705" s="1017">
        <v>43227</v>
      </c>
      <c r="G705" s="1017">
        <v>43238</v>
      </c>
      <c r="H705" s="1875" t="s">
        <v>421</v>
      </c>
      <c r="I705" s="294" t="s">
        <v>181</v>
      </c>
      <c r="J705" s="307" t="s">
        <v>423</v>
      </c>
      <c r="K705" s="326" t="s">
        <v>427</v>
      </c>
      <c r="L705" s="1237">
        <v>23173</v>
      </c>
      <c r="M705" s="326"/>
      <c r="N705" s="294"/>
      <c r="O705" s="354">
        <v>1463</v>
      </c>
      <c r="P705" s="1967">
        <v>1</v>
      </c>
      <c r="Q705" s="1126">
        <f t="shared" si="120"/>
        <v>1463</v>
      </c>
      <c r="R705" s="1714"/>
      <c r="S705" s="355"/>
      <c r="T705" s="355"/>
      <c r="U705" s="355">
        <v>6400</v>
      </c>
      <c r="V705" s="355"/>
      <c r="W705" s="355"/>
      <c r="X705" s="1137"/>
      <c r="Y705" s="1126"/>
      <c r="Z705" s="1126"/>
      <c r="AA705" s="1126"/>
      <c r="AB705" s="1126"/>
      <c r="AC705" s="1126"/>
      <c r="AD705" s="1126"/>
      <c r="AE705" s="1126"/>
      <c r="AF705" s="1126"/>
      <c r="AG705" s="1156"/>
    </row>
    <row r="706" spans="1:33" ht="141.75" outlineLevel="2">
      <c r="A706" s="294">
        <v>6323</v>
      </c>
      <c r="B706" s="291" t="s">
        <v>428</v>
      </c>
      <c r="C706" s="824" t="s">
        <v>429</v>
      </c>
      <c r="D706" s="326"/>
      <c r="E706" s="294"/>
      <c r="F706" s="1017">
        <v>43264</v>
      </c>
      <c r="G706" s="1017">
        <v>43264</v>
      </c>
      <c r="H706" s="1875" t="s">
        <v>421</v>
      </c>
      <c r="I706" s="294" t="s">
        <v>181</v>
      </c>
      <c r="J706" s="307" t="s">
        <v>423</v>
      </c>
      <c r="K706" s="326" t="s">
        <v>418</v>
      </c>
      <c r="L706" s="1237">
        <v>23173</v>
      </c>
      <c r="M706" s="326"/>
      <c r="N706" s="294"/>
      <c r="O706" s="354">
        <v>666.66666666666663</v>
      </c>
      <c r="P706" s="1967">
        <v>1</v>
      </c>
      <c r="Q706" s="1126">
        <f t="shared" si="120"/>
        <v>666.66666666666663</v>
      </c>
      <c r="R706" s="1714"/>
      <c r="S706" s="355"/>
      <c r="T706" s="355"/>
      <c r="U706" s="355">
        <v>2666.6666666666665</v>
      </c>
      <c r="V706" s="355"/>
      <c r="W706" s="355"/>
      <c r="X706" s="1137"/>
      <c r="Y706" s="1126"/>
      <c r="Z706" s="1126"/>
      <c r="AA706" s="1126"/>
      <c r="AB706" s="1126"/>
      <c r="AC706" s="1126"/>
      <c r="AD706" s="1126"/>
      <c r="AE706" s="1126"/>
      <c r="AF706" s="1126"/>
      <c r="AG706" s="1156"/>
    </row>
    <row r="707" spans="1:33" ht="141.75" outlineLevel="2">
      <c r="A707" s="294">
        <v>6323</v>
      </c>
      <c r="B707" s="291" t="s">
        <v>428</v>
      </c>
      <c r="C707" s="824" t="s">
        <v>429</v>
      </c>
      <c r="D707" s="326"/>
      <c r="E707" s="294"/>
      <c r="F707" s="1017">
        <v>43264</v>
      </c>
      <c r="G707" s="1017">
        <v>43264</v>
      </c>
      <c r="H707" s="1875" t="s">
        <v>421</v>
      </c>
      <c r="I707" s="294" t="s">
        <v>181</v>
      </c>
      <c r="J707" s="307" t="s">
        <v>423</v>
      </c>
      <c r="K707" s="326" t="s">
        <v>415</v>
      </c>
      <c r="L707" s="1237">
        <v>23173</v>
      </c>
      <c r="M707" s="326"/>
      <c r="N707" s="294"/>
      <c r="O707" s="354">
        <v>333.33333333333331</v>
      </c>
      <c r="P707" s="1967">
        <v>1</v>
      </c>
      <c r="Q707" s="1126">
        <f t="shared" si="120"/>
        <v>333.33333333333331</v>
      </c>
      <c r="R707" s="1714"/>
      <c r="S707" s="355"/>
      <c r="T707" s="355"/>
      <c r="U707" s="355">
        <v>333.33333333333331</v>
      </c>
      <c r="V707" s="355"/>
      <c r="W707" s="355"/>
      <c r="X707" s="1137"/>
      <c r="Y707" s="1126"/>
      <c r="Z707" s="1126"/>
      <c r="AA707" s="1126"/>
      <c r="AB707" s="1126"/>
      <c r="AC707" s="1126"/>
      <c r="AD707" s="1126"/>
      <c r="AE707" s="1126"/>
      <c r="AF707" s="1126"/>
      <c r="AG707" s="1156"/>
    </row>
    <row r="708" spans="1:33" ht="141.75" outlineLevel="2">
      <c r="A708" s="294">
        <v>6323</v>
      </c>
      <c r="B708" s="291" t="s">
        <v>428</v>
      </c>
      <c r="C708" s="824" t="s">
        <v>429</v>
      </c>
      <c r="D708" s="326"/>
      <c r="E708" s="294"/>
      <c r="F708" s="1017">
        <v>43264</v>
      </c>
      <c r="G708" s="1017">
        <v>43264</v>
      </c>
      <c r="H708" s="1875" t="s">
        <v>421</v>
      </c>
      <c r="I708" s="294" t="s">
        <v>181</v>
      </c>
      <c r="J708" s="307" t="s">
        <v>423</v>
      </c>
      <c r="K708" s="326" t="s">
        <v>430</v>
      </c>
      <c r="L708" s="1237">
        <v>23173</v>
      </c>
      <c r="M708" s="326"/>
      <c r="N708" s="294"/>
      <c r="O708" s="354">
        <v>23.33</v>
      </c>
      <c r="P708" s="1967">
        <v>200</v>
      </c>
      <c r="Q708" s="1126">
        <f t="shared" si="120"/>
        <v>4666</v>
      </c>
      <c r="R708" s="1714"/>
      <c r="S708" s="355"/>
      <c r="T708" s="355"/>
      <c r="U708" s="355">
        <v>1463</v>
      </c>
      <c r="V708" s="355"/>
      <c r="W708" s="355"/>
      <c r="X708" s="1137"/>
      <c r="Y708" s="1126"/>
      <c r="Z708" s="1126"/>
      <c r="AA708" s="1126"/>
      <c r="AB708" s="1126"/>
      <c r="AC708" s="1126"/>
      <c r="AD708" s="1126"/>
      <c r="AE708" s="1126"/>
      <c r="AF708" s="1126"/>
      <c r="AG708" s="1156"/>
    </row>
    <row r="709" spans="1:33" ht="141.75" outlineLevel="2">
      <c r="A709" s="294">
        <v>6324</v>
      </c>
      <c r="B709" s="291" t="s">
        <v>431</v>
      </c>
      <c r="C709" s="824" t="s">
        <v>432</v>
      </c>
      <c r="D709" s="326"/>
      <c r="E709" s="294"/>
      <c r="F709" s="1017">
        <v>43255</v>
      </c>
      <c r="G709" s="1017">
        <v>43287</v>
      </c>
      <c r="H709" s="1875" t="s">
        <v>421</v>
      </c>
      <c r="I709" s="294" t="s">
        <v>181</v>
      </c>
      <c r="J709" s="307" t="s">
        <v>423</v>
      </c>
      <c r="K709" s="326" t="s">
        <v>415</v>
      </c>
      <c r="L709" s="1237">
        <v>23173</v>
      </c>
      <c r="M709" s="326"/>
      <c r="N709" s="294"/>
      <c r="O709" s="354">
        <v>1666.66</v>
      </c>
      <c r="P709" s="1967">
        <v>3</v>
      </c>
      <c r="Q709" s="1126">
        <f t="shared" si="120"/>
        <v>4999.9800000000005</v>
      </c>
      <c r="R709" s="1714"/>
      <c r="S709" s="355"/>
      <c r="T709" s="355"/>
      <c r="U709" s="355"/>
      <c r="V709" s="355">
        <v>666.66666666666663</v>
      </c>
      <c r="W709" s="355"/>
      <c r="X709" s="1137"/>
      <c r="Y709" s="1126"/>
      <c r="Z709" s="1126"/>
      <c r="AA709" s="1126"/>
      <c r="AB709" s="1126"/>
      <c r="AC709" s="1126"/>
      <c r="AD709" s="1126"/>
      <c r="AE709" s="1126"/>
      <c r="AF709" s="1126"/>
      <c r="AG709" s="1156"/>
    </row>
    <row r="710" spans="1:33" ht="141.75" outlineLevel="2">
      <c r="A710" s="1621">
        <v>6324</v>
      </c>
      <c r="B710" s="2040" t="s">
        <v>431</v>
      </c>
      <c r="C710" s="1616" t="s">
        <v>432</v>
      </c>
      <c r="D710" s="1680"/>
      <c r="E710" s="1621"/>
      <c r="F710" s="2238">
        <v>43255</v>
      </c>
      <c r="G710" s="2238">
        <v>43287</v>
      </c>
      <c r="H710" s="1875" t="s">
        <v>421</v>
      </c>
      <c r="I710" s="1621" t="s">
        <v>181</v>
      </c>
      <c r="J710" s="1622" t="s">
        <v>423</v>
      </c>
      <c r="K710" s="1680" t="s">
        <v>436</v>
      </c>
      <c r="L710" s="2043">
        <v>23173</v>
      </c>
      <c r="M710" s="1680"/>
      <c r="N710" s="1621"/>
      <c r="O710" s="1681">
        <v>23.33</v>
      </c>
      <c r="P710" s="2226">
        <v>200</v>
      </c>
      <c r="Q710" s="2044">
        <f t="shared" si="120"/>
        <v>4666</v>
      </c>
      <c r="R710" s="1714"/>
      <c r="S710" s="355"/>
      <c r="T710" s="355"/>
      <c r="U710" s="355"/>
      <c r="V710" s="355">
        <v>333.33333333333331</v>
      </c>
      <c r="W710" s="355"/>
      <c r="X710" s="1137"/>
      <c r="Y710" s="1126"/>
      <c r="Z710" s="1126"/>
      <c r="AA710" s="1126"/>
      <c r="AB710" s="1126"/>
      <c r="AC710" s="1126"/>
      <c r="AD710" s="1126"/>
      <c r="AE710" s="1126"/>
      <c r="AF710" s="1126"/>
      <c r="AG710" s="1156"/>
    </row>
    <row r="711" spans="1:33" ht="39.950000000000003" customHeight="1" outlineLevel="1">
      <c r="A711" s="1997"/>
      <c r="B711" s="1740"/>
      <c r="C711" s="2141"/>
      <c r="D711" s="1997"/>
      <c r="E711" s="1997"/>
      <c r="F711" s="2153"/>
      <c r="G711" s="2153"/>
      <c r="H711" s="1997"/>
      <c r="I711" s="1997"/>
      <c r="J711" s="1740"/>
      <c r="K711" s="1997"/>
      <c r="L711" s="1748" t="s">
        <v>1053</v>
      </c>
      <c r="M711" s="1997"/>
      <c r="N711" s="1997"/>
      <c r="O711" s="1998"/>
      <c r="P711" s="2235"/>
      <c r="Q711" s="1998">
        <f>SUBTOTAL(9,Q704:Q710)</f>
        <v>17128.313333333335</v>
      </c>
      <c r="R711" s="1714"/>
      <c r="S711" s="1126"/>
      <c r="T711" s="1126"/>
      <c r="U711" s="1126"/>
      <c r="V711" s="1126"/>
      <c r="W711" s="1126"/>
      <c r="X711" s="1672"/>
      <c r="Y711" s="1126"/>
      <c r="Z711" s="1126"/>
      <c r="AA711" s="1126"/>
      <c r="AB711" s="1126"/>
      <c r="AC711" s="1126"/>
      <c r="AD711" s="1126"/>
      <c r="AE711" s="1126"/>
      <c r="AF711" s="1126"/>
      <c r="AG711" s="1156"/>
    </row>
    <row r="712" spans="1:33" ht="141.75" outlineLevel="2">
      <c r="A712" s="1393">
        <v>6322</v>
      </c>
      <c r="B712" s="2228" t="s">
        <v>422</v>
      </c>
      <c r="C712" s="2173"/>
      <c r="D712" s="1585"/>
      <c r="E712" s="1393"/>
      <c r="F712" s="2239">
        <v>43227</v>
      </c>
      <c r="G712" s="2239">
        <v>43238</v>
      </c>
      <c r="H712" s="1875" t="s">
        <v>421</v>
      </c>
      <c r="I712" s="1393" t="s">
        <v>181</v>
      </c>
      <c r="J712" s="557" t="s">
        <v>423</v>
      </c>
      <c r="K712" s="1585" t="s">
        <v>424</v>
      </c>
      <c r="L712" s="2229">
        <v>23174</v>
      </c>
      <c r="M712" s="1585"/>
      <c r="N712" s="1393"/>
      <c r="O712" s="2230">
        <v>3360</v>
      </c>
      <c r="P712" s="2231">
        <v>2</v>
      </c>
      <c r="Q712" s="2232">
        <f t="shared" ref="Q712:Q717" si="121">O712*P712</f>
        <v>6720</v>
      </c>
      <c r="R712" s="1714"/>
      <c r="S712" s="355"/>
      <c r="T712" s="355"/>
      <c r="U712" s="355"/>
      <c r="V712" s="355"/>
      <c r="W712" s="355">
        <v>4666</v>
      </c>
      <c r="X712" s="1137"/>
      <c r="Y712" s="1126"/>
      <c r="Z712" s="1126"/>
      <c r="AA712" s="1126"/>
      <c r="AB712" s="1126"/>
      <c r="AC712" s="1126"/>
      <c r="AD712" s="1126"/>
      <c r="AE712" s="1126"/>
      <c r="AF712" s="1126"/>
      <c r="AG712" s="1156"/>
    </row>
    <row r="713" spans="1:33" ht="141.75" outlineLevel="2">
      <c r="A713" s="294">
        <v>6322</v>
      </c>
      <c r="B713" s="291" t="s">
        <v>422</v>
      </c>
      <c r="C713" s="824"/>
      <c r="D713" s="326"/>
      <c r="E713" s="294"/>
      <c r="F713" s="1017">
        <v>43227</v>
      </c>
      <c r="G713" s="1017">
        <v>43238</v>
      </c>
      <c r="H713" s="1875" t="s">
        <v>421</v>
      </c>
      <c r="I713" s="294" t="s">
        <v>181</v>
      </c>
      <c r="J713" s="307" t="s">
        <v>423</v>
      </c>
      <c r="K713" s="326" t="s">
        <v>425</v>
      </c>
      <c r="L713" s="1237">
        <v>23174</v>
      </c>
      <c r="M713" s="326"/>
      <c r="N713" s="294"/>
      <c r="O713" s="354">
        <v>3200</v>
      </c>
      <c r="P713" s="1967">
        <v>2</v>
      </c>
      <c r="Q713" s="1126">
        <f t="shared" si="121"/>
        <v>6400</v>
      </c>
      <c r="R713" s="1714"/>
      <c r="S713" s="355"/>
      <c r="T713" s="355"/>
      <c r="U713" s="355"/>
      <c r="V713" s="299">
        <f>10080*2/3</f>
        <v>6720</v>
      </c>
      <c r="W713" s="299">
        <f>10080*1/3</f>
        <v>3360</v>
      </c>
      <c r="X713" s="1137"/>
      <c r="Y713" s="1126"/>
      <c r="Z713" s="1126"/>
      <c r="AA713" s="1126"/>
      <c r="AB713" s="1126"/>
      <c r="AC713" s="1126"/>
      <c r="AD713" s="1126"/>
      <c r="AE713" s="1126"/>
      <c r="AF713" s="1126"/>
      <c r="AG713" s="1156"/>
    </row>
    <row r="714" spans="1:33" ht="141.75" outlineLevel="2">
      <c r="A714" s="294">
        <v>6322</v>
      </c>
      <c r="B714" s="291" t="s">
        <v>422</v>
      </c>
      <c r="C714" s="824"/>
      <c r="D714" s="326"/>
      <c r="E714" s="294"/>
      <c r="F714" s="1017">
        <v>43227</v>
      </c>
      <c r="G714" s="1017">
        <v>43238</v>
      </c>
      <c r="H714" s="1875" t="s">
        <v>421</v>
      </c>
      <c r="I714" s="294" t="s">
        <v>181</v>
      </c>
      <c r="J714" s="307" t="s">
        <v>423</v>
      </c>
      <c r="K714" s="326" t="s">
        <v>426</v>
      </c>
      <c r="L714" s="1237">
        <v>23174</v>
      </c>
      <c r="M714" s="326"/>
      <c r="N714" s="294"/>
      <c r="O714" s="354">
        <v>1333.3333333333333</v>
      </c>
      <c r="P714" s="1967">
        <v>2</v>
      </c>
      <c r="Q714" s="1126">
        <f t="shared" si="121"/>
        <v>2666.6666666666665</v>
      </c>
      <c r="R714" s="1714"/>
      <c r="S714" s="355"/>
      <c r="T714" s="355"/>
      <c r="U714" s="355"/>
      <c r="V714" s="299">
        <f>9600*2/3</f>
        <v>6400</v>
      </c>
      <c r="W714" s="299">
        <f>9600*1/3</f>
        <v>3200</v>
      </c>
      <c r="X714" s="1137"/>
      <c r="Y714" s="1126"/>
      <c r="Z714" s="1126"/>
      <c r="AA714" s="1126"/>
      <c r="AB714" s="1126"/>
      <c r="AC714" s="1126"/>
      <c r="AD714" s="1126"/>
      <c r="AE714" s="1126"/>
      <c r="AF714" s="1126"/>
      <c r="AG714" s="1156"/>
    </row>
    <row r="715" spans="1:33" ht="141.75" outlineLevel="2">
      <c r="A715" s="294">
        <v>6324</v>
      </c>
      <c r="B715" s="291" t="s">
        <v>431</v>
      </c>
      <c r="C715" s="824" t="s">
        <v>432</v>
      </c>
      <c r="D715" s="326"/>
      <c r="E715" s="294"/>
      <c r="F715" s="1017">
        <v>43255</v>
      </c>
      <c r="G715" s="1017">
        <v>43287</v>
      </c>
      <c r="H715" s="1875" t="s">
        <v>421</v>
      </c>
      <c r="I715" s="294" t="s">
        <v>181</v>
      </c>
      <c r="J715" s="307" t="s">
        <v>423</v>
      </c>
      <c r="K715" s="326" t="s">
        <v>433</v>
      </c>
      <c r="L715" s="1237">
        <v>23174</v>
      </c>
      <c r="M715" s="326"/>
      <c r="N715" s="294"/>
      <c r="O715" s="354">
        <v>3360</v>
      </c>
      <c r="P715" s="1967">
        <v>3</v>
      </c>
      <c r="Q715" s="1126">
        <f t="shared" si="121"/>
        <v>10080</v>
      </c>
      <c r="R715" s="1714"/>
      <c r="S715" s="355"/>
      <c r="T715" s="355"/>
      <c r="U715" s="355"/>
      <c r="V715" s="299">
        <f>4000*2/3</f>
        <v>2666.6666666666665</v>
      </c>
      <c r="W715" s="299">
        <f>4000*1/3</f>
        <v>1333.3333333333333</v>
      </c>
      <c r="X715" s="1137"/>
      <c r="Y715" s="1126"/>
      <c r="Z715" s="1126"/>
      <c r="AA715" s="1126"/>
      <c r="AB715" s="1126"/>
      <c r="AC715" s="1126"/>
      <c r="AD715" s="1126"/>
      <c r="AE715" s="1126"/>
      <c r="AF715" s="1126"/>
      <c r="AG715" s="1156"/>
    </row>
    <row r="716" spans="1:33" ht="141.75" outlineLevel="2">
      <c r="A716" s="294">
        <v>6324</v>
      </c>
      <c r="B716" s="291" t="s">
        <v>431</v>
      </c>
      <c r="C716" s="824" t="s">
        <v>432</v>
      </c>
      <c r="D716" s="326"/>
      <c r="E716" s="294"/>
      <c r="F716" s="1017">
        <v>43255</v>
      </c>
      <c r="G716" s="1017">
        <v>43287</v>
      </c>
      <c r="H716" s="1875" t="s">
        <v>421</v>
      </c>
      <c r="I716" s="294" t="s">
        <v>181</v>
      </c>
      <c r="J716" s="307" t="s">
        <v>423</v>
      </c>
      <c r="K716" s="326" t="s">
        <v>434</v>
      </c>
      <c r="L716" s="1237">
        <v>23174</v>
      </c>
      <c r="M716" s="326"/>
      <c r="N716" s="294"/>
      <c r="O716" s="354">
        <v>3200</v>
      </c>
      <c r="P716" s="1967">
        <v>3</v>
      </c>
      <c r="Q716" s="1126">
        <f t="shared" si="121"/>
        <v>9600</v>
      </c>
      <c r="R716" s="1714"/>
      <c r="S716" s="355"/>
      <c r="T716" s="355"/>
      <c r="U716" s="355"/>
      <c r="V716" s="299">
        <f>4999.98*2/3</f>
        <v>3333.3199999999997</v>
      </c>
      <c r="W716" s="299">
        <f>4999.98*1/3</f>
        <v>1666.6599999999999</v>
      </c>
      <c r="X716" s="1137"/>
      <c r="Y716" s="1126"/>
      <c r="Z716" s="1126"/>
      <c r="AA716" s="1126"/>
      <c r="AB716" s="1126"/>
      <c r="AC716" s="1126"/>
      <c r="AD716" s="1126"/>
      <c r="AE716" s="1126"/>
      <c r="AF716" s="1126"/>
      <c r="AG716" s="1156"/>
    </row>
    <row r="717" spans="1:33" ht="141.75" outlineLevel="2">
      <c r="A717" s="1621">
        <v>6324</v>
      </c>
      <c r="B717" s="2040" t="s">
        <v>431</v>
      </c>
      <c r="C717" s="1616" t="s">
        <v>432</v>
      </c>
      <c r="D717" s="1680"/>
      <c r="E717" s="1621"/>
      <c r="F717" s="2238">
        <v>43255</v>
      </c>
      <c r="G717" s="2238">
        <v>43287</v>
      </c>
      <c r="H717" s="1875" t="s">
        <v>421</v>
      </c>
      <c r="I717" s="1621" t="s">
        <v>181</v>
      </c>
      <c r="J717" s="1622" t="s">
        <v>423</v>
      </c>
      <c r="K717" s="1680" t="s">
        <v>435</v>
      </c>
      <c r="L717" s="2043">
        <v>23174</v>
      </c>
      <c r="M717" s="1680"/>
      <c r="N717" s="1621"/>
      <c r="O717" s="1681">
        <v>1333.3333333333333</v>
      </c>
      <c r="P717" s="2226">
        <v>3</v>
      </c>
      <c r="Q717" s="2044">
        <f t="shared" si="121"/>
        <v>4000</v>
      </c>
      <c r="R717" s="1988"/>
      <c r="S717" s="1111"/>
      <c r="T717" s="1111"/>
      <c r="U717" s="1111"/>
      <c r="V717" s="1111"/>
      <c r="W717" s="1111"/>
      <c r="X717" s="1600">
        <v>4666</v>
      </c>
      <c r="Y717" s="1126"/>
      <c r="Z717" s="1126"/>
      <c r="AA717" s="1126"/>
      <c r="AB717" s="1126"/>
      <c r="AC717" s="1126"/>
      <c r="AD717" s="1126"/>
      <c r="AE717" s="1126"/>
      <c r="AF717" s="1126"/>
      <c r="AG717" s="1156"/>
    </row>
    <row r="718" spans="1:33" ht="39.950000000000003" customHeight="1" outlineLevel="1">
      <c r="A718" s="1997"/>
      <c r="B718" s="1740"/>
      <c r="C718" s="2141"/>
      <c r="D718" s="1997"/>
      <c r="E718" s="1997"/>
      <c r="F718" s="2153"/>
      <c r="G718" s="2153"/>
      <c r="H718" s="1997"/>
      <c r="I718" s="1997"/>
      <c r="J718" s="1740"/>
      <c r="K718" s="1997"/>
      <c r="L718" s="1748" t="s">
        <v>1051</v>
      </c>
      <c r="M718" s="1997"/>
      <c r="N718" s="1997"/>
      <c r="O718" s="1998"/>
      <c r="P718" s="2235"/>
      <c r="Q718" s="1998">
        <f>SUBTOTAL(9,Q712:Q717)</f>
        <v>39466.666666666664</v>
      </c>
      <c r="R718" s="2236"/>
      <c r="S718" s="2044"/>
      <c r="T718" s="2044"/>
      <c r="U718" s="2044"/>
      <c r="V718" s="2044"/>
      <c r="W718" s="2044"/>
      <c r="X718" s="2157"/>
      <c r="Y718" s="1126"/>
      <c r="Z718" s="1126"/>
      <c r="AA718" s="1126"/>
      <c r="AB718" s="1126"/>
      <c r="AC718" s="1126"/>
      <c r="AD718" s="1126"/>
      <c r="AE718" s="1126"/>
      <c r="AF718" s="1126"/>
      <c r="AG718" s="1156"/>
    </row>
    <row r="719" spans="1:33" ht="39.950000000000003" customHeight="1">
      <c r="A719" s="1997"/>
      <c r="B719" s="1740"/>
      <c r="C719" s="2141"/>
      <c r="D719" s="1997"/>
      <c r="E719" s="1997"/>
      <c r="F719" s="2153"/>
      <c r="G719" s="2153"/>
      <c r="H719" s="1997"/>
      <c r="I719" s="1997"/>
      <c r="J719" s="1740"/>
      <c r="K719" s="1997"/>
      <c r="L719" s="1748" t="s">
        <v>1052</v>
      </c>
      <c r="M719" s="1997"/>
      <c r="N719" s="1997"/>
      <c r="O719" s="1998"/>
      <c r="P719" s="2235"/>
      <c r="Q719" s="1998">
        <f>SUBTOTAL(9,Q702:Q717)</f>
        <v>90344.98000000001</v>
      </c>
      <c r="R719" s="2236"/>
      <c r="S719" s="2044"/>
      <c r="T719" s="2044"/>
      <c r="U719" s="2044"/>
      <c r="V719" s="2044"/>
      <c r="W719" s="2044"/>
      <c r="X719" s="2157"/>
      <c r="Y719" s="1126"/>
      <c r="Z719" s="1126"/>
      <c r="AA719" s="1126"/>
      <c r="AB719" s="1126"/>
      <c r="AC719" s="1126"/>
      <c r="AD719" s="1126"/>
      <c r="AE719" s="1126"/>
      <c r="AF719" s="1126"/>
      <c r="AG719" s="1156"/>
    </row>
    <row r="720" spans="1:33" ht="29.25" customHeight="1">
      <c r="A720" s="2240" t="s">
        <v>967</v>
      </c>
      <c r="B720" s="2241"/>
      <c r="C720" s="2242"/>
      <c r="D720" s="2243"/>
      <c r="E720" s="2243"/>
      <c r="F720" s="2243"/>
      <c r="G720" s="2243"/>
      <c r="H720" s="2243"/>
      <c r="I720" s="2243"/>
      <c r="J720" s="2241"/>
      <c r="K720" s="2244"/>
      <c r="L720" s="2243"/>
      <c r="M720" s="2243"/>
      <c r="N720" s="2243"/>
      <c r="O720" s="2243"/>
      <c r="P720" s="2243"/>
      <c r="Q720" s="2245">
        <f>Q7+Q231+Q421+Q520+Q673+Q677</f>
        <v>3000000.2165516666</v>
      </c>
      <c r="R720" s="1720">
        <f>+R7+R231+R421+R520+R673+R677</f>
        <v>2999999.9795833332</v>
      </c>
      <c r="S720" s="1882">
        <f t="shared" ref="S720:AG720" si="122">S7+S231+S421+S520+S673+S677</f>
        <v>0</v>
      </c>
      <c r="T720" s="1882">
        <f t="shared" si="122"/>
        <v>224981.39966666666</v>
      </c>
      <c r="U720" s="1882">
        <f t="shared" si="122"/>
        <v>446334.1555933333</v>
      </c>
      <c r="V720" s="1882">
        <f t="shared" si="122"/>
        <v>569802.67729166674</v>
      </c>
      <c r="W720" s="1882">
        <f t="shared" si="122"/>
        <v>287499.20233333332</v>
      </c>
      <c r="X720" s="1882">
        <f t="shared" si="122"/>
        <v>250680.87531249999</v>
      </c>
      <c r="Y720" s="1882">
        <f t="shared" si="122"/>
        <v>253724.06968750001</v>
      </c>
      <c r="Z720" s="1882">
        <f t="shared" si="122"/>
        <v>34266.666666666672</v>
      </c>
      <c r="AA720" s="1882">
        <f t="shared" si="122"/>
        <v>11640</v>
      </c>
      <c r="AB720" s="1882">
        <f t="shared" si="122"/>
        <v>500</v>
      </c>
      <c r="AC720" s="1882">
        <f t="shared" si="122"/>
        <v>500</v>
      </c>
      <c r="AD720" s="1882">
        <f t="shared" si="122"/>
        <v>10200</v>
      </c>
      <c r="AE720" s="1882">
        <f t="shared" si="122"/>
        <v>500</v>
      </c>
      <c r="AF720" s="1882">
        <f t="shared" si="122"/>
        <v>500</v>
      </c>
      <c r="AG720" s="1882">
        <f t="shared" si="122"/>
        <v>2880519.2165516666</v>
      </c>
    </row>
    <row r="721" spans="31:33">
      <c r="AE721" s="357"/>
      <c r="AG721" s="1614"/>
    </row>
    <row r="722" spans="31:33">
      <c r="AE722" s="357"/>
      <c r="AG722" s="357"/>
    </row>
    <row r="723" spans="31:33">
      <c r="AE723" s="357"/>
      <c r="AG723" s="357"/>
    </row>
  </sheetData>
  <sortState xmlns:xlrd2="http://schemas.microsoft.com/office/spreadsheetml/2017/richdata2" ref="A703:Q716">
    <sortCondition ref="L703:L716"/>
    <sortCondition ref="A703:A716"/>
    <sortCondition ref="B703:B716"/>
  </sortState>
  <mergeCells count="4">
    <mergeCell ref="A2:AG2"/>
    <mergeCell ref="F5:G5"/>
    <mergeCell ref="I5:J5"/>
    <mergeCell ref="S5:Y5"/>
  </mergeCells>
  <conditionalFormatting sqref="F582 G604:G609">
    <cfRule type="cellIs" dxfId="76" priority="57" operator="lessThanOrEqual">
      <formula>0</formula>
    </cfRule>
  </conditionalFormatting>
  <conditionalFormatting sqref="G582">
    <cfRule type="cellIs" dxfId="75" priority="56" operator="lessThanOrEqual">
      <formula>0</formula>
    </cfRule>
  </conditionalFormatting>
  <conditionalFormatting sqref="G582">
    <cfRule type="cellIs" dxfId="74" priority="55" operator="lessThanOrEqual">
      <formula>0</formula>
    </cfRule>
  </conditionalFormatting>
  <conditionalFormatting sqref="F604">
    <cfRule type="cellIs" dxfId="73" priority="48" operator="lessThanOrEqual">
      <formula>0</formula>
    </cfRule>
  </conditionalFormatting>
  <conditionalFormatting sqref="F606">
    <cfRule type="cellIs" dxfId="72" priority="47" operator="lessThanOrEqual">
      <formula>0</formula>
    </cfRule>
  </conditionalFormatting>
  <conditionalFormatting sqref="F590">
    <cfRule type="cellIs" dxfId="71" priority="54" operator="lessThanOrEqual">
      <formula>0</formula>
    </cfRule>
  </conditionalFormatting>
  <conditionalFormatting sqref="F592:F594">
    <cfRule type="cellIs" dxfId="70" priority="53" operator="lessThanOrEqual">
      <formula>0</formula>
    </cfRule>
  </conditionalFormatting>
  <conditionalFormatting sqref="F596:F598">
    <cfRule type="cellIs" dxfId="69" priority="52" operator="lessThanOrEqual">
      <formula>0</formula>
    </cfRule>
  </conditionalFormatting>
  <conditionalFormatting sqref="F600:F602">
    <cfRule type="cellIs" dxfId="68" priority="51" operator="lessThanOrEqual">
      <formula>0</formula>
    </cfRule>
  </conditionalFormatting>
  <conditionalFormatting sqref="F607:F609">
    <cfRule type="cellIs" dxfId="67" priority="50" operator="lessThanOrEqual">
      <formula>0</formula>
    </cfRule>
  </conditionalFormatting>
  <conditionalFormatting sqref="F605">
    <cfRule type="cellIs" dxfId="66" priority="49" operator="lessThanOrEqual">
      <formula>0</formula>
    </cfRule>
  </conditionalFormatting>
  <conditionalFormatting sqref="F613">
    <cfRule type="cellIs" dxfId="65" priority="46" operator="lessThanOrEqual">
      <formula>0</formula>
    </cfRule>
  </conditionalFormatting>
  <conditionalFormatting sqref="F626:F627">
    <cfRule type="cellIs" dxfId="64" priority="44" operator="lessThanOrEqual">
      <formula>0</formula>
    </cfRule>
  </conditionalFormatting>
  <conditionalFormatting sqref="F617:F618">
    <cfRule type="cellIs" dxfId="63" priority="45" operator="lessThanOrEqual">
      <formula>0</formula>
    </cfRule>
  </conditionalFormatting>
  <conditionalFormatting sqref="F628:F630">
    <cfRule type="cellIs" dxfId="62" priority="43" operator="lessThanOrEqual">
      <formula>0</formula>
    </cfRule>
  </conditionalFormatting>
  <conditionalFormatting sqref="F632">
    <cfRule type="cellIs" dxfId="61" priority="42" operator="lessThanOrEqual">
      <formula>0</formula>
    </cfRule>
  </conditionalFormatting>
  <conditionalFormatting sqref="F588:F589">
    <cfRule type="cellIs" dxfId="60" priority="40" operator="lessThanOrEqual">
      <formula>0</formula>
    </cfRule>
  </conditionalFormatting>
  <conditionalFormatting sqref="F622:F624">
    <cfRule type="cellIs" dxfId="59" priority="41" operator="lessThanOrEqual">
      <formula>0</formula>
    </cfRule>
  </conditionalFormatting>
  <conditionalFormatting sqref="G590">
    <cfRule type="cellIs" dxfId="58" priority="37" operator="lessThanOrEqual">
      <formula>0</formula>
    </cfRule>
  </conditionalFormatting>
  <conditionalFormatting sqref="G588:G589">
    <cfRule type="cellIs" dxfId="57" priority="39" operator="lessThanOrEqual">
      <formula>0</formula>
    </cfRule>
  </conditionalFormatting>
  <conditionalFormatting sqref="G588:G589">
    <cfRule type="cellIs" dxfId="56" priority="38" operator="lessThanOrEqual">
      <formula>0</formula>
    </cfRule>
  </conditionalFormatting>
  <conditionalFormatting sqref="G590">
    <cfRule type="cellIs" dxfId="55" priority="36" operator="lessThanOrEqual">
      <formula>0</formula>
    </cfRule>
  </conditionalFormatting>
  <conditionalFormatting sqref="F591">
    <cfRule type="cellIs" dxfId="54" priority="35" operator="lessThanOrEqual">
      <formula>0</formula>
    </cfRule>
  </conditionalFormatting>
  <conditionalFormatting sqref="G591">
    <cfRule type="cellIs" dxfId="53" priority="34" operator="lessThanOrEqual">
      <formula>0</formula>
    </cfRule>
  </conditionalFormatting>
  <conditionalFormatting sqref="G591">
    <cfRule type="cellIs" dxfId="52" priority="33" operator="lessThanOrEqual">
      <formula>0</formula>
    </cfRule>
  </conditionalFormatting>
  <conditionalFormatting sqref="G592:G594">
    <cfRule type="cellIs" dxfId="51" priority="32" operator="lessThanOrEqual">
      <formula>0</formula>
    </cfRule>
  </conditionalFormatting>
  <conditionalFormatting sqref="G592:G594">
    <cfRule type="cellIs" dxfId="50" priority="31" operator="lessThanOrEqual">
      <formula>0</formula>
    </cfRule>
  </conditionalFormatting>
  <conditionalFormatting sqref="G596:G598">
    <cfRule type="cellIs" dxfId="49" priority="30" operator="lessThanOrEqual">
      <formula>0</formula>
    </cfRule>
  </conditionalFormatting>
  <conditionalFormatting sqref="G596:G598">
    <cfRule type="cellIs" dxfId="48" priority="29" operator="lessThanOrEqual">
      <formula>0</formula>
    </cfRule>
  </conditionalFormatting>
  <conditionalFormatting sqref="G600:G602">
    <cfRule type="cellIs" dxfId="47" priority="28" operator="lessThanOrEqual">
      <formula>0</formula>
    </cfRule>
  </conditionalFormatting>
  <conditionalFormatting sqref="G600:G602">
    <cfRule type="cellIs" dxfId="46" priority="27" operator="lessThanOrEqual">
      <formula>0</formula>
    </cfRule>
  </conditionalFormatting>
  <conditionalFormatting sqref="F611:F612">
    <cfRule type="cellIs" dxfId="45" priority="26" operator="lessThanOrEqual">
      <formula>0</formula>
    </cfRule>
  </conditionalFormatting>
  <conditionalFormatting sqref="G622:G624">
    <cfRule type="cellIs" dxfId="44" priority="18" operator="lessThanOrEqual">
      <formula>0</formula>
    </cfRule>
  </conditionalFormatting>
  <conditionalFormatting sqref="G611:G612">
    <cfRule type="cellIs" dxfId="43" priority="25" operator="lessThanOrEqual">
      <formula>0</formula>
    </cfRule>
  </conditionalFormatting>
  <conditionalFormatting sqref="G613">
    <cfRule type="cellIs" dxfId="42" priority="24" operator="lessThanOrEqual">
      <formula>0</formula>
    </cfRule>
  </conditionalFormatting>
  <conditionalFormatting sqref="F614:F616">
    <cfRule type="cellIs" dxfId="41" priority="23" operator="lessThanOrEqual">
      <formula>0</formula>
    </cfRule>
  </conditionalFormatting>
  <conditionalFormatting sqref="G614:G616">
    <cfRule type="cellIs" dxfId="40" priority="22" operator="lessThanOrEqual">
      <formula>0</formula>
    </cfRule>
  </conditionalFormatting>
  <conditionalFormatting sqref="G617:G618">
    <cfRule type="cellIs" dxfId="39" priority="21" operator="lessThanOrEqual">
      <formula>0</formula>
    </cfRule>
  </conditionalFormatting>
  <conditionalFormatting sqref="F619:F620">
    <cfRule type="cellIs" dxfId="38" priority="20" operator="lessThanOrEqual">
      <formula>0</formula>
    </cfRule>
  </conditionalFormatting>
  <conditionalFormatting sqref="G619:G620">
    <cfRule type="cellIs" dxfId="37" priority="19" operator="lessThanOrEqual">
      <formula>0</formula>
    </cfRule>
  </conditionalFormatting>
  <conditionalFormatting sqref="G626:G630">
    <cfRule type="cellIs" dxfId="36" priority="17" operator="lessThanOrEqual">
      <formula>0</formula>
    </cfRule>
  </conditionalFormatting>
  <conditionalFormatting sqref="F633:F634">
    <cfRule type="cellIs" dxfId="35" priority="15" operator="lessThanOrEqual">
      <formula>0</formula>
    </cfRule>
  </conditionalFormatting>
  <conditionalFormatting sqref="G632:G634">
    <cfRule type="cellIs" dxfId="34" priority="16" operator="lessThanOrEqual">
      <formula>0</formula>
    </cfRule>
  </conditionalFormatting>
  <conditionalFormatting sqref="F641:F643">
    <cfRule type="cellIs" dxfId="33" priority="11" operator="lessThanOrEqual">
      <formula>0</formula>
    </cfRule>
  </conditionalFormatting>
  <conditionalFormatting sqref="F635:F640">
    <cfRule type="cellIs" dxfId="32" priority="14" operator="lessThanOrEqual">
      <formula>0</formula>
    </cfRule>
  </conditionalFormatting>
  <conditionalFormatting sqref="G641:G643">
    <cfRule type="cellIs" dxfId="31" priority="12" operator="lessThanOrEqual">
      <formula>0</formula>
    </cfRule>
  </conditionalFormatting>
  <conditionalFormatting sqref="F583">
    <cfRule type="cellIs" dxfId="30" priority="8" operator="lessThanOrEqual">
      <formula>0</formula>
    </cfRule>
  </conditionalFormatting>
  <conditionalFormatting sqref="G635:G640">
    <cfRule type="cellIs" dxfId="29" priority="13" operator="lessThanOrEqual">
      <formula>0</formula>
    </cfRule>
  </conditionalFormatting>
  <conditionalFormatting sqref="F621">
    <cfRule type="cellIs" dxfId="28" priority="10" operator="lessThanOrEqual">
      <formula>0</formula>
    </cfRule>
  </conditionalFormatting>
  <conditionalFormatting sqref="G621">
    <cfRule type="cellIs" dxfId="27" priority="9" operator="lessThanOrEqual">
      <formula>0</formula>
    </cfRule>
  </conditionalFormatting>
  <conditionalFormatting sqref="G583">
    <cfRule type="cellIs" dxfId="26" priority="7" operator="lessThanOrEqual">
      <formula>0</formula>
    </cfRule>
  </conditionalFormatting>
  <conditionalFormatting sqref="G583">
    <cfRule type="cellIs" dxfId="25" priority="6" operator="lessThanOrEqual">
      <formula>0</formula>
    </cfRule>
  </conditionalFormatting>
  <conditionalFormatting sqref="F584:F586">
    <cfRule type="cellIs" dxfId="24" priority="5" operator="lessThanOrEqual">
      <formula>0</formula>
    </cfRule>
  </conditionalFormatting>
  <conditionalFormatting sqref="G584:G586">
    <cfRule type="cellIs" dxfId="23" priority="4" operator="lessThanOrEqual">
      <formula>0</formula>
    </cfRule>
  </conditionalFormatting>
  <conditionalFormatting sqref="G584:G586">
    <cfRule type="cellIs" dxfId="22" priority="3" operator="lessThanOrEqual">
      <formula>0</formula>
    </cfRule>
  </conditionalFormatting>
  <conditionalFormatting sqref="F156:G156">
    <cfRule type="timePeriod" dxfId="21" priority="1" timePeriod="lastWeek">
      <formula>AND(TODAY()-ROUNDDOWN(F156,0)&gt;=(WEEKDAY(TODAY())),TODAY()-ROUNDDOWN(F156,0)&lt;(WEEKDAY(TODAY())+7))</formula>
    </cfRule>
    <cfRule type="timePeriod" dxfId="20" priority="2" timePeriod="lastWeek">
      <formula>AND(TODAY()-ROUNDDOWN(F156,0)&gt;=(WEEKDAY(TODAY())),TODAY()-ROUNDDOWN(F156,0)&lt;(WEEKDAY(TODAY())+7))</formula>
    </cfRule>
  </conditionalFormatting>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F0"/>
    <pageSetUpPr fitToPage="1"/>
  </sheetPr>
  <dimension ref="A1:AG31"/>
  <sheetViews>
    <sheetView topLeftCell="A13" zoomScale="80" zoomScaleNormal="80" workbookViewId="0">
      <selection activeCell="E19" sqref="E19"/>
    </sheetView>
  </sheetViews>
  <sheetFormatPr baseColWidth="10" defaultColWidth="11.42578125" defaultRowHeight="15"/>
  <cols>
    <col min="2" max="2" width="45.42578125" customWidth="1"/>
    <col min="3" max="3" width="38.42578125" customWidth="1"/>
    <col min="4" max="4" width="0" hidden="1" customWidth="1"/>
    <col min="6" max="7" width="13.42578125" bestFit="1" customWidth="1"/>
    <col min="8" max="8" width="0" hidden="1" customWidth="1"/>
    <col min="9" max="9" width="15" customWidth="1"/>
    <col min="10" max="10" width="0" hidden="1" customWidth="1"/>
    <col min="11" max="11" width="33" customWidth="1"/>
    <col min="13" max="14" width="0" hidden="1" customWidth="1"/>
    <col min="15" max="15" width="17.140625" customWidth="1"/>
    <col min="17" max="17" width="20.7109375" bestFit="1" customWidth="1"/>
    <col min="18" max="18" width="0" hidden="1" customWidth="1"/>
    <col min="19" max="19" width="15.140625" hidden="1" customWidth="1"/>
    <col min="20" max="20" width="0" hidden="1" customWidth="1"/>
    <col min="21" max="22" width="15.140625" bestFit="1" customWidth="1"/>
    <col min="23" max="23" width="13.85546875" bestFit="1" customWidth="1"/>
    <col min="24" max="24" width="16.5703125" customWidth="1"/>
    <col min="25" max="25" width="15.28515625" customWidth="1"/>
    <col min="26" max="32" width="0" hidden="1" customWidth="1"/>
    <col min="33" max="33" width="15.140625" bestFit="1" customWidth="1"/>
  </cols>
  <sheetData>
    <row r="1" spans="1:33" s="238" customFormat="1" ht="15.75" customHeight="1">
      <c r="A1" s="3443" t="s">
        <v>202</v>
      </c>
      <c r="B1" s="3443"/>
      <c r="C1" s="3443"/>
      <c r="D1" s="3443"/>
      <c r="E1" s="3443"/>
      <c r="F1" s="3443"/>
      <c r="G1" s="3443"/>
      <c r="H1" s="3443"/>
      <c r="I1" s="3443"/>
      <c r="J1" s="3443"/>
      <c r="K1" s="3443"/>
      <c r="L1" s="3443"/>
      <c r="M1" s="3443"/>
      <c r="N1" s="3443"/>
      <c r="O1" s="3443"/>
      <c r="P1" s="3443"/>
      <c r="Q1" s="3443"/>
      <c r="R1" s="3443"/>
      <c r="S1" s="3443"/>
      <c r="T1" s="3443"/>
      <c r="U1" s="3443"/>
      <c r="V1" s="3443"/>
      <c r="Z1" s="243"/>
      <c r="AA1" s="243"/>
      <c r="AB1" s="243"/>
      <c r="AG1" s="1056"/>
    </row>
    <row r="2" spans="1:33" s="249" customFormat="1" ht="15.75" customHeight="1">
      <c r="A2" s="244"/>
      <c r="B2" s="244"/>
      <c r="C2" s="244"/>
      <c r="D2" s="244"/>
      <c r="E2" s="245"/>
      <c r="F2" s="245"/>
      <c r="G2" s="245"/>
      <c r="H2" s="244"/>
      <c r="I2" s="245"/>
      <c r="J2" s="245"/>
      <c r="K2" s="1020"/>
      <c r="L2" s="245"/>
      <c r="M2" s="244"/>
      <c r="N2" s="245"/>
      <c r="O2" s="246"/>
      <c r="P2" s="245"/>
      <c r="Q2" s="247"/>
      <c r="R2" s="248"/>
      <c r="S2" s="244"/>
      <c r="T2" s="244"/>
      <c r="U2" s="244"/>
      <c r="V2" s="244"/>
      <c r="Z2" s="250"/>
      <c r="AA2" s="250"/>
      <c r="AB2" s="250"/>
      <c r="AG2" s="1057"/>
    </row>
    <row r="3" spans="1:33" s="255" customFormat="1">
      <c r="A3" s="251"/>
      <c r="B3" s="252"/>
      <c r="C3" s="252"/>
      <c r="D3" s="252"/>
      <c r="E3" s="251"/>
      <c r="F3" s="254"/>
      <c r="G3" s="254"/>
      <c r="H3" s="254"/>
      <c r="I3" s="254"/>
      <c r="J3" s="254"/>
      <c r="L3" s="254"/>
      <c r="N3" s="254"/>
      <c r="O3" s="256"/>
      <c r="P3" s="254"/>
      <c r="Q3" s="257"/>
      <c r="R3" s="258"/>
      <c r="S3" s="256"/>
      <c r="T3" s="256"/>
      <c r="U3" s="256"/>
      <c r="V3" s="256"/>
      <c r="W3" s="256"/>
      <c r="X3" s="256"/>
      <c r="Y3" s="256"/>
      <c r="Z3" s="259"/>
      <c r="AA3" s="259"/>
      <c r="AB3" s="259"/>
      <c r="AG3" s="1058"/>
    </row>
    <row r="4" spans="1:33" s="238" customFormat="1" ht="34.5" customHeight="1">
      <c r="A4" s="3444" t="s">
        <v>203</v>
      </c>
      <c r="B4" s="3439" t="s">
        <v>204</v>
      </c>
      <c r="C4" s="3439" t="s">
        <v>205</v>
      </c>
      <c r="D4" s="3441" t="s">
        <v>206</v>
      </c>
      <c r="E4" s="3445" t="s">
        <v>207</v>
      </c>
      <c r="F4" s="3447" t="s">
        <v>208</v>
      </c>
      <c r="G4" s="3447"/>
      <c r="H4" s="3447" t="s">
        <v>209</v>
      </c>
      <c r="I4" s="3448" t="s">
        <v>210</v>
      </c>
      <c r="J4" s="3448"/>
      <c r="K4" s="3449" t="s">
        <v>211</v>
      </c>
      <c r="L4" s="3439" t="s">
        <v>212</v>
      </c>
      <c r="M4" s="3440" t="s">
        <v>213</v>
      </c>
      <c r="N4" s="3441" t="s">
        <v>214</v>
      </c>
      <c r="O4" s="3453" t="s">
        <v>215</v>
      </c>
      <c r="P4" s="3439" t="s">
        <v>216</v>
      </c>
      <c r="Q4" s="3453" t="s">
        <v>286</v>
      </c>
      <c r="R4" s="3451" t="s">
        <v>287</v>
      </c>
      <c r="S4" s="3452" t="s">
        <v>219</v>
      </c>
      <c r="T4" s="3452"/>
      <c r="U4" s="3452"/>
      <c r="V4" s="3452"/>
      <c r="W4" s="3452"/>
      <c r="X4" s="3452"/>
      <c r="Y4" s="3452"/>
      <c r="Z4" s="243"/>
      <c r="AA4" s="243"/>
      <c r="AB4" s="243"/>
      <c r="AG4" s="1059"/>
    </row>
    <row r="5" spans="1:33" s="237" customFormat="1" ht="32.25" customHeight="1">
      <c r="A5" s="3444"/>
      <c r="B5" s="3439"/>
      <c r="C5" s="3439"/>
      <c r="D5" s="3442"/>
      <c r="E5" s="3446"/>
      <c r="F5" s="1208" t="s">
        <v>220</v>
      </c>
      <c r="G5" s="1209" t="s">
        <v>221</v>
      </c>
      <c r="H5" s="3447"/>
      <c r="I5" s="1210" t="s">
        <v>222</v>
      </c>
      <c r="J5" s="1210" t="s">
        <v>288</v>
      </c>
      <c r="K5" s="3450"/>
      <c r="L5" s="3439"/>
      <c r="M5" s="3440"/>
      <c r="N5" s="3442"/>
      <c r="O5" s="3453"/>
      <c r="P5" s="3439"/>
      <c r="Q5" s="3453"/>
      <c r="R5" s="3451"/>
      <c r="S5" s="1211" t="s">
        <v>224</v>
      </c>
      <c r="T5" s="1211" t="s">
        <v>225</v>
      </c>
      <c r="U5" s="1211" t="s">
        <v>226</v>
      </c>
      <c r="V5" s="1211" t="s">
        <v>227</v>
      </c>
      <c r="W5" s="1211" t="s">
        <v>228</v>
      </c>
      <c r="X5" s="1211" t="s">
        <v>229</v>
      </c>
      <c r="Y5" s="1211" t="s">
        <v>230</v>
      </c>
      <c r="Z5" s="1212" t="s">
        <v>289</v>
      </c>
      <c r="AA5" s="1212" t="s">
        <v>290</v>
      </c>
      <c r="AB5" s="1212" t="s">
        <v>291</v>
      </c>
      <c r="AC5" s="1212" t="s">
        <v>975</v>
      </c>
      <c r="AD5" s="1212" t="s">
        <v>976</v>
      </c>
      <c r="AE5" s="1212" t="s">
        <v>224</v>
      </c>
      <c r="AF5" s="1212" t="s">
        <v>225</v>
      </c>
      <c r="AG5" s="1211" t="s">
        <v>41</v>
      </c>
    </row>
    <row r="6" spans="1:33" s="357" customFormat="1" ht="15.75">
      <c r="A6" s="3399" t="s">
        <v>997</v>
      </c>
      <c r="B6" s="3399"/>
      <c r="C6" s="3399"/>
      <c r="D6" s="3399"/>
      <c r="E6" s="3399"/>
      <c r="F6" s="3399"/>
      <c r="G6" s="3399"/>
      <c r="H6" s="3399"/>
      <c r="I6" s="3399"/>
      <c r="J6" s="1213"/>
      <c r="K6" s="2247"/>
      <c r="L6" s="1213"/>
      <c r="M6" s="1215"/>
      <c r="N6" s="1213"/>
      <c r="O6" s="1216">
        <v>466696.17</v>
      </c>
      <c r="P6" s="1213"/>
      <c r="Q6" s="1217">
        <f>+Q7+Q10</f>
        <v>466696.17</v>
      </c>
      <c r="R6" s="1218"/>
      <c r="S6" s="1217">
        <f>SUM(S7:S28)</f>
        <v>0</v>
      </c>
      <c r="T6" s="1217">
        <f>SUM(T7:T28)</f>
        <v>0</v>
      </c>
      <c r="U6" s="1217">
        <f>+U7+U10</f>
        <v>95387.5</v>
      </c>
      <c r="V6" s="1217">
        <f>+V7+V10</f>
        <v>160950</v>
      </c>
      <c r="W6" s="1217">
        <f>+W7+W10</f>
        <v>46023.67</v>
      </c>
      <c r="X6" s="1217">
        <f>+X7+X10</f>
        <v>128947.5</v>
      </c>
      <c r="Y6" s="1217">
        <f>+Y7+Y10</f>
        <v>35387.5</v>
      </c>
      <c r="Z6" s="1217">
        <f t="shared" ref="Z6:AG6" si="0">SUM(Z7:Z28)</f>
        <v>0</v>
      </c>
      <c r="AA6" s="1217">
        <f t="shared" si="0"/>
        <v>0</v>
      </c>
      <c r="AB6" s="1217">
        <f t="shared" si="0"/>
        <v>0</v>
      </c>
      <c r="AC6" s="1217">
        <f t="shared" si="0"/>
        <v>0</v>
      </c>
      <c r="AD6" s="1217">
        <f t="shared" si="0"/>
        <v>0</v>
      </c>
      <c r="AE6" s="1217">
        <f t="shared" si="0"/>
        <v>0</v>
      </c>
      <c r="AF6" s="1217">
        <f t="shared" si="0"/>
        <v>0</v>
      </c>
      <c r="AG6" s="1217">
        <f t="shared" si="0"/>
        <v>466696.17</v>
      </c>
    </row>
    <row r="7" spans="1:33" s="357" customFormat="1" ht="15.75">
      <c r="A7" s="1219">
        <v>441</v>
      </c>
      <c r="B7" s="1222" t="s">
        <v>1067</v>
      </c>
      <c r="C7" s="1222"/>
      <c r="D7" s="1220"/>
      <c r="E7" s="1220"/>
      <c r="F7" s="1220"/>
      <c r="G7" s="1220"/>
      <c r="H7" s="1220"/>
      <c r="I7" s="1221" t="s">
        <v>169</v>
      </c>
      <c r="J7" s="1221"/>
      <c r="K7" s="1220"/>
      <c r="L7" s="1221"/>
      <c r="M7" s="1222"/>
      <c r="N7" s="1221"/>
      <c r="O7" s="1223"/>
      <c r="P7" s="1455"/>
      <c r="Q7" s="1456">
        <f>+Q8+Q9</f>
        <v>102696.17</v>
      </c>
      <c r="R7" s="1225"/>
      <c r="S7" s="1456"/>
      <c r="T7" s="1226"/>
      <c r="U7" s="1456">
        <f>+U8+U9</f>
        <v>0</v>
      </c>
      <c r="V7" s="1456">
        <f>+V8+V9</f>
        <v>0</v>
      </c>
      <c r="W7" s="1456">
        <f>+W8+W9</f>
        <v>10636.17</v>
      </c>
      <c r="X7" s="1456">
        <f>+X8+X9</f>
        <v>92060</v>
      </c>
      <c r="Y7" s="1456">
        <f>+Y8+Y9</f>
        <v>0</v>
      </c>
      <c r="Z7" s="1226"/>
      <c r="AA7" s="1226"/>
      <c r="AB7" s="1226"/>
      <c r="AC7" s="1226"/>
      <c r="AD7" s="1226"/>
      <c r="AE7" s="1226"/>
      <c r="AF7" s="1226"/>
      <c r="AG7" s="1224">
        <f>SUM(S7:AF7)</f>
        <v>102696.17</v>
      </c>
    </row>
    <row r="8" spans="1:33" s="357" customFormat="1" ht="27.75" customHeight="1">
      <c r="A8" s="2248">
        <v>4411</v>
      </c>
      <c r="B8" s="2249" t="s">
        <v>44</v>
      </c>
      <c r="C8" s="2249" t="s">
        <v>972</v>
      </c>
      <c r="D8" s="2250"/>
      <c r="E8" s="2250"/>
      <c r="F8" s="2250"/>
      <c r="G8" s="2250"/>
      <c r="H8" s="2250"/>
      <c r="I8" s="2251" t="s">
        <v>169</v>
      </c>
      <c r="J8" s="2251"/>
      <c r="K8" s="2250"/>
      <c r="L8" s="2251"/>
      <c r="M8" s="2249"/>
      <c r="N8" s="2251"/>
      <c r="O8" s="2253">
        <v>92060</v>
      </c>
      <c r="P8" s="2251">
        <v>1</v>
      </c>
      <c r="Q8" s="2253">
        <f>+O8*P8</f>
        <v>92060</v>
      </c>
      <c r="R8" s="1658"/>
      <c r="S8" s="2253"/>
      <c r="T8" s="1695"/>
      <c r="U8" s="2253"/>
      <c r="V8" s="1695"/>
      <c r="W8" s="1695"/>
      <c r="X8" s="2253">
        <v>92060</v>
      </c>
      <c r="Y8" s="1695"/>
      <c r="Z8" s="1695"/>
      <c r="AA8" s="1695"/>
      <c r="AB8" s="1695"/>
      <c r="AC8" s="1695"/>
      <c r="AD8" s="1695"/>
      <c r="AE8" s="1695"/>
      <c r="AF8" s="1695"/>
      <c r="AG8" s="2253"/>
    </row>
    <row r="9" spans="1:33" s="357" customFormat="1" ht="27.75" customHeight="1">
      <c r="A9" s="2248">
        <v>4412</v>
      </c>
      <c r="B9" s="2249" t="s">
        <v>43</v>
      </c>
      <c r="C9" s="2249" t="s">
        <v>973</v>
      </c>
      <c r="D9" s="2249"/>
      <c r="E9" s="2249"/>
      <c r="F9" s="2249"/>
      <c r="G9" s="2249"/>
      <c r="H9" s="2249"/>
      <c r="I9" s="2251" t="s">
        <v>169</v>
      </c>
      <c r="J9" s="2251"/>
      <c r="K9" s="2250"/>
      <c r="L9" s="2251"/>
      <c r="M9" s="2249"/>
      <c r="N9" s="2251"/>
      <c r="O9" s="2253">
        <v>10636.17</v>
      </c>
      <c r="P9" s="2251">
        <v>1</v>
      </c>
      <c r="Q9" s="2253">
        <f>+O9*P9</f>
        <v>10636.17</v>
      </c>
      <c r="R9" s="1658"/>
      <c r="S9" s="2253"/>
      <c r="T9" s="1695"/>
      <c r="U9" s="2253"/>
      <c r="V9" s="1695"/>
      <c r="W9" s="2253">
        <v>10636.17</v>
      </c>
      <c r="X9" s="2052"/>
      <c r="Y9" s="1695"/>
      <c r="Z9" s="1695"/>
      <c r="AA9" s="1695"/>
      <c r="AB9" s="1695"/>
      <c r="AC9" s="1695"/>
      <c r="AD9" s="1695"/>
      <c r="AE9" s="1695"/>
      <c r="AF9" s="1695"/>
      <c r="AG9" s="2253"/>
    </row>
    <row r="10" spans="1:33" s="357" customFormat="1" ht="47.25">
      <c r="A10" s="1219">
        <v>442</v>
      </c>
      <c r="B10" s="1222" t="s">
        <v>46</v>
      </c>
      <c r="C10" s="1222" t="s">
        <v>974</v>
      </c>
      <c r="D10" s="1222"/>
      <c r="E10" s="1222"/>
      <c r="F10" s="1222"/>
      <c r="G10" s="1222"/>
      <c r="H10" s="1222"/>
      <c r="I10" s="1221" t="s">
        <v>169</v>
      </c>
      <c r="J10" s="1221"/>
      <c r="K10" s="1220"/>
      <c r="L10" s="1221"/>
      <c r="M10" s="1222"/>
      <c r="N10" s="1221"/>
      <c r="O10" s="1223"/>
      <c r="P10" s="1221"/>
      <c r="Q10" s="1224">
        <f>SUM(Q11:Q28)</f>
        <v>364000</v>
      </c>
      <c r="R10" s="1225"/>
      <c r="S10" s="1224"/>
      <c r="T10" s="1226"/>
      <c r="U10" s="1224">
        <f>SUM(U11:U28)</f>
        <v>95387.5</v>
      </c>
      <c r="V10" s="1224">
        <f>SUM(V11:V28)</f>
        <v>160950</v>
      </c>
      <c r="W10" s="1224">
        <f>SUM(W11:W28)</f>
        <v>35387.5</v>
      </c>
      <c r="X10" s="1224">
        <f>SUM(X11:X28)</f>
        <v>36887.5</v>
      </c>
      <c r="Y10" s="1224">
        <f>SUM(Y11:Y28)</f>
        <v>35387.5</v>
      </c>
      <c r="Z10" s="1226"/>
      <c r="AA10" s="1226"/>
      <c r="AB10" s="1226"/>
      <c r="AC10" s="1226"/>
      <c r="AD10" s="1226"/>
      <c r="AE10" s="1226"/>
      <c r="AF10" s="1226"/>
      <c r="AG10" s="1224">
        <f>SUM(S10:AF10)</f>
        <v>364000</v>
      </c>
    </row>
    <row r="11" spans="1:33" s="357" customFormat="1" ht="47.25">
      <c r="A11" s="2248">
        <v>4421</v>
      </c>
      <c r="B11" s="2249" t="s">
        <v>999</v>
      </c>
      <c r="C11" s="2249" t="s">
        <v>974</v>
      </c>
      <c r="D11" s="2249"/>
      <c r="E11" s="2251">
        <v>150</v>
      </c>
      <c r="F11" s="2254">
        <v>43221</v>
      </c>
      <c r="G11" s="2254">
        <f>F11+E11+2</f>
        <v>43373</v>
      </c>
      <c r="H11" s="2249"/>
      <c r="I11" s="2251" t="s">
        <v>169</v>
      </c>
      <c r="J11" s="2251"/>
      <c r="K11" s="2250" t="s">
        <v>983</v>
      </c>
      <c r="L11" s="2251">
        <v>23171</v>
      </c>
      <c r="M11" s="2249"/>
      <c r="N11" s="2251"/>
      <c r="O11" s="2252">
        <v>17187.5</v>
      </c>
      <c r="P11" s="2251">
        <v>5</v>
      </c>
      <c r="Q11" s="2253">
        <f>O11*P11</f>
        <v>85937.5</v>
      </c>
      <c r="R11" s="1658"/>
      <c r="S11" s="2253"/>
      <c r="T11" s="1695"/>
      <c r="U11" s="2252">
        <v>17187.5</v>
      </c>
      <c r="V11" s="2252">
        <v>17187.5</v>
      </c>
      <c r="W11" s="2252">
        <v>17187.5</v>
      </c>
      <c r="X11" s="2252">
        <v>17187.5</v>
      </c>
      <c r="Y11" s="2252">
        <v>17187.5</v>
      </c>
      <c r="Z11" s="1695"/>
      <c r="AA11" s="1695"/>
      <c r="AB11" s="1695"/>
      <c r="AC11" s="1695"/>
      <c r="AD11" s="1695"/>
      <c r="AE11" s="1695"/>
      <c r="AF11" s="1695"/>
      <c r="AG11" s="2253"/>
    </row>
    <row r="12" spans="1:33" s="357" customFormat="1" ht="47.25">
      <c r="A12" s="2248">
        <v>4421</v>
      </c>
      <c r="B12" s="2249" t="s">
        <v>999</v>
      </c>
      <c r="C12" s="2249" t="s">
        <v>974</v>
      </c>
      <c r="D12" s="2249"/>
      <c r="E12" s="2251">
        <v>150</v>
      </c>
      <c r="F12" s="2254">
        <v>43221</v>
      </c>
      <c r="G12" s="2254">
        <f t="shared" ref="G12:G22" si="1">F12+E12+2</f>
        <v>43373</v>
      </c>
      <c r="H12" s="2249"/>
      <c r="I12" s="2251" t="s">
        <v>169</v>
      </c>
      <c r="J12" s="2251"/>
      <c r="K12" s="2250" t="s">
        <v>985</v>
      </c>
      <c r="L12" s="2251">
        <v>23172</v>
      </c>
      <c r="M12" s="2249"/>
      <c r="N12" s="2251"/>
      <c r="O12" s="2255">
        <v>700</v>
      </c>
      <c r="P12" s="1632">
        <v>5</v>
      </c>
      <c r="Q12" s="2253">
        <f t="shared" ref="Q12:Q23" si="2">O12*P12</f>
        <v>3500</v>
      </c>
      <c r="R12" s="1658"/>
      <c r="S12" s="2253"/>
      <c r="T12" s="1695"/>
      <c r="U12" s="2255">
        <v>700</v>
      </c>
      <c r="V12" s="2255">
        <v>700</v>
      </c>
      <c r="W12" s="2255">
        <v>700</v>
      </c>
      <c r="X12" s="2255">
        <v>700</v>
      </c>
      <c r="Y12" s="2255">
        <v>700</v>
      </c>
      <c r="Z12" s="1695"/>
      <c r="AA12" s="1695"/>
      <c r="AB12" s="1695"/>
      <c r="AC12" s="1695"/>
      <c r="AD12" s="1695"/>
      <c r="AE12" s="1695"/>
      <c r="AF12" s="1695"/>
      <c r="AG12" s="2253"/>
    </row>
    <row r="13" spans="1:33" s="357" customFormat="1" ht="47.25">
      <c r="A13" s="2248">
        <v>4421</v>
      </c>
      <c r="B13" s="2249" t="s">
        <v>999</v>
      </c>
      <c r="C13" s="2249" t="s">
        <v>974</v>
      </c>
      <c r="D13" s="2249"/>
      <c r="E13" s="2251">
        <v>150</v>
      </c>
      <c r="F13" s="2254">
        <v>43221</v>
      </c>
      <c r="G13" s="2254">
        <f t="shared" si="1"/>
        <v>43373</v>
      </c>
      <c r="H13" s="2249"/>
      <c r="I13" s="2251" t="s">
        <v>169</v>
      </c>
      <c r="J13" s="2251"/>
      <c r="K13" s="2250" t="s">
        <v>987</v>
      </c>
      <c r="L13" s="2251">
        <v>23172</v>
      </c>
      <c r="M13" s="2249"/>
      <c r="N13" s="2251"/>
      <c r="O13" s="2255">
        <v>7000</v>
      </c>
      <c r="P13" s="1632">
        <v>5</v>
      </c>
      <c r="Q13" s="2253">
        <f t="shared" si="2"/>
        <v>35000</v>
      </c>
      <c r="R13" s="1658"/>
      <c r="S13" s="2253"/>
      <c r="T13" s="1695"/>
      <c r="U13" s="2255">
        <v>7000</v>
      </c>
      <c r="V13" s="2255">
        <v>7000</v>
      </c>
      <c r="W13" s="2255">
        <v>7000</v>
      </c>
      <c r="X13" s="2255">
        <v>7000</v>
      </c>
      <c r="Y13" s="2255">
        <v>7000</v>
      </c>
      <c r="Z13" s="1695"/>
      <c r="AA13" s="1695"/>
      <c r="AB13" s="1695"/>
      <c r="AC13" s="1695"/>
      <c r="AD13" s="1695"/>
      <c r="AE13" s="1695"/>
      <c r="AF13" s="1695"/>
      <c r="AG13" s="2253"/>
    </row>
    <row r="14" spans="1:33" s="357" customFormat="1" ht="47.25">
      <c r="A14" s="2248">
        <v>4421</v>
      </c>
      <c r="B14" s="2249" t="s">
        <v>999</v>
      </c>
      <c r="C14" s="2249" t="s">
        <v>974</v>
      </c>
      <c r="D14" s="2249"/>
      <c r="E14" s="2251">
        <v>150</v>
      </c>
      <c r="F14" s="2254">
        <v>43221</v>
      </c>
      <c r="G14" s="2254">
        <f t="shared" si="1"/>
        <v>43373</v>
      </c>
      <c r="H14" s="2249"/>
      <c r="I14" s="2251" t="s">
        <v>169</v>
      </c>
      <c r="J14" s="2251"/>
      <c r="K14" s="2250" t="s">
        <v>1004</v>
      </c>
      <c r="L14" s="2251">
        <v>23173</v>
      </c>
      <c r="M14" s="2249"/>
      <c r="N14" s="2251"/>
      <c r="O14" s="2255">
        <v>1700</v>
      </c>
      <c r="P14" s="1632">
        <v>5</v>
      </c>
      <c r="Q14" s="2253">
        <f t="shared" si="2"/>
        <v>8500</v>
      </c>
      <c r="R14" s="1658"/>
      <c r="S14" s="2253"/>
      <c r="T14" s="1695"/>
      <c r="U14" s="2255">
        <v>1700</v>
      </c>
      <c r="V14" s="2255">
        <v>1700</v>
      </c>
      <c r="W14" s="2255">
        <v>1700</v>
      </c>
      <c r="X14" s="2255">
        <v>1700</v>
      </c>
      <c r="Y14" s="2255">
        <v>1700</v>
      </c>
      <c r="Z14" s="1695"/>
      <c r="AA14" s="1695"/>
      <c r="AB14" s="1695"/>
      <c r="AC14" s="1695"/>
      <c r="AD14" s="1695"/>
      <c r="AE14" s="1695"/>
      <c r="AF14" s="1695"/>
      <c r="AG14" s="2253"/>
    </row>
    <row r="15" spans="1:33" s="357" customFormat="1" ht="47.25">
      <c r="A15" s="2248">
        <v>4421</v>
      </c>
      <c r="B15" s="2249" t="s">
        <v>999</v>
      </c>
      <c r="C15" s="2249" t="s">
        <v>974</v>
      </c>
      <c r="D15" s="2249"/>
      <c r="E15" s="2251">
        <v>150</v>
      </c>
      <c r="F15" s="2254">
        <v>43221</v>
      </c>
      <c r="G15" s="2254">
        <f t="shared" si="1"/>
        <v>43373</v>
      </c>
      <c r="H15" s="2249"/>
      <c r="I15" s="2251" t="s">
        <v>169</v>
      </c>
      <c r="J15" s="2251"/>
      <c r="K15" s="2250" t="s">
        <v>1005</v>
      </c>
      <c r="L15" s="2251">
        <v>23175</v>
      </c>
      <c r="M15" s="2249"/>
      <c r="N15" s="2251"/>
      <c r="O15" s="2255">
        <v>1000</v>
      </c>
      <c r="P15" s="1632">
        <v>5</v>
      </c>
      <c r="Q15" s="2253">
        <f t="shared" si="2"/>
        <v>5000</v>
      </c>
      <c r="R15" s="1658"/>
      <c r="S15" s="2253"/>
      <c r="T15" s="1695"/>
      <c r="U15" s="2255">
        <v>1000</v>
      </c>
      <c r="V15" s="2255">
        <v>1000</v>
      </c>
      <c r="W15" s="2255">
        <v>1000</v>
      </c>
      <c r="X15" s="2255">
        <v>1000</v>
      </c>
      <c r="Y15" s="2255">
        <v>1000</v>
      </c>
      <c r="Z15" s="1695"/>
      <c r="AA15" s="1695"/>
      <c r="AB15" s="1695"/>
      <c r="AC15" s="1695"/>
      <c r="AD15" s="1695"/>
      <c r="AE15" s="1695"/>
      <c r="AF15" s="1695"/>
      <c r="AG15" s="2253"/>
    </row>
    <row r="16" spans="1:33" s="357" customFormat="1" ht="47.25">
      <c r="A16" s="2248">
        <v>4421</v>
      </c>
      <c r="B16" s="2249" t="s">
        <v>999</v>
      </c>
      <c r="C16" s="2249" t="s">
        <v>974</v>
      </c>
      <c r="D16" s="2249"/>
      <c r="E16" s="2251">
        <v>150</v>
      </c>
      <c r="F16" s="2254">
        <v>43221</v>
      </c>
      <c r="G16" s="2254">
        <f t="shared" si="1"/>
        <v>43373</v>
      </c>
      <c r="H16" s="2249"/>
      <c r="I16" s="2251" t="s">
        <v>169</v>
      </c>
      <c r="J16" s="2251"/>
      <c r="K16" s="2250" t="s">
        <v>255</v>
      </c>
      <c r="L16" s="2251">
        <v>23173</v>
      </c>
      <c r="M16" s="2249"/>
      <c r="N16" s="2251"/>
      <c r="O16" s="2255">
        <v>2500</v>
      </c>
      <c r="P16" s="1632">
        <v>5</v>
      </c>
      <c r="Q16" s="2253">
        <f t="shared" si="2"/>
        <v>12500</v>
      </c>
      <c r="R16" s="1658"/>
      <c r="S16" s="2253"/>
      <c r="T16" s="1695"/>
      <c r="U16" s="2255">
        <v>2500</v>
      </c>
      <c r="V16" s="2255">
        <v>2500</v>
      </c>
      <c r="W16" s="2255">
        <v>2500</v>
      </c>
      <c r="X16" s="2255">
        <v>2500</v>
      </c>
      <c r="Y16" s="2255">
        <v>2500</v>
      </c>
      <c r="Z16" s="1695"/>
      <c r="AA16" s="1695"/>
      <c r="AB16" s="1695"/>
      <c r="AC16" s="1695"/>
      <c r="AD16" s="1695"/>
      <c r="AE16" s="1695"/>
      <c r="AF16" s="1695"/>
      <c r="AG16" s="2253"/>
    </row>
    <row r="17" spans="1:33" s="357" customFormat="1" ht="47.25">
      <c r="A17" s="2248">
        <v>4421</v>
      </c>
      <c r="B17" s="2249" t="s">
        <v>999</v>
      </c>
      <c r="C17" s="2249" t="s">
        <v>974</v>
      </c>
      <c r="D17" s="2249"/>
      <c r="E17" s="2251">
        <v>150</v>
      </c>
      <c r="F17" s="2254">
        <v>43221</v>
      </c>
      <c r="G17" s="2254">
        <f t="shared" si="1"/>
        <v>43373</v>
      </c>
      <c r="H17" s="2249"/>
      <c r="I17" s="2251" t="s">
        <v>169</v>
      </c>
      <c r="J17" s="2251"/>
      <c r="K17" s="2250" t="s">
        <v>989</v>
      </c>
      <c r="L17" s="2251">
        <v>23172</v>
      </c>
      <c r="M17" s="2249"/>
      <c r="N17" s="2251"/>
      <c r="O17" s="2255">
        <v>200</v>
      </c>
      <c r="P17" s="1632">
        <v>5</v>
      </c>
      <c r="Q17" s="2253">
        <f t="shared" si="2"/>
        <v>1000</v>
      </c>
      <c r="R17" s="1658"/>
      <c r="S17" s="2253"/>
      <c r="T17" s="1695"/>
      <c r="U17" s="2255">
        <v>200</v>
      </c>
      <c r="V17" s="2255">
        <v>200</v>
      </c>
      <c r="W17" s="2255">
        <v>200</v>
      </c>
      <c r="X17" s="2255">
        <v>200</v>
      </c>
      <c r="Y17" s="2255">
        <v>200</v>
      </c>
      <c r="Z17" s="1695"/>
      <c r="AA17" s="1695"/>
      <c r="AB17" s="1695"/>
      <c r="AC17" s="1695"/>
      <c r="AD17" s="1695"/>
      <c r="AE17" s="1695"/>
      <c r="AF17" s="1695"/>
      <c r="AG17" s="2253"/>
    </row>
    <row r="18" spans="1:33" s="357" customFormat="1" ht="47.25">
      <c r="A18" s="2248">
        <v>4421</v>
      </c>
      <c r="B18" s="2249" t="s">
        <v>999</v>
      </c>
      <c r="C18" s="2249" t="s">
        <v>974</v>
      </c>
      <c r="D18" s="2249"/>
      <c r="E18" s="2251">
        <v>150</v>
      </c>
      <c r="F18" s="2254">
        <v>43221</v>
      </c>
      <c r="G18" s="2254">
        <f t="shared" si="1"/>
        <v>43373</v>
      </c>
      <c r="H18" s="2249"/>
      <c r="I18" s="2251" t="s">
        <v>169</v>
      </c>
      <c r="J18" s="2251"/>
      <c r="K18" s="2250" t="s">
        <v>990</v>
      </c>
      <c r="L18" s="2251">
        <v>23172</v>
      </c>
      <c r="M18" s="2249"/>
      <c r="N18" s="2251"/>
      <c r="O18" s="2255">
        <v>2500</v>
      </c>
      <c r="P18" s="1632">
        <v>5</v>
      </c>
      <c r="Q18" s="2253">
        <f t="shared" si="2"/>
        <v>12500</v>
      </c>
      <c r="R18" s="1658"/>
      <c r="S18" s="2253"/>
      <c r="T18" s="1695"/>
      <c r="U18" s="2255">
        <v>2500</v>
      </c>
      <c r="V18" s="2255">
        <v>2500</v>
      </c>
      <c r="W18" s="2255">
        <v>2500</v>
      </c>
      <c r="X18" s="2255">
        <v>2500</v>
      </c>
      <c r="Y18" s="2255">
        <v>2500</v>
      </c>
      <c r="Z18" s="1695"/>
      <c r="AA18" s="1695"/>
      <c r="AB18" s="1695"/>
      <c r="AC18" s="1695"/>
      <c r="AD18" s="1695"/>
      <c r="AE18" s="1695"/>
      <c r="AF18" s="1695"/>
      <c r="AG18" s="2253"/>
    </row>
    <row r="19" spans="1:33" s="357" customFormat="1" ht="47.25">
      <c r="A19" s="2248">
        <v>4421</v>
      </c>
      <c r="B19" s="2249" t="s">
        <v>999</v>
      </c>
      <c r="C19" s="2249" t="s">
        <v>974</v>
      </c>
      <c r="D19" s="2249"/>
      <c r="E19" s="2251">
        <v>150</v>
      </c>
      <c r="F19" s="2254">
        <v>43221</v>
      </c>
      <c r="G19" s="2254">
        <f t="shared" si="1"/>
        <v>43373</v>
      </c>
      <c r="H19" s="2249"/>
      <c r="I19" s="2251" t="s">
        <v>169</v>
      </c>
      <c r="J19" s="2251"/>
      <c r="K19" s="2250" t="s">
        <v>991</v>
      </c>
      <c r="L19" s="2251">
        <v>23172</v>
      </c>
      <c r="M19" s="2249"/>
      <c r="N19" s="2251"/>
      <c r="O19" s="2255">
        <v>300</v>
      </c>
      <c r="P19" s="1632">
        <v>5</v>
      </c>
      <c r="Q19" s="2253">
        <f t="shared" si="2"/>
        <v>1500</v>
      </c>
      <c r="R19" s="1658"/>
      <c r="S19" s="2253"/>
      <c r="T19" s="1695"/>
      <c r="U19" s="2255">
        <v>300</v>
      </c>
      <c r="V19" s="2255">
        <v>300</v>
      </c>
      <c r="W19" s="2255">
        <v>300</v>
      </c>
      <c r="X19" s="2255">
        <v>300</v>
      </c>
      <c r="Y19" s="2255">
        <v>300</v>
      </c>
      <c r="Z19" s="1695"/>
      <c r="AA19" s="1695"/>
      <c r="AB19" s="1695"/>
      <c r="AC19" s="1695"/>
      <c r="AD19" s="1695"/>
      <c r="AE19" s="1695"/>
      <c r="AF19" s="1695"/>
      <c r="AG19" s="2253"/>
    </row>
    <row r="20" spans="1:33" s="357" customFormat="1" ht="47.25">
      <c r="A20" s="2248">
        <v>4421</v>
      </c>
      <c r="B20" s="2249" t="s">
        <v>999</v>
      </c>
      <c r="C20" s="2249" t="s">
        <v>974</v>
      </c>
      <c r="D20" s="2249"/>
      <c r="E20" s="2251">
        <v>150</v>
      </c>
      <c r="F20" s="2254">
        <v>43221</v>
      </c>
      <c r="G20" s="2254">
        <f t="shared" si="1"/>
        <v>43373</v>
      </c>
      <c r="H20" s="2249"/>
      <c r="I20" s="2251" t="s">
        <v>169</v>
      </c>
      <c r="J20" s="2251"/>
      <c r="K20" s="2250" t="s">
        <v>992</v>
      </c>
      <c r="L20" s="2251">
        <v>23173</v>
      </c>
      <c r="M20" s="2249"/>
      <c r="N20" s="2251"/>
      <c r="O20" s="2255">
        <v>100</v>
      </c>
      <c r="P20" s="1632">
        <v>5</v>
      </c>
      <c r="Q20" s="2253">
        <f t="shared" si="2"/>
        <v>500</v>
      </c>
      <c r="R20" s="1658"/>
      <c r="S20" s="2253"/>
      <c r="T20" s="1695"/>
      <c r="U20" s="2255">
        <v>100</v>
      </c>
      <c r="V20" s="2255">
        <v>100</v>
      </c>
      <c r="W20" s="2255">
        <v>100</v>
      </c>
      <c r="X20" s="2255">
        <v>100</v>
      </c>
      <c r="Y20" s="2255">
        <v>100</v>
      </c>
      <c r="Z20" s="1695"/>
      <c r="AA20" s="1695"/>
      <c r="AB20" s="1695"/>
      <c r="AC20" s="1695"/>
      <c r="AD20" s="1695"/>
      <c r="AE20" s="1695"/>
      <c r="AF20" s="1695"/>
      <c r="AG20" s="2253"/>
    </row>
    <row r="21" spans="1:33" s="357" customFormat="1" ht="47.25">
      <c r="A21" s="2248">
        <v>4421</v>
      </c>
      <c r="B21" s="2249" t="s">
        <v>999</v>
      </c>
      <c r="C21" s="2249" t="s">
        <v>974</v>
      </c>
      <c r="D21" s="2249"/>
      <c r="E21" s="2251">
        <v>150</v>
      </c>
      <c r="F21" s="2254">
        <v>43221</v>
      </c>
      <c r="G21" s="2254">
        <f t="shared" si="1"/>
        <v>43373</v>
      </c>
      <c r="H21" s="2249"/>
      <c r="I21" s="2251" t="s">
        <v>169</v>
      </c>
      <c r="J21" s="2251"/>
      <c r="K21" s="2250" t="s">
        <v>1006</v>
      </c>
      <c r="L21" s="2251">
        <v>23174</v>
      </c>
      <c r="M21" s="2249"/>
      <c r="N21" s="2251"/>
      <c r="O21" s="2255">
        <v>2000</v>
      </c>
      <c r="P21" s="1632">
        <v>3</v>
      </c>
      <c r="Q21" s="2253">
        <f t="shared" si="2"/>
        <v>6000</v>
      </c>
      <c r="R21" s="1658"/>
      <c r="S21" s="2253"/>
      <c r="T21" s="1695"/>
      <c r="U21" s="2255">
        <v>2000</v>
      </c>
      <c r="V21" s="2255"/>
      <c r="W21" s="2255">
        <v>2000</v>
      </c>
      <c r="X21" s="2255"/>
      <c r="Y21" s="2255">
        <v>2000</v>
      </c>
      <c r="Z21" s="1695"/>
      <c r="AA21" s="1695"/>
      <c r="AB21" s="1695"/>
      <c r="AC21" s="1695"/>
      <c r="AD21" s="1695"/>
      <c r="AE21" s="1695"/>
      <c r="AF21" s="1695"/>
      <c r="AG21" s="2253"/>
    </row>
    <row r="22" spans="1:33" s="357" customFormat="1" ht="47.25">
      <c r="A22" s="2248">
        <v>4421</v>
      </c>
      <c r="B22" s="2249" t="s">
        <v>999</v>
      </c>
      <c r="C22" s="2249" t="s">
        <v>974</v>
      </c>
      <c r="D22" s="2249"/>
      <c r="E22" s="2251">
        <v>150</v>
      </c>
      <c r="F22" s="2254">
        <v>43221</v>
      </c>
      <c r="G22" s="2254">
        <f t="shared" si="1"/>
        <v>43373</v>
      </c>
      <c r="H22" s="2249"/>
      <c r="I22" s="2251" t="s">
        <v>169</v>
      </c>
      <c r="J22" s="2251"/>
      <c r="K22" s="2250" t="s">
        <v>993</v>
      </c>
      <c r="L22" s="2251">
        <v>23173</v>
      </c>
      <c r="M22" s="2249"/>
      <c r="N22" s="2251"/>
      <c r="O22" s="2255">
        <v>200</v>
      </c>
      <c r="P22" s="1632">
        <v>5</v>
      </c>
      <c r="Q22" s="2253">
        <f t="shared" si="2"/>
        <v>1000</v>
      </c>
      <c r="R22" s="1658"/>
      <c r="S22" s="2253"/>
      <c r="T22" s="1695"/>
      <c r="U22" s="2255">
        <v>200</v>
      </c>
      <c r="V22" s="2255">
        <v>200</v>
      </c>
      <c r="W22" s="2255">
        <v>200</v>
      </c>
      <c r="X22" s="2255">
        <v>200</v>
      </c>
      <c r="Y22" s="2255">
        <v>200</v>
      </c>
      <c r="Z22" s="1695"/>
      <c r="AA22" s="1695"/>
      <c r="AB22" s="1695"/>
      <c r="AC22" s="1695"/>
      <c r="AD22" s="1695"/>
      <c r="AE22" s="1695"/>
      <c r="AF22" s="1695"/>
      <c r="AG22" s="2253"/>
    </row>
    <row r="23" spans="1:33" s="357" customFormat="1" ht="47.25">
      <c r="A23" s="2248">
        <v>4421</v>
      </c>
      <c r="B23" s="2249" t="s">
        <v>999</v>
      </c>
      <c r="C23" s="2249" t="s">
        <v>974</v>
      </c>
      <c r="D23" s="2249"/>
      <c r="E23" s="2251">
        <v>150</v>
      </c>
      <c r="F23" s="2254">
        <v>43221</v>
      </c>
      <c r="G23" s="2254">
        <f>F23+E23+2</f>
        <v>43373</v>
      </c>
      <c r="H23" s="2249"/>
      <c r="I23" s="2251" t="s">
        <v>169</v>
      </c>
      <c r="J23" s="2251"/>
      <c r="K23" s="2250" t="s">
        <v>994</v>
      </c>
      <c r="L23" s="2251">
        <v>23174</v>
      </c>
      <c r="M23" s="2249"/>
      <c r="N23" s="2251"/>
      <c r="O23" s="2255">
        <v>3500</v>
      </c>
      <c r="P23" s="1632">
        <v>2</v>
      </c>
      <c r="Q23" s="2253">
        <f t="shared" si="2"/>
        <v>7000</v>
      </c>
      <c r="R23" s="1658"/>
      <c r="S23" s="2253"/>
      <c r="T23" s="1695"/>
      <c r="U23" s="1695"/>
      <c r="V23" s="2255">
        <v>3500</v>
      </c>
      <c r="W23" s="1695"/>
      <c r="X23" s="2255">
        <v>3500</v>
      </c>
      <c r="Y23" s="1695"/>
      <c r="Z23" s="1695"/>
      <c r="AA23" s="1695"/>
      <c r="AB23" s="1695"/>
      <c r="AC23" s="1695"/>
      <c r="AD23" s="1695"/>
      <c r="AE23" s="1695"/>
      <c r="AF23" s="1695"/>
      <c r="AG23" s="2253"/>
    </row>
    <row r="24" spans="1:33" s="357" customFormat="1" ht="31.5">
      <c r="A24" s="2248">
        <v>4422</v>
      </c>
      <c r="B24" s="2249" t="s">
        <v>1068</v>
      </c>
      <c r="C24" s="2249" t="s">
        <v>1069</v>
      </c>
      <c r="D24" s="2249"/>
      <c r="E24" s="2251">
        <v>30</v>
      </c>
      <c r="F24" s="2254">
        <v>43221</v>
      </c>
      <c r="G24" s="2254">
        <f>F24+E24</f>
        <v>43251</v>
      </c>
      <c r="H24" s="2249"/>
      <c r="I24" s="2251" t="s">
        <v>169</v>
      </c>
      <c r="J24" s="2251"/>
      <c r="K24" s="2250" t="s">
        <v>1075</v>
      </c>
      <c r="L24" s="2251">
        <v>23174</v>
      </c>
      <c r="M24" s="2249"/>
      <c r="N24" s="2251"/>
      <c r="O24" s="2252">
        <v>10000</v>
      </c>
      <c r="P24" s="2251">
        <v>1</v>
      </c>
      <c r="Q24" s="2253">
        <f>O24*P24</f>
        <v>10000</v>
      </c>
      <c r="R24" s="1658"/>
      <c r="S24" s="2253"/>
      <c r="T24" s="1695"/>
      <c r="U24" s="2253">
        <v>10000</v>
      </c>
      <c r="V24" s="1695"/>
      <c r="W24" s="1695"/>
      <c r="X24" s="2052"/>
      <c r="Y24" s="1695"/>
      <c r="Z24" s="1695"/>
      <c r="AA24" s="1695"/>
      <c r="AB24" s="1695"/>
      <c r="AC24" s="1695"/>
      <c r="AD24" s="1695"/>
      <c r="AE24" s="1695"/>
      <c r="AF24" s="1695"/>
      <c r="AG24" s="2253"/>
    </row>
    <row r="25" spans="1:33" s="357" customFormat="1" ht="31.5">
      <c r="A25" s="2248">
        <v>4423</v>
      </c>
      <c r="B25" s="2249" t="s">
        <v>1070</v>
      </c>
      <c r="C25" s="2249" t="s">
        <v>1071</v>
      </c>
      <c r="D25" s="2249"/>
      <c r="E25" s="2251">
        <v>30</v>
      </c>
      <c r="F25" s="2254">
        <v>43252</v>
      </c>
      <c r="G25" s="2254">
        <f>F25+E25-1</f>
        <v>43281</v>
      </c>
      <c r="H25" s="2249"/>
      <c r="I25" s="2251" t="s">
        <v>169</v>
      </c>
      <c r="J25" s="2251"/>
      <c r="K25" s="2256" t="s">
        <v>1076</v>
      </c>
      <c r="L25" s="2251">
        <v>23174</v>
      </c>
      <c r="M25" s="2249"/>
      <c r="N25" s="2251"/>
      <c r="O25" s="2252">
        <v>10000</v>
      </c>
      <c r="P25" s="2251">
        <v>1</v>
      </c>
      <c r="Q25" s="2253">
        <f>O25*P25</f>
        <v>10000</v>
      </c>
      <c r="R25" s="1658"/>
      <c r="S25" s="2251"/>
      <c r="T25" s="1695"/>
      <c r="U25" s="1695"/>
      <c r="V25" s="2253">
        <v>10000</v>
      </c>
      <c r="W25" s="1695"/>
      <c r="X25" s="2052"/>
      <c r="Y25" s="1695"/>
      <c r="Z25" s="1695"/>
      <c r="AA25" s="1695"/>
      <c r="AB25" s="1695"/>
      <c r="AC25" s="1695"/>
      <c r="AD25" s="1695"/>
      <c r="AE25" s="1695"/>
      <c r="AF25" s="1695"/>
      <c r="AG25" s="2253"/>
    </row>
    <row r="26" spans="1:33" s="357" customFormat="1" ht="31.5">
      <c r="A26" s="2248">
        <v>4424</v>
      </c>
      <c r="B26" s="2249" t="s">
        <v>1002</v>
      </c>
      <c r="C26" s="2249" t="s">
        <v>1072</v>
      </c>
      <c r="D26" s="2249"/>
      <c r="E26" s="2251">
        <v>30</v>
      </c>
      <c r="F26" s="2254">
        <v>43221</v>
      </c>
      <c r="G26" s="2254">
        <f>F26+E26</f>
        <v>43251</v>
      </c>
      <c r="H26" s="2249"/>
      <c r="I26" s="2251" t="s">
        <v>169</v>
      </c>
      <c r="J26" s="2251"/>
      <c r="K26" s="2256" t="s">
        <v>1077</v>
      </c>
      <c r="L26" s="2251">
        <v>23173</v>
      </c>
      <c r="M26" s="2249"/>
      <c r="N26" s="2251"/>
      <c r="O26" s="2252">
        <v>5000</v>
      </c>
      <c r="P26" s="2251">
        <v>1</v>
      </c>
      <c r="Q26" s="2253">
        <v>5000</v>
      </c>
      <c r="R26" s="1658"/>
      <c r="S26" s="2251"/>
      <c r="T26" s="1695"/>
      <c r="U26" s="2253">
        <v>5000</v>
      </c>
      <c r="V26" s="1695"/>
      <c r="W26" s="1695"/>
      <c r="X26" s="2052"/>
      <c r="Y26" s="1695"/>
      <c r="Z26" s="1695"/>
      <c r="AA26" s="1695"/>
      <c r="AB26" s="1695"/>
      <c r="AC26" s="1695"/>
      <c r="AD26" s="1695"/>
      <c r="AE26" s="1695"/>
      <c r="AF26" s="1695"/>
      <c r="AG26" s="2253"/>
    </row>
    <row r="27" spans="1:33" s="357" customFormat="1" ht="15.75">
      <c r="A27" s="2248">
        <v>4425</v>
      </c>
      <c r="B27" s="2249" t="s">
        <v>1003</v>
      </c>
      <c r="C27" s="2249" t="s">
        <v>1073</v>
      </c>
      <c r="D27" s="2249"/>
      <c r="E27" s="2251">
        <v>30</v>
      </c>
      <c r="F27" s="2254">
        <v>43221</v>
      </c>
      <c r="G27" s="2254">
        <f>F27+E27</f>
        <v>43251</v>
      </c>
      <c r="H27" s="2249"/>
      <c r="I27" s="2251" t="s">
        <v>169</v>
      </c>
      <c r="J27" s="2251"/>
      <c r="K27" s="2256" t="s">
        <v>1078</v>
      </c>
      <c r="L27" s="2251">
        <v>23173</v>
      </c>
      <c r="M27" s="2249"/>
      <c r="N27" s="2251"/>
      <c r="O27" s="2252">
        <v>45000</v>
      </c>
      <c r="P27" s="2251">
        <v>1</v>
      </c>
      <c r="Q27" s="2253">
        <f>O27*P27</f>
        <v>45000</v>
      </c>
      <c r="R27" s="1658"/>
      <c r="S27" s="2251"/>
      <c r="T27" s="1695"/>
      <c r="U27" s="2253">
        <v>45000</v>
      </c>
      <c r="V27" s="1695"/>
      <c r="W27" s="1695"/>
      <c r="X27" s="2052"/>
      <c r="Y27" s="1695"/>
      <c r="Z27" s="1695"/>
      <c r="AA27" s="1695"/>
      <c r="AB27" s="1695"/>
      <c r="AC27" s="1695"/>
      <c r="AD27" s="1695"/>
      <c r="AE27" s="1695"/>
      <c r="AF27" s="1695"/>
      <c r="AG27" s="2253"/>
    </row>
    <row r="28" spans="1:33" s="357" customFormat="1" ht="19.5">
      <c r="A28" s="2248">
        <v>4426</v>
      </c>
      <c r="B28" s="2260" t="s">
        <v>1074</v>
      </c>
      <c r="C28" s="2257"/>
      <c r="D28" s="2257"/>
      <c r="E28" s="2257"/>
      <c r="F28" s="2257"/>
      <c r="G28" s="2257"/>
      <c r="H28" s="2257"/>
      <c r="I28" s="2258"/>
      <c r="J28" s="2258"/>
      <c r="K28" s="2259"/>
      <c r="L28" s="2262">
        <v>2318</v>
      </c>
      <c r="M28" s="2257"/>
      <c r="N28" s="2258"/>
      <c r="O28" s="2252">
        <v>114062.5</v>
      </c>
      <c r="P28" s="2251">
        <v>1</v>
      </c>
      <c r="Q28" s="1665">
        <f>O28*P28</f>
        <v>114062.5</v>
      </c>
      <c r="R28" s="1658"/>
      <c r="S28" s="2251"/>
      <c r="T28" s="2261"/>
      <c r="U28" s="2252"/>
      <c r="V28" s="2252">
        <v>114062.5</v>
      </c>
      <c r="W28" s="1695"/>
      <c r="X28" s="2052"/>
      <c r="Y28" s="2252"/>
      <c r="Z28" s="1695"/>
      <c r="AA28" s="1695"/>
      <c r="AB28" s="1695"/>
      <c r="AC28" s="1695"/>
      <c r="AD28" s="1695"/>
      <c r="AE28" s="1695"/>
      <c r="AF28" s="1695"/>
      <c r="AG28" s="2253"/>
    </row>
    <row r="29" spans="1:33" s="357" customFormat="1" ht="15.75">
      <c r="A29" s="3399" t="s">
        <v>969</v>
      </c>
      <c r="B29" s="3399"/>
      <c r="C29" s="3399"/>
      <c r="D29" s="3399"/>
      <c r="E29" s="3399"/>
      <c r="F29" s="3399"/>
      <c r="G29" s="3399"/>
      <c r="H29" s="3399"/>
      <c r="I29" s="3399"/>
      <c r="J29" s="1213"/>
      <c r="K29" s="1214"/>
      <c r="L29" s="1213"/>
      <c r="M29" s="1215"/>
      <c r="N29" s="1213"/>
      <c r="O29" s="1216"/>
      <c r="P29" s="1213"/>
      <c r="Q29" s="1217">
        <f>SUM(Q30:Q31)</f>
        <v>322694</v>
      </c>
      <c r="R29" s="1218"/>
      <c r="S29" s="1217">
        <f t="shared" ref="S29:AG29" si="3">SUM(S30:S31)</f>
        <v>322694</v>
      </c>
      <c r="T29" s="1217">
        <f t="shared" si="3"/>
        <v>0</v>
      </c>
      <c r="U29" s="1217">
        <f t="shared" si="3"/>
        <v>0</v>
      </c>
      <c r="V29" s="1217">
        <f t="shared" si="3"/>
        <v>0</v>
      </c>
      <c r="W29" s="1217">
        <f t="shared" si="3"/>
        <v>0</v>
      </c>
      <c r="X29" s="1217">
        <f t="shared" si="3"/>
        <v>0</v>
      </c>
      <c r="Y29" s="1217">
        <f t="shared" si="3"/>
        <v>0</v>
      </c>
      <c r="Z29" s="1217">
        <f t="shared" si="3"/>
        <v>0</v>
      </c>
      <c r="AA29" s="1217">
        <f t="shared" si="3"/>
        <v>0</v>
      </c>
      <c r="AB29" s="1217">
        <f t="shared" si="3"/>
        <v>0</v>
      </c>
      <c r="AC29" s="1217">
        <f t="shared" si="3"/>
        <v>0</v>
      </c>
      <c r="AD29" s="1217">
        <f t="shared" si="3"/>
        <v>0</v>
      </c>
      <c r="AE29" s="1217">
        <f t="shared" si="3"/>
        <v>0</v>
      </c>
      <c r="AF29" s="1217">
        <f t="shared" si="3"/>
        <v>0</v>
      </c>
      <c r="AG29" s="1217">
        <f t="shared" si="3"/>
        <v>322694</v>
      </c>
    </row>
    <row r="30" spans="1:33" s="357" customFormat="1" ht="15.75">
      <c r="A30" s="1219">
        <v>451</v>
      </c>
      <c r="B30" s="1222" t="s">
        <v>970</v>
      </c>
      <c r="C30" s="1222" t="s">
        <v>998</v>
      </c>
      <c r="D30" s="1222"/>
      <c r="E30" s="1222"/>
      <c r="F30" s="1222"/>
      <c r="G30" s="1222"/>
      <c r="H30" s="1222"/>
      <c r="I30" s="1221" t="s">
        <v>169</v>
      </c>
      <c r="J30" s="1221"/>
      <c r="K30" s="1220"/>
      <c r="L30" s="1221"/>
      <c r="M30" s="1222"/>
      <c r="N30" s="1221"/>
      <c r="O30" s="1223"/>
      <c r="P30" s="1221"/>
      <c r="Q30" s="1224"/>
      <c r="R30" s="1225"/>
      <c r="S30" s="1224">
        <v>322694</v>
      </c>
      <c r="T30" s="1226"/>
      <c r="U30" s="1226"/>
      <c r="V30" s="1226"/>
      <c r="W30" s="1226"/>
      <c r="X30" s="1227"/>
      <c r="Y30" s="1226"/>
      <c r="Z30" s="1226"/>
      <c r="AA30" s="1226"/>
      <c r="AB30" s="1226"/>
      <c r="AC30" s="1226"/>
      <c r="AD30" s="1226"/>
      <c r="AE30" s="1226"/>
      <c r="AF30" s="1226"/>
      <c r="AG30" s="1224">
        <v>322694</v>
      </c>
    </row>
    <row r="31" spans="1:33" s="357" customFormat="1" ht="15.75">
      <c r="A31" s="2248">
        <v>4511</v>
      </c>
      <c r="B31" s="2249" t="s">
        <v>970</v>
      </c>
      <c r="C31" s="2249" t="s">
        <v>998</v>
      </c>
      <c r="D31" s="2249"/>
      <c r="E31" s="2249"/>
      <c r="F31" s="2249"/>
      <c r="G31" s="2249"/>
      <c r="H31" s="2249"/>
      <c r="I31" s="2251" t="s">
        <v>169</v>
      </c>
      <c r="J31" s="2251"/>
      <c r="K31" s="2250"/>
      <c r="L31" s="2251"/>
      <c r="M31" s="2249"/>
      <c r="N31" s="2251"/>
      <c r="O31" s="2253">
        <v>322694</v>
      </c>
      <c r="P31" s="2251">
        <v>1</v>
      </c>
      <c r="Q31" s="2253">
        <f>+O31*P31</f>
        <v>322694</v>
      </c>
      <c r="R31" s="1658"/>
      <c r="S31" s="1695"/>
      <c r="T31" s="1695"/>
      <c r="U31" s="1695"/>
      <c r="V31" s="1695"/>
      <c r="W31" s="1695"/>
      <c r="X31" s="2052"/>
      <c r="Y31" s="1695"/>
      <c r="Z31" s="1695"/>
      <c r="AA31" s="1695"/>
      <c r="AB31" s="1695"/>
      <c r="AC31" s="1695"/>
      <c r="AD31" s="1695"/>
      <c r="AE31" s="1695"/>
      <c r="AF31" s="1695"/>
      <c r="AG31" s="2253"/>
    </row>
  </sheetData>
  <mergeCells count="20">
    <mergeCell ref="A1:V1"/>
    <mergeCell ref="A4:A5"/>
    <mergeCell ref="B4:B5"/>
    <mergeCell ref="C4:C5"/>
    <mergeCell ref="D4:D5"/>
    <mergeCell ref="E4:E5"/>
    <mergeCell ref="F4:G4"/>
    <mergeCell ref="H4:H5"/>
    <mergeCell ref="I4:J4"/>
    <mergeCell ref="K4:K5"/>
    <mergeCell ref="R4:R5"/>
    <mergeCell ref="S4:Y4"/>
    <mergeCell ref="O4:O5"/>
    <mergeCell ref="P4:P5"/>
    <mergeCell ref="Q4:Q5"/>
    <mergeCell ref="A6:I6"/>
    <mergeCell ref="A29:I29"/>
    <mergeCell ref="L4:L5"/>
    <mergeCell ref="M4:M5"/>
    <mergeCell ref="N4:N5"/>
  </mergeCells>
  <printOptions horizontalCentered="1"/>
  <pageMargins left="0.11811023622047245" right="0.11811023622047245" top="0.35433070866141736" bottom="0.74803149606299213" header="0.31496062992125984" footer="0.31496062992125984"/>
  <pageSetup paperSize="9" scale="43" fitToHeight="0" orientation="landscape"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50"/>
    <pageSetUpPr fitToPage="1"/>
  </sheetPr>
  <dimension ref="A1:L26"/>
  <sheetViews>
    <sheetView topLeftCell="A4" workbookViewId="0">
      <selection activeCell="H8" sqref="H8"/>
    </sheetView>
  </sheetViews>
  <sheetFormatPr baseColWidth="10" defaultColWidth="11.42578125" defaultRowHeight="15"/>
  <cols>
    <col min="2" max="2" width="25.42578125" customWidth="1"/>
    <col min="8" max="8" width="12.85546875" style="71" bestFit="1" customWidth="1"/>
    <col min="9" max="9" width="12.85546875" bestFit="1" customWidth="1"/>
  </cols>
  <sheetData>
    <row r="1" spans="1:12">
      <c r="H1" s="71" t="s">
        <v>977</v>
      </c>
    </row>
    <row r="2" spans="1:12" s="1470" customFormat="1">
      <c r="A2" s="1474" t="s">
        <v>169</v>
      </c>
      <c r="B2" s="1474" t="s">
        <v>156</v>
      </c>
      <c r="H2" s="1475">
        <v>466727</v>
      </c>
      <c r="K2" s="1470" t="s">
        <v>978</v>
      </c>
    </row>
    <row r="3" spans="1:12" s="1470" customFormat="1">
      <c r="H3" s="1472"/>
    </row>
    <row r="4" spans="1:12" s="1470" customFormat="1">
      <c r="B4" s="1469" t="s">
        <v>979</v>
      </c>
      <c r="D4" s="1471">
        <v>16000</v>
      </c>
      <c r="E4" s="1470">
        <v>1</v>
      </c>
      <c r="H4" s="1472">
        <v>16000</v>
      </c>
      <c r="K4" s="1470">
        <v>23173</v>
      </c>
      <c r="L4" s="1470" t="s">
        <v>980</v>
      </c>
    </row>
    <row r="5" spans="1:12" s="1470" customFormat="1" ht="45">
      <c r="B5" s="1473" t="s">
        <v>981</v>
      </c>
      <c r="D5" s="1471">
        <v>96060</v>
      </c>
      <c r="E5" s="1470">
        <v>1</v>
      </c>
      <c r="H5" s="1472">
        <v>92060</v>
      </c>
      <c r="K5" s="1470">
        <v>23173</v>
      </c>
      <c r="L5" s="1470" t="s">
        <v>980</v>
      </c>
    </row>
    <row r="6" spans="1:12" s="1470" customFormat="1" ht="60">
      <c r="B6" s="1473" t="s">
        <v>982</v>
      </c>
      <c r="D6" s="1471">
        <v>10667</v>
      </c>
      <c r="E6" s="1470">
        <v>1</v>
      </c>
      <c r="H6" s="1472">
        <v>10667</v>
      </c>
      <c r="K6" s="1470">
        <v>23173</v>
      </c>
      <c r="L6" s="1470" t="s">
        <v>980</v>
      </c>
    </row>
    <row r="7" spans="1:12" s="1470" customFormat="1">
      <c r="B7" s="3454" t="s">
        <v>1000</v>
      </c>
      <c r="C7" s="3454"/>
      <c r="D7" s="3454"/>
      <c r="E7" s="3454"/>
      <c r="F7" s="3454"/>
      <c r="G7" s="3454"/>
      <c r="H7" s="1472"/>
      <c r="I7" s="1476">
        <f>SUM(H4:H6)</f>
        <v>118727</v>
      </c>
    </row>
    <row r="8" spans="1:12" s="1470" customFormat="1">
      <c r="B8" s="1470" t="s">
        <v>983</v>
      </c>
      <c r="H8" s="1472">
        <f>55000000/3200*5</f>
        <v>85937.5</v>
      </c>
      <c r="K8" s="1470">
        <v>23171</v>
      </c>
      <c r="L8" s="1470" t="s">
        <v>984</v>
      </c>
    </row>
    <row r="9" spans="1:12" s="1470" customFormat="1">
      <c r="B9" s="1470" t="s">
        <v>985</v>
      </c>
      <c r="D9" s="1471">
        <v>700</v>
      </c>
      <c r="E9" s="1470">
        <v>5</v>
      </c>
      <c r="H9" s="1472">
        <f t="shared" ref="H9:H20" si="0">+D9*E9</f>
        <v>3500</v>
      </c>
      <c r="K9" s="1470">
        <v>23172</v>
      </c>
      <c r="L9" s="1470" t="s">
        <v>986</v>
      </c>
    </row>
    <row r="10" spans="1:12" s="1470" customFormat="1">
      <c r="B10" s="1470" t="s">
        <v>987</v>
      </c>
      <c r="D10" s="1471">
        <v>7000</v>
      </c>
      <c r="E10" s="1470">
        <v>5</v>
      </c>
      <c r="H10" s="1472">
        <f t="shared" si="0"/>
        <v>35000</v>
      </c>
      <c r="K10" s="1470">
        <v>23172</v>
      </c>
      <c r="L10" s="1470" t="s">
        <v>986</v>
      </c>
    </row>
    <row r="11" spans="1:12" s="1470" customFormat="1">
      <c r="B11" s="1470" t="s">
        <v>1004</v>
      </c>
      <c r="D11" s="1471">
        <v>1700</v>
      </c>
      <c r="E11" s="1470">
        <v>5</v>
      </c>
      <c r="H11" s="1472">
        <f t="shared" si="0"/>
        <v>8500</v>
      </c>
      <c r="K11" s="1470">
        <v>23173</v>
      </c>
      <c r="L11" s="1470" t="s">
        <v>980</v>
      </c>
    </row>
    <row r="12" spans="1:12" s="1470" customFormat="1">
      <c r="B12" s="1470" t="s">
        <v>1005</v>
      </c>
      <c r="D12" s="1471">
        <v>1000</v>
      </c>
      <c r="E12" s="1470">
        <v>5</v>
      </c>
      <c r="H12" s="1472">
        <f t="shared" si="0"/>
        <v>5000</v>
      </c>
      <c r="K12" s="1470">
        <v>23175</v>
      </c>
      <c r="L12" s="1470" t="s">
        <v>988</v>
      </c>
    </row>
    <row r="13" spans="1:12" s="1470" customFormat="1">
      <c r="B13" s="1470" t="s">
        <v>255</v>
      </c>
      <c r="D13" s="1471">
        <v>2500</v>
      </c>
      <c r="E13" s="1470">
        <v>5</v>
      </c>
      <c r="H13" s="1472">
        <f t="shared" si="0"/>
        <v>12500</v>
      </c>
      <c r="K13" s="1470">
        <v>23173</v>
      </c>
      <c r="L13" s="1470" t="s">
        <v>980</v>
      </c>
    </row>
    <row r="14" spans="1:12" s="1470" customFormat="1">
      <c r="B14" s="1470" t="s">
        <v>989</v>
      </c>
      <c r="D14" s="1471">
        <v>200</v>
      </c>
      <c r="E14" s="1470">
        <v>5</v>
      </c>
      <c r="H14" s="1472">
        <f t="shared" si="0"/>
        <v>1000</v>
      </c>
      <c r="K14" s="1470">
        <v>23172</v>
      </c>
      <c r="L14" s="1470" t="s">
        <v>986</v>
      </c>
    </row>
    <row r="15" spans="1:12" s="1470" customFormat="1">
      <c r="B15" s="1470" t="s">
        <v>990</v>
      </c>
      <c r="D15" s="1471">
        <f>8000000/3200</f>
        <v>2500</v>
      </c>
      <c r="E15" s="1470">
        <v>5</v>
      </c>
      <c r="H15" s="1472">
        <f t="shared" si="0"/>
        <v>12500</v>
      </c>
      <c r="K15" s="1470">
        <v>23172</v>
      </c>
      <c r="L15" s="1470" t="s">
        <v>986</v>
      </c>
    </row>
    <row r="16" spans="1:12" s="1470" customFormat="1">
      <c r="B16" s="1470" t="s">
        <v>991</v>
      </c>
      <c r="D16" s="1471">
        <v>300</v>
      </c>
      <c r="E16" s="1470">
        <v>5</v>
      </c>
      <c r="H16" s="1472">
        <f t="shared" si="0"/>
        <v>1500</v>
      </c>
      <c r="K16" s="1470">
        <v>23172</v>
      </c>
      <c r="L16" s="1470" t="s">
        <v>986</v>
      </c>
    </row>
    <row r="17" spans="2:12" s="1470" customFormat="1">
      <c r="B17" s="1470" t="s">
        <v>992</v>
      </c>
      <c r="D17" s="1471">
        <v>100</v>
      </c>
      <c r="E17" s="1470">
        <v>5</v>
      </c>
      <c r="H17" s="1472">
        <f t="shared" si="0"/>
        <v>500</v>
      </c>
      <c r="K17" s="1470">
        <v>23173</v>
      </c>
      <c r="L17" s="1470" t="s">
        <v>980</v>
      </c>
    </row>
    <row r="18" spans="2:12" s="1470" customFormat="1">
      <c r="B18" s="1470" t="s">
        <v>1006</v>
      </c>
      <c r="D18" s="1471">
        <v>2000</v>
      </c>
      <c r="E18" s="1470">
        <v>3</v>
      </c>
      <c r="H18" s="1472">
        <f t="shared" si="0"/>
        <v>6000</v>
      </c>
      <c r="K18" s="1470">
        <v>23173</v>
      </c>
      <c r="L18" s="1470" t="s">
        <v>980</v>
      </c>
    </row>
    <row r="19" spans="2:12" s="1470" customFormat="1">
      <c r="B19" s="1470" t="s">
        <v>993</v>
      </c>
      <c r="D19" s="1471">
        <v>200</v>
      </c>
      <c r="E19" s="1470">
        <v>5</v>
      </c>
      <c r="H19" s="1472">
        <f t="shared" si="0"/>
        <v>1000</v>
      </c>
      <c r="K19" s="1470">
        <v>23173</v>
      </c>
      <c r="L19" s="1470" t="s">
        <v>980</v>
      </c>
    </row>
    <row r="20" spans="2:12" s="1470" customFormat="1">
      <c r="B20" s="1470" t="s">
        <v>994</v>
      </c>
      <c r="D20" s="1471">
        <v>3500</v>
      </c>
      <c r="E20" s="1470">
        <v>2</v>
      </c>
      <c r="H20" s="1472">
        <f t="shared" si="0"/>
        <v>7000</v>
      </c>
      <c r="K20" s="1470">
        <v>23174</v>
      </c>
      <c r="L20" s="1470" t="s">
        <v>995</v>
      </c>
    </row>
    <row r="21" spans="2:12" s="1470" customFormat="1">
      <c r="B21" s="3454" t="s">
        <v>1001</v>
      </c>
      <c r="C21" s="3454"/>
      <c r="D21" s="3454"/>
      <c r="E21" s="3454"/>
      <c r="F21" s="3454"/>
      <c r="G21" s="3454"/>
      <c r="I21" s="1475">
        <f>SUM(H8:H20)</f>
        <v>179937.5</v>
      </c>
    </row>
    <row r="22" spans="2:12" s="1470" customFormat="1">
      <c r="B22" s="1477"/>
      <c r="C22" s="1477"/>
      <c r="D22" s="1477"/>
      <c r="E22" s="1477"/>
      <c r="F22" s="1477"/>
      <c r="G22" s="1477"/>
      <c r="I22" s="1472"/>
    </row>
    <row r="23" spans="2:12" s="1470" customFormat="1">
      <c r="B23" s="1477"/>
      <c r="C23" s="1477"/>
      <c r="D23" s="1477"/>
      <c r="E23" s="1477"/>
      <c r="F23" s="1477"/>
      <c r="G23" s="1477"/>
      <c r="I23" s="1472"/>
    </row>
    <row r="24" spans="2:12" s="1470" customFormat="1">
      <c r="B24" s="3455" t="s">
        <v>996</v>
      </c>
      <c r="C24" s="3455"/>
      <c r="D24" s="3455"/>
      <c r="E24" s="3455"/>
      <c r="F24" s="3455"/>
      <c r="G24" s="3455"/>
      <c r="I24" s="1478">
        <f>169062.5-1000</f>
        <v>168062.5</v>
      </c>
      <c r="K24" s="1470">
        <v>23173</v>
      </c>
      <c r="L24" s="1470" t="s">
        <v>980</v>
      </c>
    </row>
    <row r="25" spans="2:12" s="1470" customFormat="1"/>
    <row r="26" spans="2:12" s="1470" customFormat="1">
      <c r="H26" s="1472"/>
      <c r="I26" s="1475">
        <f>SUM(I7:I24)</f>
        <v>466727</v>
      </c>
    </row>
  </sheetData>
  <mergeCells count="3">
    <mergeCell ref="B21:G21"/>
    <mergeCell ref="B7:G7"/>
    <mergeCell ref="B24:G24"/>
  </mergeCells>
  <pageMargins left="0.70866141732283472" right="0.70866141732283472" top="0.74803149606299213" bottom="0.74803149606299213" header="0.31496062992125984" footer="0.31496062992125984"/>
  <pageSetup paperSize="9" scale="79" fitToHeight="0" orientation="landscape"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C206"/>
  <sheetViews>
    <sheetView topLeftCell="A87" zoomScale="60" zoomScaleNormal="60" workbookViewId="0">
      <selection activeCell="A124" sqref="A124"/>
    </sheetView>
  </sheetViews>
  <sheetFormatPr baseColWidth="10" defaultColWidth="11.42578125" defaultRowHeight="15.75"/>
  <cols>
    <col min="1" max="1" width="9" style="336" bestFit="1" customWidth="1"/>
    <col min="2" max="2" width="92.7109375" style="337" bestFit="1" customWidth="1"/>
    <col min="3" max="3" width="92.5703125" style="337" bestFit="1" customWidth="1"/>
    <col min="4" max="4" width="13.28515625" style="337" bestFit="1" customWidth="1"/>
    <col min="5" max="5" width="18.7109375" style="338" bestFit="1" customWidth="1"/>
    <col min="6" max="6" width="14.7109375" style="339" bestFit="1" customWidth="1"/>
    <col min="7" max="7" width="14.140625" style="340" bestFit="1" customWidth="1"/>
    <col min="8" max="8" width="39" style="340" bestFit="1" customWidth="1"/>
    <col min="9" max="9" width="22.28515625" style="341" bestFit="1" customWidth="1"/>
    <col min="10" max="10" width="28.28515625" style="342" bestFit="1" customWidth="1"/>
    <col min="11" max="11" width="65.42578125" style="341" bestFit="1" customWidth="1"/>
    <col min="12" max="12" width="9.85546875" style="342" bestFit="1" customWidth="1"/>
    <col min="13" max="13" width="19" style="280" bestFit="1" customWidth="1"/>
    <col min="14" max="14" width="33" style="341" bestFit="1" customWidth="1"/>
    <col min="15" max="15" width="19.42578125" style="343" bestFit="1" customWidth="1"/>
    <col min="16" max="16" width="12" style="342" bestFit="1" customWidth="1"/>
    <col min="17" max="17" width="22" style="315" bestFit="1" customWidth="1"/>
    <col min="18" max="18" width="21.140625" style="344" bestFit="1" customWidth="1"/>
    <col min="19" max="19" width="11.5703125" style="315" bestFit="1" customWidth="1"/>
    <col min="20" max="20" width="10.85546875" style="315" bestFit="1" customWidth="1"/>
    <col min="21" max="25" width="20.5703125" style="315" bestFit="1" customWidth="1"/>
    <col min="26" max="26" width="15.42578125" style="345" bestFit="1" customWidth="1"/>
    <col min="27" max="27" width="19" style="345" bestFit="1" customWidth="1"/>
    <col min="28" max="28" width="16.5703125" style="345" bestFit="1" customWidth="1"/>
    <col min="29" max="29" width="20.140625" style="280" bestFit="1" customWidth="1"/>
    <col min="30" max="16384" width="11.42578125" style="280"/>
  </cols>
  <sheetData>
    <row r="1" spans="1:28" s="238" customFormat="1">
      <c r="A1" s="234"/>
      <c r="B1" s="235"/>
      <c r="C1" s="235"/>
      <c r="D1" s="235"/>
      <c r="E1" s="236"/>
      <c r="F1" s="237"/>
      <c r="G1" s="237"/>
      <c r="H1" s="237"/>
      <c r="I1" s="237"/>
      <c r="J1" s="237"/>
      <c r="K1" s="237"/>
      <c r="L1" s="237"/>
      <c r="N1" s="237"/>
      <c r="O1" s="239"/>
      <c r="P1" s="237"/>
      <c r="Q1" s="240"/>
      <c r="R1" s="241"/>
      <c r="S1" s="239"/>
      <c r="T1" s="239"/>
      <c r="U1" s="239"/>
      <c r="V1" s="239"/>
      <c r="W1" s="239"/>
      <c r="X1" s="239"/>
      <c r="Y1" s="239"/>
      <c r="Z1" s="242"/>
      <c r="AA1" s="242"/>
      <c r="AB1" s="242"/>
    </row>
    <row r="2" spans="1:28" s="238" customFormat="1" ht="15.75" customHeight="1">
      <c r="A2" s="3443" t="s">
        <v>202</v>
      </c>
      <c r="B2" s="3443"/>
      <c r="C2" s="3443"/>
      <c r="D2" s="3443"/>
      <c r="E2" s="3443"/>
      <c r="F2" s="3443"/>
      <c r="G2" s="3443"/>
      <c r="H2" s="3443"/>
      <c r="I2" s="3443"/>
      <c r="J2" s="3443"/>
      <c r="K2" s="3443"/>
      <c r="L2" s="3443"/>
      <c r="M2" s="3443"/>
      <c r="N2" s="3443"/>
      <c r="O2" s="3443"/>
      <c r="P2" s="3443"/>
      <c r="Q2" s="3443"/>
      <c r="R2" s="3443"/>
      <c r="S2" s="3443"/>
      <c r="T2" s="3443"/>
      <c r="U2" s="3443"/>
      <c r="V2" s="3443"/>
      <c r="Z2" s="243"/>
      <c r="AA2" s="243"/>
      <c r="AB2" s="243"/>
    </row>
    <row r="3" spans="1:28" s="249" customFormat="1" ht="15.75" customHeight="1">
      <c r="A3" s="244"/>
      <c r="B3" s="244"/>
      <c r="C3" s="244"/>
      <c r="D3" s="244"/>
      <c r="E3" s="245"/>
      <c r="F3" s="244"/>
      <c r="G3" s="244"/>
      <c r="H3" s="244"/>
      <c r="I3" s="245"/>
      <c r="J3" s="245"/>
      <c r="K3" s="245"/>
      <c r="L3" s="245"/>
      <c r="M3" s="244"/>
      <c r="N3" s="245"/>
      <c r="O3" s="246"/>
      <c r="P3" s="245"/>
      <c r="Q3" s="247"/>
      <c r="R3" s="248"/>
      <c r="S3" s="244"/>
      <c r="T3" s="244"/>
      <c r="U3" s="244"/>
      <c r="V3" s="244"/>
      <c r="Z3" s="250"/>
      <c r="AA3" s="250"/>
      <c r="AB3" s="250"/>
    </row>
    <row r="4" spans="1:28" s="255" customFormat="1" ht="15">
      <c r="A4" s="251"/>
      <c r="B4" s="252"/>
      <c r="C4" s="252"/>
      <c r="D4" s="252"/>
      <c r="E4" s="253"/>
      <c r="F4" s="254"/>
      <c r="G4" s="254"/>
      <c r="H4" s="254"/>
      <c r="I4" s="254"/>
      <c r="J4" s="254"/>
      <c r="K4" s="254"/>
      <c r="L4" s="254"/>
      <c r="N4" s="254"/>
      <c r="O4" s="256"/>
      <c r="P4" s="254"/>
      <c r="Q4" s="257"/>
      <c r="R4" s="258"/>
      <c r="S4" s="256"/>
      <c r="T4" s="256"/>
      <c r="U4" s="256"/>
      <c r="V4" s="256"/>
      <c r="W4" s="256"/>
      <c r="X4" s="256"/>
      <c r="Y4" s="256"/>
      <c r="Z4" s="259"/>
      <c r="AA4" s="259"/>
      <c r="AB4" s="259"/>
    </row>
    <row r="5" spans="1:28" s="238" customFormat="1" ht="34.5" customHeight="1">
      <c r="A5" s="3466" t="s">
        <v>203</v>
      </c>
      <c r="B5" s="3462" t="s">
        <v>204</v>
      </c>
      <c r="C5" s="3462" t="s">
        <v>205</v>
      </c>
      <c r="D5" s="3464" t="s">
        <v>206</v>
      </c>
      <c r="E5" s="3467" t="s">
        <v>207</v>
      </c>
      <c r="F5" s="3468" t="s">
        <v>208</v>
      </c>
      <c r="G5" s="3468"/>
      <c r="H5" s="3468" t="s">
        <v>209</v>
      </c>
      <c r="I5" s="3469" t="s">
        <v>210</v>
      </c>
      <c r="J5" s="3469"/>
      <c r="K5" s="3470" t="s">
        <v>211</v>
      </c>
      <c r="L5" s="3462" t="s">
        <v>212</v>
      </c>
      <c r="M5" s="3463" t="s">
        <v>213</v>
      </c>
      <c r="N5" s="3464" t="s">
        <v>214</v>
      </c>
      <c r="O5" s="3465" t="s">
        <v>215</v>
      </c>
      <c r="P5" s="3462" t="s">
        <v>216</v>
      </c>
      <c r="Q5" s="3465" t="s">
        <v>286</v>
      </c>
      <c r="R5" s="3471" t="s">
        <v>287</v>
      </c>
      <c r="S5" s="3472" t="s">
        <v>219</v>
      </c>
      <c r="T5" s="3472"/>
      <c r="U5" s="3472"/>
      <c r="V5" s="3472"/>
      <c r="W5" s="3472"/>
      <c r="X5" s="3472"/>
      <c r="Y5" s="3472"/>
      <c r="Z5" s="243"/>
      <c r="AA5" s="243"/>
      <c r="AB5" s="243"/>
    </row>
    <row r="6" spans="1:28" s="237" customFormat="1" ht="60" customHeight="1">
      <c r="A6" s="3466"/>
      <c r="B6" s="3462"/>
      <c r="C6" s="3462"/>
      <c r="D6" s="3442"/>
      <c r="E6" s="3446"/>
      <c r="F6" s="260" t="s">
        <v>220</v>
      </c>
      <c r="G6" s="261" t="s">
        <v>221</v>
      </c>
      <c r="H6" s="3468"/>
      <c r="I6" s="262" t="s">
        <v>222</v>
      </c>
      <c r="J6" s="262" t="s">
        <v>288</v>
      </c>
      <c r="K6" s="3450"/>
      <c r="L6" s="3462"/>
      <c r="M6" s="3463"/>
      <c r="N6" s="3442"/>
      <c r="O6" s="3465"/>
      <c r="P6" s="3462"/>
      <c r="Q6" s="3465"/>
      <c r="R6" s="3471"/>
      <c r="S6" s="263" t="s">
        <v>224</v>
      </c>
      <c r="T6" s="263" t="s">
        <v>225</v>
      </c>
      <c r="U6" s="263" t="s">
        <v>226</v>
      </c>
      <c r="V6" s="263" t="s">
        <v>227</v>
      </c>
      <c r="W6" s="263" t="s">
        <v>228</v>
      </c>
      <c r="X6" s="263" t="s">
        <v>229</v>
      </c>
      <c r="Y6" s="263" t="s">
        <v>230</v>
      </c>
      <c r="Z6" s="264" t="s">
        <v>289</v>
      </c>
      <c r="AA6" s="264" t="s">
        <v>290</v>
      </c>
      <c r="AB6" s="264" t="s">
        <v>291</v>
      </c>
    </row>
    <row r="7" spans="1:28" s="272" customFormat="1" ht="33.75" customHeight="1">
      <c r="A7" s="3458" t="s">
        <v>231</v>
      </c>
      <c r="B7" s="3458"/>
      <c r="C7" s="3458"/>
      <c r="D7" s="3458"/>
      <c r="E7" s="3458"/>
      <c r="F7" s="3458"/>
      <c r="G7" s="3458"/>
      <c r="H7" s="3458"/>
      <c r="I7" s="3458"/>
      <c r="J7" s="265"/>
      <c r="K7" s="265"/>
      <c r="L7" s="265"/>
      <c r="M7" s="266"/>
      <c r="N7" s="265"/>
      <c r="O7" s="267"/>
      <c r="P7" s="265"/>
      <c r="Q7" s="268"/>
      <c r="R7" s="269">
        <f>+'[2]Compil Costing PPA 3 millions'!F5</f>
        <v>449500</v>
      </c>
      <c r="S7" s="270"/>
      <c r="T7" s="270"/>
      <c r="U7" s="270"/>
      <c r="V7" s="270"/>
      <c r="W7" s="270"/>
      <c r="X7" s="270"/>
      <c r="Y7" s="270"/>
      <c r="Z7" s="271"/>
      <c r="AA7" s="271"/>
      <c r="AB7" s="271"/>
    </row>
    <row r="8" spans="1:28" ht="37.5" customHeight="1">
      <c r="A8" s="3457" t="s">
        <v>232</v>
      </c>
      <c r="B8" s="3457"/>
      <c r="C8" s="3457"/>
      <c r="D8" s="3457"/>
      <c r="E8" s="3457"/>
      <c r="F8" s="3457"/>
      <c r="G8" s="3457"/>
      <c r="H8" s="3457"/>
      <c r="I8" s="3457"/>
      <c r="J8" s="273"/>
      <c r="K8" s="273"/>
      <c r="L8" s="273"/>
      <c r="M8" s="274"/>
      <c r="N8" s="273"/>
      <c r="O8" s="275"/>
      <c r="P8" s="273"/>
      <c r="Q8" s="276"/>
      <c r="R8" s="277"/>
      <c r="S8" s="278"/>
      <c r="T8" s="278"/>
      <c r="U8" s="278"/>
      <c r="V8" s="274"/>
      <c r="W8" s="274"/>
      <c r="X8" s="274"/>
      <c r="Y8" s="274"/>
      <c r="Z8" s="279"/>
      <c r="AA8" s="279"/>
      <c r="AB8" s="279"/>
    </row>
    <row r="9" spans="1:28" ht="16.5" customHeight="1">
      <c r="A9" s="281">
        <v>111</v>
      </c>
      <c r="B9" s="3456"/>
      <c r="C9" s="3456"/>
      <c r="D9" s="3456"/>
      <c r="E9" s="3456"/>
      <c r="F9" s="3456"/>
      <c r="G9" s="3456"/>
      <c r="H9" s="3456"/>
      <c r="I9" s="3456"/>
      <c r="J9" s="282"/>
      <c r="K9" s="283"/>
      <c r="L9" s="282"/>
      <c r="M9" s="284"/>
      <c r="N9" s="283"/>
      <c r="O9" s="285"/>
      <c r="P9" s="282"/>
      <c r="Q9" s="286"/>
      <c r="R9" s="287"/>
      <c r="S9" s="288"/>
      <c r="T9" s="288"/>
      <c r="U9" s="288"/>
      <c r="V9" s="288"/>
      <c r="W9" s="288"/>
      <c r="X9" s="288"/>
      <c r="Y9" s="288"/>
      <c r="Z9" s="289"/>
      <c r="AA9" s="289"/>
      <c r="AB9" s="289"/>
    </row>
    <row r="10" spans="1:28">
      <c r="A10" s="290">
        <v>1111</v>
      </c>
      <c r="B10" s="291"/>
      <c r="C10" s="291"/>
      <c r="D10" s="291"/>
      <c r="E10" s="292"/>
      <c r="F10" s="293"/>
      <c r="G10" s="293"/>
      <c r="H10" s="293"/>
      <c r="I10" s="294"/>
      <c r="J10" s="295"/>
      <c r="K10" s="294"/>
      <c r="L10" s="295"/>
      <c r="M10" s="296"/>
      <c r="N10" s="294"/>
      <c r="O10" s="297"/>
      <c r="P10" s="295"/>
      <c r="Q10" s="298"/>
      <c r="R10" s="299"/>
      <c r="S10" s="298"/>
      <c r="T10" s="298"/>
      <c r="U10" s="298"/>
      <c r="V10" s="298"/>
      <c r="W10" s="298"/>
      <c r="X10" s="298"/>
      <c r="Y10" s="298"/>
      <c r="Z10" s="300"/>
      <c r="AA10" s="300"/>
      <c r="AB10" s="300"/>
    </row>
    <row r="11" spans="1:28" ht="16.5" customHeight="1">
      <c r="A11" s="290">
        <v>1112</v>
      </c>
      <c r="B11" s="291"/>
      <c r="C11" s="291"/>
      <c r="D11" s="291"/>
      <c r="E11" s="292"/>
      <c r="F11" s="293"/>
      <c r="G11" s="293"/>
      <c r="H11" s="293"/>
      <c r="I11" s="294"/>
      <c r="J11" s="295"/>
      <c r="K11" s="294"/>
      <c r="L11" s="295"/>
      <c r="M11" s="296"/>
      <c r="N11" s="294"/>
      <c r="O11" s="297"/>
      <c r="P11" s="295"/>
      <c r="Q11" s="298"/>
      <c r="R11" s="299"/>
      <c r="S11" s="298"/>
      <c r="T11" s="298"/>
      <c r="U11" s="298"/>
      <c r="V11" s="298"/>
      <c r="W11" s="298"/>
      <c r="X11" s="298"/>
      <c r="Y11" s="298"/>
      <c r="Z11" s="300"/>
      <c r="AA11" s="300"/>
      <c r="AB11" s="300"/>
    </row>
    <row r="12" spans="1:28" ht="16.5" customHeight="1">
      <c r="A12" s="290">
        <v>1113</v>
      </c>
      <c r="B12" s="291"/>
      <c r="C12" s="291"/>
      <c r="D12" s="291"/>
      <c r="E12" s="292"/>
      <c r="F12" s="293"/>
      <c r="G12" s="293"/>
      <c r="H12" s="293"/>
      <c r="I12" s="294"/>
      <c r="J12" s="295"/>
      <c r="K12" s="294"/>
      <c r="L12" s="295"/>
      <c r="M12" s="296"/>
      <c r="N12" s="294"/>
      <c r="O12" s="297"/>
      <c r="P12" s="295"/>
      <c r="Q12" s="298"/>
      <c r="R12" s="299"/>
      <c r="S12" s="298"/>
      <c r="T12" s="298"/>
      <c r="U12" s="298"/>
      <c r="V12" s="298"/>
      <c r="W12" s="298"/>
      <c r="X12" s="298"/>
      <c r="Y12" s="298"/>
      <c r="Z12" s="300"/>
      <c r="AA12" s="300"/>
      <c r="AB12" s="300"/>
    </row>
    <row r="13" spans="1:28" ht="16.5" customHeight="1">
      <c r="A13" s="281">
        <v>112</v>
      </c>
      <c r="B13" s="3456"/>
      <c r="C13" s="3456"/>
      <c r="D13" s="3456"/>
      <c r="E13" s="3456"/>
      <c r="F13" s="3456"/>
      <c r="G13" s="3456"/>
      <c r="H13" s="3456"/>
      <c r="I13" s="3456"/>
      <c r="J13" s="282"/>
      <c r="K13" s="283"/>
      <c r="L13" s="282"/>
      <c r="M13" s="284"/>
      <c r="N13" s="283"/>
      <c r="O13" s="285"/>
      <c r="P13" s="282"/>
      <c r="Q13" s="286"/>
      <c r="R13" s="287"/>
      <c r="S13" s="288"/>
      <c r="T13" s="288"/>
      <c r="U13" s="288"/>
      <c r="V13" s="288"/>
      <c r="W13" s="288"/>
      <c r="X13" s="288"/>
      <c r="Y13" s="288"/>
      <c r="Z13" s="289"/>
      <c r="AA13" s="289"/>
      <c r="AB13" s="289"/>
    </row>
    <row r="14" spans="1:28">
      <c r="A14" s="290">
        <v>1121</v>
      </c>
      <c r="B14" s="291"/>
      <c r="C14" s="291"/>
      <c r="D14" s="291"/>
      <c r="E14" s="292"/>
      <c r="F14" s="293"/>
      <c r="G14" s="293"/>
      <c r="H14" s="293"/>
      <c r="I14" s="294"/>
      <c r="J14" s="295"/>
      <c r="K14" s="294"/>
      <c r="L14" s="295"/>
      <c r="M14" s="296"/>
      <c r="N14" s="294"/>
      <c r="O14" s="297"/>
      <c r="P14" s="295"/>
      <c r="Q14" s="298"/>
      <c r="R14" s="299"/>
      <c r="S14" s="298"/>
      <c r="T14" s="298"/>
      <c r="U14" s="298"/>
      <c r="V14" s="298"/>
      <c r="W14" s="298"/>
      <c r="X14" s="298"/>
      <c r="Y14" s="298"/>
      <c r="Z14" s="300"/>
      <c r="AA14" s="300"/>
      <c r="AB14" s="300"/>
    </row>
    <row r="15" spans="1:28">
      <c r="A15" s="290">
        <v>1122</v>
      </c>
      <c r="B15" s="291"/>
      <c r="C15" s="291"/>
      <c r="D15" s="291"/>
      <c r="E15" s="292"/>
      <c r="F15" s="293"/>
      <c r="G15" s="293"/>
      <c r="H15" s="293"/>
      <c r="I15" s="294"/>
      <c r="J15" s="295"/>
      <c r="K15" s="294"/>
      <c r="L15" s="295"/>
      <c r="M15" s="296"/>
      <c r="N15" s="294"/>
      <c r="O15" s="297"/>
      <c r="P15" s="295"/>
      <c r="Q15" s="298"/>
      <c r="R15" s="299"/>
      <c r="S15" s="298"/>
      <c r="T15" s="298"/>
      <c r="U15" s="298"/>
      <c r="V15" s="298"/>
      <c r="W15" s="298"/>
      <c r="X15" s="298"/>
      <c r="Y15" s="298"/>
      <c r="Z15" s="300"/>
      <c r="AA15" s="300"/>
      <c r="AB15" s="300"/>
    </row>
    <row r="16" spans="1:28">
      <c r="A16" s="301" t="s">
        <v>233</v>
      </c>
      <c r="B16" s="291"/>
      <c r="C16" s="291"/>
      <c r="D16" s="291"/>
      <c r="E16" s="292"/>
      <c r="F16" s="293"/>
      <c r="G16" s="293"/>
      <c r="H16" s="293"/>
      <c r="I16" s="294"/>
      <c r="J16" s="295"/>
      <c r="K16" s="294"/>
      <c r="L16" s="295"/>
      <c r="M16" s="296"/>
      <c r="N16" s="294"/>
      <c r="O16" s="297"/>
      <c r="P16" s="295"/>
      <c r="Q16" s="298"/>
      <c r="R16" s="299"/>
      <c r="S16" s="298"/>
      <c r="T16" s="298"/>
      <c r="U16" s="298"/>
      <c r="V16" s="298"/>
      <c r="W16" s="298"/>
      <c r="X16" s="298"/>
      <c r="Y16" s="298"/>
      <c r="Z16" s="300"/>
      <c r="AA16" s="300"/>
      <c r="AB16" s="300"/>
    </row>
    <row r="17" spans="1:29" ht="37.5" customHeight="1">
      <c r="A17" s="3457" t="s">
        <v>234</v>
      </c>
      <c r="B17" s="3457"/>
      <c r="C17" s="3457"/>
      <c r="D17" s="3457"/>
      <c r="E17" s="3457"/>
      <c r="F17" s="3457"/>
      <c r="G17" s="3457"/>
      <c r="H17" s="3457"/>
      <c r="I17" s="3457"/>
      <c r="J17" s="273"/>
      <c r="K17" s="273"/>
      <c r="L17" s="273"/>
      <c r="M17" s="274"/>
      <c r="N17" s="273"/>
      <c r="O17" s="275"/>
      <c r="P17" s="273"/>
      <c r="Q17" s="276"/>
      <c r="R17" s="277"/>
      <c r="S17" s="278"/>
      <c r="T17" s="278"/>
      <c r="U17" s="278"/>
      <c r="V17" s="274"/>
      <c r="W17" s="274"/>
      <c r="X17" s="274"/>
      <c r="Y17" s="274"/>
      <c r="Z17" s="279"/>
      <c r="AA17" s="279"/>
      <c r="AB17" s="279"/>
    </row>
    <row r="18" spans="1:29" ht="16.5" customHeight="1">
      <c r="A18" s="281">
        <v>121</v>
      </c>
      <c r="B18" s="3456"/>
      <c r="C18" s="3456"/>
      <c r="D18" s="3456"/>
      <c r="E18" s="3456"/>
      <c r="F18" s="3456"/>
      <c r="G18" s="3456"/>
      <c r="H18" s="3456"/>
      <c r="I18" s="3456"/>
      <c r="J18" s="282"/>
      <c r="K18" s="283"/>
      <c r="L18" s="282"/>
      <c r="M18" s="284"/>
      <c r="N18" s="283"/>
      <c r="O18" s="285"/>
      <c r="P18" s="282"/>
      <c r="Q18" s="286"/>
      <c r="R18" s="287"/>
      <c r="S18" s="288"/>
      <c r="T18" s="288"/>
      <c r="U18" s="288"/>
      <c r="V18" s="288"/>
      <c r="W18" s="288"/>
      <c r="X18" s="288"/>
      <c r="Y18" s="288"/>
      <c r="Z18" s="289"/>
      <c r="AA18" s="289"/>
      <c r="AB18" s="289"/>
    </row>
    <row r="19" spans="1:29" ht="16.5" customHeight="1">
      <c r="A19" s="290">
        <v>1211</v>
      </c>
      <c r="B19" s="291"/>
      <c r="C19" s="291"/>
      <c r="D19" s="291"/>
      <c r="E19" s="292"/>
      <c r="F19" s="293"/>
      <c r="G19" s="293"/>
      <c r="H19" s="293"/>
      <c r="I19" s="294"/>
      <c r="J19" s="295"/>
      <c r="K19" s="294"/>
      <c r="L19" s="295"/>
      <c r="M19" s="296"/>
      <c r="N19" s="294"/>
      <c r="O19" s="297"/>
      <c r="P19" s="295"/>
      <c r="Q19" s="298"/>
      <c r="R19" s="299"/>
      <c r="S19" s="298"/>
      <c r="T19" s="298"/>
      <c r="U19" s="298"/>
      <c r="V19" s="298"/>
      <c r="W19" s="298"/>
      <c r="X19" s="298"/>
      <c r="Y19" s="298"/>
      <c r="Z19" s="300"/>
      <c r="AA19" s="300"/>
      <c r="AB19" s="300"/>
    </row>
    <row r="20" spans="1:29" ht="16.5" customHeight="1">
      <c r="A20" s="290">
        <v>1212</v>
      </c>
      <c r="B20" s="291"/>
      <c r="C20" s="291"/>
      <c r="D20" s="291"/>
      <c r="E20" s="292"/>
      <c r="F20" s="293"/>
      <c r="G20" s="293"/>
      <c r="H20" s="293"/>
      <c r="I20" s="294"/>
      <c r="J20" s="295"/>
      <c r="K20" s="294"/>
      <c r="L20" s="295"/>
      <c r="M20" s="296"/>
      <c r="N20" s="294"/>
      <c r="O20" s="297"/>
      <c r="P20" s="295"/>
      <c r="Q20" s="298"/>
      <c r="R20" s="299"/>
      <c r="S20" s="298"/>
      <c r="T20" s="298"/>
      <c r="U20" s="298"/>
      <c r="V20" s="298"/>
      <c r="W20" s="298"/>
      <c r="X20" s="298"/>
      <c r="Y20" s="298"/>
      <c r="Z20" s="300"/>
      <c r="AA20" s="300"/>
      <c r="AB20" s="300"/>
    </row>
    <row r="21" spans="1:29" ht="16.5" customHeight="1">
      <c r="A21" s="290">
        <v>1213</v>
      </c>
      <c r="B21" s="291"/>
      <c r="C21" s="291"/>
      <c r="D21" s="291"/>
      <c r="E21" s="292"/>
      <c r="F21" s="293"/>
      <c r="G21" s="293"/>
      <c r="H21" s="293"/>
      <c r="I21" s="294"/>
      <c r="J21" s="295"/>
      <c r="K21" s="294"/>
      <c r="L21" s="295"/>
      <c r="M21" s="296"/>
      <c r="N21" s="294"/>
      <c r="O21" s="297"/>
      <c r="P21" s="295"/>
      <c r="Q21" s="298"/>
      <c r="R21" s="299"/>
      <c r="S21" s="298"/>
      <c r="T21" s="298"/>
      <c r="U21" s="298"/>
      <c r="V21" s="298"/>
      <c r="W21" s="298"/>
      <c r="X21" s="298"/>
      <c r="Y21" s="298"/>
      <c r="Z21" s="300"/>
      <c r="AA21" s="300"/>
      <c r="AB21" s="300"/>
    </row>
    <row r="22" spans="1:29" ht="16.5" customHeight="1">
      <c r="A22" s="281">
        <v>122</v>
      </c>
      <c r="B22" s="3456"/>
      <c r="C22" s="3456"/>
      <c r="D22" s="3456"/>
      <c r="E22" s="3456"/>
      <c r="F22" s="3456"/>
      <c r="G22" s="3456"/>
      <c r="H22" s="3456"/>
      <c r="I22" s="3456"/>
      <c r="J22" s="282"/>
      <c r="K22" s="283"/>
      <c r="L22" s="282"/>
      <c r="M22" s="284"/>
      <c r="N22" s="283"/>
      <c r="O22" s="285"/>
      <c r="P22" s="282"/>
      <c r="Q22" s="286"/>
      <c r="R22" s="287"/>
      <c r="S22" s="288"/>
      <c r="T22" s="288"/>
      <c r="U22" s="288"/>
      <c r="V22" s="288"/>
      <c r="W22" s="288"/>
      <c r="X22" s="288"/>
      <c r="Y22" s="288"/>
      <c r="Z22" s="289"/>
      <c r="AA22" s="289"/>
      <c r="AB22" s="289"/>
    </row>
    <row r="23" spans="1:29" ht="16.5" customHeight="1">
      <c r="A23" s="290">
        <v>1221</v>
      </c>
      <c r="B23" s="291"/>
      <c r="C23" s="291"/>
      <c r="D23" s="291"/>
      <c r="E23" s="292"/>
      <c r="F23" s="293"/>
      <c r="G23" s="293"/>
      <c r="H23" s="293"/>
      <c r="I23" s="294"/>
      <c r="J23" s="295"/>
      <c r="K23" s="294"/>
      <c r="L23" s="295"/>
      <c r="M23" s="296"/>
      <c r="N23" s="294"/>
      <c r="O23" s="297"/>
      <c r="P23" s="295"/>
      <c r="Q23" s="298"/>
      <c r="R23" s="299"/>
      <c r="S23" s="298"/>
      <c r="T23" s="298"/>
      <c r="U23" s="298"/>
      <c r="V23" s="298"/>
      <c r="W23" s="298"/>
      <c r="X23" s="298"/>
      <c r="Y23" s="298"/>
      <c r="Z23" s="300"/>
      <c r="AA23" s="300"/>
      <c r="AB23" s="300"/>
    </row>
    <row r="24" spans="1:29" ht="16.5" customHeight="1">
      <c r="A24" s="290">
        <v>1222</v>
      </c>
      <c r="B24" s="291"/>
      <c r="C24" s="291"/>
      <c r="D24" s="291"/>
      <c r="E24" s="292"/>
      <c r="F24" s="293"/>
      <c r="G24" s="293"/>
      <c r="H24" s="293"/>
      <c r="I24" s="294"/>
      <c r="J24" s="295"/>
      <c r="K24" s="294"/>
      <c r="L24" s="295"/>
      <c r="M24" s="296"/>
      <c r="N24" s="294"/>
      <c r="O24" s="297"/>
      <c r="P24" s="295"/>
      <c r="Q24" s="298"/>
      <c r="R24" s="299"/>
      <c r="S24" s="298"/>
      <c r="T24" s="298"/>
      <c r="U24" s="298"/>
      <c r="V24" s="298"/>
      <c r="W24" s="298"/>
      <c r="X24" s="298"/>
      <c r="Y24" s="298"/>
      <c r="Z24" s="300"/>
      <c r="AA24" s="300"/>
      <c r="AB24" s="300"/>
    </row>
    <row r="25" spans="1:29">
      <c r="A25" s="301" t="s">
        <v>233</v>
      </c>
      <c r="B25" s="291"/>
      <c r="C25" s="291"/>
      <c r="D25" s="291"/>
      <c r="E25" s="292"/>
      <c r="F25" s="293"/>
      <c r="G25" s="293"/>
      <c r="H25" s="293"/>
      <c r="I25" s="294"/>
      <c r="J25" s="295"/>
      <c r="K25" s="294"/>
      <c r="L25" s="295"/>
      <c r="M25" s="296"/>
      <c r="N25" s="294"/>
      <c r="O25" s="297"/>
      <c r="P25" s="295"/>
      <c r="Q25" s="298"/>
      <c r="R25" s="299"/>
      <c r="S25" s="298"/>
      <c r="T25" s="298"/>
      <c r="U25" s="298"/>
      <c r="V25" s="298"/>
      <c r="W25" s="298"/>
      <c r="X25" s="298"/>
      <c r="Y25" s="298"/>
      <c r="Z25" s="300"/>
      <c r="AA25" s="300"/>
      <c r="AB25" s="300"/>
    </row>
    <row r="26" spans="1:29" s="272" customFormat="1" ht="33.75" customHeight="1">
      <c r="A26" s="3458" t="s">
        <v>235</v>
      </c>
      <c r="B26" s="3458"/>
      <c r="C26" s="3458"/>
      <c r="D26" s="3458"/>
      <c r="E26" s="3458"/>
      <c r="F26" s="3458"/>
      <c r="G26" s="3458"/>
      <c r="H26" s="3458"/>
      <c r="I26" s="3458"/>
      <c r="J26" s="265"/>
      <c r="K26" s="265"/>
      <c r="L26" s="265"/>
      <c r="M26" s="266"/>
      <c r="N26" s="265"/>
      <c r="O26" s="267"/>
      <c r="P26" s="265"/>
      <c r="Q26" s="268"/>
      <c r="R26" s="269">
        <f>+R27+R107+R118</f>
        <v>688782.12</v>
      </c>
      <c r="S26" s="270"/>
      <c r="T26" s="270"/>
      <c r="U26" s="270"/>
      <c r="V26" s="270"/>
      <c r="W26" s="270"/>
      <c r="X26" s="270"/>
      <c r="Y26" s="270"/>
      <c r="Z26" s="271"/>
      <c r="AA26" s="271"/>
      <c r="AB26" s="271"/>
      <c r="AC26" s="272" t="s">
        <v>292</v>
      </c>
    </row>
    <row r="27" spans="1:29" ht="37.5" customHeight="1">
      <c r="A27" s="3457" t="s">
        <v>236</v>
      </c>
      <c r="B27" s="3457"/>
      <c r="C27" s="3457"/>
      <c r="D27" s="3457"/>
      <c r="E27" s="3457"/>
      <c r="F27" s="3457"/>
      <c r="G27" s="3457"/>
      <c r="H27" s="3457"/>
      <c r="I27" s="3457"/>
      <c r="J27" s="273"/>
      <c r="K27" s="273"/>
      <c r="L27" s="273"/>
      <c r="M27" s="274"/>
      <c r="N27" s="273"/>
      <c r="O27" s="275"/>
      <c r="P27" s="273"/>
      <c r="Q27" s="276">
        <f>+Q28+Q37+Q49+Q68+Q87</f>
        <v>300354.41666666669</v>
      </c>
      <c r="R27" s="277">
        <f>+'[2]Compil Costing PPA 3 millions'!F7</f>
        <v>300354.12</v>
      </c>
      <c r="S27" s="276">
        <f t="shared" ref="S27:AB27" si="0">+S28+S37+S49+S68+S87</f>
        <v>0</v>
      </c>
      <c r="T27" s="276">
        <f t="shared" si="0"/>
        <v>0</v>
      </c>
      <c r="U27" s="276">
        <f t="shared" si="0"/>
        <v>79470.75</v>
      </c>
      <c r="V27" s="276">
        <f t="shared" si="0"/>
        <v>40583.666666666672</v>
      </c>
      <c r="W27" s="276">
        <f t="shared" si="0"/>
        <v>54436</v>
      </c>
      <c r="X27" s="276">
        <f t="shared" si="0"/>
        <v>45624</v>
      </c>
      <c r="Y27" s="276">
        <f t="shared" si="0"/>
        <v>77200</v>
      </c>
      <c r="Z27" s="276">
        <f t="shared" si="0"/>
        <v>0</v>
      </c>
      <c r="AA27" s="276">
        <f t="shared" si="0"/>
        <v>3040</v>
      </c>
      <c r="AB27" s="276">
        <f t="shared" si="0"/>
        <v>0</v>
      </c>
      <c r="AC27" s="276">
        <f>SUM(S27:AB27)</f>
        <v>300354.41666666669</v>
      </c>
    </row>
    <row r="28" spans="1:29" ht="29.25" customHeight="1">
      <c r="A28" s="281">
        <v>211</v>
      </c>
      <c r="B28" s="302" t="s">
        <v>59</v>
      </c>
      <c r="C28" s="302"/>
      <c r="D28" s="302"/>
      <c r="E28" s="302"/>
      <c r="F28" s="302"/>
      <c r="G28" s="302"/>
      <c r="H28" s="302"/>
      <c r="I28" s="303"/>
      <c r="J28" s="282"/>
      <c r="K28" s="283"/>
      <c r="L28" s="282"/>
      <c r="M28" s="284"/>
      <c r="N28" s="283"/>
      <c r="O28" s="285"/>
      <c r="P28" s="282"/>
      <c r="Q28" s="304">
        <f>SUM(Q29:Q36)</f>
        <v>32625.75</v>
      </c>
      <c r="R28" s="287"/>
      <c r="S28" s="304">
        <f t="shared" ref="S28:AB28" si="1">SUM(S29:S36)</f>
        <v>0</v>
      </c>
      <c r="T28" s="304">
        <f t="shared" si="1"/>
        <v>0</v>
      </c>
      <c r="U28" s="304">
        <f t="shared" si="1"/>
        <v>32625.75</v>
      </c>
      <c r="V28" s="304">
        <f t="shared" si="1"/>
        <v>0</v>
      </c>
      <c r="W28" s="304">
        <f t="shared" si="1"/>
        <v>0</v>
      </c>
      <c r="X28" s="304">
        <f t="shared" si="1"/>
        <v>0</v>
      </c>
      <c r="Y28" s="304">
        <f t="shared" si="1"/>
        <v>0</v>
      </c>
      <c r="Z28" s="304">
        <f t="shared" si="1"/>
        <v>0</v>
      </c>
      <c r="AA28" s="304">
        <f t="shared" si="1"/>
        <v>0</v>
      </c>
      <c r="AB28" s="304">
        <f t="shared" si="1"/>
        <v>0</v>
      </c>
    </row>
    <row r="29" spans="1:29" ht="32.25" customHeight="1">
      <c r="A29" s="305">
        <v>2111</v>
      </c>
      <c r="B29" s="291" t="s">
        <v>59</v>
      </c>
      <c r="C29" s="291" t="s">
        <v>293</v>
      </c>
      <c r="D29" s="291"/>
      <c r="E29" s="292">
        <v>5</v>
      </c>
      <c r="F29" s="293">
        <v>43221</v>
      </c>
      <c r="G29" s="293">
        <f>+E29+F29</f>
        <v>43226</v>
      </c>
      <c r="H29" s="306" t="s">
        <v>294</v>
      </c>
      <c r="I29" s="294" t="s">
        <v>171</v>
      </c>
      <c r="J29" s="295" t="s">
        <v>295</v>
      </c>
      <c r="K29" s="307" t="s">
        <v>296</v>
      </c>
      <c r="L29" s="295">
        <v>23174</v>
      </c>
      <c r="M29" s="296"/>
      <c r="N29" s="294"/>
      <c r="O29" s="297">
        <v>1800</v>
      </c>
      <c r="P29" s="295">
        <v>3</v>
      </c>
      <c r="Q29" s="298">
        <f t="shared" ref="Q29:Q36" si="2">+O29*P29</f>
        <v>5400</v>
      </c>
      <c r="R29" s="299"/>
      <c r="S29" s="298"/>
      <c r="T29" s="298"/>
      <c r="U29" s="298">
        <f t="shared" ref="U29:U77" si="3">+Q29</f>
        <v>5400</v>
      </c>
      <c r="V29" s="298"/>
      <c r="W29" s="298"/>
      <c r="X29" s="298"/>
      <c r="Y29" s="298"/>
      <c r="Z29" s="300"/>
      <c r="AA29" s="300"/>
      <c r="AB29" s="300"/>
    </row>
    <row r="30" spans="1:29" ht="32.25" customHeight="1">
      <c r="A30" s="305">
        <v>2111</v>
      </c>
      <c r="B30" s="291" t="s">
        <v>59</v>
      </c>
      <c r="C30" s="291" t="s">
        <v>293</v>
      </c>
      <c r="D30" s="291"/>
      <c r="E30" s="292">
        <v>5</v>
      </c>
      <c r="F30" s="293">
        <v>43221</v>
      </c>
      <c r="G30" s="293">
        <f t="shared" ref="G30:G36" si="4">+E30+F30</f>
        <v>43226</v>
      </c>
      <c r="H30" s="306" t="s">
        <v>294</v>
      </c>
      <c r="I30" s="294" t="s">
        <v>171</v>
      </c>
      <c r="J30" s="295" t="s">
        <v>295</v>
      </c>
      <c r="K30" s="307" t="s">
        <v>297</v>
      </c>
      <c r="L30" s="295">
        <v>23174</v>
      </c>
      <c r="M30" s="296"/>
      <c r="N30" s="294"/>
      <c r="O30" s="297">
        <v>177.33333333333334</v>
      </c>
      <c r="P30" s="295">
        <v>3</v>
      </c>
      <c r="Q30" s="298">
        <f t="shared" si="2"/>
        <v>532</v>
      </c>
      <c r="R30" s="299"/>
      <c r="S30" s="298"/>
      <c r="T30" s="298"/>
      <c r="U30" s="298">
        <f t="shared" si="3"/>
        <v>532</v>
      </c>
      <c r="V30" s="298"/>
      <c r="W30" s="298"/>
      <c r="X30" s="298"/>
      <c r="Y30" s="298"/>
      <c r="Z30" s="300"/>
      <c r="AA30" s="300"/>
      <c r="AB30" s="300"/>
    </row>
    <row r="31" spans="1:29" ht="32.25" customHeight="1">
      <c r="A31" s="305">
        <v>2111</v>
      </c>
      <c r="B31" s="291" t="s">
        <v>59</v>
      </c>
      <c r="C31" s="291" t="s">
        <v>293</v>
      </c>
      <c r="D31" s="291"/>
      <c r="E31" s="292">
        <v>5</v>
      </c>
      <c r="F31" s="293">
        <v>43221</v>
      </c>
      <c r="G31" s="293">
        <f t="shared" si="4"/>
        <v>43226</v>
      </c>
      <c r="H31" s="306" t="s">
        <v>294</v>
      </c>
      <c r="I31" s="294" t="s">
        <v>171</v>
      </c>
      <c r="J31" s="295" t="s">
        <v>295</v>
      </c>
      <c r="K31" s="307" t="s">
        <v>298</v>
      </c>
      <c r="L31" s="295">
        <v>23174</v>
      </c>
      <c r="M31" s="296"/>
      <c r="N31" s="294"/>
      <c r="O31" s="297">
        <v>224</v>
      </c>
      <c r="P31" s="295">
        <v>3</v>
      </c>
      <c r="Q31" s="298">
        <f t="shared" si="2"/>
        <v>672</v>
      </c>
      <c r="R31" s="299"/>
      <c r="S31" s="298"/>
      <c r="T31" s="298"/>
      <c r="U31" s="298">
        <f t="shared" si="3"/>
        <v>672</v>
      </c>
      <c r="V31" s="298"/>
      <c r="W31" s="298"/>
      <c r="X31" s="298"/>
      <c r="Y31" s="298"/>
      <c r="Z31" s="300"/>
      <c r="AA31" s="300"/>
      <c r="AB31" s="300"/>
    </row>
    <row r="32" spans="1:29" ht="32.25" customHeight="1">
      <c r="A32" s="305">
        <v>2111</v>
      </c>
      <c r="B32" s="291" t="s">
        <v>59</v>
      </c>
      <c r="C32" s="291" t="s">
        <v>293</v>
      </c>
      <c r="D32" s="291"/>
      <c r="E32" s="292">
        <v>5</v>
      </c>
      <c r="F32" s="293">
        <v>43221</v>
      </c>
      <c r="G32" s="293">
        <f t="shared" si="4"/>
        <v>43226</v>
      </c>
      <c r="H32" s="306" t="s">
        <v>294</v>
      </c>
      <c r="I32" s="294" t="s">
        <v>171</v>
      </c>
      <c r="J32" s="295" t="s">
        <v>295</v>
      </c>
      <c r="K32" s="307" t="s">
        <v>299</v>
      </c>
      <c r="L32" s="295">
        <v>23174</v>
      </c>
      <c r="M32" s="296"/>
      <c r="N32" s="294"/>
      <c r="O32" s="297">
        <v>166.66666666666666</v>
      </c>
      <c r="P32" s="295">
        <v>3</v>
      </c>
      <c r="Q32" s="298">
        <f t="shared" si="2"/>
        <v>500</v>
      </c>
      <c r="R32" s="299"/>
      <c r="S32" s="298"/>
      <c r="T32" s="298"/>
      <c r="U32" s="298">
        <f t="shared" si="3"/>
        <v>500</v>
      </c>
      <c r="V32" s="298"/>
      <c r="W32" s="298"/>
      <c r="X32" s="298"/>
      <c r="Y32" s="298"/>
      <c r="Z32" s="300"/>
      <c r="AA32" s="300"/>
      <c r="AB32" s="300"/>
    </row>
    <row r="33" spans="1:28" ht="32.25" customHeight="1">
      <c r="A33" s="305">
        <v>2111</v>
      </c>
      <c r="B33" s="291" t="s">
        <v>59</v>
      </c>
      <c r="C33" s="291" t="s">
        <v>293</v>
      </c>
      <c r="D33" s="291"/>
      <c r="E33" s="292">
        <v>5</v>
      </c>
      <c r="F33" s="293">
        <v>43221</v>
      </c>
      <c r="G33" s="293">
        <f t="shared" si="4"/>
        <v>43226</v>
      </c>
      <c r="H33" s="306" t="s">
        <v>294</v>
      </c>
      <c r="I33" s="294" t="s">
        <v>171</v>
      </c>
      <c r="J33" s="295" t="s">
        <v>295</v>
      </c>
      <c r="K33" s="307" t="s">
        <v>300</v>
      </c>
      <c r="L33" s="295">
        <v>23174</v>
      </c>
      <c r="M33" s="296"/>
      <c r="N33" s="294"/>
      <c r="O33" s="297">
        <v>426.66666666666669</v>
      </c>
      <c r="P33" s="295">
        <v>3</v>
      </c>
      <c r="Q33" s="298">
        <f t="shared" si="2"/>
        <v>1280</v>
      </c>
      <c r="R33" s="299"/>
      <c r="S33" s="298"/>
      <c r="T33" s="298"/>
      <c r="U33" s="298">
        <f t="shared" si="3"/>
        <v>1280</v>
      </c>
      <c r="V33" s="298"/>
      <c r="W33" s="298"/>
      <c r="X33" s="298"/>
      <c r="Y33" s="298"/>
      <c r="Z33" s="300"/>
      <c r="AA33" s="300"/>
      <c r="AB33" s="300"/>
    </row>
    <row r="34" spans="1:28" ht="32.25" customHeight="1">
      <c r="A34" s="305">
        <v>2111</v>
      </c>
      <c r="B34" s="291" t="s">
        <v>59</v>
      </c>
      <c r="C34" s="291" t="s">
        <v>293</v>
      </c>
      <c r="D34" s="291"/>
      <c r="E34" s="292">
        <v>5</v>
      </c>
      <c r="F34" s="293">
        <v>43221</v>
      </c>
      <c r="G34" s="293">
        <f t="shared" si="4"/>
        <v>43226</v>
      </c>
      <c r="H34" s="306" t="s">
        <v>294</v>
      </c>
      <c r="I34" s="294" t="s">
        <v>171</v>
      </c>
      <c r="J34" s="295" t="s">
        <v>295</v>
      </c>
      <c r="K34" s="307" t="s">
        <v>301</v>
      </c>
      <c r="L34" s="295">
        <v>23172</v>
      </c>
      <c r="M34" s="296"/>
      <c r="N34" s="294"/>
      <c r="O34" s="297">
        <v>166.66666666666666</v>
      </c>
      <c r="P34" s="295">
        <v>3</v>
      </c>
      <c r="Q34" s="298">
        <f t="shared" si="2"/>
        <v>500</v>
      </c>
      <c r="R34" s="299"/>
      <c r="S34" s="298"/>
      <c r="T34" s="298"/>
      <c r="U34" s="298">
        <f t="shared" si="3"/>
        <v>500</v>
      </c>
      <c r="V34" s="298"/>
      <c r="W34" s="298"/>
      <c r="X34" s="298"/>
      <c r="Y34" s="298"/>
      <c r="Z34" s="300"/>
      <c r="AA34" s="300"/>
      <c r="AB34" s="300"/>
    </row>
    <row r="35" spans="1:28" ht="32.25" customHeight="1">
      <c r="A35" s="305">
        <v>2111</v>
      </c>
      <c r="B35" s="291" t="s">
        <v>59</v>
      </c>
      <c r="C35" s="291" t="s">
        <v>293</v>
      </c>
      <c r="D35" s="291"/>
      <c r="E35" s="292">
        <v>5</v>
      </c>
      <c r="F35" s="293">
        <v>43221</v>
      </c>
      <c r="G35" s="293">
        <f t="shared" si="4"/>
        <v>43226</v>
      </c>
      <c r="H35" s="306" t="s">
        <v>294</v>
      </c>
      <c r="I35" s="294" t="s">
        <v>171</v>
      </c>
      <c r="J35" s="295" t="s">
        <v>295</v>
      </c>
      <c r="K35" s="307" t="s">
        <v>302</v>
      </c>
      <c r="L35" s="295">
        <v>23173</v>
      </c>
      <c r="M35" s="296"/>
      <c r="N35" s="294"/>
      <c r="O35" s="297">
        <v>343.66666666666669</v>
      </c>
      <c r="P35" s="295">
        <v>3</v>
      </c>
      <c r="Q35" s="298">
        <f t="shared" si="2"/>
        <v>1031</v>
      </c>
      <c r="R35" s="299"/>
      <c r="S35" s="298"/>
      <c r="T35" s="298"/>
      <c r="U35" s="298">
        <f t="shared" si="3"/>
        <v>1031</v>
      </c>
      <c r="V35" s="298"/>
      <c r="W35" s="298"/>
      <c r="X35" s="298"/>
      <c r="Y35" s="298"/>
      <c r="Z35" s="300"/>
      <c r="AA35" s="300"/>
      <c r="AB35" s="300"/>
    </row>
    <row r="36" spans="1:28" ht="32.25" customHeight="1">
      <c r="A36" s="305">
        <v>2112</v>
      </c>
      <c r="B36" s="291" t="s">
        <v>303</v>
      </c>
      <c r="C36" s="291" t="s">
        <v>304</v>
      </c>
      <c r="D36" s="291"/>
      <c r="E36" s="292">
        <v>60</v>
      </c>
      <c r="F36" s="293">
        <v>43221</v>
      </c>
      <c r="G36" s="293">
        <f t="shared" si="4"/>
        <v>43281</v>
      </c>
      <c r="H36" s="306" t="s">
        <v>294</v>
      </c>
      <c r="I36" s="294" t="s">
        <v>171</v>
      </c>
      <c r="J36" s="295" t="s">
        <v>295</v>
      </c>
      <c r="K36" s="307" t="s">
        <v>305</v>
      </c>
      <c r="L36" s="295">
        <v>2461</v>
      </c>
      <c r="M36" s="296"/>
      <c r="N36" s="294"/>
      <c r="O36" s="297">
        <v>504.68333333333334</v>
      </c>
      <c r="P36" s="295">
        <v>45</v>
      </c>
      <c r="Q36" s="298">
        <f t="shared" si="2"/>
        <v>22710.75</v>
      </c>
      <c r="R36" s="299"/>
      <c r="S36" s="298"/>
      <c r="T36" s="298"/>
      <c r="U36" s="298">
        <f t="shared" si="3"/>
        <v>22710.75</v>
      </c>
      <c r="V36" s="298"/>
      <c r="W36" s="298"/>
      <c r="X36" s="298"/>
      <c r="Y36" s="298"/>
      <c r="Z36" s="300"/>
      <c r="AA36" s="300"/>
      <c r="AB36" s="300"/>
    </row>
    <row r="37" spans="1:28" ht="29.25" customHeight="1">
      <c r="A37" s="281">
        <v>212</v>
      </c>
      <c r="B37" s="302" t="s">
        <v>306</v>
      </c>
      <c r="C37" s="302"/>
      <c r="D37" s="302"/>
      <c r="E37" s="302"/>
      <c r="F37" s="302"/>
      <c r="G37" s="302"/>
      <c r="H37" s="302"/>
      <c r="I37" s="303"/>
      <c r="J37" s="282"/>
      <c r="K37" s="283"/>
      <c r="L37" s="282"/>
      <c r="M37" s="284"/>
      <c r="N37" s="283"/>
      <c r="O37" s="285"/>
      <c r="P37" s="282"/>
      <c r="Q37" s="304">
        <f>SUM(Q38:Q48)</f>
        <v>39681</v>
      </c>
      <c r="R37" s="287"/>
      <c r="S37" s="304">
        <f t="shared" ref="S37:AB37" si="5">SUM(S38:S48)</f>
        <v>0</v>
      </c>
      <c r="T37" s="304">
        <f t="shared" si="5"/>
        <v>0</v>
      </c>
      <c r="U37" s="304">
        <f t="shared" si="5"/>
        <v>11347.666666666666</v>
      </c>
      <c r="V37" s="304">
        <f t="shared" si="5"/>
        <v>0</v>
      </c>
      <c r="W37" s="304">
        <f t="shared" si="5"/>
        <v>28333.333333333336</v>
      </c>
      <c r="X37" s="304">
        <f t="shared" si="5"/>
        <v>0</v>
      </c>
      <c r="Y37" s="304">
        <f t="shared" si="5"/>
        <v>0</v>
      </c>
      <c r="Z37" s="304">
        <f t="shared" si="5"/>
        <v>0</v>
      </c>
      <c r="AA37" s="304">
        <f t="shared" si="5"/>
        <v>0</v>
      </c>
      <c r="AB37" s="304">
        <f t="shared" si="5"/>
        <v>0</v>
      </c>
    </row>
    <row r="38" spans="1:28" ht="32.25" customHeight="1">
      <c r="A38" s="305">
        <v>2121</v>
      </c>
      <c r="B38" s="291" t="s">
        <v>60</v>
      </c>
      <c r="C38" s="291" t="s">
        <v>307</v>
      </c>
      <c r="D38" s="291"/>
      <c r="E38" s="292">
        <v>2</v>
      </c>
      <c r="F38" s="293">
        <v>43227</v>
      </c>
      <c r="G38" s="293">
        <f t="shared" ref="G38:G48" si="6">+E38+F38</f>
        <v>43229</v>
      </c>
      <c r="H38" s="306" t="s">
        <v>294</v>
      </c>
      <c r="I38" s="294" t="s">
        <v>171</v>
      </c>
      <c r="J38" s="295" t="s">
        <v>295</v>
      </c>
      <c r="K38" s="307" t="s">
        <v>308</v>
      </c>
      <c r="L38" s="295">
        <v>23173</v>
      </c>
      <c r="M38" s="296"/>
      <c r="N38" s="294"/>
      <c r="O38" s="308">
        <v>270</v>
      </c>
      <c r="P38" s="295">
        <v>1</v>
      </c>
      <c r="Q38" s="298">
        <v>90</v>
      </c>
      <c r="R38" s="299"/>
      <c r="S38" s="298"/>
      <c r="T38" s="298"/>
      <c r="U38" s="298">
        <f t="shared" si="3"/>
        <v>90</v>
      </c>
      <c r="V38" s="298"/>
      <c r="W38" s="298"/>
      <c r="X38" s="298"/>
      <c r="Y38" s="298"/>
      <c r="Z38" s="300"/>
      <c r="AA38" s="300"/>
      <c r="AB38" s="300"/>
    </row>
    <row r="39" spans="1:28" ht="32.25" customHeight="1">
      <c r="A39" s="305">
        <v>2121</v>
      </c>
      <c r="B39" s="291" t="s">
        <v>60</v>
      </c>
      <c r="C39" s="291" t="s">
        <v>307</v>
      </c>
      <c r="D39" s="291"/>
      <c r="E39" s="292">
        <v>2</v>
      </c>
      <c r="F39" s="293">
        <v>43227</v>
      </c>
      <c r="G39" s="293">
        <f t="shared" si="6"/>
        <v>43229</v>
      </c>
      <c r="H39" s="306" t="s">
        <v>294</v>
      </c>
      <c r="I39" s="294" t="s">
        <v>171</v>
      </c>
      <c r="J39" s="295" t="s">
        <v>295</v>
      </c>
      <c r="K39" s="307" t="s">
        <v>309</v>
      </c>
      <c r="L39" s="295">
        <v>23173</v>
      </c>
      <c r="M39" s="296"/>
      <c r="N39" s="294"/>
      <c r="O39" s="308">
        <v>1260</v>
      </c>
      <c r="P39" s="295">
        <v>1</v>
      </c>
      <c r="Q39" s="298">
        <v>420</v>
      </c>
      <c r="R39" s="299"/>
      <c r="S39" s="298"/>
      <c r="T39" s="298"/>
      <c r="U39" s="298">
        <f t="shared" si="3"/>
        <v>420</v>
      </c>
      <c r="V39" s="298"/>
      <c r="W39" s="298"/>
      <c r="X39" s="298"/>
      <c r="Y39" s="298"/>
      <c r="Z39" s="300"/>
      <c r="AA39" s="300"/>
      <c r="AB39" s="300"/>
    </row>
    <row r="40" spans="1:28" ht="32.25" customHeight="1">
      <c r="A40" s="305">
        <v>2121</v>
      </c>
      <c r="B40" s="291" t="s">
        <v>60</v>
      </c>
      <c r="C40" s="291" t="s">
        <v>307</v>
      </c>
      <c r="D40" s="291"/>
      <c r="E40" s="292">
        <v>2</v>
      </c>
      <c r="F40" s="293">
        <v>43227</v>
      </c>
      <c r="G40" s="293">
        <f t="shared" si="6"/>
        <v>43229</v>
      </c>
      <c r="H40" s="306" t="s">
        <v>294</v>
      </c>
      <c r="I40" s="294" t="s">
        <v>171</v>
      </c>
      <c r="J40" s="295" t="s">
        <v>295</v>
      </c>
      <c r="K40" s="309" t="s">
        <v>310</v>
      </c>
      <c r="L40" s="295">
        <v>23174</v>
      </c>
      <c r="M40" s="296"/>
      <c r="N40" s="294"/>
      <c r="O40" s="308">
        <v>11400</v>
      </c>
      <c r="P40" s="295">
        <v>1</v>
      </c>
      <c r="Q40" s="298">
        <v>3800</v>
      </c>
      <c r="R40" s="299"/>
      <c r="S40" s="298"/>
      <c r="T40" s="298"/>
      <c r="U40" s="298">
        <f t="shared" si="3"/>
        <v>3800</v>
      </c>
      <c r="V40" s="298"/>
      <c r="W40" s="298"/>
      <c r="X40" s="298"/>
      <c r="Y40" s="298"/>
      <c r="Z40" s="300"/>
      <c r="AA40" s="300"/>
      <c r="AB40" s="300"/>
    </row>
    <row r="41" spans="1:28" ht="32.25" customHeight="1">
      <c r="A41" s="305">
        <v>2121</v>
      </c>
      <c r="B41" s="291" t="s">
        <v>60</v>
      </c>
      <c r="C41" s="291" t="s">
        <v>307</v>
      </c>
      <c r="D41" s="291"/>
      <c r="E41" s="292">
        <v>2</v>
      </c>
      <c r="F41" s="293">
        <v>43227</v>
      </c>
      <c r="G41" s="293">
        <f t="shared" si="6"/>
        <v>43229</v>
      </c>
      <c r="H41" s="306" t="s">
        <v>294</v>
      </c>
      <c r="I41" s="294" t="s">
        <v>171</v>
      </c>
      <c r="J41" s="295" t="s">
        <v>295</v>
      </c>
      <c r="K41" s="307" t="s">
        <v>311</v>
      </c>
      <c r="L41" s="295">
        <v>23174</v>
      </c>
      <c r="M41" s="296"/>
      <c r="N41" s="294"/>
      <c r="O41" s="308">
        <v>1200</v>
      </c>
      <c r="P41" s="295">
        <v>1</v>
      </c>
      <c r="Q41" s="298">
        <v>400</v>
      </c>
      <c r="R41" s="299"/>
      <c r="S41" s="298"/>
      <c r="T41" s="298"/>
      <c r="U41" s="298">
        <f t="shared" si="3"/>
        <v>400</v>
      </c>
      <c r="V41" s="298"/>
      <c r="W41" s="298"/>
      <c r="X41" s="298"/>
      <c r="Y41" s="298"/>
      <c r="Z41" s="300"/>
      <c r="AA41" s="300"/>
      <c r="AB41" s="300"/>
    </row>
    <row r="42" spans="1:28" ht="32.25" customHeight="1">
      <c r="A42" s="305">
        <v>2121</v>
      </c>
      <c r="B42" s="291" t="s">
        <v>60</v>
      </c>
      <c r="C42" s="291" t="s">
        <v>307</v>
      </c>
      <c r="D42" s="291"/>
      <c r="E42" s="292">
        <v>2</v>
      </c>
      <c r="F42" s="293">
        <v>43227</v>
      </c>
      <c r="G42" s="293">
        <f t="shared" si="6"/>
        <v>43229</v>
      </c>
      <c r="H42" s="306" t="s">
        <v>294</v>
      </c>
      <c r="I42" s="294" t="s">
        <v>171</v>
      </c>
      <c r="J42" s="295" t="s">
        <v>295</v>
      </c>
      <c r="K42" s="307" t="s">
        <v>301</v>
      </c>
      <c r="L42" s="295">
        <v>23172</v>
      </c>
      <c r="M42" s="296"/>
      <c r="N42" s="294"/>
      <c r="O42" s="308">
        <v>900</v>
      </c>
      <c r="P42" s="295">
        <v>1</v>
      </c>
      <c r="Q42" s="298">
        <v>300</v>
      </c>
      <c r="R42" s="299"/>
      <c r="S42" s="298"/>
      <c r="T42" s="298"/>
      <c r="U42" s="298">
        <f t="shared" si="3"/>
        <v>300</v>
      </c>
      <c r="V42" s="298"/>
      <c r="W42" s="298"/>
      <c r="X42" s="298"/>
      <c r="Y42" s="298"/>
      <c r="Z42" s="300"/>
      <c r="AA42" s="300"/>
      <c r="AB42" s="300"/>
    </row>
    <row r="43" spans="1:28" ht="32.25" customHeight="1">
      <c r="A43" s="305">
        <v>2121</v>
      </c>
      <c r="B43" s="291" t="s">
        <v>60</v>
      </c>
      <c r="C43" s="291" t="s">
        <v>307</v>
      </c>
      <c r="D43" s="291"/>
      <c r="E43" s="292">
        <v>2</v>
      </c>
      <c r="F43" s="293">
        <v>43227</v>
      </c>
      <c r="G43" s="293">
        <f t="shared" si="6"/>
        <v>43229</v>
      </c>
      <c r="H43" s="306" t="s">
        <v>294</v>
      </c>
      <c r="I43" s="294" t="s">
        <v>171</v>
      </c>
      <c r="J43" s="295" t="s">
        <v>295</v>
      </c>
      <c r="K43" s="309" t="s">
        <v>312</v>
      </c>
      <c r="L43" s="295">
        <v>23173</v>
      </c>
      <c r="M43" s="296"/>
      <c r="N43" s="294"/>
      <c r="O43" s="308">
        <v>300</v>
      </c>
      <c r="P43" s="295">
        <v>1</v>
      </c>
      <c r="Q43" s="298">
        <v>100</v>
      </c>
      <c r="R43" s="299"/>
      <c r="S43" s="298"/>
      <c r="T43" s="298"/>
      <c r="U43" s="298">
        <f t="shared" si="3"/>
        <v>100</v>
      </c>
      <c r="V43" s="298"/>
      <c r="W43" s="298"/>
      <c r="X43" s="298"/>
      <c r="Y43" s="298"/>
      <c r="Z43" s="300"/>
      <c r="AA43" s="300"/>
      <c r="AB43" s="300"/>
    </row>
    <row r="44" spans="1:28" ht="32.25" customHeight="1">
      <c r="A44" s="305">
        <v>2121</v>
      </c>
      <c r="B44" s="291" t="s">
        <v>60</v>
      </c>
      <c r="C44" s="291" t="s">
        <v>307</v>
      </c>
      <c r="D44" s="291"/>
      <c r="E44" s="292">
        <v>2</v>
      </c>
      <c r="F44" s="293">
        <v>43227</v>
      </c>
      <c r="G44" s="293">
        <f t="shared" si="6"/>
        <v>43229</v>
      </c>
      <c r="H44" s="306" t="s">
        <v>294</v>
      </c>
      <c r="I44" s="294" t="s">
        <v>171</v>
      </c>
      <c r="J44" s="295" t="s">
        <v>295</v>
      </c>
      <c r="K44" s="307" t="s">
        <v>302</v>
      </c>
      <c r="L44" s="295">
        <v>23173</v>
      </c>
      <c r="M44" s="296"/>
      <c r="N44" s="294"/>
      <c r="O44" s="308">
        <v>713</v>
      </c>
      <c r="P44" s="295">
        <v>1</v>
      </c>
      <c r="Q44" s="298">
        <v>237.66666666666666</v>
      </c>
      <c r="R44" s="299"/>
      <c r="S44" s="298"/>
      <c r="T44" s="298"/>
      <c r="U44" s="298">
        <f t="shared" si="3"/>
        <v>237.66666666666666</v>
      </c>
      <c r="V44" s="298"/>
      <c r="W44" s="298"/>
      <c r="X44" s="298"/>
      <c r="Y44" s="298"/>
      <c r="Z44" s="300"/>
      <c r="AA44" s="300"/>
      <c r="AB44" s="300"/>
    </row>
    <row r="45" spans="1:28" ht="32.25" customHeight="1">
      <c r="A45" s="305">
        <v>2122</v>
      </c>
      <c r="B45" s="291" t="s">
        <v>313</v>
      </c>
      <c r="C45" s="310" t="s">
        <v>314</v>
      </c>
      <c r="D45" s="291"/>
      <c r="E45" s="292">
        <v>60</v>
      </c>
      <c r="F45" s="293">
        <v>43221</v>
      </c>
      <c r="G45" s="293">
        <f t="shared" si="6"/>
        <v>43281</v>
      </c>
      <c r="H45" s="306" t="s">
        <v>294</v>
      </c>
      <c r="I45" s="294" t="s">
        <v>171</v>
      </c>
      <c r="J45" s="295" t="s">
        <v>295</v>
      </c>
      <c r="K45" s="307" t="s">
        <v>315</v>
      </c>
      <c r="L45" s="295">
        <v>2313</v>
      </c>
      <c r="M45" s="296"/>
      <c r="N45" s="294"/>
      <c r="O45" s="297">
        <v>3333.3333333333335</v>
      </c>
      <c r="P45" s="295">
        <v>1</v>
      </c>
      <c r="Q45" s="298">
        <f t="shared" ref="Q45:Q105" si="7">+O45*P45</f>
        <v>3333.3333333333335</v>
      </c>
      <c r="R45" s="299"/>
      <c r="S45" s="298"/>
      <c r="T45" s="298"/>
      <c r="U45" s="298">
        <f t="shared" si="3"/>
        <v>3333.3333333333335</v>
      </c>
      <c r="V45" s="298"/>
      <c r="W45" s="298"/>
      <c r="X45" s="298"/>
      <c r="Y45" s="298"/>
      <c r="Z45" s="300"/>
      <c r="AA45" s="300"/>
      <c r="AB45" s="300"/>
    </row>
    <row r="46" spans="1:28" ht="32.25" customHeight="1">
      <c r="A46" s="305">
        <v>2123</v>
      </c>
      <c r="B46" s="310" t="s">
        <v>316</v>
      </c>
      <c r="C46" s="310" t="s">
        <v>314</v>
      </c>
      <c r="D46" s="291"/>
      <c r="E46" s="292">
        <v>60</v>
      </c>
      <c r="F46" s="293">
        <v>43221</v>
      </c>
      <c r="G46" s="293">
        <f t="shared" si="6"/>
        <v>43281</v>
      </c>
      <c r="H46" s="306" t="s">
        <v>294</v>
      </c>
      <c r="I46" s="294" t="s">
        <v>171</v>
      </c>
      <c r="J46" s="295" t="s">
        <v>295</v>
      </c>
      <c r="K46" s="307" t="s">
        <v>317</v>
      </c>
      <c r="L46" s="295">
        <v>2313</v>
      </c>
      <c r="M46" s="296"/>
      <c r="N46" s="294"/>
      <c r="O46" s="297">
        <v>2666.6666666666665</v>
      </c>
      <c r="P46" s="295">
        <v>1</v>
      </c>
      <c r="Q46" s="298">
        <f t="shared" si="7"/>
        <v>2666.6666666666665</v>
      </c>
      <c r="R46" s="299"/>
      <c r="S46" s="298"/>
      <c r="T46" s="298"/>
      <c r="U46" s="298">
        <f t="shared" si="3"/>
        <v>2666.6666666666665</v>
      </c>
      <c r="V46" s="298"/>
      <c r="W46" s="298"/>
      <c r="X46" s="298"/>
      <c r="Y46" s="298"/>
      <c r="Z46" s="300"/>
      <c r="AA46" s="300"/>
      <c r="AB46" s="300"/>
    </row>
    <row r="47" spans="1:28" ht="32.25" customHeight="1">
      <c r="A47" s="305">
        <v>2124</v>
      </c>
      <c r="B47" s="310" t="s">
        <v>318</v>
      </c>
      <c r="C47" s="310" t="s">
        <v>319</v>
      </c>
      <c r="D47" s="291"/>
      <c r="E47" s="292">
        <v>15</v>
      </c>
      <c r="F47" s="293">
        <v>43283</v>
      </c>
      <c r="G47" s="293">
        <f t="shared" si="6"/>
        <v>43298</v>
      </c>
      <c r="H47" s="306" t="s">
        <v>294</v>
      </c>
      <c r="I47" s="294" t="s">
        <v>171</v>
      </c>
      <c r="J47" s="295" t="s">
        <v>295</v>
      </c>
      <c r="K47" s="311" t="s">
        <v>320</v>
      </c>
      <c r="L47" s="295">
        <v>23173</v>
      </c>
      <c r="M47" s="296"/>
      <c r="N47" s="294"/>
      <c r="O47" s="297">
        <v>16666.666666666668</v>
      </c>
      <c r="P47" s="297">
        <v>0.5</v>
      </c>
      <c r="Q47" s="298">
        <f t="shared" si="7"/>
        <v>8333.3333333333339</v>
      </c>
      <c r="R47" s="299"/>
      <c r="S47" s="298"/>
      <c r="T47" s="298"/>
      <c r="U47" s="298"/>
      <c r="V47" s="298"/>
      <c r="W47" s="298">
        <f>+Q47</f>
        <v>8333.3333333333339</v>
      </c>
      <c r="X47" s="298"/>
      <c r="Y47" s="298"/>
      <c r="Z47" s="300"/>
      <c r="AA47" s="300"/>
      <c r="AB47" s="300"/>
    </row>
    <row r="48" spans="1:28" ht="32.25" customHeight="1">
      <c r="A48" s="305">
        <v>2125</v>
      </c>
      <c r="B48" s="312" t="s">
        <v>61</v>
      </c>
      <c r="C48" s="313" t="s">
        <v>321</v>
      </c>
      <c r="D48" s="291"/>
      <c r="E48" s="292">
        <v>15</v>
      </c>
      <c r="F48" s="293">
        <v>43304</v>
      </c>
      <c r="G48" s="293">
        <f t="shared" si="6"/>
        <v>43319</v>
      </c>
      <c r="H48" s="306" t="s">
        <v>294</v>
      </c>
      <c r="I48" s="294" t="s">
        <v>171</v>
      </c>
      <c r="J48" s="295" t="s">
        <v>295</v>
      </c>
      <c r="K48" s="307" t="s">
        <v>322</v>
      </c>
      <c r="L48" s="295">
        <v>2315</v>
      </c>
      <c r="M48" s="296"/>
      <c r="N48" s="294"/>
      <c r="O48" s="297">
        <v>333.33333333333331</v>
      </c>
      <c r="P48" s="295">
        <v>60</v>
      </c>
      <c r="Q48" s="298">
        <f t="shared" si="7"/>
        <v>20000</v>
      </c>
      <c r="R48" s="299"/>
      <c r="S48" s="298"/>
      <c r="T48" s="298"/>
      <c r="U48" s="298"/>
      <c r="V48" s="298"/>
      <c r="W48" s="298">
        <f>+Q48</f>
        <v>20000</v>
      </c>
      <c r="X48" s="298"/>
      <c r="Y48" s="298"/>
      <c r="Z48" s="300"/>
      <c r="AA48" s="300"/>
      <c r="AB48" s="300"/>
    </row>
    <row r="49" spans="1:28" ht="29.25" customHeight="1">
      <c r="A49" s="281">
        <v>213</v>
      </c>
      <c r="B49" s="302" t="s">
        <v>323</v>
      </c>
      <c r="C49" s="302"/>
      <c r="D49" s="302"/>
      <c r="E49" s="302"/>
      <c r="F49" s="302"/>
      <c r="G49" s="302"/>
      <c r="H49" s="302"/>
      <c r="I49" s="303"/>
      <c r="J49" s="282"/>
      <c r="K49" s="283"/>
      <c r="L49" s="282"/>
      <c r="M49" s="284"/>
      <c r="N49" s="283"/>
      <c r="O49" s="285"/>
      <c r="P49" s="282"/>
      <c r="Q49" s="304">
        <f>SUM(Q50:Q67)</f>
        <v>127504</v>
      </c>
      <c r="R49" s="287"/>
      <c r="S49" s="304">
        <f t="shared" ref="S49:AB49" si="8">SUM(S50:S67)</f>
        <v>0</v>
      </c>
      <c r="T49" s="304">
        <f t="shared" si="8"/>
        <v>0</v>
      </c>
      <c r="U49" s="304">
        <f t="shared" si="8"/>
        <v>0</v>
      </c>
      <c r="V49" s="304">
        <f t="shared" si="8"/>
        <v>0</v>
      </c>
      <c r="W49" s="304">
        <f t="shared" si="8"/>
        <v>4680</v>
      </c>
      <c r="X49" s="304">
        <f t="shared" si="8"/>
        <v>45624</v>
      </c>
      <c r="Y49" s="304">
        <f t="shared" si="8"/>
        <v>77200</v>
      </c>
      <c r="Z49" s="304">
        <f t="shared" si="8"/>
        <v>0</v>
      </c>
      <c r="AA49" s="304">
        <f t="shared" si="8"/>
        <v>0</v>
      </c>
      <c r="AB49" s="304">
        <f t="shared" si="8"/>
        <v>0</v>
      </c>
    </row>
    <row r="50" spans="1:28" ht="32.25" customHeight="1">
      <c r="A50" s="305">
        <v>2131</v>
      </c>
      <c r="B50" s="310" t="s">
        <v>62</v>
      </c>
      <c r="C50" s="310" t="s">
        <v>324</v>
      </c>
      <c r="D50" s="291"/>
      <c r="E50" s="292">
        <v>1</v>
      </c>
      <c r="F50" s="293">
        <v>43318</v>
      </c>
      <c r="G50" s="293">
        <f t="shared" ref="G50:G67" si="9">+E50+F50</f>
        <v>43319</v>
      </c>
      <c r="H50" s="306" t="s">
        <v>294</v>
      </c>
      <c r="I50" s="294" t="s">
        <v>171</v>
      </c>
      <c r="J50" s="295" t="s">
        <v>295</v>
      </c>
      <c r="K50" s="309" t="s">
        <v>296</v>
      </c>
      <c r="L50" s="295">
        <v>23174</v>
      </c>
      <c r="M50" s="296"/>
      <c r="N50" s="294"/>
      <c r="O50" s="297">
        <v>36</v>
      </c>
      <c r="P50" s="295">
        <v>60</v>
      </c>
      <c r="Q50" s="298">
        <f t="shared" si="7"/>
        <v>2160</v>
      </c>
      <c r="R50" s="299"/>
      <c r="S50" s="298"/>
      <c r="T50" s="298"/>
      <c r="U50" s="298"/>
      <c r="V50" s="298"/>
      <c r="W50" s="298">
        <v>1080</v>
      </c>
      <c r="X50" s="298">
        <v>1080</v>
      </c>
      <c r="Y50" s="298"/>
      <c r="Z50" s="300"/>
      <c r="AA50" s="300"/>
      <c r="AB50" s="300"/>
    </row>
    <row r="51" spans="1:28" ht="32.25" customHeight="1">
      <c r="A51" s="305">
        <v>2131</v>
      </c>
      <c r="B51" s="310" t="s">
        <v>62</v>
      </c>
      <c r="C51" s="310" t="s">
        <v>324</v>
      </c>
      <c r="D51" s="291"/>
      <c r="E51" s="292">
        <v>1</v>
      </c>
      <c r="F51" s="293">
        <v>43304</v>
      </c>
      <c r="G51" s="293">
        <f t="shared" si="9"/>
        <v>43305</v>
      </c>
      <c r="H51" s="306" t="s">
        <v>294</v>
      </c>
      <c r="I51" s="294" t="s">
        <v>171</v>
      </c>
      <c r="J51" s="295" t="s">
        <v>295</v>
      </c>
      <c r="K51" s="309" t="s">
        <v>325</v>
      </c>
      <c r="L51" s="295">
        <v>23174</v>
      </c>
      <c r="M51" s="296"/>
      <c r="N51" s="294"/>
      <c r="O51" s="297">
        <v>10</v>
      </c>
      <c r="P51" s="295">
        <v>60</v>
      </c>
      <c r="Q51" s="298">
        <f t="shared" si="7"/>
        <v>600</v>
      </c>
      <c r="R51" s="299"/>
      <c r="S51" s="298"/>
      <c r="T51" s="298"/>
      <c r="U51" s="298"/>
      <c r="V51" s="298"/>
      <c r="W51" s="298">
        <v>300</v>
      </c>
      <c r="X51" s="298">
        <v>300</v>
      </c>
      <c r="Y51" s="298"/>
      <c r="Z51" s="300"/>
      <c r="AA51" s="300"/>
      <c r="AB51" s="300"/>
    </row>
    <row r="52" spans="1:28" ht="32.25" customHeight="1">
      <c r="A52" s="305">
        <v>2131</v>
      </c>
      <c r="B52" s="310" t="s">
        <v>62</v>
      </c>
      <c r="C52" s="310" t="s">
        <v>324</v>
      </c>
      <c r="D52" s="291"/>
      <c r="E52" s="292">
        <v>1</v>
      </c>
      <c r="F52" s="293">
        <v>43304</v>
      </c>
      <c r="G52" s="293">
        <f t="shared" si="9"/>
        <v>43305</v>
      </c>
      <c r="H52" s="306" t="s">
        <v>294</v>
      </c>
      <c r="I52" s="294" t="s">
        <v>171</v>
      </c>
      <c r="J52" s="295" t="s">
        <v>295</v>
      </c>
      <c r="K52" s="309" t="s">
        <v>326</v>
      </c>
      <c r="L52" s="295">
        <v>23174</v>
      </c>
      <c r="M52" s="296"/>
      <c r="N52" s="294"/>
      <c r="O52" s="297">
        <v>100</v>
      </c>
      <c r="P52" s="295">
        <v>60</v>
      </c>
      <c r="Q52" s="298">
        <f t="shared" si="7"/>
        <v>6000</v>
      </c>
      <c r="R52" s="299"/>
      <c r="S52" s="298"/>
      <c r="T52" s="298"/>
      <c r="U52" s="298"/>
      <c r="V52" s="298"/>
      <c r="W52" s="298">
        <v>3000</v>
      </c>
      <c r="X52" s="298">
        <v>3000</v>
      </c>
      <c r="Y52" s="298"/>
      <c r="Z52" s="300"/>
      <c r="AA52" s="300"/>
      <c r="AB52" s="300"/>
    </row>
    <row r="53" spans="1:28" ht="32.25" customHeight="1">
      <c r="A53" s="305">
        <v>2131</v>
      </c>
      <c r="B53" s="310" t="s">
        <v>62</v>
      </c>
      <c r="C53" s="310" t="s">
        <v>324</v>
      </c>
      <c r="D53" s="291"/>
      <c r="E53" s="292">
        <v>1</v>
      </c>
      <c r="F53" s="293">
        <v>43304</v>
      </c>
      <c r="G53" s="293">
        <f t="shared" si="9"/>
        <v>43305</v>
      </c>
      <c r="H53" s="306" t="s">
        <v>294</v>
      </c>
      <c r="I53" s="294" t="s">
        <v>171</v>
      </c>
      <c r="J53" s="295" t="s">
        <v>295</v>
      </c>
      <c r="K53" s="309" t="s">
        <v>312</v>
      </c>
      <c r="L53" s="295">
        <v>23173</v>
      </c>
      <c r="M53" s="296"/>
      <c r="N53" s="294"/>
      <c r="O53" s="297">
        <v>10</v>
      </c>
      <c r="P53" s="295">
        <v>60</v>
      </c>
      <c r="Q53" s="298">
        <f t="shared" si="7"/>
        <v>600</v>
      </c>
      <c r="R53" s="299"/>
      <c r="S53" s="298"/>
      <c r="T53" s="298"/>
      <c r="U53" s="298"/>
      <c r="V53" s="298"/>
      <c r="W53" s="298">
        <v>300</v>
      </c>
      <c r="X53" s="298">
        <v>300</v>
      </c>
      <c r="Y53" s="298"/>
      <c r="Z53" s="300"/>
      <c r="AA53" s="300"/>
      <c r="AB53" s="300"/>
    </row>
    <row r="54" spans="1:28" ht="32.25" customHeight="1">
      <c r="A54" s="305">
        <v>2132</v>
      </c>
      <c r="B54" s="310" t="s">
        <v>63</v>
      </c>
      <c r="C54" s="310" t="s">
        <v>327</v>
      </c>
      <c r="D54" s="291"/>
      <c r="E54" s="292">
        <v>3</v>
      </c>
      <c r="F54" s="293">
        <v>43318</v>
      </c>
      <c r="G54" s="293">
        <f t="shared" si="9"/>
        <v>43321</v>
      </c>
      <c r="H54" s="306" t="s">
        <v>294</v>
      </c>
      <c r="I54" s="294" t="s">
        <v>171</v>
      </c>
      <c r="J54" s="295" t="s">
        <v>295</v>
      </c>
      <c r="K54" s="309" t="s">
        <v>328</v>
      </c>
      <c r="L54" s="295">
        <v>23174</v>
      </c>
      <c r="M54" s="296"/>
      <c r="N54" s="294"/>
      <c r="O54" s="297">
        <v>380</v>
      </c>
      <c r="P54" s="295">
        <v>3</v>
      </c>
      <c r="Q54" s="298">
        <f t="shared" si="7"/>
        <v>1140</v>
      </c>
      <c r="R54" s="299"/>
      <c r="S54" s="298"/>
      <c r="T54" s="298"/>
      <c r="U54" s="298"/>
      <c r="V54" s="298"/>
      <c r="W54" s="298"/>
      <c r="X54" s="298">
        <f t="shared" ref="X54:X65" si="10">+Q54</f>
        <v>1140</v>
      </c>
      <c r="Y54" s="298"/>
      <c r="Z54" s="300"/>
      <c r="AA54" s="300"/>
      <c r="AB54" s="300"/>
    </row>
    <row r="55" spans="1:28" ht="32.25" customHeight="1">
      <c r="A55" s="305">
        <v>2132</v>
      </c>
      <c r="B55" s="310" t="s">
        <v>63</v>
      </c>
      <c r="C55" s="310" t="s">
        <v>327</v>
      </c>
      <c r="D55" s="291"/>
      <c r="E55" s="292">
        <v>3</v>
      </c>
      <c r="F55" s="293">
        <v>43318</v>
      </c>
      <c r="G55" s="293">
        <f t="shared" si="9"/>
        <v>43321</v>
      </c>
      <c r="H55" s="306" t="s">
        <v>294</v>
      </c>
      <c r="I55" s="294" t="s">
        <v>171</v>
      </c>
      <c r="J55" s="295" t="s">
        <v>295</v>
      </c>
      <c r="K55" s="309" t="s">
        <v>325</v>
      </c>
      <c r="L55" s="295">
        <v>23174</v>
      </c>
      <c r="M55" s="296"/>
      <c r="N55" s="294"/>
      <c r="O55" s="297">
        <v>96.666666666666671</v>
      </c>
      <c r="P55" s="295">
        <v>3</v>
      </c>
      <c r="Q55" s="298">
        <f t="shared" si="7"/>
        <v>290</v>
      </c>
      <c r="R55" s="299"/>
      <c r="S55" s="298"/>
      <c r="T55" s="298"/>
      <c r="U55" s="298"/>
      <c r="V55" s="298"/>
      <c r="W55" s="298"/>
      <c r="X55" s="298">
        <f t="shared" si="10"/>
        <v>290</v>
      </c>
      <c r="Y55" s="298"/>
      <c r="Z55" s="300"/>
      <c r="AA55" s="300"/>
      <c r="AB55" s="300"/>
    </row>
    <row r="56" spans="1:28" ht="32.25" customHeight="1">
      <c r="A56" s="305">
        <v>2132</v>
      </c>
      <c r="B56" s="310" t="s">
        <v>63</v>
      </c>
      <c r="C56" s="310" t="s">
        <v>327</v>
      </c>
      <c r="D56" s="291"/>
      <c r="E56" s="292">
        <v>3</v>
      </c>
      <c r="F56" s="293">
        <v>43318</v>
      </c>
      <c r="G56" s="293">
        <f t="shared" si="9"/>
        <v>43321</v>
      </c>
      <c r="H56" s="306" t="s">
        <v>294</v>
      </c>
      <c r="I56" s="294" t="s">
        <v>171</v>
      </c>
      <c r="J56" s="295" t="s">
        <v>295</v>
      </c>
      <c r="K56" s="309" t="s">
        <v>329</v>
      </c>
      <c r="L56" s="295">
        <v>23174</v>
      </c>
      <c r="M56" s="296"/>
      <c r="N56" s="294"/>
      <c r="O56" s="297">
        <v>1000</v>
      </c>
      <c r="P56" s="295">
        <v>3</v>
      </c>
      <c r="Q56" s="298">
        <f t="shared" si="7"/>
        <v>3000</v>
      </c>
      <c r="R56" s="299"/>
      <c r="S56" s="298"/>
      <c r="T56" s="298"/>
      <c r="U56" s="298"/>
      <c r="V56" s="298"/>
      <c r="W56" s="298"/>
      <c r="X56" s="298">
        <f t="shared" si="10"/>
        <v>3000</v>
      </c>
      <c r="Y56" s="298"/>
      <c r="Z56" s="300"/>
      <c r="AA56" s="300"/>
      <c r="AB56" s="300"/>
    </row>
    <row r="57" spans="1:28" ht="32.25" customHeight="1">
      <c r="A57" s="305">
        <v>2132</v>
      </c>
      <c r="B57" s="310" t="s">
        <v>63</v>
      </c>
      <c r="C57" s="310" t="s">
        <v>327</v>
      </c>
      <c r="D57" s="291"/>
      <c r="E57" s="292">
        <v>3</v>
      </c>
      <c r="F57" s="293">
        <v>43318</v>
      </c>
      <c r="G57" s="293">
        <f t="shared" si="9"/>
        <v>43321</v>
      </c>
      <c r="H57" s="306" t="s">
        <v>294</v>
      </c>
      <c r="I57" s="294" t="s">
        <v>171</v>
      </c>
      <c r="J57" s="295" t="s">
        <v>295</v>
      </c>
      <c r="K57" s="309" t="s">
        <v>326</v>
      </c>
      <c r="L57" s="295">
        <v>23174</v>
      </c>
      <c r="M57" s="295"/>
      <c r="N57" s="294"/>
      <c r="O57" s="297">
        <v>100</v>
      </c>
      <c r="P57" s="295">
        <v>3</v>
      </c>
      <c r="Q57" s="298">
        <f t="shared" si="7"/>
        <v>300</v>
      </c>
      <c r="R57" s="299"/>
      <c r="S57" s="298"/>
      <c r="T57" s="298"/>
      <c r="U57" s="298"/>
      <c r="V57" s="298"/>
      <c r="W57" s="298"/>
      <c r="X57" s="298">
        <f t="shared" si="10"/>
        <v>300</v>
      </c>
      <c r="Y57" s="298"/>
      <c r="Z57" s="300"/>
      <c r="AA57" s="300"/>
      <c r="AB57" s="300"/>
    </row>
    <row r="58" spans="1:28" ht="32.25" customHeight="1">
      <c r="A58" s="305">
        <v>2133</v>
      </c>
      <c r="B58" s="313" t="s">
        <v>64</v>
      </c>
      <c r="C58" s="313" t="s">
        <v>330</v>
      </c>
      <c r="D58" s="291"/>
      <c r="E58" s="292">
        <v>2</v>
      </c>
      <c r="F58" s="293">
        <v>43325</v>
      </c>
      <c r="G58" s="293">
        <f t="shared" si="9"/>
        <v>43327</v>
      </c>
      <c r="H58" s="306" t="s">
        <v>294</v>
      </c>
      <c r="I58" s="294" t="s">
        <v>171</v>
      </c>
      <c r="J58" s="295" t="s">
        <v>295</v>
      </c>
      <c r="K58" s="309" t="s">
        <v>296</v>
      </c>
      <c r="L58" s="295">
        <v>23174</v>
      </c>
      <c r="M58" s="295"/>
      <c r="N58" s="294"/>
      <c r="O58" s="297">
        <v>900</v>
      </c>
      <c r="P58" s="314">
        <v>3</v>
      </c>
      <c r="Q58" s="298">
        <f t="shared" si="7"/>
        <v>2700</v>
      </c>
      <c r="R58" s="299"/>
      <c r="S58" s="298"/>
      <c r="T58" s="298"/>
      <c r="U58" s="298"/>
      <c r="V58" s="298"/>
      <c r="W58" s="298"/>
      <c r="X58" s="298">
        <f t="shared" si="10"/>
        <v>2700</v>
      </c>
      <c r="Y58" s="298"/>
      <c r="Z58" s="300"/>
      <c r="AA58" s="300"/>
      <c r="AB58" s="300"/>
    </row>
    <row r="59" spans="1:28" ht="32.25" customHeight="1">
      <c r="A59" s="305">
        <v>2133</v>
      </c>
      <c r="B59" s="313" t="s">
        <v>64</v>
      </c>
      <c r="C59" s="313" t="s">
        <v>330</v>
      </c>
      <c r="D59" s="291"/>
      <c r="E59" s="292">
        <v>2</v>
      </c>
      <c r="F59" s="293">
        <v>43325</v>
      </c>
      <c r="G59" s="293">
        <f t="shared" si="9"/>
        <v>43327</v>
      </c>
      <c r="H59" s="306" t="s">
        <v>294</v>
      </c>
      <c r="I59" s="294" t="s">
        <v>171</v>
      </c>
      <c r="J59" s="295" t="s">
        <v>295</v>
      </c>
      <c r="K59" s="309" t="s">
        <v>297</v>
      </c>
      <c r="L59" s="295">
        <v>23174</v>
      </c>
      <c r="M59" s="295"/>
      <c r="N59" s="294"/>
      <c r="O59" s="297">
        <v>101.33333333333333</v>
      </c>
      <c r="P59" s="314">
        <v>3</v>
      </c>
      <c r="Q59" s="298">
        <f t="shared" si="7"/>
        <v>304</v>
      </c>
      <c r="R59" s="299"/>
      <c r="S59" s="298"/>
      <c r="T59" s="298"/>
      <c r="U59" s="298"/>
      <c r="V59" s="298"/>
      <c r="W59" s="298"/>
      <c r="X59" s="298">
        <f t="shared" si="10"/>
        <v>304</v>
      </c>
      <c r="Y59" s="298"/>
      <c r="Z59" s="300"/>
      <c r="AA59" s="300"/>
      <c r="AB59" s="300"/>
    </row>
    <row r="60" spans="1:28" ht="32.25" customHeight="1">
      <c r="A60" s="305">
        <v>2133</v>
      </c>
      <c r="B60" s="313" t="s">
        <v>64</v>
      </c>
      <c r="C60" s="313" t="s">
        <v>330</v>
      </c>
      <c r="D60" s="291"/>
      <c r="E60" s="292">
        <v>2</v>
      </c>
      <c r="F60" s="293">
        <v>43325</v>
      </c>
      <c r="G60" s="293">
        <f t="shared" si="9"/>
        <v>43327</v>
      </c>
      <c r="H60" s="306" t="s">
        <v>294</v>
      </c>
      <c r="I60" s="294" t="s">
        <v>171</v>
      </c>
      <c r="J60" s="295" t="s">
        <v>295</v>
      </c>
      <c r="K60" s="309" t="s">
        <v>331</v>
      </c>
      <c r="L60" s="295">
        <v>23174</v>
      </c>
      <c r="M60" s="295"/>
      <c r="N60" s="294"/>
      <c r="O60" s="297">
        <v>112</v>
      </c>
      <c r="P60" s="314">
        <v>3</v>
      </c>
      <c r="Q60" s="298">
        <f t="shared" si="7"/>
        <v>336</v>
      </c>
      <c r="R60" s="299"/>
      <c r="S60" s="298"/>
      <c r="T60" s="298"/>
      <c r="U60" s="298"/>
      <c r="V60" s="298"/>
      <c r="W60" s="298"/>
      <c r="X60" s="298">
        <f t="shared" si="10"/>
        <v>336</v>
      </c>
      <c r="Y60" s="298"/>
      <c r="Z60" s="300"/>
      <c r="AA60" s="300"/>
      <c r="AB60" s="300"/>
    </row>
    <row r="61" spans="1:28" ht="32.25" customHeight="1">
      <c r="A61" s="305">
        <v>2133</v>
      </c>
      <c r="B61" s="313" t="s">
        <v>64</v>
      </c>
      <c r="C61" s="313" t="s">
        <v>330</v>
      </c>
      <c r="D61" s="291"/>
      <c r="E61" s="292">
        <v>2</v>
      </c>
      <c r="F61" s="293">
        <v>43325</v>
      </c>
      <c r="G61" s="293">
        <f t="shared" si="9"/>
        <v>43327</v>
      </c>
      <c r="H61" s="306" t="s">
        <v>294</v>
      </c>
      <c r="I61" s="294" t="s">
        <v>171</v>
      </c>
      <c r="J61" s="295" t="s">
        <v>295</v>
      </c>
      <c r="K61" s="309" t="s">
        <v>332</v>
      </c>
      <c r="L61" s="295">
        <v>23174</v>
      </c>
      <c r="M61" s="295"/>
      <c r="N61" s="294"/>
      <c r="O61" s="297">
        <v>166.66666666666666</v>
      </c>
      <c r="P61" s="314">
        <v>3</v>
      </c>
      <c r="Q61" s="298">
        <f t="shared" si="7"/>
        <v>500</v>
      </c>
      <c r="R61" s="299"/>
      <c r="S61" s="298"/>
      <c r="T61" s="298"/>
      <c r="U61" s="298"/>
      <c r="V61" s="298"/>
      <c r="W61" s="298"/>
      <c r="X61" s="298">
        <f t="shared" si="10"/>
        <v>500</v>
      </c>
      <c r="Y61" s="298"/>
      <c r="Z61" s="300"/>
      <c r="AA61" s="300"/>
      <c r="AB61" s="300"/>
    </row>
    <row r="62" spans="1:28" ht="32.25" customHeight="1">
      <c r="A62" s="305">
        <v>2133</v>
      </c>
      <c r="B62" s="313" t="s">
        <v>64</v>
      </c>
      <c r="C62" s="313" t="s">
        <v>330</v>
      </c>
      <c r="D62" s="291"/>
      <c r="E62" s="292">
        <v>2</v>
      </c>
      <c r="F62" s="293">
        <v>43325</v>
      </c>
      <c r="G62" s="293">
        <f t="shared" si="9"/>
        <v>43327</v>
      </c>
      <c r="H62" s="306" t="s">
        <v>294</v>
      </c>
      <c r="I62" s="294" t="s">
        <v>171</v>
      </c>
      <c r="J62" s="295" t="s">
        <v>295</v>
      </c>
      <c r="K62" s="309" t="s">
        <v>311</v>
      </c>
      <c r="L62" s="295">
        <v>23174</v>
      </c>
      <c r="M62" s="295"/>
      <c r="N62" s="294"/>
      <c r="O62" s="297">
        <v>426.66666666666669</v>
      </c>
      <c r="P62" s="314">
        <v>3</v>
      </c>
      <c r="Q62" s="298">
        <f t="shared" si="7"/>
        <v>1280</v>
      </c>
      <c r="R62" s="299"/>
      <c r="S62" s="298"/>
      <c r="T62" s="298"/>
      <c r="U62" s="298"/>
      <c r="V62" s="298"/>
      <c r="W62" s="298"/>
      <c r="X62" s="298">
        <f t="shared" si="10"/>
        <v>1280</v>
      </c>
      <c r="Y62" s="298"/>
      <c r="Z62" s="300"/>
      <c r="AA62" s="300"/>
      <c r="AB62" s="300"/>
    </row>
    <row r="63" spans="1:28" ht="32.25" customHeight="1">
      <c r="A63" s="305">
        <v>2133</v>
      </c>
      <c r="B63" s="313" t="s">
        <v>64</v>
      </c>
      <c r="C63" s="313" t="s">
        <v>330</v>
      </c>
      <c r="D63" s="291"/>
      <c r="E63" s="292">
        <v>2</v>
      </c>
      <c r="F63" s="293">
        <v>43325</v>
      </c>
      <c r="G63" s="293">
        <f t="shared" si="9"/>
        <v>43327</v>
      </c>
      <c r="H63" s="306" t="s">
        <v>294</v>
      </c>
      <c r="I63" s="294" t="s">
        <v>171</v>
      </c>
      <c r="J63" s="295" t="s">
        <v>295</v>
      </c>
      <c r="K63" s="309" t="s">
        <v>301</v>
      </c>
      <c r="L63" s="295">
        <v>23172</v>
      </c>
      <c r="M63" s="295"/>
      <c r="N63" s="294"/>
      <c r="O63" s="297">
        <v>33.333333333333336</v>
      </c>
      <c r="P63" s="314">
        <v>3</v>
      </c>
      <c r="Q63" s="298">
        <f t="shared" si="7"/>
        <v>100</v>
      </c>
      <c r="R63" s="299"/>
      <c r="S63" s="298"/>
      <c r="T63" s="298"/>
      <c r="U63" s="298"/>
      <c r="V63" s="298"/>
      <c r="W63" s="298"/>
      <c r="X63" s="298">
        <f t="shared" si="10"/>
        <v>100</v>
      </c>
      <c r="Y63" s="298"/>
      <c r="Z63" s="300"/>
      <c r="AA63" s="300"/>
      <c r="AB63" s="300"/>
    </row>
    <row r="64" spans="1:28" ht="32.25" customHeight="1">
      <c r="A64" s="305">
        <v>2133</v>
      </c>
      <c r="B64" s="313" t="s">
        <v>64</v>
      </c>
      <c r="C64" s="313" t="s">
        <v>330</v>
      </c>
      <c r="D64" s="291"/>
      <c r="E64" s="292">
        <v>2</v>
      </c>
      <c r="F64" s="293">
        <v>43325</v>
      </c>
      <c r="G64" s="293">
        <f t="shared" si="9"/>
        <v>43327</v>
      </c>
      <c r="H64" s="306" t="s">
        <v>294</v>
      </c>
      <c r="I64" s="294" t="s">
        <v>171</v>
      </c>
      <c r="J64" s="295" t="s">
        <v>295</v>
      </c>
      <c r="K64" s="309" t="s">
        <v>302</v>
      </c>
      <c r="L64" s="295">
        <v>23173</v>
      </c>
      <c r="M64" s="295"/>
      <c r="N64" s="294"/>
      <c r="O64" s="297">
        <v>237.66666666666666</v>
      </c>
      <c r="P64" s="314">
        <v>3</v>
      </c>
      <c r="Q64" s="298">
        <f t="shared" si="7"/>
        <v>713</v>
      </c>
      <c r="R64" s="299"/>
      <c r="S64" s="298"/>
      <c r="T64" s="298"/>
      <c r="U64" s="298"/>
      <c r="V64" s="298"/>
      <c r="W64" s="298"/>
      <c r="X64" s="298">
        <f t="shared" si="10"/>
        <v>713</v>
      </c>
      <c r="Y64" s="298"/>
      <c r="Z64" s="300"/>
      <c r="AA64" s="300"/>
      <c r="AB64" s="300"/>
    </row>
    <row r="65" spans="1:28" ht="32.25" customHeight="1">
      <c r="A65" s="305">
        <v>2134</v>
      </c>
      <c r="B65" s="310" t="s">
        <v>333</v>
      </c>
      <c r="C65" s="310" t="s">
        <v>334</v>
      </c>
      <c r="D65" s="291"/>
      <c r="E65" s="292">
        <v>15</v>
      </c>
      <c r="F65" s="293">
        <v>43304</v>
      </c>
      <c r="G65" s="293">
        <f t="shared" si="9"/>
        <v>43319</v>
      </c>
      <c r="H65" s="306" t="s">
        <v>294</v>
      </c>
      <c r="I65" s="294" t="s">
        <v>171</v>
      </c>
      <c r="J65" s="295" t="s">
        <v>295</v>
      </c>
      <c r="K65" s="311" t="s">
        <v>335</v>
      </c>
      <c r="L65" s="311">
        <v>2461</v>
      </c>
      <c r="M65" s="295"/>
      <c r="N65" s="294"/>
      <c r="O65" s="297">
        <v>504.68333333333334</v>
      </c>
      <c r="P65" s="295">
        <v>60</v>
      </c>
      <c r="Q65" s="298">
        <f t="shared" si="7"/>
        <v>30281</v>
      </c>
      <c r="R65" s="299"/>
      <c r="S65" s="298"/>
      <c r="T65" s="298"/>
      <c r="U65" s="298"/>
      <c r="V65" s="298"/>
      <c r="W65" s="298"/>
      <c r="X65" s="298">
        <f t="shared" si="10"/>
        <v>30281</v>
      </c>
      <c r="Z65" s="300"/>
      <c r="AA65" s="300"/>
      <c r="AB65" s="300"/>
    </row>
    <row r="66" spans="1:28" ht="32.25" customHeight="1">
      <c r="A66" s="305">
        <v>2135</v>
      </c>
      <c r="B66" s="310" t="s">
        <v>65</v>
      </c>
      <c r="C66" s="310" t="s">
        <v>336</v>
      </c>
      <c r="D66" s="291"/>
      <c r="E66" s="292">
        <v>30</v>
      </c>
      <c r="F66" s="293">
        <v>43346</v>
      </c>
      <c r="G66" s="293">
        <f t="shared" si="9"/>
        <v>43376</v>
      </c>
      <c r="H66" s="306" t="s">
        <v>294</v>
      </c>
      <c r="I66" s="294" t="s">
        <v>171</v>
      </c>
      <c r="J66" s="295" t="s">
        <v>295</v>
      </c>
      <c r="K66" s="307" t="s">
        <v>337</v>
      </c>
      <c r="L66" s="295">
        <v>6552</v>
      </c>
      <c r="M66" s="296"/>
      <c r="N66" s="294"/>
      <c r="O66" s="297">
        <v>1166.6666666666667</v>
      </c>
      <c r="P66" s="295">
        <v>60</v>
      </c>
      <c r="Q66" s="298">
        <f t="shared" si="7"/>
        <v>70000</v>
      </c>
      <c r="R66" s="299"/>
      <c r="S66" s="298"/>
      <c r="T66" s="298"/>
      <c r="U66" s="298"/>
      <c r="V66" s="298"/>
      <c r="W66" s="298"/>
      <c r="X66" s="298"/>
      <c r="Y66" s="298">
        <f>+Q66</f>
        <v>70000</v>
      </c>
      <c r="Z66" s="300"/>
      <c r="AA66" s="300"/>
      <c r="AB66" s="300"/>
    </row>
    <row r="67" spans="1:28" ht="32.25" customHeight="1">
      <c r="A67" s="305">
        <v>2136</v>
      </c>
      <c r="B67" s="313" t="s">
        <v>66</v>
      </c>
      <c r="C67" s="313" t="s">
        <v>338</v>
      </c>
      <c r="D67" s="291"/>
      <c r="E67" s="292">
        <v>30</v>
      </c>
      <c r="F67" s="293">
        <v>43346</v>
      </c>
      <c r="G67" s="293">
        <f t="shared" si="9"/>
        <v>43376</v>
      </c>
      <c r="H67" s="306" t="s">
        <v>294</v>
      </c>
      <c r="I67" s="294" t="s">
        <v>171</v>
      </c>
      <c r="J67" s="295" t="s">
        <v>295</v>
      </c>
      <c r="K67" s="307" t="s">
        <v>339</v>
      </c>
      <c r="L67" s="316">
        <v>6565</v>
      </c>
      <c r="M67" s="296"/>
      <c r="N67" s="294"/>
      <c r="O67" s="297">
        <v>60</v>
      </c>
      <c r="P67" s="295">
        <v>120</v>
      </c>
      <c r="Q67" s="298">
        <f t="shared" si="7"/>
        <v>7200</v>
      </c>
      <c r="R67" s="299"/>
      <c r="S67" s="298"/>
      <c r="T67" s="298"/>
      <c r="U67" s="298"/>
      <c r="V67" s="298"/>
      <c r="W67" s="298"/>
      <c r="X67" s="298"/>
      <c r="Y67" s="298">
        <f>+Q67</f>
        <v>7200</v>
      </c>
      <c r="Z67" s="300"/>
      <c r="AA67" s="300"/>
      <c r="AB67" s="300"/>
    </row>
    <row r="68" spans="1:28" ht="29.25" customHeight="1">
      <c r="A68" s="281">
        <v>214</v>
      </c>
      <c r="B68" s="302" t="s">
        <v>340</v>
      </c>
      <c r="C68" s="302"/>
      <c r="D68" s="302"/>
      <c r="E68" s="302"/>
      <c r="F68" s="302"/>
      <c r="G68" s="302"/>
      <c r="H68" s="302"/>
      <c r="I68" s="303"/>
      <c r="J68" s="282"/>
      <c r="K68" s="283"/>
      <c r="L68" s="282"/>
      <c r="M68" s="284"/>
      <c r="N68" s="283"/>
      <c r="O68" s="285"/>
      <c r="P68" s="282"/>
      <c r="Q68" s="304">
        <f>SUM(Q69:Q86)</f>
        <v>47057.333333333336</v>
      </c>
      <c r="R68" s="287"/>
      <c r="S68" s="304">
        <f t="shared" ref="S68:AB68" si="11">SUM(S69:S86)</f>
        <v>0</v>
      </c>
      <c r="T68" s="304">
        <f t="shared" si="11"/>
        <v>0</v>
      </c>
      <c r="U68" s="304">
        <f t="shared" si="11"/>
        <v>22594.666666666668</v>
      </c>
      <c r="V68" s="304">
        <f t="shared" si="11"/>
        <v>0</v>
      </c>
      <c r="W68" s="304">
        <f t="shared" si="11"/>
        <v>21422.666666666668</v>
      </c>
      <c r="X68" s="304">
        <f t="shared" si="11"/>
        <v>0</v>
      </c>
      <c r="Y68" s="304">
        <f t="shared" si="11"/>
        <v>0</v>
      </c>
      <c r="Z68" s="304">
        <f t="shared" si="11"/>
        <v>0</v>
      </c>
      <c r="AA68" s="304">
        <f t="shared" si="11"/>
        <v>3040</v>
      </c>
      <c r="AB68" s="304">
        <f t="shared" si="11"/>
        <v>0</v>
      </c>
    </row>
    <row r="69" spans="1:28" ht="32.25" customHeight="1">
      <c r="A69" s="305">
        <v>2141</v>
      </c>
      <c r="B69" s="317" t="s">
        <v>341</v>
      </c>
      <c r="C69" s="310" t="s">
        <v>342</v>
      </c>
      <c r="D69" s="291"/>
      <c r="E69" s="292">
        <v>5</v>
      </c>
      <c r="F69" s="293">
        <v>43227</v>
      </c>
      <c r="G69" s="293">
        <f t="shared" ref="G69:G86" si="12">+E69+F69</f>
        <v>43232</v>
      </c>
      <c r="H69" s="306" t="s">
        <v>294</v>
      </c>
      <c r="I69" s="294" t="s">
        <v>171</v>
      </c>
      <c r="J69" s="295" t="s">
        <v>295</v>
      </c>
      <c r="K69" s="318" t="s">
        <v>343</v>
      </c>
      <c r="L69" s="295">
        <v>23173</v>
      </c>
      <c r="M69" s="307"/>
      <c r="N69" s="295"/>
      <c r="O69" s="297">
        <v>770</v>
      </c>
      <c r="P69" s="319">
        <v>2</v>
      </c>
      <c r="Q69" s="298">
        <f t="shared" si="7"/>
        <v>1540</v>
      </c>
      <c r="R69" s="299"/>
      <c r="S69" s="298"/>
      <c r="T69" s="298"/>
      <c r="U69" s="298">
        <f t="shared" si="3"/>
        <v>1540</v>
      </c>
      <c r="V69" s="298"/>
      <c r="W69" s="298"/>
      <c r="X69" s="298"/>
      <c r="Y69" s="298"/>
      <c r="Z69" s="300"/>
      <c r="AA69" s="300"/>
      <c r="AB69" s="300"/>
    </row>
    <row r="70" spans="1:28" ht="32.25" customHeight="1">
      <c r="A70" s="305">
        <v>2141</v>
      </c>
      <c r="B70" s="317" t="s">
        <v>341</v>
      </c>
      <c r="C70" s="310" t="s">
        <v>342</v>
      </c>
      <c r="D70" s="291"/>
      <c r="E70" s="292">
        <v>5</v>
      </c>
      <c r="F70" s="293">
        <v>43227</v>
      </c>
      <c r="G70" s="293">
        <f t="shared" si="12"/>
        <v>43232</v>
      </c>
      <c r="H70" s="306" t="s">
        <v>294</v>
      </c>
      <c r="I70" s="294" t="s">
        <v>171</v>
      </c>
      <c r="J70" s="295" t="s">
        <v>295</v>
      </c>
      <c r="K70" s="318" t="s">
        <v>344</v>
      </c>
      <c r="L70" s="295">
        <v>23173</v>
      </c>
      <c r="M70" s="307"/>
      <c r="N70" s="295"/>
      <c r="O70" s="297">
        <v>165</v>
      </c>
      <c r="P70" s="319">
        <v>2</v>
      </c>
      <c r="Q70" s="298">
        <f t="shared" si="7"/>
        <v>330</v>
      </c>
      <c r="R70" s="299"/>
      <c r="S70" s="298"/>
      <c r="T70" s="298"/>
      <c r="U70" s="298">
        <f t="shared" si="3"/>
        <v>330</v>
      </c>
      <c r="V70" s="298"/>
      <c r="W70" s="298"/>
      <c r="X70" s="298"/>
      <c r="Y70" s="298"/>
      <c r="Z70" s="300"/>
      <c r="AA70" s="300"/>
      <c r="AB70" s="300"/>
    </row>
    <row r="71" spans="1:28" ht="32.25" customHeight="1">
      <c r="A71" s="305">
        <v>2141</v>
      </c>
      <c r="B71" s="317" t="s">
        <v>341</v>
      </c>
      <c r="C71" s="310" t="s">
        <v>342</v>
      </c>
      <c r="D71" s="291"/>
      <c r="E71" s="292">
        <v>5</v>
      </c>
      <c r="F71" s="293">
        <v>43227</v>
      </c>
      <c r="G71" s="293">
        <f t="shared" si="12"/>
        <v>43232</v>
      </c>
      <c r="H71" s="306" t="s">
        <v>294</v>
      </c>
      <c r="I71" s="294" t="s">
        <v>171</v>
      </c>
      <c r="J71" s="295" t="s">
        <v>295</v>
      </c>
      <c r="K71" s="318" t="s">
        <v>310</v>
      </c>
      <c r="L71" s="295">
        <v>23174</v>
      </c>
      <c r="M71" s="309"/>
      <c r="N71" s="295"/>
      <c r="O71" s="297">
        <v>5320</v>
      </c>
      <c r="P71" s="319">
        <v>2</v>
      </c>
      <c r="Q71" s="298">
        <f t="shared" si="7"/>
        <v>10640</v>
      </c>
      <c r="R71" s="299"/>
      <c r="S71" s="298"/>
      <c r="T71" s="298"/>
      <c r="U71" s="298">
        <f t="shared" si="3"/>
        <v>10640</v>
      </c>
      <c r="V71" s="298"/>
      <c r="W71" s="298"/>
      <c r="X71" s="298"/>
      <c r="Y71" s="298"/>
      <c r="Z71" s="300"/>
      <c r="AA71" s="300"/>
      <c r="AB71" s="300"/>
    </row>
    <row r="72" spans="1:28" ht="32.25" customHeight="1">
      <c r="A72" s="305">
        <v>2141</v>
      </c>
      <c r="B72" s="317" t="s">
        <v>341</v>
      </c>
      <c r="C72" s="310" t="s">
        <v>342</v>
      </c>
      <c r="D72" s="291"/>
      <c r="E72" s="292">
        <v>5</v>
      </c>
      <c r="F72" s="293">
        <v>43227</v>
      </c>
      <c r="G72" s="293">
        <f t="shared" si="12"/>
        <v>43232</v>
      </c>
      <c r="H72" s="306" t="s">
        <v>294</v>
      </c>
      <c r="I72" s="294" t="s">
        <v>171</v>
      </c>
      <c r="J72" s="295" t="s">
        <v>295</v>
      </c>
      <c r="K72" s="320" t="s">
        <v>345</v>
      </c>
      <c r="L72" s="295">
        <v>23174</v>
      </c>
      <c r="M72" s="307"/>
      <c r="N72" s="295"/>
      <c r="O72" s="297">
        <v>532</v>
      </c>
      <c r="P72" s="319">
        <v>2</v>
      </c>
      <c r="Q72" s="298">
        <f t="shared" si="7"/>
        <v>1064</v>
      </c>
      <c r="R72" s="299"/>
      <c r="S72" s="298"/>
      <c r="T72" s="298"/>
      <c r="U72" s="298">
        <f t="shared" si="3"/>
        <v>1064</v>
      </c>
      <c r="V72" s="298"/>
      <c r="W72" s="298"/>
      <c r="X72" s="298"/>
      <c r="Y72" s="298"/>
      <c r="Z72" s="300"/>
      <c r="AA72" s="300"/>
      <c r="AB72" s="300"/>
    </row>
    <row r="73" spans="1:28" ht="32.25" customHeight="1">
      <c r="A73" s="305">
        <v>2141</v>
      </c>
      <c r="B73" s="317" t="s">
        <v>341</v>
      </c>
      <c r="C73" s="310" t="s">
        <v>342</v>
      </c>
      <c r="D73" s="291"/>
      <c r="E73" s="292">
        <v>5</v>
      </c>
      <c r="F73" s="293">
        <v>43227</v>
      </c>
      <c r="G73" s="293">
        <f t="shared" si="12"/>
        <v>43232</v>
      </c>
      <c r="H73" s="306" t="s">
        <v>294</v>
      </c>
      <c r="I73" s="294" t="s">
        <v>171</v>
      </c>
      <c r="J73" s="295" t="s">
        <v>295</v>
      </c>
      <c r="K73" s="318" t="s">
        <v>300</v>
      </c>
      <c r="L73" s="295">
        <v>23174</v>
      </c>
      <c r="M73" s="307"/>
      <c r="N73" s="295"/>
      <c r="O73" s="297">
        <v>1000</v>
      </c>
      <c r="P73" s="319">
        <v>2</v>
      </c>
      <c r="Q73" s="298">
        <f t="shared" si="7"/>
        <v>2000</v>
      </c>
      <c r="R73" s="299"/>
      <c r="S73" s="298"/>
      <c r="T73" s="298"/>
      <c r="U73" s="298">
        <f t="shared" si="3"/>
        <v>2000</v>
      </c>
      <c r="V73" s="298"/>
      <c r="W73" s="298"/>
      <c r="X73" s="298"/>
      <c r="Y73" s="298"/>
      <c r="Z73" s="300"/>
      <c r="AA73" s="300"/>
      <c r="AB73" s="300"/>
    </row>
    <row r="74" spans="1:28" ht="32.25" customHeight="1">
      <c r="A74" s="305">
        <v>2141</v>
      </c>
      <c r="B74" s="317" t="s">
        <v>341</v>
      </c>
      <c r="C74" s="310" t="s">
        <v>342</v>
      </c>
      <c r="D74" s="291"/>
      <c r="E74" s="292">
        <v>5</v>
      </c>
      <c r="F74" s="293">
        <v>43227</v>
      </c>
      <c r="G74" s="293">
        <f t="shared" si="12"/>
        <v>43232</v>
      </c>
      <c r="H74" s="306" t="s">
        <v>294</v>
      </c>
      <c r="I74" s="294" t="s">
        <v>171</v>
      </c>
      <c r="J74" s="295" t="s">
        <v>295</v>
      </c>
      <c r="K74" s="318" t="s">
        <v>346</v>
      </c>
      <c r="L74" s="295">
        <v>23174</v>
      </c>
      <c r="M74" s="309"/>
      <c r="N74" s="295"/>
      <c r="O74" s="297">
        <v>1000</v>
      </c>
      <c r="P74" s="319">
        <v>2</v>
      </c>
      <c r="Q74" s="298">
        <f t="shared" si="7"/>
        <v>2000</v>
      </c>
      <c r="R74" s="299"/>
      <c r="S74" s="298"/>
      <c r="T74" s="298"/>
      <c r="U74" s="298">
        <f t="shared" si="3"/>
        <v>2000</v>
      </c>
      <c r="V74" s="298"/>
      <c r="W74" s="298"/>
      <c r="X74" s="298"/>
      <c r="Y74" s="298"/>
      <c r="Z74" s="300"/>
      <c r="AA74" s="300"/>
      <c r="AB74" s="300"/>
    </row>
    <row r="75" spans="1:28" ht="32.25" customHeight="1">
      <c r="A75" s="305">
        <v>2141</v>
      </c>
      <c r="B75" s="317" t="s">
        <v>341</v>
      </c>
      <c r="C75" s="310" t="s">
        <v>342</v>
      </c>
      <c r="D75" s="291"/>
      <c r="E75" s="292">
        <v>5</v>
      </c>
      <c r="F75" s="293">
        <v>43227</v>
      </c>
      <c r="G75" s="293">
        <f t="shared" si="12"/>
        <v>43232</v>
      </c>
      <c r="H75" s="306" t="s">
        <v>294</v>
      </c>
      <c r="I75" s="294" t="s">
        <v>171</v>
      </c>
      <c r="J75" s="295" t="s">
        <v>295</v>
      </c>
      <c r="K75" s="318" t="s">
        <v>301</v>
      </c>
      <c r="L75" s="295">
        <v>23172</v>
      </c>
      <c r="M75" s="307"/>
      <c r="N75" s="295"/>
      <c r="O75" s="297">
        <v>500</v>
      </c>
      <c r="P75" s="319">
        <v>2</v>
      </c>
      <c r="Q75" s="298">
        <f t="shared" si="7"/>
        <v>1000</v>
      </c>
      <c r="R75" s="299"/>
      <c r="S75" s="298"/>
      <c r="T75" s="298"/>
      <c r="U75" s="298">
        <f t="shared" si="3"/>
        <v>1000</v>
      </c>
      <c r="V75" s="298"/>
      <c r="W75" s="298"/>
      <c r="X75" s="298"/>
      <c r="Y75" s="298"/>
      <c r="Z75" s="300"/>
      <c r="AA75" s="300"/>
      <c r="AB75" s="300"/>
    </row>
    <row r="76" spans="1:28" ht="32.25" customHeight="1">
      <c r="A76" s="305">
        <v>2141</v>
      </c>
      <c r="B76" s="317" t="s">
        <v>341</v>
      </c>
      <c r="C76" s="310" t="s">
        <v>342</v>
      </c>
      <c r="D76" s="291"/>
      <c r="E76" s="292">
        <v>5</v>
      </c>
      <c r="F76" s="293">
        <v>43227</v>
      </c>
      <c r="G76" s="293">
        <f t="shared" si="12"/>
        <v>43232</v>
      </c>
      <c r="H76" s="306" t="s">
        <v>294</v>
      </c>
      <c r="I76" s="294" t="s">
        <v>171</v>
      </c>
      <c r="J76" s="295" t="s">
        <v>295</v>
      </c>
      <c r="K76" s="318" t="s">
        <v>302</v>
      </c>
      <c r="L76" s="295">
        <v>23173</v>
      </c>
      <c r="M76" s="296"/>
      <c r="N76" s="294"/>
      <c r="O76" s="297">
        <v>677</v>
      </c>
      <c r="P76" s="319">
        <v>2</v>
      </c>
      <c r="Q76" s="298">
        <f t="shared" si="7"/>
        <v>1354</v>
      </c>
      <c r="R76" s="299"/>
      <c r="S76" s="298"/>
      <c r="T76" s="298"/>
      <c r="U76" s="298">
        <f t="shared" si="3"/>
        <v>1354</v>
      </c>
      <c r="V76" s="298"/>
      <c r="W76" s="298"/>
      <c r="X76" s="298"/>
      <c r="Y76" s="298"/>
      <c r="Z76" s="300"/>
      <c r="AA76" s="300"/>
      <c r="AB76" s="300"/>
    </row>
    <row r="77" spans="1:28" ht="32.25" customHeight="1">
      <c r="A77" s="305">
        <v>2141</v>
      </c>
      <c r="B77" s="317" t="s">
        <v>341</v>
      </c>
      <c r="C77" s="310" t="s">
        <v>314</v>
      </c>
      <c r="D77" s="291"/>
      <c r="E77" s="292">
        <v>5</v>
      </c>
      <c r="F77" s="293">
        <v>43227</v>
      </c>
      <c r="G77" s="293">
        <f t="shared" si="12"/>
        <v>43232</v>
      </c>
      <c r="H77" s="306" t="s">
        <v>294</v>
      </c>
      <c r="I77" s="294" t="s">
        <v>171</v>
      </c>
      <c r="J77" s="295" t="s">
        <v>295</v>
      </c>
      <c r="K77" s="307" t="s">
        <v>315</v>
      </c>
      <c r="L77" s="295">
        <v>2313</v>
      </c>
      <c r="M77" s="296"/>
      <c r="N77" s="294"/>
      <c r="O77" s="297">
        <v>2666.6666666666665</v>
      </c>
      <c r="P77" s="295">
        <v>1</v>
      </c>
      <c r="Q77" s="298">
        <f t="shared" si="7"/>
        <v>2666.6666666666665</v>
      </c>
      <c r="R77" s="299"/>
      <c r="S77" s="298"/>
      <c r="T77" s="298"/>
      <c r="U77" s="298">
        <f t="shared" si="3"/>
        <v>2666.6666666666665</v>
      </c>
      <c r="V77" s="298"/>
      <c r="W77" s="298"/>
      <c r="X77" s="298"/>
      <c r="Y77" s="298"/>
      <c r="Z77" s="300"/>
      <c r="AA77" s="300"/>
      <c r="AB77" s="300"/>
    </row>
    <row r="78" spans="1:28" ht="32.25" customHeight="1">
      <c r="A78" s="305">
        <v>2142</v>
      </c>
      <c r="B78" s="313" t="s">
        <v>347</v>
      </c>
      <c r="C78" s="313" t="s">
        <v>348</v>
      </c>
      <c r="D78" s="291"/>
      <c r="E78" s="292">
        <v>10</v>
      </c>
      <c r="F78" s="293">
        <v>43283</v>
      </c>
      <c r="G78" s="293">
        <f t="shared" si="12"/>
        <v>43293</v>
      </c>
      <c r="H78" s="306" t="s">
        <v>294</v>
      </c>
      <c r="I78" s="294" t="s">
        <v>171</v>
      </c>
      <c r="J78" s="295" t="s">
        <v>295</v>
      </c>
      <c r="K78" s="321" t="s">
        <v>301</v>
      </c>
      <c r="L78" s="295">
        <v>23172</v>
      </c>
      <c r="M78" s="296"/>
      <c r="N78" s="294"/>
      <c r="O78" s="297">
        <v>166.66666666666666</v>
      </c>
      <c r="P78" s="295">
        <v>4</v>
      </c>
      <c r="Q78" s="298">
        <f t="shared" si="7"/>
        <v>666.66666666666663</v>
      </c>
      <c r="R78" s="299"/>
      <c r="S78" s="298"/>
      <c r="T78" s="298"/>
      <c r="U78" s="298"/>
      <c r="V78" s="298"/>
      <c r="W78" s="298">
        <f t="shared" ref="W78:W84" si="13">+Q78</f>
        <v>666.66666666666663</v>
      </c>
      <c r="X78" s="298"/>
      <c r="Y78" s="298"/>
      <c r="Z78" s="300"/>
      <c r="AA78" s="300"/>
      <c r="AB78" s="300"/>
    </row>
    <row r="79" spans="1:28" ht="32.25" customHeight="1">
      <c r="A79" s="305">
        <v>2142</v>
      </c>
      <c r="B79" s="313" t="s">
        <v>347</v>
      </c>
      <c r="C79" s="313" t="s">
        <v>348</v>
      </c>
      <c r="D79" s="291"/>
      <c r="E79" s="292">
        <v>10</v>
      </c>
      <c r="F79" s="293">
        <v>43283</v>
      </c>
      <c r="G79" s="293">
        <f t="shared" si="12"/>
        <v>43293</v>
      </c>
      <c r="H79" s="306" t="s">
        <v>294</v>
      </c>
      <c r="I79" s="294" t="s">
        <v>171</v>
      </c>
      <c r="J79" s="295" t="s">
        <v>295</v>
      </c>
      <c r="K79" s="321" t="s">
        <v>302</v>
      </c>
      <c r="L79" s="295">
        <v>23173</v>
      </c>
      <c r="M79" s="296"/>
      <c r="N79" s="294"/>
      <c r="O79" s="297">
        <v>870.33333333333337</v>
      </c>
      <c r="P79" s="295">
        <v>4</v>
      </c>
      <c r="Q79" s="298">
        <f t="shared" si="7"/>
        <v>3481.3333333333335</v>
      </c>
      <c r="R79" s="299"/>
      <c r="S79" s="298"/>
      <c r="T79" s="298"/>
      <c r="U79" s="298"/>
      <c r="V79" s="298"/>
      <c r="W79" s="298">
        <f t="shared" si="13"/>
        <v>3481.3333333333335</v>
      </c>
      <c r="X79" s="298"/>
      <c r="Y79" s="298"/>
      <c r="Z79" s="300"/>
      <c r="AA79" s="300"/>
      <c r="AB79" s="300"/>
    </row>
    <row r="80" spans="1:28" ht="32.25" customHeight="1">
      <c r="A80" s="305">
        <v>2142</v>
      </c>
      <c r="B80" s="313" t="s">
        <v>347</v>
      </c>
      <c r="C80" s="313" t="s">
        <v>348</v>
      </c>
      <c r="D80" s="291"/>
      <c r="E80" s="292">
        <v>10</v>
      </c>
      <c r="F80" s="293">
        <v>43283</v>
      </c>
      <c r="G80" s="293">
        <f t="shared" si="12"/>
        <v>43293</v>
      </c>
      <c r="H80" s="306" t="s">
        <v>294</v>
      </c>
      <c r="I80" s="294" t="s">
        <v>171</v>
      </c>
      <c r="J80" s="295" t="s">
        <v>295</v>
      </c>
      <c r="K80" s="321" t="s">
        <v>296</v>
      </c>
      <c r="L80" s="295">
        <v>23174</v>
      </c>
      <c r="M80" s="296"/>
      <c r="N80" s="294"/>
      <c r="O80" s="297">
        <v>3000</v>
      </c>
      <c r="P80" s="295">
        <v>4</v>
      </c>
      <c r="Q80" s="298">
        <f t="shared" si="7"/>
        <v>12000</v>
      </c>
      <c r="R80" s="299"/>
      <c r="S80" s="298"/>
      <c r="T80" s="298"/>
      <c r="U80" s="298"/>
      <c r="V80" s="298"/>
      <c r="W80" s="298">
        <f t="shared" si="13"/>
        <v>12000</v>
      </c>
      <c r="X80" s="298"/>
      <c r="Y80" s="298"/>
      <c r="Z80" s="300"/>
      <c r="AA80" s="300"/>
      <c r="AB80" s="300"/>
    </row>
    <row r="81" spans="1:28" ht="32.25" customHeight="1">
      <c r="A81" s="305">
        <v>2142</v>
      </c>
      <c r="B81" s="313" t="s">
        <v>347</v>
      </c>
      <c r="C81" s="313" t="s">
        <v>348</v>
      </c>
      <c r="D81" s="291"/>
      <c r="E81" s="292">
        <v>10</v>
      </c>
      <c r="F81" s="293">
        <v>43283</v>
      </c>
      <c r="G81" s="293">
        <f t="shared" si="12"/>
        <v>43293</v>
      </c>
      <c r="H81" s="306" t="s">
        <v>294</v>
      </c>
      <c r="I81" s="294" t="s">
        <v>171</v>
      </c>
      <c r="J81" s="295" t="s">
        <v>295</v>
      </c>
      <c r="K81" s="321" t="s">
        <v>349</v>
      </c>
      <c r="L81" s="295">
        <v>23174</v>
      </c>
      <c r="M81" s="296"/>
      <c r="N81" s="294"/>
      <c r="O81" s="297">
        <v>304</v>
      </c>
      <c r="P81" s="295">
        <v>4</v>
      </c>
      <c r="Q81" s="298">
        <f t="shared" si="7"/>
        <v>1216</v>
      </c>
      <c r="R81" s="299"/>
      <c r="S81" s="298"/>
      <c r="T81" s="298"/>
      <c r="U81" s="298"/>
      <c r="V81" s="298"/>
      <c r="W81" s="298">
        <f t="shared" si="13"/>
        <v>1216</v>
      </c>
      <c r="X81" s="298"/>
      <c r="Y81" s="298"/>
      <c r="Z81" s="300"/>
      <c r="AA81" s="300"/>
      <c r="AB81" s="300"/>
    </row>
    <row r="82" spans="1:28" ht="32.25" customHeight="1">
      <c r="A82" s="305">
        <v>2142</v>
      </c>
      <c r="B82" s="313" t="s">
        <v>347</v>
      </c>
      <c r="C82" s="313" t="s">
        <v>348</v>
      </c>
      <c r="D82" s="291"/>
      <c r="E82" s="292">
        <v>10</v>
      </c>
      <c r="F82" s="293">
        <v>43283</v>
      </c>
      <c r="G82" s="293">
        <f t="shared" si="12"/>
        <v>43293</v>
      </c>
      <c r="H82" s="306" t="s">
        <v>294</v>
      </c>
      <c r="I82" s="294" t="s">
        <v>171</v>
      </c>
      <c r="J82" s="295" t="s">
        <v>295</v>
      </c>
      <c r="K82" s="321" t="s">
        <v>298</v>
      </c>
      <c r="L82" s="295">
        <v>23174</v>
      </c>
      <c r="M82" s="296"/>
      <c r="N82" s="294"/>
      <c r="O82" s="297">
        <v>448</v>
      </c>
      <c r="P82" s="295">
        <v>4</v>
      </c>
      <c r="Q82" s="298">
        <f t="shared" si="7"/>
        <v>1792</v>
      </c>
      <c r="R82" s="299"/>
      <c r="S82" s="298"/>
      <c r="T82" s="298"/>
      <c r="U82" s="298"/>
      <c r="V82" s="298"/>
      <c r="W82" s="298">
        <f t="shared" si="13"/>
        <v>1792</v>
      </c>
      <c r="X82" s="298"/>
      <c r="Y82" s="298"/>
      <c r="Z82" s="300"/>
      <c r="AA82" s="300"/>
      <c r="AB82" s="300"/>
    </row>
    <row r="83" spans="1:28" ht="32.25" customHeight="1">
      <c r="A83" s="305">
        <v>2142</v>
      </c>
      <c r="B83" s="313" t="s">
        <v>347</v>
      </c>
      <c r="C83" s="313" t="s">
        <v>348</v>
      </c>
      <c r="D83" s="291"/>
      <c r="E83" s="292">
        <v>10</v>
      </c>
      <c r="F83" s="293">
        <v>43283</v>
      </c>
      <c r="G83" s="293">
        <f t="shared" si="12"/>
        <v>43293</v>
      </c>
      <c r="H83" s="306" t="s">
        <v>294</v>
      </c>
      <c r="I83" s="294" t="s">
        <v>171</v>
      </c>
      <c r="J83" s="295" t="s">
        <v>295</v>
      </c>
      <c r="K83" s="321" t="s">
        <v>350</v>
      </c>
      <c r="L83" s="295">
        <v>23174</v>
      </c>
      <c r="M83" s="296"/>
      <c r="N83" s="294"/>
      <c r="O83" s="297">
        <v>166.66666666666666</v>
      </c>
      <c r="P83" s="295">
        <v>4</v>
      </c>
      <c r="Q83" s="298">
        <f t="shared" si="7"/>
        <v>666.66666666666663</v>
      </c>
      <c r="R83" s="299"/>
      <c r="S83" s="298"/>
      <c r="T83" s="298"/>
      <c r="U83" s="298"/>
      <c r="V83" s="298"/>
      <c r="W83" s="298">
        <f t="shared" si="13"/>
        <v>666.66666666666663</v>
      </c>
      <c r="X83" s="298"/>
      <c r="Y83" s="298"/>
      <c r="Z83" s="300"/>
      <c r="AA83" s="300"/>
      <c r="AB83" s="300"/>
    </row>
    <row r="84" spans="1:28" ht="32.25" customHeight="1">
      <c r="A84" s="305">
        <v>2142</v>
      </c>
      <c r="B84" s="313" t="s">
        <v>347</v>
      </c>
      <c r="C84" s="313" t="s">
        <v>348</v>
      </c>
      <c r="D84" s="291"/>
      <c r="E84" s="292">
        <v>10</v>
      </c>
      <c r="F84" s="293">
        <v>43283</v>
      </c>
      <c r="G84" s="293">
        <f t="shared" si="12"/>
        <v>43293</v>
      </c>
      <c r="H84" s="306" t="s">
        <v>294</v>
      </c>
      <c r="I84" s="294" t="s">
        <v>171</v>
      </c>
      <c r="J84" s="295" t="s">
        <v>295</v>
      </c>
      <c r="K84" s="321" t="s">
        <v>300</v>
      </c>
      <c r="L84" s="295">
        <v>23174</v>
      </c>
      <c r="M84" s="296"/>
      <c r="N84" s="294"/>
      <c r="O84" s="297">
        <v>400</v>
      </c>
      <c r="P84" s="295">
        <v>4</v>
      </c>
      <c r="Q84" s="298">
        <f t="shared" si="7"/>
        <v>1600</v>
      </c>
      <c r="R84" s="299"/>
      <c r="S84" s="298"/>
      <c r="T84" s="298"/>
      <c r="U84" s="298"/>
      <c r="V84" s="298"/>
      <c r="W84" s="298">
        <f t="shared" si="13"/>
        <v>1600</v>
      </c>
      <c r="X84" s="298"/>
      <c r="Y84" s="298"/>
      <c r="Z84" s="300"/>
      <c r="AA84" s="300"/>
      <c r="AB84" s="300"/>
    </row>
    <row r="85" spans="1:28" ht="32.25" customHeight="1">
      <c r="A85" s="305">
        <v>2143</v>
      </c>
      <c r="B85" s="313" t="s">
        <v>69</v>
      </c>
      <c r="C85" s="313" t="s">
        <v>351</v>
      </c>
      <c r="D85" s="291"/>
      <c r="E85" s="292">
        <v>1</v>
      </c>
      <c r="F85" s="293">
        <v>43409</v>
      </c>
      <c r="G85" s="293">
        <f t="shared" si="12"/>
        <v>43410</v>
      </c>
      <c r="H85" s="306" t="s">
        <v>294</v>
      </c>
      <c r="I85" s="294" t="s">
        <v>171</v>
      </c>
      <c r="J85" s="295" t="s">
        <v>295</v>
      </c>
      <c r="K85" s="307" t="s">
        <v>296</v>
      </c>
      <c r="L85" s="295">
        <v>23174</v>
      </c>
      <c r="M85" s="296"/>
      <c r="N85" s="294"/>
      <c r="O85" s="322">
        <v>24</v>
      </c>
      <c r="P85" s="314">
        <v>60</v>
      </c>
      <c r="Q85" s="298">
        <f t="shared" si="7"/>
        <v>1440</v>
      </c>
      <c r="R85" s="299"/>
      <c r="S85" s="298"/>
      <c r="T85" s="298"/>
      <c r="U85" s="298"/>
      <c r="V85" s="298"/>
      <c r="W85" s="298"/>
      <c r="X85" s="298"/>
      <c r="Y85" s="298"/>
      <c r="Z85" s="300"/>
      <c r="AA85" s="298">
        <f>+Q85</f>
        <v>1440</v>
      </c>
      <c r="AB85" s="300"/>
    </row>
    <row r="86" spans="1:28" ht="32.25" customHeight="1">
      <c r="A86" s="305">
        <v>2143</v>
      </c>
      <c r="B86" s="313" t="s">
        <v>69</v>
      </c>
      <c r="C86" s="313" t="s">
        <v>351</v>
      </c>
      <c r="D86" s="291"/>
      <c r="E86" s="292">
        <v>1</v>
      </c>
      <c r="F86" s="293">
        <v>43409</v>
      </c>
      <c r="G86" s="293">
        <f t="shared" si="12"/>
        <v>43410</v>
      </c>
      <c r="H86" s="306" t="s">
        <v>294</v>
      </c>
      <c r="I86" s="294" t="s">
        <v>171</v>
      </c>
      <c r="J86" s="295" t="s">
        <v>295</v>
      </c>
      <c r="K86" s="307" t="s">
        <v>352</v>
      </c>
      <c r="L86" s="295">
        <v>23174</v>
      </c>
      <c r="M86" s="296"/>
      <c r="N86" s="294"/>
      <c r="O86" s="297">
        <v>26.666666666666668</v>
      </c>
      <c r="P86" s="314">
        <v>60</v>
      </c>
      <c r="Q86" s="298">
        <f t="shared" si="7"/>
        <v>1600</v>
      </c>
      <c r="R86" s="299"/>
      <c r="S86" s="298"/>
      <c r="T86" s="298"/>
      <c r="U86" s="298"/>
      <c r="V86" s="298"/>
      <c r="W86" s="298"/>
      <c r="X86" s="298"/>
      <c r="Y86" s="298"/>
      <c r="Z86" s="300"/>
      <c r="AA86" s="298">
        <f>+Q86</f>
        <v>1600</v>
      </c>
      <c r="AB86" s="300"/>
    </row>
    <row r="87" spans="1:28" ht="29.25" customHeight="1">
      <c r="A87" s="281">
        <v>214</v>
      </c>
      <c r="B87" s="302" t="s">
        <v>353</v>
      </c>
      <c r="C87" s="302"/>
      <c r="D87" s="302"/>
      <c r="E87" s="302"/>
      <c r="F87" s="302"/>
      <c r="G87" s="302"/>
      <c r="H87" s="302"/>
      <c r="I87" s="303"/>
      <c r="J87" s="282"/>
      <c r="K87" s="283"/>
      <c r="L87" s="282"/>
      <c r="M87" s="284"/>
      <c r="N87" s="283"/>
      <c r="O87" s="285"/>
      <c r="P87" s="282"/>
      <c r="Q87" s="304">
        <f>SUM(Q88:Q105)</f>
        <v>53486.333333333343</v>
      </c>
      <c r="R87" s="287"/>
      <c r="S87" s="304">
        <f t="shared" ref="S87:AB87" si="14">SUM(S88:S105)</f>
        <v>0</v>
      </c>
      <c r="T87" s="304">
        <f t="shared" si="14"/>
        <v>0</v>
      </c>
      <c r="U87" s="304">
        <f t="shared" si="14"/>
        <v>12902.666666666664</v>
      </c>
      <c r="V87" s="304">
        <f t="shared" si="14"/>
        <v>40583.666666666672</v>
      </c>
      <c r="W87" s="304">
        <f t="shared" si="14"/>
        <v>0</v>
      </c>
      <c r="X87" s="304">
        <f t="shared" si="14"/>
        <v>0</v>
      </c>
      <c r="Y87" s="304">
        <f t="shared" si="14"/>
        <v>0</v>
      </c>
      <c r="Z87" s="304">
        <f t="shared" si="14"/>
        <v>0</v>
      </c>
      <c r="AA87" s="304">
        <f t="shared" si="14"/>
        <v>0</v>
      </c>
      <c r="AB87" s="304">
        <f t="shared" si="14"/>
        <v>0</v>
      </c>
    </row>
    <row r="88" spans="1:28" ht="32.25" customHeight="1">
      <c r="A88" s="305">
        <v>2141</v>
      </c>
      <c r="B88" s="310" t="s">
        <v>70</v>
      </c>
      <c r="C88" s="310" t="s">
        <v>307</v>
      </c>
      <c r="D88" s="291"/>
      <c r="E88" s="292">
        <v>2</v>
      </c>
      <c r="F88" s="293">
        <v>43269</v>
      </c>
      <c r="G88" s="293">
        <f t="shared" ref="G88:G105" si="15">+E88+F88</f>
        <v>43271</v>
      </c>
      <c r="H88" s="306" t="s">
        <v>294</v>
      </c>
      <c r="I88" s="294" t="s">
        <v>171</v>
      </c>
      <c r="J88" s="295" t="s">
        <v>295</v>
      </c>
      <c r="K88" s="307" t="s">
        <v>309</v>
      </c>
      <c r="L88" s="295">
        <v>23173</v>
      </c>
      <c r="M88" s="295"/>
      <c r="N88" s="294"/>
      <c r="O88" s="297">
        <v>205.33333333333334</v>
      </c>
      <c r="P88" s="314">
        <v>3</v>
      </c>
      <c r="Q88" s="298">
        <f t="shared" si="7"/>
        <v>616</v>
      </c>
      <c r="R88" s="299"/>
      <c r="S88" s="298"/>
      <c r="T88" s="298"/>
      <c r="U88" s="298"/>
      <c r="V88" s="298">
        <f t="shared" ref="V88:V95" si="16">+Q88</f>
        <v>616</v>
      </c>
      <c r="W88" s="298"/>
      <c r="X88" s="298"/>
      <c r="Y88" s="298"/>
      <c r="Z88" s="300"/>
      <c r="AA88" s="300"/>
      <c r="AB88" s="300"/>
    </row>
    <row r="89" spans="1:28" ht="32.25" customHeight="1">
      <c r="A89" s="305">
        <v>2141</v>
      </c>
      <c r="B89" s="310" t="s">
        <v>70</v>
      </c>
      <c r="C89" s="310" t="s">
        <v>307</v>
      </c>
      <c r="D89" s="291"/>
      <c r="E89" s="292">
        <v>2</v>
      </c>
      <c r="F89" s="293">
        <v>43269</v>
      </c>
      <c r="G89" s="293">
        <f t="shared" si="15"/>
        <v>43271</v>
      </c>
      <c r="H89" s="306" t="s">
        <v>294</v>
      </c>
      <c r="I89" s="294" t="s">
        <v>171</v>
      </c>
      <c r="J89" s="295" t="s">
        <v>295</v>
      </c>
      <c r="K89" s="307" t="s">
        <v>308</v>
      </c>
      <c r="L89" s="295">
        <v>23173</v>
      </c>
      <c r="M89" s="296"/>
      <c r="N89" s="294"/>
      <c r="O89" s="297">
        <v>44</v>
      </c>
      <c r="P89" s="314">
        <v>3</v>
      </c>
      <c r="Q89" s="298">
        <f t="shared" si="7"/>
        <v>132</v>
      </c>
      <c r="R89" s="299"/>
      <c r="S89" s="298"/>
      <c r="T89" s="298"/>
      <c r="U89" s="298"/>
      <c r="V89" s="298">
        <f t="shared" si="16"/>
        <v>132</v>
      </c>
      <c r="W89" s="298"/>
      <c r="X89" s="298"/>
      <c r="Y89" s="298"/>
      <c r="Z89" s="300"/>
      <c r="AA89" s="300"/>
      <c r="AB89" s="300"/>
    </row>
    <row r="90" spans="1:28" ht="32.25" customHeight="1">
      <c r="A90" s="305">
        <v>2141</v>
      </c>
      <c r="B90" s="310" t="s">
        <v>70</v>
      </c>
      <c r="C90" s="310" t="s">
        <v>307</v>
      </c>
      <c r="D90" s="291"/>
      <c r="E90" s="292">
        <v>2</v>
      </c>
      <c r="F90" s="293">
        <v>43269</v>
      </c>
      <c r="G90" s="293">
        <f t="shared" si="15"/>
        <v>43271</v>
      </c>
      <c r="H90" s="306" t="s">
        <v>294</v>
      </c>
      <c r="I90" s="294" t="s">
        <v>171</v>
      </c>
      <c r="J90" s="295" t="s">
        <v>295</v>
      </c>
      <c r="K90" s="307" t="s">
        <v>296</v>
      </c>
      <c r="L90" s="295">
        <v>23174</v>
      </c>
      <c r="M90" s="296"/>
      <c r="N90" s="294"/>
      <c r="O90" s="297">
        <v>480</v>
      </c>
      <c r="P90" s="314">
        <v>3</v>
      </c>
      <c r="Q90" s="298">
        <f t="shared" si="7"/>
        <v>1440</v>
      </c>
      <c r="R90" s="299"/>
      <c r="S90" s="298"/>
      <c r="T90" s="298"/>
      <c r="U90" s="298"/>
      <c r="V90" s="298">
        <f t="shared" si="16"/>
        <v>1440</v>
      </c>
      <c r="W90" s="298"/>
      <c r="X90" s="298"/>
      <c r="Y90" s="298"/>
      <c r="Z90" s="300"/>
      <c r="AA90" s="300"/>
      <c r="AB90" s="300"/>
    </row>
    <row r="91" spans="1:28" ht="32.25" customHeight="1">
      <c r="A91" s="305">
        <v>2141</v>
      </c>
      <c r="B91" s="310" t="s">
        <v>70</v>
      </c>
      <c r="C91" s="310" t="s">
        <v>307</v>
      </c>
      <c r="D91" s="291"/>
      <c r="E91" s="292">
        <v>2</v>
      </c>
      <c r="F91" s="293">
        <v>43269</v>
      </c>
      <c r="G91" s="293">
        <f t="shared" si="15"/>
        <v>43271</v>
      </c>
      <c r="H91" s="306" t="s">
        <v>294</v>
      </c>
      <c r="I91" s="294" t="s">
        <v>171</v>
      </c>
      <c r="J91" s="295" t="s">
        <v>295</v>
      </c>
      <c r="K91" s="307" t="s">
        <v>354</v>
      </c>
      <c r="L91" s="295">
        <v>23174</v>
      </c>
      <c r="M91" s="296"/>
      <c r="N91" s="294"/>
      <c r="O91" s="297">
        <v>202.66666666666666</v>
      </c>
      <c r="P91" s="314">
        <v>3</v>
      </c>
      <c r="Q91" s="298">
        <f t="shared" si="7"/>
        <v>608</v>
      </c>
      <c r="R91" s="299"/>
      <c r="S91" s="298"/>
      <c r="T91" s="298"/>
      <c r="U91" s="298"/>
      <c r="V91" s="298">
        <f t="shared" si="16"/>
        <v>608</v>
      </c>
      <c r="W91" s="298"/>
      <c r="X91" s="298"/>
      <c r="Y91" s="298"/>
      <c r="Z91" s="300"/>
      <c r="AA91" s="300"/>
      <c r="AB91" s="300"/>
    </row>
    <row r="92" spans="1:28" ht="32.25" customHeight="1">
      <c r="A92" s="305">
        <v>2141</v>
      </c>
      <c r="B92" s="310" t="s">
        <v>70</v>
      </c>
      <c r="C92" s="310" t="s">
        <v>307</v>
      </c>
      <c r="D92" s="291"/>
      <c r="E92" s="292">
        <v>2</v>
      </c>
      <c r="F92" s="293">
        <v>43269</v>
      </c>
      <c r="G92" s="293">
        <f t="shared" si="15"/>
        <v>43271</v>
      </c>
      <c r="H92" s="306" t="s">
        <v>294</v>
      </c>
      <c r="I92" s="294" t="s">
        <v>171</v>
      </c>
      <c r="J92" s="295" t="s">
        <v>295</v>
      </c>
      <c r="K92" s="307" t="s">
        <v>355</v>
      </c>
      <c r="L92" s="295">
        <v>23174</v>
      </c>
      <c r="M92" s="296"/>
      <c r="N92" s="294"/>
      <c r="O92" s="297">
        <v>333.33333333333331</v>
      </c>
      <c r="P92" s="314">
        <v>3</v>
      </c>
      <c r="Q92" s="298">
        <f t="shared" si="7"/>
        <v>1000</v>
      </c>
      <c r="R92" s="299"/>
      <c r="S92" s="298"/>
      <c r="T92" s="298"/>
      <c r="U92" s="298"/>
      <c r="V92" s="298">
        <f t="shared" si="16"/>
        <v>1000</v>
      </c>
      <c r="W92" s="298"/>
      <c r="X92" s="298"/>
      <c r="Y92" s="298"/>
      <c r="Z92" s="300"/>
      <c r="AA92" s="300"/>
      <c r="AB92" s="300"/>
    </row>
    <row r="93" spans="1:28" ht="32.25" customHeight="1">
      <c r="A93" s="305">
        <v>2141</v>
      </c>
      <c r="B93" s="310" t="s">
        <v>70</v>
      </c>
      <c r="C93" s="310" t="s">
        <v>307</v>
      </c>
      <c r="D93" s="291"/>
      <c r="E93" s="292">
        <v>2</v>
      </c>
      <c r="F93" s="293">
        <v>43269</v>
      </c>
      <c r="G93" s="293">
        <f t="shared" si="15"/>
        <v>43271</v>
      </c>
      <c r="H93" s="306" t="s">
        <v>294</v>
      </c>
      <c r="I93" s="294" t="s">
        <v>171</v>
      </c>
      <c r="J93" s="295" t="s">
        <v>295</v>
      </c>
      <c r="K93" s="307" t="s">
        <v>356</v>
      </c>
      <c r="L93" s="295">
        <v>23174</v>
      </c>
      <c r="M93" s="296"/>
      <c r="N93" s="294"/>
      <c r="O93" s="297">
        <v>133.33333333333334</v>
      </c>
      <c r="P93" s="314">
        <v>3</v>
      </c>
      <c r="Q93" s="298">
        <f t="shared" si="7"/>
        <v>400</v>
      </c>
      <c r="R93" s="299"/>
      <c r="S93" s="298"/>
      <c r="T93" s="298"/>
      <c r="U93" s="298"/>
      <c r="V93" s="298">
        <f t="shared" si="16"/>
        <v>400</v>
      </c>
      <c r="W93" s="298"/>
      <c r="X93" s="298"/>
      <c r="Y93" s="298"/>
      <c r="Z93" s="300"/>
      <c r="AA93" s="300"/>
      <c r="AB93" s="300"/>
    </row>
    <row r="94" spans="1:28" ht="32.25" customHeight="1">
      <c r="A94" s="305">
        <v>2141</v>
      </c>
      <c r="B94" s="310" t="s">
        <v>70</v>
      </c>
      <c r="C94" s="310" t="s">
        <v>307</v>
      </c>
      <c r="D94" s="291"/>
      <c r="E94" s="292">
        <v>2</v>
      </c>
      <c r="F94" s="293">
        <v>43269</v>
      </c>
      <c r="G94" s="293">
        <f t="shared" si="15"/>
        <v>43271</v>
      </c>
      <c r="H94" s="306" t="s">
        <v>294</v>
      </c>
      <c r="I94" s="294" t="s">
        <v>171</v>
      </c>
      <c r="J94" s="295" t="s">
        <v>295</v>
      </c>
      <c r="K94" s="307" t="s">
        <v>301</v>
      </c>
      <c r="L94" s="295">
        <v>23172</v>
      </c>
      <c r="M94" s="296"/>
      <c r="N94" s="294"/>
      <c r="O94" s="297">
        <v>200</v>
      </c>
      <c r="P94" s="314">
        <v>3</v>
      </c>
      <c r="Q94" s="298">
        <f t="shared" si="7"/>
        <v>600</v>
      </c>
      <c r="R94" s="299"/>
      <c r="S94" s="298"/>
      <c r="T94" s="298"/>
      <c r="U94" s="298"/>
      <c r="V94" s="298">
        <f t="shared" si="16"/>
        <v>600</v>
      </c>
      <c r="W94" s="298"/>
      <c r="X94" s="298"/>
      <c r="Y94" s="298"/>
      <c r="Z94" s="300"/>
      <c r="AA94" s="300"/>
      <c r="AB94" s="300"/>
    </row>
    <row r="95" spans="1:28" ht="32.25" customHeight="1">
      <c r="A95" s="305">
        <v>2141</v>
      </c>
      <c r="B95" s="310" t="s">
        <v>70</v>
      </c>
      <c r="C95" s="310" t="s">
        <v>307</v>
      </c>
      <c r="D95" s="291"/>
      <c r="E95" s="292">
        <v>2</v>
      </c>
      <c r="F95" s="293">
        <v>43269</v>
      </c>
      <c r="G95" s="293">
        <f t="shared" si="15"/>
        <v>43271</v>
      </c>
      <c r="H95" s="306" t="s">
        <v>294</v>
      </c>
      <c r="I95" s="294" t="s">
        <v>171</v>
      </c>
      <c r="J95" s="295" t="s">
        <v>295</v>
      </c>
      <c r="K95" s="307" t="s">
        <v>302</v>
      </c>
      <c r="L95" s="295">
        <v>23173</v>
      </c>
      <c r="M95" s="296"/>
      <c r="N95" s="294"/>
      <c r="O95" s="297">
        <v>207</v>
      </c>
      <c r="P95" s="314">
        <v>3</v>
      </c>
      <c r="Q95" s="298">
        <f t="shared" si="7"/>
        <v>621</v>
      </c>
      <c r="R95" s="299"/>
      <c r="S95" s="298"/>
      <c r="T95" s="298"/>
      <c r="U95" s="298"/>
      <c r="V95" s="298">
        <f t="shared" si="16"/>
        <v>621</v>
      </c>
      <c r="W95" s="298"/>
      <c r="X95" s="298"/>
      <c r="Y95" s="298"/>
      <c r="Z95" s="300"/>
      <c r="AA95" s="300"/>
      <c r="AB95" s="300"/>
    </row>
    <row r="96" spans="1:28" ht="32.25" customHeight="1">
      <c r="A96" s="305">
        <v>2142</v>
      </c>
      <c r="B96" s="323" t="s">
        <v>71</v>
      </c>
      <c r="C96" s="323" t="s">
        <v>307</v>
      </c>
      <c r="D96" s="291"/>
      <c r="E96" s="292">
        <v>5</v>
      </c>
      <c r="F96" s="293">
        <v>43234</v>
      </c>
      <c r="G96" s="293">
        <f t="shared" si="15"/>
        <v>43239</v>
      </c>
      <c r="H96" s="306" t="s">
        <v>294</v>
      </c>
      <c r="I96" s="294" t="s">
        <v>171</v>
      </c>
      <c r="J96" s="295" t="s">
        <v>295</v>
      </c>
      <c r="K96" s="307" t="s">
        <v>309</v>
      </c>
      <c r="L96" s="295">
        <v>23173</v>
      </c>
      <c r="M96" s="296"/>
      <c r="N96" s="294"/>
      <c r="O96" s="297">
        <v>933.33333333333337</v>
      </c>
      <c r="P96" s="295">
        <v>1</v>
      </c>
      <c r="Q96" s="298">
        <f t="shared" si="7"/>
        <v>933.33333333333337</v>
      </c>
      <c r="R96" s="299"/>
      <c r="S96" s="298"/>
      <c r="T96" s="298"/>
      <c r="U96" s="298">
        <f t="shared" ref="U96:U102" si="17">+Q96</f>
        <v>933.33333333333337</v>
      </c>
      <c r="V96" s="298"/>
      <c r="W96" s="298"/>
      <c r="X96" s="298"/>
      <c r="Y96" s="298"/>
      <c r="Z96" s="300"/>
      <c r="AA96" s="300"/>
      <c r="AB96" s="300"/>
    </row>
    <row r="97" spans="1:28" ht="32.25" customHeight="1">
      <c r="A97" s="305">
        <v>2142</v>
      </c>
      <c r="B97" s="323" t="s">
        <v>71</v>
      </c>
      <c r="C97" s="323" t="s">
        <v>307</v>
      </c>
      <c r="D97" s="291"/>
      <c r="E97" s="292">
        <v>5</v>
      </c>
      <c r="F97" s="293">
        <v>43234</v>
      </c>
      <c r="G97" s="293">
        <f t="shared" si="15"/>
        <v>43239</v>
      </c>
      <c r="H97" s="306" t="s">
        <v>294</v>
      </c>
      <c r="I97" s="294" t="s">
        <v>171</v>
      </c>
      <c r="J97" s="295" t="s">
        <v>295</v>
      </c>
      <c r="K97" s="307" t="s">
        <v>308</v>
      </c>
      <c r="L97" s="295">
        <v>23173</v>
      </c>
      <c r="M97" s="296"/>
      <c r="N97" s="294"/>
      <c r="O97" s="297">
        <v>200</v>
      </c>
      <c r="P97" s="295">
        <v>1</v>
      </c>
      <c r="Q97" s="298">
        <f t="shared" si="7"/>
        <v>200</v>
      </c>
      <c r="R97" s="299"/>
      <c r="S97" s="298"/>
      <c r="T97" s="298"/>
      <c r="U97" s="298">
        <f t="shared" si="17"/>
        <v>200</v>
      </c>
      <c r="V97" s="298"/>
      <c r="W97" s="298"/>
      <c r="X97" s="298"/>
      <c r="Y97" s="298"/>
      <c r="Z97" s="300"/>
      <c r="AA97" s="300"/>
      <c r="AB97" s="300"/>
    </row>
    <row r="98" spans="1:28" ht="32.25" customHeight="1">
      <c r="A98" s="305">
        <v>2142</v>
      </c>
      <c r="B98" s="323" t="s">
        <v>71</v>
      </c>
      <c r="C98" s="323" t="s">
        <v>307</v>
      </c>
      <c r="D98" s="291"/>
      <c r="E98" s="292">
        <v>5</v>
      </c>
      <c r="F98" s="293">
        <v>43234</v>
      </c>
      <c r="G98" s="293">
        <f t="shared" si="15"/>
        <v>43239</v>
      </c>
      <c r="H98" s="306" t="s">
        <v>294</v>
      </c>
      <c r="I98" s="294" t="s">
        <v>171</v>
      </c>
      <c r="J98" s="295" t="s">
        <v>295</v>
      </c>
      <c r="K98" s="318" t="s">
        <v>357</v>
      </c>
      <c r="L98" s="295">
        <v>23174</v>
      </c>
      <c r="M98" s="296"/>
      <c r="N98" s="294"/>
      <c r="O98" s="297">
        <v>7093.333333333333</v>
      </c>
      <c r="P98" s="295">
        <v>1</v>
      </c>
      <c r="Q98" s="298">
        <f t="shared" si="7"/>
        <v>7093.333333333333</v>
      </c>
      <c r="R98" s="299"/>
      <c r="S98" s="298"/>
      <c r="T98" s="298"/>
      <c r="U98" s="298">
        <f t="shared" si="17"/>
        <v>7093.333333333333</v>
      </c>
      <c r="V98" s="298"/>
      <c r="W98" s="298"/>
      <c r="X98" s="298"/>
      <c r="Y98" s="298"/>
      <c r="Z98" s="300"/>
      <c r="AA98" s="300"/>
      <c r="AB98" s="300"/>
    </row>
    <row r="99" spans="1:28" ht="32.25" customHeight="1">
      <c r="A99" s="305">
        <v>2142</v>
      </c>
      <c r="B99" s="323" t="s">
        <v>71</v>
      </c>
      <c r="C99" s="323" t="s">
        <v>307</v>
      </c>
      <c r="D99" s="291"/>
      <c r="E99" s="292">
        <v>5</v>
      </c>
      <c r="F99" s="293">
        <v>43234</v>
      </c>
      <c r="G99" s="293">
        <f t="shared" si="15"/>
        <v>43239</v>
      </c>
      <c r="H99" s="306" t="s">
        <v>294</v>
      </c>
      <c r="I99" s="294" t="s">
        <v>171</v>
      </c>
      <c r="J99" s="295" t="s">
        <v>295</v>
      </c>
      <c r="K99" s="318" t="s">
        <v>346</v>
      </c>
      <c r="L99" s="295">
        <v>23174</v>
      </c>
      <c r="M99" s="296"/>
      <c r="N99" s="294"/>
      <c r="O99" s="297">
        <v>2666.6666666666665</v>
      </c>
      <c r="P99" s="295">
        <v>1</v>
      </c>
      <c r="Q99" s="298">
        <f t="shared" si="7"/>
        <v>2666.6666666666665</v>
      </c>
      <c r="R99" s="299"/>
      <c r="S99" s="298"/>
      <c r="T99" s="298"/>
      <c r="U99" s="298">
        <f t="shared" si="17"/>
        <v>2666.6666666666665</v>
      </c>
      <c r="V99" s="298"/>
      <c r="W99" s="298"/>
      <c r="X99" s="298"/>
      <c r="Y99" s="298"/>
      <c r="Z99" s="300"/>
      <c r="AA99" s="300"/>
      <c r="AB99" s="300"/>
    </row>
    <row r="100" spans="1:28" ht="32.25" customHeight="1">
      <c r="A100" s="305">
        <v>2142</v>
      </c>
      <c r="B100" s="323" t="s">
        <v>71</v>
      </c>
      <c r="C100" s="323" t="s">
        <v>307</v>
      </c>
      <c r="D100" s="291"/>
      <c r="E100" s="292">
        <v>5</v>
      </c>
      <c r="F100" s="293">
        <v>43234</v>
      </c>
      <c r="G100" s="293">
        <f t="shared" si="15"/>
        <v>43239</v>
      </c>
      <c r="H100" s="306" t="s">
        <v>294</v>
      </c>
      <c r="I100" s="294" t="s">
        <v>171</v>
      </c>
      <c r="J100" s="295" t="s">
        <v>295</v>
      </c>
      <c r="K100" s="324" t="s">
        <v>358</v>
      </c>
      <c r="L100" s="295">
        <v>23174</v>
      </c>
      <c r="M100" s="296"/>
      <c r="N100" s="294"/>
      <c r="O100" s="297">
        <v>1066.6666666666667</v>
      </c>
      <c r="P100" s="295">
        <v>1</v>
      </c>
      <c r="Q100" s="298">
        <f t="shared" si="7"/>
        <v>1066.6666666666667</v>
      </c>
      <c r="R100" s="299"/>
      <c r="S100" s="298"/>
      <c r="T100" s="298"/>
      <c r="U100" s="298">
        <f t="shared" si="17"/>
        <v>1066.6666666666667</v>
      </c>
      <c r="V100" s="298"/>
      <c r="W100" s="298"/>
      <c r="X100" s="298"/>
      <c r="Y100" s="298"/>
      <c r="Z100" s="300"/>
      <c r="AA100" s="300"/>
      <c r="AB100" s="300"/>
    </row>
    <row r="101" spans="1:28" ht="32.25" customHeight="1">
      <c r="A101" s="305">
        <v>2142</v>
      </c>
      <c r="B101" s="323" t="s">
        <v>71</v>
      </c>
      <c r="C101" s="323" t="s">
        <v>307</v>
      </c>
      <c r="D101" s="291"/>
      <c r="E101" s="292">
        <v>5</v>
      </c>
      <c r="F101" s="293">
        <v>43234</v>
      </c>
      <c r="G101" s="293">
        <f t="shared" si="15"/>
        <v>43239</v>
      </c>
      <c r="H101" s="306" t="s">
        <v>294</v>
      </c>
      <c r="I101" s="294" t="s">
        <v>171</v>
      </c>
      <c r="J101" s="295" t="s">
        <v>295</v>
      </c>
      <c r="K101" s="318" t="s">
        <v>301</v>
      </c>
      <c r="L101" s="295">
        <v>23172</v>
      </c>
      <c r="M101" s="296"/>
      <c r="N101" s="294"/>
      <c r="O101" s="297">
        <v>666.66666666666663</v>
      </c>
      <c r="P101" s="295">
        <v>1</v>
      </c>
      <c r="Q101" s="298">
        <f t="shared" si="7"/>
        <v>666.66666666666663</v>
      </c>
      <c r="R101" s="299"/>
      <c r="S101" s="298"/>
      <c r="T101" s="298"/>
      <c r="U101" s="298">
        <f t="shared" si="17"/>
        <v>666.66666666666663</v>
      </c>
      <c r="V101" s="298"/>
      <c r="W101" s="298"/>
      <c r="X101" s="298"/>
      <c r="Y101" s="298"/>
      <c r="Z101" s="300"/>
      <c r="AA101" s="300"/>
      <c r="AB101" s="300"/>
    </row>
    <row r="102" spans="1:28" ht="32.25" customHeight="1">
      <c r="A102" s="305">
        <v>2142</v>
      </c>
      <c r="B102" s="323" t="s">
        <v>71</v>
      </c>
      <c r="C102" s="323" t="s">
        <v>307</v>
      </c>
      <c r="D102" s="291"/>
      <c r="E102" s="292">
        <v>5</v>
      </c>
      <c r="F102" s="293">
        <v>43234</v>
      </c>
      <c r="G102" s="293">
        <f t="shared" si="15"/>
        <v>43239</v>
      </c>
      <c r="H102" s="306" t="s">
        <v>294</v>
      </c>
      <c r="I102" s="294" t="s">
        <v>171</v>
      </c>
      <c r="J102" s="295" t="s">
        <v>295</v>
      </c>
      <c r="K102" s="318" t="s">
        <v>302</v>
      </c>
      <c r="L102" s="295">
        <v>23173</v>
      </c>
      <c r="M102" s="296"/>
      <c r="N102" s="294"/>
      <c r="O102" s="297">
        <v>276</v>
      </c>
      <c r="P102" s="295">
        <v>1</v>
      </c>
      <c r="Q102" s="298">
        <f t="shared" si="7"/>
        <v>276</v>
      </c>
      <c r="R102" s="299"/>
      <c r="S102" s="298"/>
      <c r="T102" s="298"/>
      <c r="U102" s="298">
        <f t="shared" si="17"/>
        <v>276</v>
      </c>
      <c r="V102" s="298"/>
      <c r="W102" s="298"/>
      <c r="X102" s="298"/>
      <c r="Y102" s="298"/>
      <c r="Z102" s="300"/>
      <c r="AA102" s="300"/>
      <c r="AB102" s="300"/>
    </row>
    <row r="103" spans="1:28" ht="32.25" customHeight="1">
      <c r="A103" s="305">
        <v>2143</v>
      </c>
      <c r="B103" s="310" t="s">
        <v>72</v>
      </c>
      <c r="C103" s="291" t="s">
        <v>359</v>
      </c>
      <c r="D103" s="291"/>
      <c r="E103" s="292">
        <v>30</v>
      </c>
      <c r="F103" s="293">
        <v>43255</v>
      </c>
      <c r="G103" s="293">
        <f t="shared" si="15"/>
        <v>43285</v>
      </c>
      <c r="H103" s="306" t="s">
        <v>294</v>
      </c>
      <c r="I103" s="294" t="s">
        <v>171</v>
      </c>
      <c r="J103" s="295" t="s">
        <v>295</v>
      </c>
      <c r="K103" s="307" t="s">
        <v>360</v>
      </c>
      <c r="L103" s="307">
        <v>23172</v>
      </c>
      <c r="M103" s="296"/>
      <c r="N103" s="294"/>
      <c r="O103" s="297">
        <v>133333.33333333334</v>
      </c>
      <c r="P103" s="295">
        <v>0.2</v>
      </c>
      <c r="Q103" s="298">
        <f t="shared" si="7"/>
        <v>26666.666666666672</v>
      </c>
      <c r="R103" s="299"/>
      <c r="S103" s="298"/>
      <c r="T103" s="298"/>
      <c r="U103" s="298"/>
      <c r="V103" s="298">
        <f>+Q103</f>
        <v>26666.666666666672</v>
      </c>
      <c r="W103" s="298"/>
      <c r="X103" s="298"/>
      <c r="Y103" s="298"/>
      <c r="Z103" s="300"/>
      <c r="AA103" s="300"/>
      <c r="AB103" s="300"/>
    </row>
    <row r="104" spans="1:28" ht="32.25" customHeight="1">
      <c r="A104" s="305">
        <v>2144</v>
      </c>
      <c r="B104" s="325" t="s">
        <v>73</v>
      </c>
      <c r="C104" s="291" t="s">
        <v>361</v>
      </c>
      <c r="D104" s="291"/>
      <c r="E104" s="292">
        <v>30</v>
      </c>
      <c r="F104" s="293">
        <v>43255</v>
      </c>
      <c r="G104" s="293">
        <f t="shared" si="15"/>
        <v>43285</v>
      </c>
      <c r="H104" s="306" t="s">
        <v>294</v>
      </c>
      <c r="I104" s="294" t="s">
        <v>171</v>
      </c>
      <c r="J104" s="295" t="s">
        <v>295</v>
      </c>
      <c r="K104" s="307" t="s">
        <v>360</v>
      </c>
      <c r="L104" s="307">
        <v>23172</v>
      </c>
      <c r="M104" s="296"/>
      <c r="N104" s="294"/>
      <c r="O104" s="297">
        <v>2000</v>
      </c>
      <c r="P104" s="295">
        <v>3</v>
      </c>
      <c r="Q104" s="298">
        <f t="shared" si="7"/>
        <v>6000</v>
      </c>
      <c r="R104" s="299"/>
      <c r="S104" s="298"/>
      <c r="T104" s="298"/>
      <c r="U104" s="298"/>
      <c r="V104" s="298">
        <f>+Q104</f>
        <v>6000</v>
      </c>
      <c r="W104" s="298"/>
      <c r="X104" s="298"/>
      <c r="Y104" s="298"/>
      <c r="Z104" s="300"/>
      <c r="AA104" s="300"/>
      <c r="AB104" s="300"/>
    </row>
    <row r="105" spans="1:28" ht="32.25" customHeight="1">
      <c r="A105" s="305">
        <v>2145</v>
      </c>
      <c r="B105" s="325" t="s">
        <v>74</v>
      </c>
      <c r="C105" s="310" t="s">
        <v>362</v>
      </c>
      <c r="D105" s="291"/>
      <c r="E105" s="292">
        <v>30</v>
      </c>
      <c r="F105" s="293">
        <v>43255</v>
      </c>
      <c r="G105" s="293">
        <f t="shared" si="15"/>
        <v>43285</v>
      </c>
      <c r="H105" s="306" t="s">
        <v>294</v>
      </c>
      <c r="I105" s="294" t="s">
        <v>171</v>
      </c>
      <c r="J105" s="295" t="s">
        <v>295</v>
      </c>
      <c r="K105" s="307" t="s">
        <v>360</v>
      </c>
      <c r="L105" s="307">
        <v>23172</v>
      </c>
      <c r="M105" s="296"/>
      <c r="N105" s="294"/>
      <c r="O105" s="297">
        <v>833.33333333333337</v>
      </c>
      <c r="P105" s="295">
        <v>3</v>
      </c>
      <c r="Q105" s="298">
        <f t="shared" si="7"/>
        <v>2500</v>
      </c>
      <c r="R105" s="299"/>
      <c r="S105" s="298"/>
      <c r="T105" s="298"/>
      <c r="U105" s="298"/>
      <c r="V105" s="298">
        <f>+Q105</f>
        <v>2500</v>
      </c>
      <c r="W105" s="298"/>
      <c r="X105" s="298"/>
      <c r="Y105" s="298"/>
      <c r="Z105" s="300"/>
      <c r="AA105" s="300"/>
      <c r="AB105" s="300"/>
    </row>
    <row r="106" spans="1:28">
      <c r="A106" s="307" t="s">
        <v>233</v>
      </c>
      <c r="B106" s="326"/>
      <c r="C106" s="291"/>
      <c r="D106" s="291"/>
      <c r="E106" s="292"/>
      <c r="F106" s="306"/>
      <c r="G106" s="293"/>
      <c r="H106" s="293"/>
      <c r="I106" s="294"/>
      <c r="J106" s="295"/>
      <c r="K106" s="294"/>
      <c r="L106" s="295"/>
      <c r="M106" s="296"/>
      <c r="N106" s="294"/>
      <c r="O106" s="297"/>
      <c r="P106" s="295"/>
      <c r="Q106" s="298"/>
      <c r="R106" s="299"/>
      <c r="S106" s="298"/>
      <c r="T106" s="298"/>
      <c r="U106" s="298"/>
      <c r="V106" s="298"/>
      <c r="W106" s="298"/>
      <c r="X106" s="298"/>
      <c r="Y106" s="298"/>
      <c r="Z106" s="300"/>
      <c r="AA106" s="300"/>
      <c r="AB106" s="300"/>
    </row>
    <row r="107" spans="1:28" ht="37.5" customHeight="1">
      <c r="A107" s="3457" t="s">
        <v>237</v>
      </c>
      <c r="B107" s="3457"/>
      <c r="C107" s="3457"/>
      <c r="D107" s="3457"/>
      <c r="E107" s="3457"/>
      <c r="F107" s="3457"/>
      <c r="G107" s="3457"/>
      <c r="H107" s="3457"/>
      <c r="I107" s="3457"/>
      <c r="J107" s="273"/>
      <c r="K107" s="273"/>
      <c r="L107" s="273"/>
      <c r="M107" s="274"/>
      <c r="N107" s="273"/>
      <c r="O107" s="275"/>
      <c r="P107" s="273"/>
      <c r="Q107" s="276"/>
      <c r="R107" s="277">
        <f>+'[2]Compil Costing PPA 3 millions'!F8</f>
        <v>300000</v>
      </c>
      <c r="S107" s="278"/>
      <c r="T107" s="278"/>
      <c r="U107" s="278"/>
      <c r="V107" s="274"/>
      <c r="W107" s="274"/>
      <c r="X107" s="274"/>
      <c r="Y107" s="274"/>
      <c r="Z107" s="279"/>
      <c r="AA107" s="279"/>
      <c r="AB107" s="279"/>
    </row>
    <row r="108" spans="1:28" ht="16.5" customHeight="1">
      <c r="A108" s="281">
        <v>221</v>
      </c>
      <c r="B108" s="3461" t="s">
        <v>238</v>
      </c>
      <c r="C108" s="3461"/>
      <c r="D108" s="3461"/>
      <c r="E108" s="3461"/>
      <c r="F108" s="3461"/>
      <c r="G108" s="3461"/>
      <c r="H108" s="3461"/>
      <c r="I108" s="3461"/>
      <c r="J108" s="282"/>
      <c r="K108" s="283"/>
      <c r="L108" s="282"/>
      <c r="M108" s="284"/>
      <c r="N108" s="283"/>
      <c r="O108" s="285"/>
      <c r="P108" s="282"/>
      <c r="Q108" s="286"/>
      <c r="R108" s="287"/>
      <c r="S108" s="288"/>
      <c r="T108" s="288"/>
      <c r="U108" s="288"/>
      <c r="V108" s="288"/>
      <c r="W108" s="288"/>
      <c r="X108" s="288"/>
      <c r="Y108" s="288"/>
      <c r="Z108" s="289"/>
      <c r="AA108" s="289"/>
      <c r="AB108" s="289"/>
    </row>
    <row r="109" spans="1:28">
      <c r="A109" s="305">
        <v>2211</v>
      </c>
      <c r="B109" s="291" t="s">
        <v>363</v>
      </c>
      <c r="C109" s="327" t="s">
        <v>364</v>
      </c>
      <c r="D109" s="327"/>
      <c r="E109" s="292">
        <v>50</v>
      </c>
      <c r="F109" s="306">
        <v>43185</v>
      </c>
      <c r="G109" s="293">
        <f>+F109+E109</f>
        <v>43235</v>
      </c>
      <c r="H109" s="293"/>
      <c r="I109" s="294" t="s">
        <v>169</v>
      </c>
      <c r="J109" s="295" t="s">
        <v>174</v>
      </c>
      <c r="K109" s="328" t="s">
        <v>365</v>
      </c>
      <c r="L109" s="295">
        <v>2313</v>
      </c>
      <c r="M109" s="296"/>
      <c r="N109" s="294" t="s">
        <v>366</v>
      </c>
      <c r="O109" s="297">
        <v>27000</v>
      </c>
      <c r="P109" s="295">
        <v>1</v>
      </c>
      <c r="Q109" s="298">
        <f>+O109*P109</f>
        <v>27000</v>
      </c>
      <c r="R109" s="299"/>
      <c r="S109" s="298"/>
      <c r="T109" s="298"/>
      <c r="U109" s="298"/>
      <c r="V109" s="298"/>
      <c r="W109" s="298"/>
      <c r="X109" s="298"/>
      <c r="Y109" s="298"/>
      <c r="Z109" s="300"/>
      <c r="AA109" s="300"/>
      <c r="AB109" s="300"/>
    </row>
    <row r="110" spans="1:28">
      <c r="A110" s="305">
        <v>2211</v>
      </c>
      <c r="B110" s="291" t="s">
        <v>363</v>
      </c>
      <c r="C110" s="327" t="s">
        <v>364</v>
      </c>
      <c r="D110" s="327"/>
      <c r="E110" s="292">
        <v>50</v>
      </c>
      <c r="F110" s="306">
        <v>43185</v>
      </c>
      <c r="G110" s="293">
        <f>+F110+E110</f>
        <v>43235</v>
      </c>
      <c r="H110" s="293"/>
      <c r="I110" s="294" t="s">
        <v>169</v>
      </c>
      <c r="J110" s="295" t="s">
        <v>174</v>
      </c>
      <c r="K110" s="328" t="s">
        <v>365</v>
      </c>
      <c r="L110" s="295">
        <v>2313</v>
      </c>
      <c r="M110" s="296"/>
      <c r="N110" s="294" t="s">
        <v>366</v>
      </c>
      <c r="O110" s="297">
        <v>27000</v>
      </c>
      <c r="P110" s="295">
        <v>1</v>
      </c>
      <c r="Q110" s="298">
        <f>+O110*P110</f>
        <v>27000</v>
      </c>
      <c r="R110" s="299"/>
      <c r="S110" s="298"/>
      <c r="T110" s="298"/>
      <c r="U110" s="298"/>
      <c r="V110" s="298"/>
      <c r="W110" s="298"/>
      <c r="X110" s="298"/>
      <c r="Y110" s="298"/>
      <c r="Z110" s="300"/>
      <c r="AA110" s="300"/>
      <c r="AB110" s="300"/>
    </row>
    <row r="111" spans="1:28">
      <c r="A111" s="305">
        <v>2211</v>
      </c>
      <c r="B111" s="291" t="s">
        <v>363</v>
      </c>
      <c r="C111" s="327" t="s">
        <v>367</v>
      </c>
      <c r="D111" s="327"/>
      <c r="E111" s="292">
        <v>150</v>
      </c>
      <c r="F111" s="293">
        <f>+G110</f>
        <v>43235</v>
      </c>
      <c r="G111" s="306">
        <f>+G110+E111</f>
        <v>43385</v>
      </c>
      <c r="H111" s="293" t="s">
        <v>368</v>
      </c>
      <c r="I111" s="294" t="s">
        <v>174</v>
      </c>
      <c r="J111" s="295" t="s">
        <v>169</v>
      </c>
      <c r="K111" s="328" t="s">
        <v>365</v>
      </c>
      <c r="L111" s="295">
        <v>2313</v>
      </c>
      <c r="M111" s="296"/>
      <c r="N111" s="294" t="s">
        <v>366</v>
      </c>
      <c r="O111" s="297"/>
      <c r="P111" s="295"/>
      <c r="Q111" s="298"/>
      <c r="R111" s="299"/>
      <c r="S111" s="298"/>
      <c r="T111" s="298"/>
      <c r="U111" s="298"/>
      <c r="V111" s="298"/>
      <c r="W111" s="298"/>
      <c r="X111" s="298"/>
      <c r="Y111" s="298"/>
      <c r="Z111" s="300"/>
      <c r="AA111" s="300"/>
      <c r="AB111" s="300"/>
    </row>
    <row r="112" spans="1:28">
      <c r="A112" s="290">
        <v>2212</v>
      </c>
      <c r="B112" s="327" t="s">
        <v>92</v>
      </c>
      <c r="C112" s="327"/>
      <c r="D112" s="327"/>
      <c r="E112" s="329"/>
      <c r="F112" s="306"/>
      <c r="G112" s="293"/>
      <c r="H112" s="293"/>
      <c r="I112" s="294"/>
      <c r="J112" s="295"/>
      <c r="K112" s="294"/>
      <c r="L112" s="295"/>
      <c r="M112" s="296"/>
      <c r="N112" s="294"/>
      <c r="O112" s="297"/>
      <c r="P112" s="295"/>
      <c r="Q112" s="298"/>
      <c r="R112" s="299"/>
      <c r="S112" s="298"/>
      <c r="T112" s="298"/>
      <c r="U112" s="298"/>
      <c r="V112" s="298"/>
      <c r="W112" s="298"/>
      <c r="X112" s="298"/>
      <c r="Y112" s="298"/>
      <c r="Z112" s="300"/>
      <c r="AA112" s="300"/>
      <c r="AB112" s="300"/>
    </row>
    <row r="113" spans="1:28">
      <c r="A113" s="290">
        <v>2213</v>
      </c>
      <c r="B113" s="327" t="s">
        <v>93</v>
      </c>
      <c r="C113" s="327"/>
      <c r="D113" s="327"/>
      <c r="E113" s="292"/>
      <c r="F113" s="306"/>
      <c r="G113" s="293"/>
      <c r="H113" s="293"/>
      <c r="I113" s="294"/>
      <c r="J113" s="295"/>
      <c r="K113" s="294"/>
      <c r="L113" s="295"/>
      <c r="M113" s="296"/>
      <c r="N113" s="294"/>
      <c r="O113" s="297"/>
      <c r="P113" s="295"/>
      <c r="Q113" s="298"/>
      <c r="R113" s="299"/>
      <c r="S113" s="298"/>
      <c r="T113" s="298"/>
      <c r="U113" s="298"/>
      <c r="V113" s="298"/>
      <c r="W113" s="298"/>
      <c r="X113" s="298"/>
      <c r="Y113" s="298"/>
      <c r="Z113" s="300"/>
      <c r="AA113" s="300"/>
      <c r="AB113" s="300"/>
    </row>
    <row r="114" spans="1:28" ht="20.25" customHeight="1">
      <c r="A114" s="281">
        <v>222</v>
      </c>
      <c r="B114" s="3461" t="s">
        <v>239</v>
      </c>
      <c r="C114" s="3461"/>
      <c r="D114" s="3461"/>
      <c r="E114" s="3461"/>
      <c r="F114" s="3461"/>
      <c r="G114" s="3461"/>
      <c r="H114" s="3461"/>
      <c r="I114" s="3461"/>
      <c r="J114" s="282"/>
      <c r="K114" s="283"/>
      <c r="L114" s="282"/>
      <c r="M114" s="284"/>
      <c r="N114" s="283"/>
      <c r="O114" s="285"/>
      <c r="P114" s="282"/>
      <c r="Q114" s="286"/>
      <c r="R114" s="287"/>
      <c r="S114" s="288"/>
      <c r="T114" s="288"/>
      <c r="U114" s="288"/>
      <c r="V114" s="288"/>
      <c r="W114" s="288"/>
      <c r="X114" s="288"/>
      <c r="Y114" s="288"/>
      <c r="Z114" s="289"/>
      <c r="AA114" s="289"/>
      <c r="AB114" s="289"/>
    </row>
    <row r="115" spans="1:28">
      <c r="A115" s="290">
        <v>2221</v>
      </c>
      <c r="B115" s="330"/>
      <c r="C115" s="330"/>
      <c r="D115" s="330"/>
      <c r="E115" s="329"/>
      <c r="F115" s="306"/>
      <c r="G115" s="293"/>
      <c r="H115" s="293"/>
      <c r="I115" s="294"/>
      <c r="J115" s="295"/>
      <c r="K115" s="294"/>
      <c r="L115" s="295"/>
      <c r="M115" s="296"/>
      <c r="N115" s="294"/>
      <c r="O115" s="297"/>
      <c r="P115" s="295"/>
      <c r="Q115" s="298"/>
      <c r="R115" s="299"/>
      <c r="S115" s="298"/>
      <c r="T115" s="298"/>
      <c r="U115" s="298"/>
      <c r="V115" s="298"/>
      <c r="W115" s="298"/>
      <c r="X115" s="298"/>
      <c r="Y115" s="298"/>
      <c r="Z115" s="300"/>
      <c r="AA115" s="300"/>
      <c r="AB115" s="300"/>
    </row>
    <row r="116" spans="1:28">
      <c r="A116" s="290">
        <v>2222</v>
      </c>
      <c r="B116" s="330"/>
      <c r="C116" s="330"/>
      <c r="D116" s="330"/>
      <c r="E116" s="329"/>
      <c r="F116" s="306"/>
      <c r="G116" s="293"/>
      <c r="H116" s="293"/>
      <c r="I116" s="294"/>
      <c r="J116" s="295"/>
      <c r="K116" s="294"/>
      <c r="L116" s="295"/>
      <c r="M116" s="296"/>
      <c r="N116" s="294"/>
      <c r="O116" s="297"/>
      <c r="P116" s="295"/>
      <c r="Q116" s="298"/>
      <c r="R116" s="299"/>
      <c r="S116" s="298"/>
      <c r="T116" s="298"/>
      <c r="U116" s="298"/>
      <c r="V116" s="298"/>
      <c r="W116" s="298"/>
      <c r="X116" s="298"/>
      <c r="Y116" s="298"/>
      <c r="Z116" s="300"/>
      <c r="AA116" s="300"/>
      <c r="AB116" s="300"/>
    </row>
    <row r="117" spans="1:28">
      <c r="A117" s="307" t="s">
        <v>233</v>
      </c>
      <c r="B117" s="330"/>
      <c r="C117" s="330"/>
      <c r="D117" s="330"/>
      <c r="E117" s="329"/>
      <c r="F117" s="306"/>
      <c r="G117" s="293"/>
      <c r="H117" s="293"/>
      <c r="I117" s="294"/>
      <c r="J117" s="295"/>
      <c r="K117" s="294"/>
      <c r="L117" s="295"/>
      <c r="M117" s="296"/>
      <c r="N117" s="294"/>
      <c r="O117" s="297"/>
      <c r="P117" s="295"/>
      <c r="Q117" s="298"/>
      <c r="R117" s="299"/>
      <c r="S117" s="298"/>
      <c r="T117" s="298"/>
      <c r="U117" s="298"/>
      <c r="V117" s="298"/>
      <c r="W117" s="298"/>
      <c r="X117" s="298"/>
      <c r="Y117" s="298"/>
      <c r="Z117" s="300"/>
      <c r="AA117" s="300"/>
      <c r="AB117" s="300"/>
    </row>
    <row r="118" spans="1:28" ht="37.5" customHeight="1">
      <c r="A118" s="3457" t="s">
        <v>240</v>
      </c>
      <c r="B118" s="3457"/>
      <c r="C118" s="3457"/>
      <c r="D118" s="3457"/>
      <c r="E118" s="3457"/>
      <c r="F118" s="3457"/>
      <c r="G118" s="3457"/>
      <c r="H118" s="3457"/>
      <c r="I118" s="3457"/>
      <c r="J118" s="273"/>
      <c r="K118" s="273"/>
      <c r="L118" s="273"/>
      <c r="M118" s="274"/>
      <c r="N118" s="273"/>
      <c r="O118" s="275"/>
      <c r="P118" s="273"/>
      <c r="Q118" s="276"/>
      <c r="R118" s="277">
        <f>+'[2]Compil Costing PPA 3 millions'!F9</f>
        <v>88428</v>
      </c>
      <c r="S118" s="278"/>
      <c r="T118" s="278"/>
      <c r="U118" s="278"/>
      <c r="V118" s="274"/>
      <c r="W118" s="274"/>
      <c r="X118" s="274"/>
      <c r="Y118" s="274"/>
      <c r="Z118" s="279"/>
      <c r="AA118" s="279"/>
      <c r="AB118" s="279"/>
    </row>
    <row r="119" spans="1:28" ht="16.5" customHeight="1">
      <c r="A119" s="281">
        <v>231</v>
      </c>
      <c r="B119" s="3456"/>
      <c r="C119" s="3456"/>
      <c r="D119" s="3456"/>
      <c r="E119" s="3456"/>
      <c r="F119" s="3456"/>
      <c r="G119" s="3456"/>
      <c r="H119" s="3456"/>
      <c r="I119" s="3456"/>
      <c r="J119" s="282"/>
      <c r="K119" s="283"/>
      <c r="L119" s="282"/>
      <c r="M119" s="284"/>
      <c r="N119" s="283"/>
      <c r="O119" s="285"/>
      <c r="P119" s="282"/>
      <c r="Q119" s="286"/>
      <c r="R119" s="287"/>
      <c r="S119" s="288"/>
      <c r="T119" s="288"/>
      <c r="U119" s="288"/>
      <c r="V119" s="288"/>
      <c r="W119" s="288"/>
      <c r="X119" s="288"/>
      <c r="Y119" s="288"/>
      <c r="Z119" s="289"/>
      <c r="AA119" s="289"/>
      <c r="AB119" s="289"/>
    </row>
    <row r="120" spans="1:28">
      <c r="A120" s="290">
        <v>2311</v>
      </c>
      <c r="B120" s="330"/>
      <c r="C120" s="330"/>
      <c r="D120" s="330"/>
      <c r="E120" s="329"/>
      <c r="F120" s="306"/>
      <c r="G120" s="293"/>
      <c r="H120" s="293"/>
      <c r="I120" s="294"/>
      <c r="J120" s="295"/>
      <c r="K120" s="294"/>
      <c r="L120" s="295"/>
      <c r="M120" s="296"/>
      <c r="N120" s="294"/>
      <c r="O120" s="297"/>
      <c r="P120" s="295"/>
      <c r="Q120" s="298"/>
      <c r="R120" s="299"/>
      <c r="S120" s="298"/>
      <c r="T120" s="298"/>
      <c r="U120" s="298"/>
      <c r="V120" s="298"/>
      <c r="W120" s="298"/>
      <c r="X120" s="298"/>
      <c r="Y120" s="298"/>
      <c r="Z120" s="300"/>
      <c r="AA120" s="300"/>
      <c r="AB120" s="300"/>
    </row>
    <row r="121" spans="1:28">
      <c r="A121" s="290">
        <v>2312</v>
      </c>
      <c r="B121" s="330"/>
      <c r="C121" s="330"/>
      <c r="D121" s="330"/>
      <c r="E121" s="329"/>
      <c r="F121" s="306"/>
      <c r="G121" s="293"/>
      <c r="H121" s="293"/>
      <c r="I121" s="294"/>
      <c r="J121" s="295"/>
      <c r="K121" s="294"/>
      <c r="L121" s="295"/>
      <c r="M121" s="296"/>
      <c r="N121" s="294"/>
      <c r="O121" s="297"/>
      <c r="P121" s="295"/>
      <c r="Q121" s="298"/>
      <c r="R121" s="299"/>
      <c r="S121" s="298"/>
      <c r="T121" s="298"/>
      <c r="U121" s="298"/>
      <c r="V121" s="298"/>
      <c r="W121" s="298"/>
      <c r="X121" s="298"/>
      <c r="Y121" s="298"/>
      <c r="Z121" s="300"/>
      <c r="AA121" s="300"/>
      <c r="AB121" s="300"/>
    </row>
    <row r="122" spans="1:28">
      <c r="A122" s="290">
        <v>2313</v>
      </c>
      <c r="B122" s="330"/>
      <c r="C122" s="330"/>
      <c r="D122" s="330"/>
      <c r="E122" s="329"/>
      <c r="F122" s="306"/>
      <c r="G122" s="293"/>
      <c r="H122" s="293"/>
      <c r="I122" s="294"/>
      <c r="J122" s="295"/>
      <c r="K122" s="294"/>
      <c r="L122" s="295"/>
      <c r="M122" s="296"/>
      <c r="N122" s="294"/>
      <c r="O122" s="297"/>
      <c r="P122" s="295"/>
      <c r="Q122" s="298"/>
      <c r="R122" s="299"/>
      <c r="S122" s="298"/>
      <c r="T122" s="298"/>
      <c r="U122" s="298"/>
      <c r="V122" s="298"/>
      <c r="W122" s="298"/>
      <c r="X122" s="298"/>
      <c r="Y122" s="298"/>
      <c r="Z122" s="300"/>
      <c r="AA122" s="300"/>
      <c r="AB122" s="300"/>
    </row>
    <row r="123" spans="1:28" ht="16.5" customHeight="1">
      <c r="A123" s="281">
        <v>232</v>
      </c>
      <c r="B123" s="3456"/>
      <c r="C123" s="3456"/>
      <c r="D123" s="3456"/>
      <c r="E123" s="3456"/>
      <c r="F123" s="3456"/>
      <c r="G123" s="3456"/>
      <c r="H123" s="3456"/>
      <c r="I123" s="3456"/>
      <c r="J123" s="282"/>
      <c r="K123" s="283"/>
      <c r="L123" s="282"/>
      <c r="M123" s="284"/>
      <c r="N123" s="283"/>
      <c r="O123" s="285"/>
      <c r="P123" s="282"/>
      <c r="Q123" s="286"/>
      <c r="R123" s="287"/>
      <c r="S123" s="288"/>
      <c r="T123" s="288"/>
      <c r="U123" s="288"/>
      <c r="V123" s="288"/>
      <c r="W123" s="288"/>
      <c r="X123" s="288"/>
      <c r="Y123" s="288"/>
      <c r="Z123" s="289"/>
      <c r="AA123" s="289"/>
      <c r="AB123" s="289"/>
    </row>
    <row r="124" spans="1:28">
      <c r="A124" s="290">
        <v>2321</v>
      </c>
      <c r="B124" s="330"/>
      <c r="C124" s="330"/>
      <c r="D124" s="330"/>
      <c r="E124" s="329"/>
      <c r="F124" s="306"/>
      <c r="G124" s="293"/>
      <c r="H124" s="293"/>
      <c r="I124" s="294"/>
      <c r="J124" s="295"/>
      <c r="K124" s="294"/>
      <c r="L124" s="295"/>
      <c r="M124" s="296"/>
      <c r="N124" s="294"/>
      <c r="O124" s="297"/>
      <c r="P124" s="295"/>
      <c r="Q124" s="298"/>
      <c r="R124" s="299"/>
      <c r="S124" s="298"/>
      <c r="T124" s="298"/>
      <c r="U124" s="298"/>
      <c r="V124" s="298"/>
      <c r="W124" s="298"/>
      <c r="X124" s="298"/>
      <c r="Y124" s="298"/>
      <c r="Z124" s="300"/>
      <c r="AA124" s="300"/>
      <c r="AB124" s="300"/>
    </row>
    <row r="125" spans="1:28">
      <c r="A125" s="290">
        <v>2322</v>
      </c>
      <c r="B125" s="330"/>
      <c r="C125" s="330"/>
      <c r="D125" s="330"/>
      <c r="E125" s="329"/>
      <c r="F125" s="306"/>
      <c r="G125" s="293"/>
      <c r="H125" s="293"/>
      <c r="I125" s="294"/>
      <c r="J125" s="295"/>
      <c r="K125" s="294"/>
      <c r="L125" s="295"/>
      <c r="M125" s="296"/>
      <c r="N125" s="294"/>
      <c r="O125" s="297"/>
      <c r="P125" s="295"/>
      <c r="Q125" s="298"/>
      <c r="R125" s="299"/>
      <c r="S125" s="298"/>
      <c r="T125" s="298"/>
      <c r="U125" s="298"/>
      <c r="V125" s="298"/>
      <c r="W125" s="298"/>
      <c r="X125" s="298"/>
      <c r="Y125" s="298"/>
      <c r="Z125" s="300"/>
      <c r="AA125" s="300"/>
      <c r="AB125" s="300"/>
    </row>
    <row r="126" spans="1:28">
      <c r="A126" s="307" t="s">
        <v>233</v>
      </c>
      <c r="B126" s="330"/>
      <c r="C126" s="330"/>
      <c r="D126" s="330"/>
      <c r="E126" s="329"/>
      <c r="F126" s="306"/>
      <c r="G126" s="293"/>
      <c r="H126" s="293"/>
      <c r="I126" s="294"/>
      <c r="J126" s="295"/>
      <c r="K126" s="294"/>
      <c r="L126" s="295"/>
      <c r="M126" s="296"/>
      <c r="N126" s="294"/>
      <c r="O126" s="297"/>
      <c r="P126" s="295"/>
      <c r="Q126" s="298"/>
      <c r="R126" s="299"/>
      <c r="S126" s="298"/>
      <c r="T126" s="298"/>
      <c r="U126" s="298"/>
      <c r="V126" s="298"/>
      <c r="W126" s="298"/>
      <c r="X126" s="298"/>
      <c r="Y126" s="298"/>
      <c r="Z126" s="300"/>
      <c r="AA126" s="300"/>
      <c r="AB126" s="300"/>
    </row>
    <row r="127" spans="1:28" s="272" customFormat="1" ht="33.75" customHeight="1">
      <c r="A127" s="3458" t="s">
        <v>241</v>
      </c>
      <c r="B127" s="3458"/>
      <c r="C127" s="3458"/>
      <c r="D127" s="3458"/>
      <c r="E127" s="3458"/>
      <c r="F127" s="3458"/>
      <c r="G127" s="3458"/>
      <c r="H127" s="3458"/>
      <c r="I127" s="3458"/>
      <c r="J127" s="265"/>
      <c r="K127" s="265"/>
      <c r="L127" s="265"/>
      <c r="M127" s="266"/>
      <c r="N127" s="265"/>
      <c r="O127" s="267"/>
      <c r="P127" s="265"/>
      <c r="Q127" s="268"/>
      <c r="R127" s="269">
        <f>+R128+R137</f>
        <v>129240.07333333333</v>
      </c>
      <c r="S127" s="270"/>
      <c r="T127" s="270"/>
      <c r="U127" s="270"/>
      <c r="V127" s="270"/>
      <c r="W127" s="270"/>
      <c r="X127" s="270"/>
      <c r="Y127" s="270"/>
      <c r="Z127" s="271"/>
      <c r="AA127" s="271"/>
      <c r="AB127" s="271"/>
    </row>
    <row r="128" spans="1:28" ht="37.5" customHeight="1">
      <c r="A128" s="3457" t="s">
        <v>242</v>
      </c>
      <c r="B128" s="3457"/>
      <c r="C128" s="3457"/>
      <c r="D128" s="3457"/>
      <c r="E128" s="3457"/>
      <c r="F128" s="3457"/>
      <c r="G128" s="3457"/>
      <c r="H128" s="3457"/>
      <c r="I128" s="3457"/>
      <c r="J128" s="273"/>
      <c r="K128" s="273"/>
      <c r="L128" s="273"/>
      <c r="M128" s="274"/>
      <c r="N128" s="273"/>
      <c r="O128" s="275"/>
      <c r="P128" s="273"/>
      <c r="Q128" s="276"/>
      <c r="R128" s="277">
        <f>+'[2]Compil Costing PPA 3 millions'!F11</f>
        <v>29240.073333333334</v>
      </c>
      <c r="S128" s="278"/>
      <c r="T128" s="278"/>
      <c r="U128" s="278"/>
      <c r="V128" s="274"/>
      <c r="W128" s="274"/>
      <c r="X128" s="274"/>
      <c r="Y128" s="274"/>
      <c r="Z128" s="279"/>
      <c r="AA128" s="279"/>
      <c r="AB128" s="279"/>
    </row>
    <row r="129" spans="1:28" ht="16.5" customHeight="1">
      <c r="A129" s="281">
        <v>311</v>
      </c>
      <c r="B129" s="3456"/>
      <c r="C129" s="3456"/>
      <c r="D129" s="3456"/>
      <c r="E129" s="3456"/>
      <c r="F129" s="3456"/>
      <c r="G129" s="3456"/>
      <c r="H129" s="3456"/>
      <c r="I129" s="3456"/>
      <c r="J129" s="282"/>
      <c r="K129" s="283"/>
      <c r="L129" s="282"/>
      <c r="M129" s="284"/>
      <c r="N129" s="283"/>
      <c r="O129" s="285"/>
      <c r="P129" s="282"/>
      <c r="Q129" s="286"/>
      <c r="R129" s="287"/>
      <c r="S129" s="288"/>
      <c r="T129" s="288"/>
      <c r="U129" s="288"/>
      <c r="V129" s="288"/>
      <c r="W129" s="288"/>
      <c r="X129" s="288"/>
      <c r="Y129" s="288"/>
      <c r="Z129" s="289"/>
      <c r="AA129" s="289"/>
      <c r="AB129" s="289"/>
    </row>
    <row r="130" spans="1:28">
      <c r="A130" s="290">
        <v>3111</v>
      </c>
      <c r="B130" s="330"/>
      <c r="C130" s="330"/>
      <c r="D130" s="330"/>
      <c r="E130" s="329"/>
      <c r="F130" s="306"/>
      <c r="G130" s="293"/>
      <c r="H130" s="293"/>
      <c r="I130" s="294"/>
      <c r="J130" s="295"/>
      <c r="K130" s="294"/>
      <c r="L130" s="295"/>
      <c r="M130" s="296"/>
      <c r="N130" s="294"/>
      <c r="O130" s="297"/>
      <c r="P130" s="295"/>
      <c r="Q130" s="298"/>
      <c r="R130" s="299"/>
      <c r="S130" s="298"/>
      <c r="T130" s="298"/>
      <c r="U130" s="298"/>
      <c r="V130" s="298"/>
      <c r="W130" s="298"/>
      <c r="X130" s="298"/>
      <c r="Y130" s="298"/>
      <c r="Z130" s="300"/>
      <c r="AA130" s="300"/>
      <c r="AB130" s="300"/>
    </row>
    <row r="131" spans="1:28">
      <c r="A131" s="290">
        <v>3112</v>
      </c>
      <c r="B131" s="330"/>
      <c r="C131" s="330"/>
      <c r="D131" s="330"/>
      <c r="E131" s="329"/>
      <c r="F131" s="306"/>
      <c r="G131" s="293"/>
      <c r="H131" s="293"/>
      <c r="I131" s="294"/>
      <c r="J131" s="295"/>
      <c r="K131" s="294"/>
      <c r="L131" s="295"/>
      <c r="M131" s="296"/>
      <c r="N131" s="294"/>
      <c r="O131" s="297"/>
      <c r="P131" s="295"/>
      <c r="Q131" s="298"/>
      <c r="R131" s="299"/>
      <c r="S131" s="298"/>
      <c r="T131" s="298"/>
      <c r="U131" s="298"/>
      <c r="V131" s="298"/>
      <c r="W131" s="298"/>
      <c r="X131" s="298"/>
      <c r="Y131" s="298"/>
      <c r="Z131" s="300"/>
      <c r="AA131" s="300"/>
      <c r="AB131" s="300"/>
    </row>
    <row r="132" spans="1:28">
      <c r="A132" s="290">
        <v>3113</v>
      </c>
      <c r="B132" s="330"/>
      <c r="C132" s="330"/>
      <c r="D132" s="330"/>
      <c r="E132" s="329"/>
      <c r="F132" s="306"/>
      <c r="G132" s="293"/>
      <c r="H132" s="293"/>
      <c r="I132" s="294"/>
      <c r="J132" s="295"/>
      <c r="K132" s="294"/>
      <c r="L132" s="295"/>
      <c r="M132" s="296"/>
      <c r="N132" s="294"/>
      <c r="O132" s="297"/>
      <c r="P132" s="295"/>
      <c r="Q132" s="298"/>
      <c r="R132" s="299"/>
      <c r="S132" s="298"/>
      <c r="T132" s="298"/>
      <c r="U132" s="298"/>
      <c r="V132" s="298"/>
      <c r="W132" s="298"/>
      <c r="X132" s="298"/>
      <c r="Y132" s="298"/>
      <c r="Z132" s="300"/>
      <c r="AA132" s="300"/>
      <c r="AB132" s="300"/>
    </row>
    <row r="133" spans="1:28" ht="16.5" customHeight="1">
      <c r="A133" s="281">
        <v>312</v>
      </c>
      <c r="B133" s="3456"/>
      <c r="C133" s="3456"/>
      <c r="D133" s="3456"/>
      <c r="E133" s="3456"/>
      <c r="F133" s="3456"/>
      <c r="G133" s="3456"/>
      <c r="H133" s="3456"/>
      <c r="I133" s="3456"/>
      <c r="J133" s="282"/>
      <c r="K133" s="283"/>
      <c r="L133" s="282"/>
      <c r="M133" s="284"/>
      <c r="N133" s="283"/>
      <c r="O133" s="285"/>
      <c r="P133" s="282"/>
      <c r="Q133" s="286"/>
      <c r="R133" s="287"/>
      <c r="S133" s="288"/>
      <c r="T133" s="288"/>
      <c r="U133" s="288"/>
      <c r="V133" s="288"/>
      <c r="W133" s="288"/>
      <c r="X133" s="288"/>
      <c r="Y133" s="288"/>
      <c r="Z133" s="289"/>
      <c r="AA133" s="289"/>
      <c r="AB133" s="289"/>
    </row>
    <row r="134" spans="1:28">
      <c r="A134" s="290">
        <v>3121</v>
      </c>
      <c r="B134" s="330"/>
      <c r="C134" s="330"/>
      <c r="D134" s="330"/>
      <c r="E134" s="329"/>
      <c r="F134" s="306"/>
      <c r="G134" s="293"/>
      <c r="H134" s="293"/>
      <c r="I134" s="294"/>
      <c r="J134" s="295"/>
      <c r="K134" s="294"/>
      <c r="L134" s="295"/>
      <c r="M134" s="296"/>
      <c r="N134" s="294"/>
      <c r="O134" s="297"/>
      <c r="P134" s="295"/>
      <c r="Q134" s="298"/>
      <c r="R134" s="299"/>
      <c r="S134" s="298"/>
      <c r="T134" s="298"/>
      <c r="U134" s="298"/>
      <c r="V134" s="298"/>
      <c r="W134" s="298"/>
      <c r="X134" s="298"/>
      <c r="Y134" s="298"/>
      <c r="Z134" s="300"/>
      <c r="AA134" s="300"/>
      <c r="AB134" s="300"/>
    </row>
    <row r="135" spans="1:28">
      <c r="A135" s="290">
        <v>3122</v>
      </c>
      <c r="B135" s="330"/>
      <c r="C135" s="330"/>
      <c r="D135" s="330"/>
      <c r="E135" s="329"/>
      <c r="F135" s="306"/>
      <c r="G135" s="293"/>
      <c r="H135" s="293"/>
      <c r="I135" s="294"/>
      <c r="J135" s="295"/>
      <c r="K135" s="294"/>
      <c r="L135" s="295"/>
      <c r="M135" s="296"/>
      <c r="N135" s="294"/>
      <c r="O135" s="297"/>
      <c r="P135" s="295"/>
      <c r="Q135" s="298"/>
      <c r="R135" s="299"/>
      <c r="S135" s="298"/>
      <c r="T135" s="298"/>
      <c r="U135" s="298"/>
      <c r="V135" s="298"/>
      <c r="W135" s="298"/>
      <c r="X135" s="298"/>
      <c r="Y135" s="298"/>
      <c r="Z135" s="300"/>
      <c r="AA135" s="300"/>
      <c r="AB135" s="300"/>
    </row>
    <row r="136" spans="1:28">
      <c r="A136" s="301" t="s">
        <v>233</v>
      </c>
      <c r="B136" s="326"/>
      <c r="C136" s="291"/>
      <c r="D136" s="291"/>
      <c r="E136" s="292"/>
      <c r="F136" s="306"/>
      <c r="G136" s="293"/>
      <c r="H136" s="293"/>
      <c r="I136" s="294"/>
      <c r="J136" s="295"/>
      <c r="K136" s="294"/>
      <c r="L136" s="295"/>
      <c r="M136" s="296"/>
      <c r="N136" s="294"/>
      <c r="O136" s="297"/>
      <c r="P136" s="295"/>
      <c r="Q136" s="298"/>
      <c r="R136" s="299"/>
      <c r="S136" s="298"/>
      <c r="T136" s="298"/>
      <c r="U136" s="298"/>
      <c r="V136" s="298"/>
      <c r="W136" s="298"/>
      <c r="X136" s="298"/>
      <c r="Y136" s="298"/>
      <c r="Z136" s="300"/>
      <c r="AA136" s="300"/>
      <c r="AB136" s="300"/>
    </row>
    <row r="137" spans="1:28" ht="15.75" customHeight="1">
      <c r="A137" s="3457" t="s">
        <v>274</v>
      </c>
      <c r="B137" s="3457"/>
      <c r="C137" s="3457"/>
      <c r="D137" s="3457"/>
      <c r="E137" s="3457"/>
      <c r="F137" s="3457"/>
      <c r="G137" s="3457"/>
      <c r="H137" s="3457"/>
      <c r="I137" s="3457"/>
      <c r="J137" s="273"/>
      <c r="K137" s="273"/>
      <c r="L137" s="273"/>
      <c r="M137" s="274"/>
      <c r="N137" s="273"/>
      <c r="O137" s="275"/>
      <c r="P137" s="273"/>
      <c r="Q137" s="276"/>
      <c r="R137" s="277">
        <f>+'[2]Compil Costing PPA 3 millions'!F12</f>
        <v>100000</v>
      </c>
      <c r="S137" s="278"/>
      <c r="T137" s="278"/>
      <c r="U137" s="278"/>
      <c r="V137" s="274"/>
      <c r="W137" s="274"/>
      <c r="X137" s="274"/>
      <c r="Y137" s="274"/>
      <c r="Z137" s="279"/>
      <c r="AA137" s="279"/>
      <c r="AB137" s="279"/>
    </row>
    <row r="138" spans="1:28" ht="16.5" customHeight="1">
      <c r="A138" s="281">
        <v>321</v>
      </c>
      <c r="B138" s="3456"/>
      <c r="C138" s="3456"/>
      <c r="D138" s="3456"/>
      <c r="E138" s="3456"/>
      <c r="F138" s="3456"/>
      <c r="G138" s="3456"/>
      <c r="H138" s="3456"/>
      <c r="I138" s="3456"/>
      <c r="J138" s="282"/>
      <c r="K138" s="283"/>
      <c r="L138" s="282"/>
      <c r="M138" s="284"/>
      <c r="N138" s="283"/>
      <c r="O138" s="285"/>
      <c r="P138" s="282"/>
      <c r="Q138" s="286"/>
      <c r="R138" s="287"/>
      <c r="S138" s="288"/>
      <c r="T138" s="288"/>
      <c r="U138" s="288"/>
      <c r="V138" s="288"/>
      <c r="W138" s="288"/>
      <c r="X138" s="288"/>
      <c r="Y138" s="288"/>
      <c r="Z138" s="289"/>
      <c r="AA138" s="289"/>
      <c r="AB138" s="289"/>
    </row>
    <row r="139" spans="1:28" ht="15.75" customHeight="1">
      <c r="A139" s="290">
        <v>3211</v>
      </c>
      <c r="B139" s="330"/>
      <c r="C139" s="330"/>
      <c r="D139" s="330"/>
      <c r="E139" s="329"/>
      <c r="F139" s="331"/>
      <c r="G139" s="331"/>
      <c r="H139" s="331"/>
      <c r="I139" s="294"/>
      <c r="J139" s="295"/>
      <c r="K139" s="294"/>
      <c r="L139" s="295"/>
      <c r="M139" s="296"/>
      <c r="N139" s="294"/>
      <c r="O139" s="297"/>
      <c r="P139" s="295"/>
      <c r="Q139" s="298"/>
      <c r="R139" s="299"/>
      <c r="S139" s="298"/>
      <c r="T139" s="298"/>
      <c r="U139" s="298"/>
      <c r="V139" s="298"/>
      <c r="W139" s="298"/>
      <c r="X139" s="298"/>
      <c r="Y139" s="298"/>
      <c r="Z139" s="300"/>
      <c r="AA139" s="300"/>
      <c r="AB139" s="300"/>
    </row>
    <row r="140" spans="1:28" ht="15.75" customHeight="1">
      <c r="A140" s="290">
        <v>3212</v>
      </c>
      <c r="B140" s="330"/>
      <c r="C140" s="330"/>
      <c r="D140" s="330"/>
      <c r="E140" s="329"/>
      <c r="F140" s="331"/>
      <c r="G140" s="331"/>
      <c r="H140" s="331"/>
      <c r="I140" s="294"/>
      <c r="J140" s="295"/>
      <c r="K140" s="294"/>
      <c r="L140" s="295"/>
      <c r="M140" s="296"/>
      <c r="N140" s="294"/>
      <c r="O140" s="297"/>
      <c r="P140" s="295"/>
      <c r="Q140" s="298"/>
      <c r="R140" s="299"/>
      <c r="S140" s="298"/>
      <c r="T140" s="298"/>
      <c r="U140" s="298"/>
      <c r="V140" s="298"/>
      <c r="W140" s="298"/>
      <c r="X140" s="298"/>
      <c r="Y140" s="298"/>
      <c r="Z140" s="300"/>
      <c r="AA140" s="300"/>
      <c r="AB140" s="300"/>
    </row>
    <row r="141" spans="1:28" ht="15.75" customHeight="1">
      <c r="A141" s="290">
        <v>3213</v>
      </c>
      <c r="B141" s="330"/>
      <c r="C141" s="330"/>
      <c r="D141" s="330"/>
      <c r="E141" s="329"/>
      <c r="F141" s="331"/>
      <c r="G141" s="331"/>
      <c r="H141" s="331"/>
      <c r="I141" s="294"/>
      <c r="J141" s="295"/>
      <c r="K141" s="294"/>
      <c r="L141" s="295"/>
      <c r="M141" s="296"/>
      <c r="N141" s="294"/>
      <c r="O141" s="297"/>
      <c r="P141" s="295"/>
      <c r="Q141" s="298"/>
      <c r="R141" s="299"/>
      <c r="S141" s="298"/>
      <c r="T141" s="298"/>
      <c r="U141" s="298"/>
      <c r="V141" s="298"/>
      <c r="W141" s="298"/>
      <c r="X141" s="298"/>
      <c r="Y141" s="298"/>
      <c r="Z141" s="300"/>
      <c r="AA141" s="300"/>
      <c r="AB141" s="300"/>
    </row>
    <row r="142" spans="1:28" ht="16.5" customHeight="1">
      <c r="A142" s="281">
        <v>322</v>
      </c>
      <c r="B142" s="3456"/>
      <c r="C142" s="3456"/>
      <c r="D142" s="3456"/>
      <c r="E142" s="3456"/>
      <c r="F142" s="3456"/>
      <c r="G142" s="3456"/>
      <c r="H142" s="3456"/>
      <c r="I142" s="3456"/>
      <c r="J142" s="282"/>
      <c r="K142" s="283"/>
      <c r="L142" s="282"/>
      <c r="M142" s="284"/>
      <c r="N142" s="283"/>
      <c r="O142" s="285"/>
      <c r="P142" s="282"/>
      <c r="Q142" s="286"/>
      <c r="R142" s="287"/>
      <c r="S142" s="288"/>
      <c r="T142" s="288"/>
      <c r="U142" s="288"/>
      <c r="V142" s="288"/>
      <c r="W142" s="288"/>
      <c r="X142" s="288"/>
      <c r="Y142" s="288"/>
      <c r="Z142" s="289"/>
      <c r="AA142" s="289"/>
      <c r="AB142" s="289"/>
    </row>
    <row r="143" spans="1:28">
      <c r="A143" s="290">
        <v>3221</v>
      </c>
      <c r="B143" s="330"/>
      <c r="C143" s="330"/>
      <c r="D143" s="330"/>
      <c r="E143" s="329"/>
      <c r="F143" s="306"/>
      <c r="G143" s="293"/>
      <c r="H143" s="293"/>
      <c r="I143" s="294"/>
      <c r="J143" s="295"/>
      <c r="K143" s="294"/>
      <c r="L143" s="295"/>
      <c r="M143" s="296"/>
      <c r="N143" s="294"/>
      <c r="O143" s="297"/>
      <c r="P143" s="295"/>
      <c r="Q143" s="298"/>
      <c r="R143" s="299"/>
      <c r="S143" s="298"/>
      <c r="T143" s="298"/>
      <c r="U143" s="298"/>
      <c r="V143" s="298"/>
      <c r="W143" s="298"/>
      <c r="X143" s="298"/>
      <c r="Y143" s="298"/>
      <c r="Z143" s="300"/>
      <c r="AA143" s="300"/>
      <c r="AB143" s="300"/>
    </row>
    <row r="144" spans="1:28">
      <c r="A144" s="290">
        <v>3222</v>
      </c>
      <c r="B144" s="330"/>
      <c r="C144" s="330"/>
      <c r="D144" s="330"/>
      <c r="E144" s="329"/>
      <c r="F144" s="306"/>
      <c r="G144" s="293"/>
      <c r="H144" s="293"/>
      <c r="I144" s="294"/>
      <c r="J144" s="295"/>
      <c r="K144" s="294"/>
      <c r="L144" s="295"/>
      <c r="M144" s="296"/>
      <c r="N144" s="294"/>
      <c r="O144" s="297"/>
      <c r="P144" s="295"/>
      <c r="Q144" s="298"/>
      <c r="R144" s="299"/>
      <c r="S144" s="298"/>
      <c r="T144" s="298"/>
      <c r="U144" s="298"/>
      <c r="V144" s="298"/>
      <c r="W144" s="298"/>
      <c r="X144" s="298"/>
      <c r="Y144" s="298"/>
      <c r="Z144" s="300"/>
      <c r="AA144" s="300"/>
      <c r="AB144" s="300"/>
    </row>
    <row r="145" spans="1:28" ht="15.75" customHeight="1">
      <c r="A145" s="301" t="s">
        <v>233</v>
      </c>
      <c r="B145" s="330"/>
      <c r="C145" s="330"/>
      <c r="D145" s="330"/>
      <c r="E145" s="329"/>
      <c r="F145" s="331"/>
      <c r="G145" s="331"/>
      <c r="H145" s="331"/>
      <c r="I145" s="294"/>
      <c r="J145" s="295"/>
      <c r="K145" s="294"/>
      <c r="L145" s="295"/>
      <c r="M145" s="296"/>
      <c r="N145" s="294"/>
      <c r="O145" s="297"/>
      <c r="P145" s="295"/>
      <c r="Q145" s="298"/>
      <c r="R145" s="299"/>
      <c r="S145" s="298"/>
      <c r="T145" s="298"/>
      <c r="U145" s="298"/>
      <c r="V145" s="298"/>
      <c r="W145" s="298"/>
      <c r="X145" s="298"/>
      <c r="Y145" s="298"/>
      <c r="Z145" s="300"/>
      <c r="AA145" s="300"/>
      <c r="AB145" s="300"/>
    </row>
    <row r="146" spans="1:28" s="272" customFormat="1" ht="33.75" customHeight="1">
      <c r="A146" s="3458" t="s">
        <v>275</v>
      </c>
      <c r="B146" s="3458"/>
      <c r="C146" s="3458"/>
      <c r="D146" s="3458"/>
      <c r="E146" s="3458"/>
      <c r="F146" s="3458"/>
      <c r="G146" s="3458"/>
      <c r="H146" s="3458"/>
      <c r="I146" s="3458"/>
      <c r="J146" s="265"/>
      <c r="K146" s="265"/>
      <c r="L146" s="265"/>
      <c r="M146" s="266"/>
      <c r="N146" s="265"/>
      <c r="O146" s="267"/>
      <c r="P146" s="265"/>
      <c r="Q146" s="268"/>
      <c r="R146" s="269">
        <f>+R147+R156+R165</f>
        <v>1602730.3695833336</v>
      </c>
      <c r="S146" s="270"/>
      <c r="T146" s="270"/>
      <c r="U146" s="270"/>
      <c r="V146" s="270"/>
      <c r="W146" s="270"/>
      <c r="X146" s="270"/>
      <c r="Y146" s="270"/>
      <c r="Z146" s="271"/>
      <c r="AA146" s="271"/>
      <c r="AB146" s="271"/>
    </row>
    <row r="147" spans="1:28" ht="15.75" customHeight="1">
      <c r="A147" s="3457" t="s">
        <v>276</v>
      </c>
      <c r="B147" s="3457"/>
      <c r="C147" s="3457"/>
      <c r="D147" s="3457"/>
      <c r="E147" s="3457"/>
      <c r="F147" s="3457"/>
      <c r="G147" s="3457"/>
      <c r="H147" s="3457"/>
      <c r="I147" s="3457"/>
      <c r="J147" s="273"/>
      <c r="K147" s="273"/>
      <c r="L147" s="273"/>
      <c r="M147" s="274"/>
      <c r="N147" s="273"/>
      <c r="O147" s="275"/>
      <c r="P147" s="273"/>
      <c r="Q147" s="276"/>
      <c r="R147" s="277">
        <f>+'[2]Compil Costing PPA 3 millions'!F15</f>
        <v>356290.70624999999</v>
      </c>
      <c r="S147" s="278"/>
      <c r="T147" s="278"/>
      <c r="U147" s="278"/>
      <c r="V147" s="274"/>
      <c r="W147" s="274"/>
      <c r="X147" s="274"/>
      <c r="Y147" s="274"/>
      <c r="Z147" s="279"/>
      <c r="AA147" s="279"/>
      <c r="AB147" s="279"/>
    </row>
    <row r="148" spans="1:28" ht="16.5" customHeight="1">
      <c r="A148" s="281">
        <v>411</v>
      </c>
      <c r="B148" s="3456"/>
      <c r="C148" s="3456"/>
      <c r="D148" s="3456"/>
      <c r="E148" s="3456"/>
      <c r="F148" s="3456"/>
      <c r="G148" s="3456"/>
      <c r="H148" s="3456"/>
      <c r="I148" s="3456"/>
      <c r="J148" s="282"/>
      <c r="K148" s="283"/>
      <c r="L148" s="282"/>
      <c r="M148" s="284"/>
      <c r="N148" s="283"/>
      <c r="O148" s="285"/>
      <c r="P148" s="282"/>
      <c r="Q148" s="286"/>
      <c r="R148" s="287"/>
      <c r="S148" s="288"/>
      <c r="T148" s="288"/>
      <c r="U148" s="288"/>
      <c r="V148" s="288"/>
      <c r="W148" s="288"/>
      <c r="X148" s="288"/>
      <c r="Y148" s="288"/>
      <c r="Z148" s="289"/>
      <c r="AA148" s="289"/>
      <c r="AB148" s="289"/>
    </row>
    <row r="149" spans="1:28">
      <c r="A149" s="290">
        <v>4111</v>
      </c>
      <c r="B149" s="330"/>
      <c r="C149" s="330"/>
      <c r="D149" s="330"/>
      <c r="E149" s="329"/>
      <c r="F149" s="306"/>
      <c r="G149" s="293"/>
      <c r="H149" s="293"/>
      <c r="I149" s="294"/>
      <c r="J149" s="295"/>
      <c r="K149" s="294"/>
      <c r="L149" s="295"/>
      <c r="M149" s="296"/>
      <c r="N149" s="294"/>
      <c r="O149" s="297"/>
      <c r="P149" s="295"/>
      <c r="Q149" s="298"/>
      <c r="R149" s="299"/>
      <c r="S149" s="298"/>
      <c r="T149" s="298"/>
      <c r="U149" s="298"/>
      <c r="V149" s="298"/>
      <c r="W149" s="298"/>
      <c r="X149" s="298"/>
      <c r="Y149" s="298"/>
      <c r="Z149" s="300"/>
      <c r="AA149" s="300"/>
      <c r="AB149" s="300"/>
    </row>
    <row r="150" spans="1:28">
      <c r="A150" s="290">
        <v>4112</v>
      </c>
      <c r="B150" s="330"/>
      <c r="C150" s="330"/>
      <c r="D150" s="330"/>
      <c r="E150" s="329"/>
      <c r="F150" s="306"/>
      <c r="G150" s="293"/>
      <c r="H150" s="293"/>
      <c r="I150" s="294"/>
      <c r="J150" s="295"/>
      <c r="K150" s="294"/>
      <c r="L150" s="295"/>
      <c r="M150" s="296"/>
      <c r="N150" s="294"/>
      <c r="O150" s="297"/>
      <c r="P150" s="295"/>
      <c r="Q150" s="298"/>
      <c r="R150" s="299"/>
      <c r="S150" s="298"/>
      <c r="T150" s="298"/>
      <c r="U150" s="298"/>
      <c r="V150" s="298"/>
      <c r="W150" s="298"/>
      <c r="X150" s="298"/>
      <c r="Y150" s="298"/>
      <c r="Z150" s="300"/>
      <c r="AA150" s="300"/>
      <c r="AB150" s="300"/>
    </row>
    <row r="151" spans="1:28">
      <c r="A151" s="290">
        <v>4113</v>
      </c>
      <c r="B151" s="330"/>
      <c r="C151" s="330"/>
      <c r="D151" s="330"/>
      <c r="E151" s="329"/>
      <c r="F151" s="306"/>
      <c r="G151" s="293"/>
      <c r="H151" s="293"/>
      <c r="I151" s="294"/>
      <c r="J151" s="295"/>
      <c r="K151" s="294"/>
      <c r="L151" s="295"/>
      <c r="M151" s="296"/>
      <c r="N151" s="294"/>
      <c r="O151" s="297"/>
      <c r="P151" s="295"/>
      <c r="Q151" s="298"/>
      <c r="R151" s="299"/>
      <c r="S151" s="298"/>
      <c r="T151" s="298"/>
      <c r="U151" s="298"/>
      <c r="V151" s="298"/>
      <c r="W151" s="298"/>
      <c r="X151" s="298"/>
      <c r="Y151" s="298"/>
      <c r="Z151" s="300"/>
      <c r="AA151" s="300"/>
      <c r="AB151" s="300"/>
    </row>
    <row r="152" spans="1:28" ht="16.5" customHeight="1">
      <c r="A152" s="281">
        <v>412</v>
      </c>
      <c r="B152" s="3456"/>
      <c r="C152" s="3456"/>
      <c r="D152" s="3456"/>
      <c r="E152" s="3456"/>
      <c r="F152" s="3456"/>
      <c r="G152" s="3456"/>
      <c r="H152" s="3456"/>
      <c r="I152" s="3456"/>
      <c r="J152" s="282"/>
      <c r="K152" s="283"/>
      <c r="L152" s="282"/>
      <c r="M152" s="284"/>
      <c r="N152" s="283"/>
      <c r="O152" s="285"/>
      <c r="P152" s="282"/>
      <c r="Q152" s="286"/>
      <c r="R152" s="287"/>
      <c r="S152" s="288"/>
      <c r="T152" s="288"/>
      <c r="U152" s="288"/>
      <c r="V152" s="288"/>
      <c r="W152" s="288"/>
      <c r="X152" s="288"/>
      <c r="Y152" s="288"/>
      <c r="Z152" s="289"/>
      <c r="AA152" s="289"/>
      <c r="AB152" s="289"/>
    </row>
    <row r="153" spans="1:28">
      <c r="A153" s="290">
        <v>4121</v>
      </c>
      <c r="B153" s="330"/>
      <c r="C153" s="330"/>
      <c r="D153" s="330"/>
      <c r="E153" s="329"/>
      <c r="F153" s="306"/>
      <c r="G153" s="293"/>
      <c r="H153" s="293"/>
      <c r="I153" s="294"/>
      <c r="J153" s="295"/>
      <c r="K153" s="294"/>
      <c r="L153" s="295"/>
      <c r="M153" s="296"/>
      <c r="N153" s="294"/>
      <c r="O153" s="297"/>
      <c r="P153" s="295"/>
      <c r="Q153" s="298"/>
      <c r="R153" s="299"/>
      <c r="S153" s="298"/>
      <c r="T153" s="298"/>
      <c r="U153" s="298"/>
      <c r="V153" s="298"/>
      <c r="W153" s="298"/>
      <c r="X153" s="298"/>
      <c r="Y153" s="298"/>
      <c r="Z153" s="300"/>
      <c r="AA153" s="300"/>
      <c r="AB153" s="300"/>
    </row>
    <row r="154" spans="1:28">
      <c r="A154" s="290">
        <v>4122</v>
      </c>
      <c r="B154" s="330"/>
      <c r="C154" s="330"/>
      <c r="D154" s="330"/>
      <c r="E154" s="329"/>
      <c r="F154" s="306"/>
      <c r="G154" s="293"/>
      <c r="H154" s="293"/>
      <c r="I154" s="294"/>
      <c r="J154" s="295"/>
      <c r="K154" s="294"/>
      <c r="L154" s="295"/>
      <c r="M154" s="296"/>
      <c r="N154" s="294"/>
      <c r="O154" s="297"/>
      <c r="P154" s="295"/>
      <c r="Q154" s="298"/>
      <c r="R154" s="299"/>
      <c r="S154" s="298"/>
      <c r="T154" s="298"/>
      <c r="U154" s="298"/>
      <c r="V154" s="298"/>
      <c r="W154" s="298"/>
      <c r="X154" s="298"/>
      <c r="Y154" s="298"/>
      <c r="Z154" s="300"/>
      <c r="AA154" s="300"/>
      <c r="AB154" s="300"/>
    </row>
    <row r="155" spans="1:28" ht="15.75" customHeight="1">
      <c r="A155" s="301" t="s">
        <v>233</v>
      </c>
      <c r="B155" s="330"/>
      <c r="C155" s="330"/>
      <c r="D155" s="330"/>
      <c r="E155" s="329"/>
      <c r="F155" s="331"/>
      <c r="G155" s="331"/>
      <c r="H155" s="331"/>
      <c r="I155" s="294"/>
      <c r="J155" s="295"/>
      <c r="K155" s="294"/>
      <c r="L155" s="295"/>
      <c r="M155" s="296"/>
      <c r="N155" s="294"/>
      <c r="O155" s="297"/>
      <c r="P155" s="295"/>
      <c r="Q155" s="298"/>
      <c r="R155" s="299"/>
      <c r="S155" s="298"/>
      <c r="T155" s="298"/>
      <c r="U155" s="298"/>
      <c r="V155" s="298"/>
      <c r="W155" s="298"/>
      <c r="X155" s="298"/>
      <c r="Y155" s="298"/>
      <c r="Z155" s="300"/>
      <c r="AA155" s="300"/>
      <c r="AB155" s="300"/>
    </row>
    <row r="156" spans="1:28" ht="15.75" customHeight="1">
      <c r="A156" s="3457" t="s">
        <v>277</v>
      </c>
      <c r="B156" s="3457"/>
      <c r="C156" s="3457"/>
      <c r="D156" s="3457"/>
      <c r="E156" s="3457"/>
      <c r="F156" s="3457"/>
      <c r="G156" s="3457"/>
      <c r="H156" s="3457"/>
      <c r="I156" s="3457"/>
      <c r="J156" s="273"/>
      <c r="K156" s="273"/>
      <c r="L156" s="273"/>
      <c r="M156" s="274"/>
      <c r="N156" s="273"/>
      <c r="O156" s="275"/>
      <c r="P156" s="273"/>
      <c r="Q156" s="276"/>
      <c r="R156" s="277">
        <f>+'[2]Compil Costing PPA 3 millions'!F16+'[2]Compil Costing PPA 3 millions'!F18+'[2]Compil Costing PPA 3 millions'!F19</f>
        <v>1137594.3333333335</v>
      </c>
      <c r="S156" s="278"/>
      <c r="T156" s="278"/>
      <c r="U156" s="278"/>
      <c r="V156" s="274"/>
      <c r="W156" s="274"/>
      <c r="X156" s="274"/>
      <c r="Y156" s="274"/>
      <c r="Z156" s="279"/>
      <c r="AA156" s="279"/>
      <c r="AB156" s="279"/>
    </row>
    <row r="157" spans="1:28" ht="16.5" customHeight="1">
      <c r="A157" s="281">
        <v>421</v>
      </c>
      <c r="B157" s="3456"/>
      <c r="C157" s="3456"/>
      <c r="D157" s="3456"/>
      <c r="E157" s="3456"/>
      <c r="F157" s="3456"/>
      <c r="G157" s="3456"/>
      <c r="H157" s="3456"/>
      <c r="I157" s="3456"/>
      <c r="J157" s="282"/>
      <c r="K157" s="283"/>
      <c r="L157" s="282"/>
      <c r="M157" s="284"/>
      <c r="N157" s="283"/>
      <c r="O157" s="285"/>
      <c r="P157" s="282"/>
      <c r="Q157" s="286"/>
      <c r="R157" s="287"/>
      <c r="S157" s="288"/>
      <c r="T157" s="288"/>
      <c r="U157" s="288"/>
      <c r="V157" s="288"/>
      <c r="W157" s="288"/>
      <c r="X157" s="288"/>
      <c r="Y157" s="288"/>
      <c r="Z157" s="289"/>
      <c r="AA157" s="289"/>
      <c r="AB157" s="289"/>
    </row>
    <row r="158" spans="1:28">
      <c r="A158" s="290">
        <v>4211</v>
      </c>
      <c r="B158" s="291"/>
      <c r="C158" s="291"/>
      <c r="D158" s="291"/>
      <c r="E158" s="292"/>
      <c r="F158" s="306"/>
      <c r="G158" s="293"/>
      <c r="H158" s="293"/>
      <c r="I158" s="294"/>
      <c r="J158" s="295"/>
      <c r="K158" s="294"/>
      <c r="L158" s="295"/>
      <c r="M158" s="296"/>
      <c r="N158" s="294"/>
      <c r="O158" s="297"/>
      <c r="P158" s="295"/>
      <c r="Q158" s="298"/>
      <c r="R158" s="299"/>
      <c r="S158" s="298"/>
      <c r="T158" s="298"/>
      <c r="U158" s="298"/>
      <c r="V158" s="298"/>
      <c r="W158" s="298"/>
      <c r="X158" s="298"/>
      <c r="Y158" s="298"/>
      <c r="Z158" s="300"/>
      <c r="AA158" s="300"/>
      <c r="AB158" s="300"/>
    </row>
    <row r="159" spans="1:28">
      <c r="A159" s="290">
        <v>4212</v>
      </c>
      <c r="B159" s="291"/>
      <c r="C159" s="291"/>
      <c r="D159" s="291"/>
      <c r="E159" s="292"/>
      <c r="F159" s="306"/>
      <c r="G159" s="293"/>
      <c r="H159" s="293"/>
      <c r="I159" s="294"/>
      <c r="J159" s="295"/>
      <c r="K159" s="294"/>
      <c r="L159" s="295"/>
      <c r="M159" s="296"/>
      <c r="N159" s="294"/>
      <c r="O159" s="297"/>
      <c r="P159" s="295"/>
      <c r="Q159" s="298"/>
      <c r="R159" s="299"/>
      <c r="S159" s="298"/>
      <c r="T159" s="298"/>
      <c r="U159" s="298"/>
      <c r="V159" s="298"/>
      <c r="W159" s="298"/>
      <c r="X159" s="298"/>
      <c r="Y159" s="298"/>
      <c r="Z159" s="300"/>
      <c r="AA159" s="300"/>
      <c r="AB159" s="300"/>
    </row>
    <row r="160" spans="1:28">
      <c r="A160" s="290">
        <v>4213</v>
      </c>
      <c r="B160" s="291"/>
      <c r="C160" s="291"/>
      <c r="D160" s="291"/>
      <c r="E160" s="292"/>
      <c r="F160" s="306"/>
      <c r="G160" s="293"/>
      <c r="H160" s="293"/>
      <c r="I160" s="294"/>
      <c r="J160" s="295"/>
      <c r="K160" s="294"/>
      <c r="L160" s="295"/>
      <c r="M160" s="296"/>
      <c r="N160" s="294"/>
      <c r="O160" s="297"/>
      <c r="P160" s="295"/>
      <c r="Q160" s="298"/>
      <c r="R160" s="299"/>
      <c r="S160" s="298"/>
      <c r="T160" s="298"/>
      <c r="U160" s="298"/>
      <c r="V160" s="298"/>
      <c r="W160" s="298"/>
      <c r="X160" s="298"/>
      <c r="Y160" s="298"/>
      <c r="Z160" s="300"/>
      <c r="AA160" s="300"/>
      <c r="AB160" s="300"/>
    </row>
    <row r="161" spans="1:28" ht="16.5" customHeight="1">
      <c r="A161" s="281">
        <v>422</v>
      </c>
      <c r="B161" s="3456"/>
      <c r="C161" s="3456"/>
      <c r="D161" s="3456"/>
      <c r="E161" s="3456"/>
      <c r="F161" s="3456"/>
      <c r="G161" s="3456"/>
      <c r="H161" s="3456"/>
      <c r="I161" s="3456"/>
      <c r="J161" s="282"/>
      <c r="K161" s="283"/>
      <c r="L161" s="282"/>
      <c r="M161" s="284"/>
      <c r="N161" s="283"/>
      <c r="O161" s="285"/>
      <c r="P161" s="282"/>
      <c r="Q161" s="286"/>
      <c r="R161" s="287"/>
      <c r="S161" s="288"/>
      <c r="T161" s="288"/>
      <c r="U161" s="288"/>
      <c r="V161" s="288"/>
      <c r="W161" s="288"/>
      <c r="X161" s="288"/>
      <c r="Y161" s="288"/>
      <c r="Z161" s="289"/>
      <c r="AA161" s="289"/>
      <c r="AB161" s="289"/>
    </row>
    <row r="162" spans="1:28">
      <c r="A162" s="290">
        <v>4221</v>
      </c>
      <c r="B162" s="291"/>
      <c r="C162" s="291"/>
      <c r="D162" s="291"/>
      <c r="E162" s="292"/>
      <c r="F162" s="306"/>
      <c r="G162" s="293"/>
      <c r="H162" s="293"/>
      <c r="I162" s="294"/>
      <c r="J162" s="295"/>
      <c r="K162" s="294"/>
      <c r="L162" s="295"/>
      <c r="M162" s="296"/>
      <c r="N162" s="294"/>
      <c r="O162" s="297"/>
      <c r="P162" s="295"/>
      <c r="Q162" s="298"/>
      <c r="R162" s="299"/>
      <c r="S162" s="298"/>
      <c r="T162" s="298"/>
      <c r="U162" s="298"/>
      <c r="V162" s="298"/>
      <c r="W162" s="298"/>
      <c r="X162" s="298"/>
      <c r="Y162" s="298"/>
      <c r="Z162" s="300"/>
      <c r="AA162" s="300"/>
      <c r="AB162" s="300"/>
    </row>
    <row r="163" spans="1:28">
      <c r="A163" s="290">
        <v>4222</v>
      </c>
      <c r="B163" s="291"/>
      <c r="C163" s="291"/>
      <c r="D163" s="291"/>
      <c r="E163" s="292"/>
      <c r="F163" s="306"/>
      <c r="G163" s="293"/>
      <c r="H163" s="293"/>
      <c r="I163" s="294"/>
      <c r="J163" s="295"/>
      <c r="K163" s="294"/>
      <c r="L163" s="295"/>
      <c r="M163" s="296"/>
      <c r="N163" s="294"/>
      <c r="O163" s="297"/>
      <c r="P163" s="295"/>
      <c r="Q163" s="298"/>
      <c r="R163" s="299"/>
      <c r="S163" s="298"/>
      <c r="T163" s="298"/>
      <c r="U163" s="298"/>
      <c r="V163" s="298"/>
      <c r="W163" s="298"/>
      <c r="X163" s="298"/>
      <c r="Y163" s="298"/>
      <c r="Z163" s="300"/>
      <c r="AA163" s="300"/>
      <c r="AB163" s="300"/>
    </row>
    <row r="164" spans="1:28">
      <c r="A164" s="301" t="s">
        <v>233</v>
      </c>
      <c r="B164" s="291"/>
      <c r="C164" s="291"/>
      <c r="D164" s="291"/>
      <c r="E164" s="292"/>
      <c r="F164" s="306"/>
      <c r="G164" s="293"/>
      <c r="H164" s="293"/>
      <c r="I164" s="294"/>
      <c r="J164" s="295"/>
      <c r="K164" s="294"/>
      <c r="L164" s="295"/>
      <c r="M164" s="296"/>
      <c r="N164" s="294"/>
      <c r="O164" s="297"/>
      <c r="P164" s="295"/>
      <c r="Q164" s="298"/>
      <c r="R164" s="299"/>
      <c r="S164" s="298"/>
      <c r="T164" s="298"/>
      <c r="U164" s="298"/>
      <c r="V164" s="298"/>
      <c r="W164" s="298"/>
      <c r="X164" s="298"/>
      <c r="Y164" s="298"/>
      <c r="Z164" s="300"/>
      <c r="AA164" s="300"/>
      <c r="AB164" s="300"/>
    </row>
    <row r="165" spans="1:28" ht="15.75" customHeight="1">
      <c r="A165" s="3457" t="s">
        <v>278</v>
      </c>
      <c r="B165" s="3457"/>
      <c r="C165" s="3457"/>
      <c r="D165" s="3457"/>
      <c r="E165" s="3457"/>
      <c r="F165" s="3457"/>
      <c r="G165" s="3457"/>
      <c r="H165" s="3457"/>
      <c r="I165" s="3457"/>
      <c r="J165" s="273"/>
      <c r="K165" s="273"/>
      <c r="L165" s="273"/>
      <c r="M165" s="274"/>
      <c r="N165" s="273"/>
      <c r="O165" s="275"/>
      <c r="P165" s="273"/>
      <c r="Q165" s="276"/>
      <c r="R165" s="277">
        <f>+'[2]Compil Costing PPA 3 millions'!F17</f>
        <v>108845.33</v>
      </c>
      <c r="S165" s="278"/>
      <c r="T165" s="278"/>
      <c r="U165" s="278"/>
      <c r="V165" s="274"/>
      <c r="W165" s="274"/>
      <c r="X165" s="274"/>
      <c r="Y165" s="274"/>
      <c r="Z165" s="279"/>
      <c r="AA165" s="279"/>
      <c r="AB165" s="279"/>
    </row>
    <row r="166" spans="1:28" ht="16.5" customHeight="1">
      <c r="A166" s="281">
        <v>431</v>
      </c>
      <c r="B166" s="3456"/>
      <c r="C166" s="3456"/>
      <c r="D166" s="3456"/>
      <c r="E166" s="3456"/>
      <c r="F166" s="3456"/>
      <c r="G166" s="3456"/>
      <c r="H166" s="3456"/>
      <c r="I166" s="3456"/>
      <c r="J166" s="282"/>
      <c r="K166" s="283"/>
      <c r="L166" s="282"/>
      <c r="M166" s="284"/>
      <c r="N166" s="283"/>
      <c r="O166" s="285"/>
      <c r="P166" s="282"/>
      <c r="Q166" s="286"/>
      <c r="R166" s="287"/>
      <c r="S166" s="288"/>
      <c r="T166" s="288"/>
      <c r="U166" s="288"/>
      <c r="V166" s="288"/>
      <c r="W166" s="288"/>
      <c r="X166" s="288"/>
      <c r="Y166" s="288"/>
      <c r="Z166" s="289"/>
      <c r="AA166" s="289"/>
      <c r="AB166" s="289"/>
    </row>
    <row r="167" spans="1:28">
      <c r="A167" s="290">
        <v>4311</v>
      </c>
      <c r="B167" s="291"/>
      <c r="C167" s="291"/>
      <c r="D167" s="291"/>
      <c r="E167" s="292"/>
      <c r="F167" s="306"/>
      <c r="G167" s="293"/>
      <c r="H167" s="293"/>
      <c r="I167" s="294"/>
      <c r="J167" s="295"/>
      <c r="K167" s="294"/>
      <c r="L167" s="295"/>
      <c r="M167" s="296"/>
      <c r="N167" s="294"/>
      <c r="O167" s="297"/>
      <c r="P167" s="295"/>
      <c r="Q167" s="298"/>
      <c r="R167" s="299"/>
      <c r="S167" s="298"/>
      <c r="T167" s="298"/>
      <c r="U167" s="298"/>
      <c r="V167" s="298"/>
      <c r="W167" s="298"/>
      <c r="X167" s="298"/>
      <c r="Y167" s="298"/>
      <c r="Z167" s="300"/>
      <c r="AA167" s="300"/>
      <c r="AB167" s="300"/>
    </row>
    <row r="168" spans="1:28">
      <c r="A168" s="290">
        <v>4312</v>
      </c>
      <c r="B168" s="291"/>
      <c r="C168" s="291"/>
      <c r="D168" s="291"/>
      <c r="E168" s="292"/>
      <c r="F168" s="306"/>
      <c r="G168" s="293"/>
      <c r="H168" s="293"/>
      <c r="I168" s="294"/>
      <c r="J168" s="295"/>
      <c r="K168" s="294"/>
      <c r="L168" s="295"/>
      <c r="M168" s="296"/>
      <c r="N168" s="294"/>
      <c r="O168" s="297"/>
      <c r="P168" s="295"/>
      <c r="Q168" s="298"/>
      <c r="R168" s="299"/>
      <c r="S168" s="298"/>
      <c r="T168" s="298"/>
      <c r="U168" s="298"/>
      <c r="V168" s="298"/>
      <c r="W168" s="298"/>
      <c r="X168" s="298"/>
      <c r="Y168" s="298"/>
      <c r="Z168" s="300"/>
      <c r="AA168" s="300"/>
      <c r="AB168" s="300"/>
    </row>
    <row r="169" spans="1:28">
      <c r="A169" s="290">
        <v>4313</v>
      </c>
      <c r="B169" s="291"/>
      <c r="C169" s="291"/>
      <c r="D169" s="291"/>
      <c r="E169" s="292"/>
      <c r="F169" s="306"/>
      <c r="G169" s="293"/>
      <c r="H169" s="293"/>
      <c r="I169" s="294"/>
      <c r="J169" s="295"/>
      <c r="K169" s="294"/>
      <c r="L169" s="295"/>
      <c r="M169" s="296"/>
      <c r="N169" s="294"/>
      <c r="O169" s="297"/>
      <c r="P169" s="295"/>
      <c r="Q169" s="298"/>
      <c r="R169" s="299"/>
      <c r="S169" s="298"/>
      <c r="T169" s="298"/>
      <c r="U169" s="298"/>
      <c r="V169" s="298"/>
      <c r="W169" s="298"/>
      <c r="X169" s="298"/>
      <c r="Y169" s="298"/>
      <c r="Z169" s="300"/>
      <c r="AA169" s="300"/>
      <c r="AB169" s="300"/>
    </row>
    <row r="170" spans="1:28" ht="16.5" customHeight="1">
      <c r="A170" s="281">
        <v>432</v>
      </c>
      <c r="B170" s="3456"/>
      <c r="C170" s="3456"/>
      <c r="D170" s="3456"/>
      <c r="E170" s="3456"/>
      <c r="F170" s="3456"/>
      <c r="G170" s="3456"/>
      <c r="H170" s="3456"/>
      <c r="I170" s="3456"/>
      <c r="J170" s="282"/>
      <c r="K170" s="283"/>
      <c r="L170" s="282"/>
      <c r="M170" s="284"/>
      <c r="N170" s="283"/>
      <c r="O170" s="285"/>
      <c r="P170" s="282"/>
      <c r="Q170" s="286"/>
      <c r="R170" s="287"/>
      <c r="S170" s="288"/>
      <c r="T170" s="288"/>
      <c r="U170" s="288"/>
      <c r="V170" s="288"/>
      <c r="W170" s="288"/>
      <c r="X170" s="288"/>
      <c r="Y170" s="288"/>
      <c r="Z170" s="289"/>
      <c r="AA170" s="289"/>
      <c r="AB170" s="289"/>
    </row>
    <row r="171" spans="1:28">
      <c r="A171" s="290">
        <v>4321</v>
      </c>
      <c r="B171" s="291"/>
      <c r="C171" s="291"/>
      <c r="D171" s="291"/>
      <c r="E171" s="292"/>
      <c r="F171" s="306"/>
      <c r="G171" s="293"/>
      <c r="H171" s="293"/>
      <c r="I171" s="294"/>
      <c r="J171" s="295"/>
      <c r="K171" s="294"/>
      <c r="L171" s="295"/>
      <c r="M171" s="296"/>
      <c r="N171" s="294"/>
      <c r="O171" s="297"/>
      <c r="P171" s="295"/>
      <c r="Q171" s="298"/>
      <c r="R171" s="299"/>
      <c r="S171" s="298"/>
      <c r="T171" s="298"/>
      <c r="U171" s="298"/>
      <c r="V171" s="298"/>
      <c r="W171" s="298"/>
      <c r="X171" s="298"/>
      <c r="Y171" s="298"/>
      <c r="Z171" s="300"/>
      <c r="AA171" s="300"/>
      <c r="AB171" s="300"/>
    </row>
    <row r="172" spans="1:28">
      <c r="A172" s="290">
        <v>4322</v>
      </c>
      <c r="B172" s="291"/>
      <c r="C172" s="291"/>
      <c r="D172" s="291"/>
      <c r="E172" s="292"/>
      <c r="F172" s="306"/>
      <c r="G172" s="293"/>
      <c r="H172" s="293"/>
      <c r="I172" s="294"/>
      <c r="J172" s="295"/>
      <c r="K172" s="294"/>
      <c r="L172" s="295"/>
      <c r="M172" s="296"/>
      <c r="N172" s="294"/>
      <c r="O172" s="297"/>
      <c r="P172" s="295"/>
      <c r="Q172" s="298"/>
      <c r="R172" s="299"/>
      <c r="S172" s="298"/>
      <c r="T172" s="298"/>
      <c r="U172" s="298"/>
      <c r="V172" s="298"/>
      <c r="W172" s="298"/>
      <c r="X172" s="298"/>
      <c r="Y172" s="298"/>
      <c r="Z172" s="300"/>
      <c r="AA172" s="300"/>
      <c r="AB172" s="300"/>
    </row>
    <row r="173" spans="1:28">
      <c r="A173" s="301" t="s">
        <v>233</v>
      </c>
      <c r="B173" s="291"/>
      <c r="C173" s="291"/>
      <c r="D173" s="291"/>
      <c r="E173" s="292"/>
      <c r="F173" s="306"/>
      <c r="G173" s="293"/>
      <c r="H173" s="293"/>
      <c r="I173" s="294"/>
      <c r="J173" s="295"/>
      <c r="K173" s="294"/>
      <c r="L173" s="295"/>
      <c r="M173" s="296"/>
      <c r="N173" s="294"/>
      <c r="O173" s="297"/>
      <c r="P173" s="295"/>
      <c r="Q173" s="298"/>
      <c r="R173" s="299"/>
      <c r="S173" s="298"/>
      <c r="T173" s="298"/>
      <c r="U173" s="298"/>
      <c r="V173" s="298"/>
      <c r="W173" s="298"/>
      <c r="X173" s="298"/>
      <c r="Y173" s="298"/>
      <c r="Z173" s="300"/>
      <c r="AA173" s="300"/>
      <c r="AB173" s="300"/>
    </row>
    <row r="174" spans="1:28" s="272" customFormat="1" ht="33.75" customHeight="1">
      <c r="A174" s="3458" t="s">
        <v>279</v>
      </c>
      <c r="B174" s="3458"/>
      <c r="C174" s="3458"/>
      <c r="D174" s="3458"/>
      <c r="E174" s="3458"/>
      <c r="F174" s="3458"/>
      <c r="G174" s="3458"/>
      <c r="H174" s="3458"/>
      <c r="I174" s="3458"/>
      <c r="J174" s="265"/>
      <c r="K174" s="265"/>
      <c r="L174" s="265"/>
      <c r="M174" s="266"/>
      <c r="N174" s="265"/>
      <c r="O174" s="267"/>
      <c r="P174" s="265"/>
      <c r="Q174" s="268"/>
      <c r="R174" s="269"/>
      <c r="S174" s="270"/>
      <c r="T174" s="270"/>
      <c r="U174" s="270"/>
      <c r="V174" s="270"/>
      <c r="W174" s="270"/>
      <c r="X174" s="270"/>
      <c r="Y174" s="270"/>
      <c r="Z174" s="271"/>
      <c r="AA174" s="271"/>
      <c r="AB174" s="271"/>
    </row>
    <row r="175" spans="1:28" ht="30" customHeight="1">
      <c r="A175" s="3457" t="s">
        <v>280</v>
      </c>
      <c r="B175" s="3457"/>
      <c r="C175" s="3457"/>
      <c r="D175" s="3457"/>
      <c r="E175" s="3457"/>
      <c r="F175" s="3457"/>
      <c r="G175" s="3457"/>
      <c r="H175" s="3457"/>
      <c r="I175" s="3457"/>
      <c r="J175" s="273"/>
      <c r="K175" s="273"/>
      <c r="L175" s="273"/>
      <c r="M175" s="274"/>
      <c r="N175" s="273"/>
      <c r="O175" s="275"/>
      <c r="P175" s="273"/>
      <c r="Q175" s="276"/>
      <c r="R175" s="277"/>
      <c r="S175" s="278"/>
      <c r="T175" s="278"/>
      <c r="U175" s="278"/>
      <c r="V175" s="274"/>
      <c r="W175" s="274"/>
      <c r="X175" s="274"/>
      <c r="Y175" s="274"/>
      <c r="Z175" s="279"/>
      <c r="AA175" s="279"/>
      <c r="AB175" s="279"/>
    </row>
    <row r="176" spans="1:28" ht="16.5" customHeight="1">
      <c r="A176" s="281">
        <v>511</v>
      </c>
      <c r="B176" s="3456"/>
      <c r="C176" s="3456"/>
      <c r="D176" s="3456"/>
      <c r="E176" s="3456"/>
      <c r="F176" s="3456"/>
      <c r="G176" s="3456"/>
      <c r="H176" s="3456"/>
      <c r="I176" s="3456"/>
      <c r="J176" s="282"/>
      <c r="K176" s="283"/>
      <c r="L176" s="282"/>
      <c r="M176" s="284"/>
      <c r="N176" s="283"/>
      <c r="O176" s="285"/>
      <c r="P176" s="282"/>
      <c r="Q176" s="286"/>
      <c r="R176" s="287"/>
      <c r="S176" s="288"/>
      <c r="T176" s="288"/>
      <c r="U176" s="288"/>
      <c r="V176" s="288"/>
      <c r="W176" s="288"/>
      <c r="X176" s="288"/>
      <c r="Y176" s="288"/>
      <c r="Z176" s="289"/>
      <c r="AA176" s="289"/>
      <c r="AB176" s="289"/>
    </row>
    <row r="177" spans="1:28">
      <c r="A177" s="332" t="s">
        <v>233</v>
      </c>
      <c r="B177" s="291"/>
      <c r="C177" s="291"/>
      <c r="D177" s="291"/>
      <c r="E177" s="292"/>
      <c r="F177" s="306"/>
      <c r="G177" s="293"/>
      <c r="H177" s="293"/>
      <c r="I177" s="294"/>
      <c r="J177" s="295"/>
      <c r="K177" s="294"/>
      <c r="L177" s="295"/>
      <c r="M177" s="296"/>
      <c r="N177" s="294"/>
      <c r="O177" s="297"/>
      <c r="P177" s="295"/>
      <c r="Q177" s="298"/>
      <c r="R177" s="299"/>
      <c r="S177" s="298"/>
      <c r="T177" s="298"/>
      <c r="U177" s="298"/>
      <c r="V177" s="298"/>
      <c r="W177" s="298"/>
      <c r="X177" s="298"/>
      <c r="Y177" s="298"/>
      <c r="Z177" s="300"/>
      <c r="AA177" s="300"/>
      <c r="AB177" s="300"/>
    </row>
    <row r="178" spans="1:28" s="272" customFormat="1" ht="33.75" customHeight="1">
      <c r="A178" s="3459" t="s">
        <v>281</v>
      </c>
      <c r="B178" s="3459"/>
      <c r="C178" s="3459"/>
      <c r="D178" s="3459"/>
      <c r="E178" s="3459"/>
      <c r="F178" s="3459"/>
      <c r="G178" s="3459"/>
      <c r="H178" s="3459"/>
      <c r="I178" s="3460"/>
      <c r="J178" s="333"/>
      <c r="K178" s="333"/>
      <c r="L178" s="333"/>
      <c r="M178" s="333"/>
      <c r="N178" s="333"/>
      <c r="O178" s="334"/>
      <c r="P178" s="333"/>
      <c r="Q178" s="334"/>
      <c r="R178" s="335">
        <f>+R179+R188+R197</f>
        <v>129747.66</v>
      </c>
      <c r="S178" s="270"/>
      <c r="T178" s="270"/>
      <c r="U178" s="270"/>
      <c r="V178" s="270"/>
      <c r="W178" s="270"/>
      <c r="X178" s="270"/>
      <c r="Y178" s="270"/>
      <c r="Z178" s="271"/>
      <c r="AA178" s="271"/>
      <c r="AB178" s="271"/>
    </row>
    <row r="179" spans="1:28" ht="33" customHeight="1">
      <c r="A179" s="3457" t="s">
        <v>282</v>
      </c>
      <c r="B179" s="3457"/>
      <c r="C179" s="3457"/>
      <c r="D179" s="3457"/>
      <c r="E179" s="3457"/>
      <c r="F179" s="3457"/>
      <c r="G179" s="3457"/>
      <c r="H179" s="3457"/>
      <c r="I179" s="3457"/>
      <c r="J179" s="273"/>
      <c r="K179" s="273"/>
      <c r="L179" s="273"/>
      <c r="M179" s="274"/>
      <c r="N179" s="273"/>
      <c r="O179" s="275"/>
      <c r="P179" s="273"/>
      <c r="Q179" s="276"/>
      <c r="R179" s="277"/>
      <c r="S179" s="278"/>
      <c r="T179" s="278"/>
      <c r="U179" s="278"/>
      <c r="V179" s="274"/>
      <c r="W179" s="274"/>
      <c r="X179" s="274"/>
      <c r="Y179" s="274"/>
      <c r="Z179" s="279"/>
      <c r="AA179" s="279"/>
      <c r="AB179" s="279"/>
    </row>
    <row r="180" spans="1:28" ht="16.5" customHeight="1">
      <c r="A180" s="281">
        <v>611</v>
      </c>
      <c r="B180" s="3456"/>
      <c r="C180" s="3456"/>
      <c r="D180" s="3456"/>
      <c r="E180" s="3456"/>
      <c r="F180" s="3456"/>
      <c r="G180" s="3456"/>
      <c r="H180" s="3456"/>
      <c r="I180" s="3456"/>
      <c r="J180" s="282"/>
      <c r="K180" s="283"/>
      <c r="L180" s="282"/>
      <c r="M180" s="284"/>
      <c r="N180" s="283"/>
      <c r="O180" s="285"/>
      <c r="P180" s="282"/>
      <c r="Q180" s="286"/>
      <c r="R180" s="287"/>
      <c r="S180" s="288"/>
      <c r="T180" s="288"/>
      <c r="U180" s="288"/>
      <c r="V180" s="288"/>
      <c r="W180" s="288"/>
      <c r="X180" s="288"/>
      <c r="Y180" s="288"/>
      <c r="Z180" s="289"/>
      <c r="AA180" s="289"/>
      <c r="AB180" s="289"/>
    </row>
    <row r="181" spans="1:28">
      <c r="A181" s="290">
        <v>6111</v>
      </c>
      <c r="B181" s="291"/>
      <c r="C181" s="291"/>
      <c r="D181" s="291"/>
      <c r="E181" s="292"/>
      <c r="F181" s="306"/>
      <c r="G181" s="293"/>
      <c r="H181" s="293"/>
      <c r="I181" s="294"/>
      <c r="J181" s="295"/>
      <c r="K181" s="294"/>
      <c r="L181" s="295"/>
      <c r="M181" s="296"/>
      <c r="N181" s="294"/>
      <c r="O181" s="297"/>
      <c r="P181" s="295"/>
      <c r="Q181" s="298"/>
      <c r="R181" s="299"/>
      <c r="S181" s="298"/>
      <c r="T181" s="298"/>
      <c r="U181" s="298"/>
      <c r="V181" s="298"/>
      <c r="W181" s="298"/>
      <c r="X181" s="298"/>
      <c r="Y181" s="298"/>
      <c r="Z181" s="300"/>
      <c r="AA181" s="300"/>
      <c r="AB181" s="300"/>
    </row>
    <row r="182" spans="1:28">
      <c r="A182" s="290">
        <v>6112</v>
      </c>
      <c r="B182" s="291"/>
      <c r="C182" s="291"/>
      <c r="D182" s="291"/>
      <c r="E182" s="292"/>
      <c r="F182" s="306"/>
      <c r="G182" s="293"/>
      <c r="H182" s="293"/>
      <c r="I182" s="294"/>
      <c r="J182" s="295"/>
      <c r="K182" s="294"/>
      <c r="L182" s="295"/>
      <c r="M182" s="296"/>
      <c r="N182" s="294"/>
      <c r="O182" s="297"/>
      <c r="P182" s="295"/>
      <c r="Q182" s="298"/>
      <c r="R182" s="299"/>
      <c r="S182" s="298"/>
      <c r="T182" s="298"/>
      <c r="U182" s="298"/>
      <c r="V182" s="298"/>
      <c r="W182" s="298"/>
      <c r="X182" s="298"/>
      <c r="Y182" s="298"/>
      <c r="Z182" s="300"/>
      <c r="AA182" s="300"/>
      <c r="AB182" s="300"/>
    </row>
    <row r="183" spans="1:28">
      <c r="A183" s="290">
        <v>6113</v>
      </c>
      <c r="B183" s="291"/>
      <c r="C183" s="291"/>
      <c r="D183" s="291"/>
      <c r="E183" s="292"/>
      <c r="F183" s="306"/>
      <c r="G183" s="293"/>
      <c r="H183" s="293"/>
      <c r="I183" s="294"/>
      <c r="J183" s="295"/>
      <c r="K183" s="294"/>
      <c r="L183" s="295"/>
      <c r="M183" s="296"/>
      <c r="N183" s="294"/>
      <c r="O183" s="297"/>
      <c r="P183" s="295"/>
      <c r="Q183" s="298"/>
      <c r="R183" s="299"/>
      <c r="S183" s="298"/>
      <c r="T183" s="298"/>
      <c r="U183" s="298"/>
      <c r="V183" s="298"/>
      <c r="W183" s="298"/>
      <c r="X183" s="298"/>
      <c r="Y183" s="298"/>
      <c r="Z183" s="300"/>
      <c r="AA183" s="300"/>
      <c r="AB183" s="300"/>
    </row>
    <row r="184" spans="1:28" ht="16.5" customHeight="1">
      <c r="A184" s="281">
        <v>612</v>
      </c>
      <c r="B184" s="3456"/>
      <c r="C184" s="3456"/>
      <c r="D184" s="3456"/>
      <c r="E184" s="3456"/>
      <c r="F184" s="3456"/>
      <c r="G184" s="3456"/>
      <c r="H184" s="3456"/>
      <c r="I184" s="3456"/>
      <c r="J184" s="282"/>
      <c r="K184" s="283"/>
      <c r="L184" s="282"/>
      <c r="M184" s="284"/>
      <c r="N184" s="283"/>
      <c r="O184" s="285"/>
      <c r="P184" s="282"/>
      <c r="Q184" s="286"/>
      <c r="R184" s="287"/>
      <c r="S184" s="288"/>
      <c r="T184" s="288"/>
      <c r="U184" s="288"/>
      <c r="V184" s="288"/>
      <c r="W184" s="288"/>
      <c r="X184" s="288"/>
      <c r="Y184" s="288"/>
      <c r="Z184" s="289"/>
      <c r="AA184" s="289"/>
      <c r="AB184" s="289"/>
    </row>
    <row r="185" spans="1:28">
      <c r="A185" s="290">
        <v>6121</v>
      </c>
      <c r="B185" s="291"/>
      <c r="C185" s="291"/>
      <c r="D185" s="291"/>
      <c r="E185" s="292"/>
      <c r="F185" s="306"/>
      <c r="G185" s="293"/>
      <c r="H185" s="293"/>
      <c r="I185" s="294"/>
      <c r="J185" s="295"/>
      <c r="K185" s="294"/>
      <c r="L185" s="295"/>
      <c r="M185" s="296"/>
      <c r="N185" s="294"/>
      <c r="O185" s="297"/>
      <c r="P185" s="295"/>
      <c r="Q185" s="298"/>
      <c r="R185" s="299"/>
      <c r="S185" s="298"/>
      <c r="T185" s="298"/>
      <c r="U185" s="298"/>
      <c r="V185" s="298"/>
      <c r="W185" s="298"/>
      <c r="X185" s="298"/>
      <c r="Y185" s="298"/>
      <c r="Z185" s="300"/>
      <c r="AA185" s="300"/>
      <c r="AB185" s="300"/>
    </row>
    <row r="186" spans="1:28">
      <c r="A186" s="290">
        <v>6122</v>
      </c>
      <c r="B186" s="291"/>
      <c r="C186" s="291"/>
      <c r="D186" s="291"/>
      <c r="E186" s="292"/>
      <c r="F186" s="306"/>
      <c r="G186" s="293"/>
      <c r="H186" s="293"/>
      <c r="I186" s="294"/>
      <c r="J186" s="295"/>
      <c r="K186" s="294"/>
      <c r="L186" s="295"/>
      <c r="M186" s="296"/>
      <c r="N186" s="294"/>
      <c r="O186" s="297"/>
      <c r="P186" s="295"/>
      <c r="Q186" s="298"/>
      <c r="R186" s="299"/>
      <c r="S186" s="298"/>
      <c r="T186" s="298"/>
      <c r="U186" s="298"/>
      <c r="V186" s="298"/>
      <c r="W186" s="298"/>
      <c r="X186" s="298"/>
      <c r="Y186" s="298"/>
      <c r="Z186" s="300"/>
      <c r="AA186" s="300"/>
      <c r="AB186" s="300"/>
    </row>
    <row r="187" spans="1:28">
      <c r="A187" s="301" t="s">
        <v>233</v>
      </c>
      <c r="B187" s="291"/>
      <c r="C187" s="291"/>
      <c r="D187" s="291"/>
      <c r="E187" s="292"/>
      <c r="F187" s="306"/>
      <c r="G187" s="293"/>
      <c r="H187" s="293"/>
      <c r="I187" s="294"/>
      <c r="J187" s="295"/>
      <c r="K187" s="294"/>
      <c r="L187" s="295"/>
      <c r="M187" s="296"/>
      <c r="N187" s="294"/>
      <c r="O187" s="297"/>
      <c r="P187" s="295"/>
      <c r="Q187" s="298"/>
      <c r="R187" s="299"/>
      <c r="S187" s="298"/>
      <c r="T187" s="298"/>
      <c r="U187" s="298"/>
      <c r="V187" s="298"/>
      <c r="W187" s="298"/>
      <c r="X187" s="298"/>
      <c r="Y187" s="298"/>
      <c r="Z187" s="300"/>
      <c r="AA187" s="300"/>
      <c r="AB187" s="300"/>
    </row>
    <row r="188" spans="1:28" ht="38.25" customHeight="1">
      <c r="A188" s="3457" t="s">
        <v>283</v>
      </c>
      <c r="B188" s="3457"/>
      <c r="C188" s="3457"/>
      <c r="D188" s="3457"/>
      <c r="E188" s="3457"/>
      <c r="F188" s="3457"/>
      <c r="G188" s="3457"/>
      <c r="H188" s="3457"/>
      <c r="I188" s="3457"/>
      <c r="J188" s="273"/>
      <c r="K188" s="273"/>
      <c r="L188" s="273"/>
      <c r="M188" s="274"/>
      <c r="N188" s="273"/>
      <c r="O188" s="275"/>
      <c r="P188" s="273"/>
      <c r="Q188" s="276"/>
      <c r="R188" s="277"/>
      <c r="S188" s="278"/>
      <c r="T188" s="278"/>
      <c r="U188" s="278"/>
      <c r="V188" s="274"/>
      <c r="W188" s="274"/>
      <c r="X188" s="274"/>
      <c r="Y188" s="274"/>
      <c r="Z188" s="279"/>
      <c r="AA188" s="279"/>
      <c r="AB188" s="279"/>
    </row>
    <row r="189" spans="1:28" ht="16.5" customHeight="1">
      <c r="A189" s="281">
        <v>621</v>
      </c>
      <c r="B189" s="3456"/>
      <c r="C189" s="3456"/>
      <c r="D189" s="3456"/>
      <c r="E189" s="3456"/>
      <c r="F189" s="3456"/>
      <c r="G189" s="3456"/>
      <c r="H189" s="3456"/>
      <c r="I189" s="3456"/>
      <c r="J189" s="282"/>
      <c r="K189" s="283"/>
      <c r="L189" s="282"/>
      <c r="M189" s="284"/>
      <c r="N189" s="283"/>
      <c r="O189" s="285"/>
      <c r="P189" s="282"/>
      <c r="Q189" s="286"/>
      <c r="R189" s="287"/>
      <c r="S189" s="288"/>
      <c r="T189" s="288"/>
      <c r="U189" s="288"/>
      <c r="V189" s="288"/>
      <c r="W189" s="288"/>
      <c r="X189" s="288"/>
      <c r="Y189" s="288"/>
      <c r="Z189" s="289"/>
      <c r="AA189" s="289"/>
      <c r="AB189" s="289"/>
    </row>
    <row r="190" spans="1:28">
      <c r="A190" s="290">
        <v>6211</v>
      </c>
      <c r="B190" s="291"/>
      <c r="C190" s="291"/>
      <c r="D190" s="291"/>
      <c r="E190" s="292"/>
      <c r="F190" s="306"/>
      <c r="G190" s="293"/>
      <c r="H190" s="293"/>
      <c r="I190" s="294"/>
      <c r="J190" s="295"/>
      <c r="K190" s="294"/>
      <c r="L190" s="295"/>
      <c r="M190" s="296"/>
      <c r="N190" s="294"/>
      <c r="O190" s="297"/>
      <c r="P190" s="295"/>
      <c r="Q190" s="298"/>
      <c r="R190" s="299"/>
      <c r="S190" s="298"/>
      <c r="T190" s="298"/>
      <c r="U190" s="298"/>
      <c r="V190" s="298"/>
      <c r="W190" s="298"/>
      <c r="X190" s="298"/>
      <c r="Y190" s="298"/>
      <c r="Z190" s="300"/>
      <c r="AA190" s="300"/>
      <c r="AB190" s="300"/>
    </row>
    <row r="191" spans="1:28">
      <c r="A191" s="290">
        <v>6212</v>
      </c>
      <c r="B191" s="291"/>
      <c r="C191" s="291"/>
      <c r="D191" s="291"/>
      <c r="E191" s="292"/>
      <c r="F191" s="306"/>
      <c r="G191" s="293"/>
      <c r="H191" s="293"/>
      <c r="I191" s="294"/>
      <c r="J191" s="295"/>
      <c r="K191" s="294"/>
      <c r="L191" s="295"/>
      <c r="M191" s="296"/>
      <c r="N191" s="294"/>
      <c r="O191" s="297"/>
      <c r="P191" s="295"/>
      <c r="Q191" s="298"/>
      <c r="R191" s="299"/>
      <c r="S191" s="298"/>
      <c r="T191" s="298"/>
      <c r="U191" s="298"/>
      <c r="V191" s="298"/>
      <c r="W191" s="298"/>
      <c r="X191" s="298"/>
      <c r="Y191" s="298"/>
      <c r="Z191" s="300"/>
      <c r="AA191" s="300"/>
      <c r="AB191" s="300"/>
    </row>
    <row r="192" spans="1:28">
      <c r="A192" s="290">
        <v>6213</v>
      </c>
      <c r="B192" s="291"/>
      <c r="C192" s="291"/>
      <c r="D192" s="291"/>
      <c r="E192" s="292"/>
      <c r="F192" s="306"/>
      <c r="G192" s="293"/>
      <c r="H192" s="293"/>
      <c r="I192" s="294"/>
      <c r="J192" s="295"/>
      <c r="K192" s="294"/>
      <c r="L192" s="295"/>
      <c r="M192" s="296"/>
      <c r="N192" s="294"/>
      <c r="O192" s="297"/>
      <c r="P192" s="295"/>
      <c r="Q192" s="298"/>
      <c r="R192" s="299"/>
      <c r="S192" s="298"/>
      <c r="T192" s="298"/>
      <c r="U192" s="298"/>
      <c r="V192" s="298"/>
      <c r="W192" s="298"/>
      <c r="X192" s="298"/>
      <c r="Y192" s="298"/>
      <c r="Z192" s="300"/>
      <c r="AA192" s="300"/>
      <c r="AB192" s="300"/>
    </row>
    <row r="193" spans="1:28" ht="16.5" customHeight="1">
      <c r="A193" s="281">
        <v>622</v>
      </c>
      <c r="B193" s="3456"/>
      <c r="C193" s="3456"/>
      <c r="D193" s="3456"/>
      <c r="E193" s="3456"/>
      <c r="F193" s="3456"/>
      <c r="G193" s="3456"/>
      <c r="H193" s="3456"/>
      <c r="I193" s="3456"/>
      <c r="J193" s="282"/>
      <c r="K193" s="283"/>
      <c r="L193" s="282"/>
      <c r="M193" s="284"/>
      <c r="N193" s="283"/>
      <c r="O193" s="285"/>
      <c r="P193" s="282"/>
      <c r="Q193" s="286"/>
      <c r="R193" s="287"/>
      <c r="S193" s="288"/>
      <c r="T193" s="288"/>
      <c r="U193" s="288"/>
      <c r="V193" s="288"/>
      <c r="W193" s="288"/>
      <c r="X193" s="288"/>
      <c r="Y193" s="288"/>
      <c r="Z193" s="289"/>
      <c r="AA193" s="289"/>
      <c r="AB193" s="289"/>
    </row>
    <row r="194" spans="1:28">
      <c r="A194" s="290">
        <v>6221</v>
      </c>
      <c r="B194" s="291"/>
      <c r="C194" s="291"/>
      <c r="D194" s="291"/>
      <c r="E194" s="292"/>
      <c r="F194" s="306"/>
      <c r="G194" s="293"/>
      <c r="H194" s="293"/>
      <c r="I194" s="294"/>
      <c r="J194" s="295"/>
      <c r="K194" s="294"/>
      <c r="L194" s="295"/>
      <c r="M194" s="296"/>
      <c r="N194" s="294"/>
      <c r="O194" s="297"/>
      <c r="P194" s="295"/>
      <c r="Q194" s="298"/>
      <c r="R194" s="299"/>
      <c r="S194" s="298"/>
      <c r="T194" s="298"/>
      <c r="U194" s="298"/>
      <c r="V194" s="298"/>
      <c r="W194" s="298"/>
      <c r="X194" s="298"/>
      <c r="Y194" s="298"/>
      <c r="Z194" s="300"/>
      <c r="AA194" s="300"/>
      <c r="AB194" s="300"/>
    </row>
    <row r="195" spans="1:28">
      <c r="A195" s="290">
        <v>6222</v>
      </c>
      <c r="B195" s="291"/>
      <c r="C195" s="291"/>
      <c r="D195" s="291"/>
      <c r="E195" s="292"/>
      <c r="F195" s="306"/>
      <c r="G195" s="293"/>
      <c r="H195" s="293"/>
      <c r="I195" s="294"/>
      <c r="J195" s="295"/>
      <c r="K195" s="294"/>
      <c r="L195" s="295"/>
      <c r="M195" s="296"/>
      <c r="N195" s="294"/>
      <c r="O195" s="297"/>
      <c r="P195" s="295"/>
      <c r="Q195" s="298"/>
      <c r="R195" s="299"/>
      <c r="S195" s="298"/>
      <c r="T195" s="298"/>
      <c r="U195" s="298"/>
      <c r="V195" s="298"/>
      <c r="W195" s="298"/>
      <c r="X195" s="298"/>
      <c r="Y195" s="298"/>
      <c r="Z195" s="300"/>
      <c r="AA195" s="300"/>
      <c r="AB195" s="300"/>
    </row>
    <row r="196" spans="1:28">
      <c r="A196" s="301" t="s">
        <v>233</v>
      </c>
      <c r="B196" s="291"/>
      <c r="C196" s="291"/>
      <c r="D196" s="291"/>
      <c r="E196" s="292"/>
      <c r="F196" s="306"/>
      <c r="G196" s="293"/>
      <c r="H196" s="293"/>
      <c r="I196" s="294"/>
      <c r="J196" s="295"/>
      <c r="K196" s="294"/>
      <c r="L196" s="295"/>
      <c r="M196" s="296"/>
      <c r="N196" s="294"/>
      <c r="O196" s="297"/>
      <c r="P196" s="295"/>
      <c r="Q196" s="298"/>
      <c r="R196" s="299"/>
      <c r="S196" s="298"/>
      <c r="T196" s="298"/>
      <c r="U196" s="298"/>
      <c r="V196" s="298"/>
      <c r="W196" s="298"/>
      <c r="X196" s="298"/>
      <c r="Y196" s="298"/>
      <c r="Z196" s="300"/>
      <c r="AA196" s="300"/>
      <c r="AB196" s="300"/>
    </row>
    <row r="197" spans="1:28" ht="38.25" customHeight="1">
      <c r="A197" s="3457" t="s">
        <v>284</v>
      </c>
      <c r="B197" s="3457"/>
      <c r="C197" s="3457"/>
      <c r="D197" s="3457"/>
      <c r="E197" s="3457"/>
      <c r="F197" s="3457"/>
      <c r="G197" s="3457"/>
      <c r="H197" s="3457"/>
      <c r="I197" s="3457"/>
      <c r="J197" s="273"/>
      <c r="K197" s="273"/>
      <c r="L197" s="273"/>
      <c r="M197" s="274"/>
      <c r="N197" s="273"/>
      <c r="O197" s="275"/>
      <c r="P197" s="273"/>
      <c r="Q197" s="276"/>
      <c r="R197" s="277">
        <f>+'[2]Compil Costing PPA 3 millions'!F20</f>
        <v>129747.66</v>
      </c>
      <c r="S197" s="278"/>
      <c r="T197" s="278"/>
      <c r="U197" s="278"/>
      <c r="V197" s="274"/>
      <c r="W197" s="274"/>
      <c r="X197" s="274"/>
      <c r="Y197" s="274"/>
      <c r="Z197" s="279"/>
      <c r="AA197" s="279"/>
      <c r="AB197" s="279"/>
    </row>
    <row r="198" spans="1:28" ht="16.5" customHeight="1">
      <c r="A198" s="281">
        <v>631</v>
      </c>
      <c r="B198" s="3456"/>
      <c r="C198" s="3456"/>
      <c r="D198" s="3456"/>
      <c r="E198" s="3456"/>
      <c r="F198" s="3456"/>
      <c r="G198" s="3456"/>
      <c r="H198" s="3456"/>
      <c r="I198" s="3456"/>
      <c r="J198" s="282"/>
      <c r="K198" s="283"/>
      <c r="L198" s="282"/>
      <c r="M198" s="284"/>
      <c r="N198" s="283"/>
      <c r="O198" s="285"/>
      <c r="P198" s="282"/>
      <c r="Q198" s="286"/>
      <c r="R198" s="287"/>
      <c r="S198" s="288"/>
      <c r="T198" s="288"/>
      <c r="U198" s="288"/>
      <c r="V198" s="288"/>
      <c r="W198" s="288"/>
      <c r="X198" s="288"/>
      <c r="Y198" s="288"/>
      <c r="Z198" s="289"/>
      <c r="AA198" s="289"/>
      <c r="AB198" s="289"/>
    </row>
    <row r="199" spans="1:28">
      <c r="A199" s="290">
        <v>6311</v>
      </c>
      <c r="B199" s="291"/>
      <c r="C199" s="291"/>
      <c r="D199" s="291"/>
      <c r="E199" s="292"/>
      <c r="F199" s="306"/>
      <c r="G199" s="293"/>
      <c r="H199" s="293"/>
      <c r="I199" s="294"/>
      <c r="J199" s="295"/>
      <c r="K199" s="294"/>
      <c r="L199" s="295"/>
      <c r="M199" s="296"/>
      <c r="N199" s="294"/>
      <c r="O199" s="297"/>
      <c r="P199" s="295"/>
      <c r="Q199" s="298"/>
      <c r="R199" s="299"/>
      <c r="S199" s="298"/>
      <c r="T199" s="298"/>
      <c r="U199" s="298"/>
      <c r="V199" s="298"/>
      <c r="W199" s="298"/>
      <c r="X199" s="298"/>
      <c r="Y199" s="298"/>
      <c r="Z199" s="300"/>
      <c r="AA199" s="300"/>
      <c r="AB199" s="300"/>
    </row>
    <row r="200" spans="1:28">
      <c r="A200" s="290">
        <v>6312</v>
      </c>
      <c r="B200" s="291"/>
      <c r="C200" s="291"/>
      <c r="D200" s="291"/>
      <c r="E200" s="292"/>
      <c r="F200" s="306"/>
      <c r="G200" s="293"/>
      <c r="H200" s="293"/>
      <c r="I200" s="294"/>
      <c r="J200" s="295"/>
      <c r="K200" s="294"/>
      <c r="L200" s="295"/>
      <c r="M200" s="296"/>
      <c r="N200" s="294"/>
      <c r="O200" s="297"/>
      <c r="P200" s="295"/>
      <c r="Q200" s="298"/>
      <c r="R200" s="299"/>
      <c r="S200" s="298"/>
      <c r="T200" s="298"/>
      <c r="U200" s="298"/>
      <c r="V200" s="298"/>
      <c r="W200" s="298"/>
      <c r="X200" s="298"/>
      <c r="Y200" s="298"/>
      <c r="Z200" s="300"/>
      <c r="AA200" s="300"/>
      <c r="AB200" s="300"/>
    </row>
    <row r="201" spans="1:28">
      <c r="A201" s="290">
        <v>6313</v>
      </c>
      <c r="B201" s="291"/>
      <c r="C201" s="291"/>
      <c r="D201" s="291"/>
      <c r="E201" s="292"/>
      <c r="F201" s="306"/>
      <c r="G201" s="293"/>
      <c r="H201" s="293"/>
      <c r="I201" s="294"/>
      <c r="J201" s="295"/>
      <c r="K201" s="294"/>
      <c r="L201" s="295"/>
      <c r="M201" s="296"/>
      <c r="N201" s="294"/>
      <c r="O201" s="297"/>
      <c r="P201" s="295"/>
      <c r="Q201" s="298"/>
      <c r="R201" s="299"/>
      <c r="S201" s="298"/>
      <c r="T201" s="298"/>
      <c r="U201" s="298"/>
      <c r="V201" s="298"/>
      <c r="W201" s="298"/>
      <c r="X201" s="298"/>
      <c r="Y201" s="298"/>
      <c r="Z201" s="300"/>
      <c r="AA201" s="300"/>
      <c r="AB201" s="300"/>
    </row>
    <row r="202" spans="1:28" ht="16.5" customHeight="1">
      <c r="A202" s="281">
        <v>632</v>
      </c>
      <c r="B202" s="3456"/>
      <c r="C202" s="3456"/>
      <c r="D202" s="3456"/>
      <c r="E202" s="3456"/>
      <c r="F202" s="3456"/>
      <c r="G202" s="3456"/>
      <c r="H202" s="3456"/>
      <c r="I202" s="3456"/>
      <c r="J202" s="282"/>
      <c r="K202" s="283"/>
      <c r="L202" s="282"/>
      <c r="M202" s="284"/>
      <c r="N202" s="283"/>
      <c r="O202" s="285"/>
      <c r="P202" s="282"/>
      <c r="Q202" s="286"/>
      <c r="R202" s="287"/>
      <c r="S202" s="288"/>
      <c r="T202" s="288"/>
      <c r="U202" s="288"/>
      <c r="V202" s="288"/>
      <c r="W202" s="288"/>
      <c r="X202" s="288"/>
      <c r="Y202" s="288"/>
      <c r="Z202" s="289"/>
      <c r="AA202" s="289"/>
      <c r="AB202" s="289"/>
    </row>
    <row r="203" spans="1:28">
      <c r="A203" s="290">
        <v>6321</v>
      </c>
      <c r="B203" s="291"/>
      <c r="C203" s="291"/>
      <c r="D203" s="291"/>
      <c r="E203" s="292"/>
      <c r="F203" s="306"/>
      <c r="G203" s="293"/>
      <c r="H203" s="293"/>
      <c r="I203" s="294"/>
      <c r="J203" s="295"/>
      <c r="K203" s="294"/>
      <c r="L203" s="295"/>
      <c r="M203" s="296"/>
      <c r="N203" s="294"/>
      <c r="O203" s="297"/>
      <c r="P203" s="295"/>
      <c r="Q203" s="298"/>
      <c r="R203" s="299"/>
      <c r="S203" s="298"/>
      <c r="T203" s="298"/>
      <c r="U203" s="298"/>
      <c r="V203" s="298"/>
      <c r="W203" s="298"/>
      <c r="X203" s="298"/>
      <c r="Y203" s="298"/>
      <c r="Z203" s="300"/>
      <c r="AA203" s="300"/>
      <c r="AB203" s="300"/>
    </row>
    <row r="204" spans="1:28">
      <c r="A204" s="290">
        <v>6322</v>
      </c>
      <c r="B204" s="291"/>
      <c r="C204" s="291"/>
      <c r="D204" s="291"/>
      <c r="E204" s="292"/>
      <c r="F204" s="306"/>
      <c r="G204" s="293"/>
      <c r="H204" s="293"/>
      <c r="I204" s="294"/>
      <c r="J204" s="295"/>
      <c r="K204" s="294"/>
      <c r="L204" s="295"/>
      <c r="M204" s="296"/>
      <c r="N204" s="294"/>
      <c r="O204" s="297"/>
      <c r="P204" s="295"/>
      <c r="Q204" s="298"/>
      <c r="R204" s="299"/>
      <c r="S204" s="298"/>
      <c r="T204" s="298"/>
      <c r="U204" s="298"/>
      <c r="V204" s="298"/>
      <c r="W204" s="298"/>
      <c r="X204" s="298"/>
      <c r="Y204" s="298"/>
      <c r="Z204" s="300"/>
      <c r="AA204" s="300"/>
      <c r="AB204" s="300"/>
    </row>
    <row r="205" spans="1:28">
      <c r="A205" s="301" t="s">
        <v>233</v>
      </c>
      <c r="B205" s="291"/>
      <c r="C205" s="291"/>
      <c r="D205" s="291"/>
      <c r="E205" s="292"/>
      <c r="F205" s="306"/>
      <c r="G205" s="293"/>
      <c r="H205" s="293"/>
      <c r="I205" s="294"/>
      <c r="J205" s="295"/>
      <c r="K205" s="294"/>
      <c r="L205" s="295"/>
      <c r="M205" s="296"/>
      <c r="N205" s="294"/>
      <c r="O205" s="297"/>
      <c r="P205" s="295"/>
      <c r="Q205" s="298"/>
      <c r="R205" s="299"/>
      <c r="S205" s="298"/>
      <c r="T205" s="298"/>
      <c r="U205" s="298"/>
      <c r="V205" s="298"/>
      <c r="W205" s="298"/>
      <c r="X205" s="298"/>
      <c r="Y205" s="298"/>
      <c r="Z205" s="300"/>
      <c r="AA205" s="300"/>
      <c r="AB205" s="300"/>
    </row>
    <row r="206" spans="1:28">
      <c r="H206" s="336"/>
      <c r="P206" s="342" t="s">
        <v>285</v>
      </c>
      <c r="Q206" s="315">
        <f>+Q7+Q26+Q127+Q146+Q174+Q178</f>
        <v>0</v>
      </c>
      <c r="R206" s="344">
        <f>+R7+R26+R127+R146+R174+R178</f>
        <v>3000000.2229166673</v>
      </c>
    </row>
  </sheetData>
  <mergeCells count="63">
    <mergeCell ref="A2:V2"/>
    <mergeCell ref="A5:A6"/>
    <mergeCell ref="B5:B6"/>
    <mergeCell ref="C5:C6"/>
    <mergeCell ref="D5:D6"/>
    <mergeCell ref="E5:E6"/>
    <mergeCell ref="F5:G5"/>
    <mergeCell ref="H5:H6"/>
    <mergeCell ref="I5:J5"/>
    <mergeCell ref="K5:K6"/>
    <mergeCell ref="R5:R6"/>
    <mergeCell ref="S5:Y5"/>
    <mergeCell ref="P5:P6"/>
    <mergeCell ref="Q5:Q6"/>
    <mergeCell ref="B13:I13"/>
    <mergeCell ref="L5:L6"/>
    <mergeCell ref="M5:M6"/>
    <mergeCell ref="N5:N6"/>
    <mergeCell ref="O5:O6"/>
    <mergeCell ref="A7:I7"/>
    <mergeCell ref="A8:I8"/>
    <mergeCell ref="B9:I9"/>
    <mergeCell ref="A127:I127"/>
    <mergeCell ref="A17:I17"/>
    <mergeCell ref="B18:I18"/>
    <mergeCell ref="B22:I22"/>
    <mergeCell ref="A26:I26"/>
    <mergeCell ref="A27:I27"/>
    <mergeCell ref="A107:I107"/>
    <mergeCell ref="B108:I108"/>
    <mergeCell ref="B114:I114"/>
    <mergeCell ref="A118:I118"/>
    <mergeCell ref="B119:I119"/>
    <mergeCell ref="B123:I123"/>
    <mergeCell ref="B157:I157"/>
    <mergeCell ref="A128:I128"/>
    <mergeCell ref="B129:I129"/>
    <mergeCell ref="B133:I133"/>
    <mergeCell ref="A137:I137"/>
    <mergeCell ref="B138:I138"/>
    <mergeCell ref="B142:I142"/>
    <mergeCell ref="A146:I146"/>
    <mergeCell ref="A147:I147"/>
    <mergeCell ref="B148:I148"/>
    <mergeCell ref="B152:I152"/>
    <mergeCell ref="A156:I156"/>
    <mergeCell ref="A188:I188"/>
    <mergeCell ref="B161:I161"/>
    <mergeCell ref="A165:I165"/>
    <mergeCell ref="B166:I166"/>
    <mergeCell ref="B170:I170"/>
    <mergeCell ref="A174:I174"/>
    <mergeCell ref="A175:I175"/>
    <mergeCell ref="B176:I176"/>
    <mergeCell ref="A178:I178"/>
    <mergeCell ref="A179:I179"/>
    <mergeCell ref="B180:I180"/>
    <mergeCell ref="B184:I184"/>
    <mergeCell ref="B189:I189"/>
    <mergeCell ref="B193:I193"/>
    <mergeCell ref="A197:I197"/>
    <mergeCell ref="B198:I198"/>
    <mergeCell ref="B202:I20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A168"/>
  <sheetViews>
    <sheetView topLeftCell="A73" workbookViewId="0">
      <selection activeCell="A81" sqref="A81"/>
    </sheetView>
  </sheetViews>
  <sheetFormatPr baseColWidth="10" defaultColWidth="11.42578125" defaultRowHeight="15.75"/>
  <cols>
    <col min="1" max="1" width="7.28515625" style="336" customWidth="1"/>
    <col min="2" max="2" width="41.42578125" style="337" customWidth="1"/>
    <col min="3" max="3" width="29.85546875" style="337" customWidth="1"/>
    <col min="4" max="4" width="9.5703125" style="337" customWidth="1"/>
    <col min="5" max="5" width="11.42578125" style="338" customWidth="1"/>
    <col min="6" max="6" width="11.5703125" style="339" bestFit="1" customWidth="1"/>
    <col min="7" max="7" width="11.140625" style="340" bestFit="1" customWidth="1"/>
    <col min="8" max="8" width="21.7109375" style="340" customWidth="1"/>
    <col min="9" max="9" width="14" style="341" bestFit="1" customWidth="1"/>
    <col min="10" max="10" width="18.140625" style="342" customWidth="1"/>
    <col min="11" max="11" width="16.140625" style="341" customWidth="1"/>
    <col min="12" max="12" width="13.85546875" style="342" customWidth="1"/>
    <col min="13" max="13" width="13.85546875" style="280" customWidth="1"/>
    <col min="14" max="14" width="13.85546875" style="341" customWidth="1"/>
    <col min="15" max="15" width="15.7109375" style="343" customWidth="1"/>
    <col min="16" max="16" width="14" style="342" customWidth="1"/>
    <col min="17" max="17" width="17.28515625" style="315" customWidth="1"/>
    <col min="18" max="18" width="17" style="344" bestFit="1" customWidth="1"/>
    <col min="19" max="19" width="17" style="315" customWidth="1"/>
    <col min="20" max="25" width="10.42578125" style="315" customWidth="1"/>
    <col min="26" max="16384" width="11.42578125" style="280"/>
  </cols>
  <sheetData>
    <row r="1" spans="1:25" s="238" customFormat="1">
      <c r="A1" s="234"/>
      <c r="B1" s="235"/>
      <c r="C1" s="235"/>
      <c r="D1" s="235"/>
      <c r="E1" s="236"/>
      <c r="F1" s="237"/>
      <c r="G1" s="237"/>
      <c r="H1" s="237"/>
      <c r="I1" s="237"/>
      <c r="J1" s="237"/>
      <c r="K1" s="237"/>
      <c r="L1" s="237"/>
      <c r="N1" s="237"/>
      <c r="O1" s="239"/>
      <c r="P1" s="237"/>
      <c r="Q1" s="240"/>
      <c r="R1" s="241"/>
      <c r="S1" s="239"/>
      <c r="T1" s="239"/>
      <c r="U1" s="239"/>
      <c r="V1" s="239"/>
      <c r="W1" s="239"/>
      <c r="X1" s="239"/>
      <c r="Y1" s="239"/>
    </row>
    <row r="2" spans="1:25" s="238" customFormat="1" ht="15.75" customHeight="1">
      <c r="A2" s="3443" t="s">
        <v>202</v>
      </c>
      <c r="B2" s="3443"/>
      <c r="C2" s="3443"/>
      <c r="D2" s="3443"/>
      <c r="E2" s="3443"/>
      <c r="F2" s="3443"/>
      <c r="G2" s="3443"/>
      <c r="H2" s="3443"/>
      <c r="I2" s="3443"/>
      <c r="J2" s="3443"/>
      <c r="K2" s="3443"/>
      <c r="L2" s="3443"/>
      <c r="M2" s="3443"/>
      <c r="N2" s="3443"/>
      <c r="O2" s="3443"/>
      <c r="P2" s="3443"/>
      <c r="Q2" s="3443"/>
      <c r="R2" s="3443"/>
      <c r="S2" s="3443"/>
      <c r="T2" s="3443"/>
      <c r="U2" s="3443"/>
      <c r="V2" s="3443"/>
    </row>
    <row r="3" spans="1:25" s="249" customFormat="1" ht="15.75" customHeight="1">
      <c r="A3" s="244"/>
      <c r="B3" s="244"/>
      <c r="C3" s="244"/>
      <c r="D3" s="244"/>
      <c r="E3" s="245"/>
      <c r="F3" s="244"/>
      <c r="G3" s="244"/>
      <c r="H3" s="244"/>
      <c r="I3" s="245"/>
      <c r="J3" s="245"/>
      <c r="K3" s="245"/>
      <c r="L3" s="245"/>
      <c r="M3" s="244"/>
      <c r="N3" s="245"/>
      <c r="O3" s="246"/>
      <c r="P3" s="245"/>
      <c r="Q3" s="247"/>
      <c r="R3" s="248"/>
      <c r="S3" s="244"/>
      <c r="T3" s="244"/>
      <c r="U3" s="244"/>
      <c r="V3" s="244"/>
    </row>
    <row r="4" spans="1:25" s="255" customFormat="1" ht="15">
      <c r="A4" s="251"/>
      <c r="B4" s="252"/>
      <c r="C4" s="252"/>
      <c r="D4" s="252"/>
      <c r="E4" s="253"/>
      <c r="F4" s="254"/>
      <c r="G4" s="254"/>
      <c r="H4" s="254"/>
      <c r="I4" s="254"/>
      <c r="J4" s="254"/>
      <c r="K4" s="254"/>
      <c r="L4" s="254"/>
      <c r="N4" s="254"/>
      <c r="O4" s="256"/>
      <c r="P4" s="254"/>
      <c r="Q4" s="257"/>
      <c r="R4" s="258">
        <v>3000</v>
      </c>
      <c r="S4" s="256"/>
      <c r="T4" s="256"/>
      <c r="U4" s="256"/>
      <c r="V4" s="256"/>
      <c r="W4" s="256"/>
      <c r="X4" s="256"/>
      <c r="Y4" s="256"/>
    </row>
    <row r="5" spans="1:25" s="238" customFormat="1" ht="34.5" customHeight="1">
      <c r="A5" s="3466" t="s">
        <v>203</v>
      </c>
      <c r="B5" s="3462" t="s">
        <v>204</v>
      </c>
      <c r="C5" s="3462" t="s">
        <v>205</v>
      </c>
      <c r="D5" s="3464" t="s">
        <v>206</v>
      </c>
      <c r="E5" s="3467" t="s">
        <v>207</v>
      </c>
      <c r="F5" s="3468" t="s">
        <v>208</v>
      </c>
      <c r="G5" s="3468"/>
      <c r="H5" s="3468" t="s">
        <v>209</v>
      </c>
      <c r="I5" s="3469" t="s">
        <v>210</v>
      </c>
      <c r="J5" s="3469"/>
      <c r="K5" s="3470" t="s">
        <v>211</v>
      </c>
      <c r="L5" s="3462" t="s">
        <v>212</v>
      </c>
      <c r="M5" s="3463" t="s">
        <v>213</v>
      </c>
      <c r="N5" s="3464" t="s">
        <v>214</v>
      </c>
      <c r="O5" s="3465" t="s">
        <v>437</v>
      </c>
      <c r="P5" s="3462" t="s">
        <v>216</v>
      </c>
      <c r="Q5" s="3465" t="s">
        <v>438</v>
      </c>
      <c r="R5" s="3471" t="s">
        <v>287</v>
      </c>
      <c r="S5" s="3472" t="s">
        <v>219</v>
      </c>
      <c r="T5" s="3472"/>
      <c r="U5" s="3472"/>
      <c r="V5" s="3472"/>
      <c r="W5" s="3472"/>
      <c r="X5" s="3472"/>
      <c r="Y5" s="3472"/>
    </row>
    <row r="6" spans="1:25" s="237" customFormat="1" ht="67.5" customHeight="1">
      <c r="A6" s="3466"/>
      <c r="B6" s="3462"/>
      <c r="C6" s="3462"/>
      <c r="D6" s="3442"/>
      <c r="E6" s="3446"/>
      <c r="F6" s="260" t="s">
        <v>220</v>
      </c>
      <c r="G6" s="261" t="s">
        <v>221</v>
      </c>
      <c r="H6" s="3468"/>
      <c r="I6" s="262" t="s">
        <v>222</v>
      </c>
      <c r="J6" s="262" t="s">
        <v>288</v>
      </c>
      <c r="K6" s="3450"/>
      <c r="L6" s="3462"/>
      <c r="M6" s="3463"/>
      <c r="N6" s="3442"/>
      <c r="O6" s="3465"/>
      <c r="P6" s="3462"/>
      <c r="Q6" s="3465"/>
      <c r="R6" s="3471"/>
      <c r="S6" s="263" t="s">
        <v>224</v>
      </c>
      <c r="T6" s="263" t="s">
        <v>225</v>
      </c>
      <c r="U6" s="263" t="s">
        <v>226</v>
      </c>
      <c r="V6" s="263" t="s">
        <v>227</v>
      </c>
      <c r="W6" s="263" t="s">
        <v>228</v>
      </c>
      <c r="X6" s="263" t="s">
        <v>229</v>
      </c>
      <c r="Y6" s="263" t="s">
        <v>230</v>
      </c>
    </row>
    <row r="7" spans="1:25" s="272" customFormat="1" ht="33.75" customHeight="1">
      <c r="A7" s="3458" t="s">
        <v>231</v>
      </c>
      <c r="B7" s="3458"/>
      <c r="C7" s="3458"/>
      <c r="D7" s="3458"/>
      <c r="E7" s="3458"/>
      <c r="F7" s="3458"/>
      <c r="G7" s="3458"/>
      <c r="H7" s="3458"/>
      <c r="I7" s="3458"/>
      <c r="J7" s="265"/>
      <c r="K7" s="265"/>
      <c r="L7" s="265"/>
      <c r="M7" s="266"/>
      <c r="N7" s="265"/>
      <c r="O7" s="267"/>
      <c r="P7" s="265"/>
      <c r="Q7" s="268"/>
      <c r="R7" s="269">
        <f>+'[10]Compil Costing PPA 3 millions'!B5</f>
        <v>1</v>
      </c>
      <c r="S7" s="270"/>
      <c r="T7" s="270"/>
      <c r="U7" s="270"/>
      <c r="V7" s="270"/>
      <c r="W7" s="270"/>
      <c r="X7" s="270"/>
      <c r="Y7" s="270"/>
    </row>
    <row r="8" spans="1:25" ht="37.5" customHeight="1">
      <c r="A8" s="3457" t="s">
        <v>232</v>
      </c>
      <c r="B8" s="3457"/>
      <c r="C8" s="3457"/>
      <c r="D8" s="3457"/>
      <c r="E8" s="3457"/>
      <c r="F8" s="3457"/>
      <c r="G8" s="3457"/>
      <c r="H8" s="3457"/>
      <c r="I8" s="3457"/>
      <c r="J8" s="273"/>
      <c r="K8" s="273"/>
      <c r="L8" s="273"/>
      <c r="M8" s="274"/>
      <c r="N8" s="273"/>
      <c r="O8" s="275"/>
      <c r="P8" s="273"/>
      <c r="Q8" s="276"/>
      <c r="R8" s="277"/>
      <c r="S8" s="278"/>
      <c r="T8" s="278"/>
      <c r="U8" s="278"/>
      <c r="V8" s="274"/>
      <c r="W8" s="274"/>
      <c r="X8" s="274"/>
      <c r="Y8" s="274"/>
    </row>
    <row r="9" spans="1:25" ht="16.5" customHeight="1">
      <c r="A9" s="281">
        <v>111</v>
      </c>
      <c r="B9" s="3456"/>
      <c r="C9" s="3456"/>
      <c r="D9" s="3456"/>
      <c r="E9" s="3456"/>
      <c r="F9" s="3456"/>
      <c r="G9" s="3456"/>
      <c r="H9" s="3456"/>
      <c r="I9" s="3456"/>
      <c r="J9" s="282"/>
      <c r="K9" s="283"/>
      <c r="L9" s="282"/>
      <c r="M9" s="284"/>
      <c r="N9" s="283"/>
      <c r="O9" s="285"/>
      <c r="P9" s="282"/>
      <c r="Q9" s="286"/>
      <c r="R9" s="287"/>
      <c r="S9" s="288"/>
      <c r="T9" s="288"/>
      <c r="U9" s="288"/>
      <c r="V9" s="288"/>
      <c r="W9" s="288"/>
      <c r="X9" s="288"/>
      <c r="Y9" s="288"/>
    </row>
    <row r="10" spans="1:25" ht="16.5" customHeight="1">
      <c r="A10" s="290">
        <v>1111</v>
      </c>
      <c r="B10" s="291"/>
      <c r="C10" s="291"/>
      <c r="D10" s="291"/>
      <c r="E10" s="292"/>
      <c r="F10" s="293"/>
      <c r="G10" s="293"/>
      <c r="H10" s="293"/>
      <c r="I10" s="294"/>
      <c r="J10" s="295"/>
      <c r="K10" s="294"/>
      <c r="L10" s="295"/>
      <c r="M10" s="296"/>
      <c r="N10" s="294"/>
      <c r="O10" s="297"/>
      <c r="P10" s="295"/>
      <c r="Q10" s="298"/>
      <c r="R10" s="299"/>
      <c r="S10" s="298"/>
      <c r="T10" s="298"/>
      <c r="U10" s="298"/>
      <c r="V10" s="298"/>
      <c r="W10" s="298"/>
      <c r="X10" s="298"/>
      <c r="Y10" s="298"/>
    </row>
    <row r="11" spans="1:25" ht="16.5" customHeight="1">
      <c r="A11" s="290">
        <v>1112</v>
      </c>
      <c r="B11" s="291"/>
      <c r="C11" s="291"/>
      <c r="D11" s="291"/>
      <c r="E11" s="292"/>
      <c r="F11" s="293"/>
      <c r="G11" s="293"/>
      <c r="H11" s="293"/>
      <c r="I11" s="294"/>
      <c r="J11" s="295"/>
      <c r="K11" s="294"/>
      <c r="L11" s="295"/>
      <c r="M11" s="296"/>
      <c r="N11" s="294"/>
      <c r="O11" s="297"/>
      <c r="P11" s="295"/>
      <c r="Q11" s="298"/>
      <c r="R11" s="299"/>
      <c r="S11" s="298"/>
      <c r="T11" s="298"/>
      <c r="U11" s="298"/>
      <c r="V11" s="298"/>
      <c r="W11" s="298"/>
      <c r="X11" s="298"/>
      <c r="Y11" s="298"/>
    </row>
    <row r="12" spans="1:25" ht="16.5" customHeight="1">
      <c r="A12" s="290">
        <v>1113</v>
      </c>
      <c r="B12" s="291"/>
      <c r="C12" s="291"/>
      <c r="D12" s="291"/>
      <c r="E12" s="292"/>
      <c r="F12" s="293"/>
      <c r="G12" s="293"/>
      <c r="H12" s="293"/>
      <c r="I12" s="294"/>
      <c r="J12" s="295"/>
      <c r="K12" s="294"/>
      <c r="L12" s="295"/>
      <c r="M12" s="296"/>
      <c r="N12" s="294"/>
      <c r="O12" s="297"/>
      <c r="P12" s="295"/>
      <c r="Q12" s="298"/>
      <c r="R12" s="299"/>
      <c r="S12" s="298"/>
      <c r="T12" s="298"/>
      <c r="U12" s="298"/>
      <c r="V12" s="298"/>
      <c r="W12" s="298"/>
      <c r="X12" s="298"/>
      <c r="Y12" s="298"/>
    </row>
    <row r="13" spans="1:25" ht="16.5" customHeight="1">
      <c r="A13" s="281">
        <v>112</v>
      </c>
      <c r="B13" s="3456"/>
      <c r="C13" s="3456"/>
      <c r="D13" s="3456"/>
      <c r="E13" s="3456"/>
      <c r="F13" s="3456"/>
      <c r="G13" s="3456"/>
      <c r="H13" s="3456"/>
      <c r="I13" s="3456"/>
      <c r="J13" s="282"/>
      <c r="K13" s="283"/>
      <c r="L13" s="282"/>
      <c r="M13" s="284"/>
      <c r="N13" s="283"/>
      <c r="O13" s="285"/>
      <c r="P13" s="282"/>
      <c r="Q13" s="286"/>
      <c r="R13" s="287"/>
      <c r="S13" s="288"/>
      <c r="T13" s="288"/>
      <c r="U13" s="288"/>
      <c r="V13" s="288"/>
      <c r="W13" s="288"/>
      <c r="X13" s="288"/>
      <c r="Y13" s="288"/>
    </row>
    <row r="14" spans="1:25">
      <c r="A14" s="290">
        <v>1121</v>
      </c>
      <c r="B14" s="291"/>
      <c r="C14" s="291"/>
      <c r="D14" s="291"/>
      <c r="E14" s="292"/>
      <c r="F14" s="293"/>
      <c r="G14" s="293"/>
      <c r="H14" s="293"/>
      <c r="I14" s="294"/>
      <c r="J14" s="295"/>
      <c r="K14" s="294"/>
      <c r="L14" s="295"/>
      <c r="M14" s="296"/>
      <c r="N14" s="294"/>
      <c r="O14" s="297"/>
      <c r="P14" s="295"/>
      <c r="Q14" s="298"/>
      <c r="R14" s="299"/>
      <c r="S14" s="298"/>
      <c r="T14" s="298"/>
      <c r="U14" s="298"/>
      <c r="V14" s="298"/>
      <c r="W14" s="298"/>
      <c r="X14" s="298"/>
      <c r="Y14" s="298"/>
    </row>
    <row r="15" spans="1:25">
      <c r="A15" s="290">
        <v>1122</v>
      </c>
      <c r="B15" s="291"/>
      <c r="C15" s="291"/>
      <c r="D15" s="291"/>
      <c r="E15" s="292"/>
      <c r="F15" s="293"/>
      <c r="G15" s="293"/>
      <c r="H15" s="293"/>
      <c r="I15" s="294"/>
      <c r="J15" s="295"/>
      <c r="K15" s="294"/>
      <c r="L15" s="295"/>
      <c r="M15" s="296"/>
      <c r="N15" s="294"/>
      <c r="O15" s="297"/>
      <c r="P15" s="295"/>
      <c r="Q15" s="298"/>
      <c r="R15" s="299"/>
      <c r="S15" s="298"/>
      <c r="T15" s="298"/>
      <c r="U15" s="298"/>
      <c r="V15" s="298"/>
      <c r="W15" s="298"/>
      <c r="X15" s="298"/>
      <c r="Y15" s="298"/>
    </row>
    <row r="16" spans="1:25">
      <c r="A16" s="301" t="s">
        <v>233</v>
      </c>
      <c r="B16" s="291"/>
      <c r="C16" s="291"/>
      <c r="D16" s="291"/>
      <c r="E16" s="292"/>
      <c r="F16" s="293"/>
      <c r="G16" s="293"/>
      <c r="H16" s="293"/>
      <c r="I16" s="294"/>
      <c r="J16" s="295"/>
      <c r="K16" s="294"/>
      <c r="L16" s="295"/>
      <c r="M16" s="296"/>
      <c r="N16" s="294"/>
      <c r="O16" s="297"/>
      <c r="P16" s="295"/>
      <c r="Q16" s="298"/>
      <c r="R16" s="299"/>
      <c r="S16" s="298"/>
      <c r="T16" s="298"/>
      <c r="U16" s="298"/>
      <c r="V16" s="298"/>
      <c r="W16" s="298"/>
      <c r="X16" s="298"/>
      <c r="Y16" s="298"/>
    </row>
    <row r="17" spans="1:25" ht="37.5" customHeight="1">
      <c r="A17" s="3457" t="s">
        <v>234</v>
      </c>
      <c r="B17" s="3457"/>
      <c r="C17" s="3457"/>
      <c r="D17" s="3457"/>
      <c r="E17" s="3457"/>
      <c r="F17" s="3457"/>
      <c r="G17" s="3457"/>
      <c r="H17" s="3457"/>
      <c r="I17" s="3457"/>
      <c r="J17" s="273"/>
      <c r="K17" s="273"/>
      <c r="L17" s="273"/>
      <c r="M17" s="274"/>
      <c r="N17" s="273"/>
      <c r="O17" s="275"/>
      <c r="P17" s="273"/>
      <c r="Q17" s="276"/>
      <c r="R17" s="277"/>
      <c r="S17" s="278"/>
      <c r="T17" s="278"/>
      <c r="U17" s="278"/>
      <c r="V17" s="274"/>
      <c r="W17" s="274"/>
      <c r="X17" s="274"/>
      <c r="Y17" s="274"/>
    </row>
    <row r="18" spans="1:25" ht="16.5" customHeight="1">
      <c r="A18" s="281">
        <v>121</v>
      </c>
      <c r="B18" s="3456"/>
      <c r="C18" s="3456"/>
      <c r="D18" s="3456"/>
      <c r="E18" s="3456"/>
      <c r="F18" s="3456"/>
      <c r="G18" s="3456"/>
      <c r="H18" s="3456"/>
      <c r="I18" s="3456"/>
      <c r="J18" s="282"/>
      <c r="K18" s="283"/>
      <c r="L18" s="282"/>
      <c r="M18" s="284"/>
      <c r="N18" s="283"/>
      <c r="O18" s="285"/>
      <c r="P18" s="282"/>
      <c r="Q18" s="286"/>
      <c r="R18" s="287"/>
      <c r="S18" s="288"/>
      <c r="T18" s="288"/>
      <c r="U18" s="288"/>
      <c r="V18" s="288"/>
      <c r="W18" s="288"/>
      <c r="X18" s="288"/>
      <c r="Y18" s="288"/>
    </row>
    <row r="19" spans="1:25" ht="16.5" customHeight="1">
      <c r="A19" s="290">
        <v>1211</v>
      </c>
      <c r="B19" s="291"/>
      <c r="C19" s="291"/>
      <c r="D19" s="291"/>
      <c r="E19" s="292"/>
      <c r="F19" s="293"/>
      <c r="G19" s="293"/>
      <c r="H19" s="293"/>
      <c r="I19" s="294"/>
      <c r="J19" s="295"/>
      <c r="K19" s="294"/>
      <c r="L19" s="295"/>
      <c r="M19" s="296"/>
      <c r="N19" s="294"/>
      <c r="O19" s="297"/>
      <c r="P19" s="295"/>
      <c r="Q19" s="298"/>
      <c r="R19" s="299"/>
      <c r="S19" s="298"/>
      <c r="T19" s="298"/>
      <c r="U19" s="298"/>
      <c r="V19" s="298"/>
      <c r="W19" s="298"/>
      <c r="X19" s="298"/>
      <c r="Y19" s="298"/>
    </row>
    <row r="20" spans="1:25" ht="16.5" customHeight="1">
      <c r="A20" s="290">
        <v>1212</v>
      </c>
      <c r="B20" s="291"/>
      <c r="C20" s="291"/>
      <c r="D20" s="291"/>
      <c r="E20" s="292"/>
      <c r="F20" s="293"/>
      <c r="G20" s="293"/>
      <c r="H20" s="293"/>
      <c r="I20" s="294"/>
      <c r="J20" s="295"/>
      <c r="K20" s="294"/>
      <c r="L20" s="295"/>
      <c r="M20" s="296"/>
      <c r="N20" s="294"/>
      <c r="O20" s="297"/>
      <c r="P20" s="295"/>
      <c r="Q20" s="298"/>
      <c r="R20" s="299"/>
      <c r="S20" s="298"/>
      <c r="T20" s="298"/>
      <c r="U20" s="298"/>
      <c r="V20" s="298"/>
      <c r="W20" s="298"/>
      <c r="X20" s="298"/>
      <c r="Y20" s="298"/>
    </row>
    <row r="21" spans="1:25" ht="16.5" customHeight="1">
      <c r="A21" s="290">
        <v>1213</v>
      </c>
      <c r="B21" s="291"/>
      <c r="C21" s="291"/>
      <c r="D21" s="291"/>
      <c r="E21" s="292"/>
      <c r="F21" s="293"/>
      <c r="G21" s="293"/>
      <c r="H21" s="293"/>
      <c r="I21" s="294"/>
      <c r="J21" s="295"/>
      <c r="K21" s="294"/>
      <c r="L21" s="295"/>
      <c r="M21" s="296"/>
      <c r="N21" s="294"/>
      <c r="O21" s="297"/>
      <c r="P21" s="295"/>
      <c r="Q21" s="298"/>
      <c r="R21" s="299"/>
      <c r="S21" s="298"/>
      <c r="T21" s="298"/>
      <c r="U21" s="298"/>
      <c r="V21" s="298"/>
      <c r="W21" s="298"/>
      <c r="X21" s="298"/>
      <c r="Y21" s="298"/>
    </row>
    <row r="22" spans="1:25" ht="16.5" customHeight="1">
      <c r="A22" s="281">
        <v>122</v>
      </c>
      <c r="B22" s="3456"/>
      <c r="C22" s="3456"/>
      <c r="D22" s="3456"/>
      <c r="E22" s="3456"/>
      <c r="F22" s="3456"/>
      <c r="G22" s="3456"/>
      <c r="H22" s="3456"/>
      <c r="I22" s="3456"/>
      <c r="J22" s="282"/>
      <c r="K22" s="283"/>
      <c r="L22" s="282"/>
      <c r="M22" s="284"/>
      <c r="N22" s="283"/>
      <c r="O22" s="285"/>
      <c r="P22" s="282"/>
      <c r="Q22" s="286"/>
      <c r="R22" s="287"/>
      <c r="S22" s="288"/>
      <c r="T22" s="288"/>
      <c r="U22" s="288"/>
      <c r="V22" s="288"/>
      <c r="W22" s="288"/>
      <c r="X22" s="288"/>
      <c r="Y22" s="288"/>
    </row>
    <row r="23" spans="1:25" ht="16.5" customHeight="1">
      <c r="A23" s="290">
        <v>1221</v>
      </c>
      <c r="B23" s="291"/>
      <c r="C23" s="291"/>
      <c r="D23" s="291"/>
      <c r="E23" s="292"/>
      <c r="F23" s="293"/>
      <c r="G23" s="293"/>
      <c r="H23" s="293"/>
      <c r="I23" s="294"/>
      <c r="J23" s="295"/>
      <c r="K23" s="294"/>
      <c r="L23" s="295"/>
      <c r="M23" s="296"/>
      <c r="N23" s="294"/>
      <c r="O23" s="297"/>
      <c r="P23" s="295"/>
      <c r="Q23" s="298"/>
      <c r="R23" s="299"/>
      <c r="S23" s="298"/>
      <c r="T23" s="298"/>
      <c r="U23" s="298"/>
      <c r="V23" s="298"/>
      <c r="W23" s="298"/>
      <c r="X23" s="298"/>
      <c r="Y23" s="298"/>
    </row>
    <row r="24" spans="1:25" ht="16.5" customHeight="1">
      <c r="A24" s="290">
        <v>1222</v>
      </c>
      <c r="B24" s="291"/>
      <c r="C24" s="291"/>
      <c r="D24" s="291"/>
      <c r="E24" s="292"/>
      <c r="F24" s="293"/>
      <c r="G24" s="293"/>
      <c r="H24" s="293"/>
      <c r="I24" s="294"/>
      <c r="J24" s="295"/>
      <c r="K24" s="294"/>
      <c r="L24" s="295"/>
      <c r="M24" s="296"/>
      <c r="N24" s="294"/>
      <c r="O24" s="297"/>
      <c r="P24" s="295"/>
      <c r="Q24" s="298"/>
      <c r="R24" s="299"/>
      <c r="S24" s="298"/>
      <c r="T24" s="298"/>
      <c r="U24" s="298"/>
      <c r="V24" s="298"/>
      <c r="W24" s="298"/>
      <c r="X24" s="298"/>
      <c r="Y24" s="298"/>
    </row>
    <row r="25" spans="1:25">
      <c r="A25" s="301" t="s">
        <v>233</v>
      </c>
      <c r="B25" s="291"/>
      <c r="C25" s="291"/>
      <c r="D25" s="291"/>
      <c r="E25" s="292"/>
      <c r="F25" s="293"/>
      <c r="G25" s="293"/>
      <c r="H25" s="293"/>
      <c r="I25" s="294"/>
      <c r="J25" s="295"/>
      <c r="K25" s="294"/>
      <c r="L25" s="295"/>
      <c r="M25" s="296"/>
      <c r="N25" s="294"/>
      <c r="O25" s="297"/>
      <c r="P25" s="295"/>
      <c r="Q25" s="298"/>
      <c r="R25" s="299"/>
      <c r="S25" s="298"/>
      <c r="T25" s="298"/>
      <c r="U25" s="298"/>
      <c r="V25" s="298"/>
      <c r="W25" s="298"/>
      <c r="X25" s="298"/>
      <c r="Y25" s="298"/>
    </row>
    <row r="26" spans="1:25" s="272" customFormat="1" ht="33.75" customHeight="1">
      <c r="A26" s="3458" t="s">
        <v>235</v>
      </c>
      <c r="B26" s="3458"/>
      <c r="C26" s="3458"/>
      <c r="D26" s="3458"/>
      <c r="E26" s="3458"/>
      <c r="F26" s="3458"/>
      <c r="G26" s="3458"/>
      <c r="H26" s="3458"/>
      <c r="I26" s="3458"/>
      <c r="J26" s="265"/>
      <c r="K26" s="265"/>
      <c r="L26" s="265"/>
      <c r="M26" s="266"/>
      <c r="N26" s="265"/>
      <c r="O26" s="267"/>
      <c r="P26" s="265"/>
      <c r="Q26" s="268"/>
      <c r="R26" s="269">
        <f>+R27+R36+R46</f>
        <v>66</v>
      </c>
      <c r="S26" s="270"/>
      <c r="T26" s="270"/>
      <c r="U26" s="270"/>
      <c r="V26" s="270"/>
      <c r="W26" s="270"/>
      <c r="X26" s="270"/>
      <c r="Y26" s="270"/>
    </row>
    <row r="27" spans="1:25" ht="37.5" customHeight="1">
      <c r="A27" s="3457" t="s">
        <v>236</v>
      </c>
      <c r="B27" s="3457"/>
      <c r="C27" s="3457"/>
      <c r="D27" s="3457"/>
      <c r="E27" s="3457"/>
      <c r="F27" s="3457"/>
      <c r="G27" s="3457"/>
      <c r="H27" s="3457"/>
      <c r="I27" s="3457"/>
      <c r="J27" s="273"/>
      <c r="K27" s="273"/>
      <c r="L27" s="273"/>
      <c r="M27" s="274"/>
      <c r="N27" s="273"/>
      <c r="O27" s="275"/>
      <c r="P27" s="273"/>
      <c r="Q27" s="276"/>
      <c r="R27" s="277">
        <f>+'[10]Compil Costing PPA 3 millions'!B7</f>
        <v>21</v>
      </c>
      <c r="S27" s="278"/>
      <c r="T27" s="278"/>
      <c r="U27" s="278"/>
      <c r="V27" s="274"/>
      <c r="W27" s="274"/>
      <c r="X27" s="274"/>
      <c r="Y27" s="274"/>
    </row>
    <row r="28" spans="1:25" ht="16.5" customHeight="1">
      <c r="A28" s="281">
        <v>211</v>
      </c>
      <c r="B28" s="3456"/>
      <c r="C28" s="3456"/>
      <c r="D28" s="3456"/>
      <c r="E28" s="3456"/>
      <c r="F28" s="3456"/>
      <c r="G28" s="3456"/>
      <c r="H28" s="3456"/>
      <c r="I28" s="3456"/>
      <c r="J28" s="282"/>
      <c r="K28" s="283"/>
      <c r="L28" s="282"/>
      <c r="M28" s="284"/>
      <c r="N28" s="283"/>
      <c r="O28" s="285"/>
      <c r="P28" s="282"/>
      <c r="Q28" s="286"/>
      <c r="R28" s="287"/>
      <c r="S28" s="288"/>
      <c r="T28" s="288"/>
      <c r="U28" s="288"/>
      <c r="V28" s="288"/>
      <c r="W28" s="288"/>
      <c r="X28" s="288"/>
      <c r="Y28" s="288"/>
    </row>
    <row r="29" spans="1:25">
      <c r="A29" s="305">
        <v>2111</v>
      </c>
      <c r="B29" s="330"/>
      <c r="C29" s="330"/>
      <c r="D29" s="330"/>
      <c r="E29" s="329"/>
      <c r="F29" s="306"/>
      <c r="G29" s="293"/>
      <c r="H29" s="293"/>
      <c r="I29" s="294"/>
      <c r="J29" s="295"/>
      <c r="K29" s="294"/>
      <c r="L29" s="295"/>
      <c r="M29" s="296"/>
      <c r="N29" s="294"/>
      <c r="O29" s="297"/>
      <c r="P29" s="295"/>
      <c r="Q29" s="298"/>
      <c r="R29" s="299"/>
      <c r="S29" s="298"/>
      <c r="T29" s="298"/>
      <c r="U29" s="298"/>
      <c r="V29" s="298"/>
      <c r="W29" s="298"/>
      <c r="X29" s="298"/>
      <c r="Y29" s="298"/>
    </row>
    <row r="30" spans="1:25">
      <c r="A30" s="305">
        <v>2112</v>
      </c>
      <c r="B30" s="330"/>
      <c r="C30" s="330"/>
      <c r="D30" s="330"/>
      <c r="E30" s="329"/>
      <c r="F30" s="306"/>
      <c r="G30" s="293"/>
      <c r="H30" s="293"/>
      <c r="I30" s="294"/>
      <c r="J30" s="295"/>
      <c r="K30" s="294"/>
      <c r="L30" s="295"/>
      <c r="M30" s="296"/>
      <c r="N30" s="294"/>
      <c r="O30" s="297"/>
      <c r="P30" s="295"/>
      <c r="Q30" s="298"/>
      <c r="R30" s="299"/>
      <c r="S30" s="298"/>
      <c r="T30" s="298"/>
      <c r="U30" s="298"/>
      <c r="V30" s="298"/>
      <c r="W30" s="298"/>
      <c r="X30" s="298"/>
      <c r="Y30" s="298"/>
    </row>
    <row r="31" spans="1:25">
      <c r="A31" s="305">
        <v>2113</v>
      </c>
      <c r="B31" s="330"/>
      <c r="C31" s="330"/>
      <c r="D31" s="330"/>
      <c r="E31" s="329"/>
      <c r="F31" s="306"/>
      <c r="G31" s="293"/>
      <c r="H31" s="293"/>
      <c r="I31" s="294"/>
      <c r="J31" s="295"/>
      <c r="K31" s="294"/>
      <c r="L31" s="295"/>
      <c r="M31" s="296"/>
      <c r="N31" s="294"/>
      <c r="O31" s="297"/>
      <c r="P31" s="295"/>
      <c r="Q31" s="298"/>
      <c r="R31" s="299"/>
      <c r="S31" s="298"/>
      <c r="T31" s="298"/>
      <c r="U31" s="298"/>
      <c r="V31" s="298"/>
      <c r="W31" s="298"/>
      <c r="X31" s="298"/>
      <c r="Y31" s="298"/>
    </row>
    <row r="32" spans="1:25" ht="16.5" customHeight="1">
      <c r="A32" s="281">
        <v>212</v>
      </c>
      <c r="B32" s="3456"/>
      <c r="C32" s="3456"/>
      <c r="D32" s="3456"/>
      <c r="E32" s="3456"/>
      <c r="F32" s="3456"/>
      <c r="G32" s="3456"/>
      <c r="H32" s="3456"/>
      <c r="I32" s="3456"/>
      <c r="J32" s="282"/>
      <c r="K32" s="283"/>
      <c r="L32" s="282"/>
      <c r="M32" s="284"/>
      <c r="N32" s="283"/>
      <c r="O32" s="285"/>
      <c r="P32" s="282"/>
      <c r="Q32" s="286"/>
      <c r="R32" s="287"/>
      <c r="S32" s="288"/>
      <c r="T32" s="288"/>
      <c r="U32" s="288"/>
      <c r="V32" s="288"/>
      <c r="W32" s="288"/>
      <c r="X32" s="288"/>
      <c r="Y32" s="288"/>
    </row>
    <row r="33" spans="1:25">
      <c r="A33" s="305">
        <v>2121</v>
      </c>
      <c r="B33" s="330"/>
      <c r="C33" s="330"/>
      <c r="D33" s="330"/>
      <c r="E33" s="329"/>
      <c r="F33" s="306"/>
      <c r="G33" s="293"/>
      <c r="H33" s="293"/>
      <c r="I33" s="294"/>
      <c r="J33" s="295"/>
      <c r="K33" s="294"/>
      <c r="L33" s="295"/>
      <c r="M33" s="296"/>
      <c r="N33" s="294"/>
      <c r="O33" s="297"/>
      <c r="P33" s="295"/>
      <c r="Q33" s="298"/>
      <c r="R33" s="299"/>
      <c r="S33" s="298"/>
      <c r="T33" s="298"/>
      <c r="U33" s="298"/>
      <c r="V33" s="298"/>
      <c r="W33" s="298"/>
      <c r="X33" s="298"/>
      <c r="Y33" s="298"/>
    </row>
    <row r="34" spans="1:25">
      <c r="A34" s="305">
        <v>2122</v>
      </c>
      <c r="B34" s="330"/>
      <c r="C34" s="330"/>
      <c r="D34" s="330"/>
      <c r="E34" s="329"/>
      <c r="F34" s="306"/>
      <c r="G34" s="293"/>
      <c r="H34" s="293"/>
      <c r="I34" s="294"/>
      <c r="J34" s="295"/>
      <c r="K34" s="294"/>
      <c r="L34" s="295"/>
      <c r="M34" s="296"/>
      <c r="N34" s="294"/>
      <c r="O34" s="297"/>
      <c r="P34" s="295"/>
      <c r="Q34" s="298"/>
      <c r="R34" s="299"/>
      <c r="S34" s="298"/>
      <c r="T34" s="298"/>
      <c r="U34" s="298"/>
      <c r="V34" s="298"/>
      <c r="W34" s="298"/>
      <c r="X34" s="298"/>
      <c r="Y34" s="298"/>
    </row>
    <row r="35" spans="1:25">
      <c r="A35" s="307" t="s">
        <v>233</v>
      </c>
      <c r="B35" s="326"/>
      <c r="C35" s="291"/>
      <c r="D35" s="291"/>
      <c r="E35" s="292"/>
      <c r="F35" s="306"/>
      <c r="G35" s="293"/>
      <c r="H35" s="293"/>
      <c r="I35" s="294"/>
      <c r="J35" s="295"/>
      <c r="K35" s="294"/>
      <c r="L35" s="295"/>
      <c r="M35" s="296"/>
      <c r="N35" s="294"/>
      <c r="O35" s="297"/>
      <c r="P35" s="295"/>
      <c r="Q35" s="298"/>
      <c r="R35" s="299"/>
      <c r="S35" s="298"/>
      <c r="T35" s="298"/>
      <c r="U35" s="298"/>
      <c r="V35" s="298"/>
      <c r="W35" s="298"/>
      <c r="X35" s="298"/>
      <c r="Y35" s="298"/>
    </row>
    <row r="36" spans="1:25" ht="37.5" customHeight="1">
      <c r="A36" s="3457" t="s">
        <v>237</v>
      </c>
      <c r="B36" s="3457"/>
      <c r="C36" s="3457"/>
      <c r="D36" s="3457"/>
      <c r="E36" s="3457"/>
      <c r="F36" s="3457"/>
      <c r="G36" s="3457"/>
      <c r="H36" s="3457"/>
      <c r="I36" s="3457"/>
      <c r="J36" s="273"/>
      <c r="K36" s="273"/>
      <c r="L36" s="273"/>
      <c r="M36" s="274"/>
      <c r="N36" s="273"/>
      <c r="O36" s="275"/>
      <c r="P36" s="273"/>
      <c r="Q36" s="276"/>
      <c r="R36" s="277">
        <f>+'[10]Compil Costing PPA 3 millions'!B8</f>
        <v>22</v>
      </c>
      <c r="S36" s="278"/>
      <c r="T36" s="278"/>
      <c r="U36" s="278"/>
      <c r="V36" s="274"/>
      <c r="W36" s="274"/>
      <c r="X36" s="274"/>
      <c r="Y36" s="274"/>
    </row>
    <row r="37" spans="1:25" ht="16.5" customHeight="1">
      <c r="A37" s="281">
        <v>221</v>
      </c>
      <c r="B37" s="3461" t="s">
        <v>238</v>
      </c>
      <c r="C37" s="3461"/>
      <c r="D37" s="3461"/>
      <c r="E37" s="3461"/>
      <c r="F37" s="3461"/>
      <c r="G37" s="3461"/>
      <c r="H37" s="3461"/>
      <c r="I37" s="3461"/>
      <c r="J37" s="282"/>
      <c r="K37" s="283"/>
      <c r="L37" s="282"/>
      <c r="M37" s="284"/>
      <c r="N37" s="283"/>
      <c r="O37" s="285"/>
      <c r="P37" s="282"/>
      <c r="Q37" s="286"/>
      <c r="R37" s="287"/>
      <c r="S37" s="288"/>
      <c r="T37" s="288"/>
      <c r="U37" s="288"/>
      <c r="V37" s="288"/>
      <c r="W37" s="288"/>
      <c r="X37" s="288"/>
      <c r="Y37" s="288"/>
    </row>
    <row r="38" spans="1:25">
      <c r="A38" s="305">
        <v>2211</v>
      </c>
      <c r="B38" s="291" t="s">
        <v>363</v>
      </c>
      <c r="C38" s="327" t="s">
        <v>364</v>
      </c>
      <c r="D38" s="327"/>
      <c r="E38" s="292">
        <v>50</v>
      </c>
      <c r="F38" s="306">
        <v>43185</v>
      </c>
      <c r="G38" s="293">
        <f>+F38+E38</f>
        <v>43235</v>
      </c>
      <c r="H38" s="293"/>
      <c r="I38" s="294" t="s">
        <v>169</v>
      </c>
      <c r="J38" s="295" t="s">
        <v>174</v>
      </c>
      <c r="K38" s="328" t="s">
        <v>365</v>
      </c>
      <c r="L38" s="295">
        <v>2313</v>
      </c>
      <c r="M38" s="296"/>
      <c r="N38" s="294" t="s">
        <v>366</v>
      </c>
      <c r="O38" s="297">
        <v>27000</v>
      </c>
      <c r="P38" s="295">
        <v>1</v>
      </c>
      <c r="Q38" s="298">
        <f>+O38*P38</f>
        <v>27000</v>
      </c>
      <c r="R38" s="299"/>
      <c r="S38" s="298"/>
      <c r="T38" s="298"/>
      <c r="U38" s="298"/>
      <c r="V38" s="298"/>
      <c r="W38" s="298"/>
      <c r="X38" s="298"/>
      <c r="Y38" s="298"/>
    </row>
    <row r="39" spans="1:25">
      <c r="A39" s="305">
        <v>2211</v>
      </c>
      <c r="B39" s="291" t="s">
        <v>363</v>
      </c>
      <c r="C39" s="327" t="s">
        <v>367</v>
      </c>
      <c r="D39" s="327"/>
      <c r="E39" s="292">
        <v>150</v>
      </c>
      <c r="F39" s="293">
        <f>+G38</f>
        <v>43235</v>
      </c>
      <c r="G39" s="306">
        <f>+G38+E39</f>
        <v>43385</v>
      </c>
      <c r="H39" s="293" t="s">
        <v>368</v>
      </c>
      <c r="I39" s="294" t="s">
        <v>174</v>
      </c>
      <c r="J39" s="295" t="s">
        <v>169</v>
      </c>
      <c r="K39" s="328" t="s">
        <v>365</v>
      </c>
      <c r="L39" s="295">
        <v>2313</v>
      </c>
      <c r="M39" s="296"/>
      <c r="N39" s="294" t="s">
        <v>366</v>
      </c>
      <c r="O39" s="297"/>
      <c r="P39" s="295"/>
      <c r="Q39" s="298"/>
      <c r="R39" s="299"/>
      <c r="S39" s="298"/>
      <c r="T39" s="298"/>
      <c r="U39" s="298"/>
      <c r="V39" s="298"/>
      <c r="W39" s="298"/>
      <c r="X39" s="298"/>
      <c r="Y39" s="298"/>
    </row>
    <row r="40" spans="1:25" ht="31.5">
      <c r="A40" s="290">
        <v>2212</v>
      </c>
      <c r="B40" s="327" t="s">
        <v>92</v>
      </c>
      <c r="C40" s="327"/>
      <c r="D40" s="327"/>
      <c r="E40" s="329"/>
      <c r="F40" s="306"/>
      <c r="G40" s="293"/>
      <c r="H40" s="293"/>
      <c r="I40" s="294"/>
      <c r="J40" s="295"/>
      <c r="K40" s="294"/>
      <c r="L40" s="295"/>
      <c r="M40" s="296"/>
      <c r="N40" s="294"/>
      <c r="O40" s="297"/>
      <c r="P40" s="295"/>
      <c r="Q40" s="298"/>
      <c r="R40" s="299"/>
      <c r="S40" s="298"/>
      <c r="T40" s="298"/>
      <c r="U40" s="298"/>
      <c r="V40" s="298"/>
      <c r="W40" s="298"/>
      <c r="X40" s="298"/>
      <c r="Y40" s="298"/>
    </row>
    <row r="41" spans="1:25">
      <c r="A41" s="290">
        <v>2213</v>
      </c>
      <c r="B41" s="327" t="s">
        <v>93</v>
      </c>
      <c r="C41" s="327"/>
      <c r="D41" s="327"/>
      <c r="E41" s="292"/>
      <c r="F41" s="306"/>
      <c r="G41" s="293"/>
      <c r="H41" s="293"/>
      <c r="I41" s="294"/>
      <c r="J41" s="295"/>
      <c r="K41" s="294"/>
      <c r="L41" s="295"/>
      <c r="M41" s="296"/>
      <c r="N41" s="294"/>
      <c r="O41" s="297"/>
      <c r="P41" s="295"/>
      <c r="Q41" s="298"/>
      <c r="R41" s="299"/>
      <c r="S41" s="298"/>
      <c r="T41" s="298"/>
      <c r="U41" s="298"/>
      <c r="V41" s="298"/>
      <c r="W41" s="298"/>
      <c r="X41" s="298"/>
      <c r="Y41" s="298"/>
    </row>
    <row r="42" spans="1:25" ht="20.25" customHeight="1">
      <c r="A42" s="281">
        <v>222</v>
      </c>
      <c r="B42" s="3461" t="s">
        <v>239</v>
      </c>
      <c r="C42" s="3461"/>
      <c r="D42" s="3461"/>
      <c r="E42" s="3461"/>
      <c r="F42" s="3461"/>
      <c r="G42" s="3461"/>
      <c r="H42" s="3461"/>
      <c r="I42" s="3461"/>
      <c r="J42" s="282"/>
      <c r="K42" s="283"/>
      <c r="L42" s="282"/>
      <c r="M42" s="284"/>
      <c r="N42" s="283"/>
      <c r="O42" s="285"/>
      <c r="P42" s="282"/>
      <c r="Q42" s="286"/>
      <c r="R42" s="287"/>
      <c r="S42" s="288"/>
      <c r="T42" s="288"/>
      <c r="U42" s="288"/>
      <c r="V42" s="288"/>
      <c r="W42" s="288"/>
      <c r="X42" s="288"/>
      <c r="Y42" s="288"/>
    </row>
    <row r="43" spans="1:25">
      <c r="A43" s="290">
        <v>2221</v>
      </c>
      <c r="B43" s="330"/>
      <c r="C43" s="330"/>
      <c r="D43" s="330"/>
      <c r="E43" s="329"/>
      <c r="F43" s="306"/>
      <c r="G43" s="293"/>
      <c r="H43" s="293"/>
      <c r="I43" s="294"/>
      <c r="J43" s="295"/>
      <c r="K43" s="294"/>
      <c r="L43" s="295"/>
      <c r="M43" s="296"/>
      <c r="N43" s="294"/>
      <c r="O43" s="297"/>
      <c r="P43" s="295"/>
      <c r="Q43" s="298"/>
      <c r="R43" s="299"/>
      <c r="S43" s="298"/>
      <c r="T43" s="298"/>
      <c r="U43" s="298"/>
      <c r="V43" s="298"/>
      <c r="W43" s="298"/>
      <c r="X43" s="298"/>
      <c r="Y43" s="298"/>
    </row>
    <row r="44" spans="1:25">
      <c r="A44" s="290">
        <v>2222</v>
      </c>
      <c r="B44" s="330"/>
      <c r="C44" s="330"/>
      <c r="D44" s="330"/>
      <c r="E44" s="329"/>
      <c r="F44" s="306"/>
      <c r="G44" s="293"/>
      <c r="H44" s="293"/>
      <c r="I44" s="294"/>
      <c r="J44" s="295"/>
      <c r="K44" s="294"/>
      <c r="L44" s="295"/>
      <c r="M44" s="296"/>
      <c r="N44" s="294"/>
      <c r="O44" s="297"/>
      <c r="P44" s="295"/>
      <c r="Q44" s="298"/>
      <c r="R44" s="299"/>
      <c r="S44" s="298"/>
      <c r="T44" s="298"/>
      <c r="U44" s="298"/>
      <c r="V44" s="298"/>
      <c r="W44" s="298"/>
      <c r="X44" s="298"/>
      <c r="Y44" s="298"/>
    </row>
    <row r="45" spans="1:25">
      <c r="A45" s="307" t="s">
        <v>233</v>
      </c>
      <c r="B45" s="330"/>
      <c r="C45" s="330"/>
      <c r="D45" s="330"/>
      <c r="E45" s="329"/>
      <c r="F45" s="306"/>
      <c r="G45" s="293"/>
      <c r="H45" s="293"/>
      <c r="I45" s="294"/>
      <c r="J45" s="295"/>
      <c r="K45" s="294"/>
      <c r="L45" s="295"/>
      <c r="M45" s="296"/>
      <c r="N45" s="294"/>
      <c r="O45" s="297"/>
      <c r="P45" s="295"/>
      <c r="Q45" s="298"/>
      <c r="R45" s="299"/>
      <c r="S45" s="298"/>
      <c r="T45" s="298"/>
      <c r="U45" s="298"/>
      <c r="V45" s="298"/>
      <c r="W45" s="298"/>
      <c r="X45" s="298"/>
      <c r="Y45" s="298"/>
    </row>
    <row r="46" spans="1:25" ht="37.5" customHeight="1">
      <c r="A46" s="3457" t="s">
        <v>240</v>
      </c>
      <c r="B46" s="3457"/>
      <c r="C46" s="3457"/>
      <c r="D46" s="3457"/>
      <c r="E46" s="3457"/>
      <c r="F46" s="3457"/>
      <c r="G46" s="3457"/>
      <c r="H46" s="3457"/>
      <c r="I46" s="3457"/>
      <c r="J46" s="273"/>
      <c r="K46" s="273"/>
      <c r="L46" s="273"/>
      <c r="M46" s="274"/>
      <c r="N46" s="273"/>
      <c r="O46" s="275"/>
      <c r="P46" s="273"/>
      <c r="Q46" s="276"/>
      <c r="R46" s="277">
        <f>+'[10]Compil Costing PPA 3 millions'!B9</f>
        <v>23</v>
      </c>
      <c r="S46" s="278"/>
      <c r="T46" s="278"/>
      <c r="U46" s="278"/>
      <c r="V46" s="274"/>
      <c r="W46" s="274"/>
      <c r="X46" s="274"/>
      <c r="Y46" s="274"/>
    </row>
    <row r="47" spans="1:25" ht="16.5" customHeight="1">
      <c r="A47" s="281">
        <v>231</v>
      </c>
      <c r="B47" s="3456"/>
      <c r="C47" s="3456"/>
      <c r="D47" s="3456"/>
      <c r="E47" s="3456"/>
      <c r="F47" s="3456"/>
      <c r="G47" s="3456"/>
      <c r="H47" s="3456"/>
      <c r="I47" s="3456"/>
      <c r="J47" s="282"/>
      <c r="K47" s="283"/>
      <c r="L47" s="282"/>
      <c r="M47" s="284"/>
      <c r="N47" s="283"/>
      <c r="O47" s="285"/>
      <c r="P47" s="282"/>
      <c r="Q47" s="286"/>
      <c r="R47" s="287"/>
      <c r="S47" s="288"/>
      <c r="T47" s="288"/>
      <c r="U47" s="288"/>
      <c r="V47" s="288"/>
      <c r="W47" s="288"/>
      <c r="X47" s="288"/>
      <c r="Y47" s="288"/>
    </row>
    <row r="48" spans="1:25">
      <c r="A48" s="290">
        <v>2311</v>
      </c>
      <c r="B48" s="330"/>
      <c r="C48" s="330"/>
      <c r="D48" s="330"/>
      <c r="E48" s="329"/>
      <c r="F48" s="306"/>
      <c r="G48" s="293"/>
      <c r="H48" s="293"/>
      <c r="I48" s="294"/>
      <c r="J48" s="295"/>
      <c r="K48" s="294"/>
      <c r="L48" s="295"/>
      <c r="M48" s="296"/>
      <c r="N48" s="294"/>
      <c r="O48" s="297"/>
      <c r="P48" s="295"/>
      <c r="Q48" s="298"/>
      <c r="R48" s="299"/>
      <c r="S48" s="298"/>
      <c r="T48" s="298"/>
      <c r="U48" s="298"/>
      <c r="V48" s="298"/>
      <c r="W48" s="298"/>
      <c r="X48" s="298"/>
      <c r="Y48" s="298"/>
    </row>
    <row r="49" spans="1:25">
      <c r="A49" s="290">
        <v>2312</v>
      </c>
      <c r="B49" s="330"/>
      <c r="C49" s="330"/>
      <c r="D49" s="330"/>
      <c r="E49" s="329"/>
      <c r="F49" s="306"/>
      <c r="G49" s="293"/>
      <c r="H49" s="293"/>
      <c r="I49" s="294"/>
      <c r="J49" s="295"/>
      <c r="K49" s="294"/>
      <c r="L49" s="295"/>
      <c r="M49" s="296"/>
      <c r="N49" s="294"/>
      <c r="O49" s="297"/>
      <c r="P49" s="295"/>
      <c r="Q49" s="298"/>
      <c r="R49" s="299"/>
      <c r="S49" s="298"/>
      <c r="T49" s="298"/>
      <c r="U49" s="298"/>
      <c r="V49" s="298"/>
      <c r="W49" s="298"/>
      <c r="X49" s="298"/>
      <c r="Y49" s="298"/>
    </row>
    <row r="50" spans="1:25">
      <c r="A50" s="290">
        <v>2313</v>
      </c>
      <c r="B50" s="330"/>
      <c r="C50" s="330"/>
      <c r="D50" s="330"/>
      <c r="E50" s="329"/>
      <c r="F50" s="306"/>
      <c r="G50" s="293"/>
      <c r="H50" s="293"/>
      <c r="I50" s="294"/>
      <c r="J50" s="295"/>
      <c r="K50" s="294"/>
      <c r="L50" s="295"/>
      <c r="M50" s="296"/>
      <c r="N50" s="294"/>
      <c r="O50" s="297"/>
      <c r="P50" s="295"/>
      <c r="Q50" s="298"/>
      <c r="R50" s="299"/>
      <c r="S50" s="298"/>
      <c r="T50" s="298"/>
      <c r="U50" s="298"/>
      <c r="V50" s="298"/>
      <c r="W50" s="298"/>
      <c r="X50" s="298"/>
      <c r="Y50" s="298"/>
    </row>
    <row r="51" spans="1:25" ht="16.5" customHeight="1">
      <c r="A51" s="281">
        <v>232</v>
      </c>
      <c r="B51" s="3456"/>
      <c r="C51" s="3456"/>
      <c r="D51" s="3456"/>
      <c r="E51" s="3456"/>
      <c r="F51" s="3456"/>
      <c r="G51" s="3456"/>
      <c r="H51" s="3456"/>
      <c r="I51" s="3456"/>
      <c r="J51" s="282"/>
      <c r="K51" s="283"/>
      <c r="L51" s="282"/>
      <c r="M51" s="284"/>
      <c r="N51" s="283"/>
      <c r="O51" s="285"/>
      <c r="P51" s="282"/>
      <c r="Q51" s="286"/>
      <c r="R51" s="287"/>
      <c r="S51" s="288"/>
      <c r="T51" s="288"/>
      <c r="U51" s="288"/>
      <c r="V51" s="288"/>
      <c r="W51" s="288"/>
      <c r="X51" s="288"/>
      <c r="Y51" s="288"/>
    </row>
    <row r="52" spans="1:25">
      <c r="A52" s="290">
        <v>2321</v>
      </c>
      <c r="B52" s="330"/>
      <c r="C52" s="330"/>
      <c r="D52" s="330"/>
      <c r="E52" s="329"/>
      <c r="F52" s="306"/>
      <c r="G52" s="293"/>
      <c r="H52" s="293"/>
      <c r="I52" s="294"/>
      <c r="J52" s="295"/>
      <c r="K52" s="294"/>
      <c r="L52" s="295"/>
      <c r="M52" s="296"/>
      <c r="N52" s="294"/>
      <c r="O52" s="297"/>
      <c r="P52" s="295"/>
      <c r="Q52" s="298"/>
      <c r="R52" s="299"/>
      <c r="S52" s="298"/>
      <c r="T52" s="298"/>
      <c r="U52" s="298"/>
      <c r="V52" s="298"/>
      <c r="W52" s="298"/>
      <c r="X52" s="298"/>
      <c r="Y52" s="298"/>
    </row>
    <row r="53" spans="1:25">
      <c r="A53" s="290">
        <v>2322</v>
      </c>
      <c r="B53" s="330"/>
      <c r="C53" s="330"/>
      <c r="D53" s="330"/>
      <c r="E53" s="329"/>
      <c r="F53" s="306"/>
      <c r="G53" s="293"/>
      <c r="H53" s="293"/>
      <c r="I53" s="294"/>
      <c r="J53" s="295"/>
      <c r="K53" s="294"/>
      <c r="L53" s="295"/>
      <c r="M53" s="296"/>
      <c r="N53" s="294"/>
      <c r="O53" s="297"/>
      <c r="P53" s="295"/>
      <c r="Q53" s="298"/>
      <c r="R53" s="299"/>
      <c r="S53" s="298"/>
      <c r="T53" s="298"/>
      <c r="U53" s="298"/>
      <c r="V53" s="298"/>
      <c r="W53" s="298"/>
      <c r="X53" s="298"/>
      <c r="Y53" s="298"/>
    </row>
    <row r="54" spans="1:25">
      <c r="A54" s="307" t="s">
        <v>233</v>
      </c>
      <c r="B54" s="330"/>
      <c r="C54" s="330"/>
      <c r="D54" s="330"/>
      <c r="E54" s="329"/>
      <c r="F54" s="306"/>
      <c r="G54" s="293"/>
      <c r="H54" s="293"/>
      <c r="I54" s="294"/>
      <c r="J54" s="295"/>
      <c r="K54" s="294"/>
      <c r="L54" s="295"/>
      <c r="M54" s="296"/>
      <c r="N54" s="294"/>
      <c r="O54" s="297"/>
      <c r="P54" s="295"/>
      <c r="Q54" s="298"/>
      <c r="R54" s="299"/>
      <c r="S54" s="298"/>
      <c r="T54" s="298"/>
      <c r="U54" s="298"/>
      <c r="V54" s="298"/>
      <c r="W54" s="298"/>
      <c r="X54" s="298"/>
      <c r="Y54" s="298"/>
    </row>
    <row r="55" spans="1:25" s="272" customFormat="1" ht="33.75" customHeight="1">
      <c r="A55" s="3458" t="s">
        <v>241</v>
      </c>
      <c r="B55" s="3458"/>
      <c r="C55" s="3458"/>
      <c r="D55" s="3458"/>
      <c r="E55" s="3458"/>
      <c r="F55" s="3458"/>
      <c r="G55" s="3458"/>
      <c r="H55" s="3458"/>
      <c r="I55" s="3458"/>
      <c r="J55" s="265"/>
      <c r="K55" s="265"/>
      <c r="L55" s="265"/>
      <c r="M55" s="266"/>
      <c r="N55" s="265"/>
      <c r="O55" s="267"/>
      <c r="P55" s="265"/>
      <c r="Q55" s="268"/>
      <c r="R55" s="269">
        <f>+R56+R65</f>
        <v>63</v>
      </c>
      <c r="S55" s="270"/>
      <c r="T55" s="270"/>
      <c r="U55" s="270"/>
      <c r="V55" s="270"/>
      <c r="W55" s="270"/>
      <c r="X55" s="270"/>
      <c r="Y55" s="270"/>
    </row>
    <row r="56" spans="1:25" ht="37.5" customHeight="1">
      <c r="A56" s="3457" t="s">
        <v>242</v>
      </c>
      <c r="B56" s="3457"/>
      <c r="C56" s="3457"/>
      <c r="D56" s="3457"/>
      <c r="E56" s="3457"/>
      <c r="F56" s="3457"/>
      <c r="G56" s="3457"/>
      <c r="H56" s="3457"/>
      <c r="I56" s="3457"/>
      <c r="J56" s="273"/>
      <c r="K56" s="273"/>
      <c r="L56" s="273"/>
      <c r="M56" s="274"/>
      <c r="N56" s="273"/>
      <c r="O56" s="275"/>
      <c r="P56" s="273"/>
      <c r="Q56" s="276"/>
      <c r="R56" s="277">
        <f>+'[10]Compil Costing PPA 3 millions'!B11</f>
        <v>31</v>
      </c>
      <c r="S56" s="278"/>
      <c r="T56" s="278"/>
      <c r="U56" s="278"/>
      <c r="V56" s="274"/>
      <c r="W56" s="274"/>
      <c r="X56" s="274"/>
      <c r="Y56" s="274"/>
    </row>
    <row r="57" spans="1:25" ht="16.5" customHeight="1">
      <c r="A57" s="281">
        <v>311</v>
      </c>
      <c r="B57" s="3456"/>
      <c r="C57" s="3456"/>
      <c r="D57" s="3456"/>
      <c r="E57" s="3456"/>
      <c r="F57" s="3456"/>
      <c r="G57" s="3456"/>
      <c r="H57" s="3456"/>
      <c r="I57" s="3456"/>
      <c r="J57" s="282"/>
      <c r="K57" s="283"/>
      <c r="L57" s="282"/>
      <c r="M57" s="284"/>
      <c r="N57" s="283"/>
      <c r="O57" s="285"/>
      <c r="P57" s="282"/>
      <c r="Q57" s="286"/>
      <c r="R57" s="287"/>
      <c r="S57" s="288"/>
      <c r="T57" s="288"/>
      <c r="U57" s="288"/>
      <c r="V57" s="288"/>
      <c r="W57" s="288"/>
      <c r="X57" s="288"/>
      <c r="Y57" s="288"/>
    </row>
    <row r="58" spans="1:25">
      <c r="A58" s="290">
        <v>3111</v>
      </c>
      <c r="B58" s="330"/>
      <c r="C58" s="330"/>
      <c r="D58" s="330"/>
      <c r="E58" s="329"/>
      <c r="F58" s="306"/>
      <c r="G58" s="293"/>
      <c r="H58" s="293"/>
      <c r="I58" s="294"/>
      <c r="J58" s="295"/>
      <c r="K58" s="294"/>
      <c r="L58" s="295"/>
      <c r="M58" s="296"/>
      <c r="N58" s="294"/>
      <c r="O58" s="297"/>
      <c r="P58" s="295"/>
      <c r="Q58" s="298"/>
      <c r="R58" s="299"/>
      <c r="S58" s="298"/>
      <c r="T58" s="298"/>
      <c r="U58" s="298"/>
      <c r="V58" s="298"/>
      <c r="W58" s="298"/>
      <c r="X58" s="298"/>
      <c r="Y58" s="298"/>
    </row>
    <row r="59" spans="1:25">
      <c r="A59" s="290">
        <v>3112</v>
      </c>
      <c r="B59" s="330"/>
      <c r="C59" s="330"/>
      <c r="D59" s="330"/>
      <c r="E59" s="329"/>
      <c r="F59" s="306"/>
      <c r="G59" s="293"/>
      <c r="H59" s="293"/>
      <c r="I59" s="294"/>
      <c r="J59" s="295"/>
      <c r="K59" s="294"/>
      <c r="L59" s="295"/>
      <c r="M59" s="296"/>
      <c r="N59" s="294"/>
      <c r="O59" s="297"/>
      <c r="P59" s="295"/>
      <c r="Q59" s="298"/>
      <c r="R59" s="299"/>
      <c r="S59" s="298"/>
      <c r="T59" s="298"/>
      <c r="U59" s="298"/>
      <c r="V59" s="298"/>
      <c r="W59" s="298"/>
      <c r="X59" s="298"/>
      <c r="Y59" s="298"/>
    </row>
    <row r="60" spans="1:25">
      <c r="A60" s="290">
        <v>3113</v>
      </c>
      <c r="B60" s="330"/>
      <c r="C60" s="330"/>
      <c r="D60" s="330"/>
      <c r="E60" s="329"/>
      <c r="F60" s="306"/>
      <c r="G60" s="293"/>
      <c r="H60" s="293"/>
      <c r="I60" s="294"/>
      <c r="J60" s="295"/>
      <c r="K60" s="294"/>
      <c r="L60" s="295"/>
      <c r="M60" s="296"/>
      <c r="N60" s="294"/>
      <c r="O60" s="297"/>
      <c r="P60" s="295"/>
      <c r="Q60" s="298"/>
      <c r="R60" s="299"/>
      <c r="S60" s="298"/>
      <c r="T60" s="298"/>
      <c r="U60" s="298"/>
      <c r="V60" s="298"/>
      <c r="W60" s="298"/>
      <c r="X60" s="298"/>
      <c r="Y60" s="298"/>
    </row>
    <row r="61" spans="1:25" ht="16.5" customHeight="1">
      <c r="A61" s="281">
        <v>312</v>
      </c>
      <c r="B61" s="3456"/>
      <c r="C61" s="3456"/>
      <c r="D61" s="3456"/>
      <c r="E61" s="3456"/>
      <c r="F61" s="3456"/>
      <c r="G61" s="3456"/>
      <c r="H61" s="3456"/>
      <c r="I61" s="3456"/>
      <c r="J61" s="282"/>
      <c r="K61" s="283"/>
      <c r="L61" s="282"/>
      <c r="M61" s="284"/>
      <c r="N61" s="283"/>
      <c r="O61" s="285"/>
      <c r="P61" s="282"/>
      <c r="Q61" s="286"/>
      <c r="R61" s="287"/>
      <c r="S61" s="288"/>
      <c r="T61" s="288"/>
      <c r="U61" s="288"/>
      <c r="V61" s="288"/>
      <c r="W61" s="288"/>
      <c r="X61" s="288"/>
      <c r="Y61" s="288"/>
    </row>
    <row r="62" spans="1:25">
      <c r="A62" s="290">
        <v>3121</v>
      </c>
      <c r="B62" s="330"/>
      <c r="C62" s="330"/>
      <c r="D62" s="330"/>
      <c r="E62" s="329"/>
      <c r="F62" s="306"/>
      <c r="G62" s="293"/>
      <c r="H62" s="293"/>
      <c r="I62" s="294"/>
      <c r="J62" s="295"/>
      <c r="K62" s="294"/>
      <c r="L62" s="295"/>
      <c r="M62" s="296"/>
      <c r="N62" s="294"/>
      <c r="O62" s="297"/>
      <c r="P62" s="295"/>
      <c r="Q62" s="298"/>
      <c r="R62" s="299"/>
      <c r="S62" s="298"/>
      <c r="T62" s="298"/>
      <c r="U62" s="298"/>
      <c r="V62" s="298"/>
      <c r="W62" s="298"/>
      <c r="X62" s="298"/>
      <c r="Y62" s="298"/>
    </row>
    <row r="63" spans="1:25">
      <c r="A63" s="290">
        <v>3122</v>
      </c>
      <c r="B63" s="330"/>
      <c r="C63" s="330"/>
      <c r="D63" s="330"/>
      <c r="E63" s="329"/>
      <c r="F63" s="306"/>
      <c r="G63" s="293"/>
      <c r="H63" s="293"/>
      <c r="I63" s="294"/>
      <c r="J63" s="295"/>
      <c r="K63" s="294"/>
      <c r="L63" s="295"/>
      <c r="M63" s="296"/>
      <c r="N63" s="294"/>
      <c r="O63" s="297"/>
      <c r="P63" s="295"/>
      <c r="Q63" s="298"/>
      <c r="R63" s="299"/>
      <c r="S63" s="298"/>
      <c r="T63" s="298"/>
      <c r="U63" s="298"/>
      <c r="V63" s="298"/>
      <c r="W63" s="298"/>
      <c r="X63" s="298"/>
      <c r="Y63" s="298"/>
    </row>
    <row r="64" spans="1:25">
      <c r="A64" s="301" t="s">
        <v>233</v>
      </c>
      <c r="B64" s="326"/>
      <c r="C64" s="291"/>
      <c r="D64" s="291"/>
      <c r="E64" s="292"/>
      <c r="F64" s="306"/>
      <c r="G64" s="293"/>
      <c r="H64" s="293"/>
      <c r="I64" s="294"/>
      <c r="J64" s="295"/>
      <c r="K64" s="294"/>
      <c r="L64" s="295"/>
      <c r="M64" s="296"/>
      <c r="N64" s="294"/>
      <c r="O64" s="297"/>
      <c r="P64" s="295"/>
      <c r="Q64" s="298"/>
      <c r="R64" s="299"/>
      <c r="S64" s="298"/>
      <c r="T64" s="298"/>
      <c r="U64" s="298"/>
      <c r="V64" s="298"/>
      <c r="W64" s="298"/>
      <c r="X64" s="298"/>
      <c r="Y64" s="298"/>
    </row>
    <row r="65" spans="1:25" ht="15.75" customHeight="1">
      <c r="A65" s="3457" t="s">
        <v>274</v>
      </c>
      <c r="B65" s="3457"/>
      <c r="C65" s="3457"/>
      <c r="D65" s="3457"/>
      <c r="E65" s="3457"/>
      <c r="F65" s="3457"/>
      <c r="G65" s="3457"/>
      <c r="H65" s="3457"/>
      <c r="I65" s="3457"/>
      <c r="J65" s="273"/>
      <c r="K65" s="273"/>
      <c r="L65" s="273"/>
      <c r="M65" s="274"/>
      <c r="N65" s="273"/>
      <c r="O65" s="275"/>
      <c r="P65" s="273"/>
      <c r="Q65" s="276"/>
      <c r="R65" s="277">
        <f>+'[10]Compil Costing PPA 3 millions'!B12</f>
        <v>32</v>
      </c>
      <c r="S65" s="278"/>
      <c r="T65" s="278"/>
      <c r="U65" s="278"/>
      <c r="V65" s="274"/>
      <c r="W65" s="274"/>
      <c r="X65" s="274"/>
      <c r="Y65" s="274"/>
    </row>
    <row r="66" spans="1:25" ht="16.5" customHeight="1">
      <c r="A66" s="281">
        <v>321</v>
      </c>
      <c r="B66" s="3456"/>
      <c r="C66" s="3456"/>
      <c r="D66" s="3456"/>
      <c r="E66" s="3456"/>
      <c r="F66" s="3456"/>
      <c r="G66" s="3456"/>
      <c r="H66" s="3456"/>
      <c r="I66" s="3456"/>
      <c r="J66" s="282"/>
      <c r="K66" s="283"/>
      <c r="L66" s="282"/>
      <c r="M66" s="284"/>
      <c r="N66" s="283"/>
      <c r="O66" s="285"/>
      <c r="P66" s="282"/>
      <c r="Q66" s="286"/>
      <c r="R66" s="287"/>
      <c r="S66" s="288"/>
      <c r="T66" s="288"/>
      <c r="U66" s="288"/>
      <c r="V66" s="288"/>
      <c r="W66" s="288"/>
      <c r="X66" s="288"/>
      <c r="Y66" s="288"/>
    </row>
    <row r="67" spans="1:25" ht="15.75" customHeight="1">
      <c r="A67" s="290">
        <v>3211</v>
      </c>
      <c r="B67" s="330"/>
      <c r="C67" s="330"/>
      <c r="D67" s="330"/>
      <c r="E67" s="329"/>
      <c r="F67" s="331"/>
      <c r="G67" s="331"/>
      <c r="H67" s="331"/>
      <c r="I67" s="294"/>
      <c r="J67" s="295"/>
      <c r="K67" s="294"/>
      <c r="L67" s="295"/>
      <c r="M67" s="296"/>
      <c r="N67" s="294"/>
      <c r="O67" s="297"/>
      <c r="P67" s="295"/>
      <c r="Q67" s="298"/>
      <c r="R67" s="299"/>
      <c r="S67" s="298"/>
      <c r="T67" s="298"/>
      <c r="U67" s="298"/>
      <c r="V67" s="298"/>
      <c r="W67" s="298"/>
      <c r="X67" s="298"/>
      <c r="Y67" s="298"/>
    </row>
    <row r="68" spans="1:25" ht="15.75" customHeight="1">
      <c r="A68" s="290">
        <v>3212</v>
      </c>
      <c r="B68" s="330"/>
      <c r="C68" s="330"/>
      <c r="D68" s="330"/>
      <c r="E68" s="329"/>
      <c r="F68" s="331"/>
      <c r="G68" s="331"/>
      <c r="H68" s="331"/>
      <c r="I68" s="294"/>
      <c r="J68" s="295"/>
      <c r="K68" s="294"/>
      <c r="L68" s="295"/>
      <c r="M68" s="296"/>
      <c r="N68" s="294"/>
      <c r="O68" s="297"/>
      <c r="P68" s="295"/>
      <c r="Q68" s="298"/>
      <c r="R68" s="299"/>
      <c r="S68" s="298"/>
      <c r="T68" s="298"/>
      <c r="U68" s="298"/>
      <c r="V68" s="298"/>
      <c r="W68" s="298"/>
      <c r="X68" s="298"/>
      <c r="Y68" s="298"/>
    </row>
    <row r="69" spans="1:25" ht="15.75" customHeight="1">
      <c r="A69" s="290">
        <v>3213</v>
      </c>
      <c r="B69" s="330"/>
      <c r="C69" s="330"/>
      <c r="D69" s="330"/>
      <c r="E69" s="329"/>
      <c r="F69" s="331"/>
      <c r="G69" s="331"/>
      <c r="H69" s="331"/>
      <c r="I69" s="294"/>
      <c r="J69" s="295"/>
      <c r="K69" s="294"/>
      <c r="L69" s="295"/>
      <c r="M69" s="296"/>
      <c r="N69" s="294"/>
      <c r="O69" s="297"/>
      <c r="P69" s="295"/>
      <c r="Q69" s="298"/>
      <c r="R69" s="299"/>
      <c r="S69" s="298"/>
      <c r="T69" s="298"/>
      <c r="U69" s="298"/>
      <c r="V69" s="298"/>
      <c r="W69" s="298"/>
      <c r="X69" s="298"/>
      <c r="Y69" s="298"/>
    </row>
    <row r="70" spans="1:25" ht="16.5" customHeight="1">
      <c r="A70" s="281">
        <v>322</v>
      </c>
      <c r="B70" s="3456"/>
      <c r="C70" s="3456"/>
      <c r="D70" s="3456"/>
      <c r="E70" s="3456"/>
      <c r="F70" s="3456"/>
      <c r="G70" s="3456"/>
      <c r="H70" s="3456"/>
      <c r="I70" s="3456"/>
      <c r="J70" s="282"/>
      <c r="K70" s="283"/>
      <c r="L70" s="282"/>
      <c r="M70" s="284"/>
      <c r="N70" s="283"/>
      <c r="O70" s="285"/>
      <c r="P70" s="282"/>
      <c r="Q70" s="286"/>
      <c r="R70" s="287"/>
      <c r="S70" s="288"/>
      <c r="T70" s="288"/>
      <c r="U70" s="288"/>
      <c r="V70" s="288"/>
      <c r="W70" s="288"/>
      <c r="X70" s="288"/>
      <c r="Y70" s="288"/>
    </row>
    <row r="71" spans="1:25">
      <c r="A71" s="290">
        <v>3221</v>
      </c>
      <c r="B71" s="330"/>
      <c r="C71" s="330"/>
      <c r="D71" s="330"/>
      <c r="E71" s="329"/>
      <c r="F71" s="306"/>
      <c r="G71" s="293"/>
      <c r="H71" s="293"/>
      <c r="I71" s="294"/>
      <c r="J71" s="295"/>
      <c r="K71" s="294"/>
      <c r="L71" s="295"/>
      <c r="M71" s="296"/>
      <c r="N71" s="294"/>
      <c r="O71" s="297"/>
      <c r="P71" s="295"/>
      <c r="Q71" s="298"/>
      <c r="R71" s="299"/>
      <c r="S71" s="298"/>
      <c r="T71" s="298"/>
      <c r="U71" s="298"/>
      <c r="V71" s="298"/>
      <c r="W71" s="298"/>
      <c r="X71" s="298"/>
      <c r="Y71" s="298"/>
    </row>
    <row r="72" spans="1:25">
      <c r="A72" s="290">
        <v>3222</v>
      </c>
      <c r="B72" s="330"/>
      <c r="C72" s="330"/>
      <c r="D72" s="330"/>
      <c r="E72" s="329"/>
      <c r="F72" s="306"/>
      <c r="G72" s="293"/>
      <c r="H72" s="293"/>
      <c r="I72" s="294"/>
      <c r="J72" s="295"/>
      <c r="K72" s="294"/>
      <c r="L72" s="295"/>
      <c r="M72" s="296"/>
      <c r="N72" s="294"/>
      <c r="O72" s="297"/>
      <c r="P72" s="295"/>
      <c r="Q72" s="298"/>
      <c r="R72" s="299"/>
      <c r="S72" s="298"/>
      <c r="T72" s="298"/>
      <c r="U72" s="298"/>
      <c r="V72" s="298"/>
      <c r="W72" s="298"/>
      <c r="X72" s="298"/>
      <c r="Y72" s="298"/>
    </row>
    <row r="73" spans="1:25" ht="15.75" customHeight="1">
      <c r="A73" s="301" t="s">
        <v>233</v>
      </c>
      <c r="B73" s="330"/>
      <c r="C73" s="330"/>
      <c r="D73" s="330"/>
      <c r="E73" s="329"/>
      <c r="F73" s="331"/>
      <c r="G73" s="331"/>
      <c r="H73" s="331"/>
      <c r="I73" s="294"/>
      <c r="J73" s="295"/>
      <c r="K73" s="294"/>
      <c r="L73" s="295"/>
      <c r="M73" s="296"/>
      <c r="N73" s="294"/>
      <c r="O73" s="297"/>
      <c r="P73" s="295"/>
      <c r="Q73" s="298"/>
      <c r="R73" s="299"/>
      <c r="S73" s="298"/>
      <c r="T73" s="298"/>
      <c r="U73" s="298"/>
      <c r="V73" s="298"/>
      <c r="W73" s="298"/>
      <c r="X73" s="298"/>
      <c r="Y73" s="298"/>
    </row>
    <row r="74" spans="1:25" s="272" customFormat="1" ht="33.75" customHeight="1">
      <c r="A74" s="3458" t="s">
        <v>275</v>
      </c>
      <c r="B74" s="3458"/>
      <c r="C74" s="3458"/>
      <c r="D74" s="3458"/>
      <c r="E74" s="3458"/>
      <c r="F74" s="3458"/>
      <c r="G74" s="3458"/>
      <c r="H74" s="3458"/>
      <c r="I74" s="3458"/>
      <c r="J74" s="265"/>
      <c r="K74" s="265"/>
      <c r="L74" s="265"/>
      <c r="M74" s="266"/>
      <c r="N74" s="265"/>
      <c r="O74" s="267"/>
      <c r="P74" s="265"/>
      <c r="Q74" s="268"/>
      <c r="R74" s="269">
        <f>+R75+R84+R127</f>
        <v>348173.33333333337</v>
      </c>
      <c r="S74" s="270"/>
      <c r="T74" s="270"/>
      <c r="U74" s="270"/>
      <c r="V74" s="270"/>
      <c r="W74" s="270"/>
      <c r="X74" s="270"/>
      <c r="Y74" s="270"/>
    </row>
    <row r="75" spans="1:25" ht="15.75" customHeight="1">
      <c r="A75" s="3457" t="s">
        <v>276</v>
      </c>
      <c r="B75" s="3457"/>
      <c r="C75" s="3457"/>
      <c r="D75" s="3457"/>
      <c r="E75" s="3457"/>
      <c r="F75" s="3457"/>
      <c r="G75" s="3457"/>
      <c r="H75" s="3457"/>
      <c r="I75" s="3457"/>
      <c r="J75" s="273"/>
      <c r="K75" s="273"/>
      <c r="L75" s="273"/>
      <c r="M75" s="274"/>
      <c r="N75" s="273"/>
      <c r="O75" s="275"/>
      <c r="P75" s="273"/>
      <c r="Q75" s="276"/>
      <c r="R75" s="277"/>
      <c r="S75" s="278"/>
      <c r="T75" s="278"/>
      <c r="U75" s="278"/>
      <c r="V75" s="274"/>
      <c r="W75" s="274"/>
      <c r="X75" s="274"/>
      <c r="Y75" s="274"/>
    </row>
    <row r="76" spans="1:25" ht="16.5" customHeight="1">
      <c r="A76" s="281">
        <v>411</v>
      </c>
      <c r="B76" s="3456"/>
      <c r="C76" s="3456"/>
      <c r="D76" s="3456"/>
      <c r="E76" s="3456"/>
      <c r="F76" s="3456"/>
      <c r="G76" s="3456"/>
      <c r="H76" s="3456"/>
      <c r="I76" s="3456"/>
      <c r="J76" s="282"/>
      <c r="K76" s="283"/>
      <c r="L76" s="282"/>
      <c r="M76" s="284"/>
      <c r="N76" s="283"/>
      <c r="O76" s="285"/>
      <c r="P76" s="282"/>
      <c r="Q76" s="286"/>
      <c r="R76" s="287"/>
      <c r="S76" s="288"/>
      <c r="T76" s="288"/>
      <c r="U76" s="288"/>
      <c r="V76" s="288"/>
      <c r="W76" s="288"/>
      <c r="X76" s="288"/>
      <c r="Y76" s="288"/>
    </row>
    <row r="77" spans="1:25">
      <c r="A77" s="290">
        <v>4111</v>
      </c>
      <c r="B77" s="330"/>
      <c r="C77" s="330"/>
      <c r="D77" s="330"/>
      <c r="E77" s="329"/>
      <c r="F77" s="306"/>
      <c r="G77" s="293"/>
      <c r="H77" s="293"/>
      <c r="I77" s="294"/>
      <c r="J77" s="295"/>
      <c r="K77" s="294"/>
      <c r="L77" s="295"/>
      <c r="M77" s="296"/>
      <c r="N77" s="294"/>
      <c r="O77" s="297"/>
      <c r="P77" s="295"/>
      <c r="Q77" s="298"/>
      <c r="R77" s="299"/>
      <c r="S77" s="298"/>
      <c r="T77" s="298"/>
      <c r="U77" s="298"/>
      <c r="V77" s="298"/>
      <c r="W77" s="298"/>
      <c r="X77" s="298"/>
      <c r="Y77" s="298"/>
    </row>
    <row r="78" spans="1:25">
      <c r="A78" s="290">
        <v>4112</v>
      </c>
      <c r="B78" s="330"/>
      <c r="C78" s="330"/>
      <c r="D78" s="330"/>
      <c r="E78" s="329"/>
      <c r="F78" s="306"/>
      <c r="G78" s="293"/>
      <c r="H78" s="293"/>
      <c r="I78" s="294"/>
      <c r="J78" s="295"/>
      <c r="K78" s="294"/>
      <c r="L78" s="295"/>
      <c r="M78" s="296"/>
      <c r="N78" s="294"/>
      <c r="O78" s="297"/>
      <c r="P78" s="295"/>
      <c r="Q78" s="298"/>
      <c r="R78" s="299"/>
      <c r="S78" s="298"/>
      <c r="T78" s="298"/>
      <c r="U78" s="298"/>
      <c r="V78" s="298"/>
      <c r="W78" s="298"/>
      <c r="X78" s="298"/>
      <c r="Y78" s="298"/>
    </row>
    <row r="79" spans="1:25">
      <c r="A79" s="290">
        <v>4113</v>
      </c>
      <c r="B79" s="330"/>
      <c r="C79" s="330"/>
      <c r="D79" s="330"/>
      <c r="E79" s="329"/>
      <c r="F79" s="306"/>
      <c r="G79" s="293"/>
      <c r="H79" s="293"/>
      <c r="I79" s="294"/>
      <c r="J79" s="295"/>
      <c r="K79" s="294"/>
      <c r="L79" s="295"/>
      <c r="M79" s="296"/>
      <c r="N79" s="294"/>
      <c r="O79" s="297"/>
      <c r="P79" s="295"/>
      <c r="Q79" s="298"/>
      <c r="R79" s="299"/>
      <c r="S79" s="298"/>
      <c r="T79" s="298"/>
      <c r="U79" s="298"/>
      <c r="V79" s="298"/>
      <c r="W79" s="298"/>
      <c r="X79" s="298"/>
      <c r="Y79" s="298"/>
    </row>
    <row r="80" spans="1:25" ht="16.5" customHeight="1">
      <c r="A80" s="281">
        <v>412</v>
      </c>
      <c r="B80" s="3456"/>
      <c r="C80" s="3456"/>
      <c r="D80" s="3456"/>
      <c r="E80" s="3456"/>
      <c r="F80" s="3456"/>
      <c r="G80" s="3456"/>
      <c r="H80" s="3456"/>
      <c r="I80" s="3456"/>
      <c r="J80" s="282"/>
      <c r="K80" s="283"/>
      <c r="L80" s="282"/>
      <c r="M80" s="284"/>
      <c r="N80" s="283"/>
      <c r="O80" s="285"/>
      <c r="P80" s="282"/>
      <c r="Q80" s="286"/>
      <c r="R80" s="287"/>
      <c r="S80" s="288"/>
      <c r="T80" s="288"/>
      <c r="U80" s="288"/>
      <c r="V80" s="288"/>
      <c r="W80" s="288"/>
      <c r="X80" s="288"/>
      <c r="Y80" s="288"/>
    </row>
    <row r="81" spans="1:27">
      <c r="A81" s="290">
        <v>4121</v>
      </c>
      <c r="B81" s="330"/>
      <c r="C81" s="330"/>
      <c r="D81" s="330"/>
      <c r="E81" s="329"/>
      <c r="F81" s="306"/>
      <c r="G81" s="293"/>
      <c r="H81" s="293"/>
      <c r="I81" s="294"/>
      <c r="J81" s="295"/>
      <c r="K81" s="294"/>
      <c r="L81" s="295"/>
      <c r="M81" s="296"/>
      <c r="N81" s="294"/>
      <c r="O81" s="297"/>
      <c r="P81" s="295"/>
      <c r="Q81" s="298"/>
      <c r="R81" s="299"/>
      <c r="S81" s="298"/>
      <c r="T81" s="298"/>
      <c r="U81" s="298"/>
      <c r="V81" s="298"/>
      <c r="W81" s="298"/>
      <c r="X81" s="298"/>
      <c r="Y81" s="298"/>
    </row>
    <row r="82" spans="1:27">
      <c r="A82" s="290">
        <v>4122</v>
      </c>
      <c r="B82" s="330"/>
      <c r="C82" s="330"/>
      <c r="D82" s="330"/>
      <c r="E82" s="329"/>
      <c r="F82" s="306"/>
      <c r="G82" s="293"/>
      <c r="H82" s="293"/>
      <c r="I82" s="294"/>
      <c r="J82" s="295"/>
      <c r="K82" s="294"/>
      <c r="L82" s="295"/>
      <c r="M82" s="296"/>
      <c r="N82" s="294"/>
      <c r="O82" s="297"/>
      <c r="P82" s="295"/>
      <c r="Q82" s="298"/>
      <c r="R82" s="299"/>
      <c r="S82" s="298"/>
      <c r="T82" s="298"/>
      <c r="U82" s="298"/>
      <c r="V82" s="298"/>
      <c r="W82" s="298"/>
      <c r="X82" s="298"/>
      <c r="Y82" s="298"/>
    </row>
    <row r="83" spans="1:27" ht="15.75" customHeight="1">
      <c r="A83" s="301" t="s">
        <v>233</v>
      </c>
      <c r="B83" s="330"/>
      <c r="C83" s="330"/>
      <c r="D83" s="330"/>
      <c r="E83" s="329"/>
      <c r="F83" s="331"/>
      <c r="G83" s="331"/>
      <c r="H83" s="331"/>
      <c r="I83" s="294"/>
      <c r="J83" s="295"/>
      <c r="K83" s="294"/>
      <c r="L83" s="295"/>
      <c r="M83" s="296"/>
      <c r="N83" s="294"/>
      <c r="O83" s="297"/>
      <c r="P83" s="295"/>
      <c r="Q83" s="298"/>
      <c r="R83" s="299"/>
      <c r="S83" s="298"/>
      <c r="T83" s="298"/>
      <c r="U83" s="298"/>
      <c r="V83" s="298"/>
      <c r="W83" s="298"/>
      <c r="X83" s="298"/>
      <c r="Y83" s="298"/>
    </row>
    <row r="84" spans="1:27" ht="15.75" customHeight="1">
      <c r="A84" s="3457" t="s">
        <v>277</v>
      </c>
      <c r="B84" s="3457"/>
      <c r="C84" s="3457"/>
      <c r="D84" s="3457"/>
      <c r="E84" s="3457"/>
      <c r="F84" s="3457"/>
      <c r="G84" s="3457"/>
      <c r="H84" s="3457"/>
      <c r="I84" s="3457"/>
      <c r="J84" s="273"/>
      <c r="K84" s="273"/>
      <c r="L84" s="273"/>
      <c r="M84" s="274"/>
      <c r="N84" s="273"/>
      <c r="O84" s="275"/>
      <c r="P84" s="273"/>
      <c r="Q84" s="276"/>
      <c r="R84" s="277"/>
      <c r="S84" s="278"/>
      <c r="T84" s="278"/>
      <c r="U84" s="278"/>
      <c r="V84" s="274"/>
      <c r="W84" s="274"/>
      <c r="X84" s="274"/>
      <c r="Y84" s="274"/>
    </row>
    <row r="85" spans="1:27" ht="16.5" customHeight="1" thickBot="1">
      <c r="A85" s="281">
        <v>421</v>
      </c>
      <c r="B85" s="3456" t="s">
        <v>439</v>
      </c>
      <c r="C85" s="3456"/>
      <c r="D85" s="3456"/>
      <c r="E85" s="3456"/>
      <c r="F85" s="3456"/>
      <c r="G85" s="3456"/>
      <c r="H85" s="3456"/>
      <c r="I85" s="3456"/>
      <c r="J85" s="282"/>
      <c r="K85" s="283"/>
      <c r="L85" s="282"/>
      <c r="M85" s="284"/>
      <c r="N85" s="283"/>
      <c r="O85" s="285"/>
      <c r="P85" s="282"/>
      <c r="Q85" s="286"/>
      <c r="R85" s="287"/>
      <c r="S85" s="288"/>
      <c r="T85" s="288"/>
      <c r="U85" s="288"/>
      <c r="V85" s="288"/>
      <c r="W85" s="288"/>
      <c r="X85" s="288"/>
      <c r="Y85" s="288"/>
    </row>
    <row r="86" spans="1:27" ht="66" customHeight="1" thickTop="1" thickBot="1">
      <c r="A86" s="290">
        <v>4211</v>
      </c>
      <c r="B86" s="291" t="s">
        <v>440</v>
      </c>
      <c r="C86" s="291" t="s">
        <v>441</v>
      </c>
      <c r="D86" s="291"/>
      <c r="E86" s="307">
        <f>50</f>
        <v>50</v>
      </c>
      <c r="F86" s="460">
        <v>43186</v>
      </c>
      <c r="G86" s="461">
        <f t="shared" ref="G86:G91" si="0">+F86+E86</f>
        <v>43236</v>
      </c>
      <c r="H86" s="293" t="s">
        <v>368</v>
      </c>
      <c r="I86" s="294" t="s">
        <v>169</v>
      </c>
      <c r="J86" s="294" t="s">
        <v>442</v>
      </c>
      <c r="K86" s="307" t="s">
        <v>443</v>
      </c>
      <c r="L86" s="311">
        <v>2313</v>
      </c>
      <c r="M86" s="296"/>
      <c r="N86" s="294"/>
      <c r="O86" s="462">
        <v>217.5</v>
      </c>
      <c r="P86" s="463">
        <v>15</v>
      </c>
      <c r="Q86" s="462">
        <v>3262.5</v>
      </c>
      <c r="R86" s="462">
        <f>+Q86</f>
        <v>3262.5</v>
      </c>
      <c r="S86" s="463"/>
      <c r="T86" s="463"/>
      <c r="U86" s="463"/>
      <c r="V86" s="463">
        <v>3262.5</v>
      </c>
      <c r="W86" s="463"/>
      <c r="X86" s="463"/>
      <c r="Y86" s="463"/>
      <c r="AA86" s="479"/>
    </row>
    <row r="87" spans="1:27" ht="33" thickTop="1" thickBot="1">
      <c r="A87" s="290"/>
      <c r="B87" s="291"/>
      <c r="C87" s="291" t="s">
        <v>444</v>
      </c>
      <c r="D87" s="291"/>
      <c r="E87" s="307">
        <v>15</v>
      </c>
      <c r="F87" s="460">
        <v>43241</v>
      </c>
      <c r="G87" s="461">
        <f t="shared" si="0"/>
        <v>43256</v>
      </c>
      <c r="H87" s="293" t="s">
        <v>368</v>
      </c>
      <c r="I87" s="294" t="s">
        <v>442</v>
      </c>
      <c r="J87" s="294"/>
      <c r="K87" s="307" t="s">
        <v>445</v>
      </c>
      <c r="L87" s="311"/>
      <c r="M87" s="296"/>
      <c r="N87" s="294"/>
      <c r="O87" s="464"/>
      <c r="P87" s="464"/>
      <c r="Q87" s="464"/>
      <c r="R87" s="462">
        <f t="shared" ref="R87:R124" si="1">+Q87</f>
        <v>0</v>
      </c>
      <c r="S87" s="463"/>
      <c r="T87" s="463"/>
      <c r="U87" s="463"/>
      <c r="V87" s="463"/>
      <c r="W87" s="463"/>
      <c r="X87" s="463"/>
      <c r="Y87" s="463"/>
    </row>
    <row r="88" spans="1:27" ht="48.75" thickTop="1" thickBot="1">
      <c r="A88" s="290">
        <v>4212</v>
      </c>
      <c r="B88" s="291" t="s">
        <v>446</v>
      </c>
      <c r="C88" s="291" t="s">
        <v>441</v>
      </c>
      <c r="D88" s="291"/>
      <c r="E88" s="307">
        <v>70</v>
      </c>
      <c r="F88" s="460">
        <v>43186</v>
      </c>
      <c r="G88" s="461">
        <f t="shared" si="0"/>
        <v>43256</v>
      </c>
      <c r="H88" s="293" t="s">
        <v>368</v>
      </c>
      <c r="I88" s="294" t="s">
        <v>169</v>
      </c>
      <c r="J88" s="294" t="s">
        <v>442</v>
      </c>
      <c r="K88" s="307" t="s">
        <v>443</v>
      </c>
      <c r="L88" s="311">
        <v>2313</v>
      </c>
      <c r="M88" s="296"/>
      <c r="N88" s="294"/>
      <c r="O88" s="462">
        <v>217.5</v>
      </c>
      <c r="P88" s="463">
        <v>5</v>
      </c>
      <c r="Q88" s="463">
        <f>O88*P88</f>
        <v>1087.5</v>
      </c>
      <c r="R88" s="462">
        <f t="shared" si="1"/>
        <v>1087.5</v>
      </c>
      <c r="S88" s="463"/>
      <c r="T88" s="463"/>
      <c r="U88" s="463"/>
      <c r="V88" s="463"/>
      <c r="W88" s="463">
        <v>1087.5</v>
      </c>
      <c r="X88" s="463"/>
      <c r="Y88" s="463"/>
    </row>
    <row r="89" spans="1:27" ht="41.25" customHeight="1" thickTop="1" thickBot="1">
      <c r="A89" s="290"/>
      <c r="B89" s="291"/>
      <c r="C89" s="291" t="s">
        <v>447</v>
      </c>
      <c r="D89" s="291"/>
      <c r="E89" s="307">
        <v>5</v>
      </c>
      <c r="F89" s="460">
        <v>43283</v>
      </c>
      <c r="G89" s="461">
        <f t="shared" si="0"/>
        <v>43288</v>
      </c>
      <c r="H89" s="293" t="s">
        <v>368</v>
      </c>
      <c r="I89" s="294" t="s">
        <v>442</v>
      </c>
      <c r="J89" s="294"/>
      <c r="K89" s="307" t="s">
        <v>445</v>
      </c>
      <c r="L89" s="311"/>
      <c r="M89" s="296"/>
      <c r="N89" s="294"/>
      <c r="O89" s="464"/>
      <c r="P89" s="464"/>
      <c r="Q89" s="464"/>
      <c r="R89" s="462">
        <f t="shared" si="1"/>
        <v>0</v>
      </c>
      <c r="S89" s="463"/>
      <c r="T89" s="463"/>
      <c r="U89" s="463"/>
      <c r="V89" s="463"/>
      <c r="W89" s="463"/>
      <c r="X89" s="463"/>
      <c r="Y89" s="463"/>
    </row>
    <row r="90" spans="1:27" ht="48.75" thickTop="1" thickBot="1">
      <c r="A90" s="290">
        <v>4213</v>
      </c>
      <c r="B90" s="291" t="s">
        <v>448</v>
      </c>
      <c r="C90" s="291" t="s">
        <v>441</v>
      </c>
      <c r="D90" s="291"/>
      <c r="E90" s="307">
        <v>70</v>
      </c>
      <c r="F90" s="460">
        <v>43186</v>
      </c>
      <c r="G90" s="461">
        <f t="shared" si="0"/>
        <v>43256</v>
      </c>
      <c r="H90" s="293" t="s">
        <v>368</v>
      </c>
      <c r="I90" s="294" t="s">
        <v>169</v>
      </c>
      <c r="J90" s="294" t="s">
        <v>442</v>
      </c>
      <c r="K90" s="307" t="s">
        <v>443</v>
      </c>
      <c r="L90" s="311">
        <v>2313</v>
      </c>
      <c r="M90" s="296"/>
      <c r="N90" s="294"/>
      <c r="O90" s="462">
        <v>217.5</v>
      </c>
      <c r="P90" s="463">
        <v>5</v>
      </c>
      <c r="Q90" s="463">
        <f>O90*P90</f>
        <v>1087.5</v>
      </c>
      <c r="R90" s="462">
        <f t="shared" si="1"/>
        <v>1087.5</v>
      </c>
      <c r="S90" s="463"/>
      <c r="T90" s="463"/>
      <c r="U90" s="463"/>
      <c r="V90" s="463"/>
      <c r="W90" s="463"/>
      <c r="X90" s="463">
        <v>1087.5</v>
      </c>
      <c r="Y90" s="463"/>
    </row>
    <row r="91" spans="1:27" ht="48" thickTop="1">
      <c r="A91" s="290"/>
      <c r="B91" s="291"/>
      <c r="C91" s="291" t="s">
        <v>449</v>
      </c>
      <c r="D91" s="291"/>
      <c r="E91" s="307">
        <v>5</v>
      </c>
      <c r="F91" s="460">
        <v>43318</v>
      </c>
      <c r="G91" s="461">
        <f t="shared" si="0"/>
        <v>43323</v>
      </c>
      <c r="H91" s="293" t="s">
        <v>368</v>
      </c>
      <c r="I91" s="294" t="s">
        <v>442</v>
      </c>
      <c r="J91" s="294"/>
      <c r="K91" s="307" t="s">
        <v>445</v>
      </c>
      <c r="L91" s="311"/>
      <c r="M91" s="296"/>
      <c r="N91" s="294"/>
      <c r="O91" s="464"/>
      <c r="P91" s="464"/>
      <c r="Q91" s="464"/>
      <c r="R91" s="462">
        <f t="shared" si="1"/>
        <v>0</v>
      </c>
      <c r="S91" s="463"/>
      <c r="T91" s="463"/>
      <c r="U91" s="463"/>
      <c r="V91" s="463"/>
      <c r="W91" s="463"/>
      <c r="X91" s="463"/>
      <c r="Y91" s="463"/>
    </row>
    <row r="92" spans="1:27" ht="16.5" customHeight="1" thickBot="1">
      <c r="A92" s="281">
        <v>422</v>
      </c>
      <c r="B92" s="3456" t="s">
        <v>450</v>
      </c>
      <c r="C92" s="3456"/>
      <c r="D92" s="3456"/>
      <c r="E92" s="3456"/>
      <c r="F92" s="3456"/>
      <c r="G92" s="3456"/>
      <c r="H92" s="3456"/>
      <c r="I92" s="3456"/>
      <c r="J92" s="282"/>
      <c r="K92" s="283"/>
      <c r="L92" s="282"/>
      <c r="M92" s="284"/>
      <c r="N92" s="283"/>
      <c r="O92" s="285"/>
      <c r="P92" s="282"/>
      <c r="Q92" s="286"/>
      <c r="R92" s="462">
        <f t="shared" si="1"/>
        <v>0</v>
      </c>
      <c r="S92" s="288"/>
      <c r="T92" s="288"/>
      <c r="U92" s="288"/>
      <c r="V92" s="288"/>
      <c r="W92" s="288"/>
      <c r="X92" s="288"/>
      <c r="Y92" s="288"/>
    </row>
    <row r="93" spans="1:27" ht="46.5" thickTop="1" thickBot="1">
      <c r="A93" s="290">
        <v>4221</v>
      </c>
      <c r="B93" s="465" t="s">
        <v>451</v>
      </c>
      <c r="C93" s="291" t="s">
        <v>452</v>
      </c>
      <c r="D93" s="291"/>
      <c r="E93" s="307">
        <f>50</f>
        <v>50</v>
      </c>
      <c r="F93" s="460">
        <v>43186</v>
      </c>
      <c r="G93" s="461">
        <f>+F93+E93</f>
        <v>43236</v>
      </c>
      <c r="H93" s="293" t="s">
        <v>368</v>
      </c>
      <c r="I93" s="294" t="s">
        <v>169</v>
      </c>
      <c r="J93" s="294" t="s">
        <v>179</v>
      </c>
      <c r="K93" s="307" t="s">
        <v>365</v>
      </c>
      <c r="L93" s="311">
        <v>2313</v>
      </c>
      <c r="M93" s="296"/>
      <c r="N93" s="294"/>
      <c r="O93" s="462">
        <v>174</v>
      </c>
      <c r="P93" s="466">
        <v>30</v>
      </c>
      <c r="Q93" s="463">
        <f>O93*P93</f>
        <v>5220</v>
      </c>
      <c r="R93" s="462">
        <f t="shared" si="1"/>
        <v>5220</v>
      </c>
      <c r="S93" s="463"/>
      <c r="T93" s="463"/>
      <c r="U93" s="463"/>
      <c r="V93" s="463">
        <v>5220</v>
      </c>
      <c r="W93" s="298"/>
      <c r="X93" s="298"/>
      <c r="Y93" s="298"/>
    </row>
    <row r="94" spans="1:27" ht="48.75" thickTop="1" thickBot="1">
      <c r="A94" s="290">
        <v>4222</v>
      </c>
      <c r="B94" s="465" t="s">
        <v>453</v>
      </c>
      <c r="C94" s="291" t="s">
        <v>454</v>
      </c>
      <c r="D94" s="291"/>
      <c r="E94" s="465">
        <v>5</v>
      </c>
      <c r="F94" s="460">
        <v>43241</v>
      </c>
      <c r="G94" s="461">
        <f>+F94+E94-1</f>
        <v>43245</v>
      </c>
      <c r="H94" s="306" t="s">
        <v>455</v>
      </c>
      <c r="I94" s="294" t="s">
        <v>179</v>
      </c>
      <c r="J94" s="307" t="s">
        <v>456</v>
      </c>
      <c r="K94" s="307" t="s">
        <v>457</v>
      </c>
      <c r="L94" s="311">
        <v>23174</v>
      </c>
      <c r="M94" s="296"/>
      <c r="N94" s="294"/>
      <c r="O94" s="462">
        <v>160</v>
      </c>
      <c r="P94" s="463">
        <v>40</v>
      </c>
      <c r="Q94" s="463">
        <f>O94*P94</f>
        <v>6400</v>
      </c>
      <c r="R94" s="462">
        <f t="shared" si="1"/>
        <v>6400</v>
      </c>
      <c r="S94" s="463"/>
      <c r="T94" s="463"/>
      <c r="U94" s="463">
        <v>6400</v>
      </c>
      <c r="V94" s="463"/>
      <c r="W94" s="298"/>
      <c r="X94" s="298"/>
      <c r="Y94" s="298"/>
    </row>
    <row r="95" spans="1:27" ht="143.25" thickTop="1" thickBot="1">
      <c r="A95" s="290">
        <v>4223</v>
      </c>
      <c r="B95" s="465" t="s">
        <v>458</v>
      </c>
      <c r="C95" s="465" t="s">
        <v>459</v>
      </c>
      <c r="D95" s="291"/>
      <c r="E95" s="465">
        <v>3</v>
      </c>
      <c r="F95" s="460">
        <v>43248</v>
      </c>
      <c r="G95" s="461">
        <f>+F95+E95-1</f>
        <v>43250</v>
      </c>
      <c r="H95" s="306" t="s">
        <v>460</v>
      </c>
      <c r="I95" s="294" t="s">
        <v>179</v>
      </c>
      <c r="J95" s="306" t="s">
        <v>461</v>
      </c>
      <c r="K95" s="307" t="s">
        <v>457</v>
      </c>
      <c r="L95" s="311">
        <v>23174</v>
      </c>
      <c r="M95" s="296"/>
      <c r="N95" s="294"/>
      <c r="O95" s="462">
        <v>134.66666666666666</v>
      </c>
      <c r="P95" s="463">
        <v>8</v>
      </c>
      <c r="Q95" s="463">
        <f>O95*P95</f>
        <v>1077.3333333333333</v>
      </c>
      <c r="R95" s="462">
        <f t="shared" si="1"/>
        <v>1077.3333333333333</v>
      </c>
      <c r="S95" s="298"/>
      <c r="T95" s="298"/>
      <c r="U95" s="463">
        <v>1077.3333333333333</v>
      </c>
      <c r="V95" s="298"/>
      <c r="W95" s="298"/>
      <c r="X95" s="298"/>
      <c r="Y95" s="298"/>
    </row>
    <row r="96" spans="1:27" ht="48" thickTop="1">
      <c r="A96" s="290">
        <v>4224</v>
      </c>
      <c r="B96" s="465" t="s">
        <v>462</v>
      </c>
      <c r="C96" s="465" t="s">
        <v>463</v>
      </c>
      <c r="D96" s="291"/>
      <c r="E96" s="465">
        <v>5</v>
      </c>
      <c r="F96" s="460">
        <v>43255</v>
      </c>
      <c r="G96" s="461">
        <f>+F96+E96-1</f>
        <v>43259</v>
      </c>
      <c r="H96" s="306" t="s">
        <v>455</v>
      </c>
      <c r="I96" s="294" t="s">
        <v>179</v>
      </c>
      <c r="J96" s="306" t="s">
        <v>461</v>
      </c>
      <c r="K96" s="307" t="s">
        <v>457</v>
      </c>
      <c r="L96" s="311">
        <v>23174</v>
      </c>
      <c r="M96" s="296"/>
      <c r="N96" s="294"/>
      <c r="O96" s="462">
        <v>84</v>
      </c>
      <c r="P96" s="463">
        <v>30</v>
      </c>
      <c r="Q96" s="463">
        <f>O96*P96</f>
        <v>2520</v>
      </c>
      <c r="R96" s="462">
        <f t="shared" si="1"/>
        <v>2520</v>
      </c>
      <c r="S96" s="463"/>
      <c r="T96" s="463"/>
      <c r="U96" s="463">
        <v>2520</v>
      </c>
      <c r="V96" s="463"/>
      <c r="W96" s="463"/>
      <c r="X96" s="298"/>
      <c r="Y96" s="298"/>
    </row>
    <row r="97" spans="1:25" ht="16.5" customHeight="1" thickBot="1">
      <c r="A97" s="281">
        <v>423</v>
      </c>
      <c r="B97" s="3473" t="s">
        <v>464</v>
      </c>
      <c r="C97" s="3474"/>
      <c r="D97" s="3474"/>
      <c r="E97" s="3474"/>
      <c r="F97" s="3474"/>
      <c r="G97" s="3474"/>
      <c r="H97" s="3474"/>
      <c r="I97" s="3475"/>
      <c r="J97" s="282"/>
      <c r="K97" s="283"/>
      <c r="L97" s="282"/>
      <c r="M97" s="284"/>
      <c r="N97" s="283"/>
      <c r="O97" s="285"/>
      <c r="P97" s="282"/>
      <c r="Q97" s="286"/>
      <c r="R97" s="462">
        <f t="shared" si="1"/>
        <v>0</v>
      </c>
      <c r="S97" s="288"/>
      <c r="T97" s="288"/>
      <c r="U97" s="288"/>
      <c r="V97" s="288"/>
      <c r="W97" s="288"/>
      <c r="X97" s="288"/>
      <c r="Y97" s="288"/>
    </row>
    <row r="98" spans="1:25" ht="51" customHeight="1" thickTop="1">
      <c r="A98" s="290">
        <v>4231</v>
      </c>
      <c r="B98" s="465" t="s">
        <v>465</v>
      </c>
      <c r="C98" s="465" t="s">
        <v>466</v>
      </c>
      <c r="D98" s="465"/>
      <c r="E98" s="465">
        <v>5</v>
      </c>
      <c r="F98" s="460">
        <v>43269</v>
      </c>
      <c r="G98" s="461">
        <f>+F98+E98-1</f>
        <v>43273</v>
      </c>
      <c r="H98" s="465" t="s">
        <v>368</v>
      </c>
      <c r="I98" s="465" t="s">
        <v>179</v>
      </c>
      <c r="J98" s="306" t="s">
        <v>461</v>
      </c>
      <c r="K98" s="307" t="s">
        <v>457</v>
      </c>
      <c r="L98" s="295">
        <v>23174</v>
      </c>
      <c r="M98" s="465"/>
      <c r="N98" s="465"/>
      <c r="O98" s="462">
        <v>160</v>
      </c>
      <c r="P98" s="462">
        <v>40</v>
      </c>
      <c r="Q98" s="462">
        <f>O98*P98</f>
        <v>6400</v>
      </c>
      <c r="R98" s="462">
        <f t="shared" si="1"/>
        <v>6400</v>
      </c>
      <c r="S98" s="463"/>
      <c r="T98" s="463"/>
      <c r="U98" s="463"/>
      <c r="V98" s="463">
        <v>6400</v>
      </c>
      <c r="W98" s="463"/>
      <c r="X98" s="465"/>
      <c r="Y98" s="465"/>
    </row>
    <row r="99" spans="1:25" ht="18.75" customHeight="1" thickBot="1">
      <c r="A99" s="281">
        <v>424</v>
      </c>
      <c r="B99" s="3473" t="s">
        <v>467</v>
      </c>
      <c r="C99" s="3474"/>
      <c r="D99" s="3474"/>
      <c r="E99" s="3474"/>
      <c r="F99" s="3474"/>
      <c r="G99" s="3474"/>
      <c r="H99" s="3474"/>
      <c r="I99" s="3475"/>
      <c r="J99" s="282"/>
      <c r="K99" s="283"/>
      <c r="L99" s="282"/>
      <c r="M99" s="284"/>
      <c r="N99" s="283"/>
      <c r="O99" s="285"/>
      <c r="P99" s="282"/>
      <c r="Q99" s="286"/>
      <c r="R99" s="462">
        <f t="shared" si="1"/>
        <v>0</v>
      </c>
      <c r="S99" s="288"/>
      <c r="T99" s="288"/>
      <c r="U99" s="288"/>
      <c r="V99" s="288"/>
      <c r="W99" s="288"/>
      <c r="X99" s="288"/>
      <c r="Y99" s="288"/>
    </row>
    <row r="100" spans="1:25" ht="75.75" thickTop="1">
      <c r="A100" s="290">
        <v>4241</v>
      </c>
      <c r="B100" s="465" t="s">
        <v>468</v>
      </c>
      <c r="C100" s="467" t="s">
        <v>469</v>
      </c>
      <c r="D100" s="291"/>
      <c r="E100" s="465">
        <v>2</v>
      </c>
      <c r="F100" s="460">
        <v>43283</v>
      </c>
      <c r="G100" s="461">
        <f>+F100+E100-1</f>
        <v>43284</v>
      </c>
      <c r="H100" s="306" t="s">
        <v>470</v>
      </c>
      <c r="I100" s="294" t="s">
        <v>179</v>
      </c>
      <c r="J100" s="306" t="s">
        <v>461</v>
      </c>
      <c r="K100" s="307" t="s">
        <v>457</v>
      </c>
      <c r="L100" s="295">
        <v>23174</v>
      </c>
      <c r="M100" s="296"/>
      <c r="N100" s="294"/>
      <c r="O100" s="462">
        <v>3045</v>
      </c>
      <c r="P100" s="462">
        <v>22</v>
      </c>
      <c r="Q100" s="462">
        <f>O100*P100</f>
        <v>66990</v>
      </c>
      <c r="R100" s="462">
        <f t="shared" si="1"/>
        <v>66990</v>
      </c>
      <c r="S100" s="463"/>
      <c r="T100" s="463"/>
      <c r="U100" s="463"/>
      <c r="V100" s="463">
        <v>66990</v>
      </c>
      <c r="W100" s="463"/>
      <c r="X100" s="298"/>
      <c r="Y100" s="298"/>
    </row>
    <row r="101" spans="1:25" ht="16.5" customHeight="1" thickBot="1">
      <c r="A101" s="281">
        <v>425</v>
      </c>
      <c r="B101" s="3473" t="s">
        <v>471</v>
      </c>
      <c r="C101" s="3474"/>
      <c r="D101" s="3474"/>
      <c r="E101" s="3474"/>
      <c r="F101" s="3474"/>
      <c r="G101" s="3474"/>
      <c r="H101" s="3474"/>
      <c r="I101" s="3475"/>
      <c r="J101" s="282"/>
      <c r="K101" s="283"/>
      <c r="L101" s="282"/>
      <c r="M101" s="284"/>
      <c r="N101" s="283"/>
      <c r="O101" s="285"/>
      <c r="P101" s="282"/>
      <c r="Q101" s="286"/>
      <c r="R101" s="462">
        <f t="shared" si="1"/>
        <v>0</v>
      </c>
      <c r="S101" s="288"/>
      <c r="T101" s="288"/>
      <c r="U101" s="288"/>
      <c r="V101" s="288"/>
      <c r="W101" s="288"/>
      <c r="X101" s="288"/>
      <c r="Y101" s="288"/>
    </row>
    <row r="102" spans="1:25" ht="31.5" thickTop="1" thickBot="1">
      <c r="A102" s="290">
        <v>4251</v>
      </c>
      <c r="B102" s="467" t="s">
        <v>472</v>
      </c>
      <c r="C102" s="467" t="s">
        <v>473</v>
      </c>
      <c r="D102" s="291"/>
      <c r="E102" s="292">
        <v>15</v>
      </c>
      <c r="F102" s="460">
        <v>43201</v>
      </c>
      <c r="G102" s="461">
        <f>+F102+E102-1</f>
        <v>43215</v>
      </c>
      <c r="H102" s="293" t="s">
        <v>474</v>
      </c>
      <c r="I102" s="294" t="s">
        <v>179</v>
      </c>
      <c r="J102" s="294" t="s">
        <v>169</v>
      </c>
      <c r="K102" s="307" t="s">
        <v>252</v>
      </c>
      <c r="L102" s="295">
        <v>23174</v>
      </c>
      <c r="M102" s="296"/>
      <c r="N102" s="294"/>
      <c r="O102" s="462">
        <v>0.23333333333333334</v>
      </c>
      <c r="P102" s="462">
        <v>57500</v>
      </c>
      <c r="Q102" s="462">
        <f>O102*P102</f>
        <v>13416.666666666666</v>
      </c>
      <c r="R102" s="462">
        <f t="shared" si="1"/>
        <v>13416.666666666666</v>
      </c>
      <c r="S102" s="298"/>
      <c r="T102" s="463">
        <v>13416.666666666666</v>
      </c>
      <c r="U102" s="463"/>
      <c r="V102" s="463"/>
      <c r="W102" s="298"/>
      <c r="X102" s="298"/>
      <c r="Y102" s="298"/>
    </row>
    <row r="103" spans="1:25" ht="48.75" thickTop="1" thickBot="1">
      <c r="A103" s="290">
        <v>4252</v>
      </c>
      <c r="B103" s="467" t="s">
        <v>475</v>
      </c>
      <c r="C103" s="467" t="s">
        <v>476</v>
      </c>
      <c r="D103" s="291"/>
      <c r="E103" s="292">
        <v>10</v>
      </c>
      <c r="F103" s="460">
        <v>43213</v>
      </c>
      <c r="G103" s="461">
        <f>+F103+E103-1</f>
        <v>43222</v>
      </c>
      <c r="H103" s="293" t="s">
        <v>474</v>
      </c>
      <c r="I103" s="294" t="s">
        <v>179</v>
      </c>
      <c r="J103" s="294" t="s">
        <v>180</v>
      </c>
      <c r="K103" s="307" t="s">
        <v>457</v>
      </c>
      <c r="L103" s="295">
        <v>23174</v>
      </c>
      <c r="M103" s="296"/>
      <c r="N103" s="294"/>
      <c r="O103" s="462">
        <v>350</v>
      </c>
      <c r="P103" s="462">
        <v>228</v>
      </c>
      <c r="Q103" s="462">
        <f>O103*P103</f>
        <v>79800</v>
      </c>
      <c r="R103" s="462">
        <f t="shared" si="1"/>
        <v>79800</v>
      </c>
      <c r="S103" s="298"/>
      <c r="T103" s="463">
        <v>79800</v>
      </c>
      <c r="U103" s="463"/>
      <c r="V103" s="463"/>
      <c r="W103" s="298"/>
      <c r="X103" s="298"/>
      <c r="Y103" s="298"/>
    </row>
    <row r="104" spans="1:25" ht="48.75" thickTop="1" thickBot="1">
      <c r="A104" s="290">
        <v>4253</v>
      </c>
      <c r="B104" s="468" t="s">
        <v>477</v>
      </c>
      <c r="C104" s="467" t="s">
        <v>478</v>
      </c>
      <c r="D104" s="291"/>
      <c r="E104" s="292">
        <v>10</v>
      </c>
      <c r="F104" s="460">
        <v>43227</v>
      </c>
      <c r="G104" s="461">
        <f t="shared" ref="G104:G115" si="2">+F104+E104-1</f>
        <v>43236</v>
      </c>
      <c r="H104" s="293" t="s">
        <v>368</v>
      </c>
      <c r="I104" s="294" t="s">
        <v>179</v>
      </c>
      <c r="J104" s="295" t="s">
        <v>180</v>
      </c>
      <c r="K104" s="307" t="s">
        <v>457</v>
      </c>
      <c r="L104" s="295">
        <v>23174</v>
      </c>
      <c r="M104" s="296"/>
      <c r="N104" s="294"/>
      <c r="O104" s="462">
        <v>260</v>
      </c>
      <c r="P104" s="462">
        <v>26</v>
      </c>
      <c r="Q104" s="462">
        <f>O104*P104</f>
        <v>6760</v>
      </c>
      <c r="R104" s="462">
        <f t="shared" si="1"/>
        <v>6760</v>
      </c>
      <c r="S104" s="463"/>
      <c r="T104" s="463"/>
      <c r="U104" s="463">
        <v>6760</v>
      </c>
      <c r="V104" s="463"/>
      <c r="W104" s="298"/>
      <c r="X104" s="298"/>
      <c r="Y104" s="298"/>
    </row>
    <row r="105" spans="1:25" ht="60.75" thickTop="1">
      <c r="A105" s="290">
        <v>4254</v>
      </c>
      <c r="B105" s="469" t="s">
        <v>479</v>
      </c>
      <c r="C105" s="465" t="s">
        <v>480</v>
      </c>
      <c r="D105" s="291"/>
      <c r="E105" s="292">
        <v>6</v>
      </c>
      <c r="F105" s="460">
        <v>43269</v>
      </c>
      <c r="G105" s="461">
        <f t="shared" si="2"/>
        <v>43274</v>
      </c>
      <c r="H105" s="293" t="s">
        <v>368</v>
      </c>
      <c r="I105" s="294" t="s">
        <v>179</v>
      </c>
      <c r="J105" s="295" t="s">
        <v>180</v>
      </c>
      <c r="K105" s="307" t="s">
        <v>457</v>
      </c>
      <c r="L105" s="295">
        <v>23174</v>
      </c>
      <c r="M105" s="296"/>
      <c r="N105" s="294"/>
      <c r="O105" s="462">
        <v>177.48</v>
      </c>
      <c r="P105" s="462">
        <v>25</v>
      </c>
      <c r="Q105" s="462">
        <f>O105*P105</f>
        <v>4437</v>
      </c>
      <c r="R105" s="462">
        <f t="shared" si="1"/>
        <v>4437</v>
      </c>
      <c r="S105" s="463"/>
      <c r="T105" s="463"/>
      <c r="U105" s="463"/>
      <c r="V105" s="463">
        <v>4437</v>
      </c>
      <c r="W105" s="298"/>
      <c r="X105" s="298"/>
      <c r="Y105" s="298"/>
    </row>
    <row r="106" spans="1:25" ht="16.5" thickBot="1">
      <c r="A106" s="281">
        <v>426</v>
      </c>
      <c r="B106" s="3473" t="s">
        <v>481</v>
      </c>
      <c r="C106" s="3474"/>
      <c r="D106" s="3474"/>
      <c r="E106" s="3474"/>
      <c r="F106" s="3474"/>
      <c r="G106" s="3474"/>
      <c r="H106" s="3474"/>
      <c r="I106" s="3475"/>
      <c r="J106" s="295"/>
      <c r="K106" s="294"/>
      <c r="L106" s="295"/>
      <c r="M106" s="296"/>
      <c r="N106" s="294"/>
      <c r="O106" s="297"/>
      <c r="P106" s="295"/>
      <c r="Q106" s="298"/>
      <c r="R106" s="462">
        <f t="shared" si="1"/>
        <v>0</v>
      </c>
      <c r="S106" s="298"/>
      <c r="T106" s="298"/>
      <c r="U106" s="298"/>
      <c r="V106" s="298"/>
      <c r="W106" s="298"/>
      <c r="X106" s="298"/>
      <c r="Y106" s="298"/>
    </row>
    <row r="107" spans="1:25" ht="31.5" thickTop="1" thickBot="1">
      <c r="A107" s="290">
        <v>4261</v>
      </c>
      <c r="B107" s="467" t="s">
        <v>482</v>
      </c>
      <c r="C107" s="467" t="s">
        <v>483</v>
      </c>
      <c r="D107" s="291"/>
      <c r="E107" s="292">
        <v>50</v>
      </c>
      <c r="F107" s="460">
        <v>43186</v>
      </c>
      <c r="G107" s="461">
        <f>+F107+E107-3</f>
        <v>43233</v>
      </c>
      <c r="H107" s="293" t="s">
        <v>368</v>
      </c>
      <c r="I107" s="294" t="s">
        <v>169</v>
      </c>
      <c r="J107" s="295" t="s">
        <v>179</v>
      </c>
      <c r="K107" s="311" t="s">
        <v>365</v>
      </c>
      <c r="L107" s="311">
        <v>2313</v>
      </c>
      <c r="M107" s="296"/>
      <c r="N107" s="294"/>
      <c r="O107" s="462">
        <v>174</v>
      </c>
      <c r="P107" s="462">
        <v>45</v>
      </c>
      <c r="Q107" s="462">
        <f t="shared" ref="Q107:Q113" si="3">O107*P107</f>
        <v>7830</v>
      </c>
      <c r="R107" s="462">
        <f t="shared" si="1"/>
        <v>7830</v>
      </c>
      <c r="S107" s="462"/>
      <c r="T107" s="462"/>
      <c r="U107" s="462"/>
      <c r="V107" s="462">
        <v>7830</v>
      </c>
      <c r="W107" s="462"/>
      <c r="X107" s="298"/>
      <c r="Y107" s="298"/>
    </row>
    <row r="108" spans="1:25" ht="61.5" thickTop="1" thickBot="1">
      <c r="A108" s="290">
        <v>4262</v>
      </c>
      <c r="B108" s="467" t="s">
        <v>484</v>
      </c>
      <c r="C108" s="467" t="s">
        <v>485</v>
      </c>
      <c r="D108" s="291"/>
      <c r="E108" s="292">
        <v>6</v>
      </c>
      <c r="F108" s="460">
        <v>43234</v>
      </c>
      <c r="G108" s="461">
        <f t="shared" si="2"/>
        <v>43239</v>
      </c>
      <c r="H108" s="293" t="s">
        <v>368</v>
      </c>
      <c r="I108" s="294" t="s">
        <v>179</v>
      </c>
      <c r="J108" s="295"/>
      <c r="K108" s="307" t="s">
        <v>457</v>
      </c>
      <c r="L108" s="311">
        <v>23174</v>
      </c>
      <c r="M108" s="296"/>
      <c r="N108" s="294"/>
      <c r="O108" s="462">
        <v>5076.666666666667</v>
      </c>
      <c r="P108" s="462">
        <v>1</v>
      </c>
      <c r="Q108" s="462">
        <f t="shared" si="3"/>
        <v>5076.666666666667</v>
      </c>
      <c r="R108" s="462">
        <f t="shared" si="1"/>
        <v>5076.666666666667</v>
      </c>
      <c r="S108" s="462"/>
      <c r="T108" s="462"/>
      <c r="U108" s="462">
        <v>5076.666666666667</v>
      </c>
      <c r="V108" s="462"/>
      <c r="W108" s="462"/>
      <c r="X108" s="298"/>
      <c r="Y108" s="298"/>
    </row>
    <row r="109" spans="1:25" ht="33" thickTop="1" thickBot="1">
      <c r="A109" s="290"/>
      <c r="B109" s="467"/>
      <c r="C109" s="467"/>
      <c r="D109" s="291"/>
      <c r="E109" s="292">
        <v>6</v>
      </c>
      <c r="F109" s="460">
        <v>43234</v>
      </c>
      <c r="G109" s="461">
        <f t="shared" si="2"/>
        <v>43239</v>
      </c>
      <c r="H109" s="293" t="s">
        <v>368</v>
      </c>
      <c r="I109" s="294" t="s">
        <v>179</v>
      </c>
      <c r="J109" s="295"/>
      <c r="K109" s="307" t="s">
        <v>320</v>
      </c>
      <c r="L109" s="311">
        <v>23173</v>
      </c>
      <c r="M109" s="296"/>
      <c r="N109" s="294"/>
      <c r="O109" s="462">
        <v>165.83333333333334</v>
      </c>
      <c r="P109" s="462">
        <v>1</v>
      </c>
      <c r="Q109" s="462">
        <f t="shared" si="3"/>
        <v>165.83333333333334</v>
      </c>
      <c r="R109" s="462">
        <f t="shared" si="1"/>
        <v>165.83333333333334</v>
      </c>
      <c r="S109" s="462"/>
      <c r="T109" s="462"/>
      <c r="U109" s="462">
        <v>165.83333333333334</v>
      </c>
      <c r="V109" s="462"/>
      <c r="W109" s="462"/>
      <c r="X109" s="298"/>
      <c r="Y109" s="298"/>
    </row>
    <row r="110" spans="1:25" ht="17.25" thickTop="1" thickBot="1">
      <c r="A110" s="290"/>
      <c r="B110" s="467"/>
      <c r="C110" s="467"/>
      <c r="D110" s="291"/>
      <c r="E110" s="292">
        <v>6</v>
      </c>
      <c r="F110" s="460">
        <v>43234</v>
      </c>
      <c r="G110" s="461">
        <f t="shared" si="2"/>
        <v>43239</v>
      </c>
      <c r="H110" s="293" t="s">
        <v>368</v>
      </c>
      <c r="I110" s="294" t="s">
        <v>179</v>
      </c>
      <c r="J110" s="295"/>
      <c r="K110" s="307" t="s">
        <v>486</v>
      </c>
      <c r="L110" s="311">
        <v>23172</v>
      </c>
      <c r="M110" s="296"/>
      <c r="N110" s="294"/>
      <c r="O110" s="462">
        <v>10</v>
      </c>
      <c r="P110" s="462">
        <v>5</v>
      </c>
      <c r="Q110" s="462">
        <f t="shared" si="3"/>
        <v>50</v>
      </c>
      <c r="R110" s="462">
        <f t="shared" si="1"/>
        <v>50</v>
      </c>
      <c r="S110" s="462"/>
      <c r="T110" s="462"/>
      <c r="U110" s="462">
        <v>50</v>
      </c>
      <c r="V110" s="462"/>
      <c r="W110" s="462"/>
      <c r="X110" s="298"/>
      <c r="Y110" s="298"/>
    </row>
    <row r="111" spans="1:25" ht="48.75" thickTop="1" thickBot="1">
      <c r="A111" s="290">
        <v>4263</v>
      </c>
      <c r="B111" s="467" t="s">
        <v>487</v>
      </c>
      <c r="C111" s="467" t="s">
        <v>488</v>
      </c>
      <c r="D111" s="291"/>
      <c r="E111" s="292">
        <v>10</v>
      </c>
      <c r="F111" s="460">
        <v>43241</v>
      </c>
      <c r="G111" s="461">
        <f t="shared" si="2"/>
        <v>43250</v>
      </c>
      <c r="H111" s="295" t="s">
        <v>372</v>
      </c>
      <c r="I111" s="294" t="s">
        <v>179</v>
      </c>
      <c r="J111" s="295"/>
      <c r="K111" s="307" t="s">
        <v>457</v>
      </c>
      <c r="L111" s="311">
        <v>23174</v>
      </c>
      <c r="M111" s="296"/>
      <c r="N111" s="294"/>
      <c r="O111" s="462">
        <v>20400</v>
      </c>
      <c r="P111" s="462">
        <v>1</v>
      </c>
      <c r="Q111" s="462">
        <f t="shared" si="3"/>
        <v>20400</v>
      </c>
      <c r="R111" s="462">
        <f t="shared" si="1"/>
        <v>20400</v>
      </c>
      <c r="S111" s="462"/>
      <c r="T111" s="462"/>
      <c r="U111" s="462">
        <v>20400</v>
      </c>
      <c r="V111" s="462"/>
      <c r="W111" s="462"/>
      <c r="X111" s="298"/>
      <c r="Y111" s="298"/>
    </row>
    <row r="112" spans="1:25" ht="33" thickTop="1" thickBot="1">
      <c r="A112" s="290"/>
      <c r="B112" s="467"/>
      <c r="C112" s="467"/>
      <c r="D112" s="291"/>
      <c r="E112" s="292">
        <v>10</v>
      </c>
      <c r="F112" s="460">
        <v>43241</v>
      </c>
      <c r="G112" s="461">
        <f t="shared" si="2"/>
        <v>43250</v>
      </c>
      <c r="H112" s="295" t="s">
        <v>372</v>
      </c>
      <c r="I112" s="294" t="s">
        <v>179</v>
      </c>
      <c r="J112" s="295"/>
      <c r="K112" s="307" t="s">
        <v>320</v>
      </c>
      <c r="L112" s="311">
        <v>23173</v>
      </c>
      <c r="M112" s="296"/>
      <c r="N112" s="294"/>
      <c r="O112" s="462">
        <v>356.33333333333331</v>
      </c>
      <c r="P112" s="470">
        <v>1</v>
      </c>
      <c r="Q112" s="470">
        <f t="shared" si="3"/>
        <v>356.33333333333331</v>
      </c>
      <c r="R112" s="462">
        <f t="shared" si="1"/>
        <v>356.33333333333331</v>
      </c>
      <c r="S112" s="298"/>
      <c r="T112" s="298"/>
      <c r="U112" s="462">
        <v>356.33333333333331</v>
      </c>
      <c r="V112" s="298"/>
      <c r="W112" s="298"/>
      <c r="X112" s="298"/>
      <c r="Y112" s="298"/>
    </row>
    <row r="113" spans="1:25" ht="17.25" thickTop="1" thickBot="1">
      <c r="A113" s="290"/>
      <c r="B113" s="467"/>
      <c r="C113" s="467"/>
      <c r="D113" s="291"/>
      <c r="E113" s="292">
        <v>10</v>
      </c>
      <c r="F113" s="460">
        <v>43241</v>
      </c>
      <c r="G113" s="461">
        <f t="shared" si="2"/>
        <v>43250</v>
      </c>
      <c r="H113" s="295" t="s">
        <v>372</v>
      </c>
      <c r="I113" s="294" t="s">
        <v>179</v>
      </c>
      <c r="J113" s="295"/>
      <c r="K113" s="307" t="s">
        <v>486</v>
      </c>
      <c r="L113" s="311">
        <v>23172</v>
      </c>
      <c r="M113" s="296"/>
      <c r="N113" s="294"/>
      <c r="O113" s="462">
        <v>10</v>
      </c>
      <c r="P113" s="470">
        <v>10</v>
      </c>
      <c r="Q113" s="470">
        <f t="shared" si="3"/>
        <v>100</v>
      </c>
      <c r="R113" s="462">
        <f t="shared" si="1"/>
        <v>100</v>
      </c>
      <c r="S113" s="298"/>
      <c r="T113" s="298"/>
      <c r="U113" s="462">
        <v>100</v>
      </c>
      <c r="V113" s="298"/>
      <c r="W113" s="298"/>
      <c r="X113" s="298"/>
      <c r="Y113" s="298"/>
    </row>
    <row r="114" spans="1:25" ht="48.75" thickTop="1" thickBot="1">
      <c r="A114" s="290">
        <v>4264</v>
      </c>
      <c r="B114" s="467" t="s">
        <v>458</v>
      </c>
      <c r="C114" s="467" t="s">
        <v>489</v>
      </c>
      <c r="D114" s="291"/>
      <c r="E114" s="292">
        <v>2</v>
      </c>
      <c r="F114" s="460">
        <v>43255</v>
      </c>
      <c r="G114" s="461">
        <f t="shared" si="2"/>
        <v>43256</v>
      </c>
      <c r="H114" s="295" t="s">
        <v>490</v>
      </c>
      <c r="I114" s="294" t="s">
        <v>179</v>
      </c>
      <c r="J114" s="295"/>
      <c r="K114" s="307" t="s">
        <v>457</v>
      </c>
      <c r="L114" s="311">
        <v>23174</v>
      </c>
      <c r="M114" s="296"/>
      <c r="N114" s="294"/>
      <c r="O114" s="462">
        <v>0</v>
      </c>
      <c r="P114" s="470"/>
      <c r="Q114" s="470"/>
      <c r="R114" s="462">
        <f t="shared" si="1"/>
        <v>0</v>
      </c>
      <c r="S114" s="298"/>
      <c r="T114" s="298"/>
      <c r="U114" s="462"/>
      <c r="V114" s="298"/>
      <c r="W114" s="298"/>
      <c r="X114" s="298"/>
      <c r="Y114" s="298"/>
    </row>
    <row r="115" spans="1:25" ht="66" customHeight="1" thickTop="1">
      <c r="A115" s="290">
        <v>4265</v>
      </c>
      <c r="B115" s="467" t="s">
        <v>491</v>
      </c>
      <c r="C115" s="467" t="s">
        <v>492</v>
      </c>
      <c r="D115" s="291"/>
      <c r="E115" s="307">
        <v>5</v>
      </c>
      <c r="F115" s="460">
        <v>43261</v>
      </c>
      <c r="G115" s="461">
        <f t="shared" si="2"/>
        <v>43265</v>
      </c>
      <c r="H115" s="307" t="s">
        <v>493</v>
      </c>
      <c r="I115" s="294" t="s">
        <v>179</v>
      </c>
      <c r="J115" s="294"/>
      <c r="K115" s="307" t="s">
        <v>457</v>
      </c>
      <c r="L115" s="311">
        <v>23174</v>
      </c>
      <c r="M115" s="296"/>
      <c r="N115" s="294"/>
      <c r="O115" s="462">
        <v>750</v>
      </c>
      <c r="P115" s="470">
        <v>10</v>
      </c>
      <c r="Q115" s="470">
        <f>O115*P115</f>
        <v>7500</v>
      </c>
      <c r="R115" s="462">
        <f t="shared" si="1"/>
        <v>7500</v>
      </c>
      <c r="S115" s="298"/>
      <c r="T115" s="298"/>
      <c r="U115" s="462">
        <v>7500</v>
      </c>
      <c r="V115" s="298"/>
      <c r="W115" s="298"/>
      <c r="X115" s="298"/>
      <c r="Y115" s="298"/>
    </row>
    <row r="116" spans="1:25" ht="18.75" customHeight="1" thickBot="1">
      <c r="A116" s="281">
        <v>427</v>
      </c>
      <c r="B116" s="3473" t="s">
        <v>494</v>
      </c>
      <c r="C116" s="3474"/>
      <c r="D116" s="3474"/>
      <c r="E116" s="3474"/>
      <c r="F116" s="3474"/>
      <c r="G116" s="3474"/>
      <c r="H116" s="3474"/>
      <c r="I116" s="3475"/>
      <c r="J116" s="282"/>
      <c r="K116" s="283"/>
      <c r="L116" s="282"/>
      <c r="M116" s="284"/>
      <c r="N116" s="283"/>
      <c r="O116" s="285"/>
      <c r="P116" s="282"/>
      <c r="Q116" s="286"/>
      <c r="R116" s="462">
        <f t="shared" si="1"/>
        <v>0</v>
      </c>
      <c r="S116" s="288"/>
      <c r="T116" s="288"/>
      <c r="U116" s="288"/>
      <c r="V116" s="288"/>
      <c r="W116" s="288"/>
      <c r="X116" s="288"/>
      <c r="Y116" s="288"/>
    </row>
    <row r="117" spans="1:25" ht="96" thickTop="1" thickBot="1">
      <c r="A117" s="290">
        <v>4271</v>
      </c>
      <c r="B117" s="471" t="s">
        <v>495</v>
      </c>
      <c r="C117" s="472" t="s">
        <v>496</v>
      </c>
      <c r="D117" s="291"/>
      <c r="E117" s="307">
        <v>50</v>
      </c>
      <c r="F117" s="460">
        <v>43186</v>
      </c>
      <c r="G117" s="461">
        <f>+F117+E117-1</f>
        <v>43235</v>
      </c>
      <c r="H117" s="293"/>
      <c r="I117" s="294" t="s">
        <v>169</v>
      </c>
      <c r="J117" s="294" t="s">
        <v>179</v>
      </c>
      <c r="K117" s="294" t="s">
        <v>365</v>
      </c>
      <c r="L117" s="311">
        <v>2313</v>
      </c>
      <c r="M117" s="296"/>
      <c r="N117" s="294"/>
      <c r="O117" s="462">
        <v>217.5</v>
      </c>
      <c r="P117" s="462">
        <v>15</v>
      </c>
      <c r="Q117" s="462">
        <f>O117*P117</f>
        <v>3262.5</v>
      </c>
      <c r="R117" s="462">
        <f t="shared" si="1"/>
        <v>3262.5</v>
      </c>
      <c r="S117" s="298"/>
      <c r="T117" s="298"/>
      <c r="U117" s="298"/>
      <c r="V117" s="299">
        <v>3262.5</v>
      </c>
      <c r="W117" s="298"/>
      <c r="X117" s="298"/>
      <c r="Y117" s="298"/>
    </row>
    <row r="118" spans="1:25" ht="48" thickTop="1">
      <c r="A118" s="290">
        <v>4272</v>
      </c>
      <c r="B118" s="471" t="s">
        <v>497</v>
      </c>
      <c r="C118" s="472"/>
      <c r="D118" s="291"/>
      <c r="E118" s="307">
        <v>3</v>
      </c>
      <c r="F118" s="460">
        <v>43240</v>
      </c>
      <c r="G118" s="461">
        <f>+F118+E118-1</f>
        <v>43242</v>
      </c>
      <c r="H118" s="307" t="s">
        <v>493</v>
      </c>
      <c r="I118" s="294" t="s">
        <v>179</v>
      </c>
      <c r="K118" s="307" t="s">
        <v>457</v>
      </c>
      <c r="L118" s="311">
        <v>23174</v>
      </c>
      <c r="M118" s="296"/>
      <c r="N118" s="294"/>
      <c r="O118" s="462">
        <v>750</v>
      </c>
      <c r="P118" s="462">
        <v>10</v>
      </c>
      <c r="Q118" s="462">
        <f>O118*P118</f>
        <v>7500</v>
      </c>
      <c r="R118" s="462">
        <f t="shared" si="1"/>
        <v>7500</v>
      </c>
      <c r="S118" s="298"/>
      <c r="T118" s="298"/>
      <c r="U118" s="299">
        <v>7500</v>
      </c>
      <c r="V118" s="298"/>
      <c r="W118" s="298"/>
      <c r="X118" s="298"/>
      <c r="Y118" s="298"/>
    </row>
    <row r="119" spans="1:25" ht="18.75" customHeight="1" thickBot="1">
      <c r="A119" s="281">
        <v>428</v>
      </c>
      <c r="B119" s="3473" t="s">
        <v>498</v>
      </c>
      <c r="C119" s="3474"/>
      <c r="D119" s="3474"/>
      <c r="E119" s="3474"/>
      <c r="F119" s="3474"/>
      <c r="G119" s="3474"/>
      <c r="H119" s="3474"/>
      <c r="I119" s="3475"/>
      <c r="J119" s="282"/>
      <c r="K119" s="283"/>
      <c r="L119" s="282"/>
      <c r="M119" s="284"/>
      <c r="N119" s="283"/>
      <c r="O119" s="285"/>
      <c r="P119" s="282"/>
      <c r="Q119" s="286"/>
      <c r="R119" s="462">
        <f t="shared" si="1"/>
        <v>0</v>
      </c>
      <c r="S119" s="288"/>
      <c r="T119" s="288"/>
      <c r="U119" s="288"/>
      <c r="V119" s="288"/>
      <c r="W119" s="288"/>
      <c r="X119" s="288"/>
      <c r="Y119" s="288"/>
    </row>
    <row r="120" spans="1:25" ht="33" thickTop="1" thickBot="1">
      <c r="A120" s="290">
        <v>4281</v>
      </c>
      <c r="B120" s="473" t="s">
        <v>499</v>
      </c>
      <c r="C120" s="474" t="s">
        <v>500</v>
      </c>
      <c r="D120" s="291"/>
      <c r="E120" s="307">
        <v>50</v>
      </c>
      <c r="F120" s="460">
        <v>43186</v>
      </c>
      <c r="G120" s="461">
        <f>+F120+E120-1</f>
        <v>43235</v>
      </c>
      <c r="H120" s="306" t="s">
        <v>501</v>
      </c>
      <c r="I120" s="294" t="s">
        <v>169</v>
      </c>
      <c r="J120" s="295" t="s">
        <v>179</v>
      </c>
      <c r="K120" s="307" t="s">
        <v>502</v>
      </c>
      <c r="L120" s="311">
        <v>2313</v>
      </c>
      <c r="M120" s="296"/>
      <c r="N120" s="462"/>
      <c r="O120" s="462">
        <v>907.67376190476193</v>
      </c>
      <c r="P120" s="462">
        <v>14</v>
      </c>
      <c r="Q120" s="462">
        <f>+O120*P120</f>
        <v>12707.432666666668</v>
      </c>
      <c r="R120" s="462">
        <f t="shared" si="1"/>
        <v>12707.432666666668</v>
      </c>
      <c r="S120" s="462"/>
      <c r="T120" s="298"/>
      <c r="U120" s="462"/>
      <c r="V120" s="462">
        <v>12707.432666666668</v>
      </c>
      <c r="W120" s="298"/>
      <c r="X120" s="298"/>
      <c r="Y120" s="298"/>
    </row>
    <row r="121" spans="1:25" ht="33" thickTop="1" thickBot="1">
      <c r="A121" s="290">
        <v>4282</v>
      </c>
      <c r="B121" s="473" t="s">
        <v>503</v>
      </c>
      <c r="C121" s="474" t="s">
        <v>504</v>
      </c>
      <c r="D121" s="291"/>
      <c r="E121" s="307">
        <v>50</v>
      </c>
      <c r="F121" s="460">
        <v>43186</v>
      </c>
      <c r="G121" s="461">
        <f>+F121+E121-1</f>
        <v>43235</v>
      </c>
      <c r="H121" s="306" t="s">
        <v>501</v>
      </c>
      <c r="I121" s="294" t="s">
        <v>169</v>
      </c>
      <c r="J121" s="295" t="s">
        <v>179</v>
      </c>
      <c r="K121" s="307" t="s">
        <v>502</v>
      </c>
      <c r="L121" s="311">
        <v>2313</v>
      </c>
      <c r="M121" s="296"/>
      <c r="N121" s="294"/>
      <c r="O121" s="462">
        <v>208.73557142857143</v>
      </c>
      <c r="P121" s="462">
        <f>14*3</f>
        <v>42</v>
      </c>
      <c r="Q121" s="462">
        <f>+O121*P121</f>
        <v>8766.8940000000002</v>
      </c>
      <c r="R121" s="462">
        <f t="shared" si="1"/>
        <v>8766.8940000000002</v>
      </c>
      <c r="S121" s="462"/>
      <c r="T121" s="298"/>
      <c r="U121" s="462"/>
      <c r="V121" s="462">
        <v>8766.8940000000002</v>
      </c>
      <c r="W121" s="298"/>
      <c r="X121" s="298"/>
      <c r="Y121" s="298"/>
    </row>
    <row r="122" spans="1:25" ht="48.75" thickTop="1" thickBot="1">
      <c r="A122" s="290">
        <v>4283</v>
      </c>
      <c r="B122" s="473" t="s">
        <v>505</v>
      </c>
      <c r="C122" s="474" t="s">
        <v>506</v>
      </c>
      <c r="D122" s="291"/>
      <c r="E122" s="475">
        <v>15</v>
      </c>
      <c r="F122" s="460">
        <v>43255</v>
      </c>
      <c r="G122" s="461">
        <f>+F122+E122-1</f>
        <v>43269</v>
      </c>
      <c r="H122" s="306" t="s">
        <v>501</v>
      </c>
      <c r="I122" s="294" t="s">
        <v>179</v>
      </c>
      <c r="J122" s="294" t="s">
        <v>507</v>
      </c>
      <c r="K122" s="307" t="s">
        <v>457</v>
      </c>
      <c r="L122" s="311">
        <v>23174</v>
      </c>
      <c r="M122" s="296"/>
      <c r="N122" s="294"/>
      <c r="O122" s="462">
        <v>17989.099333333332</v>
      </c>
      <c r="P122" s="462">
        <v>1</v>
      </c>
      <c r="Q122" s="462">
        <f>O122*P122</f>
        <v>17989.099333333332</v>
      </c>
      <c r="R122" s="462">
        <f t="shared" si="1"/>
        <v>17989.099333333332</v>
      </c>
      <c r="S122" s="470"/>
      <c r="T122" s="298"/>
      <c r="U122" s="462"/>
      <c r="V122" s="462">
        <v>17989.099333333332</v>
      </c>
      <c r="W122" s="298"/>
      <c r="X122" s="298"/>
      <c r="Y122" s="298"/>
    </row>
    <row r="123" spans="1:25" ht="33" thickTop="1" thickBot="1">
      <c r="A123" s="290"/>
      <c r="B123" s="473"/>
      <c r="C123" s="474"/>
      <c r="D123" s="291"/>
      <c r="E123" s="475"/>
      <c r="F123" s="460"/>
      <c r="G123" s="461"/>
      <c r="H123" s="306"/>
      <c r="I123" s="294"/>
      <c r="J123" s="294"/>
      <c r="K123" s="307" t="s">
        <v>320</v>
      </c>
      <c r="L123" s="311">
        <v>23173</v>
      </c>
      <c r="M123" s="296"/>
      <c r="N123" s="294"/>
      <c r="O123" s="462">
        <v>1060.0740000000001</v>
      </c>
      <c r="P123" s="462">
        <v>1</v>
      </c>
      <c r="Q123" s="462">
        <f>O123*P123</f>
        <v>1060.0740000000001</v>
      </c>
      <c r="R123" s="462">
        <f t="shared" si="1"/>
        <v>1060.0740000000001</v>
      </c>
      <c r="S123" s="476"/>
      <c r="T123" s="298"/>
      <c r="U123" s="462"/>
      <c r="V123" s="462">
        <f>R123</f>
        <v>1060.0740000000001</v>
      </c>
      <c r="W123" s="298"/>
      <c r="X123" s="298"/>
      <c r="Y123" s="298"/>
    </row>
    <row r="124" spans="1:25" ht="17.25" thickTop="1" thickBot="1">
      <c r="A124" s="290"/>
      <c r="B124" s="473"/>
      <c r="C124" s="474"/>
      <c r="D124" s="291"/>
      <c r="E124" s="475"/>
      <c r="F124" s="460"/>
      <c r="G124" s="461"/>
      <c r="H124" s="306"/>
      <c r="I124" s="294"/>
      <c r="J124" s="294"/>
      <c r="K124" s="307" t="s">
        <v>486</v>
      </c>
      <c r="L124" s="311">
        <v>23172</v>
      </c>
      <c r="M124" s="296"/>
      <c r="N124" s="294"/>
      <c r="O124" s="462">
        <v>33.333333333333336</v>
      </c>
      <c r="P124" s="462">
        <v>12</v>
      </c>
      <c r="Q124" s="462">
        <f>O124*P124</f>
        <v>400</v>
      </c>
      <c r="R124" s="462">
        <f t="shared" si="1"/>
        <v>400</v>
      </c>
      <c r="S124" s="477"/>
      <c r="T124" s="298"/>
      <c r="U124" s="462"/>
      <c r="V124" s="462">
        <f>R124</f>
        <v>400</v>
      </c>
      <c r="W124" s="298"/>
      <c r="X124" s="298"/>
      <c r="Y124" s="298"/>
    </row>
    <row r="125" spans="1:25" ht="30.75" thickTop="1">
      <c r="A125" s="290">
        <v>4284</v>
      </c>
      <c r="B125" s="467" t="s">
        <v>508</v>
      </c>
      <c r="C125" s="465" t="s">
        <v>509</v>
      </c>
      <c r="D125" s="291"/>
      <c r="E125" s="307">
        <v>50</v>
      </c>
      <c r="F125" s="460">
        <v>43186</v>
      </c>
      <c r="G125" s="461">
        <f>+F125+E125-1</f>
        <v>43235</v>
      </c>
      <c r="H125" s="306" t="s">
        <v>179</v>
      </c>
      <c r="I125" s="294" t="s">
        <v>169</v>
      </c>
      <c r="J125" s="295"/>
      <c r="K125" s="294" t="s">
        <v>510</v>
      </c>
      <c r="L125" s="311">
        <v>2472</v>
      </c>
      <c r="M125" s="296"/>
      <c r="N125" s="294"/>
      <c r="O125" s="462">
        <v>28275</v>
      </c>
      <c r="P125" s="462">
        <v>2</v>
      </c>
      <c r="Q125" s="462">
        <f>O125*P125</f>
        <v>56550</v>
      </c>
      <c r="R125" s="462">
        <f>+Q125</f>
        <v>56550</v>
      </c>
      <c r="S125" s="298"/>
      <c r="T125" s="298"/>
      <c r="U125" s="462">
        <v>56550</v>
      </c>
      <c r="V125" s="462"/>
      <c r="W125" s="298"/>
      <c r="X125" s="298"/>
      <c r="Y125" s="298"/>
    </row>
    <row r="126" spans="1:25">
      <c r="A126" s="301" t="s">
        <v>233</v>
      </c>
      <c r="B126" s="291"/>
      <c r="C126" s="291"/>
      <c r="D126" s="291"/>
      <c r="E126" s="292"/>
      <c r="F126" s="306"/>
      <c r="G126" s="293"/>
      <c r="H126" s="293"/>
      <c r="I126" s="294"/>
      <c r="J126" s="295"/>
      <c r="K126" s="294"/>
      <c r="L126" s="295"/>
      <c r="M126" s="296"/>
      <c r="N126" s="294"/>
      <c r="O126" s="297"/>
      <c r="P126" s="295"/>
      <c r="Q126" s="298"/>
      <c r="R126" s="299"/>
      <c r="S126" s="298"/>
      <c r="T126" s="298"/>
      <c r="U126" s="298"/>
      <c r="V126" s="298"/>
      <c r="W126" s="298"/>
      <c r="X126" s="298"/>
      <c r="Y126" s="298"/>
    </row>
    <row r="127" spans="1:25" ht="15.75" customHeight="1">
      <c r="A127" s="3457" t="s">
        <v>278</v>
      </c>
      <c r="B127" s="3457"/>
      <c r="C127" s="3457"/>
      <c r="D127" s="3457"/>
      <c r="E127" s="3457"/>
      <c r="F127" s="3457"/>
      <c r="G127" s="3457"/>
      <c r="H127" s="3457"/>
      <c r="I127" s="3457"/>
      <c r="J127" s="273"/>
      <c r="K127" s="273"/>
      <c r="L127" s="273"/>
      <c r="M127" s="274"/>
      <c r="N127" s="273"/>
      <c r="O127" s="275"/>
      <c r="P127" s="273"/>
      <c r="Q127" s="276"/>
      <c r="R127" s="277">
        <f>SUM(R86:R125)</f>
        <v>348173.33333333337</v>
      </c>
      <c r="S127" s="478">
        <f t="shared" ref="S127:Y127" si="4">SUM(S86:S125)</f>
        <v>0</v>
      </c>
      <c r="T127" s="478">
        <f t="shared" si="4"/>
        <v>93216.666666666672</v>
      </c>
      <c r="U127" s="478">
        <f t="shared" si="4"/>
        <v>114456.16666666666</v>
      </c>
      <c r="V127" s="478">
        <f t="shared" si="4"/>
        <v>138325.49999999997</v>
      </c>
      <c r="W127" s="478">
        <f t="shared" si="4"/>
        <v>1087.5</v>
      </c>
      <c r="X127" s="478">
        <f t="shared" si="4"/>
        <v>1087.5</v>
      </c>
      <c r="Y127" s="478">
        <f t="shared" si="4"/>
        <v>0</v>
      </c>
    </row>
    <row r="128" spans="1:25" ht="16.5" customHeight="1">
      <c r="A128" s="281">
        <v>431</v>
      </c>
      <c r="B128" s="3456"/>
      <c r="C128" s="3456"/>
      <c r="D128" s="3456"/>
      <c r="E128" s="3456"/>
      <c r="F128" s="3456"/>
      <c r="G128" s="3456"/>
      <c r="H128" s="3456"/>
      <c r="I128" s="3456"/>
      <c r="J128" s="282"/>
      <c r="K128" s="283"/>
      <c r="L128" s="282"/>
      <c r="M128" s="284"/>
      <c r="N128" s="283"/>
      <c r="O128" s="285"/>
      <c r="P128" s="282"/>
      <c r="Q128" s="286"/>
      <c r="R128" s="287"/>
      <c r="S128" s="288"/>
      <c r="T128" s="288"/>
      <c r="U128" s="288"/>
      <c r="V128" s="288"/>
      <c r="W128" s="288"/>
      <c r="X128" s="288"/>
      <c r="Y128" s="288"/>
    </row>
    <row r="129" spans="1:25">
      <c r="A129" s="290">
        <v>4311</v>
      </c>
      <c r="B129" s="291"/>
      <c r="C129" s="291"/>
      <c r="D129" s="291"/>
      <c r="E129" s="292"/>
      <c r="F129" s="306"/>
      <c r="G129" s="293"/>
      <c r="H129" s="293"/>
      <c r="I129" s="294"/>
      <c r="J129" s="295"/>
      <c r="K129" s="294"/>
      <c r="L129" s="295"/>
      <c r="M129" s="296"/>
      <c r="N129" s="294"/>
      <c r="O129" s="297"/>
      <c r="P129" s="295"/>
      <c r="Q129" s="298"/>
      <c r="R129" s="299"/>
      <c r="S129" s="298"/>
      <c r="T129" s="298"/>
      <c r="U129" s="298"/>
      <c r="V129" s="298"/>
      <c r="W129" s="298"/>
      <c r="X129" s="298"/>
      <c r="Y129" s="298"/>
    </row>
    <row r="130" spans="1:25">
      <c r="A130" s="290">
        <v>4312</v>
      </c>
      <c r="B130" s="291"/>
      <c r="C130" s="291"/>
      <c r="D130" s="291"/>
      <c r="E130" s="292"/>
      <c r="F130" s="306"/>
      <c r="G130" s="293"/>
      <c r="H130" s="293"/>
      <c r="I130" s="294"/>
      <c r="J130" s="295"/>
      <c r="K130" s="294"/>
      <c r="L130" s="295"/>
      <c r="M130" s="296"/>
      <c r="N130" s="294"/>
      <c r="O130" s="297"/>
      <c r="P130" s="295"/>
      <c r="Q130" s="298"/>
      <c r="R130" s="299"/>
      <c r="S130" s="298"/>
      <c r="T130" s="298"/>
      <c r="U130" s="298"/>
      <c r="V130" s="298"/>
      <c r="W130" s="298"/>
      <c r="X130" s="298"/>
      <c r="Y130" s="298"/>
    </row>
    <row r="131" spans="1:25">
      <c r="A131" s="290">
        <v>4313</v>
      </c>
      <c r="B131" s="291"/>
      <c r="C131" s="291"/>
      <c r="D131" s="291"/>
      <c r="E131" s="292"/>
      <c r="F131" s="306"/>
      <c r="G131" s="293"/>
      <c r="H131" s="293"/>
      <c r="I131" s="294"/>
      <c r="J131" s="295"/>
      <c r="K131" s="294"/>
      <c r="L131" s="295"/>
      <c r="M131" s="296"/>
      <c r="N131" s="294"/>
      <c r="O131" s="297"/>
      <c r="P131" s="295"/>
      <c r="Q131" s="298"/>
      <c r="R131" s="299"/>
      <c r="S131" s="298"/>
      <c r="T131" s="298"/>
      <c r="U131" s="298"/>
      <c r="V131" s="298"/>
      <c r="W131" s="298"/>
      <c r="X131" s="298"/>
      <c r="Y131" s="298"/>
    </row>
    <row r="132" spans="1:25" ht="16.5" customHeight="1">
      <c r="A132" s="281">
        <v>432</v>
      </c>
      <c r="B132" s="3456"/>
      <c r="C132" s="3456"/>
      <c r="D132" s="3456"/>
      <c r="E132" s="3456"/>
      <c r="F132" s="3456"/>
      <c r="G132" s="3456"/>
      <c r="H132" s="3456"/>
      <c r="I132" s="3456"/>
      <c r="J132" s="282"/>
      <c r="K132" s="283"/>
      <c r="L132" s="282"/>
      <c r="M132" s="284"/>
      <c r="N132" s="283"/>
      <c r="O132" s="285"/>
      <c r="P132" s="282"/>
      <c r="Q132" s="286"/>
      <c r="R132" s="287"/>
      <c r="S132" s="288"/>
      <c r="T132" s="288"/>
      <c r="U132" s="288"/>
      <c r="V132" s="288"/>
      <c r="W132" s="288"/>
      <c r="X132" s="288"/>
      <c r="Y132" s="288"/>
    </row>
    <row r="133" spans="1:25">
      <c r="A133" s="290">
        <v>4321</v>
      </c>
      <c r="B133" s="291"/>
      <c r="C133" s="291"/>
      <c r="D133" s="291"/>
      <c r="E133" s="292"/>
      <c r="F133" s="306"/>
      <c r="G133" s="293"/>
      <c r="H133" s="293"/>
      <c r="I133" s="294"/>
      <c r="J133" s="295"/>
      <c r="K133" s="294"/>
      <c r="L133" s="295"/>
      <c r="M133" s="296"/>
      <c r="N133" s="294"/>
      <c r="O133" s="297"/>
      <c r="P133" s="295"/>
      <c r="Q133" s="298"/>
      <c r="R133" s="299"/>
      <c r="S133" s="298"/>
      <c r="T133" s="298"/>
      <c r="U133" s="298"/>
      <c r="V133" s="298"/>
      <c r="W133" s="298"/>
      <c r="X133" s="298"/>
      <c r="Y133" s="298"/>
    </row>
    <row r="134" spans="1:25">
      <c r="A134" s="290">
        <v>4322</v>
      </c>
      <c r="B134" s="291"/>
      <c r="C134" s="291"/>
      <c r="D134" s="291"/>
      <c r="E134" s="292"/>
      <c r="F134" s="306"/>
      <c r="G134" s="293"/>
      <c r="H134" s="293"/>
      <c r="I134" s="294"/>
      <c r="J134" s="295"/>
      <c r="K134" s="294"/>
      <c r="L134" s="295"/>
      <c r="M134" s="296"/>
      <c r="N134" s="294"/>
      <c r="O134" s="297"/>
      <c r="P134" s="295"/>
      <c r="Q134" s="298"/>
      <c r="R134" s="299"/>
      <c r="S134" s="298"/>
      <c r="T134" s="298"/>
      <c r="U134" s="298"/>
      <c r="V134" s="298"/>
      <c r="W134" s="298"/>
      <c r="X134" s="298"/>
      <c r="Y134" s="298"/>
    </row>
    <row r="135" spans="1:25">
      <c r="A135" s="301" t="s">
        <v>233</v>
      </c>
      <c r="B135" s="291"/>
      <c r="C135" s="291"/>
      <c r="D135" s="291"/>
      <c r="E135" s="292"/>
      <c r="F135" s="306"/>
      <c r="G135" s="293"/>
      <c r="H135" s="293"/>
      <c r="I135" s="294"/>
      <c r="J135" s="295"/>
      <c r="K135" s="294"/>
      <c r="L135" s="295"/>
      <c r="M135" s="296"/>
      <c r="N135" s="294"/>
      <c r="O135" s="297"/>
      <c r="P135" s="295"/>
      <c r="Q135" s="298"/>
      <c r="R135" s="299"/>
      <c r="S135" s="298"/>
      <c r="T135" s="298"/>
      <c r="U135" s="298"/>
      <c r="V135" s="298"/>
      <c r="W135" s="298"/>
      <c r="X135" s="298"/>
      <c r="Y135" s="298"/>
    </row>
    <row r="136" spans="1:25" s="272" customFormat="1" ht="33.75" customHeight="1">
      <c r="A136" s="3458" t="s">
        <v>279</v>
      </c>
      <c r="B136" s="3458"/>
      <c r="C136" s="3458"/>
      <c r="D136" s="3458"/>
      <c r="E136" s="3458"/>
      <c r="F136" s="3458"/>
      <c r="G136" s="3458"/>
      <c r="H136" s="3458"/>
      <c r="I136" s="3458"/>
      <c r="J136" s="265"/>
      <c r="K136" s="265"/>
      <c r="L136" s="265"/>
      <c r="M136" s="266"/>
      <c r="N136" s="265"/>
      <c r="O136" s="267"/>
      <c r="P136" s="265"/>
      <c r="Q136" s="268"/>
      <c r="R136" s="269"/>
      <c r="S136" s="270"/>
      <c r="T136" s="270"/>
      <c r="U136" s="270"/>
      <c r="V136" s="270"/>
      <c r="W136" s="270"/>
      <c r="X136" s="270"/>
      <c r="Y136" s="270"/>
    </row>
    <row r="137" spans="1:25" ht="30" customHeight="1">
      <c r="A137" s="3457" t="s">
        <v>280</v>
      </c>
      <c r="B137" s="3457"/>
      <c r="C137" s="3457"/>
      <c r="D137" s="3457"/>
      <c r="E137" s="3457"/>
      <c r="F137" s="3457"/>
      <c r="G137" s="3457"/>
      <c r="H137" s="3457"/>
      <c r="I137" s="3457"/>
      <c r="J137" s="273"/>
      <c r="K137" s="273"/>
      <c r="L137" s="273"/>
      <c r="M137" s="274"/>
      <c r="N137" s="273"/>
      <c r="O137" s="275"/>
      <c r="P137" s="273"/>
      <c r="Q137" s="276"/>
      <c r="R137" s="277"/>
      <c r="S137" s="278"/>
      <c r="T137" s="278"/>
      <c r="U137" s="278"/>
      <c r="V137" s="274"/>
      <c r="W137" s="274"/>
      <c r="X137" s="274"/>
      <c r="Y137" s="274"/>
    </row>
    <row r="138" spans="1:25" ht="16.5" customHeight="1">
      <c r="A138" s="281">
        <v>511</v>
      </c>
      <c r="B138" s="3456"/>
      <c r="C138" s="3456"/>
      <c r="D138" s="3456"/>
      <c r="E138" s="3456"/>
      <c r="F138" s="3456"/>
      <c r="G138" s="3456"/>
      <c r="H138" s="3456"/>
      <c r="I138" s="3456"/>
      <c r="J138" s="282"/>
      <c r="K138" s="283"/>
      <c r="L138" s="282"/>
      <c r="M138" s="284"/>
      <c r="N138" s="283"/>
      <c r="O138" s="285"/>
      <c r="P138" s="282"/>
      <c r="Q138" s="286"/>
      <c r="R138" s="287"/>
      <c r="S138" s="288"/>
      <c r="T138" s="288"/>
      <c r="U138" s="288"/>
      <c r="V138" s="288"/>
      <c r="W138" s="288"/>
      <c r="X138" s="288"/>
      <c r="Y138" s="288"/>
    </row>
    <row r="139" spans="1:25">
      <c r="A139" s="332" t="s">
        <v>233</v>
      </c>
      <c r="B139" s="291"/>
      <c r="C139" s="291"/>
      <c r="D139" s="291"/>
      <c r="E139" s="292"/>
      <c r="F139" s="306"/>
      <c r="G139" s="293"/>
      <c r="H139" s="293"/>
      <c r="I139" s="294"/>
      <c r="J139" s="295"/>
      <c r="K139" s="294"/>
      <c r="L139" s="295"/>
      <c r="M139" s="296"/>
      <c r="N139" s="294"/>
      <c r="O139" s="297"/>
      <c r="P139" s="295"/>
      <c r="Q139" s="298"/>
      <c r="R139" s="299"/>
      <c r="S139" s="298"/>
      <c r="T139" s="298"/>
      <c r="U139" s="298"/>
      <c r="V139" s="298"/>
      <c r="W139" s="298"/>
      <c r="X139" s="298"/>
      <c r="Y139" s="298"/>
    </row>
    <row r="140" spans="1:25" s="272" customFormat="1" ht="33.75" customHeight="1">
      <c r="A140" s="3459" t="s">
        <v>281</v>
      </c>
      <c r="B140" s="3459"/>
      <c r="C140" s="3459"/>
      <c r="D140" s="3459"/>
      <c r="E140" s="3459"/>
      <c r="F140" s="3459"/>
      <c r="G140" s="3459"/>
      <c r="H140" s="3459"/>
      <c r="I140" s="3460"/>
      <c r="J140" s="333"/>
      <c r="K140" s="333"/>
      <c r="L140" s="333"/>
      <c r="M140" s="333"/>
      <c r="N140" s="333"/>
      <c r="O140" s="334"/>
      <c r="P140" s="333"/>
      <c r="Q140" s="334"/>
      <c r="R140" s="335">
        <f>+R141+R150+R159</f>
        <v>63</v>
      </c>
      <c r="S140" s="270"/>
      <c r="T140" s="270"/>
      <c r="U140" s="270"/>
      <c r="V140" s="270"/>
      <c r="W140" s="270"/>
      <c r="X140" s="270"/>
      <c r="Y140" s="270"/>
    </row>
    <row r="141" spans="1:25" ht="33" customHeight="1">
      <c r="A141" s="3457" t="s">
        <v>282</v>
      </c>
      <c r="B141" s="3457"/>
      <c r="C141" s="3457"/>
      <c r="D141" s="3457"/>
      <c r="E141" s="3457"/>
      <c r="F141" s="3457"/>
      <c r="G141" s="3457"/>
      <c r="H141" s="3457"/>
      <c r="I141" s="3457"/>
      <c r="J141" s="273"/>
      <c r="K141" s="273"/>
      <c r="L141" s="273"/>
      <c r="M141" s="274"/>
      <c r="N141" s="273"/>
      <c r="O141" s="275"/>
      <c r="P141" s="273"/>
      <c r="Q141" s="276"/>
      <c r="R141" s="277"/>
      <c r="S141" s="278"/>
      <c r="T141" s="278"/>
      <c r="U141" s="278"/>
      <c r="V141" s="274"/>
      <c r="W141" s="274"/>
      <c r="X141" s="274"/>
      <c r="Y141" s="274"/>
    </row>
    <row r="142" spans="1:25" ht="16.5" customHeight="1">
      <c r="A142" s="281">
        <v>611</v>
      </c>
      <c r="B142" s="3456"/>
      <c r="C142" s="3456"/>
      <c r="D142" s="3456"/>
      <c r="E142" s="3456"/>
      <c r="F142" s="3456"/>
      <c r="G142" s="3456"/>
      <c r="H142" s="3456"/>
      <c r="I142" s="3456"/>
      <c r="J142" s="282"/>
      <c r="K142" s="283"/>
      <c r="L142" s="282"/>
      <c r="M142" s="284"/>
      <c r="N142" s="283"/>
      <c r="O142" s="285"/>
      <c r="P142" s="282"/>
      <c r="Q142" s="286"/>
      <c r="R142" s="287"/>
      <c r="S142" s="288"/>
      <c r="T142" s="288"/>
      <c r="U142" s="288"/>
      <c r="V142" s="288"/>
      <c r="W142" s="288"/>
      <c r="X142" s="288"/>
      <c r="Y142" s="288"/>
    </row>
    <row r="143" spans="1:25">
      <c r="A143" s="290">
        <v>6111</v>
      </c>
      <c r="B143" s="291"/>
      <c r="C143" s="291"/>
      <c r="D143" s="291"/>
      <c r="E143" s="292"/>
      <c r="F143" s="306"/>
      <c r="G143" s="293"/>
      <c r="H143" s="293"/>
      <c r="I143" s="294"/>
      <c r="J143" s="295"/>
      <c r="K143" s="294"/>
      <c r="L143" s="295"/>
      <c r="M143" s="296"/>
      <c r="N143" s="294"/>
      <c r="O143" s="297"/>
      <c r="P143" s="295"/>
      <c r="Q143" s="298"/>
      <c r="R143" s="299"/>
      <c r="S143" s="298"/>
      <c r="T143" s="298"/>
      <c r="U143" s="298"/>
      <c r="V143" s="298"/>
      <c r="W143" s="298"/>
      <c r="X143" s="298"/>
      <c r="Y143" s="298"/>
    </row>
    <row r="144" spans="1:25">
      <c r="A144" s="290">
        <v>6112</v>
      </c>
      <c r="B144" s="291"/>
      <c r="C144" s="291"/>
      <c r="D144" s="291"/>
      <c r="E144" s="292"/>
      <c r="F144" s="306"/>
      <c r="G144" s="293"/>
      <c r="H144" s="293"/>
      <c r="I144" s="294"/>
      <c r="J144" s="295"/>
      <c r="K144" s="294"/>
      <c r="L144" s="295"/>
      <c r="M144" s="296"/>
      <c r="N144" s="294"/>
      <c r="O144" s="297"/>
      <c r="P144" s="295"/>
      <c r="Q144" s="298"/>
      <c r="R144" s="299"/>
      <c r="S144" s="298"/>
      <c r="T144" s="298"/>
      <c r="U144" s="298"/>
      <c r="V144" s="298"/>
      <c r="W144" s="298"/>
      <c r="X144" s="298"/>
      <c r="Y144" s="298"/>
    </row>
    <row r="145" spans="1:25">
      <c r="A145" s="290">
        <v>6113</v>
      </c>
      <c r="B145" s="291"/>
      <c r="C145" s="291"/>
      <c r="D145" s="291"/>
      <c r="E145" s="292"/>
      <c r="F145" s="306"/>
      <c r="G145" s="293"/>
      <c r="H145" s="293"/>
      <c r="I145" s="294"/>
      <c r="J145" s="295"/>
      <c r="K145" s="294"/>
      <c r="L145" s="295"/>
      <c r="M145" s="296"/>
      <c r="N145" s="294"/>
      <c r="O145" s="297"/>
      <c r="P145" s="295"/>
      <c r="Q145" s="298"/>
      <c r="R145" s="299"/>
      <c r="S145" s="298"/>
      <c r="T145" s="298"/>
      <c r="U145" s="298"/>
      <c r="V145" s="298"/>
      <c r="W145" s="298"/>
      <c r="X145" s="298"/>
      <c r="Y145" s="298"/>
    </row>
    <row r="146" spans="1:25" ht="16.5" customHeight="1">
      <c r="A146" s="281">
        <v>612</v>
      </c>
      <c r="B146" s="3456"/>
      <c r="C146" s="3456"/>
      <c r="D146" s="3456"/>
      <c r="E146" s="3456"/>
      <c r="F146" s="3456"/>
      <c r="G146" s="3456"/>
      <c r="H146" s="3456"/>
      <c r="I146" s="3456"/>
      <c r="J146" s="282"/>
      <c r="K146" s="283"/>
      <c r="L146" s="282"/>
      <c r="M146" s="284"/>
      <c r="N146" s="283"/>
      <c r="O146" s="285"/>
      <c r="P146" s="282"/>
      <c r="Q146" s="286"/>
      <c r="R146" s="287"/>
      <c r="S146" s="288"/>
      <c r="T146" s="288"/>
      <c r="U146" s="288"/>
      <c r="V146" s="288"/>
      <c r="W146" s="288"/>
      <c r="X146" s="288"/>
      <c r="Y146" s="288"/>
    </row>
    <row r="147" spans="1:25">
      <c r="A147" s="290">
        <v>6121</v>
      </c>
      <c r="B147" s="291"/>
      <c r="C147" s="291"/>
      <c r="D147" s="291"/>
      <c r="E147" s="292"/>
      <c r="F147" s="306"/>
      <c r="G147" s="293"/>
      <c r="H147" s="293"/>
      <c r="I147" s="294"/>
      <c r="J147" s="295"/>
      <c r="K147" s="294"/>
      <c r="L147" s="295"/>
      <c r="M147" s="296"/>
      <c r="N147" s="294"/>
      <c r="O147" s="297"/>
      <c r="P147" s="295"/>
      <c r="Q147" s="298"/>
      <c r="R147" s="299"/>
      <c r="S147" s="298"/>
      <c r="T147" s="298"/>
      <c r="U147" s="298"/>
      <c r="V147" s="298"/>
      <c r="W147" s="298"/>
      <c r="X147" s="298"/>
      <c r="Y147" s="298"/>
    </row>
    <row r="148" spans="1:25">
      <c r="A148" s="290">
        <v>6122</v>
      </c>
      <c r="B148" s="291"/>
      <c r="C148" s="291"/>
      <c r="D148" s="291"/>
      <c r="E148" s="292"/>
      <c r="F148" s="306"/>
      <c r="G148" s="293"/>
      <c r="H148" s="293"/>
      <c r="I148" s="294"/>
      <c r="J148" s="295"/>
      <c r="K148" s="294"/>
      <c r="L148" s="295"/>
      <c r="M148" s="296"/>
      <c r="N148" s="294"/>
      <c r="O148" s="297"/>
      <c r="P148" s="295"/>
      <c r="Q148" s="298"/>
      <c r="R148" s="299"/>
      <c r="S148" s="298"/>
      <c r="T148" s="298"/>
      <c r="U148" s="298"/>
      <c r="V148" s="298"/>
      <c r="W148" s="298"/>
      <c r="X148" s="298"/>
      <c r="Y148" s="298"/>
    </row>
    <row r="149" spans="1:25">
      <c r="A149" s="301" t="s">
        <v>233</v>
      </c>
      <c r="B149" s="291"/>
      <c r="C149" s="291"/>
      <c r="D149" s="291"/>
      <c r="E149" s="292"/>
      <c r="F149" s="306"/>
      <c r="G149" s="293"/>
      <c r="H149" s="293"/>
      <c r="I149" s="294"/>
      <c r="J149" s="295"/>
      <c r="K149" s="294"/>
      <c r="L149" s="295"/>
      <c r="M149" s="296"/>
      <c r="N149" s="294"/>
      <c r="O149" s="297"/>
      <c r="P149" s="295"/>
      <c r="Q149" s="298"/>
      <c r="R149" s="299"/>
      <c r="S149" s="298"/>
      <c r="T149" s="298"/>
      <c r="U149" s="298"/>
      <c r="V149" s="298"/>
      <c r="W149" s="298"/>
      <c r="X149" s="298"/>
      <c r="Y149" s="298"/>
    </row>
    <row r="150" spans="1:25" ht="38.25" customHeight="1">
      <c r="A150" s="3457" t="s">
        <v>283</v>
      </c>
      <c r="B150" s="3457"/>
      <c r="C150" s="3457"/>
      <c r="D150" s="3457"/>
      <c r="E150" s="3457"/>
      <c r="F150" s="3457"/>
      <c r="G150" s="3457"/>
      <c r="H150" s="3457"/>
      <c r="I150" s="3457"/>
      <c r="J150" s="273"/>
      <c r="K150" s="273"/>
      <c r="L150" s="273"/>
      <c r="M150" s="274"/>
      <c r="N150" s="273"/>
      <c r="O150" s="275"/>
      <c r="P150" s="273"/>
      <c r="Q150" s="276"/>
      <c r="R150" s="277"/>
      <c r="S150" s="278"/>
      <c r="T150" s="278"/>
      <c r="U150" s="278"/>
      <c r="V150" s="274"/>
      <c r="W150" s="274"/>
      <c r="X150" s="274"/>
      <c r="Y150" s="274"/>
    </row>
    <row r="151" spans="1:25" ht="16.5" customHeight="1">
      <c r="A151" s="281">
        <v>621</v>
      </c>
      <c r="B151" s="3456"/>
      <c r="C151" s="3456"/>
      <c r="D151" s="3456"/>
      <c r="E151" s="3456"/>
      <c r="F151" s="3456"/>
      <c r="G151" s="3456"/>
      <c r="H151" s="3456"/>
      <c r="I151" s="3456"/>
      <c r="J151" s="282"/>
      <c r="K151" s="283"/>
      <c r="L151" s="282"/>
      <c r="M151" s="284"/>
      <c r="N151" s="283"/>
      <c r="O151" s="285"/>
      <c r="P151" s="282"/>
      <c r="Q151" s="286"/>
      <c r="R151" s="287"/>
      <c r="S151" s="288"/>
      <c r="T151" s="288"/>
      <c r="U151" s="288"/>
      <c r="V151" s="288"/>
      <c r="W151" s="288"/>
      <c r="X151" s="288"/>
      <c r="Y151" s="288"/>
    </row>
    <row r="152" spans="1:25">
      <c r="A152" s="290">
        <v>6211</v>
      </c>
      <c r="B152" s="291"/>
      <c r="C152" s="291"/>
      <c r="D152" s="291"/>
      <c r="E152" s="292"/>
      <c r="F152" s="306"/>
      <c r="G152" s="293"/>
      <c r="H152" s="293"/>
      <c r="I152" s="294"/>
      <c r="J152" s="295"/>
      <c r="K152" s="294"/>
      <c r="L152" s="295"/>
      <c r="M152" s="296"/>
      <c r="N152" s="294"/>
      <c r="O152" s="297"/>
      <c r="P152" s="295"/>
      <c r="Q152" s="298"/>
      <c r="R152" s="299"/>
      <c r="S152" s="298"/>
      <c r="T152" s="298"/>
      <c r="U152" s="298"/>
      <c r="V152" s="298"/>
      <c r="W152" s="298"/>
      <c r="X152" s="298"/>
      <c r="Y152" s="298"/>
    </row>
    <row r="153" spans="1:25">
      <c r="A153" s="290">
        <v>6212</v>
      </c>
      <c r="B153" s="291"/>
      <c r="C153" s="291"/>
      <c r="D153" s="291"/>
      <c r="E153" s="292"/>
      <c r="F153" s="306"/>
      <c r="G153" s="293"/>
      <c r="H153" s="293"/>
      <c r="I153" s="294"/>
      <c r="J153" s="295"/>
      <c r="K153" s="294"/>
      <c r="L153" s="295"/>
      <c r="M153" s="296"/>
      <c r="N153" s="294"/>
      <c r="O153" s="297"/>
      <c r="P153" s="295"/>
      <c r="Q153" s="298"/>
      <c r="R153" s="299"/>
      <c r="S153" s="298"/>
      <c r="T153" s="298"/>
      <c r="U153" s="298"/>
      <c r="V153" s="298"/>
      <c r="W153" s="298"/>
      <c r="X153" s="298"/>
      <c r="Y153" s="298"/>
    </row>
    <row r="154" spans="1:25">
      <c r="A154" s="290">
        <v>6213</v>
      </c>
      <c r="B154" s="291"/>
      <c r="C154" s="291"/>
      <c r="D154" s="291"/>
      <c r="E154" s="292"/>
      <c r="F154" s="306"/>
      <c r="G154" s="293"/>
      <c r="H154" s="293"/>
      <c r="I154" s="294"/>
      <c r="J154" s="295"/>
      <c r="K154" s="294"/>
      <c r="L154" s="295"/>
      <c r="M154" s="296"/>
      <c r="N154" s="294"/>
      <c r="O154" s="297"/>
      <c r="P154" s="295"/>
      <c r="Q154" s="298"/>
      <c r="R154" s="299"/>
      <c r="S154" s="298"/>
      <c r="T154" s="298"/>
      <c r="U154" s="298"/>
      <c r="V154" s="298"/>
      <c r="W154" s="298"/>
      <c r="X154" s="298"/>
      <c r="Y154" s="298"/>
    </row>
    <row r="155" spans="1:25" ht="16.5" customHeight="1">
      <c r="A155" s="281">
        <v>622</v>
      </c>
      <c r="B155" s="3456"/>
      <c r="C155" s="3456"/>
      <c r="D155" s="3456"/>
      <c r="E155" s="3456"/>
      <c r="F155" s="3456"/>
      <c r="G155" s="3456"/>
      <c r="H155" s="3456"/>
      <c r="I155" s="3456"/>
      <c r="J155" s="282"/>
      <c r="K155" s="283"/>
      <c r="L155" s="282"/>
      <c r="M155" s="284"/>
      <c r="N155" s="283"/>
      <c r="O155" s="285"/>
      <c r="P155" s="282"/>
      <c r="Q155" s="286"/>
      <c r="R155" s="287"/>
      <c r="S155" s="288"/>
      <c r="T155" s="288"/>
      <c r="U155" s="288"/>
      <c r="V155" s="288"/>
      <c r="W155" s="288"/>
      <c r="X155" s="288"/>
      <c r="Y155" s="288"/>
    </row>
    <row r="156" spans="1:25">
      <c r="A156" s="290">
        <v>6221</v>
      </c>
      <c r="B156" s="291"/>
      <c r="C156" s="291"/>
      <c r="D156" s="291"/>
      <c r="E156" s="292"/>
      <c r="F156" s="306"/>
      <c r="G156" s="293"/>
      <c r="H156" s="293"/>
      <c r="I156" s="294"/>
      <c r="J156" s="295"/>
      <c r="K156" s="294"/>
      <c r="L156" s="295"/>
      <c r="M156" s="296"/>
      <c r="N156" s="294"/>
      <c r="O156" s="297"/>
      <c r="P156" s="295"/>
      <c r="Q156" s="298"/>
      <c r="R156" s="299"/>
      <c r="S156" s="298"/>
      <c r="T156" s="298"/>
      <c r="U156" s="298"/>
      <c r="V156" s="298"/>
      <c r="W156" s="298"/>
      <c r="X156" s="298"/>
      <c r="Y156" s="298"/>
    </row>
    <row r="157" spans="1:25">
      <c r="A157" s="290">
        <v>6222</v>
      </c>
      <c r="B157" s="291"/>
      <c r="C157" s="291"/>
      <c r="D157" s="291"/>
      <c r="E157" s="292"/>
      <c r="F157" s="306"/>
      <c r="G157" s="293"/>
      <c r="H157" s="293"/>
      <c r="I157" s="294"/>
      <c r="J157" s="295"/>
      <c r="K157" s="294"/>
      <c r="L157" s="295"/>
      <c r="M157" s="296"/>
      <c r="N157" s="294"/>
      <c r="O157" s="297"/>
      <c r="P157" s="295"/>
      <c r="Q157" s="298"/>
      <c r="R157" s="299"/>
      <c r="S157" s="298"/>
      <c r="T157" s="298"/>
      <c r="U157" s="298"/>
      <c r="V157" s="298"/>
      <c r="W157" s="298"/>
      <c r="X157" s="298"/>
      <c r="Y157" s="298"/>
    </row>
    <row r="158" spans="1:25">
      <c r="A158" s="301" t="s">
        <v>233</v>
      </c>
      <c r="B158" s="291"/>
      <c r="C158" s="291"/>
      <c r="D158" s="291"/>
      <c r="E158" s="292"/>
      <c r="F158" s="306"/>
      <c r="G158" s="293"/>
      <c r="H158" s="293"/>
      <c r="I158" s="294"/>
      <c r="J158" s="295"/>
      <c r="K158" s="294"/>
      <c r="L158" s="295"/>
      <c r="M158" s="296"/>
      <c r="N158" s="294"/>
      <c r="O158" s="297"/>
      <c r="P158" s="295"/>
      <c r="Q158" s="298"/>
      <c r="R158" s="299"/>
      <c r="S158" s="298"/>
      <c r="T158" s="298"/>
      <c r="U158" s="298"/>
      <c r="V158" s="298"/>
      <c r="W158" s="298"/>
      <c r="X158" s="298"/>
      <c r="Y158" s="298"/>
    </row>
    <row r="159" spans="1:25" ht="38.25" customHeight="1">
      <c r="A159" s="3457" t="s">
        <v>284</v>
      </c>
      <c r="B159" s="3457"/>
      <c r="C159" s="3457"/>
      <c r="D159" s="3457"/>
      <c r="E159" s="3457"/>
      <c r="F159" s="3457"/>
      <c r="G159" s="3457"/>
      <c r="H159" s="3457"/>
      <c r="I159" s="3457"/>
      <c r="J159" s="273"/>
      <c r="K159" s="273"/>
      <c r="L159" s="273"/>
      <c r="M159" s="274"/>
      <c r="N159" s="273"/>
      <c r="O159" s="275"/>
      <c r="P159" s="273"/>
      <c r="Q159" s="276"/>
      <c r="R159" s="277">
        <f>+'[10]Compil Costing PPA 3 millions'!B20</f>
        <v>63</v>
      </c>
      <c r="S159" s="278"/>
      <c r="T159" s="278"/>
      <c r="U159" s="278"/>
      <c r="V159" s="274"/>
      <c r="W159" s="274"/>
      <c r="X159" s="274"/>
      <c r="Y159" s="274"/>
    </row>
    <row r="160" spans="1:25" ht="16.5" customHeight="1">
      <c r="A160" s="281">
        <v>631</v>
      </c>
      <c r="B160" s="3456"/>
      <c r="C160" s="3456"/>
      <c r="D160" s="3456"/>
      <c r="E160" s="3456"/>
      <c r="F160" s="3456"/>
      <c r="G160" s="3456"/>
      <c r="H160" s="3456"/>
      <c r="I160" s="3456"/>
      <c r="J160" s="282"/>
      <c r="K160" s="283"/>
      <c r="L160" s="282"/>
      <c r="M160" s="284"/>
      <c r="N160" s="283"/>
      <c r="O160" s="285"/>
      <c r="P160" s="282"/>
      <c r="Q160" s="286"/>
      <c r="R160" s="287"/>
      <c r="S160" s="288"/>
      <c r="T160" s="288"/>
      <c r="U160" s="288"/>
      <c r="V160" s="288"/>
      <c r="W160" s="288"/>
      <c r="X160" s="288"/>
      <c r="Y160" s="288"/>
    </row>
    <row r="161" spans="1:25">
      <c r="A161" s="290">
        <v>6311</v>
      </c>
      <c r="B161" s="291"/>
      <c r="C161" s="291"/>
      <c r="D161" s="291"/>
      <c r="E161" s="292"/>
      <c r="F161" s="306"/>
      <c r="G161" s="293"/>
      <c r="H161" s="293"/>
      <c r="I161" s="294"/>
      <c r="J161" s="295"/>
      <c r="K161" s="294"/>
      <c r="L161" s="295"/>
      <c r="M161" s="296"/>
      <c r="N161" s="294"/>
      <c r="O161" s="297"/>
      <c r="P161" s="295"/>
      <c r="Q161" s="298"/>
      <c r="R161" s="299"/>
      <c r="S161" s="298"/>
      <c r="T161" s="298"/>
      <c r="U161" s="298"/>
      <c r="V161" s="298"/>
      <c r="W161" s="298"/>
      <c r="X161" s="298"/>
      <c r="Y161" s="298"/>
    </row>
    <row r="162" spans="1:25">
      <c r="A162" s="290">
        <v>6312</v>
      </c>
      <c r="B162" s="291"/>
      <c r="C162" s="291"/>
      <c r="D162" s="291"/>
      <c r="E162" s="292"/>
      <c r="F162" s="306"/>
      <c r="G162" s="293"/>
      <c r="H162" s="293"/>
      <c r="I162" s="294"/>
      <c r="J162" s="295"/>
      <c r="K162" s="294"/>
      <c r="L162" s="295"/>
      <c r="M162" s="296"/>
      <c r="N162" s="294"/>
      <c r="O162" s="297"/>
      <c r="P162" s="295"/>
      <c r="Q162" s="298"/>
      <c r="R162" s="299"/>
      <c r="S162" s="298"/>
      <c r="T162" s="298"/>
      <c r="U162" s="298"/>
      <c r="V162" s="298"/>
      <c r="W162" s="298"/>
      <c r="X162" s="298"/>
      <c r="Y162" s="298"/>
    </row>
    <row r="163" spans="1:25">
      <c r="A163" s="290">
        <v>6313</v>
      </c>
      <c r="B163" s="291"/>
      <c r="C163" s="291"/>
      <c r="D163" s="291"/>
      <c r="E163" s="292"/>
      <c r="F163" s="306"/>
      <c r="G163" s="293"/>
      <c r="H163" s="293"/>
      <c r="I163" s="294"/>
      <c r="J163" s="295"/>
      <c r="K163" s="294"/>
      <c r="L163" s="295"/>
      <c r="M163" s="296"/>
      <c r="N163" s="294"/>
      <c r="O163" s="297"/>
      <c r="P163" s="295"/>
      <c r="Q163" s="298"/>
      <c r="R163" s="299"/>
      <c r="S163" s="298"/>
      <c r="T163" s="298"/>
      <c r="U163" s="298"/>
      <c r="V163" s="298"/>
      <c r="W163" s="298"/>
      <c r="X163" s="298"/>
      <c r="Y163" s="298"/>
    </row>
    <row r="164" spans="1:25" ht="16.5" customHeight="1">
      <c r="A164" s="281">
        <v>632</v>
      </c>
      <c r="B164" s="3456"/>
      <c r="C164" s="3456"/>
      <c r="D164" s="3456"/>
      <c r="E164" s="3456"/>
      <c r="F164" s="3456"/>
      <c r="G164" s="3456"/>
      <c r="H164" s="3456"/>
      <c r="I164" s="3456"/>
      <c r="J164" s="282"/>
      <c r="K164" s="283"/>
      <c r="L164" s="282"/>
      <c r="M164" s="284"/>
      <c r="N164" s="283"/>
      <c r="O164" s="285"/>
      <c r="P164" s="282"/>
      <c r="Q164" s="286"/>
      <c r="R164" s="287"/>
      <c r="S164" s="288"/>
      <c r="T164" s="288"/>
      <c r="U164" s="288"/>
      <c r="V164" s="288"/>
      <c r="W164" s="288"/>
      <c r="X164" s="288"/>
      <c r="Y164" s="288"/>
    </row>
    <row r="165" spans="1:25">
      <c r="A165" s="290">
        <v>6321</v>
      </c>
      <c r="B165" s="291"/>
      <c r="C165" s="291"/>
      <c r="D165" s="291"/>
      <c r="E165" s="292"/>
      <c r="F165" s="306"/>
      <c r="G165" s="293"/>
      <c r="H165" s="293"/>
      <c r="I165" s="294"/>
      <c r="J165" s="295"/>
      <c r="K165" s="294"/>
      <c r="L165" s="295"/>
      <c r="M165" s="296"/>
      <c r="N165" s="294"/>
      <c r="O165" s="297"/>
      <c r="P165" s="295"/>
      <c r="Q165" s="298"/>
      <c r="R165" s="299"/>
      <c r="S165" s="298"/>
      <c r="T165" s="298"/>
      <c r="U165" s="298"/>
      <c r="V165" s="298"/>
      <c r="W165" s="298"/>
      <c r="X165" s="298"/>
      <c r="Y165" s="298"/>
    </row>
    <row r="166" spans="1:25">
      <c r="A166" s="290">
        <v>6322</v>
      </c>
      <c r="B166" s="291"/>
      <c r="C166" s="291"/>
      <c r="D166" s="291"/>
      <c r="E166" s="292"/>
      <c r="F166" s="306"/>
      <c r="G166" s="293"/>
      <c r="H166" s="293"/>
      <c r="I166" s="294"/>
      <c r="J166" s="295"/>
      <c r="K166" s="294"/>
      <c r="L166" s="295"/>
      <c r="M166" s="296"/>
      <c r="N166" s="294"/>
      <c r="O166" s="297"/>
      <c r="P166" s="295"/>
      <c r="Q166" s="298"/>
      <c r="R166" s="299"/>
      <c r="S166" s="298"/>
      <c r="T166" s="298"/>
      <c r="U166" s="298"/>
      <c r="V166" s="298"/>
      <c r="W166" s="298"/>
      <c r="X166" s="298"/>
      <c r="Y166" s="298"/>
    </row>
    <row r="167" spans="1:25">
      <c r="A167" s="301" t="s">
        <v>233</v>
      </c>
      <c r="B167" s="291"/>
      <c r="C167" s="291"/>
      <c r="D167" s="291"/>
      <c r="E167" s="292"/>
      <c r="F167" s="306"/>
      <c r="G167" s="293"/>
      <c r="H167" s="293"/>
      <c r="I167" s="294"/>
      <c r="J167" s="295"/>
      <c r="K167" s="294"/>
      <c r="L167" s="295"/>
      <c r="M167" s="296"/>
      <c r="N167" s="294"/>
      <c r="O167" s="297"/>
      <c r="P167" s="295"/>
      <c r="Q167" s="298"/>
      <c r="R167" s="299"/>
      <c r="S167" s="298"/>
      <c r="T167" s="298"/>
      <c r="U167" s="298"/>
      <c r="V167" s="298"/>
      <c r="W167" s="298"/>
      <c r="X167" s="298"/>
      <c r="Y167" s="298"/>
    </row>
    <row r="168" spans="1:25">
      <c r="H168" s="336"/>
      <c r="P168" s="342" t="s">
        <v>285</v>
      </c>
      <c r="Q168" s="315">
        <f>+Q7+Q26+Q55+Q74+Q136+Q140</f>
        <v>0</v>
      </c>
      <c r="R168" s="344">
        <f>+R7+R26+R55+R74+R136+R140</f>
        <v>348366.33333333337</v>
      </c>
    </row>
  </sheetData>
  <mergeCells count="71">
    <mergeCell ref="A2:V2"/>
    <mergeCell ref="A5:A6"/>
    <mergeCell ref="B5:B6"/>
    <mergeCell ref="C5:C6"/>
    <mergeCell ref="D5:D6"/>
    <mergeCell ref="E5:E6"/>
    <mergeCell ref="F5:G5"/>
    <mergeCell ref="H5:H6"/>
    <mergeCell ref="I5:J5"/>
    <mergeCell ref="K5:K6"/>
    <mergeCell ref="L5:L6"/>
    <mergeCell ref="M5:M6"/>
    <mergeCell ref="R5:R6"/>
    <mergeCell ref="S5:Y5"/>
    <mergeCell ref="P5:P6"/>
    <mergeCell ref="Q5:Q6"/>
    <mergeCell ref="B51:I51"/>
    <mergeCell ref="B28:I28"/>
    <mergeCell ref="N5:N6"/>
    <mergeCell ref="O5:O6"/>
    <mergeCell ref="B22:I22"/>
    <mergeCell ref="A27:I27"/>
    <mergeCell ref="A7:I7"/>
    <mergeCell ref="A17:I17"/>
    <mergeCell ref="B18:I18"/>
    <mergeCell ref="B13:I13"/>
    <mergeCell ref="A8:I8"/>
    <mergeCell ref="B9:I9"/>
    <mergeCell ref="A26:I26"/>
    <mergeCell ref="B37:I37"/>
    <mergeCell ref="B42:I42"/>
    <mergeCell ref="A46:I46"/>
    <mergeCell ref="B47:I47"/>
    <mergeCell ref="B99:I99"/>
    <mergeCell ref="A55:I55"/>
    <mergeCell ref="A56:I56"/>
    <mergeCell ref="B57:I57"/>
    <mergeCell ref="B61:I61"/>
    <mergeCell ref="B80:I80"/>
    <mergeCell ref="A84:I84"/>
    <mergeCell ref="B85:I85"/>
    <mergeCell ref="B92:I92"/>
    <mergeCell ref="B97:I97"/>
    <mergeCell ref="B66:I66"/>
    <mergeCell ref="B70:I70"/>
    <mergeCell ref="A74:I74"/>
    <mergeCell ref="A75:I75"/>
    <mergeCell ref="B76:I76"/>
    <mergeCell ref="A65:I65"/>
    <mergeCell ref="B32:I32"/>
    <mergeCell ref="A36:I36"/>
    <mergeCell ref="B142:I142"/>
    <mergeCell ref="B106:I106"/>
    <mergeCell ref="B116:I116"/>
    <mergeCell ref="B119:I119"/>
    <mergeCell ref="A127:I127"/>
    <mergeCell ref="B128:I128"/>
    <mergeCell ref="B132:I132"/>
    <mergeCell ref="A136:I136"/>
    <mergeCell ref="A137:I137"/>
    <mergeCell ref="B138:I138"/>
    <mergeCell ref="A140:I140"/>
    <mergeCell ref="A141:I141"/>
    <mergeCell ref="B101:I101"/>
    <mergeCell ref="B164:I164"/>
    <mergeCell ref="B146:I146"/>
    <mergeCell ref="A150:I150"/>
    <mergeCell ref="B151:I151"/>
    <mergeCell ref="B155:I155"/>
    <mergeCell ref="A159:I159"/>
    <mergeCell ref="B160:I160"/>
  </mergeCells>
  <conditionalFormatting sqref="F86:G91">
    <cfRule type="cellIs" dxfId="19" priority="1" operator="lessThanOrEqual">
      <formula>0</formula>
    </cfRule>
  </conditionalFormatting>
  <conditionalFormatting sqref="F93:G96">
    <cfRule type="cellIs" dxfId="18" priority="35" operator="lessThanOrEqual">
      <formula>0</formula>
    </cfRule>
  </conditionalFormatting>
  <conditionalFormatting sqref="F98:G98">
    <cfRule type="cellIs" dxfId="17" priority="33" operator="lessThanOrEqual">
      <formula>0</formula>
    </cfRule>
  </conditionalFormatting>
  <conditionalFormatting sqref="F100:G100">
    <cfRule type="cellIs" dxfId="16" priority="31" operator="lessThanOrEqual">
      <formula>0</formula>
    </cfRule>
  </conditionalFormatting>
  <conditionalFormatting sqref="F102:G105">
    <cfRule type="cellIs" dxfId="15" priority="54" operator="lessThanOrEqual">
      <formula>0</formula>
    </cfRule>
  </conditionalFormatting>
  <conditionalFormatting sqref="F107:G115">
    <cfRule type="cellIs" dxfId="14" priority="13" operator="lessThanOrEqual">
      <formula>0</formula>
    </cfRule>
  </conditionalFormatting>
  <conditionalFormatting sqref="F117:G118">
    <cfRule type="cellIs" dxfId="13" priority="21" operator="lessThanOrEqual">
      <formula>0</formula>
    </cfRule>
  </conditionalFormatting>
  <conditionalFormatting sqref="F120:G125">
    <cfRule type="cellIs" dxfId="12" priority="15" operator="lessThanOrEqual">
      <formula>0</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Y154"/>
  <sheetViews>
    <sheetView topLeftCell="I134" workbookViewId="0">
      <selection activeCell="W148" sqref="W148"/>
    </sheetView>
  </sheetViews>
  <sheetFormatPr baseColWidth="10" defaultColWidth="11.42578125" defaultRowHeight="15.75"/>
  <cols>
    <col min="1" max="1" width="7.28515625" style="452" customWidth="1"/>
    <col min="2" max="2" width="56.140625" style="453" customWidth="1"/>
    <col min="3" max="3" width="28.85546875" style="453" customWidth="1"/>
    <col min="4" max="4" width="9.5703125" style="453" customWidth="1"/>
    <col min="5" max="5" width="13.140625" style="452" customWidth="1"/>
    <col min="6" max="6" width="11.5703125" style="454" bestFit="1" customWidth="1"/>
    <col min="7" max="7" width="11.140625" style="455" bestFit="1" customWidth="1"/>
    <col min="8" max="8" width="15.28515625" style="455" customWidth="1"/>
    <col min="9" max="9" width="14" style="456" bestFit="1" customWidth="1"/>
    <col min="10" max="10" width="13.85546875" style="456" customWidth="1"/>
    <col min="11" max="11" width="46.85546875" style="456" customWidth="1"/>
    <col min="12" max="12" width="13.85546875" style="456" customWidth="1"/>
    <col min="13" max="13" width="13.85546875" style="405" customWidth="1"/>
    <col min="14" max="14" width="13.85546875" style="456" customWidth="1"/>
    <col min="15" max="15" width="14" style="457" customWidth="1"/>
    <col min="16" max="16" width="14" style="456" customWidth="1"/>
    <col min="17" max="17" width="14" style="458" customWidth="1"/>
    <col min="18" max="18" width="17" style="459" bestFit="1" customWidth="1"/>
    <col min="19" max="19" width="10.42578125" style="458" customWidth="1"/>
    <col min="20" max="21" width="13.7109375" style="458" customWidth="1"/>
    <col min="22" max="22" width="13.85546875" style="458" customWidth="1"/>
    <col min="23" max="23" width="13.140625" style="458" customWidth="1"/>
    <col min="24" max="24" width="12.7109375" style="458" customWidth="1"/>
    <col min="25" max="25" width="10.42578125" style="458" customWidth="1"/>
    <col min="26" max="16384" width="11.42578125" style="405"/>
  </cols>
  <sheetData>
    <row r="1" spans="1:25" s="371" customFormat="1">
      <c r="A1" s="368"/>
      <c r="B1" s="369"/>
      <c r="C1" s="369"/>
      <c r="D1" s="369"/>
      <c r="E1" s="368"/>
      <c r="F1" s="370"/>
      <c r="G1" s="370"/>
      <c r="H1" s="370"/>
      <c r="I1" s="370"/>
      <c r="J1" s="370"/>
      <c r="K1" s="370"/>
      <c r="L1" s="370"/>
      <c r="N1" s="370"/>
      <c r="O1" s="372"/>
      <c r="P1" s="370"/>
      <c r="Q1" s="373"/>
      <c r="R1" s="374"/>
      <c r="S1" s="372"/>
      <c r="T1" s="372"/>
      <c r="U1" s="372"/>
      <c r="V1" s="372"/>
      <c r="W1" s="372"/>
      <c r="X1" s="372"/>
      <c r="Y1" s="372"/>
    </row>
    <row r="2" spans="1:25" s="371" customFormat="1" ht="15.75" customHeight="1">
      <c r="A2" s="3487" t="s">
        <v>202</v>
      </c>
      <c r="B2" s="3487"/>
      <c r="C2" s="3487"/>
      <c r="D2" s="3487"/>
      <c r="E2" s="3487"/>
      <c r="F2" s="3487"/>
      <c r="G2" s="3487"/>
      <c r="H2" s="3487"/>
      <c r="I2" s="3487"/>
      <c r="J2" s="3487"/>
      <c r="K2" s="3487"/>
      <c r="L2" s="3487"/>
      <c r="M2" s="3487"/>
      <c r="N2" s="3487"/>
      <c r="O2" s="3487"/>
      <c r="P2" s="3487"/>
      <c r="Q2" s="3487"/>
      <c r="R2" s="3487"/>
      <c r="S2" s="3487"/>
      <c r="T2" s="3487"/>
      <c r="U2" s="3487"/>
      <c r="V2" s="3487"/>
    </row>
    <row r="3" spans="1:25" s="380" customFormat="1" ht="15.75" customHeight="1">
      <c r="A3" s="375"/>
      <c r="B3" s="375"/>
      <c r="C3" s="375"/>
      <c r="D3" s="375"/>
      <c r="E3" s="376"/>
      <c r="F3" s="375"/>
      <c r="G3" s="375"/>
      <c r="H3" s="375"/>
      <c r="I3" s="376"/>
      <c r="J3" s="376"/>
      <c r="K3" s="376"/>
      <c r="L3" s="376"/>
      <c r="M3" s="375"/>
      <c r="N3" s="376"/>
      <c r="O3" s="377"/>
      <c r="P3" s="376"/>
      <c r="Q3" s="378"/>
      <c r="R3" s="379"/>
      <c r="S3" s="375"/>
      <c r="T3" s="375"/>
      <c r="U3" s="375"/>
      <c r="V3" s="375"/>
    </row>
    <row r="4" spans="1:25" s="384" customFormat="1" ht="15">
      <c r="A4" s="381"/>
      <c r="B4" s="382"/>
      <c r="C4" s="382"/>
      <c r="D4" s="382"/>
      <c r="E4" s="381"/>
      <c r="F4" s="383"/>
      <c r="G4" s="383"/>
      <c r="H4" s="383"/>
      <c r="I4" s="383"/>
      <c r="J4" s="383"/>
      <c r="K4" s="383"/>
      <c r="L4" s="383"/>
      <c r="N4" s="383"/>
      <c r="O4" s="385"/>
      <c r="P4" s="383"/>
      <c r="Q4" s="386"/>
      <c r="R4" s="387"/>
      <c r="S4" s="385"/>
      <c r="T4" s="385"/>
      <c r="U4" s="385"/>
      <c r="V4" s="385"/>
      <c r="W4" s="385"/>
      <c r="X4" s="385"/>
      <c r="Y4" s="385"/>
    </row>
    <row r="5" spans="1:25" s="371" customFormat="1" ht="34.5" customHeight="1">
      <c r="A5" s="3488" t="s">
        <v>203</v>
      </c>
      <c r="B5" s="3482" t="s">
        <v>204</v>
      </c>
      <c r="C5" s="3482" t="s">
        <v>205</v>
      </c>
      <c r="D5" s="3484" t="s">
        <v>206</v>
      </c>
      <c r="E5" s="3489" t="s">
        <v>207</v>
      </c>
      <c r="F5" s="3491" t="s">
        <v>208</v>
      </c>
      <c r="G5" s="3491"/>
      <c r="H5" s="3491" t="s">
        <v>209</v>
      </c>
      <c r="I5" s="3492" t="s">
        <v>210</v>
      </c>
      <c r="J5" s="3492"/>
      <c r="K5" s="3493" t="s">
        <v>211</v>
      </c>
      <c r="L5" s="3482" t="s">
        <v>212</v>
      </c>
      <c r="M5" s="3483" t="s">
        <v>213</v>
      </c>
      <c r="N5" s="3484" t="s">
        <v>214</v>
      </c>
      <c r="O5" s="3486" t="s">
        <v>215</v>
      </c>
      <c r="P5" s="3482" t="s">
        <v>216</v>
      </c>
      <c r="Q5" s="3486" t="s">
        <v>286</v>
      </c>
      <c r="R5" s="3495" t="s">
        <v>287</v>
      </c>
      <c r="S5" s="3496" t="s">
        <v>219</v>
      </c>
      <c r="T5" s="3496"/>
      <c r="U5" s="3496"/>
      <c r="V5" s="3496"/>
      <c r="W5" s="3496"/>
      <c r="X5" s="3496"/>
      <c r="Y5" s="3496"/>
    </row>
    <row r="6" spans="1:25" s="370" customFormat="1" ht="60" customHeight="1">
      <c r="A6" s="3488"/>
      <c r="B6" s="3482"/>
      <c r="C6" s="3482"/>
      <c r="D6" s="3485"/>
      <c r="E6" s="3490"/>
      <c r="F6" s="388" t="s">
        <v>220</v>
      </c>
      <c r="G6" s="389" t="s">
        <v>221</v>
      </c>
      <c r="H6" s="3491"/>
      <c r="I6" s="390" t="s">
        <v>222</v>
      </c>
      <c r="J6" s="390" t="s">
        <v>288</v>
      </c>
      <c r="K6" s="3494"/>
      <c r="L6" s="3482"/>
      <c r="M6" s="3483"/>
      <c r="N6" s="3485"/>
      <c r="O6" s="3486"/>
      <c r="P6" s="3482"/>
      <c r="Q6" s="3486"/>
      <c r="R6" s="3495"/>
      <c r="S6" s="391" t="s">
        <v>224</v>
      </c>
      <c r="T6" s="391" t="s">
        <v>225</v>
      </c>
      <c r="U6" s="391" t="s">
        <v>226</v>
      </c>
      <c r="V6" s="391" t="s">
        <v>227</v>
      </c>
      <c r="W6" s="391" t="s">
        <v>228</v>
      </c>
      <c r="X6" s="391" t="s">
        <v>229</v>
      </c>
      <c r="Y6" s="391" t="s">
        <v>230</v>
      </c>
    </row>
    <row r="7" spans="1:25" s="398" customFormat="1" ht="33.75" customHeight="1">
      <c r="A7" s="3478" t="s">
        <v>231</v>
      </c>
      <c r="B7" s="3478"/>
      <c r="C7" s="3478"/>
      <c r="D7" s="3478"/>
      <c r="E7" s="3478"/>
      <c r="F7" s="3478"/>
      <c r="G7" s="3478"/>
      <c r="H7" s="3478"/>
      <c r="I7" s="3478"/>
      <c r="J7" s="392"/>
      <c r="K7" s="392"/>
      <c r="L7" s="392"/>
      <c r="M7" s="393"/>
      <c r="N7" s="392"/>
      <c r="O7" s="394"/>
      <c r="P7" s="392"/>
      <c r="Q7" s="395"/>
      <c r="R7" s="396">
        <f>+'[7]Compil Costing PPA 3 millions'!F5</f>
        <v>449500</v>
      </c>
      <c r="S7" s="397"/>
      <c r="T7" s="397"/>
      <c r="U7" s="397"/>
      <c r="V7" s="397"/>
      <c r="W7" s="397"/>
      <c r="X7" s="397"/>
      <c r="Y7" s="397"/>
    </row>
    <row r="8" spans="1:25" ht="37.5" customHeight="1">
      <c r="A8" s="3477" t="s">
        <v>232</v>
      </c>
      <c r="B8" s="3477"/>
      <c r="C8" s="3477"/>
      <c r="D8" s="3477"/>
      <c r="E8" s="3477"/>
      <c r="F8" s="3477"/>
      <c r="G8" s="3477"/>
      <c r="H8" s="3477"/>
      <c r="I8" s="3477"/>
      <c r="J8" s="399"/>
      <c r="K8" s="399"/>
      <c r="L8" s="399"/>
      <c r="M8" s="400"/>
      <c r="N8" s="399"/>
      <c r="O8" s="401"/>
      <c r="P8" s="399"/>
      <c r="Q8" s="402"/>
      <c r="R8" s="403"/>
      <c r="S8" s="404"/>
      <c r="T8" s="404"/>
      <c r="U8" s="404"/>
      <c r="V8" s="400"/>
      <c r="W8" s="400"/>
      <c r="X8" s="400"/>
      <c r="Y8" s="400"/>
    </row>
    <row r="9" spans="1:25" ht="20.45" customHeight="1">
      <c r="A9" s="406">
        <v>111</v>
      </c>
      <c r="B9" s="3476"/>
      <c r="C9" s="3476"/>
      <c r="D9" s="3476"/>
      <c r="E9" s="3476"/>
      <c r="F9" s="3476"/>
      <c r="G9" s="3476"/>
      <c r="H9" s="3476"/>
      <c r="I9" s="3476"/>
      <c r="J9" s="407"/>
      <c r="K9" s="407"/>
      <c r="L9" s="407"/>
      <c r="M9" s="408"/>
      <c r="N9" s="407"/>
      <c r="O9" s="409"/>
      <c r="P9" s="407"/>
      <c r="Q9" s="410"/>
      <c r="R9" s="411"/>
      <c r="S9" s="412"/>
      <c r="T9" s="412"/>
      <c r="U9" s="412"/>
      <c r="V9" s="412"/>
      <c r="W9" s="412"/>
      <c r="X9" s="412"/>
      <c r="Y9" s="412"/>
    </row>
    <row r="10" spans="1:25" ht="16.5" customHeight="1">
      <c r="A10" s="413">
        <v>1111</v>
      </c>
      <c r="B10" s="414"/>
      <c r="C10" s="414"/>
      <c r="D10" s="414"/>
      <c r="E10" s="415"/>
      <c r="F10" s="416"/>
      <c r="G10" s="416"/>
      <c r="H10" s="416"/>
      <c r="I10" s="417"/>
      <c r="J10" s="417"/>
      <c r="K10" s="417"/>
      <c r="L10" s="417"/>
      <c r="M10" s="418"/>
      <c r="N10" s="417"/>
      <c r="O10" s="419"/>
      <c r="P10" s="417"/>
      <c r="Q10" s="420"/>
      <c r="R10" s="421"/>
      <c r="S10" s="420"/>
      <c r="T10" s="420"/>
      <c r="U10" s="420"/>
      <c r="V10" s="420"/>
      <c r="W10" s="420"/>
      <c r="X10" s="420"/>
      <c r="Y10" s="420"/>
    </row>
    <row r="11" spans="1:25" ht="16.5" customHeight="1">
      <c r="A11" s="413">
        <v>1112</v>
      </c>
      <c r="B11" s="414"/>
      <c r="C11" s="414"/>
      <c r="D11" s="414"/>
      <c r="E11" s="415"/>
      <c r="F11" s="416"/>
      <c r="G11" s="416"/>
      <c r="H11" s="416"/>
      <c r="I11" s="417"/>
      <c r="J11" s="417"/>
      <c r="K11" s="417"/>
      <c r="L11" s="417"/>
      <c r="M11" s="418"/>
      <c r="N11" s="417"/>
      <c r="O11" s="419"/>
      <c r="P11" s="417"/>
      <c r="Q11" s="420"/>
      <c r="R11" s="421"/>
      <c r="S11" s="420"/>
      <c r="T11" s="420"/>
      <c r="U11" s="420"/>
      <c r="V11" s="420"/>
      <c r="W11" s="420"/>
      <c r="X11" s="420"/>
      <c r="Y11" s="420"/>
    </row>
    <row r="12" spans="1:25" ht="16.5" customHeight="1">
      <c r="A12" s="413">
        <v>1113</v>
      </c>
      <c r="B12" s="414"/>
      <c r="C12" s="414"/>
      <c r="D12" s="414"/>
      <c r="E12" s="415"/>
      <c r="F12" s="416"/>
      <c r="G12" s="416"/>
      <c r="H12" s="416"/>
      <c r="I12" s="417"/>
      <c r="J12" s="417"/>
      <c r="K12" s="417"/>
      <c r="L12" s="417"/>
      <c r="M12" s="418"/>
      <c r="N12" s="417"/>
      <c r="O12" s="419"/>
      <c r="P12" s="417"/>
      <c r="Q12" s="420"/>
      <c r="R12" s="421"/>
      <c r="S12" s="420"/>
      <c r="T12" s="420"/>
      <c r="U12" s="420"/>
      <c r="V12" s="420"/>
      <c r="W12" s="420"/>
      <c r="X12" s="420"/>
      <c r="Y12" s="420"/>
    </row>
    <row r="13" spans="1:25" ht="16.5" customHeight="1">
      <c r="A13" s="406">
        <v>112</v>
      </c>
      <c r="B13" s="3476"/>
      <c r="C13" s="3476"/>
      <c r="D13" s="3476"/>
      <c r="E13" s="3476"/>
      <c r="F13" s="3476"/>
      <c r="G13" s="3476"/>
      <c r="H13" s="3476"/>
      <c r="I13" s="3476"/>
      <c r="J13" s="407"/>
      <c r="K13" s="407"/>
      <c r="L13" s="407"/>
      <c r="M13" s="408"/>
      <c r="N13" s="407"/>
      <c r="O13" s="409"/>
      <c r="P13" s="407"/>
      <c r="Q13" s="410"/>
      <c r="R13" s="411"/>
      <c r="S13" s="412"/>
      <c r="T13" s="412"/>
      <c r="U13" s="412"/>
      <c r="V13" s="412"/>
      <c r="W13" s="412"/>
      <c r="X13" s="412"/>
      <c r="Y13" s="412"/>
    </row>
    <row r="14" spans="1:25">
      <c r="A14" s="413">
        <v>1121</v>
      </c>
      <c r="B14" s="414"/>
      <c r="C14" s="414"/>
      <c r="D14" s="414"/>
      <c r="E14" s="415"/>
      <c r="F14" s="416"/>
      <c r="G14" s="416"/>
      <c r="H14" s="416"/>
      <c r="I14" s="417"/>
      <c r="J14" s="417"/>
      <c r="K14" s="417"/>
      <c r="L14" s="417"/>
      <c r="M14" s="418"/>
      <c r="N14" s="417"/>
      <c r="O14" s="419"/>
      <c r="P14" s="417"/>
      <c r="Q14" s="420"/>
      <c r="R14" s="421"/>
      <c r="S14" s="420"/>
      <c r="T14" s="420"/>
      <c r="U14" s="420"/>
      <c r="V14" s="420"/>
      <c r="W14" s="420"/>
      <c r="X14" s="420"/>
      <c r="Y14" s="420"/>
    </row>
    <row r="15" spans="1:25">
      <c r="A15" s="413">
        <v>1122</v>
      </c>
      <c r="B15" s="414"/>
      <c r="C15" s="414"/>
      <c r="D15" s="414"/>
      <c r="E15" s="415"/>
      <c r="F15" s="416"/>
      <c r="G15" s="416"/>
      <c r="H15" s="416"/>
      <c r="I15" s="417"/>
      <c r="J15" s="417"/>
      <c r="K15" s="417"/>
      <c r="L15" s="417"/>
      <c r="M15" s="418"/>
      <c r="N15" s="417"/>
      <c r="O15" s="419"/>
      <c r="P15" s="417"/>
      <c r="Q15" s="420"/>
      <c r="R15" s="421"/>
      <c r="S15" s="420"/>
      <c r="T15" s="420"/>
      <c r="U15" s="420"/>
      <c r="V15" s="420"/>
      <c r="W15" s="420"/>
      <c r="X15" s="420"/>
      <c r="Y15" s="420"/>
    </row>
    <row r="16" spans="1:25">
      <c r="A16" s="422" t="s">
        <v>233</v>
      </c>
      <c r="B16" s="414"/>
      <c r="C16" s="414"/>
      <c r="D16" s="414"/>
      <c r="E16" s="415"/>
      <c r="F16" s="416"/>
      <c r="G16" s="416"/>
      <c r="H16" s="416"/>
      <c r="I16" s="417"/>
      <c r="J16" s="417"/>
      <c r="K16" s="417"/>
      <c r="L16" s="417"/>
      <c r="M16" s="418"/>
      <c r="N16" s="417"/>
      <c r="O16" s="419"/>
      <c r="P16" s="417"/>
      <c r="Q16" s="420"/>
      <c r="R16" s="421"/>
      <c r="S16" s="420"/>
      <c r="T16" s="420"/>
      <c r="U16" s="420"/>
      <c r="V16" s="420"/>
      <c r="W16" s="420"/>
      <c r="X16" s="420"/>
      <c r="Y16" s="420"/>
    </row>
    <row r="17" spans="1:25" ht="37.5" customHeight="1">
      <c r="A17" s="3477" t="s">
        <v>234</v>
      </c>
      <c r="B17" s="3477"/>
      <c r="C17" s="3477"/>
      <c r="D17" s="3477"/>
      <c r="E17" s="3477"/>
      <c r="F17" s="3477"/>
      <c r="G17" s="3477"/>
      <c r="H17" s="3477"/>
      <c r="I17" s="3477"/>
      <c r="J17" s="399"/>
      <c r="K17" s="399"/>
      <c r="L17" s="399"/>
      <c r="M17" s="400"/>
      <c r="N17" s="399"/>
      <c r="O17" s="401"/>
      <c r="P17" s="399"/>
      <c r="Q17" s="402"/>
      <c r="R17" s="403"/>
      <c r="S17" s="404"/>
      <c r="T17" s="404"/>
      <c r="U17" s="404"/>
      <c r="V17" s="400"/>
      <c r="W17" s="400"/>
      <c r="X17" s="400"/>
      <c r="Y17" s="400"/>
    </row>
    <row r="18" spans="1:25" ht="16.5" customHeight="1">
      <c r="A18" s="406">
        <v>121</v>
      </c>
      <c r="B18" s="3476"/>
      <c r="C18" s="3476"/>
      <c r="D18" s="3476"/>
      <c r="E18" s="3476"/>
      <c r="F18" s="3476"/>
      <c r="G18" s="3476"/>
      <c r="H18" s="3476"/>
      <c r="I18" s="3476"/>
      <c r="J18" s="407"/>
      <c r="K18" s="407"/>
      <c r="L18" s="407"/>
      <c r="M18" s="408"/>
      <c r="N18" s="407"/>
      <c r="O18" s="409"/>
      <c r="P18" s="407"/>
      <c r="Q18" s="410"/>
      <c r="R18" s="411"/>
      <c r="S18" s="412"/>
      <c r="T18" s="412"/>
      <c r="U18" s="412"/>
      <c r="V18" s="412"/>
      <c r="W18" s="412"/>
      <c r="X18" s="412"/>
      <c r="Y18" s="412"/>
    </row>
    <row r="19" spans="1:25" ht="16.5" customHeight="1">
      <c r="A19" s="413">
        <v>1211</v>
      </c>
      <c r="B19" s="414"/>
      <c r="C19" s="414"/>
      <c r="D19" s="414"/>
      <c r="E19" s="415"/>
      <c r="F19" s="416"/>
      <c r="G19" s="416"/>
      <c r="H19" s="416"/>
      <c r="I19" s="417"/>
      <c r="J19" s="417"/>
      <c r="K19" s="417"/>
      <c r="L19" s="417"/>
      <c r="M19" s="418"/>
      <c r="N19" s="417"/>
      <c r="O19" s="419"/>
      <c r="P19" s="417"/>
      <c r="Q19" s="420"/>
      <c r="R19" s="421"/>
      <c r="S19" s="420"/>
      <c r="T19" s="420"/>
      <c r="U19" s="420"/>
      <c r="V19" s="420"/>
      <c r="W19" s="420"/>
      <c r="X19" s="420"/>
      <c r="Y19" s="420"/>
    </row>
    <row r="20" spans="1:25" ht="16.5" customHeight="1">
      <c r="A20" s="413">
        <v>1212</v>
      </c>
      <c r="B20" s="414"/>
      <c r="C20" s="414"/>
      <c r="D20" s="414"/>
      <c r="E20" s="415"/>
      <c r="F20" s="416"/>
      <c r="G20" s="416"/>
      <c r="H20" s="416"/>
      <c r="I20" s="417"/>
      <c r="J20" s="417"/>
      <c r="K20" s="417"/>
      <c r="L20" s="417"/>
      <c r="M20" s="418"/>
      <c r="N20" s="417"/>
      <c r="O20" s="419"/>
      <c r="P20" s="417"/>
      <c r="Q20" s="420"/>
      <c r="R20" s="421"/>
      <c r="S20" s="420"/>
      <c r="T20" s="420"/>
      <c r="U20" s="420"/>
      <c r="V20" s="420"/>
      <c r="W20" s="420"/>
      <c r="X20" s="420"/>
      <c r="Y20" s="420"/>
    </row>
    <row r="21" spans="1:25" ht="16.5" customHeight="1">
      <c r="A21" s="413">
        <v>1213</v>
      </c>
      <c r="B21" s="414"/>
      <c r="C21" s="414"/>
      <c r="D21" s="414"/>
      <c r="E21" s="415"/>
      <c r="F21" s="416"/>
      <c r="G21" s="416"/>
      <c r="H21" s="416"/>
      <c r="I21" s="417"/>
      <c r="J21" s="417"/>
      <c r="K21" s="417"/>
      <c r="L21" s="417"/>
      <c r="M21" s="418"/>
      <c r="N21" s="417"/>
      <c r="O21" s="419"/>
      <c r="P21" s="417"/>
      <c r="Q21" s="420"/>
      <c r="R21" s="421"/>
      <c r="S21" s="420"/>
      <c r="T21" s="420"/>
      <c r="U21" s="420"/>
      <c r="V21" s="420"/>
      <c r="W21" s="420"/>
      <c r="X21" s="420"/>
      <c r="Y21" s="420"/>
    </row>
    <row r="22" spans="1:25" ht="16.5" customHeight="1">
      <c r="A22" s="406">
        <v>122</v>
      </c>
      <c r="B22" s="3476"/>
      <c r="C22" s="3476"/>
      <c r="D22" s="3476"/>
      <c r="E22" s="3476"/>
      <c r="F22" s="3476"/>
      <c r="G22" s="3476"/>
      <c r="H22" s="3476"/>
      <c r="I22" s="3476"/>
      <c r="J22" s="407"/>
      <c r="K22" s="407"/>
      <c r="L22" s="407"/>
      <c r="M22" s="408"/>
      <c r="N22" s="407"/>
      <c r="O22" s="409"/>
      <c r="P22" s="407"/>
      <c r="Q22" s="410"/>
      <c r="R22" s="411"/>
      <c r="S22" s="412"/>
      <c r="T22" s="412"/>
      <c r="U22" s="412"/>
      <c r="V22" s="412"/>
      <c r="W22" s="412"/>
      <c r="X22" s="412"/>
      <c r="Y22" s="412"/>
    </row>
    <row r="23" spans="1:25" ht="16.5" customHeight="1">
      <c r="A23" s="413">
        <v>1221</v>
      </c>
      <c r="B23" s="414"/>
      <c r="C23" s="414"/>
      <c r="D23" s="414"/>
      <c r="E23" s="415"/>
      <c r="F23" s="416"/>
      <c r="G23" s="416"/>
      <c r="H23" s="416"/>
      <c r="I23" s="417"/>
      <c r="J23" s="417"/>
      <c r="K23" s="417"/>
      <c r="L23" s="417"/>
      <c r="M23" s="418"/>
      <c r="N23" s="417"/>
      <c r="O23" s="419"/>
      <c r="P23" s="417"/>
      <c r="Q23" s="420"/>
      <c r="R23" s="421"/>
      <c r="S23" s="420"/>
      <c r="T23" s="420"/>
      <c r="U23" s="420"/>
      <c r="V23" s="420"/>
      <c r="W23" s="420"/>
      <c r="X23" s="420"/>
      <c r="Y23" s="420"/>
    </row>
    <row r="24" spans="1:25" ht="16.5" customHeight="1">
      <c r="A24" s="413">
        <v>1222</v>
      </c>
      <c r="B24" s="414"/>
      <c r="C24" s="414"/>
      <c r="D24" s="414"/>
      <c r="E24" s="415"/>
      <c r="F24" s="416"/>
      <c r="G24" s="416"/>
      <c r="H24" s="416"/>
      <c r="I24" s="417"/>
      <c r="J24" s="417"/>
      <c r="K24" s="417"/>
      <c r="L24" s="417"/>
      <c r="M24" s="418"/>
      <c r="N24" s="417"/>
      <c r="O24" s="419"/>
      <c r="P24" s="417"/>
      <c r="Q24" s="420"/>
      <c r="S24" s="420"/>
      <c r="T24" s="420"/>
      <c r="U24" s="420"/>
      <c r="V24" s="420"/>
      <c r="W24" s="420"/>
      <c r="X24" s="420"/>
      <c r="Y24" s="420"/>
    </row>
    <row r="25" spans="1:25">
      <c r="A25" s="422" t="s">
        <v>233</v>
      </c>
      <c r="B25" s="414"/>
      <c r="C25" s="414"/>
      <c r="D25" s="414"/>
      <c r="E25" s="415"/>
      <c r="F25" s="416"/>
      <c r="G25" s="416"/>
      <c r="H25" s="416"/>
      <c r="I25" s="417"/>
      <c r="J25" s="417"/>
      <c r="K25" s="417"/>
      <c r="L25" s="417"/>
      <c r="M25" s="418"/>
      <c r="N25" s="417"/>
      <c r="O25" s="419"/>
      <c r="P25" s="417"/>
      <c r="Q25" s="420"/>
      <c r="R25" s="421"/>
      <c r="S25" s="420"/>
      <c r="T25" s="420"/>
      <c r="U25" s="420"/>
      <c r="V25" s="420"/>
      <c r="W25" s="420"/>
      <c r="X25" s="420"/>
      <c r="Y25" s="420"/>
    </row>
    <row r="26" spans="1:25" s="398" customFormat="1" ht="33.75" customHeight="1">
      <c r="A26" s="3478" t="s">
        <v>235</v>
      </c>
      <c r="B26" s="3478"/>
      <c r="C26" s="3478"/>
      <c r="D26" s="3478"/>
      <c r="E26" s="3478"/>
      <c r="F26" s="3478"/>
      <c r="G26" s="3478"/>
      <c r="H26" s="3478"/>
      <c r="I26" s="3478"/>
      <c r="J26" s="392"/>
      <c r="K26" s="392"/>
      <c r="L26" s="392"/>
      <c r="M26" s="393"/>
      <c r="N26" s="392"/>
      <c r="O26" s="394"/>
      <c r="P26" s="392"/>
      <c r="Q26" s="395"/>
      <c r="R26" s="396">
        <f>+R27+R36+R46</f>
        <v>688782.12</v>
      </c>
      <c r="S26" s="397"/>
      <c r="T26" s="397"/>
      <c r="U26" s="397"/>
      <c r="V26" s="397"/>
      <c r="W26" s="397"/>
      <c r="X26" s="397"/>
      <c r="Y26" s="397"/>
    </row>
    <row r="27" spans="1:25" ht="37.5" customHeight="1">
      <c r="A27" s="3477" t="s">
        <v>236</v>
      </c>
      <c r="B27" s="3477"/>
      <c r="C27" s="3477"/>
      <c r="D27" s="3477"/>
      <c r="E27" s="3477"/>
      <c r="F27" s="3477"/>
      <c r="G27" s="3477"/>
      <c r="H27" s="3477"/>
      <c r="I27" s="3477"/>
      <c r="J27" s="399"/>
      <c r="K27" s="399"/>
      <c r="L27" s="399"/>
      <c r="M27" s="400"/>
      <c r="N27" s="399"/>
      <c r="O27" s="401"/>
      <c r="P27" s="399"/>
      <c r="Q27" s="402"/>
      <c r="R27" s="403">
        <f>+'[7]Compil Costing PPA 3 millions'!F7</f>
        <v>300354.12</v>
      </c>
      <c r="S27" s="404"/>
      <c r="T27" s="404"/>
      <c r="U27" s="404"/>
      <c r="V27" s="400"/>
      <c r="W27" s="400"/>
      <c r="X27" s="400"/>
      <c r="Y27" s="400"/>
    </row>
    <row r="28" spans="1:25" ht="16.5" customHeight="1">
      <c r="A28" s="406">
        <v>211</v>
      </c>
      <c r="B28" s="3476"/>
      <c r="C28" s="3476"/>
      <c r="D28" s="3476"/>
      <c r="E28" s="3476"/>
      <c r="F28" s="3476"/>
      <c r="G28" s="3476"/>
      <c r="H28" s="3476"/>
      <c r="I28" s="3476"/>
      <c r="J28" s="407"/>
      <c r="K28" s="407"/>
      <c r="L28" s="407"/>
      <c r="M28" s="408"/>
      <c r="N28" s="407"/>
      <c r="O28" s="409"/>
      <c r="P28" s="407"/>
      <c r="Q28" s="410"/>
      <c r="R28" s="411"/>
      <c r="S28" s="412"/>
      <c r="T28" s="412"/>
      <c r="U28" s="412"/>
      <c r="V28" s="412"/>
      <c r="W28" s="412"/>
      <c r="X28" s="412"/>
      <c r="Y28" s="412"/>
    </row>
    <row r="29" spans="1:25">
      <c r="A29" s="423">
        <v>2111</v>
      </c>
      <c r="B29" s="424"/>
      <c r="C29" s="424"/>
      <c r="D29" s="424"/>
      <c r="E29" s="425"/>
      <c r="F29" s="426"/>
      <c r="G29" s="416"/>
      <c r="H29" s="416"/>
      <c r="I29" s="417"/>
      <c r="J29" s="417"/>
      <c r="K29" s="417"/>
      <c r="L29" s="417"/>
      <c r="M29" s="418"/>
      <c r="N29" s="417"/>
      <c r="O29" s="419"/>
      <c r="P29" s="417"/>
      <c r="Q29" s="420"/>
      <c r="R29" s="421"/>
      <c r="S29" s="420"/>
      <c r="T29" s="420"/>
      <c r="U29" s="420"/>
      <c r="V29" s="420"/>
      <c r="W29" s="420"/>
      <c r="X29" s="420"/>
      <c r="Y29" s="420"/>
    </row>
    <row r="30" spans="1:25">
      <c r="A30" s="423">
        <v>2112</v>
      </c>
      <c r="B30" s="424"/>
      <c r="C30" s="424"/>
      <c r="D30" s="424"/>
      <c r="E30" s="425"/>
      <c r="F30" s="426"/>
      <c r="G30" s="416"/>
      <c r="H30" s="416"/>
      <c r="I30" s="417"/>
      <c r="J30" s="417"/>
      <c r="K30" s="417"/>
      <c r="L30" s="417"/>
      <c r="M30" s="418"/>
      <c r="N30" s="417"/>
      <c r="O30" s="419"/>
      <c r="P30" s="417"/>
      <c r="Q30" s="420"/>
      <c r="R30" s="421"/>
      <c r="S30" s="420"/>
      <c r="T30" s="420"/>
      <c r="U30" s="420"/>
      <c r="V30" s="420"/>
      <c r="W30" s="420"/>
      <c r="X30" s="420"/>
      <c r="Y30" s="420"/>
    </row>
    <row r="31" spans="1:25">
      <c r="A31" s="423">
        <v>2113</v>
      </c>
      <c r="B31" s="424"/>
      <c r="C31" s="424"/>
      <c r="D31" s="424"/>
      <c r="E31" s="425"/>
      <c r="F31" s="426"/>
      <c r="G31" s="416"/>
      <c r="H31" s="416"/>
      <c r="I31" s="417"/>
      <c r="J31" s="417"/>
      <c r="K31" s="417"/>
      <c r="L31" s="417"/>
      <c r="M31" s="418"/>
      <c r="N31" s="417"/>
      <c r="O31" s="419"/>
      <c r="P31" s="417"/>
      <c r="Q31" s="420"/>
      <c r="R31" s="421"/>
      <c r="S31" s="420"/>
      <c r="T31" s="420"/>
      <c r="U31" s="420"/>
      <c r="V31" s="420"/>
      <c r="W31" s="420"/>
      <c r="X31" s="420"/>
      <c r="Y31" s="420"/>
    </row>
    <row r="32" spans="1:25" ht="16.5" customHeight="1">
      <c r="A32" s="406">
        <v>212</v>
      </c>
      <c r="B32" s="3476"/>
      <c r="C32" s="3476"/>
      <c r="D32" s="3476"/>
      <c r="E32" s="3476"/>
      <c r="F32" s="3476"/>
      <c r="G32" s="3476"/>
      <c r="H32" s="3476"/>
      <c r="I32" s="3476"/>
      <c r="J32" s="407"/>
      <c r="K32" s="407"/>
      <c r="L32" s="407"/>
      <c r="M32" s="408"/>
      <c r="N32" s="407"/>
      <c r="O32" s="409"/>
      <c r="P32" s="407"/>
      <c r="Q32" s="410"/>
      <c r="R32" s="411"/>
      <c r="S32" s="412"/>
      <c r="T32" s="412"/>
      <c r="U32" s="412"/>
      <c r="V32" s="412"/>
      <c r="W32" s="412"/>
      <c r="X32" s="412"/>
      <c r="Y32" s="412"/>
    </row>
    <row r="33" spans="1:25">
      <c r="A33" s="423">
        <v>2121</v>
      </c>
      <c r="B33" s="424"/>
      <c r="C33" s="424"/>
      <c r="D33" s="424"/>
      <c r="E33" s="425"/>
      <c r="F33" s="426"/>
      <c r="G33" s="416"/>
      <c r="H33" s="416"/>
      <c r="I33" s="417"/>
      <c r="J33" s="417"/>
      <c r="K33" s="417"/>
      <c r="L33" s="417"/>
      <c r="M33" s="418"/>
      <c r="N33" s="417"/>
      <c r="O33" s="419"/>
      <c r="P33" s="417"/>
      <c r="Q33" s="420"/>
      <c r="R33" s="421"/>
      <c r="S33" s="420"/>
      <c r="T33" s="420"/>
      <c r="U33" s="420"/>
      <c r="V33" s="420"/>
      <c r="W33" s="420"/>
      <c r="X33" s="420"/>
      <c r="Y33" s="420"/>
    </row>
    <row r="34" spans="1:25">
      <c r="A34" s="423">
        <v>2122</v>
      </c>
      <c r="B34" s="424"/>
      <c r="C34" s="424"/>
      <c r="D34" s="424"/>
      <c r="E34" s="425"/>
      <c r="F34" s="426"/>
      <c r="G34" s="416"/>
      <c r="H34" s="416"/>
      <c r="I34" s="417"/>
      <c r="J34" s="417"/>
      <c r="K34" s="417"/>
      <c r="L34" s="417"/>
      <c r="M34" s="418"/>
      <c r="N34" s="417"/>
      <c r="O34" s="419"/>
      <c r="P34" s="417"/>
      <c r="Q34" s="420"/>
      <c r="R34" s="421"/>
      <c r="S34" s="420"/>
      <c r="T34" s="420"/>
      <c r="U34" s="420"/>
      <c r="V34" s="420"/>
      <c r="W34" s="420"/>
      <c r="X34" s="420"/>
      <c r="Y34" s="420"/>
    </row>
    <row r="35" spans="1:25">
      <c r="A35" s="415" t="s">
        <v>233</v>
      </c>
      <c r="B35" s="418"/>
      <c r="C35" s="414"/>
      <c r="D35" s="414"/>
      <c r="E35" s="415"/>
      <c r="F35" s="426"/>
      <c r="G35" s="416"/>
      <c r="H35" s="416"/>
      <c r="I35" s="417"/>
      <c r="J35" s="417"/>
      <c r="K35" s="417"/>
      <c r="L35" s="417"/>
      <c r="M35" s="418"/>
      <c r="N35" s="417"/>
      <c r="O35" s="419"/>
      <c r="P35" s="417"/>
      <c r="Q35" s="420"/>
      <c r="R35" s="421"/>
      <c r="S35" s="420"/>
      <c r="T35" s="420"/>
      <c r="U35" s="420"/>
      <c r="V35" s="420"/>
      <c r="W35" s="420"/>
      <c r="X35" s="420"/>
      <c r="Y35" s="420"/>
    </row>
    <row r="36" spans="1:25" ht="37.5" customHeight="1">
      <c r="A36" s="3477" t="s">
        <v>237</v>
      </c>
      <c r="B36" s="3477"/>
      <c r="C36" s="3477"/>
      <c r="D36" s="3477"/>
      <c r="E36" s="3477"/>
      <c r="F36" s="3477"/>
      <c r="G36" s="3477"/>
      <c r="H36" s="3477"/>
      <c r="I36" s="3477"/>
      <c r="J36" s="399"/>
      <c r="K36" s="399"/>
      <c r="L36" s="399"/>
      <c r="M36" s="400"/>
      <c r="N36" s="399"/>
      <c r="O36" s="401"/>
      <c r="P36" s="399"/>
      <c r="Q36" s="402"/>
      <c r="R36" s="403">
        <f>+'[7]Compil Costing PPA 3 millions'!F8</f>
        <v>300000</v>
      </c>
      <c r="S36" s="404"/>
      <c r="T36" s="404"/>
      <c r="U36" s="404"/>
      <c r="V36" s="400"/>
      <c r="W36" s="400"/>
      <c r="X36" s="400"/>
      <c r="Y36" s="400"/>
    </row>
    <row r="37" spans="1:25" ht="16.5" customHeight="1">
      <c r="A37" s="406">
        <v>221</v>
      </c>
      <c r="B37" s="3481" t="s">
        <v>238</v>
      </c>
      <c r="C37" s="3481"/>
      <c r="D37" s="3481"/>
      <c r="E37" s="3481"/>
      <c r="F37" s="3481"/>
      <c r="G37" s="3481"/>
      <c r="H37" s="3481"/>
      <c r="I37" s="3481"/>
      <c r="J37" s="407"/>
      <c r="K37" s="407"/>
      <c r="L37" s="407"/>
      <c r="M37" s="408"/>
      <c r="N37" s="407"/>
      <c r="O37" s="409"/>
      <c r="P37" s="407"/>
      <c r="Q37" s="410"/>
      <c r="R37" s="411"/>
      <c r="S37" s="412"/>
      <c r="T37" s="412"/>
      <c r="U37" s="412"/>
      <c r="V37" s="412"/>
      <c r="W37" s="412"/>
      <c r="X37" s="412"/>
      <c r="Y37" s="412"/>
    </row>
    <row r="38" spans="1:25">
      <c r="A38" s="423">
        <v>2211</v>
      </c>
      <c r="B38" s="414" t="s">
        <v>363</v>
      </c>
      <c r="C38" s="427" t="s">
        <v>364</v>
      </c>
      <c r="D38" s="427"/>
      <c r="E38" s="415">
        <v>50</v>
      </c>
      <c r="F38" s="426">
        <v>43185</v>
      </c>
      <c r="G38" s="416">
        <f>+F38+E38</f>
        <v>43235</v>
      </c>
      <c r="H38" s="416"/>
      <c r="I38" s="417" t="s">
        <v>169</v>
      </c>
      <c r="J38" s="417" t="s">
        <v>174</v>
      </c>
      <c r="K38" s="428" t="s">
        <v>365</v>
      </c>
      <c r="L38" s="417">
        <v>2313</v>
      </c>
      <c r="M38" s="418"/>
      <c r="N38" s="417" t="s">
        <v>366</v>
      </c>
      <c r="O38" s="419">
        <v>27000</v>
      </c>
      <c r="P38" s="417">
        <v>1</v>
      </c>
      <c r="Q38" s="420">
        <f>+O38*P38</f>
        <v>27000</v>
      </c>
      <c r="R38" s="421"/>
      <c r="S38" s="420"/>
      <c r="T38" s="420"/>
      <c r="U38" s="420"/>
      <c r="V38" s="420"/>
      <c r="W38" s="420"/>
      <c r="X38" s="420"/>
      <c r="Y38" s="420"/>
    </row>
    <row r="39" spans="1:25">
      <c r="A39" s="423">
        <v>2211</v>
      </c>
      <c r="B39" s="414" t="s">
        <v>363</v>
      </c>
      <c r="C39" s="427" t="s">
        <v>367</v>
      </c>
      <c r="D39" s="427"/>
      <c r="E39" s="415">
        <v>150</v>
      </c>
      <c r="F39" s="416">
        <f>+G38</f>
        <v>43235</v>
      </c>
      <c r="G39" s="426">
        <f>+G38+E39</f>
        <v>43385</v>
      </c>
      <c r="H39" s="416" t="s">
        <v>368</v>
      </c>
      <c r="I39" s="417" t="s">
        <v>174</v>
      </c>
      <c r="J39" s="417" t="s">
        <v>169</v>
      </c>
      <c r="K39" s="428" t="s">
        <v>365</v>
      </c>
      <c r="L39" s="417">
        <v>2313</v>
      </c>
      <c r="M39" s="418"/>
      <c r="N39" s="417" t="s">
        <v>366</v>
      </c>
      <c r="O39" s="419"/>
      <c r="P39" s="417"/>
      <c r="Q39" s="420"/>
      <c r="R39" s="421"/>
      <c r="S39" s="420"/>
      <c r="T39" s="420"/>
      <c r="U39" s="420"/>
      <c r="V39" s="420"/>
      <c r="W39" s="420"/>
      <c r="X39" s="420"/>
      <c r="Y39" s="420"/>
    </row>
    <row r="40" spans="1:25" ht="31.5">
      <c r="A40" s="413">
        <v>2212</v>
      </c>
      <c r="B40" s="427" t="s">
        <v>92</v>
      </c>
      <c r="C40" s="427"/>
      <c r="D40" s="427"/>
      <c r="E40" s="425"/>
      <c r="F40" s="426"/>
      <c r="G40" s="416"/>
      <c r="H40" s="416"/>
      <c r="I40" s="417"/>
      <c r="J40" s="417"/>
      <c r="K40" s="417"/>
      <c r="L40" s="417"/>
      <c r="M40" s="418"/>
      <c r="N40" s="417"/>
      <c r="O40" s="419"/>
      <c r="P40" s="417"/>
      <c r="Q40" s="420"/>
      <c r="R40" s="421"/>
      <c r="S40" s="420"/>
      <c r="T40" s="420"/>
      <c r="U40" s="420"/>
      <c r="V40" s="420"/>
      <c r="W40" s="420"/>
      <c r="X40" s="420"/>
      <c r="Y40" s="420"/>
    </row>
    <row r="41" spans="1:25">
      <c r="A41" s="413">
        <v>2213</v>
      </c>
      <c r="B41" s="427" t="s">
        <v>93</v>
      </c>
      <c r="C41" s="427"/>
      <c r="D41" s="427"/>
      <c r="E41" s="415"/>
      <c r="F41" s="426"/>
      <c r="G41" s="416"/>
      <c r="H41" s="416"/>
      <c r="I41" s="417"/>
      <c r="J41" s="417"/>
      <c r="K41" s="417"/>
      <c r="L41" s="417"/>
      <c r="M41" s="418"/>
      <c r="N41" s="417"/>
      <c r="O41" s="419"/>
      <c r="P41" s="417"/>
      <c r="Q41" s="420"/>
      <c r="R41" s="421"/>
      <c r="S41" s="420"/>
      <c r="T41" s="420"/>
      <c r="U41" s="420"/>
      <c r="V41" s="420"/>
      <c r="W41" s="420"/>
      <c r="X41" s="420"/>
      <c r="Y41" s="420"/>
    </row>
    <row r="42" spans="1:25" ht="20.25" customHeight="1">
      <c r="A42" s="406">
        <v>222</v>
      </c>
      <c r="B42" s="3481" t="s">
        <v>239</v>
      </c>
      <c r="C42" s="3481"/>
      <c r="D42" s="3481"/>
      <c r="E42" s="3481"/>
      <c r="F42" s="3481"/>
      <c r="G42" s="3481"/>
      <c r="H42" s="3481"/>
      <c r="I42" s="3481"/>
      <c r="J42" s="407"/>
      <c r="K42" s="407"/>
      <c r="L42" s="407"/>
      <c r="M42" s="408"/>
      <c r="N42" s="407"/>
      <c r="O42" s="409"/>
      <c r="P42" s="407"/>
      <c r="Q42" s="410"/>
      <c r="R42" s="411"/>
      <c r="S42" s="412"/>
      <c r="T42" s="412"/>
      <c r="U42" s="412"/>
      <c r="V42" s="412"/>
      <c r="W42" s="412"/>
      <c r="X42" s="412"/>
      <c r="Y42" s="412"/>
    </row>
    <row r="43" spans="1:25">
      <c r="A43" s="413">
        <v>2221</v>
      </c>
      <c r="B43" s="424"/>
      <c r="C43" s="424"/>
      <c r="D43" s="424"/>
      <c r="E43" s="425"/>
      <c r="F43" s="426"/>
      <c r="G43" s="416"/>
      <c r="H43" s="416"/>
      <c r="I43" s="417"/>
      <c r="J43" s="417"/>
      <c r="K43" s="417"/>
      <c r="L43" s="417"/>
      <c r="M43" s="418"/>
      <c r="N43" s="417"/>
      <c r="O43" s="419"/>
      <c r="P43" s="417"/>
      <c r="Q43" s="420"/>
      <c r="R43" s="421"/>
      <c r="S43" s="420"/>
      <c r="T43" s="420"/>
      <c r="U43" s="420"/>
      <c r="V43" s="420"/>
      <c r="W43" s="420"/>
      <c r="X43" s="420"/>
      <c r="Y43" s="420"/>
    </row>
    <row r="44" spans="1:25">
      <c r="A44" s="413">
        <v>2222</v>
      </c>
      <c r="B44" s="424"/>
      <c r="C44" s="424"/>
      <c r="D44" s="424"/>
      <c r="E44" s="425"/>
      <c r="F44" s="426"/>
      <c r="G44" s="416"/>
      <c r="H44" s="416"/>
      <c r="I44" s="417"/>
      <c r="J44" s="417"/>
      <c r="K44" s="417"/>
      <c r="L44" s="417"/>
      <c r="M44" s="418"/>
      <c r="N44" s="417"/>
      <c r="O44" s="419"/>
      <c r="P44" s="417"/>
      <c r="Q44" s="420"/>
      <c r="R44" s="421"/>
      <c r="S44" s="420"/>
      <c r="T44" s="420"/>
      <c r="U44" s="420"/>
      <c r="V44" s="420"/>
      <c r="W44" s="420"/>
      <c r="X44" s="420"/>
      <c r="Y44" s="420"/>
    </row>
    <row r="45" spans="1:25">
      <c r="A45" s="415" t="s">
        <v>233</v>
      </c>
      <c r="B45" s="424"/>
      <c r="C45" s="424"/>
      <c r="D45" s="424"/>
      <c r="E45" s="425"/>
      <c r="F45" s="426"/>
      <c r="G45" s="416"/>
      <c r="H45" s="416"/>
      <c r="I45" s="417"/>
      <c r="J45" s="417"/>
      <c r="K45" s="417"/>
      <c r="L45" s="417"/>
      <c r="M45" s="418"/>
      <c r="N45" s="417"/>
      <c r="O45" s="419"/>
      <c r="P45" s="417"/>
      <c r="Q45" s="420"/>
      <c r="R45" s="421"/>
      <c r="S45" s="420"/>
      <c r="T45" s="420"/>
      <c r="U45" s="420"/>
      <c r="V45" s="420"/>
      <c r="W45" s="420"/>
      <c r="X45" s="420"/>
      <c r="Y45" s="420"/>
    </row>
    <row r="46" spans="1:25" ht="37.5" customHeight="1">
      <c r="A46" s="3477" t="s">
        <v>240</v>
      </c>
      <c r="B46" s="3477"/>
      <c r="C46" s="3477"/>
      <c r="D46" s="3477"/>
      <c r="E46" s="3477"/>
      <c r="F46" s="3477"/>
      <c r="G46" s="3477"/>
      <c r="H46" s="3477"/>
      <c r="I46" s="3477"/>
      <c r="J46" s="399"/>
      <c r="K46" s="399"/>
      <c r="L46" s="399"/>
      <c r="M46" s="400"/>
      <c r="N46" s="399"/>
      <c r="O46" s="401"/>
      <c r="P46" s="399"/>
      <c r="Q46" s="402"/>
      <c r="R46" s="403">
        <f>+'[7]Compil Costing PPA 3 millions'!F9</f>
        <v>88428</v>
      </c>
      <c r="S46" s="404"/>
      <c r="T46" s="404"/>
      <c r="U46" s="404"/>
      <c r="V46" s="400"/>
      <c r="W46" s="400"/>
      <c r="X46" s="400"/>
      <c r="Y46" s="400"/>
    </row>
    <row r="47" spans="1:25" ht="16.5" customHeight="1">
      <c r="A47" s="406">
        <v>231</v>
      </c>
      <c r="B47" s="3476"/>
      <c r="C47" s="3476"/>
      <c r="D47" s="3476"/>
      <c r="E47" s="3476"/>
      <c r="F47" s="3476"/>
      <c r="G47" s="3476"/>
      <c r="H47" s="3476"/>
      <c r="I47" s="3476"/>
      <c r="J47" s="407"/>
      <c r="K47" s="407"/>
      <c r="L47" s="407"/>
      <c r="M47" s="408"/>
      <c r="N47" s="407"/>
      <c r="O47" s="409"/>
      <c r="P47" s="407"/>
      <c r="Q47" s="410"/>
      <c r="R47" s="411"/>
      <c r="S47" s="412"/>
      <c r="T47" s="412"/>
      <c r="U47" s="412"/>
      <c r="V47" s="412"/>
      <c r="W47" s="412"/>
      <c r="X47" s="412"/>
      <c r="Y47" s="412"/>
    </row>
    <row r="48" spans="1:25">
      <c r="A48" s="413">
        <v>2311</v>
      </c>
      <c r="B48" s="424"/>
      <c r="C48" s="424"/>
      <c r="D48" s="424"/>
      <c r="E48" s="425"/>
      <c r="F48" s="426"/>
      <c r="G48" s="416"/>
      <c r="H48" s="416"/>
      <c r="I48" s="417"/>
      <c r="J48" s="417"/>
      <c r="K48" s="417"/>
      <c r="L48" s="417"/>
      <c r="M48" s="418"/>
      <c r="N48" s="417"/>
      <c r="O48" s="419"/>
      <c r="P48" s="417"/>
      <c r="Q48" s="420"/>
      <c r="R48" s="421"/>
      <c r="S48" s="420"/>
      <c r="T48" s="420"/>
      <c r="U48" s="420"/>
      <c r="V48" s="420"/>
      <c r="W48" s="420"/>
      <c r="X48" s="420"/>
      <c r="Y48" s="420"/>
    </row>
    <row r="49" spans="1:25">
      <c r="A49" s="413">
        <v>2312</v>
      </c>
      <c r="B49" s="424"/>
      <c r="C49" s="424"/>
      <c r="D49" s="424"/>
      <c r="E49" s="425"/>
      <c r="F49" s="426"/>
      <c r="G49" s="416"/>
      <c r="H49" s="416"/>
      <c r="I49" s="417"/>
      <c r="J49" s="417"/>
      <c r="K49" s="417"/>
      <c r="L49" s="417"/>
      <c r="M49" s="418"/>
      <c r="N49" s="417"/>
      <c r="O49" s="419"/>
      <c r="P49" s="417"/>
      <c r="Q49" s="420"/>
      <c r="R49" s="421"/>
      <c r="S49" s="420"/>
      <c r="T49" s="420"/>
      <c r="U49" s="420"/>
      <c r="V49" s="420"/>
      <c r="W49" s="420"/>
      <c r="X49" s="420"/>
      <c r="Y49" s="420"/>
    </row>
    <row r="50" spans="1:25">
      <c r="A50" s="413">
        <v>2313</v>
      </c>
      <c r="B50" s="424"/>
      <c r="C50" s="424"/>
      <c r="D50" s="424"/>
      <c r="E50" s="425"/>
      <c r="F50" s="426"/>
      <c r="G50" s="416"/>
      <c r="H50" s="416"/>
      <c r="I50" s="417"/>
      <c r="J50" s="417"/>
      <c r="K50" s="417"/>
      <c r="L50" s="417"/>
      <c r="M50" s="418"/>
      <c r="N50" s="417"/>
      <c r="O50" s="419"/>
      <c r="P50" s="417"/>
      <c r="Q50" s="420"/>
      <c r="R50" s="421"/>
      <c r="S50" s="420"/>
      <c r="T50" s="420"/>
      <c r="U50" s="420"/>
      <c r="V50" s="420"/>
      <c r="W50" s="420"/>
      <c r="X50" s="420"/>
      <c r="Y50" s="420"/>
    </row>
    <row r="51" spans="1:25" ht="16.5" customHeight="1">
      <c r="A51" s="406">
        <v>232</v>
      </c>
      <c r="B51" s="3476"/>
      <c r="C51" s="3476"/>
      <c r="D51" s="3476"/>
      <c r="E51" s="3476"/>
      <c r="F51" s="3476"/>
      <c r="G51" s="3476"/>
      <c r="H51" s="3476"/>
      <c r="I51" s="3476"/>
      <c r="J51" s="407"/>
      <c r="K51" s="407"/>
      <c r="L51" s="407"/>
      <c r="M51" s="408"/>
      <c r="N51" s="407"/>
      <c r="O51" s="409"/>
      <c r="P51" s="407"/>
      <c r="Q51" s="410"/>
      <c r="R51" s="411"/>
      <c r="S51" s="412"/>
      <c r="T51" s="412"/>
      <c r="U51" s="412"/>
      <c r="V51" s="412"/>
      <c r="W51" s="412"/>
      <c r="X51" s="412"/>
      <c r="Y51" s="412"/>
    </row>
    <row r="52" spans="1:25">
      <c r="A52" s="413">
        <v>2321</v>
      </c>
      <c r="B52" s="424"/>
      <c r="C52" s="424"/>
      <c r="D52" s="424"/>
      <c r="E52" s="425"/>
      <c r="F52" s="426"/>
      <c r="G52" s="416"/>
      <c r="H52" s="416"/>
      <c r="I52" s="417"/>
      <c r="J52" s="417"/>
      <c r="K52" s="417"/>
      <c r="L52" s="417"/>
      <c r="M52" s="418"/>
      <c r="N52" s="417"/>
      <c r="O52" s="419"/>
      <c r="P52" s="417"/>
      <c r="Q52" s="420"/>
      <c r="R52" s="421"/>
      <c r="S52" s="420"/>
      <c r="T52" s="420"/>
      <c r="U52" s="420"/>
      <c r="V52" s="420"/>
      <c r="W52" s="420"/>
      <c r="X52" s="420"/>
      <c r="Y52" s="420"/>
    </row>
    <row r="53" spans="1:25">
      <c r="A53" s="413">
        <v>2322</v>
      </c>
      <c r="B53" s="424"/>
      <c r="C53" s="424"/>
      <c r="D53" s="424"/>
      <c r="E53" s="425"/>
      <c r="F53" s="426"/>
      <c r="G53" s="416"/>
      <c r="H53" s="416"/>
      <c r="I53" s="417"/>
      <c r="J53" s="417"/>
      <c r="K53" s="417"/>
      <c r="L53" s="417"/>
      <c r="M53" s="418"/>
      <c r="N53" s="417"/>
      <c r="O53" s="419"/>
      <c r="P53" s="417"/>
      <c r="Q53" s="420"/>
      <c r="S53" s="420"/>
      <c r="T53" s="420"/>
      <c r="U53" s="420"/>
      <c r="V53" s="420"/>
      <c r="W53" s="420"/>
      <c r="X53" s="420"/>
      <c r="Y53" s="420"/>
    </row>
    <row r="54" spans="1:25">
      <c r="A54" s="415" t="s">
        <v>233</v>
      </c>
      <c r="B54" s="424"/>
      <c r="C54" s="424"/>
      <c r="D54" s="424"/>
      <c r="E54" s="425"/>
      <c r="F54" s="426"/>
      <c r="G54" s="416"/>
      <c r="H54" s="416"/>
      <c r="I54" s="417"/>
      <c r="J54" s="417"/>
      <c r="K54" s="417"/>
      <c r="L54" s="417"/>
      <c r="M54" s="418"/>
      <c r="N54" s="417"/>
      <c r="O54" s="419"/>
      <c r="P54" s="417"/>
      <c r="Q54" s="420"/>
      <c r="R54" s="421"/>
      <c r="S54" s="420"/>
      <c r="T54" s="420"/>
      <c r="U54" s="420"/>
      <c r="V54" s="420"/>
      <c r="W54" s="420"/>
      <c r="X54" s="420"/>
      <c r="Y54" s="420"/>
    </row>
    <row r="55" spans="1:25" s="398" customFormat="1" ht="33.75" customHeight="1">
      <c r="A55" s="3478" t="s">
        <v>241</v>
      </c>
      <c r="B55" s="3478"/>
      <c r="C55" s="3478"/>
      <c r="D55" s="3478"/>
      <c r="E55" s="3478"/>
      <c r="F55" s="3478"/>
      <c r="G55" s="3478"/>
      <c r="H55" s="3478"/>
      <c r="I55" s="3478"/>
      <c r="J55" s="392"/>
      <c r="K55" s="392"/>
      <c r="L55" s="392"/>
      <c r="M55" s="393"/>
      <c r="N55" s="392"/>
      <c r="O55" s="394"/>
      <c r="P55" s="392"/>
      <c r="Q55" s="395"/>
      <c r="R55" s="396">
        <f>+R56+R65</f>
        <v>129240.07333333333</v>
      </c>
      <c r="S55" s="397"/>
      <c r="T55" s="397"/>
      <c r="U55" s="397"/>
      <c r="V55" s="397"/>
      <c r="W55" s="397"/>
      <c r="X55" s="397"/>
      <c r="Y55" s="397"/>
    </row>
    <row r="56" spans="1:25" ht="37.5" customHeight="1">
      <c r="A56" s="3477" t="s">
        <v>242</v>
      </c>
      <c r="B56" s="3477"/>
      <c r="C56" s="3477"/>
      <c r="D56" s="3477"/>
      <c r="E56" s="3477"/>
      <c r="F56" s="3477"/>
      <c r="G56" s="3477"/>
      <c r="H56" s="3477"/>
      <c r="I56" s="3477"/>
      <c r="J56" s="399"/>
      <c r="K56" s="399"/>
      <c r="L56" s="399"/>
      <c r="M56" s="400"/>
      <c r="N56" s="399"/>
      <c r="O56" s="401"/>
      <c r="P56" s="399"/>
      <c r="Q56" s="402"/>
      <c r="R56" s="403">
        <f>+'[7]Compil Costing PPA 3 millions'!F11</f>
        <v>29240.073333333334</v>
      </c>
      <c r="S56" s="404"/>
      <c r="T56" s="404"/>
      <c r="U56" s="404"/>
      <c r="V56" s="400"/>
      <c r="W56" s="400"/>
      <c r="X56" s="400"/>
      <c r="Y56" s="400"/>
    </row>
    <row r="57" spans="1:25" ht="16.5" customHeight="1">
      <c r="A57" s="406">
        <v>311</v>
      </c>
      <c r="B57" s="3476"/>
      <c r="C57" s="3476"/>
      <c r="D57" s="3476"/>
      <c r="E57" s="3476"/>
      <c r="F57" s="3476"/>
      <c r="G57" s="3476"/>
      <c r="H57" s="3476"/>
      <c r="I57" s="3476"/>
      <c r="J57" s="407"/>
      <c r="K57" s="407"/>
      <c r="L57" s="407"/>
      <c r="M57" s="408"/>
      <c r="N57" s="407"/>
      <c r="O57" s="409"/>
      <c r="P57" s="407"/>
      <c r="Q57" s="410"/>
      <c r="R57" s="411"/>
      <c r="S57" s="412"/>
      <c r="T57" s="412"/>
      <c r="U57" s="412"/>
      <c r="V57" s="412"/>
      <c r="W57" s="412"/>
      <c r="X57" s="412"/>
      <c r="Y57" s="412"/>
    </row>
    <row r="58" spans="1:25">
      <c r="A58" s="413">
        <v>3111</v>
      </c>
      <c r="B58" s="424"/>
      <c r="C58" s="424"/>
      <c r="D58" s="424"/>
      <c r="E58" s="425"/>
      <c r="F58" s="426"/>
      <c r="G58" s="416"/>
      <c r="H58" s="416"/>
      <c r="I58" s="417"/>
      <c r="J58" s="417"/>
      <c r="K58" s="417"/>
      <c r="L58" s="417"/>
      <c r="M58" s="418"/>
      <c r="N58" s="417"/>
      <c r="O58" s="419"/>
      <c r="P58" s="417"/>
      <c r="Q58" s="420"/>
      <c r="R58" s="421"/>
      <c r="S58" s="420"/>
      <c r="T58" s="420"/>
      <c r="U58" s="420"/>
      <c r="V58" s="420"/>
      <c r="W58" s="420"/>
      <c r="X58" s="420"/>
      <c r="Y58" s="420"/>
    </row>
    <row r="59" spans="1:25">
      <c r="A59" s="413">
        <v>3112</v>
      </c>
      <c r="B59" s="424"/>
      <c r="C59" s="424"/>
      <c r="D59" s="424"/>
      <c r="E59" s="425"/>
      <c r="F59" s="426"/>
      <c r="G59" s="416"/>
      <c r="H59" s="416"/>
      <c r="I59" s="417"/>
      <c r="J59" s="417"/>
      <c r="K59" s="417"/>
      <c r="L59" s="417"/>
      <c r="M59" s="418"/>
      <c r="N59" s="417"/>
      <c r="O59" s="419"/>
      <c r="P59" s="417"/>
      <c r="Q59" s="420"/>
      <c r="R59" s="421"/>
      <c r="S59" s="420"/>
      <c r="T59" s="420"/>
      <c r="U59" s="420"/>
      <c r="V59" s="420"/>
      <c r="W59" s="420"/>
      <c r="X59" s="420"/>
      <c r="Y59" s="420"/>
    </row>
    <row r="60" spans="1:25">
      <c r="A60" s="413">
        <v>3113</v>
      </c>
      <c r="B60" s="424"/>
      <c r="C60" s="424"/>
      <c r="D60" s="424"/>
      <c r="E60" s="425"/>
      <c r="F60" s="426"/>
      <c r="G60" s="416"/>
      <c r="H60" s="416"/>
      <c r="I60" s="417"/>
      <c r="J60" s="417"/>
      <c r="K60" s="417"/>
      <c r="L60" s="417"/>
      <c r="M60" s="418"/>
      <c r="N60" s="417"/>
      <c r="O60" s="419"/>
      <c r="P60" s="417"/>
      <c r="Q60" s="420"/>
      <c r="R60" s="421"/>
      <c r="S60" s="420"/>
      <c r="T60" s="420"/>
      <c r="U60" s="420"/>
      <c r="V60" s="420"/>
      <c r="W60" s="420"/>
      <c r="X60" s="420"/>
      <c r="Y60" s="420"/>
    </row>
    <row r="61" spans="1:25" ht="16.5" customHeight="1">
      <c r="A61" s="406">
        <v>312</v>
      </c>
      <c r="B61" s="3476"/>
      <c r="C61" s="3476"/>
      <c r="D61" s="3476"/>
      <c r="E61" s="3476"/>
      <c r="F61" s="3476"/>
      <c r="G61" s="3476"/>
      <c r="H61" s="3476"/>
      <c r="I61" s="3476"/>
      <c r="J61" s="407"/>
      <c r="K61" s="407"/>
      <c r="L61" s="407"/>
      <c r="M61" s="408"/>
      <c r="N61" s="407"/>
      <c r="O61" s="409"/>
      <c r="P61" s="407"/>
      <c r="Q61" s="410"/>
      <c r="R61" s="411"/>
      <c r="S61" s="412"/>
      <c r="T61" s="412"/>
      <c r="U61" s="412"/>
      <c r="V61" s="412"/>
      <c r="W61" s="412"/>
      <c r="X61" s="412"/>
      <c r="Y61" s="412"/>
    </row>
    <row r="62" spans="1:25">
      <c r="A62" s="413">
        <v>3121</v>
      </c>
      <c r="B62" s="424"/>
      <c r="C62" s="424"/>
      <c r="D62" s="424"/>
      <c r="E62" s="425"/>
      <c r="F62" s="426"/>
      <c r="G62" s="416"/>
      <c r="H62" s="416"/>
      <c r="I62" s="417"/>
      <c r="J62" s="417"/>
      <c r="K62" s="417"/>
      <c r="L62" s="417"/>
      <c r="M62" s="418"/>
      <c r="N62" s="417"/>
      <c r="O62" s="419"/>
      <c r="P62" s="417"/>
      <c r="Q62" s="420"/>
      <c r="R62" s="421"/>
      <c r="S62" s="420"/>
      <c r="T62" s="420"/>
      <c r="U62" s="420"/>
      <c r="V62" s="420"/>
      <c r="W62" s="420"/>
      <c r="X62" s="420"/>
      <c r="Y62" s="420"/>
    </row>
    <row r="63" spans="1:25">
      <c r="A63" s="413">
        <v>3122</v>
      </c>
      <c r="B63" s="424"/>
      <c r="C63" s="424"/>
      <c r="D63" s="424"/>
      <c r="E63" s="425"/>
      <c r="F63" s="426"/>
      <c r="G63" s="416"/>
      <c r="H63" s="416"/>
      <c r="I63" s="417"/>
      <c r="J63" s="417"/>
      <c r="K63" s="417"/>
      <c r="L63" s="417"/>
      <c r="M63" s="418"/>
      <c r="N63" s="417"/>
      <c r="O63" s="419"/>
      <c r="P63" s="417"/>
      <c r="Q63" s="420"/>
      <c r="R63" s="421"/>
      <c r="S63" s="420"/>
      <c r="T63" s="420"/>
      <c r="U63" s="420"/>
      <c r="V63" s="420"/>
      <c r="W63" s="420"/>
      <c r="X63" s="420"/>
      <c r="Y63" s="420"/>
    </row>
    <row r="64" spans="1:25">
      <c r="A64" s="422" t="s">
        <v>233</v>
      </c>
      <c r="B64" s="418"/>
      <c r="C64" s="414"/>
      <c r="D64" s="414"/>
      <c r="E64" s="415"/>
      <c r="F64" s="426"/>
      <c r="G64" s="416"/>
      <c r="H64" s="416"/>
      <c r="I64" s="417"/>
      <c r="J64" s="417"/>
      <c r="K64" s="417"/>
      <c r="L64" s="417"/>
      <c r="M64" s="418"/>
      <c r="N64" s="417"/>
      <c r="O64" s="419"/>
      <c r="P64" s="417"/>
      <c r="Q64" s="420"/>
      <c r="R64" s="421"/>
      <c r="S64" s="420"/>
      <c r="T64" s="420"/>
      <c r="U64" s="420"/>
      <c r="V64" s="420"/>
      <c r="W64" s="420"/>
      <c r="X64" s="420"/>
      <c r="Y64" s="420"/>
    </row>
    <row r="65" spans="1:25" ht="15.75" customHeight="1">
      <c r="A65" s="3477" t="s">
        <v>274</v>
      </c>
      <c r="B65" s="3477"/>
      <c r="C65" s="3477"/>
      <c r="D65" s="3477"/>
      <c r="E65" s="3477"/>
      <c r="F65" s="3477"/>
      <c r="G65" s="3477"/>
      <c r="H65" s="3477"/>
      <c r="I65" s="3477"/>
      <c r="J65" s="399"/>
      <c r="K65" s="399"/>
      <c r="L65" s="399"/>
      <c r="M65" s="400"/>
      <c r="N65" s="399"/>
      <c r="O65" s="401"/>
      <c r="P65" s="399"/>
      <c r="Q65" s="402"/>
      <c r="R65" s="403">
        <f>+'[7]Compil Costing PPA 3 millions'!F12</f>
        <v>100000</v>
      </c>
      <c r="S65" s="404"/>
      <c r="T65" s="404"/>
      <c r="U65" s="404"/>
      <c r="V65" s="400"/>
      <c r="W65" s="400"/>
      <c r="X65" s="400"/>
      <c r="Y65" s="400"/>
    </row>
    <row r="66" spans="1:25" ht="16.5" customHeight="1">
      <c r="A66" s="406">
        <v>321</v>
      </c>
      <c r="B66" s="3476"/>
      <c r="C66" s="3476"/>
      <c r="D66" s="3476"/>
      <c r="E66" s="3476"/>
      <c r="F66" s="3476"/>
      <c r="G66" s="3476"/>
      <c r="H66" s="3476"/>
      <c r="I66" s="3476"/>
      <c r="J66" s="407"/>
      <c r="K66" s="407"/>
      <c r="L66" s="407"/>
      <c r="M66" s="408"/>
      <c r="N66" s="407"/>
      <c r="O66" s="409"/>
      <c r="P66" s="407"/>
      <c r="Q66" s="410"/>
      <c r="R66" s="411"/>
      <c r="S66" s="412"/>
      <c r="T66" s="412"/>
      <c r="U66" s="412"/>
      <c r="V66" s="412"/>
      <c r="W66" s="412"/>
      <c r="X66" s="412"/>
      <c r="Y66" s="412"/>
    </row>
    <row r="67" spans="1:25" ht="15.75" customHeight="1">
      <c r="A67" s="413">
        <v>3211</v>
      </c>
      <c r="B67" s="424"/>
      <c r="C67" s="424"/>
      <c r="D67" s="424"/>
      <c r="E67" s="425"/>
      <c r="F67" s="424"/>
      <c r="G67" s="424"/>
      <c r="H67" s="424"/>
      <c r="I67" s="417"/>
      <c r="J67" s="417"/>
      <c r="K67" s="417"/>
      <c r="L67" s="417"/>
      <c r="M67" s="418"/>
      <c r="N67" s="417"/>
      <c r="O67" s="419"/>
      <c r="P67" s="417"/>
      <c r="Q67" s="420"/>
      <c r="R67" s="421"/>
      <c r="S67" s="420"/>
      <c r="T67" s="420"/>
      <c r="U67" s="420"/>
      <c r="V67" s="420"/>
      <c r="W67" s="420"/>
      <c r="X67" s="420"/>
      <c r="Y67" s="420"/>
    </row>
    <row r="68" spans="1:25" ht="15.75" customHeight="1">
      <c r="A68" s="413">
        <v>3212</v>
      </c>
      <c r="B68" s="424"/>
      <c r="C68" s="424"/>
      <c r="D68" s="424"/>
      <c r="E68" s="425"/>
      <c r="F68" s="424"/>
      <c r="G68" s="424"/>
      <c r="H68" s="424"/>
      <c r="I68" s="417"/>
      <c r="J68" s="417"/>
      <c r="K68" s="417"/>
      <c r="L68" s="417"/>
      <c r="M68" s="418"/>
      <c r="N68" s="417"/>
      <c r="O68" s="419"/>
      <c r="P68" s="417"/>
      <c r="Q68" s="420"/>
      <c r="R68" s="421"/>
      <c r="S68" s="420"/>
      <c r="T68" s="420"/>
      <c r="U68" s="420"/>
      <c r="V68" s="420"/>
      <c r="W68" s="420"/>
      <c r="X68" s="420"/>
      <c r="Y68" s="420"/>
    </row>
    <row r="69" spans="1:25" ht="15.75" customHeight="1">
      <c r="A69" s="413">
        <v>3213</v>
      </c>
      <c r="B69" s="424"/>
      <c r="C69" s="424"/>
      <c r="D69" s="424"/>
      <c r="E69" s="425"/>
      <c r="F69" s="424"/>
      <c r="G69" s="424"/>
      <c r="H69" s="424"/>
      <c r="I69" s="417"/>
      <c r="J69" s="417"/>
      <c r="K69" s="417"/>
      <c r="L69" s="417"/>
      <c r="M69" s="418"/>
      <c r="N69" s="417"/>
      <c r="O69" s="419"/>
      <c r="P69" s="417"/>
      <c r="Q69" s="420"/>
      <c r="R69" s="421"/>
      <c r="S69" s="420"/>
      <c r="T69" s="420"/>
      <c r="U69" s="420"/>
      <c r="V69" s="420"/>
      <c r="W69" s="420"/>
      <c r="X69" s="420"/>
      <c r="Y69" s="420"/>
    </row>
    <row r="70" spans="1:25" ht="16.5" customHeight="1">
      <c r="A70" s="406">
        <v>322</v>
      </c>
      <c r="B70" s="3476"/>
      <c r="C70" s="3476"/>
      <c r="D70" s="3476"/>
      <c r="E70" s="3476"/>
      <c r="F70" s="3476"/>
      <c r="G70" s="3476"/>
      <c r="H70" s="3476"/>
      <c r="I70" s="3476"/>
      <c r="J70" s="407"/>
      <c r="K70" s="407"/>
      <c r="L70" s="407"/>
      <c r="M70" s="408"/>
      <c r="N70" s="407"/>
      <c r="O70" s="409"/>
      <c r="P70" s="407"/>
      <c r="Q70" s="410"/>
      <c r="R70" s="411"/>
      <c r="S70" s="412"/>
      <c r="T70" s="412"/>
      <c r="U70" s="412"/>
      <c r="V70" s="412"/>
      <c r="W70" s="412"/>
      <c r="X70" s="412"/>
      <c r="Y70" s="412"/>
    </row>
    <row r="71" spans="1:25">
      <c r="A71" s="413">
        <v>3221</v>
      </c>
      <c r="B71" s="424"/>
      <c r="C71" s="424"/>
      <c r="D71" s="424"/>
      <c r="E71" s="425"/>
      <c r="F71" s="426"/>
      <c r="G71" s="416"/>
      <c r="H71" s="416"/>
      <c r="I71" s="417"/>
      <c r="J71" s="417"/>
      <c r="K71" s="417"/>
      <c r="L71" s="417"/>
      <c r="M71" s="418"/>
      <c r="N71" s="417"/>
      <c r="O71" s="419"/>
      <c r="P71" s="417"/>
      <c r="Q71" s="420"/>
      <c r="R71" s="421"/>
      <c r="S71" s="420"/>
      <c r="T71" s="420"/>
      <c r="U71" s="420"/>
      <c r="V71" s="420"/>
      <c r="W71" s="420"/>
      <c r="X71" s="420"/>
      <c r="Y71" s="420"/>
    </row>
    <row r="72" spans="1:25">
      <c r="A72" s="413">
        <v>3222</v>
      </c>
      <c r="B72" s="424"/>
      <c r="C72" s="424"/>
      <c r="D72" s="424"/>
      <c r="E72" s="425"/>
      <c r="F72" s="426"/>
      <c r="G72" s="416"/>
      <c r="H72" s="416"/>
      <c r="I72" s="417"/>
      <c r="J72" s="417"/>
      <c r="K72" s="417"/>
      <c r="L72" s="417"/>
      <c r="M72" s="418"/>
      <c r="N72" s="417"/>
      <c r="O72" s="419"/>
      <c r="P72" s="417"/>
      <c r="Q72" s="420"/>
      <c r="R72" s="421"/>
      <c r="S72" s="420"/>
      <c r="T72" s="420"/>
      <c r="U72" s="420"/>
      <c r="V72" s="420"/>
      <c r="W72" s="420"/>
      <c r="X72" s="420"/>
      <c r="Y72" s="420"/>
    </row>
    <row r="73" spans="1:25" ht="15.75" customHeight="1">
      <c r="A73" s="422" t="s">
        <v>233</v>
      </c>
      <c r="B73" s="424"/>
      <c r="C73" s="424"/>
      <c r="D73" s="424"/>
      <c r="E73" s="425"/>
      <c r="F73" s="424"/>
      <c r="G73" s="424"/>
      <c r="H73" s="424"/>
      <c r="I73" s="417"/>
      <c r="J73" s="417"/>
      <c r="K73" s="417"/>
      <c r="L73" s="417"/>
      <c r="M73" s="418"/>
      <c r="N73" s="417"/>
      <c r="O73" s="419"/>
      <c r="P73" s="417"/>
      <c r="Q73" s="420"/>
      <c r="R73" s="421"/>
      <c r="S73" s="420"/>
      <c r="T73" s="420"/>
      <c r="U73" s="420"/>
      <c r="V73" s="420"/>
      <c r="W73" s="420"/>
      <c r="X73" s="420"/>
      <c r="Y73" s="420"/>
    </row>
    <row r="74" spans="1:25" s="398" customFormat="1" ht="33.75" customHeight="1">
      <c r="A74" s="3478" t="s">
        <v>275</v>
      </c>
      <c r="B74" s="3478"/>
      <c r="C74" s="3478"/>
      <c r="D74" s="3478"/>
      <c r="E74" s="3478"/>
      <c r="F74" s="3478"/>
      <c r="G74" s="3478"/>
      <c r="H74" s="3478"/>
      <c r="I74" s="3478"/>
      <c r="J74" s="392"/>
      <c r="K74" s="392"/>
      <c r="L74" s="392"/>
      <c r="M74" s="393"/>
      <c r="N74" s="392"/>
      <c r="O74" s="394"/>
      <c r="P74" s="392"/>
      <c r="Q74" s="395"/>
      <c r="R74" s="396">
        <f>+R75+R84+R93</f>
        <v>1602730.3695833336</v>
      </c>
      <c r="S74" s="397"/>
      <c r="T74" s="397"/>
      <c r="U74" s="397"/>
      <c r="V74" s="397"/>
      <c r="W74" s="397"/>
      <c r="X74" s="397"/>
      <c r="Y74" s="397"/>
    </row>
    <row r="75" spans="1:25" ht="15.75" customHeight="1">
      <c r="A75" s="3477" t="s">
        <v>276</v>
      </c>
      <c r="B75" s="3477"/>
      <c r="C75" s="3477"/>
      <c r="D75" s="3477"/>
      <c r="E75" s="3477"/>
      <c r="F75" s="3477"/>
      <c r="G75" s="3477"/>
      <c r="H75" s="3477"/>
      <c r="I75" s="3477"/>
      <c r="J75" s="399"/>
      <c r="K75" s="399"/>
      <c r="L75" s="399"/>
      <c r="M75" s="400"/>
      <c r="N75" s="399"/>
      <c r="O75" s="401"/>
      <c r="P75" s="399"/>
      <c r="Q75" s="402"/>
      <c r="R75" s="403">
        <f>+'[7]Compil Costing PPA 3 millions'!F15</f>
        <v>356290.70624999999</v>
      </c>
      <c r="S75" s="404"/>
      <c r="T75" s="404"/>
      <c r="U75" s="404"/>
      <c r="V75" s="400"/>
      <c r="W75" s="400"/>
      <c r="X75" s="400"/>
      <c r="Y75" s="400"/>
    </row>
    <row r="76" spans="1:25" ht="16.5" customHeight="1">
      <c r="A76" s="406">
        <v>411</v>
      </c>
      <c r="B76" s="3476"/>
      <c r="C76" s="3476"/>
      <c r="D76" s="3476"/>
      <c r="E76" s="3476"/>
      <c r="F76" s="3476"/>
      <c r="G76" s="3476"/>
      <c r="H76" s="3476"/>
      <c r="I76" s="3476"/>
      <c r="J76" s="407"/>
      <c r="K76" s="407"/>
      <c r="L76" s="407"/>
      <c r="M76" s="408"/>
      <c r="N76" s="407"/>
      <c r="O76" s="409"/>
      <c r="P76" s="407"/>
      <c r="Q76" s="410"/>
      <c r="R76" s="411"/>
      <c r="S76" s="412"/>
      <c r="T76" s="412"/>
      <c r="U76" s="412"/>
      <c r="V76" s="412"/>
      <c r="W76" s="412"/>
      <c r="X76" s="412"/>
      <c r="Y76" s="412"/>
    </row>
    <row r="77" spans="1:25">
      <c r="A77" s="413">
        <v>4111</v>
      </c>
      <c r="B77" s="424"/>
      <c r="C77" s="424"/>
      <c r="D77" s="424"/>
      <c r="E77" s="425"/>
      <c r="F77" s="426"/>
      <c r="G77" s="416"/>
      <c r="H77" s="416"/>
      <c r="I77" s="417"/>
      <c r="J77" s="417"/>
      <c r="K77" s="417"/>
      <c r="L77" s="417"/>
      <c r="M77" s="418"/>
      <c r="N77" s="417"/>
      <c r="O77" s="419"/>
      <c r="P77" s="417"/>
      <c r="Q77" s="420"/>
      <c r="R77" s="421"/>
      <c r="S77" s="420"/>
      <c r="T77" s="420"/>
      <c r="U77" s="420"/>
      <c r="V77" s="420"/>
      <c r="W77" s="420"/>
      <c r="X77" s="420"/>
      <c r="Y77" s="420"/>
    </row>
    <row r="78" spans="1:25">
      <c r="A78" s="413">
        <v>4112</v>
      </c>
      <c r="B78" s="424"/>
      <c r="C78" s="424"/>
      <c r="D78" s="424"/>
      <c r="E78" s="425"/>
      <c r="F78" s="426"/>
      <c r="G78" s="416"/>
      <c r="H78" s="416"/>
      <c r="I78" s="417"/>
      <c r="J78" s="417"/>
      <c r="K78" s="417"/>
      <c r="L78" s="417"/>
      <c r="M78" s="418"/>
      <c r="N78" s="417"/>
      <c r="O78" s="419"/>
      <c r="P78" s="417"/>
      <c r="Q78" s="420"/>
      <c r="R78" s="421"/>
      <c r="S78" s="420"/>
      <c r="T78" s="420"/>
      <c r="U78" s="420"/>
      <c r="V78" s="420"/>
      <c r="W78" s="420"/>
      <c r="X78" s="420"/>
      <c r="Y78" s="420"/>
    </row>
    <row r="79" spans="1:25">
      <c r="A79" s="413">
        <v>4113</v>
      </c>
      <c r="B79" s="424"/>
      <c r="C79" s="424"/>
      <c r="D79" s="424"/>
      <c r="E79" s="425"/>
      <c r="F79" s="426"/>
      <c r="G79" s="416"/>
      <c r="H79" s="416"/>
      <c r="I79" s="417"/>
      <c r="J79" s="417"/>
      <c r="K79" s="417"/>
      <c r="L79" s="417"/>
      <c r="M79" s="418"/>
      <c r="N79" s="417"/>
      <c r="O79" s="419"/>
      <c r="P79" s="417"/>
      <c r="Q79" s="420"/>
      <c r="R79" s="421"/>
      <c r="S79" s="420"/>
      <c r="T79" s="420"/>
      <c r="U79" s="420"/>
      <c r="V79" s="420"/>
      <c r="W79" s="420"/>
      <c r="X79" s="420"/>
      <c r="Y79" s="420"/>
    </row>
    <row r="80" spans="1:25" ht="16.5" customHeight="1">
      <c r="A80" s="406">
        <v>412</v>
      </c>
      <c r="B80" s="3476"/>
      <c r="C80" s="3476"/>
      <c r="D80" s="3476"/>
      <c r="E80" s="3476"/>
      <c r="F80" s="3476"/>
      <c r="G80" s="3476"/>
      <c r="H80" s="3476"/>
      <c r="I80" s="3476"/>
      <c r="J80" s="407"/>
      <c r="K80" s="407"/>
      <c r="L80" s="407"/>
      <c r="M80" s="408"/>
      <c r="N80" s="407"/>
      <c r="O80" s="409"/>
      <c r="P80" s="407"/>
      <c r="Q80" s="410"/>
      <c r="R80" s="411"/>
      <c r="S80" s="412"/>
      <c r="T80" s="412"/>
      <c r="U80" s="412"/>
      <c r="V80" s="412"/>
      <c r="W80" s="412"/>
      <c r="X80" s="412"/>
      <c r="Y80" s="412"/>
    </row>
    <row r="81" spans="1:25">
      <c r="A81" s="413">
        <v>4121</v>
      </c>
      <c r="B81" s="424"/>
      <c r="C81" s="424"/>
      <c r="D81" s="424"/>
      <c r="E81" s="425"/>
      <c r="F81" s="426"/>
      <c r="G81" s="416"/>
      <c r="H81" s="416"/>
      <c r="I81" s="417"/>
      <c r="J81" s="417"/>
      <c r="K81" s="417"/>
      <c r="L81" s="417"/>
      <c r="M81" s="418"/>
      <c r="N81" s="417"/>
      <c r="O81" s="419"/>
      <c r="P81" s="417"/>
      <c r="Q81" s="420"/>
      <c r="R81" s="421"/>
      <c r="S81" s="420"/>
      <c r="T81" s="420"/>
      <c r="U81" s="420"/>
      <c r="V81" s="420"/>
      <c r="W81" s="420"/>
      <c r="X81" s="420"/>
      <c r="Y81" s="420"/>
    </row>
    <row r="82" spans="1:25">
      <c r="A82" s="413">
        <v>4122</v>
      </c>
      <c r="B82" s="424"/>
      <c r="C82" s="424"/>
      <c r="D82" s="424"/>
      <c r="E82" s="425"/>
      <c r="F82" s="426"/>
      <c r="G82" s="416"/>
      <c r="H82" s="416"/>
      <c r="I82" s="417"/>
      <c r="J82" s="417"/>
      <c r="K82" s="417"/>
      <c r="L82" s="417"/>
      <c r="M82" s="418"/>
      <c r="N82" s="417"/>
      <c r="O82" s="419"/>
      <c r="P82" s="417"/>
      <c r="Q82" s="420"/>
      <c r="R82" s="421"/>
      <c r="S82" s="420"/>
      <c r="T82" s="420"/>
      <c r="U82" s="420"/>
      <c r="V82" s="420"/>
      <c r="W82" s="420"/>
      <c r="X82" s="420"/>
      <c r="Y82" s="420"/>
    </row>
    <row r="83" spans="1:25" ht="15.75" customHeight="1">
      <c r="A83" s="422" t="s">
        <v>233</v>
      </c>
      <c r="B83" s="424"/>
      <c r="C83" s="424"/>
      <c r="D83" s="424"/>
      <c r="E83" s="425"/>
      <c r="F83" s="424"/>
      <c r="G83" s="424"/>
      <c r="H83" s="424"/>
      <c r="I83" s="417"/>
      <c r="J83" s="417"/>
      <c r="K83" s="417"/>
      <c r="L83" s="417"/>
      <c r="M83" s="418"/>
      <c r="N83" s="417"/>
      <c r="O83" s="419"/>
      <c r="P83" s="417"/>
      <c r="Q83" s="420"/>
      <c r="R83" s="421"/>
      <c r="S83" s="420"/>
      <c r="T83" s="420"/>
      <c r="U83" s="420"/>
      <c r="V83" s="420"/>
      <c r="W83" s="420"/>
      <c r="X83" s="420"/>
      <c r="Y83" s="420"/>
    </row>
    <row r="84" spans="1:25" ht="15.75" customHeight="1">
      <c r="A84" s="3477" t="s">
        <v>277</v>
      </c>
      <c r="B84" s="3477"/>
      <c r="C84" s="3477"/>
      <c r="D84" s="3477"/>
      <c r="E84" s="3477"/>
      <c r="F84" s="3477"/>
      <c r="G84" s="3477"/>
      <c r="H84" s="3477"/>
      <c r="I84" s="3477"/>
      <c r="J84" s="399"/>
      <c r="K84" s="399"/>
      <c r="L84" s="399"/>
      <c r="M84" s="400"/>
      <c r="N84" s="399"/>
      <c r="O84" s="401"/>
      <c r="P84" s="399"/>
      <c r="Q84" s="402"/>
      <c r="R84" s="403">
        <f>+'[7]Compil Costing PPA 3 millions'!F16+'[7]Compil Costing PPA 3 millions'!F18+'[7]Compil Costing PPA 3 millions'!F19</f>
        <v>1137594.3333333335</v>
      </c>
      <c r="S84" s="404"/>
      <c r="T84" s="404"/>
      <c r="U84" s="404"/>
      <c r="V84" s="400"/>
      <c r="W84" s="400"/>
      <c r="X84" s="400"/>
      <c r="Y84" s="400"/>
    </row>
    <row r="85" spans="1:25" ht="16.5" customHeight="1">
      <c r="A85" s="406">
        <v>421</v>
      </c>
      <c r="B85" s="3476"/>
      <c r="C85" s="3476"/>
      <c r="D85" s="3476"/>
      <c r="E85" s="3476"/>
      <c r="F85" s="3476"/>
      <c r="G85" s="3476"/>
      <c r="H85" s="3476"/>
      <c r="I85" s="3476"/>
      <c r="J85" s="407"/>
      <c r="K85" s="407"/>
      <c r="L85" s="407"/>
      <c r="M85" s="408"/>
      <c r="N85" s="407"/>
      <c r="O85" s="409"/>
      <c r="P85" s="407"/>
      <c r="Q85" s="410"/>
      <c r="R85" s="411"/>
      <c r="S85" s="412"/>
      <c r="T85" s="412"/>
      <c r="U85" s="412"/>
      <c r="V85" s="412"/>
      <c r="W85" s="412"/>
      <c r="X85" s="412"/>
      <c r="Y85" s="412"/>
    </row>
    <row r="86" spans="1:25">
      <c r="A86" s="413">
        <v>4211</v>
      </c>
      <c r="B86" s="414"/>
      <c r="C86" s="414"/>
      <c r="D86" s="414"/>
      <c r="E86" s="415"/>
      <c r="F86" s="426"/>
      <c r="G86" s="416"/>
      <c r="H86" s="416"/>
      <c r="I86" s="417"/>
      <c r="J86" s="417"/>
      <c r="K86" s="417"/>
      <c r="L86" s="417"/>
      <c r="M86" s="418"/>
      <c r="N86" s="417"/>
      <c r="O86" s="419"/>
      <c r="P86" s="417"/>
      <c r="Q86" s="420"/>
      <c r="R86" s="421"/>
      <c r="S86" s="420"/>
      <c r="T86" s="420"/>
      <c r="U86" s="420"/>
      <c r="V86" s="420"/>
      <c r="W86" s="420"/>
      <c r="X86" s="420"/>
      <c r="Y86" s="420"/>
    </row>
    <row r="87" spans="1:25">
      <c r="A87" s="413">
        <v>4212</v>
      </c>
      <c r="B87" s="414"/>
      <c r="C87" s="414"/>
      <c r="D87" s="414"/>
      <c r="E87" s="415"/>
      <c r="F87" s="426"/>
      <c r="G87" s="416"/>
      <c r="H87" s="416"/>
      <c r="I87" s="417"/>
      <c r="J87" s="417"/>
      <c r="K87" s="417"/>
      <c r="L87" s="417"/>
      <c r="M87" s="418"/>
      <c r="N87" s="417"/>
      <c r="O87" s="419"/>
      <c r="P87" s="417"/>
      <c r="Q87" s="420"/>
      <c r="R87" s="421"/>
      <c r="S87" s="420"/>
      <c r="T87" s="420"/>
      <c r="U87" s="420"/>
      <c r="V87" s="420"/>
      <c r="W87" s="420"/>
      <c r="X87" s="420"/>
      <c r="Y87" s="420"/>
    </row>
    <row r="88" spans="1:25">
      <c r="A88" s="413">
        <v>4213</v>
      </c>
      <c r="B88" s="414"/>
      <c r="C88" s="414"/>
      <c r="D88" s="414"/>
      <c r="E88" s="415"/>
      <c r="F88" s="426"/>
      <c r="G88" s="416"/>
      <c r="H88" s="416"/>
      <c r="I88" s="417"/>
      <c r="J88" s="417"/>
      <c r="K88" s="417"/>
      <c r="L88" s="417"/>
      <c r="M88" s="418"/>
      <c r="N88" s="417"/>
      <c r="O88" s="419"/>
      <c r="P88" s="417"/>
      <c r="Q88" s="420"/>
      <c r="R88" s="421"/>
      <c r="S88" s="420"/>
      <c r="T88" s="420"/>
      <c r="U88" s="420"/>
      <c r="V88" s="420"/>
      <c r="W88" s="420"/>
      <c r="X88" s="420"/>
      <c r="Y88" s="420"/>
    </row>
    <row r="89" spans="1:25" ht="16.5" customHeight="1">
      <c r="A89" s="406">
        <v>422</v>
      </c>
      <c r="B89" s="3476"/>
      <c r="C89" s="3476"/>
      <c r="D89" s="3476"/>
      <c r="E89" s="3476"/>
      <c r="F89" s="3476"/>
      <c r="G89" s="3476"/>
      <c r="H89" s="3476"/>
      <c r="I89" s="3476"/>
      <c r="J89" s="407"/>
      <c r="K89" s="407"/>
      <c r="L89" s="407"/>
      <c r="M89" s="408"/>
      <c r="N89" s="407"/>
      <c r="O89" s="409"/>
      <c r="P89" s="407"/>
      <c r="Q89" s="410"/>
      <c r="R89" s="411"/>
      <c r="S89" s="412"/>
      <c r="T89" s="412"/>
      <c r="U89" s="412"/>
      <c r="V89" s="412"/>
      <c r="W89" s="412"/>
      <c r="X89" s="412"/>
      <c r="Y89" s="412"/>
    </row>
    <row r="90" spans="1:25">
      <c r="A90" s="413">
        <v>4221</v>
      </c>
      <c r="B90" s="414"/>
      <c r="C90" s="414"/>
      <c r="D90" s="414"/>
      <c r="E90" s="415"/>
      <c r="F90" s="426"/>
      <c r="G90" s="416"/>
      <c r="H90" s="416"/>
      <c r="I90" s="417"/>
      <c r="J90" s="417"/>
      <c r="K90" s="417"/>
      <c r="L90" s="417"/>
      <c r="M90" s="418"/>
      <c r="N90" s="417"/>
      <c r="O90" s="419"/>
      <c r="P90" s="417"/>
      <c r="Q90" s="420"/>
      <c r="R90" s="421"/>
      <c r="S90" s="420"/>
      <c r="T90" s="420"/>
      <c r="U90" s="420"/>
      <c r="V90" s="420"/>
      <c r="W90" s="420"/>
      <c r="X90" s="420"/>
      <c r="Y90" s="420"/>
    </row>
    <row r="91" spans="1:25">
      <c r="A91" s="413">
        <v>4222</v>
      </c>
      <c r="B91" s="414"/>
      <c r="C91" s="414"/>
      <c r="D91" s="414"/>
      <c r="E91" s="415"/>
      <c r="F91" s="426"/>
      <c r="G91" s="416"/>
      <c r="H91" s="416"/>
      <c r="I91" s="417"/>
      <c r="J91" s="417"/>
      <c r="K91" s="417"/>
      <c r="L91" s="417"/>
      <c r="M91" s="418"/>
      <c r="N91" s="417"/>
      <c r="O91" s="419"/>
      <c r="P91" s="417"/>
      <c r="Q91" s="420"/>
      <c r="R91" s="421"/>
      <c r="S91" s="420"/>
      <c r="T91" s="420"/>
      <c r="U91" s="420"/>
      <c r="V91" s="420"/>
      <c r="W91" s="420"/>
      <c r="X91" s="420"/>
      <c r="Y91" s="420"/>
    </row>
    <row r="92" spans="1:25">
      <c r="A92" s="422" t="s">
        <v>233</v>
      </c>
      <c r="B92" s="414"/>
      <c r="C92" s="414"/>
      <c r="D92" s="414"/>
      <c r="E92" s="415"/>
      <c r="F92" s="426"/>
      <c r="G92" s="416"/>
      <c r="H92" s="416"/>
      <c r="I92" s="417"/>
      <c r="J92" s="417"/>
      <c r="K92" s="417"/>
      <c r="L92" s="417"/>
      <c r="M92" s="418"/>
      <c r="N92" s="417"/>
      <c r="O92" s="419"/>
      <c r="P92" s="417"/>
      <c r="Q92" s="420"/>
      <c r="R92" s="421"/>
      <c r="S92" s="420"/>
      <c r="T92" s="420"/>
      <c r="U92" s="420"/>
      <c r="V92" s="420"/>
      <c r="W92" s="420"/>
      <c r="X92" s="420"/>
      <c r="Y92" s="420"/>
    </row>
    <row r="93" spans="1:25" ht="15.75" customHeight="1">
      <c r="A93" s="3477" t="s">
        <v>278</v>
      </c>
      <c r="B93" s="3477"/>
      <c r="C93" s="3477"/>
      <c r="D93" s="3477"/>
      <c r="E93" s="3477"/>
      <c r="F93" s="3477"/>
      <c r="G93" s="3477"/>
      <c r="H93" s="3477"/>
      <c r="I93" s="3477"/>
      <c r="J93" s="399"/>
      <c r="K93" s="399"/>
      <c r="L93" s="399"/>
      <c r="M93" s="400"/>
      <c r="N93" s="399"/>
      <c r="O93" s="401"/>
      <c r="P93" s="399"/>
      <c r="Q93" s="402"/>
      <c r="R93" s="403">
        <f>+'[7]Compil Costing PPA 3 millions'!F17</f>
        <v>108845.33</v>
      </c>
      <c r="S93" s="404"/>
      <c r="T93" s="404"/>
      <c r="U93" s="404"/>
      <c r="V93" s="400"/>
      <c r="W93" s="400"/>
      <c r="X93" s="400"/>
      <c r="Y93" s="400"/>
    </row>
    <row r="94" spans="1:25" ht="16.5" customHeight="1">
      <c r="A94" s="406">
        <v>431</v>
      </c>
      <c r="B94" s="3476"/>
      <c r="C94" s="3476"/>
      <c r="D94" s="3476"/>
      <c r="E94" s="3476"/>
      <c r="F94" s="3476"/>
      <c r="G94" s="3476"/>
      <c r="H94" s="3476"/>
      <c r="I94" s="3476"/>
      <c r="J94" s="407"/>
      <c r="K94" s="407"/>
      <c r="L94" s="407"/>
      <c r="M94" s="408"/>
      <c r="N94" s="407"/>
      <c r="O94" s="409"/>
      <c r="P94" s="407"/>
      <c r="Q94" s="410"/>
      <c r="R94" s="411"/>
      <c r="S94" s="412"/>
      <c r="T94" s="412"/>
      <c r="U94" s="412"/>
      <c r="V94" s="412"/>
      <c r="W94" s="412"/>
      <c r="X94" s="412"/>
      <c r="Y94" s="412"/>
    </row>
    <row r="95" spans="1:25">
      <c r="A95" s="413">
        <v>4311</v>
      </c>
      <c r="B95" s="414"/>
      <c r="C95" s="414"/>
      <c r="D95" s="414"/>
      <c r="E95" s="415"/>
      <c r="F95" s="426"/>
      <c r="G95" s="416"/>
      <c r="H95" s="416"/>
      <c r="I95" s="417"/>
      <c r="J95" s="417"/>
      <c r="K95" s="417"/>
      <c r="L95" s="417"/>
      <c r="M95" s="418"/>
      <c r="N95" s="417"/>
      <c r="O95" s="419"/>
      <c r="P95" s="417"/>
      <c r="Q95" s="420"/>
      <c r="R95" s="421"/>
      <c r="S95" s="420"/>
      <c r="T95" s="420"/>
      <c r="U95" s="420"/>
      <c r="V95" s="420"/>
      <c r="W95" s="420"/>
      <c r="X95" s="420"/>
      <c r="Y95" s="420"/>
    </row>
    <row r="96" spans="1:25">
      <c r="A96" s="413">
        <v>4312</v>
      </c>
      <c r="B96" s="414"/>
      <c r="C96" s="414"/>
      <c r="D96" s="414"/>
      <c r="E96" s="415"/>
      <c r="F96" s="426"/>
      <c r="G96" s="416"/>
      <c r="H96" s="416"/>
      <c r="I96" s="417"/>
      <c r="J96" s="417"/>
      <c r="K96" s="417"/>
      <c r="L96" s="417"/>
      <c r="M96" s="418"/>
      <c r="N96" s="417"/>
      <c r="O96" s="419"/>
      <c r="P96" s="417"/>
      <c r="Q96" s="420"/>
      <c r="R96" s="421"/>
      <c r="S96" s="420"/>
      <c r="T96" s="420"/>
      <c r="U96" s="420"/>
      <c r="V96" s="420"/>
      <c r="W96" s="420"/>
      <c r="X96" s="420"/>
      <c r="Y96" s="420"/>
    </row>
    <row r="97" spans="1:25">
      <c r="A97" s="413">
        <v>4313</v>
      </c>
      <c r="B97" s="414"/>
      <c r="C97" s="414"/>
      <c r="D97" s="414"/>
      <c r="E97" s="415"/>
      <c r="F97" s="426"/>
      <c r="G97" s="416"/>
      <c r="H97" s="416"/>
      <c r="I97" s="417"/>
      <c r="J97" s="417"/>
      <c r="K97" s="417"/>
      <c r="L97" s="417"/>
      <c r="M97" s="418"/>
      <c r="N97" s="417"/>
      <c r="O97" s="419"/>
      <c r="P97" s="417"/>
      <c r="Q97" s="420"/>
      <c r="R97" s="421"/>
      <c r="S97" s="420"/>
      <c r="T97" s="420"/>
      <c r="U97" s="420"/>
      <c r="V97" s="420"/>
      <c r="W97" s="420"/>
      <c r="X97" s="420"/>
      <c r="Y97" s="420"/>
    </row>
    <row r="98" spans="1:25" ht="16.5" customHeight="1">
      <c r="A98" s="406">
        <v>432</v>
      </c>
      <c r="B98" s="3476"/>
      <c r="C98" s="3476"/>
      <c r="D98" s="3476"/>
      <c r="E98" s="3476"/>
      <c r="F98" s="3476"/>
      <c r="G98" s="3476"/>
      <c r="H98" s="3476"/>
      <c r="I98" s="3476"/>
      <c r="J98" s="407"/>
      <c r="K98" s="407"/>
      <c r="L98" s="407"/>
      <c r="M98" s="408"/>
      <c r="N98" s="407"/>
      <c r="O98" s="409"/>
      <c r="P98" s="407"/>
      <c r="Q98" s="410"/>
      <c r="R98" s="411"/>
      <c r="S98" s="412"/>
      <c r="T98" s="412"/>
      <c r="U98" s="412"/>
      <c r="V98" s="412"/>
      <c r="W98" s="412"/>
      <c r="X98" s="412"/>
      <c r="Y98" s="412"/>
    </row>
    <row r="99" spans="1:25">
      <c r="A99" s="413">
        <v>4321</v>
      </c>
      <c r="B99" s="414"/>
      <c r="C99" s="414"/>
      <c r="D99" s="414"/>
      <c r="E99" s="415"/>
      <c r="F99" s="426"/>
      <c r="G99" s="416"/>
      <c r="H99" s="416"/>
      <c r="I99" s="417"/>
      <c r="J99" s="417"/>
      <c r="K99" s="417"/>
      <c r="L99" s="417"/>
      <c r="M99" s="418"/>
      <c r="N99" s="417"/>
      <c r="O99" s="419"/>
      <c r="P99" s="417"/>
      <c r="Q99" s="420"/>
      <c r="R99" s="421"/>
      <c r="S99" s="420"/>
      <c r="T99" s="420"/>
      <c r="U99" s="420"/>
      <c r="V99" s="420"/>
      <c r="W99" s="420"/>
      <c r="X99" s="420"/>
      <c r="Y99" s="420"/>
    </row>
    <row r="100" spans="1:25">
      <c r="A100" s="413">
        <v>4322</v>
      </c>
      <c r="B100" s="414"/>
      <c r="C100" s="414"/>
      <c r="D100" s="414"/>
      <c r="E100" s="415"/>
      <c r="F100" s="426"/>
      <c r="G100" s="416"/>
      <c r="H100" s="416"/>
      <c r="I100" s="417"/>
      <c r="J100" s="417"/>
      <c r="K100" s="417"/>
      <c r="L100" s="417"/>
      <c r="M100" s="418"/>
      <c r="N100" s="417"/>
      <c r="O100" s="419"/>
      <c r="P100" s="417"/>
      <c r="Q100" s="420"/>
      <c r="R100" s="421"/>
      <c r="S100" s="420"/>
      <c r="T100" s="420"/>
      <c r="U100" s="420"/>
      <c r="V100" s="420"/>
      <c r="W100" s="420"/>
      <c r="X100" s="420"/>
      <c r="Y100" s="420"/>
    </row>
    <row r="101" spans="1:25">
      <c r="A101" s="422" t="s">
        <v>233</v>
      </c>
      <c r="B101" s="414"/>
      <c r="C101" s="414"/>
      <c r="D101" s="414"/>
      <c r="E101" s="415"/>
      <c r="F101" s="426"/>
      <c r="G101" s="416"/>
      <c r="H101" s="416"/>
      <c r="I101" s="417"/>
      <c r="J101" s="417"/>
      <c r="K101" s="417"/>
      <c r="L101" s="417"/>
      <c r="M101" s="418"/>
      <c r="N101" s="417"/>
      <c r="O101" s="419"/>
      <c r="P101" s="417"/>
      <c r="Q101" s="420"/>
      <c r="R101" s="421"/>
      <c r="S101" s="420"/>
      <c r="T101" s="420"/>
      <c r="U101" s="420"/>
      <c r="V101" s="420"/>
      <c r="W101" s="420"/>
      <c r="X101" s="420"/>
      <c r="Y101" s="420"/>
    </row>
    <row r="102" spans="1:25" s="398" customFormat="1" ht="33.75" customHeight="1">
      <c r="A102" s="3478" t="s">
        <v>279</v>
      </c>
      <c r="B102" s="3478"/>
      <c r="C102" s="3478"/>
      <c r="D102" s="3478"/>
      <c r="E102" s="3478"/>
      <c r="F102" s="3478"/>
      <c r="G102" s="3478"/>
      <c r="H102" s="3478"/>
      <c r="I102" s="3478"/>
      <c r="J102" s="392"/>
      <c r="K102" s="392"/>
      <c r="L102" s="392"/>
      <c r="M102" s="393"/>
      <c r="N102" s="392"/>
      <c r="O102" s="394"/>
      <c r="P102" s="392"/>
      <c r="Q102" s="395"/>
      <c r="R102" s="396"/>
      <c r="S102" s="397"/>
      <c r="T102" s="397"/>
      <c r="U102" s="397"/>
      <c r="V102" s="397"/>
      <c r="W102" s="397"/>
      <c r="X102" s="397"/>
      <c r="Y102" s="397"/>
    </row>
    <row r="103" spans="1:25" ht="30" customHeight="1">
      <c r="A103" s="3477" t="s">
        <v>280</v>
      </c>
      <c r="B103" s="3477"/>
      <c r="C103" s="3477"/>
      <c r="D103" s="3477"/>
      <c r="E103" s="3477"/>
      <c r="F103" s="3477"/>
      <c r="G103" s="3477"/>
      <c r="H103" s="3477"/>
      <c r="I103" s="3477"/>
      <c r="J103" s="399"/>
      <c r="K103" s="399"/>
      <c r="L103" s="399"/>
      <c r="M103" s="400"/>
      <c r="N103" s="399"/>
      <c r="O103" s="401"/>
      <c r="P103" s="399"/>
      <c r="Q103" s="402"/>
      <c r="R103" s="403"/>
      <c r="S103" s="404"/>
      <c r="T103" s="404"/>
      <c r="U103" s="404"/>
      <c r="V103" s="400"/>
      <c r="W103" s="400"/>
      <c r="X103" s="400"/>
      <c r="Y103" s="400"/>
    </row>
    <row r="104" spans="1:25" ht="16.5" customHeight="1">
      <c r="A104" s="406">
        <v>511</v>
      </c>
      <c r="B104" s="3476"/>
      <c r="C104" s="3476"/>
      <c r="D104" s="3476"/>
      <c r="E104" s="3476"/>
      <c r="F104" s="3476"/>
      <c r="G104" s="3476"/>
      <c r="H104" s="3476"/>
      <c r="I104" s="3476"/>
      <c r="J104" s="407"/>
      <c r="K104" s="407"/>
      <c r="L104" s="407"/>
      <c r="M104" s="408"/>
      <c r="N104" s="407"/>
      <c r="O104" s="409"/>
      <c r="P104" s="407"/>
      <c r="Q104" s="410"/>
      <c r="R104" s="411"/>
      <c r="S104" s="412"/>
      <c r="T104" s="412"/>
      <c r="U104" s="412"/>
      <c r="V104" s="412"/>
      <c r="W104" s="412"/>
      <c r="X104" s="412"/>
      <c r="Y104" s="412"/>
    </row>
    <row r="105" spans="1:25">
      <c r="A105" s="429" t="s">
        <v>233</v>
      </c>
      <c r="B105" s="414"/>
      <c r="C105" s="414"/>
      <c r="D105" s="414"/>
      <c r="E105" s="415"/>
      <c r="F105" s="426"/>
      <c r="G105" s="416"/>
      <c r="H105" s="416"/>
      <c r="I105" s="417"/>
      <c r="J105" s="417"/>
      <c r="K105" s="417"/>
      <c r="L105" s="417"/>
      <c r="M105" s="418"/>
      <c r="N105" s="417"/>
      <c r="O105" s="419"/>
      <c r="P105" s="417"/>
      <c r="Q105" s="420"/>
      <c r="R105" s="421"/>
      <c r="S105" s="420"/>
      <c r="T105" s="420"/>
      <c r="U105" s="420"/>
      <c r="V105" s="420"/>
      <c r="W105" s="420"/>
      <c r="X105" s="420"/>
      <c r="Y105" s="420"/>
    </row>
    <row r="106" spans="1:25" s="398" customFormat="1" ht="33.75" customHeight="1">
      <c r="A106" s="3479" t="s">
        <v>281</v>
      </c>
      <c r="B106" s="3479"/>
      <c r="C106" s="3479"/>
      <c r="D106" s="3479"/>
      <c r="E106" s="3479"/>
      <c r="F106" s="3479"/>
      <c r="G106" s="3479"/>
      <c r="H106" s="3479"/>
      <c r="I106" s="3480"/>
      <c r="J106" s="430"/>
      <c r="K106" s="430"/>
      <c r="L106" s="430"/>
      <c r="M106" s="430"/>
      <c r="N106" s="430"/>
      <c r="O106" s="431"/>
      <c r="P106" s="430"/>
      <c r="Q106" s="431"/>
      <c r="R106" s="432">
        <f>+R107+R116+R125</f>
        <v>129747.66</v>
      </c>
      <c r="S106" s="397"/>
      <c r="T106" s="397"/>
      <c r="U106" s="397"/>
      <c r="V106" s="397"/>
      <c r="W106" s="397"/>
      <c r="X106" s="397"/>
      <c r="Y106" s="397"/>
    </row>
    <row r="107" spans="1:25" ht="33" customHeight="1">
      <c r="A107" s="3477" t="s">
        <v>282</v>
      </c>
      <c r="B107" s="3477"/>
      <c r="C107" s="3477"/>
      <c r="D107" s="3477"/>
      <c r="E107" s="3477"/>
      <c r="F107" s="3477"/>
      <c r="G107" s="3477"/>
      <c r="H107" s="3477"/>
      <c r="I107" s="3477"/>
      <c r="J107" s="399"/>
      <c r="K107" s="399"/>
      <c r="L107" s="399"/>
      <c r="M107" s="400"/>
      <c r="N107" s="399"/>
      <c r="O107" s="401"/>
      <c r="P107" s="399"/>
      <c r="Q107" s="402"/>
      <c r="R107" s="403"/>
      <c r="S107" s="404"/>
      <c r="T107" s="404"/>
      <c r="U107" s="404"/>
      <c r="V107" s="400"/>
      <c r="W107" s="400"/>
      <c r="X107" s="400"/>
      <c r="Y107" s="400"/>
    </row>
    <row r="108" spans="1:25" ht="16.5" customHeight="1">
      <c r="A108" s="406">
        <v>611</v>
      </c>
      <c r="B108" s="3476"/>
      <c r="C108" s="3476"/>
      <c r="D108" s="3476"/>
      <c r="E108" s="3476"/>
      <c r="F108" s="3476"/>
      <c r="G108" s="3476"/>
      <c r="H108" s="3476"/>
      <c r="I108" s="3476"/>
      <c r="J108" s="407"/>
      <c r="K108" s="407"/>
      <c r="L108" s="407"/>
      <c r="M108" s="408"/>
      <c r="N108" s="407"/>
      <c r="O108" s="409"/>
      <c r="P108" s="407"/>
      <c r="Q108" s="410"/>
      <c r="R108" s="411"/>
      <c r="S108" s="412"/>
      <c r="T108" s="412"/>
      <c r="U108" s="412"/>
      <c r="V108" s="412"/>
      <c r="W108" s="412"/>
      <c r="X108" s="412"/>
      <c r="Y108" s="412"/>
    </row>
    <row r="109" spans="1:25">
      <c r="A109" s="413">
        <v>6111</v>
      </c>
      <c r="B109" s="414"/>
      <c r="C109" s="414"/>
      <c r="D109" s="414"/>
      <c r="E109" s="415"/>
      <c r="F109" s="426"/>
      <c r="G109" s="416"/>
      <c r="H109" s="416"/>
      <c r="I109" s="417"/>
      <c r="J109" s="417"/>
      <c r="K109" s="417"/>
      <c r="L109" s="417"/>
      <c r="M109" s="418"/>
      <c r="N109" s="417"/>
      <c r="O109" s="419"/>
      <c r="P109" s="417"/>
      <c r="Q109" s="420"/>
      <c r="R109" s="421"/>
      <c r="S109" s="420"/>
      <c r="T109" s="420"/>
      <c r="U109" s="420"/>
      <c r="V109" s="420"/>
      <c r="W109" s="420"/>
      <c r="X109" s="420"/>
      <c r="Y109" s="420"/>
    </row>
    <row r="110" spans="1:25">
      <c r="A110" s="413">
        <v>6112</v>
      </c>
      <c r="B110" s="414"/>
      <c r="C110" s="414"/>
      <c r="D110" s="414"/>
      <c r="E110" s="415"/>
      <c r="F110" s="426"/>
      <c r="G110" s="416"/>
      <c r="H110" s="416"/>
      <c r="I110" s="417"/>
      <c r="J110" s="417"/>
      <c r="K110" s="417"/>
      <c r="L110" s="417"/>
      <c r="M110" s="418"/>
      <c r="N110" s="417"/>
      <c r="O110" s="419"/>
      <c r="P110" s="417"/>
      <c r="Q110" s="420"/>
      <c r="R110" s="421"/>
      <c r="S110" s="420"/>
      <c r="T110" s="420"/>
      <c r="U110" s="420"/>
      <c r="V110" s="420"/>
      <c r="W110" s="420"/>
      <c r="X110" s="420"/>
      <c r="Y110" s="420"/>
    </row>
    <row r="111" spans="1:25">
      <c r="A111" s="413">
        <v>6113</v>
      </c>
      <c r="B111" s="414"/>
      <c r="C111" s="414"/>
      <c r="D111" s="414"/>
      <c r="E111" s="415"/>
      <c r="F111" s="426"/>
      <c r="G111" s="416"/>
      <c r="H111" s="416"/>
      <c r="I111" s="417"/>
      <c r="J111" s="417"/>
      <c r="K111" s="417"/>
      <c r="L111" s="417"/>
      <c r="M111" s="418"/>
      <c r="N111" s="417"/>
      <c r="O111" s="419"/>
      <c r="P111" s="417"/>
      <c r="Q111" s="420"/>
      <c r="R111" s="421"/>
      <c r="S111" s="420"/>
      <c r="T111" s="420"/>
      <c r="U111" s="420"/>
      <c r="V111" s="420"/>
      <c r="W111" s="420"/>
      <c r="X111" s="420"/>
      <c r="Y111" s="420"/>
    </row>
    <row r="112" spans="1:25" ht="16.5" customHeight="1">
      <c r="A112" s="406">
        <v>612</v>
      </c>
      <c r="B112" s="3476"/>
      <c r="C112" s="3476"/>
      <c r="D112" s="3476"/>
      <c r="E112" s="3476"/>
      <c r="F112" s="3476"/>
      <c r="G112" s="3476"/>
      <c r="H112" s="3476"/>
      <c r="I112" s="3476"/>
      <c r="J112" s="407"/>
      <c r="K112" s="407"/>
      <c r="L112" s="407"/>
      <c r="M112" s="408"/>
      <c r="N112" s="407"/>
      <c r="O112" s="409"/>
      <c r="P112" s="407"/>
      <c r="Q112" s="410"/>
      <c r="R112" s="411"/>
      <c r="S112" s="412"/>
      <c r="T112" s="412"/>
      <c r="U112" s="412"/>
      <c r="V112" s="412"/>
      <c r="W112" s="412"/>
      <c r="X112" s="412"/>
      <c r="Y112" s="412"/>
    </row>
    <row r="113" spans="1:25">
      <c r="A113" s="413">
        <v>6121</v>
      </c>
      <c r="B113" s="414"/>
      <c r="C113" s="414"/>
      <c r="D113" s="414"/>
      <c r="E113" s="415"/>
      <c r="F113" s="426"/>
      <c r="G113" s="416"/>
      <c r="H113" s="416"/>
      <c r="I113" s="417"/>
      <c r="J113" s="417"/>
      <c r="K113" s="417"/>
      <c r="L113" s="417"/>
      <c r="M113" s="418"/>
      <c r="N113" s="417"/>
      <c r="O113" s="419"/>
      <c r="P113" s="417"/>
      <c r="Q113" s="420"/>
      <c r="R113" s="421"/>
      <c r="S113" s="420"/>
      <c r="T113" s="420"/>
      <c r="U113" s="420"/>
      <c r="V113" s="420"/>
      <c r="W113" s="420"/>
      <c r="X113" s="420"/>
      <c r="Y113" s="420"/>
    </row>
    <row r="114" spans="1:25">
      <c r="A114" s="413">
        <v>6122</v>
      </c>
      <c r="B114" s="414"/>
      <c r="C114" s="414"/>
      <c r="D114" s="414"/>
      <c r="E114" s="415"/>
      <c r="F114" s="426"/>
      <c r="G114" s="416"/>
      <c r="H114" s="416"/>
      <c r="I114" s="417"/>
      <c r="J114" s="417"/>
      <c r="K114" s="417"/>
      <c r="L114" s="417"/>
      <c r="M114" s="418"/>
      <c r="N114" s="417"/>
      <c r="O114" s="419"/>
      <c r="P114" s="417"/>
      <c r="Q114" s="420"/>
      <c r="R114" s="421"/>
      <c r="S114" s="420"/>
      <c r="T114" s="420"/>
      <c r="U114" s="420"/>
      <c r="V114" s="420"/>
      <c r="W114" s="420"/>
      <c r="X114" s="420"/>
      <c r="Y114" s="420"/>
    </row>
    <row r="115" spans="1:25">
      <c r="A115" s="422" t="s">
        <v>233</v>
      </c>
      <c r="B115" s="414"/>
      <c r="C115" s="414"/>
      <c r="D115" s="414"/>
      <c r="E115" s="415"/>
      <c r="F115" s="426"/>
      <c r="G115" s="416"/>
      <c r="H115" s="416"/>
      <c r="I115" s="417"/>
      <c r="J115" s="417"/>
      <c r="K115" s="417"/>
      <c r="L115" s="417"/>
      <c r="M115" s="418"/>
      <c r="N115" s="417"/>
      <c r="O115" s="419"/>
      <c r="P115" s="417"/>
      <c r="Q115" s="420"/>
      <c r="R115" s="421"/>
      <c r="S115" s="420"/>
      <c r="T115" s="420"/>
      <c r="U115" s="420"/>
      <c r="V115" s="420"/>
      <c r="W115" s="420"/>
      <c r="X115" s="420"/>
      <c r="Y115" s="420"/>
    </row>
    <row r="116" spans="1:25" ht="38.25" customHeight="1">
      <c r="A116" s="3477" t="s">
        <v>283</v>
      </c>
      <c r="B116" s="3477"/>
      <c r="C116" s="3477"/>
      <c r="D116" s="3477"/>
      <c r="E116" s="3477"/>
      <c r="F116" s="3477"/>
      <c r="G116" s="3477"/>
      <c r="H116" s="3477"/>
      <c r="I116" s="3477"/>
      <c r="J116" s="399"/>
      <c r="K116" s="399"/>
      <c r="L116" s="399"/>
      <c r="M116" s="400"/>
      <c r="N116" s="399"/>
      <c r="O116" s="401"/>
      <c r="P116" s="399"/>
      <c r="Q116" s="402"/>
      <c r="R116" s="403"/>
      <c r="S116" s="404"/>
      <c r="T116" s="404"/>
      <c r="U116" s="404"/>
      <c r="V116" s="400"/>
      <c r="W116" s="400"/>
      <c r="X116" s="400"/>
      <c r="Y116" s="400"/>
    </row>
    <row r="117" spans="1:25" ht="16.5" customHeight="1">
      <c r="A117" s="406">
        <v>621</v>
      </c>
      <c r="B117" s="3476"/>
      <c r="C117" s="3476"/>
      <c r="D117" s="3476"/>
      <c r="E117" s="3476"/>
      <c r="F117" s="3476"/>
      <c r="G117" s="3476"/>
      <c r="H117" s="3476"/>
      <c r="I117" s="3476"/>
      <c r="J117" s="407"/>
      <c r="K117" s="407"/>
      <c r="L117" s="407"/>
      <c r="M117" s="408"/>
      <c r="N117" s="407"/>
      <c r="O117" s="409"/>
      <c r="P117" s="407"/>
      <c r="Q117" s="410"/>
      <c r="R117" s="411"/>
      <c r="S117" s="412"/>
      <c r="T117" s="412"/>
      <c r="U117" s="412"/>
      <c r="V117" s="412"/>
      <c r="W117" s="412"/>
      <c r="X117" s="412"/>
      <c r="Y117" s="412"/>
    </row>
    <row r="118" spans="1:25">
      <c r="A118" s="413">
        <v>6211</v>
      </c>
      <c r="B118" s="414"/>
      <c r="C118" s="414"/>
      <c r="D118" s="414"/>
      <c r="E118" s="415"/>
      <c r="F118" s="426"/>
      <c r="G118" s="416"/>
      <c r="H118" s="416"/>
      <c r="I118" s="417"/>
      <c r="J118" s="417"/>
      <c r="K118" s="417"/>
      <c r="L118" s="417"/>
      <c r="M118" s="418"/>
      <c r="N118" s="417"/>
      <c r="O118" s="419"/>
      <c r="P118" s="417"/>
      <c r="Q118" s="420"/>
      <c r="R118" s="421"/>
      <c r="S118" s="420"/>
      <c r="T118" s="420"/>
      <c r="U118" s="420"/>
      <c r="V118" s="420"/>
      <c r="W118" s="420"/>
      <c r="X118" s="420"/>
      <c r="Y118" s="420"/>
    </row>
    <row r="119" spans="1:25">
      <c r="A119" s="413">
        <v>6212</v>
      </c>
      <c r="B119" s="414"/>
      <c r="C119" s="414"/>
      <c r="D119" s="414"/>
      <c r="E119" s="415"/>
      <c r="F119" s="426"/>
      <c r="G119" s="416"/>
      <c r="H119" s="416"/>
      <c r="I119" s="417"/>
      <c r="J119" s="417"/>
      <c r="K119" s="417"/>
      <c r="L119" s="417"/>
      <c r="M119" s="418"/>
      <c r="N119" s="417"/>
      <c r="O119" s="419"/>
      <c r="P119" s="417"/>
      <c r="Q119" s="420"/>
      <c r="R119" s="421"/>
      <c r="S119" s="420"/>
      <c r="T119" s="420"/>
      <c r="U119" s="420"/>
      <c r="V119" s="420"/>
      <c r="W119" s="420"/>
      <c r="X119" s="420"/>
      <c r="Y119" s="420"/>
    </row>
    <row r="120" spans="1:25">
      <c r="A120" s="413">
        <v>6213</v>
      </c>
      <c r="B120" s="414"/>
      <c r="C120" s="414"/>
      <c r="D120" s="414"/>
      <c r="E120" s="415"/>
      <c r="F120" s="426"/>
      <c r="G120" s="416"/>
      <c r="H120" s="416"/>
      <c r="I120" s="417"/>
      <c r="J120" s="417"/>
      <c r="K120" s="417"/>
      <c r="L120" s="417"/>
      <c r="M120" s="418"/>
      <c r="N120" s="417"/>
      <c r="O120" s="419"/>
      <c r="P120" s="417"/>
      <c r="Q120" s="420"/>
      <c r="R120" s="421"/>
      <c r="S120" s="420"/>
      <c r="T120" s="420"/>
      <c r="U120" s="420"/>
      <c r="V120" s="420"/>
      <c r="W120" s="420"/>
      <c r="X120" s="420"/>
      <c r="Y120" s="420"/>
    </row>
    <row r="121" spans="1:25" ht="16.5" customHeight="1">
      <c r="A121" s="406">
        <v>622</v>
      </c>
      <c r="B121" s="3476"/>
      <c r="C121" s="3476"/>
      <c r="D121" s="3476"/>
      <c r="E121" s="3476"/>
      <c r="F121" s="3476"/>
      <c r="G121" s="3476"/>
      <c r="H121" s="3476"/>
      <c r="I121" s="3476"/>
      <c r="J121" s="407"/>
      <c r="K121" s="407"/>
      <c r="L121" s="407"/>
      <c r="M121" s="408"/>
      <c r="N121" s="407"/>
      <c r="O121" s="409"/>
      <c r="P121" s="407"/>
      <c r="Q121" s="410"/>
      <c r="R121" s="411"/>
      <c r="S121" s="412"/>
      <c r="T121" s="412"/>
      <c r="U121" s="412"/>
      <c r="V121" s="412"/>
      <c r="W121" s="412"/>
      <c r="X121" s="412"/>
      <c r="Y121" s="412"/>
    </row>
    <row r="122" spans="1:25">
      <c r="A122" s="413">
        <v>6221</v>
      </c>
      <c r="B122" s="414"/>
      <c r="C122" s="414"/>
      <c r="D122" s="414"/>
      <c r="E122" s="415"/>
      <c r="F122" s="426"/>
      <c r="G122" s="416"/>
      <c r="H122" s="416"/>
      <c r="I122" s="417"/>
      <c r="J122" s="417"/>
      <c r="K122" s="417"/>
      <c r="L122" s="417"/>
      <c r="M122" s="418"/>
      <c r="N122" s="417"/>
      <c r="O122" s="419"/>
      <c r="P122" s="417"/>
      <c r="Q122" s="420"/>
      <c r="R122" s="421"/>
      <c r="S122" s="420"/>
      <c r="T122" s="420"/>
      <c r="U122" s="420"/>
      <c r="V122" s="420"/>
      <c r="W122" s="420"/>
      <c r="X122" s="420"/>
      <c r="Y122" s="420"/>
    </row>
    <row r="123" spans="1:25">
      <c r="A123" s="413">
        <v>6222</v>
      </c>
      <c r="B123" s="414"/>
      <c r="C123" s="414"/>
      <c r="D123" s="414"/>
      <c r="E123" s="415"/>
      <c r="F123" s="426"/>
      <c r="G123" s="416"/>
      <c r="H123" s="416"/>
      <c r="I123" s="417"/>
      <c r="J123" s="417"/>
      <c r="K123" s="417"/>
      <c r="L123" s="417"/>
      <c r="M123" s="418"/>
      <c r="N123" s="417"/>
      <c r="O123" s="419"/>
      <c r="P123" s="417"/>
      <c r="Q123" s="420"/>
      <c r="R123" s="421"/>
      <c r="S123" s="420"/>
      <c r="T123" s="420"/>
      <c r="U123" s="420"/>
      <c r="V123" s="420"/>
      <c r="W123" s="420"/>
      <c r="X123" s="420"/>
      <c r="Y123" s="420"/>
    </row>
    <row r="124" spans="1:25">
      <c r="A124" s="422" t="s">
        <v>233</v>
      </c>
      <c r="B124" s="414"/>
      <c r="C124" s="414"/>
      <c r="D124" s="414"/>
      <c r="E124" s="415"/>
      <c r="F124" s="426"/>
      <c r="G124" s="416"/>
      <c r="H124" s="416"/>
      <c r="I124" s="417"/>
      <c r="J124" s="417"/>
      <c r="K124" s="417"/>
      <c r="L124" s="417"/>
      <c r="M124" s="418"/>
      <c r="N124" s="417"/>
      <c r="O124" s="419"/>
      <c r="P124" s="417"/>
      <c r="Q124" s="420"/>
      <c r="R124" s="421"/>
      <c r="S124" s="420"/>
      <c r="T124" s="420"/>
      <c r="U124" s="420"/>
      <c r="V124" s="420"/>
      <c r="W124" s="420"/>
      <c r="X124" s="420"/>
      <c r="Y124" s="420"/>
    </row>
    <row r="125" spans="1:25" ht="38.25" customHeight="1">
      <c r="A125" s="3477" t="s">
        <v>284</v>
      </c>
      <c r="B125" s="3477"/>
      <c r="C125" s="3477"/>
      <c r="D125" s="3477"/>
      <c r="E125" s="3477"/>
      <c r="F125" s="3477"/>
      <c r="G125" s="3477"/>
      <c r="H125" s="3477"/>
      <c r="I125" s="3477"/>
      <c r="J125" s="399"/>
      <c r="K125" s="399"/>
      <c r="L125" s="399"/>
      <c r="M125" s="400"/>
      <c r="N125" s="399"/>
      <c r="O125" s="401"/>
      <c r="P125" s="399"/>
      <c r="Q125" s="402"/>
      <c r="R125" s="403">
        <f>+'[7]Compil Costing PPA 3 millions'!F20</f>
        <v>129747.66</v>
      </c>
      <c r="S125" s="404"/>
      <c r="T125" s="404"/>
      <c r="U125" s="404"/>
      <c r="V125" s="400"/>
      <c r="W125" s="400"/>
      <c r="X125" s="400"/>
      <c r="Y125" s="400"/>
    </row>
    <row r="126" spans="1:25" ht="16.5" customHeight="1">
      <c r="A126" s="406">
        <v>631</v>
      </c>
      <c r="B126" s="3476" t="s">
        <v>140</v>
      </c>
      <c r="C126" s="3476"/>
      <c r="D126" s="3476"/>
      <c r="E126" s="3476"/>
      <c r="F126" s="3476"/>
      <c r="G126" s="3476"/>
      <c r="H126" s="3476"/>
      <c r="I126" s="3476"/>
      <c r="J126" s="407"/>
      <c r="K126" s="407"/>
      <c r="L126" s="407"/>
      <c r="M126" s="408"/>
      <c r="N126" s="407"/>
      <c r="O126" s="409"/>
      <c r="P126" s="407"/>
      <c r="Q126" s="410"/>
      <c r="R126" s="411"/>
      <c r="S126" s="412"/>
      <c r="T126" s="412"/>
      <c r="U126" s="412"/>
      <c r="V126" s="412"/>
      <c r="W126" s="412"/>
      <c r="X126" s="412"/>
      <c r="Y126" s="412"/>
    </row>
    <row r="127" spans="1:25" ht="45">
      <c r="A127" s="413">
        <v>6311</v>
      </c>
      <c r="B127" s="414" t="s">
        <v>404</v>
      </c>
      <c r="C127" s="414" t="s">
        <v>405</v>
      </c>
      <c r="D127" s="414"/>
      <c r="E127" s="415"/>
      <c r="F127" s="433">
        <v>43205</v>
      </c>
      <c r="G127" s="434">
        <v>43342</v>
      </c>
      <c r="H127" s="435" t="s">
        <v>406</v>
      </c>
      <c r="I127" s="417" t="s">
        <v>181</v>
      </c>
      <c r="J127" s="417" t="s">
        <v>407</v>
      </c>
      <c r="K127" s="436" t="s">
        <v>408</v>
      </c>
      <c r="L127" s="417">
        <v>6283</v>
      </c>
      <c r="M127" s="418"/>
      <c r="N127" s="417"/>
      <c r="O127" s="437">
        <v>18000</v>
      </c>
      <c r="P127" s="438">
        <v>1</v>
      </c>
      <c r="Q127" s="439">
        <f>O127*P127</f>
        <v>18000</v>
      </c>
      <c r="R127" s="421"/>
      <c r="S127" s="421"/>
      <c r="T127" s="421">
        <f>Q127*20/100</f>
        <v>3600</v>
      </c>
      <c r="U127" s="421"/>
      <c r="V127" s="421"/>
      <c r="W127" s="421">
        <f>Q127*40/100</f>
        <v>7200</v>
      </c>
      <c r="X127" s="421">
        <f>Q127*40/100</f>
        <v>7200</v>
      </c>
      <c r="Y127" s="421"/>
    </row>
    <row r="128" spans="1:25" ht="60.6" customHeight="1">
      <c r="A128" s="413">
        <v>6312</v>
      </c>
      <c r="B128" s="414" t="s">
        <v>409</v>
      </c>
      <c r="C128" s="440" t="s">
        <v>410</v>
      </c>
      <c r="D128" s="414"/>
      <c r="E128" s="415"/>
      <c r="F128" s="426">
        <v>43241</v>
      </c>
      <c r="G128" s="426">
        <v>43273</v>
      </c>
      <c r="H128" s="441" t="s">
        <v>406</v>
      </c>
      <c r="I128" s="417" t="s">
        <v>181</v>
      </c>
      <c r="J128" s="415" t="s">
        <v>411</v>
      </c>
      <c r="K128" s="417"/>
      <c r="L128" s="417"/>
      <c r="M128" s="418"/>
      <c r="N128" s="417"/>
      <c r="O128" s="437"/>
      <c r="P128" s="438"/>
      <c r="Q128" s="442">
        <f>SUM(Q129:Q132)</f>
        <v>20400</v>
      </c>
      <c r="R128" s="421"/>
      <c r="S128" s="421"/>
      <c r="T128" s="421"/>
      <c r="U128" s="421">
        <f>$Q$128/2</f>
        <v>10200</v>
      </c>
      <c r="V128" s="421">
        <f>$Q$128/2</f>
        <v>10200</v>
      </c>
      <c r="W128" s="421"/>
      <c r="X128" s="421"/>
      <c r="Y128" s="421"/>
    </row>
    <row r="129" spans="1:25" ht="17.45" customHeight="1">
      <c r="A129" s="413"/>
      <c r="B129" s="427"/>
      <c r="C129" s="443"/>
      <c r="D129" s="414"/>
      <c r="E129" s="415"/>
      <c r="F129" s="426"/>
      <c r="G129" s="416"/>
      <c r="H129" s="416"/>
      <c r="I129" s="417"/>
      <c r="J129" s="417"/>
      <c r="K129" s="427" t="s">
        <v>412</v>
      </c>
      <c r="L129" s="417">
        <v>6241</v>
      </c>
      <c r="M129" s="418"/>
      <c r="N129" s="417"/>
      <c r="O129" s="437">
        <v>2100</v>
      </c>
      <c r="P129" s="438">
        <v>4</v>
      </c>
      <c r="Q129" s="439">
        <f>O129*P129</f>
        <v>8400</v>
      </c>
      <c r="R129" s="421"/>
      <c r="S129" s="421"/>
      <c r="T129" s="421"/>
      <c r="U129" s="421"/>
      <c r="V129" s="421"/>
      <c r="W129" s="421"/>
      <c r="X129" s="421"/>
      <c r="Y129" s="421"/>
    </row>
    <row r="130" spans="1:25">
      <c r="A130" s="413"/>
      <c r="B130" s="427"/>
      <c r="C130" s="443"/>
      <c r="D130" s="414"/>
      <c r="E130" s="415"/>
      <c r="F130" s="426"/>
      <c r="G130" s="416"/>
      <c r="H130" s="416"/>
      <c r="I130" s="417"/>
      <c r="J130" s="417"/>
      <c r="K130" s="427" t="s">
        <v>413</v>
      </c>
      <c r="L130" s="417">
        <v>6241</v>
      </c>
      <c r="M130" s="418"/>
      <c r="N130" s="417"/>
      <c r="O130" s="437">
        <v>2000</v>
      </c>
      <c r="P130" s="438">
        <v>4</v>
      </c>
      <c r="Q130" s="439">
        <f>O130*P130</f>
        <v>8000</v>
      </c>
      <c r="R130" s="421"/>
      <c r="S130" s="421"/>
      <c r="T130" s="421"/>
      <c r="U130" s="421"/>
      <c r="V130" s="421"/>
      <c r="W130" s="421"/>
      <c r="X130" s="421"/>
      <c r="Y130" s="421"/>
    </row>
    <row r="131" spans="1:25">
      <c r="A131" s="413"/>
      <c r="B131" s="427"/>
      <c r="C131" s="443"/>
      <c r="D131" s="414"/>
      <c r="E131" s="415"/>
      <c r="F131" s="426"/>
      <c r="G131" s="416"/>
      <c r="H131" s="416"/>
      <c r="I131" s="417"/>
      <c r="J131" s="417"/>
      <c r="K131" s="427" t="s">
        <v>414</v>
      </c>
      <c r="L131" s="417">
        <v>6231</v>
      </c>
      <c r="M131" s="418"/>
      <c r="N131" s="417"/>
      <c r="O131" s="437">
        <v>833.25</v>
      </c>
      <c r="P131" s="438">
        <v>4</v>
      </c>
      <c r="Q131" s="439">
        <f>O131*P131</f>
        <v>3333</v>
      </c>
      <c r="R131" s="421"/>
      <c r="S131" s="421"/>
      <c r="T131" s="421"/>
      <c r="U131" s="421"/>
      <c r="V131" s="421"/>
      <c r="W131" s="421"/>
      <c r="X131" s="421"/>
      <c r="Y131" s="421"/>
    </row>
    <row r="132" spans="1:25">
      <c r="A132" s="413"/>
      <c r="B132" s="427"/>
      <c r="C132" s="443"/>
      <c r="D132" s="414"/>
      <c r="E132" s="415"/>
      <c r="F132" s="426"/>
      <c r="G132" s="416"/>
      <c r="H132" s="416"/>
      <c r="I132" s="417"/>
      <c r="J132" s="417"/>
      <c r="K132" s="427" t="s">
        <v>415</v>
      </c>
      <c r="L132" s="417">
        <v>6275</v>
      </c>
      <c r="M132" s="418"/>
      <c r="N132" s="417"/>
      <c r="O132" s="437">
        <v>166.75</v>
      </c>
      <c r="P132" s="438">
        <v>4</v>
      </c>
      <c r="Q132" s="439">
        <f>O132*P132</f>
        <v>667</v>
      </c>
      <c r="R132" s="421"/>
      <c r="S132" s="421"/>
      <c r="T132" s="421"/>
      <c r="U132" s="421"/>
      <c r="V132" s="421"/>
      <c r="W132" s="421"/>
      <c r="X132" s="421"/>
      <c r="Y132" s="421"/>
    </row>
    <row r="133" spans="1:25" ht="46.15" customHeight="1">
      <c r="A133" s="413">
        <v>6313</v>
      </c>
      <c r="B133" s="414" t="s">
        <v>416</v>
      </c>
      <c r="C133" s="414" t="s">
        <v>417</v>
      </c>
      <c r="D133" s="414"/>
      <c r="E133" s="415"/>
      <c r="F133" s="426">
        <v>43294</v>
      </c>
      <c r="G133" s="426">
        <v>43294</v>
      </c>
      <c r="H133" s="441" t="s">
        <v>406</v>
      </c>
      <c r="I133" s="417" t="s">
        <v>181</v>
      </c>
      <c r="J133" s="415" t="s">
        <v>411</v>
      </c>
      <c r="K133" s="417"/>
      <c r="L133" s="417"/>
      <c r="M133" s="418"/>
      <c r="N133" s="417"/>
      <c r="O133" s="437"/>
      <c r="P133" s="438"/>
      <c r="Q133" s="442">
        <f>Q134+Q135</f>
        <v>1000.0000000000014</v>
      </c>
      <c r="R133" s="421"/>
      <c r="S133" s="421"/>
      <c r="T133" s="421"/>
      <c r="U133" s="421"/>
      <c r="V133" s="421"/>
      <c r="W133" s="421">
        <f>Q133</f>
        <v>1000.0000000000014</v>
      </c>
      <c r="X133" s="421"/>
      <c r="Y133" s="421"/>
    </row>
    <row r="134" spans="1:25">
      <c r="A134" s="413"/>
      <c r="B134" s="427"/>
      <c r="C134" s="443"/>
      <c r="D134" s="414"/>
      <c r="E134" s="415"/>
      <c r="F134" s="426"/>
      <c r="G134" s="416"/>
      <c r="H134" s="416"/>
      <c r="I134" s="417"/>
      <c r="J134" s="417"/>
      <c r="K134" s="427" t="s">
        <v>418</v>
      </c>
      <c r="L134" s="417">
        <v>6225</v>
      </c>
      <c r="M134" s="418"/>
      <c r="N134" s="417"/>
      <c r="O134" s="437">
        <v>666.66666666666799</v>
      </c>
      <c r="P134" s="438">
        <v>1</v>
      </c>
      <c r="Q134" s="439">
        <f>O134*P134</f>
        <v>666.66666666666799</v>
      </c>
      <c r="R134" s="421"/>
      <c r="S134" s="421"/>
      <c r="T134" s="421"/>
      <c r="U134" s="421"/>
      <c r="V134" s="421"/>
      <c r="W134" s="421"/>
      <c r="X134" s="421"/>
      <c r="Y134" s="421"/>
    </row>
    <row r="135" spans="1:25">
      <c r="A135" s="413"/>
      <c r="B135" s="427"/>
      <c r="C135" s="443"/>
      <c r="D135" s="414"/>
      <c r="E135" s="415"/>
      <c r="F135" s="426"/>
      <c r="G135" s="416"/>
      <c r="H135" s="416"/>
      <c r="I135" s="417"/>
      <c r="J135" s="417"/>
      <c r="K135" s="427" t="s">
        <v>415</v>
      </c>
      <c r="L135" s="417">
        <v>6275</v>
      </c>
      <c r="M135" s="418"/>
      <c r="N135" s="417"/>
      <c r="O135" s="437">
        <v>333.33333333333331</v>
      </c>
      <c r="P135" s="438">
        <v>1</v>
      </c>
      <c r="Q135" s="439">
        <f>O135*P135</f>
        <v>333.33333333333331</v>
      </c>
      <c r="R135" s="421"/>
      <c r="S135" s="421"/>
      <c r="T135" s="421"/>
      <c r="U135" s="421"/>
      <c r="V135" s="421"/>
      <c r="W135" s="421"/>
      <c r="X135" s="421"/>
      <c r="Y135" s="421"/>
    </row>
    <row r="136" spans="1:25" ht="16.5" customHeight="1">
      <c r="A136" s="406">
        <v>632</v>
      </c>
      <c r="B136" s="3476" t="s">
        <v>141</v>
      </c>
      <c r="C136" s="3476"/>
      <c r="D136" s="3476"/>
      <c r="E136" s="3476"/>
      <c r="F136" s="3476"/>
      <c r="G136" s="3476"/>
      <c r="H136" s="3476"/>
      <c r="I136" s="3476"/>
      <c r="J136" s="407"/>
      <c r="K136" s="407"/>
      <c r="L136" s="407"/>
      <c r="M136" s="408"/>
      <c r="N136" s="407"/>
      <c r="O136" s="444"/>
      <c r="P136" s="445"/>
      <c r="Q136" s="446"/>
      <c r="R136" s="411"/>
      <c r="S136" s="421"/>
      <c r="T136" s="421"/>
      <c r="U136" s="421"/>
      <c r="V136" s="421"/>
      <c r="W136" s="421"/>
      <c r="X136" s="421"/>
      <c r="Y136" s="421"/>
    </row>
    <row r="137" spans="1:25" ht="62.45" customHeight="1">
      <c r="A137" s="413">
        <v>6321</v>
      </c>
      <c r="B137" s="414" t="s">
        <v>419</v>
      </c>
      <c r="C137" s="414" t="s">
        <v>420</v>
      </c>
      <c r="D137" s="414"/>
      <c r="E137" s="415"/>
      <c r="F137" s="447">
        <v>43205</v>
      </c>
      <c r="G137" s="448">
        <v>43311</v>
      </c>
      <c r="H137" s="441" t="s">
        <v>421</v>
      </c>
      <c r="I137" s="417" t="s">
        <v>181</v>
      </c>
      <c r="J137" s="417" t="s">
        <v>407</v>
      </c>
      <c r="K137" s="436" t="s">
        <v>408</v>
      </c>
      <c r="L137" s="417">
        <v>6283</v>
      </c>
      <c r="M137" s="418"/>
      <c r="N137" s="417"/>
      <c r="O137" s="437">
        <v>33750</v>
      </c>
      <c r="P137" s="438">
        <v>1</v>
      </c>
      <c r="Q137" s="439">
        <f>O137*P137</f>
        <v>33750</v>
      </c>
      <c r="R137" s="421"/>
      <c r="S137" s="421"/>
      <c r="T137" s="421">
        <f>Q137*20/100</f>
        <v>6750</v>
      </c>
      <c r="U137" s="421"/>
      <c r="V137" s="421"/>
      <c r="W137" s="421">
        <f>$Q$137*40/100</f>
        <v>13500</v>
      </c>
      <c r="X137" s="421">
        <f>$Q$137*40/100</f>
        <v>13500</v>
      </c>
      <c r="Y137" s="421"/>
    </row>
    <row r="138" spans="1:25" ht="62.45" customHeight="1">
      <c r="A138" s="413">
        <v>6322</v>
      </c>
      <c r="B138" s="414" t="s">
        <v>422</v>
      </c>
      <c r="C138" s="443"/>
      <c r="D138" s="414"/>
      <c r="E138" s="415"/>
      <c r="F138" s="449">
        <v>43227</v>
      </c>
      <c r="G138" s="450">
        <v>43238</v>
      </c>
      <c r="H138" s="441" t="s">
        <v>421</v>
      </c>
      <c r="I138" s="417" t="s">
        <v>181</v>
      </c>
      <c r="J138" s="415" t="s">
        <v>423</v>
      </c>
      <c r="K138" s="417"/>
      <c r="L138" s="417"/>
      <c r="M138" s="418"/>
      <c r="N138" s="417"/>
      <c r="O138" s="437"/>
      <c r="P138" s="438"/>
      <c r="Q138" s="442">
        <f>Q139+Q140+Q141+Q142+Q143</f>
        <v>17583</v>
      </c>
      <c r="R138" s="421"/>
      <c r="S138" s="420"/>
      <c r="T138" s="420"/>
      <c r="U138" s="421">
        <f>Q138</f>
        <v>17583</v>
      </c>
      <c r="V138" s="420"/>
      <c r="W138" s="420"/>
      <c r="X138" s="420"/>
      <c r="Y138" s="420"/>
    </row>
    <row r="139" spans="1:25">
      <c r="A139" s="413"/>
      <c r="B139" s="427"/>
      <c r="C139" s="443"/>
      <c r="D139" s="414"/>
      <c r="E139" s="415"/>
      <c r="F139" s="426"/>
      <c r="G139" s="416"/>
      <c r="H139" s="416"/>
      <c r="I139" s="417"/>
      <c r="J139" s="417"/>
      <c r="K139" s="427" t="s">
        <v>424</v>
      </c>
      <c r="L139" s="417">
        <v>6241</v>
      </c>
      <c r="M139" s="418"/>
      <c r="N139" s="417"/>
      <c r="O139" s="437">
        <v>3360</v>
      </c>
      <c r="P139" s="438">
        <v>2</v>
      </c>
      <c r="Q139" s="439">
        <f>O139*P139</f>
        <v>6720</v>
      </c>
      <c r="R139" s="421"/>
      <c r="S139" s="420"/>
      <c r="T139" s="420"/>
      <c r="U139" s="420"/>
      <c r="V139" s="420"/>
      <c r="W139" s="420"/>
      <c r="X139" s="420"/>
      <c r="Y139" s="420"/>
    </row>
    <row r="140" spans="1:25">
      <c r="A140" s="413"/>
      <c r="B140" s="427"/>
      <c r="C140" s="443"/>
      <c r="D140" s="414"/>
      <c r="E140" s="415"/>
      <c r="F140" s="426"/>
      <c r="G140" s="416"/>
      <c r="H140" s="416"/>
      <c r="I140" s="417"/>
      <c r="J140" s="417"/>
      <c r="K140" s="427" t="s">
        <v>425</v>
      </c>
      <c r="L140" s="417">
        <v>6241</v>
      </c>
      <c r="M140" s="418"/>
      <c r="N140" s="417"/>
      <c r="O140" s="437">
        <v>3200</v>
      </c>
      <c r="P140" s="438">
        <v>2</v>
      </c>
      <c r="Q140" s="439">
        <f t="shared" ref="Q140:Q147" si="0">O140*P140</f>
        <v>6400</v>
      </c>
      <c r="R140" s="421"/>
      <c r="S140" s="420"/>
      <c r="T140" s="420"/>
      <c r="U140" s="420"/>
      <c r="V140" s="420"/>
      <c r="W140" s="420"/>
      <c r="X140" s="420"/>
      <c r="Y140" s="420"/>
    </row>
    <row r="141" spans="1:25">
      <c r="A141" s="413"/>
      <c r="B141" s="427"/>
      <c r="C141" s="443"/>
      <c r="D141" s="414"/>
      <c r="E141" s="415"/>
      <c r="F141" s="426"/>
      <c r="G141" s="416"/>
      <c r="H141" s="416"/>
      <c r="I141" s="417"/>
      <c r="J141" s="417"/>
      <c r="K141" s="427" t="s">
        <v>426</v>
      </c>
      <c r="L141" s="417">
        <v>6231</v>
      </c>
      <c r="M141" s="418"/>
      <c r="N141" s="417"/>
      <c r="O141" s="437">
        <v>1333.3333333333333</v>
      </c>
      <c r="P141" s="438">
        <v>2</v>
      </c>
      <c r="Q141" s="439">
        <f t="shared" si="0"/>
        <v>2666.6666666666665</v>
      </c>
      <c r="R141" s="421"/>
      <c r="S141" s="420"/>
      <c r="T141" s="420"/>
      <c r="U141" s="420"/>
      <c r="V141" s="420"/>
      <c r="W141" s="420"/>
      <c r="X141" s="420"/>
      <c r="Y141" s="420"/>
    </row>
    <row r="142" spans="1:25">
      <c r="A142" s="413"/>
      <c r="B142" s="427"/>
      <c r="C142" s="443"/>
      <c r="D142" s="414"/>
      <c r="E142" s="415"/>
      <c r="F142" s="426"/>
      <c r="G142" s="416"/>
      <c r="H142" s="416"/>
      <c r="I142" s="417"/>
      <c r="J142" s="417"/>
      <c r="K142" s="427" t="s">
        <v>415</v>
      </c>
      <c r="L142" s="417">
        <v>6275</v>
      </c>
      <c r="M142" s="418"/>
      <c r="N142" s="417"/>
      <c r="O142" s="437">
        <v>166.66666666666666</v>
      </c>
      <c r="P142" s="438">
        <v>2</v>
      </c>
      <c r="Q142" s="439">
        <f t="shared" si="0"/>
        <v>333.33333333333331</v>
      </c>
      <c r="R142" s="421"/>
      <c r="S142" s="420"/>
      <c r="T142" s="420"/>
      <c r="U142" s="420"/>
      <c r="V142" s="420"/>
      <c r="W142" s="420"/>
      <c r="X142" s="420"/>
      <c r="Y142" s="420"/>
    </row>
    <row r="143" spans="1:25" ht="28.15" customHeight="1">
      <c r="A143" s="413"/>
      <c r="B143" s="427"/>
      <c r="C143" s="443"/>
      <c r="D143" s="414"/>
      <c r="E143" s="415"/>
      <c r="F143" s="426"/>
      <c r="G143" s="416"/>
      <c r="H143" s="416"/>
      <c r="I143" s="417"/>
      <c r="J143" s="417"/>
      <c r="K143" s="427" t="s">
        <v>427</v>
      </c>
      <c r="L143" s="417">
        <v>6111</v>
      </c>
      <c r="M143" s="418"/>
      <c r="N143" s="417"/>
      <c r="O143" s="437">
        <v>1463</v>
      </c>
      <c r="P143" s="438">
        <v>1</v>
      </c>
      <c r="Q143" s="439">
        <f t="shared" si="0"/>
        <v>1463</v>
      </c>
      <c r="R143" s="421"/>
      <c r="S143" s="420"/>
      <c r="T143" s="420"/>
      <c r="U143" s="420"/>
      <c r="V143" s="420"/>
      <c r="W143" s="420"/>
      <c r="X143" s="420"/>
      <c r="Y143" s="420"/>
    </row>
    <row r="144" spans="1:25" ht="28.15" customHeight="1">
      <c r="A144" s="422">
        <v>6323</v>
      </c>
      <c r="B144" s="414" t="s">
        <v>428</v>
      </c>
      <c r="C144" s="414" t="s">
        <v>429</v>
      </c>
      <c r="D144" s="414"/>
      <c r="E144" s="415"/>
      <c r="F144" s="449">
        <v>43264</v>
      </c>
      <c r="G144" s="449">
        <v>43264</v>
      </c>
      <c r="H144" s="441" t="s">
        <v>421</v>
      </c>
      <c r="I144" s="417" t="s">
        <v>181</v>
      </c>
      <c r="J144" s="415" t="s">
        <v>423</v>
      </c>
      <c r="K144" s="417"/>
      <c r="L144" s="417"/>
      <c r="M144" s="418"/>
      <c r="N144" s="417"/>
      <c r="O144" s="437"/>
      <c r="P144" s="438"/>
      <c r="Q144" s="442">
        <f>Q145+Q146+Q147</f>
        <v>5666</v>
      </c>
      <c r="R144" s="421"/>
      <c r="S144" s="420"/>
      <c r="T144" s="420"/>
      <c r="U144" s="420"/>
      <c r="V144" s="421">
        <f>Q145+Q146</f>
        <v>1000</v>
      </c>
      <c r="W144" s="421">
        <f>Q147</f>
        <v>4666</v>
      </c>
      <c r="X144" s="420"/>
      <c r="Y144" s="420"/>
    </row>
    <row r="145" spans="1:25">
      <c r="A145" s="422"/>
      <c r="B145" s="427"/>
      <c r="C145" s="414"/>
      <c r="D145" s="414"/>
      <c r="E145" s="415"/>
      <c r="F145" s="426"/>
      <c r="G145" s="416"/>
      <c r="H145" s="416"/>
      <c r="I145" s="417"/>
      <c r="J145" s="417"/>
      <c r="K145" s="427" t="s">
        <v>418</v>
      </c>
      <c r="L145" s="417">
        <v>6225</v>
      </c>
      <c r="M145" s="418"/>
      <c r="N145" s="417"/>
      <c r="O145" s="437">
        <v>666.66666666666663</v>
      </c>
      <c r="P145" s="438">
        <v>1</v>
      </c>
      <c r="Q145" s="439">
        <f t="shared" si="0"/>
        <v>666.66666666666663</v>
      </c>
      <c r="R145" s="421"/>
      <c r="S145" s="420"/>
      <c r="T145" s="420"/>
      <c r="U145" s="420"/>
      <c r="V145" s="420"/>
      <c r="W145" s="420"/>
      <c r="X145" s="420"/>
      <c r="Y145" s="420"/>
    </row>
    <row r="146" spans="1:25">
      <c r="A146" s="422"/>
      <c r="B146" s="427"/>
      <c r="C146" s="414"/>
      <c r="D146" s="414"/>
      <c r="E146" s="415"/>
      <c r="F146" s="426"/>
      <c r="G146" s="416"/>
      <c r="H146" s="416"/>
      <c r="I146" s="417"/>
      <c r="J146" s="417"/>
      <c r="K146" s="427" t="s">
        <v>415</v>
      </c>
      <c r="L146" s="417">
        <v>6275</v>
      </c>
      <c r="M146" s="418"/>
      <c r="N146" s="417"/>
      <c r="O146" s="437">
        <v>333.33333333333331</v>
      </c>
      <c r="P146" s="438">
        <v>1</v>
      </c>
      <c r="Q146" s="439">
        <f t="shared" si="0"/>
        <v>333.33333333333331</v>
      </c>
      <c r="R146" s="421"/>
      <c r="S146" s="420"/>
      <c r="T146" s="420"/>
      <c r="U146" s="420"/>
      <c r="V146" s="420"/>
      <c r="W146" s="420"/>
      <c r="X146" s="420"/>
      <c r="Y146" s="420"/>
    </row>
    <row r="147" spans="1:25" ht="16.149999999999999" customHeight="1">
      <c r="A147" s="422"/>
      <c r="B147" s="427"/>
      <c r="C147" s="414"/>
      <c r="D147" s="414"/>
      <c r="E147" s="415"/>
      <c r="F147" s="426"/>
      <c r="G147" s="416"/>
      <c r="H147" s="416"/>
      <c r="I147" s="417"/>
      <c r="J147" s="417"/>
      <c r="K147" s="427" t="s">
        <v>430</v>
      </c>
      <c r="L147" s="417">
        <v>6224</v>
      </c>
      <c r="M147" s="418"/>
      <c r="N147" s="417"/>
      <c r="O147" s="437">
        <v>23.33</v>
      </c>
      <c r="P147" s="438">
        <v>200</v>
      </c>
      <c r="Q147" s="439">
        <f t="shared" si="0"/>
        <v>4666</v>
      </c>
      <c r="R147" s="421"/>
      <c r="S147" s="420"/>
      <c r="T147" s="420"/>
      <c r="U147" s="420"/>
      <c r="V147" s="420"/>
      <c r="W147" s="420"/>
      <c r="X147" s="420"/>
      <c r="Y147" s="420"/>
    </row>
    <row r="148" spans="1:25" ht="87.6" customHeight="1">
      <c r="A148" s="415">
        <v>6324</v>
      </c>
      <c r="B148" s="414" t="s">
        <v>431</v>
      </c>
      <c r="C148" s="414" t="s">
        <v>432</v>
      </c>
      <c r="D148" s="414"/>
      <c r="E148" s="415"/>
      <c r="F148" s="449">
        <v>43255</v>
      </c>
      <c r="G148" s="450">
        <v>43287</v>
      </c>
      <c r="H148" s="441" t="s">
        <v>421</v>
      </c>
      <c r="I148" s="417" t="s">
        <v>181</v>
      </c>
      <c r="J148" s="415" t="s">
        <v>423</v>
      </c>
      <c r="K148" s="417"/>
      <c r="L148" s="417"/>
      <c r="M148" s="418"/>
      <c r="N148" s="417"/>
      <c r="O148" s="437"/>
      <c r="P148" s="438"/>
      <c r="Q148" s="442">
        <f>Q149+Q150+Q151+Q152+Q153</f>
        <v>33345.979999999996</v>
      </c>
      <c r="R148" s="421"/>
      <c r="S148" s="420"/>
      <c r="T148" s="420"/>
      <c r="U148" s="421"/>
      <c r="V148" s="421">
        <f>($Q$148-$Q$153)*2/3</f>
        <v>19119.986666666664</v>
      </c>
      <c r="W148" s="421">
        <f>($Q$148-$Q$153)*1/3</f>
        <v>9559.993333333332</v>
      </c>
      <c r="X148" s="421">
        <f>Q153</f>
        <v>4666</v>
      </c>
      <c r="Y148" s="420"/>
    </row>
    <row r="149" spans="1:25">
      <c r="A149" s="422"/>
      <c r="B149" s="427"/>
      <c r="C149" s="414"/>
      <c r="D149" s="414"/>
      <c r="E149" s="415"/>
      <c r="F149" s="426"/>
      <c r="G149" s="416"/>
      <c r="H149" s="416"/>
      <c r="I149" s="417"/>
      <c r="J149" s="417"/>
      <c r="K149" s="427" t="s">
        <v>433</v>
      </c>
      <c r="L149" s="417">
        <v>6241</v>
      </c>
      <c r="M149" s="418"/>
      <c r="N149" s="417"/>
      <c r="O149" s="437">
        <v>3360</v>
      </c>
      <c r="P149" s="438">
        <v>3</v>
      </c>
      <c r="Q149" s="439">
        <f>O149*P149</f>
        <v>10080</v>
      </c>
      <c r="R149" s="421"/>
      <c r="S149" s="420"/>
      <c r="T149" s="420"/>
      <c r="U149" s="420"/>
      <c r="V149" s="420"/>
      <c r="W149" s="420"/>
      <c r="X149" s="420"/>
      <c r="Y149" s="420"/>
    </row>
    <row r="150" spans="1:25">
      <c r="A150" s="422"/>
      <c r="B150" s="427"/>
      <c r="C150" s="414"/>
      <c r="D150" s="414"/>
      <c r="E150" s="415"/>
      <c r="F150" s="426"/>
      <c r="G150" s="416"/>
      <c r="H150" s="416"/>
      <c r="I150" s="417"/>
      <c r="J150" s="417"/>
      <c r="K150" s="427" t="s">
        <v>434</v>
      </c>
      <c r="L150" s="417">
        <v>6241</v>
      </c>
      <c r="M150" s="418"/>
      <c r="N150" s="417"/>
      <c r="O150" s="437">
        <v>3200</v>
      </c>
      <c r="P150" s="438">
        <v>3</v>
      </c>
      <c r="Q150" s="439">
        <f>O150*P150</f>
        <v>9600</v>
      </c>
      <c r="R150" s="421"/>
      <c r="S150" s="420"/>
      <c r="T150" s="420"/>
      <c r="U150" s="420"/>
      <c r="V150" s="420"/>
      <c r="W150" s="420"/>
      <c r="X150" s="420"/>
      <c r="Y150" s="420"/>
    </row>
    <row r="151" spans="1:25">
      <c r="A151" s="422"/>
      <c r="B151" s="427"/>
      <c r="C151" s="414"/>
      <c r="D151" s="414"/>
      <c r="E151" s="415"/>
      <c r="F151" s="426"/>
      <c r="G151" s="416"/>
      <c r="H151" s="416"/>
      <c r="I151" s="417"/>
      <c r="J151" s="417"/>
      <c r="K151" s="427" t="s">
        <v>435</v>
      </c>
      <c r="L151" s="417">
        <v>6231</v>
      </c>
      <c r="M151" s="418"/>
      <c r="N151" s="417"/>
      <c r="O151" s="437">
        <v>1333.3333333333333</v>
      </c>
      <c r="P151" s="438">
        <v>3</v>
      </c>
      <c r="Q151" s="439">
        <f>O151*P151</f>
        <v>4000</v>
      </c>
      <c r="R151" s="421"/>
      <c r="S151" s="420"/>
      <c r="T151" s="420"/>
      <c r="U151" s="420"/>
      <c r="V151" s="420"/>
      <c r="W151" s="420"/>
      <c r="X151" s="420"/>
      <c r="Y151" s="420"/>
    </row>
    <row r="152" spans="1:25">
      <c r="A152" s="422"/>
      <c r="B152" s="427"/>
      <c r="C152" s="414"/>
      <c r="D152" s="414"/>
      <c r="E152" s="415"/>
      <c r="F152" s="426"/>
      <c r="G152" s="416"/>
      <c r="H152" s="416"/>
      <c r="I152" s="417"/>
      <c r="J152" s="417"/>
      <c r="K152" s="427" t="s">
        <v>415</v>
      </c>
      <c r="L152" s="417">
        <v>6275</v>
      </c>
      <c r="M152" s="418"/>
      <c r="N152" s="417"/>
      <c r="O152" s="437">
        <v>1666.66</v>
      </c>
      <c r="P152" s="438">
        <v>3</v>
      </c>
      <c r="Q152" s="439">
        <f>O152*P152</f>
        <v>4999.9800000000005</v>
      </c>
      <c r="R152" s="421"/>
      <c r="S152" s="420"/>
      <c r="T152" s="420"/>
      <c r="U152" s="420"/>
      <c r="V152" s="420"/>
      <c r="W152" s="420"/>
      <c r="X152" s="420"/>
      <c r="Y152" s="420"/>
    </row>
    <row r="153" spans="1:25" ht="17.45" customHeight="1">
      <c r="A153" s="422"/>
      <c r="B153" s="427"/>
      <c r="C153" s="414"/>
      <c r="D153" s="414"/>
      <c r="E153" s="415"/>
      <c r="F153" s="426"/>
      <c r="G153" s="416"/>
      <c r="H153" s="416"/>
      <c r="I153" s="417"/>
      <c r="J153" s="417"/>
      <c r="K153" s="427" t="s">
        <v>436</v>
      </c>
      <c r="L153" s="417">
        <v>6224</v>
      </c>
      <c r="M153" s="418"/>
      <c r="N153" s="417"/>
      <c r="O153" s="437">
        <v>23.33</v>
      </c>
      <c r="P153" s="438">
        <v>200</v>
      </c>
      <c r="Q153" s="439">
        <f>O153*P153</f>
        <v>4666</v>
      </c>
      <c r="R153" s="421"/>
      <c r="S153" s="420"/>
      <c r="T153" s="420"/>
      <c r="U153" s="420"/>
      <c r="V153" s="420"/>
      <c r="W153" s="420"/>
      <c r="X153" s="420"/>
      <c r="Y153" s="420"/>
    </row>
    <row r="154" spans="1:25" ht="43.15" customHeight="1">
      <c r="A154" s="415"/>
      <c r="B154" s="414"/>
      <c r="C154" s="414"/>
      <c r="D154" s="414"/>
      <c r="E154" s="415"/>
      <c r="F154" s="426"/>
      <c r="G154" s="416"/>
      <c r="H154" s="415"/>
      <c r="I154" s="417"/>
      <c r="J154" s="417"/>
      <c r="K154" s="417"/>
      <c r="L154" s="417"/>
      <c r="M154" s="418"/>
      <c r="N154" s="417"/>
      <c r="O154" s="437"/>
      <c r="P154" s="438" t="s">
        <v>285</v>
      </c>
      <c r="Q154" s="451">
        <f>Q148+Q144+Q138+Q133+Q128+Q127+Q137</f>
        <v>129744.98</v>
      </c>
      <c r="R154" s="421">
        <f>+R13+R32+R61+R80+R108+R112</f>
        <v>0</v>
      </c>
      <c r="S154" s="420"/>
      <c r="T154" s="420"/>
      <c r="U154" s="420"/>
      <c r="V154" s="420"/>
      <c r="W154" s="420"/>
      <c r="X154" s="420"/>
      <c r="Y154" s="420"/>
    </row>
  </sheetData>
  <mergeCells count="65">
    <mergeCell ref="A2:V2"/>
    <mergeCell ref="A5:A6"/>
    <mergeCell ref="B5:B6"/>
    <mergeCell ref="C5:C6"/>
    <mergeCell ref="D5:D6"/>
    <mergeCell ref="E5:E6"/>
    <mergeCell ref="F5:G5"/>
    <mergeCell ref="H5:H6"/>
    <mergeCell ref="I5:J5"/>
    <mergeCell ref="K5:K6"/>
    <mergeCell ref="R5:R6"/>
    <mergeCell ref="S5:Y5"/>
    <mergeCell ref="P5:P6"/>
    <mergeCell ref="Q5:Q6"/>
    <mergeCell ref="B13:I13"/>
    <mergeCell ref="L5:L6"/>
    <mergeCell ref="M5:M6"/>
    <mergeCell ref="N5:N6"/>
    <mergeCell ref="O5:O6"/>
    <mergeCell ref="A7:I7"/>
    <mergeCell ref="A8:I8"/>
    <mergeCell ref="B9:I9"/>
    <mergeCell ref="B47:I47"/>
    <mergeCell ref="A17:I17"/>
    <mergeCell ref="B18:I18"/>
    <mergeCell ref="B22:I22"/>
    <mergeCell ref="A26:I26"/>
    <mergeCell ref="A27:I27"/>
    <mergeCell ref="B28:I28"/>
    <mergeCell ref="B32:I32"/>
    <mergeCell ref="A36:I36"/>
    <mergeCell ref="B37:I37"/>
    <mergeCell ref="B42:I42"/>
    <mergeCell ref="A46:I46"/>
    <mergeCell ref="B80:I80"/>
    <mergeCell ref="B51:I51"/>
    <mergeCell ref="A55:I55"/>
    <mergeCell ref="A56:I56"/>
    <mergeCell ref="B57:I57"/>
    <mergeCell ref="B61:I61"/>
    <mergeCell ref="A65:I65"/>
    <mergeCell ref="B66:I66"/>
    <mergeCell ref="B70:I70"/>
    <mergeCell ref="A74:I74"/>
    <mergeCell ref="A75:I75"/>
    <mergeCell ref="B76:I76"/>
    <mergeCell ref="B108:I108"/>
    <mergeCell ref="A84:I84"/>
    <mergeCell ref="B85:I85"/>
    <mergeCell ref="B89:I89"/>
    <mergeCell ref="A93:I93"/>
    <mergeCell ref="B94:I94"/>
    <mergeCell ref="B98:I98"/>
    <mergeCell ref="A102:I102"/>
    <mergeCell ref="A103:I103"/>
    <mergeCell ref="B104:I104"/>
    <mergeCell ref="A106:I106"/>
    <mergeCell ref="A107:I107"/>
    <mergeCell ref="B136:I136"/>
    <mergeCell ref="B112:I112"/>
    <mergeCell ref="A116:I116"/>
    <mergeCell ref="B117:I117"/>
    <mergeCell ref="B121:I121"/>
    <mergeCell ref="A125:I125"/>
    <mergeCell ref="B126:I12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Y140"/>
  <sheetViews>
    <sheetView topLeftCell="A39" zoomScale="73" zoomScaleNormal="73" workbookViewId="0">
      <selection activeCell="R45" sqref="R45"/>
    </sheetView>
  </sheetViews>
  <sheetFormatPr baseColWidth="10" defaultColWidth="11.42578125" defaultRowHeight="15.75"/>
  <cols>
    <col min="1" max="1" width="9" style="336" bestFit="1" customWidth="1"/>
    <col min="2" max="2" width="45.28515625" style="337" bestFit="1" customWidth="1"/>
    <col min="3" max="3" width="34.85546875" style="337" customWidth="1"/>
    <col min="4" max="4" width="9.5703125" style="337" customWidth="1"/>
    <col min="5" max="5" width="13.140625" style="338" customWidth="1"/>
    <col min="6" max="6" width="22.7109375" style="339" customWidth="1"/>
    <col min="7" max="7" width="19.28515625" style="340" customWidth="1"/>
    <col min="8" max="8" width="24.28515625" style="340" customWidth="1"/>
    <col min="9" max="9" width="14" style="341" bestFit="1" customWidth="1"/>
    <col min="10" max="10" width="21" style="342" bestFit="1" customWidth="1"/>
    <col min="11" max="11" width="16.140625" style="341" customWidth="1"/>
    <col min="12" max="12" width="13.85546875" style="342" customWidth="1"/>
    <col min="13" max="13" width="13.85546875" style="280" customWidth="1"/>
    <col min="14" max="14" width="13.85546875" style="341" customWidth="1"/>
    <col min="15" max="15" width="14.85546875" style="343" bestFit="1" customWidth="1"/>
    <col min="16" max="16" width="14" style="342" customWidth="1"/>
    <col min="17" max="17" width="14.7109375" style="315" bestFit="1" customWidth="1"/>
    <col min="18" max="18" width="17" style="344" bestFit="1" customWidth="1"/>
    <col min="19" max="19" width="14.7109375" style="315" bestFit="1" customWidth="1"/>
    <col min="20" max="20" width="10.42578125" style="315" customWidth="1"/>
    <col min="21" max="21" width="15.5703125" style="315" customWidth="1"/>
    <col min="22" max="22" width="15.85546875" style="315" customWidth="1"/>
    <col min="23" max="25" width="10.42578125" style="315" customWidth="1"/>
    <col min="26" max="16384" width="11.42578125" style="280"/>
  </cols>
  <sheetData>
    <row r="1" spans="1:25" s="238" customFormat="1">
      <c r="A1" s="234"/>
      <c r="B1" s="235"/>
      <c r="C1" s="235"/>
      <c r="D1" s="235"/>
      <c r="E1" s="236"/>
      <c r="F1" s="237"/>
      <c r="G1" s="237"/>
      <c r="H1" s="237"/>
      <c r="I1" s="237"/>
      <c r="J1" s="237"/>
      <c r="K1" s="237"/>
      <c r="L1" s="237"/>
      <c r="N1" s="237"/>
      <c r="O1" s="239"/>
      <c r="P1" s="237"/>
      <c r="Q1" s="240"/>
      <c r="R1" s="241"/>
      <c r="S1" s="239"/>
      <c r="T1" s="239"/>
      <c r="U1" s="239"/>
      <c r="V1" s="239"/>
      <c r="W1" s="239"/>
      <c r="X1" s="239"/>
      <c r="Y1" s="239"/>
    </row>
    <row r="2" spans="1:25" s="238" customFormat="1" ht="15.75" customHeight="1">
      <c r="A2" s="3443" t="s">
        <v>202</v>
      </c>
      <c r="B2" s="3443"/>
      <c r="C2" s="3443"/>
      <c r="D2" s="3443"/>
      <c r="E2" s="3443"/>
      <c r="F2" s="3443"/>
      <c r="G2" s="3443"/>
      <c r="H2" s="3443"/>
      <c r="I2" s="3443"/>
      <c r="J2" s="3443"/>
      <c r="K2" s="3443"/>
      <c r="L2" s="3443"/>
      <c r="M2" s="3443"/>
      <c r="N2" s="3443"/>
      <c r="O2" s="3443"/>
      <c r="P2" s="3443"/>
      <c r="Q2" s="3443"/>
      <c r="R2" s="3443"/>
      <c r="S2" s="3443"/>
      <c r="T2" s="3443"/>
      <c r="U2" s="3443"/>
      <c r="V2" s="3443"/>
    </row>
    <row r="3" spans="1:25" s="249" customFormat="1" ht="15.75" customHeight="1">
      <c r="A3" s="244"/>
      <c r="B3" s="244"/>
      <c r="C3" s="244"/>
      <c r="D3" s="244"/>
      <c r="E3" s="245"/>
      <c r="F3" s="244"/>
      <c r="G3" s="244"/>
      <c r="H3" s="244"/>
      <c r="I3" s="245"/>
      <c r="J3" s="245"/>
      <c r="K3" s="245"/>
      <c r="L3" s="245"/>
      <c r="M3" s="244"/>
      <c r="N3" s="245"/>
      <c r="O3" s="246"/>
      <c r="P3" s="245"/>
      <c r="Q3" s="247"/>
      <c r="R3" s="248"/>
      <c r="S3" s="244"/>
      <c r="T3" s="244"/>
      <c r="U3" s="244"/>
      <c r="V3" s="244"/>
    </row>
    <row r="4" spans="1:25" s="255" customFormat="1" ht="15">
      <c r="A4" s="251"/>
      <c r="B4" s="252"/>
      <c r="C4" s="252"/>
      <c r="D4" s="252"/>
      <c r="E4" s="253"/>
      <c r="F4" s="254"/>
      <c r="G4" s="254"/>
      <c r="H4" s="254"/>
      <c r="I4" s="254"/>
      <c r="J4" s="254"/>
      <c r="K4" s="254"/>
      <c r="L4" s="254"/>
      <c r="N4" s="254"/>
      <c r="O4" s="256"/>
      <c r="P4" s="254"/>
      <c r="Q4" s="257"/>
      <c r="R4" s="258"/>
      <c r="S4" s="256"/>
      <c r="T4" s="256"/>
      <c r="U4" s="256"/>
      <c r="V4" s="256"/>
      <c r="W4" s="256"/>
      <c r="X4" s="256"/>
      <c r="Y4" s="256"/>
    </row>
    <row r="5" spans="1:25" s="238" customFormat="1" ht="34.5" customHeight="1">
      <c r="A5" s="3466" t="s">
        <v>203</v>
      </c>
      <c r="B5" s="3462" t="s">
        <v>204</v>
      </c>
      <c r="C5" s="3462" t="s">
        <v>205</v>
      </c>
      <c r="D5" s="3464" t="s">
        <v>206</v>
      </c>
      <c r="E5" s="3467" t="s">
        <v>207</v>
      </c>
      <c r="F5" s="3468" t="s">
        <v>208</v>
      </c>
      <c r="G5" s="3468"/>
      <c r="H5" s="3468" t="s">
        <v>209</v>
      </c>
      <c r="I5" s="3469" t="s">
        <v>210</v>
      </c>
      <c r="J5" s="3469"/>
      <c r="K5" s="3470" t="s">
        <v>211</v>
      </c>
      <c r="L5" s="3462" t="s">
        <v>212</v>
      </c>
      <c r="M5" s="3463" t="s">
        <v>213</v>
      </c>
      <c r="N5" s="3464" t="s">
        <v>214</v>
      </c>
      <c r="O5" s="3465" t="s">
        <v>215</v>
      </c>
      <c r="P5" s="3462" t="s">
        <v>216</v>
      </c>
      <c r="Q5" s="3465" t="s">
        <v>286</v>
      </c>
      <c r="R5" s="3471" t="s">
        <v>287</v>
      </c>
      <c r="S5" s="3472" t="s">
        <v>219</v>
      </c>
      <c r="T5" s="3472"/>
      <c r="U5" s="3472"/>
      <c r="V5" s="3472"/>
      <c r="W5" s="3472"/>
      <c r="X5" s="3472"/>
      <c r="Y5" s="3472"/>
    </row>
    <row r="6" spans="1:25" s="237" customFormat="1" ht="60" customHeight="1">
      <c r="A6" s="3466"/>
      <c r="B6" s="3462"/>
      <c r="C6" s="3462"/>
      <c r="D6" s="3442"/>
      <c r="E6" s="3446"/>
      <c r="F6" s="260" t="s">
        <v>220</v>
      </c>
      <c r="G6" s="261" t="s">
        <v>221</v>
      </c>
      <c r="H6" s="3468"/>
      <c r="I6" s="262" t="s">
        <v>222</v>
      </c>
      <c r="J6" s="262" t="s">
        <v>288</v>
      </c>
      <c r="K6" s="3450"/>
      <c r="L6" s="3462"/>
      <c r="M6" s="3463"/>
      <c r="N6" s="3442"/>
      <c r="O6" s="3465"/>
      <c r="P6" s="3462"/>
      <c r="Q6" s="3465"/>
      <c r="R6" s="3471"/>
      <c r="S6" s="263" t="s">
        <v>224</v>
      </c>
      <c r="T6" s="263" t="s">
        <v>225</v>
      </c>
      <c r="U6" s="263" t="s">
        <v>226</v>
      </c>
      <c r="V6" s="263" t="s">
        <v>227</v>
      </c>
      <c r="W6" s="263" t="s">
        <v>228</v>
      </c>
      <c r="X6" s="263" t="s">
        <v>229</v>
      </c>
      <c r="Y6" s="263" t="s">
        <v>230</v>
      </c>
    </row>
    <row r="7" spans="1:25" s="272" customFormat="1" ht="33.75" customHeight="1">
      <c r="A7" s="3458" t="s">
        <v>231</v>
      </c>
      <c r="B7" s="3458"/>
      <c r="C7" s="3458"/>
      <c r="D7" s="3458"/>
      <c r="E7" s="3458"/>
      <c r="F7" s="3458"/>
      <c r="G7" s="3458"/>
      <c r="H7" s="3458"/>
      <c r="I7" s="3458"/>
      <c r="J7" s="265"/>
      <c r="K7" s="265"/>
      <c r="L7" s="265"/>
      <c r="M7" s="266"/>
      <c r="N7" s="265"/>
      <c r="O7" s="267"/>
      <c r="P7" s="265"/>
      <c r="Q7" s="268"/>
      <c r="R7" s="269">
        <f>+'[11]Compil Costing PPA 3 millions'!F5</f>
        <v>449500</v>
      </c>
      <c r="S7" s="270"/>
      <c r="T7" s="270"/>
      <c r="U7" s="270"/>
      <c r="V7" s="270"/>
      <c r="W7" s="270"/>
      <c r="X7" s="270"/>
      <c r="Y7" s="270"/>
    </row>
    <row r="8" spans="1:25" ht="37.5" customHeight="1">
      <c r="A8" s="3457" t="s">
        <v>232</v>
      </c>
      <c r="B8" s="3457"/>
      <c r="C8" s="3457"/>
      <c r="D8" s="3457"/>
      <c r="E8" s="3457"/>
      <c r="F8" s="3457"/>
      <c r="G8" s="3457"/>
      <c r="H8" s="3457"/>
      <c r="I8" s="3457"/>
      <c r="J8" s="273"/>
      <c r="K8" s="273"/>
      <c r="L8" s="273"/>
      <c r="M8" s="274"/>
      <c r="N8" s="273"/>
      <c r="O8" s="275"/>
      <c r="P8" s="273"/>
      <c r="Q8" s="276"/>
      <c r="R8" s="277"/>
      <c r="S8" s="278"/>
      <c r="T8" s="278"/>
      <c r="U8" s="278"/>
      <c r="V8" s="274"/>
      <c r="W8" s="274"/>
      <c r="X8" s="274"/>
      <c r="Y8" s="274"/>
    </row>
    <row r="9" spans="1:25" ht="16.5" customHeight="1">
      <c r="A9" s="281">
        <v>111</v>
      </c>
      <c r="B9" s="3456"/>
      <c r="C9" s="3456"/>
      <c r="D9" s="3456"/>
      <c r="E9" s="3456"/>
      <c r="F9" s="3456"/>
      <c r="G9" s="3456"/>
      <c r="H9" s="3456"/>
      <c r="I9" s="3456"/>
      <c r="J9" s="282"/>
      <c r="K9" s="283"/>
      <c r="L9" s="282"/>
      <c r="M9" s="284"/>
      <c r="N9" s="283"/>
      <c r="O9" s="285"/>
      <c r="P9" s="282"/>
      <c r="Q9" s="286"/>
      <c r="R9" s="287"/>
      <c r="S9" s="288"/>
      <c r="T9" s="288"/>
      <c r="U9" s="288"/>
      <c r="V9" s="288"/>
      <c r="W9" s="288"/>
      <c r="X9" s="288"/>
      <c r="Y9" s="288"/>
    </row>
    <row r="10" spans="1:25" ht="16.5" customHeight="1">
      <c r="A10" s="290">
        <v>1111</v>
      </c>
      <c r="B10" s="291"/>
      <c r="C10" s="291"/>
      <c r="D10" s="291"/>
      <c r="E10" s="292"/>
      <c r="F10" s="293"/>
      <c r="G10" s="293"/>
      <c r="H10" s="293"/>
      <c r="I10" s="294"/>
      <c r="J10" s="295"/>
      <c r="K10" s="294"/>
      <c r="L10" s="295"/>
      <c r="M10" s="296"/>
      <c r="N10" s="294"/>
      <c r="O10" s="297"/>
      <c r="P10" s="295"/>
      <c r="Q10" s="298"/>
      <c r="R10" s="299"/>
      <c r="S10" s="298"/>
      <c r="T10" s="298"/>
      <c r="U10" s="298"/>
      <c r="V10" s="298"/>
      <c r="W10" s="298"/>
      <c r="X10" s="298"/>
      <c r="Y10" s="298"/>
    </row>
    <row r="11" spans="1:25" ht="16.5" customHeight="1">
      <c r="A11" s="290">
        <v>1112</v>
      </c>
      <c r="B11" s="291"/>
      <c r="C11" s="291"/>
      <c r="D11" s="291"/>
      <c r="E11" s="292"/>
      <c r="F11" s="293"/>
      <c r="G11" s="293"/>
      <c r="H11" s="293"/>
      <c r="I11" s="294"/>
      <c r="J11" s="295"/>
      <c r="K11" s="294"/>
      <c r="L11" s="295"/>
      <c r="M11" s="296"/>
      <c r="N11" s="294"/>
      <c r="O11" s="297"/>
      <c r="P11" s="295"/>
      <c r="Q11" s="298"/>
      <c r="R11" s="299"/>
      <c r="S11" s="298"/>
      <c r="T11" s="298"/>
      <c r="U11" s="298"/>
      <c r="V11" s="298"/>
      <c r="W11" s="298"/>
      <c r="X11" s="298"/>
      <c r="Y11" s="298"/>
    </row>
    <row r="12" spans="1:25" ht="16.5" customHeight="1">
      <c r="A12" s="290">
        <v>1113</v>
      </c>
      <c r="B12" s="291"/>
      <c r="C12" s="291"/>
      <c r="D12" s="291"/>
      <c r="E12" s="292"/>
      <c r="F12" s="293"/>
      <c r="G12" s="293"/>
      <c r="H12" s="293"/>
      <c r="I12" s="294"/>
      <c r="J12" s="295"/>
      <c r="K12" s="294"/>
      <c r="L12" s="295"/>
      <c r="M12" s="296"/>
      <c r="N12" s="294"/>
      <c r="O12" s="297"/>
      <c r="P12" s="295"/>
      <c r="Q12" s="298"/>
      <c r="R12" s="299"/>
      <c r="S12" s="298"/>
      <c r="T12" s="298"/>
      <c r="U12" s="298"/>
      <c r="V12" s="298"/>
      <c r="W12" s="298"/>
      <c r="X12" s="298"/>
      <c r="Y12" s="298"/>
    </row>
    <row r="13" spans="1:25" ht="16.5" customHeight="1">
      <c r="A13" s="281">
        <v>112</v>
      </c>
      <c r="B13" s="3456"/>
      <c r="C13" s="3456"/>
      <c r="D13" s="3456"/>
      <c r="E13" s="3456"/>
      <c r="F13" s="3456"/>
      <c r="G13" s="3456"/>
      <c r="H13" s="3456"/>
      <c r="I13" s="3456"/>
      <c r="J13" s="282"/>
      <c r="K13" s="283"/>
      <c r="L13" s="282"/>
      <c r="M13" s="284"/>
      <c r="N13" s="283"/>
      <c r="O13" s="285"/>
      <c r="P13" s="282"/>
      <c r="Q13" s="286"/>
      <c r="R13" s="287"/>
      <c r="S13" s="288"/>
      <c r="T13" s="288"/>
      <c r="U13" s="288"/>
      <c r="V13" s="288"/>
      <c r="W13" s="288"/>
      <c r="X13" s="288"/>
      <c r="Y13" s="288"/>
    </row>
    <row r="14" spans="1:25">
      <c r="A14" s="290">
        <v>1121</v>
      </c>
      <c r="B14" s="291"/>
      <c r="C14" s="291"/>
      <c r="D14" s="291"/>
      <c r="E14" s="292"/>
      <c r="F14" s="293"/>
      <c r="G14" s="293"/>
      <c r="H14" s="293"/>
      <c r="I14" s="294"/>
      <c r="J14" s="295"/>
      <c r="K14" s="294"/>
      <c r="L14" s="295"/>
      <c r="M14" s="296"/>
      <c r="N14" s="294"/>
      <c r="O14" s="297"/>
      <c r="P14" s="295"/>
      <c r="Q14" s="298"/>
      <c r="R14" s="299"/>
      <c r="S14" s="298"/>
      <c r="T14" s="298"/>
      <c r="U14" s="298"/>
      <c r="V14" s="298"/>
      <c r="W14" s="298"/>
      <c r="X14" s="298"/>
      <c r="Y14" s="298"/>
    </row>
    <row r="15" spans="1:25">
      <c r="A15" s="290">
        <v>1122</v>
      </c>
      <c r="B15" s="291"/>
      <c r="C15" s="291"/>
      <c r="D15" s="291"/>
      <c r="E15" s="292"/>
      <c r="F15" s="293"/>
      <c r="G15" s="293"/>
      <c r="H15" s="293"/>
      <c r="I15" s="294"/>
      <c r="J15" s="295"/>
      <c r="K15" s="294"/>
      <c r="L15" s="295"/>
      <c r="M15" s="296"/>
      <c r="N15" s="294"/>
      <c r="O15" s="297"/>
      <c r="P15" s="295"/>
      <c r="Q15" s="298"/>
      <c r="R15" s="299"/>
      <c r="S15" s="298"/>
      <c r="T15" s="298"/>
      <c r="U15" s="298"/>
      <c r="V15" s="298"/>
      <c r="W15" s="298"/>
      <c r="X15" s="298"/>
      <c r="Y15" s="298"/>
    </row>
    <row r="16" spans="1:25">
      <c r="A16" s="301" t="s">
        <v>233</v>
      </c>
      <c r="B16" s="291"/>
      <c r="C16" s="291"/>
      <c r="D16" s="291"/>
      <c r="E16" s="292"/>
      <c r="F16" s="293"/>
      <c r="G16" s="293"/>
      <c r="H16" s="293"/>
      <c r="I16" s="294"/>
      <c r="J16" s="295"/>
      <c r="K16" s="294"/>
      <c r="L16" s="295"/>
      <c r="M16" s="296"/>
      <c r="N16" s="294"/>
      <c r="O16" s="297"/>
      <c r="P16" s="295"/>
      <c r="Q16" s="298"/>
      <c r="R16" s="299"/>
      <c r="S16" s="298"/>
      <c r="T16" s="298"/>
      <c r="U16" s="298"/>
      <c r="V16" s="298"/>
      <c r="W16" s="298"/>
      <c r="X16" s="298"/>
      <c r="Y16" s="298"/>
    </row>
    <row r="17" spans="1:25" ht="37.5" customHeight="1">
      <c r="A17" s="3457" t="s">
        <v>234</v>
      </c>
      <c r="B17" s="3457"/>
      <c r="C17" s="3457"/>
      <c r="D17" s="3457"/>
      <c r="E17" s="3457"/>
      <c r="F17" s="3457"/>
      <c r="G17" s="3457"/>
      <c r="H17" s="3457"/>
      <c r="I17" s="3457"/>
      <c r="J17" s="273"/>
      <c r="K17" s="273"/>
      <c r="L17" s="273"/>
      <c r="M17" s="274"/>
      <c r="N17" s="273"/>
      <c r="O17" s="275"/>
      <c r="P17" s="273"/>
      <c r="Q17" s="276"/>
      <c r="R17" s="277"/>
      <c r="S17" s="278"/>
      <c r="T17" s="278"/>
      <c r="U17" s="278"/>
      <c r="V17" s="274"/>
      <c r="W17" s="274"/>
      <c r="X17" s="274"/>
      <c r="Y17" s="274"/>
    </row>
    <row r="18" spans="1:25" ht="16.5" customHeight="1">
      <c r="A18" s="281">
        <v>121</v>
      </c>
      <c r="B18" s="3456"/>
      <c r="C18" s="3456"/>
      <c r="D18" s="3456"/>
      <c r="E18" s="3456"/>
      <c r="F18" s="3456"/>
      <c r="G18" s="3456"/>
      <c r="H18" s="3456"/>
      <c r="I18" s="3456"/>
      <c r="J18" s="282"/>
      <c r="K18" s="283"/>
      <c r="L18" s="282"/>
      <c r="M18" s="284"/>
      <c r="N18" s="283"/>
      <c r="O18" s="285"/>
      <c r="P18" s="282"/>
      <c r="Q18" s="286"/>
      <c r="R18" s="287"/>
      <c r="S18" s="288"/>
      <c r="T18" s="288"/>
      <c r="U18" s="288"/>
      <c r="V18" s="288"/>
      <c r="W18" s="288"/>
      <c r="X18" s="288"/>
      <c r="Y18" s="288"/>
    </row>
    <row r="19" spans="1:25" ht="16.5" customHeight="1">
      <c r="A19" s="290">
        <v>1211</v>
      </c>
      <c r="B19" s="291"/>
      <c r="C19" s="291"/>
      <c r="D19" s="291"/>
      <c r="E19" s="292"/>
      <c r="F19" s="293"/>
      <c r="G19" s="293"/>
      <c r="H19" s="293"/>
      <c r="I19" s="294"/>
      <c r="J19" s="295"/>
      <c r="K19" s="294"/>
      <c r="L19" s="295"/>
      <c r="M19" s="296"/>
      <c r="N19" s="294"/>
      <c r="O19" s="297"/>
      <c r="P19" s="295"/>
      <c r="Q19" s="298"/>
      <c r="R19" s="299"/>
      <c r="S19" s="298"/>
      <c r="T19" s="298"/>
      <c r="U19" s="298"/>
      <c r="V19" s="298"/>
      <c r="W19" s="298"/>
      <c r="X19" s="298"/>
      <c r="Y19" s="298"/>
    </row>
    <row r="20" spans="1:25" ht="16.5" customHeight="1">
      <c r="A20" s="290">
        <v>1212</v>
      </c>
      <c r="B20" s="291"/>
      <c r="C20" s="291"/>
      <c r="D20" s="291"/>
      <c r="E20" s="292"/>
      <c r="F20" s="293"/>
      <c r="G20" s="293"/>
      <c r="H20" s="293"/>
      <c r="I20" s="294"/>
      <c r="J20" s="295"/>
      <c r="K20" s="294"/>
      <c r="L20" s="295"/>
      <c r="M20" s="296"/>
      <c r="N20" s="294"/>
      <c r="O20" s="297"/>
      <c r="P20" s="295"/>
      <c r="Q20" s="298"/>
      <c r="R20" s="299"/>
      <c r="S20" s="298"/>
      <c r="T20" s="298"/>
      <c r="U20" s="298"/>
      <c r="V20" s="298"/>
      <c r="W20" s="298"/>
      <c r="X20" s="298"/>
      <c r="Y20" s="298"/>
    </row>
    <row r="21" spans="1:25" ht="16.5" customHeight="1">
      <c r="A21" s="290">
        <v>1213</v>
      </c>
      <c r="B21" s="291"/>
      <c r="C21" s="291"/>
      <c r="D21" s="291"/>
      <c r="E21" s="292"/>
      <c r="F21" s="293"/>
      <c r="G21" s="293"/>
      <c r="H21" s="293"/>
      <c r="I21" s="294"/>
      <c r="J21" s="295"/>
      <c r="K21" s="294"/>
      <c r="L21" s="295"/>
      <c r="M21" s="296"/>
      <c r="N21" s="294"/>
      <c r="O21" s="297"/>
      <c r="P21" s="295"/>
      <c r="Q21" s="298"/>
      <c r="R21" s="299"/>
      <c r="S21" s="298"/>
      <c r="T21" s="298"/>
      <c r="U21" s="298"/>
      <c r="V21" s="298"/>
      <c r="W21" s="298"/>
      <c r="X21" s="298"/>
      <c r="Y21" s="298"/>
    </row>
    <row r="22" spans="1:25" ht="16.5" customHeight="1">
      <c r="A22" s="281">
        <v>122</v>
      </c>
      <c r="B22" s="3456"/>
      <c r="C22" s="3456"/>
      <c r="D22" s="3456"/>
      <c r="E22" s="3456"/>
      <c r="F22" s="3456"/>
      <c r="G22" s="3456"/>
      <c r="H22" s="3456"/>
      <c r="I22" s="3456"/>
      <c r="J22" s="282"/>
      <c r="K22" s="283"/>
      <c r="L22" s="282"/>
      <c r="M22" s="284"/>
      <c r="N22" s="283"/>
      <c r="O22" s="285"/>
      <c r="P22" s="282"/>
      <c r="Q22" s="286"/>
      <c r="R22" s="287"/>
      <c r="S22" s="288"/>
      <c r="T22" s="288"/>
      <c r="U22" s="288"/>
      <c r="V22" s="288"/>
      <c r="W22" s="288"/>
      <c r="X22" s="288"/>
      <c r="Y22" s="288"/>
    </row>
    <row r="23" spans="1:25" ht="16.5" customHeight="1">
      <c r="A23" s="290">
        <v>1221</v>
      </c>
      <c r="B23" s="291"/>
      <c r="C23" s="291"/>
      <c r="D23" s="291"/>
      <c r="E23" s="292"/>
      <c r="F23" s="293"/>
      <c r="G23" s="293"/>
      <c r="H23" s="293"/>
      <c r="I23" s="294"/>
      <c r="J23" s="295"/>
      <c r="K23" s="294"/>
      <c r="L23" s="295"/>
      <c r="M23" s="296"/>
      <c r="N23" s="294"/>
      <c r="O23" s="297"/>
      <c r="P23" s="295"/>
      <c r="Q23" s="298"/>
      <c r="R23" s="299"/>
      <c r="S23" s="298"/>
      <c r="T23" s="298"/>
      <c r="U23" s="298"/>
      <c r="V23" s="298"/>
      <c r="W23" s="298"/>
      <c r="X23" s="298"/>
      <c r="Y23" s="298"/>
    </row>
    <row r="24" spans="1:25" ht="16.5" customHeight="1">
      <c r="A24" s="290">
        <v>1222</v>
      </c>
      <c r="B24" s="291"/>
      <c r="C24" s="291"/>
      <c r="D24" s="291"/>
      <c r="E24" s="292"/>
      <c r="F24" s="293"/>
      <c r="G24" s="293"/>
      <c r="H24" s="293"/>
      <c r="I24" s="294"/>
      <c r="J24" s="295"/>
      <c r="K24" s="294"/>
      <c r="L24" s="295"/>
      <c r="M24" s="296"/>
      <c r="N24" s="294"/>
      <c r="O24" s="297"/>
      <c r="P24" s="295"/>
      <c r="Q24" s="298"/>
      <c r="R24" s="299"/>
      <c r="S24" s="298"/>
      <c r="T24" s="298"/>
      <c r="U24" s="298"/>
      <c r="V24" s="298"/>
      <c r="W24" s="298"/>
      <c r="X24" s="298"/>
      <c r="Y24" s="298"/>
    </row>
    <row r="25" spans="1:25">
      <c r="A25" s="301" t="s">
        <v>233</v>
      </c>
      <c r="B25" s="291"/>
      <c r="C25" s="291"/>
      <c r="D25" s="291"/>
      <c r="E25" s="292"/>
      <c r="F25" s="293"/>
      <c r="G25" s="293"/>
      <c r="H25" s="293"/>
      <c r="I25" s="294"/>
      <c r="J25" s="295"/>
      <c r="K25" s="294"/>
      <c r="L25" s="295"/>
      <c r="M25" s="296"/>
      <c r="N25" s="294"/>
      <c r="O25" s="297"/>
      <c r="P25" s="295"/>
      <c r="Q25" s="298"/>
      <c r="R25" s="299"/>
      <c r="S25" s="298"/>
      <c r="T25" s="298"/>
      <c r="U25" s="298"/>
      <c r="V25" s="298"/>
      <c r="W25" s="298"/>
      <c r="X25" s="298"/>
      <c r="Y25" s="298"/>
    </row>
    <row r="26" spans="1:25" s="272" customFormat="1" ht="33.75" customHeight="1">
      <c r="A26" s="3458" t="s">
        <v>235</v>
      </c>
      <c r="B26" s="3458"/>
      <c r="C26" s="3458"/>
      <c r="D26" s="3458"/>
      <c r="E26" s="3458"/>
      <c r="F26" s="3458"/>
      <c r="G26" s="3458"/>
      <c r="H26" s="3458"/>
      <c r="I26" s="3458"/>
      <c r="J26" s="265"/>
      <c r="K26" s="265"/>
      <c r="L26" s="265"/>
      <c r="M26" s="266"/>
      <c r="N26" s="265"/>
      <c r="O26" s="267"/>
      <c r="P26" s="265"/>
      <c r="Q26" s="268"/>
      <c r="R26" s="269">
        <f>+R27+R36+R46</f>
        <v>688782.21375999996</v>
      </c>
      <c r="S26" s="270"/>
      <c r="T26" s="270"/>
      <c r="U26" s="270"/>
      <c r="V26" s="270"/>
      <c r="W26" s="270"/>
      <c r="X26" s="270"/>
      <c r="Y26" s="270"/>
    </row>
    <row r="27" spans="1:25" ht="37.5" customHeight="1">
      <c r="A27" s="3457" t="s">
        <v>236</v>
      </c>
      <c r="B27" s="3457"/>
      <c r="C27" s="3457"/>
      <c r="D27" s="3457"/>
      <c r="E27" s="3457"/>
      <c r="F27" s="3457"/>
      <c r="G27" s="3457"/>
      <c r="H27" s="3457"/>
      <c r="I27" s="3457"/>
      <c r="J27" s="273"/>
      <c r="K27" s="273"/>
      <c r="L27" s="273"/>
      <c r="M27" s="274"/>
      <c r="N27" s="273"/>
      <c r="O27" s="275"/>
      <c r="P27" s="273"/>
      <c r="Q27" s="276"/>
      <c r="R27" s="277">
        <f>+'[11]Compil Costing PPA 3 millions'!F7</f>
        <v>300354.12</v>
      </c>
      <c r="S27" s="278"/>
      <c r="T27" s="278"/>
      <c r="U27" s="278"/>
      <c r="V27" s="274"/>
      <c r="W27" s="274"/>
      <c r="X27" s="274"/>
      <c r="Y27" s="274"/>
    </row>
    <row r="28" spans="1:25" ht="16.5" customHeight="1">
      <c r="A28" s="281">
        <v>211</v>
      </c>
      <c r="B28" s="3456"/>
      <c r="C28" s="3456"/>
      <c r="D28" s="3456"/>
      <c r="E28" s="3456"/>
      <c r="F28" s="3456"/>
      <c r="G28" s="3456"/>
      <c r="H28" s="3456"/>
      <c r="I28" s="3456"/>
      <c r="J28" s="282"/>
      <c r="K28" s="283"/>
      <c r="L28" s="282"/>
      <c r="M28" s="284"/>
      <c r="N28" s="283"/>
      <c r="O28" s="285"/>
      <c r="P28" s="282"/>
      <c r="Q28" s="286"/>
      <c r="R28" s="287"/>
      <c r="S28" s="288"/>
      <c r="T28" s="288"/>
      <c r="U28" s="288"/>
      <c r="V28" s="288"/>
      <c r="W28" s="288"/>
      <c r="X28" s="288"/>
      <c r="Y28" s="288"/>
    </row>
    <row r="29" spans="1:25">
      <c r="A29" s="305">
        <v>2111</v>
      </c>
      <c r="B29" s="330"/>
      <c r="C29" s="330"/>
      <c r="D29" s="330"/>
      <c r="E29" s="329"/>
      <c r="F29" s="306"/>
      <c r="G29" s="293"/>
      <c r="H29" s="293"/>
      <c r="I29" s="294"/>
      <c r="J29" s="295"/>
      <c r="K29" s="294"/>
      <c r="L29" s="295"/>
      <c r="M29" s="296"/>
      <c r="N29" s="294"/>
      <c r="O29" s="297"/>
      <c r="P29" s="295"/>
      <c r="Q29" s="298"/>
      <c r="R29" s="299"/>
      <c r="S29" s="298"/>
      <c r="T29" s="298"/>
      <c r="U29" s="298"/>
      <c r="V29" s="298"/>
      <c r="W29" s="298"/>
      <c r="X29" s="298"/>
      <c r="Y29" s="298"/>
    </row>
    <row r="30" spans="1:25">
      <c r="A30" s="305">
        <v>2112</v>
      </c>
      <c r="B30" s="330"/>
      <c r="C30" s="330"/>
      <c r="D30" s="330"/>
      <c r="E30" s="329"/>
      <c r="F30" s="306"/>
      <c r="G30" s="293"/>
      <c r="H30" s="293"/>
      <c r="I30" s="294"/>
      <c r="J30" s="295"/>
      <c r="K30" s="294"/>
      <c r="L30" s="295"/>
      <c r="M30" s="296"/>
      <c r="N30" s="294"/>
      <c r="O30" s="297"/>
      <c r="P30" s="295"/>
      <c r="Q30" s="298"/>
      <c r="R30" s="299"/>
      <c r="S30" s="298"/>
      <c r="T30" s="298"/>
      <c r="U30" s="298"/>
      <c r="V30" s="298"/>
      <c r="W30" s="298"/>
      <c r="X30" s="298"/>
      <c r="Y30" s="298"/>
    </row>
    <row r="31" spans="1:25">
      <c r="A31" s="305">
        <v>2113</v>
      </c>
      <c r="B31" s="330"/>
      <c r="C31" s="330"/>
      <c r="D31" s="330"/>
      <c r="E31" s="329"/>
      <c r="F31" s="306"/>
      <c r="G31" s="293"/>
      <c r="H31" s="293"/>
      <c r="I31" s="294"/>
      <c r="J31" s="295"/>
      <c r="K31" s="294"/>
      <c r="L31" s="295"/>
      <c r="M31" s="296"/>
      <c r="N31" s="294"/>
      <c r="O31" s="297"/>
      <c r="P31" s="295"/>
      <c r="Q31" s="298"/>
      <c r="R31" s="299"/>
      <c r="S31" s="298"/>
      <c r="T31" s="298"/>
      <c r="U31" s="298"/>
      <c r="V31" s="298"/>
      <c r="W31" s="298"/>
      <c r="X31" s="298"/>
      <c r="Y31" s="298"/>
    </row>
    <row r="32" spans="1:25" ht="16.5" customHeight="1">
      <c r="A32" s="281">
        <v>212</v>
      </c>
      <c r="B32" s="3456"/>
      <c r="C32" s="3456"/>
      <c r="D32" s="3456"/>
      <c r="E32" s="3456"/>
      <c r="F32" s="3456"/>
      <c r="G32" s="3456"/>
      <c r="H32" s="3456"/>
      <c r="I32" s="3456"/>
      <c r="J32" s="282"/>
      <c r="K32" s="283"/>
      <c r="L32" s="282"/>
      <c r="M32" s="284"/>
      <c r="N32" s="283"/>
      <c r="O32" s="285"/>
      <c r="P32" s="282"/>
      <c r="Q32" s="286"/>
      <c r="R32" s="287"/>
      <c r="S32" s="288"/>
      <c r="T32" s="288"/>
      <c r="U32" s="288"/>
      <c r="V32" s="288"/>
      <c r="W32" s="288"/>
      <c r="X32" s="288"/>
      <c r="Y32" s="288"/>
    </row>
    <row r="33" spans="1:25">
      <c r="A33" s="305">
        <v>2121</v>
      </c>
      <c r="B33" s="330"/>
      <c r="C33" s="330"/>
      <c r="D33" s="330"/>
      <c r="E33" s="329"/>
      <c r="F33" s="306"/>
      <c r="G33" s="293"/>
      <c r="H33" s="293"/>
      <c r="I33" s="294"/>
      <c r="J33" s="295"/>
      <c r="K33" s="294"/>
      <c r="L33" s="295"/>
      <c r="M33" s="296"/>
      <c r="N33" s="294"/>
      <c r="O33" s="297"/>
      <c r="P33" s="295"/>
      <c r="Q33" s="298"/>
      <c r="R33" s="299"/>
      <c r="S33" s="298"/>
      <c r="T33" s="298"/>
      <c r="U33" s="298"/>
      <c r="V33" s="298"/>
      <c r="W33" s="298"/>
      <c r="X33" s="298"/>
      <c r="Y33" s="298"/>
    </row>
    <row r="34" spans="1:25">
      <c r="A34" s="305">
        <v>2122</v>
      </c>
      <c r="B34" s="330"/>
      <c r="C34" s="330"/>
      <c r="D34" s="330"/>
      <c r="E34" s="329"/>
      <c r="F34" s="306"/>
      <c r="G34" s="293"/>
      <c r="H34" s="293"/>
      <c r="I34" s="294"/>
      <c r="J34" s="295"/>
      <c r="K34" s="294"/>
      <c r="L34" s="295"/>
      <c r="M34" s="296"/>
      <c r="N34" s="294"/>
      <c r="O34" s="297"/>
      <c r="P34" s="295"/>
      <c r="Q34" s="298"/>
      <c r="R34" s="299"/>
      <c r="S34" s="298"/>
      <c r="T34" s="298"/>
      <c r="U34" s="298"/>
      <c r="V34" s="298"/>
      <c r="W34" s="298"/>
      <c r="X34" s="298"/>
      <c r="Y34" s="298"/>
    </row>
    <row r="35" spans="1:25">
      <c r="A35" s="307" t="s">
        <v>233</v>
      </c>
      <c r="B35" s="326"/>
      <c r="C35" s="291"/>
      <c r="D35" s="291"/>
      <c r="E35" s="292"/>
      <c r="F35" s="306"/>
      <c r="G35" s="293"/>
      <c r="H35" s="293"/>
      <c r="I35" s="294"/>
      <c r="J35" s="295"/>
      <c r="K35" s="294"/>
      <c r="L35" s="295"/>
      <c r="M35" s="296"/>
      <c r="N35" s="294"/>
      <c r="O35" s="297"/>
      <c r="P35" s="295"/>
      <c r="Q35" s="298"/>
      <c r="R35" s="299"/>
      <c r="S35" s="298"/>
      <c r="T35" s="298"/>
      <c r="U35" s="298"/>
      <c r="V35" s="298"/>
      <c r="W35" s="298"/>
      <c r="X35" s="298"/>
      <c r="Y35" s="298"/>
    </row>
    <row r="36" spans="1:25" ht="37.5" customHeight="1">
      <c r="A36" s="3457" t="s">
        <v>237</v>
      </c>
      <c r="B36" s="3457"/>
      <c r="C36" s="3457"/>
      <c r="D36" s="3457"/>
      <c r="E36" s="3457"/>
      <c r="F36" s="3457"/>
      <c r="G36" s="3457"/>
      <c r="H36" s="3457"/>
      <c r="I36" s="3457"/>
      <c r="J36" s="273"/>
      <c r="K36" s="273"/>
      <c r="L36" s="273"/>
      <c r="M36" s="274"/>
      <c r="N36" s="273"/>
      <c r="O36" s="275"/>
      <c r="P36" s="273"/>
      <c r="Q36" s="276"/>
      <c r="R36" s="277">
        <f>+'[11]Compil Costing PPA 3 millions'!F8</f>
        <v>300000</v>
      </c>
      <c r="S36" s="278"/>
      <c r="T36" s="278"/>
      <c r="U36" s="278"/>
      <c r="V36" s="274"/>
      <c r="W36" s="274"/>
      <c r="X36" s="274"/>
      <c r="Y36" s="274"/>
    </row>
    <row r="37" spans="1:25" ht="16.5" customHeight="1">
      <c r="A37" s="281">
        <v>221</v>
      </c>
      <c r="B37" s="3461" t="s">
        <v>238</v>
      </c>
      <c r="C37" s="3461"/>
      <c r="D37" s="3461"/>
      <c r="E37" s="3461"/>
      <c r="F37" s="3461"/>
      <c r="G37" s="3461"/>
      <c r="H37" s="3461"/>
      <c r="I37" s="3461"/>
      <c r="J37" s="282"/>
      <c r="K37" s="283"/>
      <c r="L37" s="282"/>
      <c r="M37" s="284"/>
      <c r="N37" s="283"/>
      <c r="O37" s="285"/>
      <c r="P37" s="282"/>
      <c r="Q37" s="286"/>
      <c r="R37" s="287"/>
      <c r="S37" s="288"/>
      <c r="T37" s="288"/>
      <c r="U37" s="288"/>
      <c r="V37" s="288"/>
      <c r="W37" s="288"/>
      <c r="X37" s="288"/>
      <c r="Y37" s="288"/>
    </row>
    <row r="38" spans="1:25">
      <c r="A38" s="305">
        <v>2211</v>
      </c>
      <c r="B38" s="291" t="s">
        <v>363</v>
      </c>
      <c r="C38" s="327" t="s">
        <v>364</v>
      </c>
      <c r="D38" s="327"/>
      <c r="E38" s="292">
        <v>50</v>
      </c>
      <c r="F38" s="306">
        <v>43185</v>
      </c>
      <c r="G38" s="293">
        <f>+F38+E38</f>
        <v>43235</v>
      </c>
      <c r="H38" s="293"/>
      <c r="I38" s="294" t="s">
        <v>169</v>
      </c>
      <c r="J38" s="295" t="s">
        <v>174</v>
      </c>
      <c r="K38" s="328" t="s">
        <v>365</v>
      </c>
      <c r="L38" s="295">
        <v>2313</v>
      </c>
      <c r="M38" s="296"/>
      <c r="N38" s="294" t="s">
        <v>366</v>
      </c>
      <c r="O38" s="297">
        <v>27000</v>
      </c>
      <c r="P38" s="295">
        <v>1</v>
      </c>
      <c r="Q38" s="298">
        <f>+O38*P38</f>
        <v>27000</v>
      </c>
      <c r="R38" s="299"/>
      <c r="S38" s="298"/>
      <c r="T38" s="298"/>
      <c r="U38" s="298"/>
      <c r="V38" s="298"/>
      <c r="W38" s="298"/>
      <c r="X38" s="298"/>
      <c r="Y38" s="298"/>
    </row>
    <row r="39" spans="1:25">
      <c r="A39" s="305">
        <v>2211</v>
      </c>
      <c r="B39" s="291" t="s">
        <v>363</v>
      </c>
      <c r="C39" s="327" t="s">
        <v>367</v>
      </c>
      <c r="D39" s="327"/>
      <c r="E39" s="292">
        <v>150</v>
      </c>
      <c r="F39" s="293">
        <f>+G38</f>
        <v>43235</v>
      </c>
      <c r="G39" s="306">
        <f>+G38+E39</f>
        <v>43385</v>
      </c>
      <c r="H39" s="293" t="s">
        <v>368</v>
      </c>
      <c r="I39" s="294" t="s">
        <v>174</v>
      </c>
      <c r="J39" s="295" t="s">
        <v>169</v>
      </c>
      <c r="K39" s="328" t="s">
        <v>365</v>
      </c>
      <c r="L39" s="295">
        <v>2313</v>
      </c>
      <c r="M39" s="296"/>
      <c r="N39" s="294" t="s">
        <v>366</v>
      </c>
      <c r="O39" s="297"/>
      <c r="P39" s="295"/>
      <c r="Q39" s="298"/>
      <c r="R39" s="299"/>
      <c r="S39" s="298"/>
      <c r="T39" s="298"/>
      <c r="U39" s="298"/>
      <c r="V39" s="298"/>
      <c r="W39" s="298"/>
      <c r="X39" s="298"/>
      <c r="Y39" s="298"/>
    </row>
    <row r="40" spans="1:25" ht="31.5">
      <c r="A40" s="290">
        <v>2212</v>
      </c>
      <c r="B40" s="327" t="s">
        <v>92</v>
      </c>
      <c r="C40" s="327"/>
      <c r="D40" s="327"/>
      <c r="E40" s="329"/>
      <c r="F40" s="306"/>
      <c r="G40" s="293"/>
      <c r="H40" s="293"/>
      <c r="I40" s="294"/>
      <c r="J40" s="295"/>
      <c r="K40" s="294"/>
      <c r="L40" s="295"/>
      <c r="M40" s="296"/>
      <c r="N40" s="294"/>
      <c r="O40" s="297"/>
      <c r="P40" s="295"/>
      <c r="Q40" s="298"/>
      <c r="R40" s="299"/>
      <c r="S40" s="298"/>
      <c r="T40" s="298"/>
      <c r="U40" s="298"/>
      <c r="V40" s="298"/>
      <c r="W40" s="298"/>
      <c r="X40" s="298"/>
      <c r="Y40" s="298"/>
    </row>
    <row r="41" spans="1:25">
      <c r="A41" s="290">
        <v>2213</v>
      </c>
      <c r="B41" s="327" t="s">
        <v>93</v>
      </c>
      <c r="C41" s="327"/>
      <c r="D41" s="327"/>
      <c r="E41" s="292"/>
      <c r="F41" s="306"/>
      <c r="G41" s="293"/>
      <c r="H41" s="293"/>
      <c r="I41" s="294"/>
      <c r="J41" s="295"/>
      <c r="K41" s="294"/>
      <c r="L41" s="295"/>
      <c r="M41" s="296"/>
      <c r="N41" s="294"/>
      <c r="O41" s="297"/>
      <c r="P41" s="295"/>
      <c r="Q41" s="298"/>
      <c r="R41" s="299"/>
      <c r="S41" s="298"/>
      <c r="T41" s="298"/>
      <c r="U41" s="298"/>
      <c r="V41" s="298"/>
      <c r="W41" s="298"/>
      <c r="X41" s="298"/>
      <c r="Y41" s="298"/>
    </row>
    <row r="42" spans="1:25" ht="20.25" customHeight="1">
      <c r="A42" s="281">
        <v>222</v>
      </c>
      <c r="B42" s="3461" t="s">
        <v>239</v>
      </c>
      <c r="C42" s="3461"/>
      <c r="D42" s="3461"/>
      <c r="E42" s="3461"/>
      <c r="F42" s="3461"/>
      <c r="G42" s="3461"/>
      <c r="H42" s="3461"/>
      <c r="I42" s="3461"/>
      <c r="J42" s="282"/>
      <c r="K42" s="283"/>
      <c r="L42" s="282"/>
      <c r="M42" s="284"/>
      <c r="N42" s="283"/>
      <c r="O42" s="285"/>
      <c r="P42" s="282"/>
      <c r="Q42" s="286"/>
      <c r="R42" s="287"/>
      <c r="S42" s="288"/>
      <c r="T42" s="288"/>
      <c r="U42" s="288"/>
      <c r="V42" s="288"/>
      <c r="W42" s="288"/>
      <c r="X42" s="288"/>
      <c r="Y42" s="288"/>
    </row>
    <row r="43" spans="1:25">
      <c r="A43" s="290">
        <v>2221</v>
      </c>
      <c r="B43" s="330"/>
      <c r="C43" s="330"/>
      <c r="D43" s="330"/>
      <c r="E43" s="329"/>
      <c r="F43" s="306"/>
      <c r="G43" s="293"/>
      <c r="H43" s="293"/>
      <c r="I43" s="294"/>
      <c r="J43" s="295"/>
      <c r="K43" s="294"/>
      <c r="L43" s="295"/>
      <c r="M43" s="296"/>
      <c r="N43" s="294"/>
      <c r="O43" s="297"/>
      <c r="P43" s="295"/>
      <c r="Q43" s="298"/>
      <c r="R43" s="299"/>
      <c r="S43" s="298"/>
      <c r="T43" s="298"/>
      <c r="U43" s="298"/>
      <c r="V43" s="298"/>
      <c r="W43" s="298"/>
      <c r="X43" s="298"/>
      <c r="Y43" s="298"/>
    </row>
    <row r="44" spans="1:25">
      <c r="A44" s="290">
        <v>2222</v>
      </c>
      <c r="B44" s="330"/>
      <c r="C44" s="330"/>
      <c r="D44" s="330"/>
      <c r="E44" s="329"/>
      <c r="F44" s="306"/>
      <c r="G44" s="293"/>
      <c r="H44" s="293"/>
      <c r="I44" s="294"/>
      <c r="J44" s="295"/>
      <c r="K44" s="294"/>
      <c r="L44" s="295"/>
      <c r="M44" s="296"/>
      <c r="N44" s="294"/>
      <c r="O44" s="297"/>
      <c r="P44" s="295"/>
      <c r="Q44" s="298"/>
      <c r="R44" s="299"/>
      <c r="S44" s="298"/>
      <c r="T44" s="298"/>
      <c r="U44" s="298"/>
      <c r="V44" s="298"/>
      <c r="W44" s="298"/>
      <c r="X44" s="298"/>
      <c r="Y44" s="298"/>
    </row>
    <row r="45" spans="1:25">
      <c r="A45" s="307" t="s">
        <v>233</v>
      </c>
      <c r="B45" s="330"/>
      <c r="C45" s="330"/>
      <c r="D45" s="330"/>
      <c r="E45" s="329"/>
      <c r="F45" s="306"/>
      <c r="G45" s="293"/>
      <c r="H45" s="293"/>
      <c r="I45" s="294"/>
      <c r="J45" s="295"/>
      <c r="K45" s="294"/>
      <c r="L45" s="295"/>
      <c r="M45" s="296"/>
      <c r="N45" s="294"/>
      <c r="O45" s="297"/>
      <c r="P45" s="295"/>
      <c r="Q45" s="298"/>
      <c r="R45" s="299"/>
      <c r="S45" s="298"/>
      <c r="T45" s="298"/>
      <c r="U45" s="298"/>
      <c r="V45" s="298"/>
      <c r="W45" s="298"/>
      <c r="X45" s="298"/>
      <c r="Y45" s="298"/>
    </row>
    <row r="46" spans="1:25" ht="37.5" customHeight="1">
      <c r="A46" s="3457" t="s">
        <v>240</v>
      </c>
      <c r="B46" s="3457"/>
      <c r="C46" s="3457"/>
      <c r="D46" s="3457"/>
      <c r="E46" s="3457"/>
      <c r="F46" s="3457"/>
      <c r="G46" s="3457"/>
      <c r="H46" s="3457"/>
      <c r="I46" s="3457"/>
      <c r="J46" s="273"/>
      <c r="K46" s="273"/>
      <c r="L46" s="273"/>
      <c r="M46" s="274"/>
      <c r="N46" s="273"/>
      <c r="O46" s="275"/>
      <c r="P46" s="273"/>
      <c r="Q46" s="276"/>
      <c r="R46" s="277">
        <f>+SUM(R47,R50,R54,R57,R59)</f>
        <v>88428.093760000003</v>
      </c>
      <c r="S46" s="480"/>
      <c r="T46" s="278"/>
      <c r="U46" s="278"/>
      <c r="V46" s="274"/>
      <c r="W46" s="274"/>
      <c r="X46" s="274"/>
      <c r="Y46" s="274"/>
    </row>
    <row r="47" spans="1:25" ht="16.5" customHeight="1">
      <c r="A47" s="281">
        <v>231</v>
      </c>
      <c r="B47" s="3456" t="s">
        <v>511</v>
      </c>
      <c r="C47" s="3456"/>
      <c r="D47" s="3456"/>
      <c r="E47" s="3456"/>
      <c r="F47" s="3456"/>
      <c r="G47" s="3456"/>
      <c r="H47" s="3456"/>
      <c r="I47" s="3456"/>
      <c r="J47" s="282"/>
      <c r="K47" s="283"/>
      <c r="L47" s="282"/>
      <c r="M47" s="284"/>
      <c r="N47" s="283"/>
      <c r="O47" s="285"/>
      <c r="P47" s="282"/>
      <c r="Q47" s="286"/>
      <c r="R47" s="287">
        <f>Q49+Q48</f>
        <v>45378.293760000008</v>
      </c>
      <c r="S47" s="288"/>
      <c r="T47" s="288"/>
      <c r="U47" s="288"/>
      <c r="V47" s="288"/>
      <c r="W47" s="288"/>
      <c r="X47" s="288"/>
      <c r="Y47" s="288"/>
    </row>
    <row r="48" spans="1:25" ht="141.75">
      <c r="A48" s="290">
        <v>2311</v>
      </c>
      <c r="B48" s="481" t="s">
        <v>512</v>
      </c>
      <c r="C48" s="481" t="s">
        <v>513</v>
      </c>
      <c r="D48" s="482" t="s">
        <v>514</v>
      </c>
      <c r="E48" s="482">
        <v>150</v>
      </c>
      <c r="F48" s="483">
        <v>43193</v>
      </c>
      <c r="G48" s="483">
        <f>E48+F48</f>
        <v>43343</v>
      </c>
      <c r="H48" s="482" t="s">
        <v>515</v>
      </c>
      <c r="I48" s="482" t="s">
        <v>516</v>
      </c>
      <c r="J48" s="482" t="s">
        <v>517</v>
      </c>
      <c r="K48" s="482" t="s">
        <v>518</v>
      </c>
      <c r="L48" s="482">
        <v>23173</v>
      </c>
      <c r="M48" s="482"/>
      <c r="N48" s="482" t="s">
        <v>366</v>
      </c>
      <c r="O48" s="484">
        <v>0.12</v>
      </c>
      <c r="P48" s="485">
        <v>52301.824000000001</v>
      </c>
      <c r="Q48" s="484">
        <f>O48*P48</f>
        <v>6276.2188799999994</v>
      </c>
      <c r="R48" s="486"/>
      <c r="S48" s="487"/>
      <c r="T48" s="488"/>
      <c r="U48" s="487">
        <f>Q48</f>
        <v>6276.2188799999994</v>
      </c>
      <c r="V48" s="487"/>
      <c r="W48" s="487"/>
      <c r="X48" s="487"/>
      <c r="Y48" s="487"/>
    </row>
    <row r="49" spans="1:25" ht="141.75">
      <c r="A49" s="290">
        <v>2312</v>
      </c>
      <c r="B49" s="481" t="s">
        <v>519</v>
      </c>
      <c r="C49" s="481" t="s">
        <v>520</v>
      </c>
      <c r="D49" s="482" t="s">
        <v>514</v>
      </c>
      <c r="E49" s="482">
        <v>150</v>
      </c>
      <c r="F49" s="483">
        <v>43193</v>
      </c>
      <c r="G49" s="483">
        <f>E49+F49</f>
        <v>43343</v>
      </c>
      <c r="H49" s="482" t="s">
        <v>515</v>
      </c>
      <c r="I49" s="489" t="s">
        <v>516</v>
      </c>
      <c r="J49" s="482" t="s">
        <v>517</v>
      </c>
      <c r="K49" s="482" t="s">
        <v>521</v>
      </c>
      <c r="L49" s="482">
        <v>23173</v>
      </c>
      <c r="M49" s="490"/>
      <c r="N49" s="482" t="s">
        <v>366</v>
      </c>
      <c r="O49" s="491">
        <v>0.11</v>
      </c>
      <c r="P49" s="492">
        <v>355473.40800000005</v>
      </c>
      <c r="Q49" s="484">
        <f>O49*P49</f>
        <v>39102.074880000007</v>
      </c>
      <c r="R49" s="486"/>
      <c r="S49" s="493"/>
      <c r="T49" s="494"/>
      <c r="U49" s="487">
        <f>Q49</f>
        <v>39102.074880000007</v>
      </c>
      <c r="V49" s="493"/>
      <c r="W49" s="493"/>
      <c r="X49" s="493"/>
      <c r="Y49" s="493"/>
    </row>
    <row r="50" spans="1:25" ht="16.5" customHeight="1">
      <c r="A50" s="281">
        <v>232</v>
      </c>
      <c r="B50" s="495" t="s">
        <v>522</v>
      </c>
      <c r="C50" s="284"/>
      <c r="D50" s="284"/>
      <c r="E50" s="284"/>
      <c r="F50" s="284"/>
      <c r="G50" s="284"/>
      <c r="H50" s="284"/>
      <c r="I50" s="284"/>
      <c r="J50" s="282"/>
      <c r="K50" s="283"/>
      <c r="L50" s="282"/>
      <c r="M50" s="284"/>
      <c r="N50" s="283"/>
      <c r="O50" s="285"/>
      <c r="P50" s="282"/>
      <c r="Q50" s="286"/>
      <c r="R50" s="287">
        <f>SUM(Q51:Q53)</f>
        <v>32475</v>
      </c>
      <c r="S50" s="288"/>
      <c r="T50" s="288"/>
      <c r="U50" s="288"/>
      <c r="V50" s="288"/>
      <c r="W50" s="288"/>
      <c r="X50" s="288"/>
      <c r="Y50" s="288"/>
    </row>
    <row r="51" spans="1:25" ht="69" customHeight="1">
      <c r="A51" s="290">
        <v>2321</v>
      </c>
      <c r="B51" s="481" t="s">
        <v>523</v>
      </c>
      <c r="C51" s="481" t="s">
        <v>524</v>
      </c>
      <c r="D51" s="482" t="s">
        <v>514</v>
      </c>
      <c r="E51" s="482">
        <v>56</v>
      </c>
      <c r="F51" s="496">
        <v>43210</v>
      </c>
      <c r="G51" s="496">
        <f>E51+F51</f>
        <v>43266</v>
      </c>
      <c r="H51" s="482" t="s">
        <v>525</v>
      </c>
      <c r="I51" s="482" t="s">
        <v>526</v>
      </c>
      <c r="J51" s="482" t="s">
        <v>526</v>
      </c>
      <c r="K51" s="497" t="s">
        <v>527</v>
      </c>
      <c r="L51" s="498">
        <v>23174</v>
      </c>
      <c r="M51" s="490"/>
      <c r="N51" s="482" t="s">
        <v>366</v>
      </c>
      <c r="O51" s="499">
        <v>2104</v>
      </c>
      <c r="P51" s="498">
        <v>12</v>
      </c>
      <c r="Q51" s="500">
        <f t="shared" ref="Q51:Q56" si="0">O51*P51</f>
        <v>25248</v>
      </c>
      <c r="R51" s="486"/>
      <c r="S51" s="493"/>
      <c r="T51" s="493"/>
      <c r="U51" s="493"/>
      <c r="V51" s="494">
        <f>Q51</f>
        <v>25248</v>
      </c>
      <c r="W51" s="493"/>
      <c r="X51" s="493"/>
      <c r="Y51" s="493"/>
    </row>
    <row r="52" spans="1:25" ht="63">
      <c r="A52" s="290">
        <v>2322</v>
      </c>
      <c r="B52" s="481" t="s">
        <v>523</v>
      </c>
      <c r="C52" s="481" t="s">
        <v>528</v>
      </c>
      <c r="D52" s="482" t="s">
        <v>514</v>
      </c>
      <c r="E52" s="482">
        <v>56</v>
      </c>
      <c r="F52" s="496">
        <v>43210</v>
      </c>
      <c r="G52" s="496">
        <f>E52+F52</f>
        <v>43266</v>
      </c>
      <c r="H52" s="482" t="s">
        <v>529</v>
      </c>
      <c r="I52" s="482" t="s">
        <v>526</v>
      </c>
      <c r="J52" s="482" t="s">
        <v>295</v>
      </c>
      <c r="K52" s="497" t="s">
        <v>530</v>
      </c>
      <c r="L52" s="498">
        <v>23174</v>
      </c>
      <c r="M52" s="490"/>
      <c r="N52" s="482" t="s">
        <v>366</v>
      </c>
      <c r="O52" s="499">
        <v>6440</v>
      </c>
      <c r="P52" s="498">
        <v>1</v>
      </c>
      <c r="Q52" s="500">
        <f t="shared" si="0"/>
        <v>6440</v>
      </c>
      <c r="R52" s="486"/>
      <c r="S52" s="493"/>
      <c r="T52" s="493"/>
      <c r="U52" s="493"/>
      <c r="V52" s="494">
        <f>Q52</f>
        <v>6440</v>
      </c>
      <c r="W52" s="493"/>
      <c r="X52" s="493"/>
      <c r="Y52" s="493"/>
    </row>
    <row r="53" spans="1:25" ht="63">
      <c r="A53" s="290">
        <v>2322</v>
      </c>
      <c r="B53" s="481" t="s">
        <v>523</v>
      </c>
      <c r="C53" s="481" t="s">
        <v>531</v>
      </c>
      <c r="D53" s="482" t="s">
        <v>514</v>
      </c>
      <c r="E53" s="482">
        <v>56</v>
      </c>
      <c r="F53" s="496">
        <v>43210</v>
      </c>
      <c r="G53" s="496">
        <f>E53+F53</f>
        <v>43266</v>
      </c>
      <c r="H53" s="482" t="s">
        <v>529</v>
      </c>
      <c r="I53" s="482" t="s">
        <v>526</v>
      </c>
      <c r="J53" s="482" t="s">
        <v>532</v>
      </c>
      <c r="K53" s="497" t="s">
        <v>533</v>
      </c>
      <c r="L53" s="498">
        <v>23172</v>
      </c>
      <c r="M53" s="490"/>
      <c r="N53" s="482" t="s">
        <v>366</v>
      </c>
      <c r="O53" s="499">
        <v>787</v>
      </c>
      <c r="P53" s="498">
        <v>1</v>
      </c>
      <c r="Q53" s="500">
        <f t="shared" si="0"/>
        <v>787</v>
      </c>
      <c r="R53" s="486"/>
      <c r="S53" s="493"/>
      <c r="T53" s="493"/>
      <c r="U53" s="493"/>
      <c r="V53" s="494">
        <f>Q53</f>
        <v>787</v>
      </c>
      <c r="W53" s="493"/>
      <c r="X53" s="493"/>
      <c r="Y53" s="493"/>
    </row>
    <row r="54" spans="1:25" ht="16.5" customHeight="1">
      <c r="A54" s="281">
        <v>233</v>
      </c>
      <c r="B54" s="284" t="s">
        <v>534</v>
      </c>
      <c r="C54" s="284"/>
      <c r="D54" s="282"/>
      <c r="E54" s="284"/>
      <c r="F54" s="284"/>
      <c r="G54" s="284"/>
      <c r="H54" s="284"/>
      <c r="I54" s="282"/>
      <c r="J54" s="282"/>
      <c r="K54" s="283"/>
      <c r="L54" s="282"/>
      <c r="M54" s="284"/>
      <c r="N54" s="283"/>
      <c r="O54" s="285"/>
      <c r="P54" s="282"/>
      <c r="Q54" s="286"/>
      <c r="R54" s="287">
        <f>Q56+Q55</f>
        <v>3957.8</v>
      </c>
      <c r="S54" s="288"/>
      <c r="T54" s="288"/>
      <c r="U54" s="288"/>
      <c r="V54" s="288"/>
      <c r="W54" s="288"/>
      <c r="X54" s="288"/>
      <c r="Y54" s="288"/>
    </row>
    <row r="55" spans="1:25" ht="63">
      <c r="A55" s="290">
        <v>2331</v>
      </c>
      <c r="B55" s="481" t="s">
        <v>535</v>
      </c>
      <c r="C55" s="481" t="s">
        <v>536</v>
      </c>
      <c r="D55" s="482" t="s">
        <v>514</v>
      </c>
      <c r="E55" s="482">
        <v>6</v>
      </c>
      <c r="F55" s="501">
        <v>43233</v>
      </c>
      <c r="G55" s="483">
        <f>E55+F55</f>
        <v>43239</v>
      </c>
      <c r="H55" s="482" t="s">
        <v>525</v>
      </c>
      <c r="I55" s="502" t="s">
        <v>526</v>
      </c>
      <c r="J55" s="497" t="s">
        <v>537</v>
      </c>
      <c r="K55" s="497" t="s">
        <v>527</v>
      </c>
      <c r="L55" s="482">
        <v>23174</v>
      </c>
      <c r="M55" s="503"/>
      <c r="N55" s="482" t="s">
        <v>366</v>
      </c>
      <c r="O55" s="499">
        <v>3477.8</v>
      </c>
      <c r="P55" s="498">
        <v>1</v>
      </c>
      <c r="Q55" s="500">
        <f t="shared" si="0"/>
        <v>3477.8</v>
      </c>
      <c r="R55" s="486"/>
      <c r="S55" s="493"/>
      <c r="T55" s="493"/>
      <c r="U55" s="494">
        <f>Q55</f>
        <v>3477.8</v>
      </c>
      <c r="V55" s="493"/>
      <c r="W55" s="493"/>
      <c r="X55" s="493"/>
      <c r="Y55" s="493"/>
    </row>
    <row r="56" spans="1:25" ht="47.25">
      <c r="A56" s="290">
        <v>2332</v>
      </c>
      <c r="B56" s="481" t="s">
        <v>535</v>
      </c>
      <c r="C56" s="481" t="s">
        <v>536</v>
      </c>
      <c r="D56" s="482" t="s">
        <v>514</v>
      </c>
      <c r="E56" s="482">
        <v>4</v>
      </c>
      <c r="F56" s="501">
        <v>43234</v>
      </c>
      <c r="G56" s="483">
        <f>E56+F56</f>
        <v>43238</v>
      </c>
      <c r="H56" s="482" t="s">
        <v>525</v>
      </c>
      <c r="I56" s="502" t="s">
        <v>526</v>
      </c>
      <c r="J56" s="497" t="s">
        <v>537</v>
      </c>
      <c r="K56" s="497" t="s">
        <v>538</v>
      </c>
      <c r="L56" s="482">
        <v>23172</v>
      </c>
      <c r="M56" s="490"/>
      <c r="N56" s="482" t="s">
        <v>366</v>
      </c>
      <c r="O56" s="499">
        <v>480</v>
      </c>
      <c r="P56" s="498">
        <v>1</v>
      </c>
      <c r="Q56" s="500">
        <f t="shared" si="0"/>
        <v>480</v>
      </c>
      <c r="R56" s="486"/>
      <c r="S56" s="493"/>
      <c r="T56" s="493"/>
      <c r="U56" s="494">
        <f>Q56</f>
        <v>480</v>
      </c>
      <c r="V56" s="493"/>
      <c r="W56" s="493"/>
      <c r="X56" s="493"/>
      <c r="Y56" s="493"/>
    </row>
    <row r="57" spans="1:25" ht="35.25" customHeight="1">
      <c r="A57" s="281">
        <v>234</v>
      </c>
      <c r="B57" s="359" t="s">
        <v>539</v>
      </c>
      <c r="C57" s="284"/>
      <c r="D57" s="284"/>
      <c r="E57" s="284"/>
      <c r="F57" s="284"/>
      <c r="G57" s="284"/>
      <c r="H57" s="284"/>
      <c r="I57" s="282"/>
      <c r="J57" s="282"/>
      <c r="K57" s="283"/>
      <c r="L57" s="282"/>
      <c r="M57" s="284"/>
      <c r="N57" s="283"/>
      <c r="O57" s="285"/>
      <c r="P57" s="282"/>
      <c r="Q57" s="286"/>
      <c r="R57" s="287">
        <f>SUM(Q58:Q58)</f>
        <v>6277</v>
      </c>
      <c r="S57" s="288"/>
      <c r="T57" s="288"/>
      <c r="U57" s="288"/>
      <c r="V57" s="288"/>
      <c r="W57" s="288"/>
      <c r="X57" s="288"/>
      <c r="Y57" s="288"/>
    </row>
    <row r="58" spans="1:25" ht="94.5">
      <c r="A58" s="504">
        <v>2341</v>
      </c>
      <c r="B58" s="497" t="s">
        <v>540</v>
      </c>
      <c r="C58" s="497" t="s">
        <v>541</v>
      </c>
      <c r="D58" s="505" t="s">
        <v>542</v>
      </c>
      <c r="E58" s="502">
        <v>135</v>
      </c>
      <c r="F58" s="501">
        <v>43193</v>
      </c>
      <c r="G58" s="501">
        <f>E58+F58</f>
        <v>43328</v>
      </c>
      <c r="H58" s="502" t="s">
        <v>525</v>
      </c>
      <c r="I58" s="502" t="s">
        <v>169</v>
      </c>
      <c r="J58" s="506" t="s">
        <v>526</v>
      </c>
      <c r="K58" s="497" t="s">
        <v>543</v>
      </c>
      <c r="L58" s="482">
        <v>2463</v>
      </c>
      <c r="M58" s="490"/>
      <c r="N58" s="482" t="s">
        <v>366</v>
      </c>
      <c r="O58" s="491">
        <v>6277</v>
      </c>
      <c r="P58" s="507">
        <v>1</v>
      </c>
      <c r="Q58" s="484">
        <f>O58*P58</f>
        <v>6277</v>
      </c>
      <c r="R58" s="486"/>
      <c r="S58" s="493"/>
      <c r="T58" s="494"/>
      <c r="U58" s="493">
        <f>Q58</f>
        <v>6277</v>
      </c>
      <c r="V58" s="493"/>
      <c r="W58" s="493"/>
      <c r="X58" s="493"/>
      <c r="Y58" s="493"/>
    </row>
    <row r="59" spans="1:25" ht="31.5">
      <c r="A59" s="281">
        <v>235</v>
      </c>
      <c r="B59" s="359" t="s">
        <v>544</v>
      </c>
      <c r="C59" s="508"/>
      <c r="D59" s="508"/>
      <c r="E59" s="509"/>
      <c r="F59" s="510"/>
      <c r="G59" s="511"/>
      <c r="H59" s="511"/>
      <c r="I59" s="512"/>
      <c r="J59" s="513"/>
      <c r="K59" s="512"/>
      <c r="L59" s="513"/>
      <c r="M59" s="514"/>
      <c r="N59" s="512"/>
      <c r="O59" s="515"/>
      <c r="P59" s="513"/>
      <c r="Q59" s="516"/>
      <c r="R59" s="287">
        <f>SUM(Q60:Q60)</f>
        <v>340</v>
      </c>
      <c r="S59" s="288"/>
      <c r="T59" s="288"/>
      <c r="U59" s="288"/>
      <c r="V59" s="288"/>
      <c r="W59" s="288"/>
      <c r="X59" s="288"/>
      <c r="Y59" s="288"/>
    </row>
    <row r="60" spans="1:25" ht="47.25">
      <c r="A60" s="290">
        <v>2351</v>
      </c>
      <c r="B60" s="497" t="s">
        <v>545</v>
      </c>
      <c r="C60" s="497" t="s">
        <v>546</v>
      </c>
      <c r="D60" s="482" t="s">
        <v>514</v>
      </c>
      <c r="E60" s="482">
        <v>70</v>
      </c>
      <c r="F60" s="501">
        <v>43248</v>
      </c>
      <c r="G60" s="501">
        <f>E60+F60</f>
        <v>43318</v>
      </c>
      <c r="H60" s="482" t="s">
        <v>529</v>
      </c>
      <c r="I60" s="502" t="s">
        <v>169</v>
      </c>
      <c r="J60" s="506" t="s">
        <v>526</v>
      </c>
      <c r="K60" s="482" t="s">
        <v>547</v>
      </c>
      <c r="L60" s="506">
        <v>2464</v>
      </c>
      <c r="M60" s="296"/>
      <c r="N60" s="482" t="s">
        <v>366</v>
      </c>
      <c r="O60" s="517">
        <v>340</v>
      </c>
      <c r="P60" s="506">
        <v>1</v>
      </c>
      <c r="Q60" s="484">
        <f>O60*P60</f>
        <v>340</v>
      </c>
      <c r="R60" s="518"/>
      <c r="S60" s="493"/>
      <c r="T60" s="493"/>
      <c r="U60" s="494"/>
      <c r="V60" s="493">
        <f>Q60</f>
        <v>340</v>
      </c>
      <c r="W60" s="493"/>
      <c r="X60" s="493"/>
      <c r="Y60" s="493"/>
    </row>
    <row r="61" spans="1:25" s="272" customFormat="1" ht="33.75" customHeight="1">
      <c r="A61" s="3458" t="s">
        <v>241</v>
      </c>
      <c r="B61" s="3458"/>
      <c r="C61" s="3458"/>
      <c r="D61" s="3458"/>
      <c r="E61" s="3458"/>
      <c r="F61" s="3458"/>
      <c r="G61" s="3458"/>
      <c r="H61" s="3458"/>
      <c r="I61" s="3458"/>
      <c r="J61" s="265"/>
      <c r="K61" s="265"/>
      <c r="L61" s="265"/>
      <c r="M61" s="266"/>
      <c r="N61" s="265"/>
      <c r="O61" s="267"/>
      <c r="P61" s="265"/>
      <c r="Q61" s="268"/>
      <c r="R61" s="269">
        <f>+R62+R71</f>
        <v>129240.07333333333</v>
      </c>
      <c r="S61" s="270"/>
      <c r="T61" s="270"/>
      <c r="U61" s="270"/>
      <c r="V61" s="270"/>
      <c r="W61" s="270"/>
      <c r="X61" s="270"/>
      <c r="Y61" s="270"/>
    </row>
    <row r="62" spans="1:25" ht="37.5" customHeight="1">
      <c r="A62" s="3457" t="s">
        <v>242</v>
      </c>
      <c r="B62" s="3457"/>
      <c r="C62" s="3457"/>
      <c r="D62" s="3457"/>
      <c r="E62" s="3457"/>
      <c r="F62" s="3457"/>
      <c r="G62" s="3457"/>
      <c r="H62" s="3457"/>
      <c r="I62" s="3457"/>
      <c r="J62" s="273"/>
      <c r="K62" s="273"/>
      <c r="L62" s="273"/>
      <c r="M62" s="274"/>
      <c r="N62" s="273"/>
      <c r="O62" s="275"/>
      <c r="P62" s="273"/>
      <c r="Q62" s="276"/>
      <c r="R62" s="277">
        <f>+'[11]Compil Costing PPA 3 millions'!F11</f>
        <v>29240.073333333334</v>
      </c>
      <c r="S62" s="278"/>
      <c r="T62" s="278"/>
      <c r="U62" s="278"/>
      <c r="V62" s="274"/>
      <c r="W62" s="274"/>
      <c r="X62" s="274"/>
      <c r="Y62" s="274"/>
    </row>
    <row r="63" spans="1:25" ht="16.5" customHeight="1">
      <c r="A63" s="281">
        <v>311</v>
      </c>
      <c r="B63" s="3456"/>
      <c r="C63" s="3456"/>
      <c r="D63" s="3456"/>
      <c r="E63" s="3456"/>
      <c r="F63" s="3456"/>
      <c r="G63" s="3456"/>
      <c r="H63" s="3456"/>
      <c r="I63" s="3456"/>
      <c r="J63" s="282"/>
      <c r="K63" s="283"/>
      <c r="L63" s="282"/>
      <c r="M63" s="284"/>
      <c r="N63" s="283"/>
      <c r="O63" s="285"/>
      <c r="P63" s="282"/>
      <c r="Q63" s="286"/>
      <c r="R63" s="287"/>
      <c r="S63" s="288"/>
      <c r="T63" s="288"/>
      <c r="U63" s="288"/>
      <c r="V63" s="288"/>
      <c r="W63" s="288"/>
      <c r="X63" s="288"/>
      <c r="Y63" s="288"/>
    </row>
    <row r="64" spans="1:25">
      <c r="A64" s="290">
        <v>3111</v>
      </c>
      <c r="B64" s="330"/>
      <c r="C64" s="330"/>
      <c r="D64" s="330"/>
      <c r="E64" s="329"/>
      <c r="F64" s="306"/>
      <c r="G64" s="293"/>
      <c r="H64" s="293"/>
      <c r="I64" s="294"/>
      <c r="J64" s="295"/>
      <c r="K64" s="294"/>
      <c r="L64" s="295"/>
      <c r="M64" s="296"/>
      <c r="N64" s="294"/>
      <c r="O64" s="297"/>
      <c r="P64" s="295"/>
      <c r="Q64" s="298"/>
      <c r="R64" s="299"/>
      <c r="S64" s="298"/>
      <c r="T64" s="298"/>
      <c r="U64" s="298"/>
      <c r="V64" s="298"/>
      <c r="W64" s="298"/>
      <c r="X64" s="298"/>
      <c r="Y64" s="298"/>
    </row>
    <row r="65" spans="1:25">
      <c r="A65" s="290">
        <v>3112</v>
      </c>
      <c r="B65" s="330"/>
      <c r="C65" s="330"/>
      <c r="D65" s="330"/>
      <c r="E65" s="329"/>
      <c r="F65" s="306"/>
      <c r="G65" s="293"/>
      <c r="H65" s="293"/>
      <c r="I65" s="294"/>
      <c r="J65" s="295"/>
      <c r="K65" s="294"/>
      <c r="L65" s="295"/>
      <c r="M65" s="296"/>
      <c r="N65" s="294"/>
      <c r="O65" s="297"/>
      <c r="P65" s="295"/>
      <c r="Q65" s="298"/>
      <c r="R65" s="299"/>
      <c r="S65" s="298"/>
      <c r="T65" s="298"/>
      <c r="U65" s="298"/>
      <c r="V65" s="298"/>
      <c r="W65" s="298"/>
      <c r="X65" s="298"/>
      <c r="Y65" s="298"/>
    </row>
    <row r="66" spans="1:25">
      <c r="A66" s="290">
        <v>3113</v>
      </c>
      <c r="B66" s="330"/>
      <c r="C66" s="330"/>
      <c r="D66" s="330"/>
      <c r="E66" s="329"/>
      <c r="F66" s="306"/>
      <c r="G66" s="293"/>
      <c r="H66" s="293"/>
      <c r="I66" s="294"/>
      <c r="J66" s="295"/>
      <c r="K66" s="294"/>
      <c r="L66" s="295"/>
      <c r="M66" s="296"/>
      <c r="N66" s="294"/>
      <c r="O66" s="297"/>
      <c r="P66" s="295"/>
      <c r="Q66" s="298"/>
      <c r="R66" s="299"/>
      <c r="S66" s="298"/>
      <c r="T66" s="298"/>
      <c r="U66" s="298"/>
      <c r="V66" s="298"/>
      <c r="W66" s="298"/>
      <c r="X66" s="298"/>
      <c r="Y66" s="298"/>
    </row>
    <row r="67" spans="1:25" ht="16.5" customHeight="1">
      <c r="A67" s="281">
        <v>312</v>
      </c>
      <c r="B67" s="3456"/>
      <c r="C67" s="3456"/>
      <c r="D67" s="3456"/>
      <c r="E67" s="3456"/>
      <c r="F67" s="3456"/>
      <c r="G67" s="3456"/>
      <c r="H67" s="3456"/>
      <c r="I67" s="3456"/>
      <c r="J67" s="282"/>
      <c r="K67" s="283"/>
      <c r="L67" s="282"/>
      <c r="M67" s="284"/>
      <c r="N67" s="283"/>
      <c r="O67" s="285"/>
      <c r="P67" s="282"/>
      <c r="Q67" s="286"/>
      <c r="R67" s="287"/>
      <c r="S67" s="288"/>
      <c r="T67" s="288"/>
      <c r="U67" s="288"/>
      <c r="V67" s="288"/>
      <c r="W67" s="288"/>
      <c r="X67" s="288"/>
      <c r="Y67" s="288"/>
    </row>
    <row r="68" spans="1:25">
      <c r="A68" s="290">
        <v>3121</v>
      </c>
      <c r="B68" s="330"/>
      <c r="C68" s="330"/>
      <c r="D68" s="330"/>
      <c r="E68" s="329"/>
      <c r="F68" s="306"/>
      <c r="G68" s="293"/>
      <c r="H68" s="293"/>
      <c r="I68" s="294"/>
      <c r="J68" s="295"/>
      <c r="K68" s="294"/>
      <c r="L68" s="295"/>
      <c r="M68" s="296"/>
      <c r="N68" s="294"/>
      <c r="O68" s="297"/>
      <c r="P68" s="295"/>
      <c r="Q68" s="298"/>
      <c r="R68" s="299"/>
      <c r="S68" s="298"/>
      <c r="T68" s="298"/>
      <c r="U68" s="298"/>
      <c r="V68" s="298"/>
      <c r="W68" s="298"/>
      <c r="X68" s="298"/>
      <c r="Y68" s="298"/>
    </row>
    <row r="69" spans="1:25">
      <c r="A69" s="290">
        <v>3122</v>
      </c>
      <c r="B69" s="330"/>
      <c r="C69" s="330"/>
      <c r="D69" s="330"/>
      <c r="E69" s="329"/>
      <c r="F69" s="306"/>
      <c r="G69" s="293"/>
      <c r="H69" s="293"/>
      <c r="I69" s="294"/>
      <c r="J69" s="295"/>
      <c r="K69" s="294"/>
      <c r="L69" s="295"/>
      <c r="M69" s="296"/>
      <c r="N69" s="294"/>
      <c r="O69" s="297"/>
      <c r="P69" s="295"/>
      <c r="Q69" s="298"/>
      <c r="R69" s="299"/>
      <c r="S69" s="298"/>
      <c r="T69" s="298"/>
      <c r="U69" s="298"/>
      <c r="V69" s="298"/>
      <c r="W69" s="298"/>
      <c r="X69" s="298"/>
      <c r="Y69" s="298"/>
    </row>
    <row r="70" spans="1:25">
      <c r="A70" s="301" t="s">
        <v>233</v>
      </c>
      <c r="B70" s="326"/>
      <c r="C70" s="291"/>
      <c r="D70" s="291"/>
      <c r="E70" s="292"/>
      <c r="F70" s="306"/>
      <c r="G70" s="293"/>
      <c r="H70" s="293"/>
      <c r="I70" s="294"/>
      <c r="J70" s="295"/>
      <c r="K70" s="294"/>
      <c r="L70" s="295"/>
      <c r="M70" s="296"/>
      <c r="N70" s="294"/>
      <c r="O70" s="297"/>
      <c r="P70" s="295"/>
      <c r="Q70" s="298"/>
      <c r="R70" s="299"/>
      <c r="S70" s="298"/>
      <c r="T70" s="298"/>
      <c r="U70" s="298"/>
      <c r="V70" s="298"/>
      <c r="W70" s="298"/>
      <c r="X70" s="298"/>
      <c r="Y70" s="298"/>
    </row>
    <row r="71" spans="1:25" ht="15.75" customHeight="1">
      <c r="A71" s="3457" t="s">
        <v>274</v>
      </c>
      <c r="B71" s="3457"/>
      <c r="C71" s="3457"/>
      <c r="D71" s="3457"/>
      <c r="E71" s="3457"/>
      <c r="F71" s="3457"/>
      <c r="G71" s="3457"/>
      <c r="H71" s="3457"/>
      <c r="I71" s="3457"/>
      <c r="J71" s="273"/>
      <c r="K71" s="273"/>
      <c r="L71" s="273"/>
      <c r="M71" s="274"/>
      <c r="N71" s="273"/>
      <c r="O71" s="275"/>
      <c r="P71" s="273"/>
      <c r="Q71" s="276"/>
      <c r="R71" s="277">
        <f>+'[11]Compil Costing PPA 3 millions'!F12</f>
        <v>100000</v>
      </c>
      <c r="S71" s="278"/>
      <c r="T71" s="278"/>
      <c r="U71" s="278"/>
      <c r="V71" s="274"/>
      <c r="W71" s="274"/>
      <c r="X71" s="274"/>
      <c r="Y71" s="274"/>
    </row>
    <row r="72" spans="1:25" ht="16.5" customHeight="1">
      <c r="A72" s="281">
        <v>321</v>
      </c>
      <c r="B72" s="3456"/>
      <c r="C72" s="3456"/>
      <c r="D72" s="3456"/>
      <c r="E72" s="3456"/>
      <c r="F72" s="3456"/>
      <c r="G72" s="3456"/>
      <c r="H72" s="3456"/>
      <c r="I72" s="3456"/>
      <c r="J72" s="282"/>
      <c r="K72" s="283"/>
      <c r="L72" s="282"/>
      <c r="M72" s="284"/>
      <c r="N72" s="283"/>
      <c r="O72" s="285"/>
      <c r="P72" s="282"/>
      <c r="Q72" s="286"/>
      <c r="R72" s="287"/>
      <c r="S72" s="288"/>
      <c r="T72" s="288"/>
      <c r="U72" s="288"/>
      <c r="V72" s="288"/>
      <c r="W72" s="288"/>
      <c r="X72" s="288"/>
      <c r="Y72" s="288"/>
    </row>
    <row r="73" spans="1:25" ht="15.75" customHeight="1">
      <c r="A73" s="290">
        <v>3211</v>
      </c>
      <c r="B73" s="330"/>
      <c r="C73" s="330"/>
      <c r="D73" s="330"/>
      <c r="E73" s="329"/>
      <c r="F73" s="331"/>
      <c r="G73" s="331"/>
      <c r="H73" s="331"/>
      <c r="I73" s="294"/>
      <c r="J73" s="295"/>
      <c r="K73" s="294"/>
      <c r="L73" s="295"/>
      <c r="M73" s="296"/>
      <c r="N73" s="294"/>
      <c r="O73" s="297"/>
      <c r="P73" s="295"/>
      <c r="Q73" s="298"/>
      <c r="R73" s="299"/>
      <c r="S73" s="298"/>
      <c r="T73" s="298"/>
      <c r="U73" s="298"/>
      <c r="V73" s="298"/>
      <c r="W73" s="298"/>
      <c r="X73" s="298"/>
      <c r="Y73" s="298"/>
    </row>
    <row r="74" spans="1:25" ht="15.75" customHeight="1">
      <c r="A74" s="290">
        <v>3212</v>
      </c>
      <c r="B74" s="330"/>
      <c r="C74" s="330"/>
      <c r="D74" s="330"/>
      <c r="E74" s="329"/>
      <c r="F74" s="331"/>
      <c r="G74" s="331"/>
      <c r="H74" s="331"/>
      <c r="I74" s="294"/>
      <c r="J74" s="295"/>
      <c r="K74" s="294"/>
      <c r="L74" s="295"/>
      <c r="M74" s="296"/>
      <c r="N74" s="294"/>
      <c r="O74" s="297"/>
      <c r="P74" s="295"/>
      <c r="Q74" s="298"/>
      <c r="R74" s="299"/>
      <c r="S74" s="298"/>
      <c r="T74" s="298"/>
      <c r="U74" s="298"/>
      <c r="V74" s="298"/>
      <c r="W74" s="298"/>
      <c r="X74" s="298"/>
      <c r="Y74" s="298"/>
    </row>
    <row r="75" spans="1:25" ht="15.75" customHeight="1">
      <c r="A75" s="290">
        <v>3213</v>
      </c>
      <c r="B75" s="330"/>
      <c r="C75" s="330"/>
      <c r="D75" s="330"/>
      <c r="E75" s="329"/>
      <c r="F75" s="331"/>
      <c r="G75" s="331"/>
      <c r="H75" s="331"/>
      <c r="I75" s="294"/>
      <c r="J75" s="295"/>
      <c r="K75" s="294"/>
      <c r="L75" s="295"/>
      <c r="M75" s="296"/>
      <c r="N75" s="294"/>
      <c r="O75" s="297"/>
      <c r="P75" s="295"/>
      <c r="Q75" s="298"/>
      <c r="R75" s="299"/>
      <c r="S75" s="298"/>
      <c r="T75" s="298"/>
      <c r="U75" s="298"/>
      <c r="V75" s="298"/>
      <c r="W75" s="298"/>
      <c r="X75" s="298"/>
      <c r="Y75" s="298"/>
    </row>
    <row r="76" spans="1:25" ht="16.5" customHeight="1">
      <c r="A76" s="281">
        <v>322</v>
      </c>
      <c r="B76" s="3456"/>
      <c r="C76" s="3456"/>
      <c r="D76" s="3456"/>
      <c r="E76" s="3456"/>
      <c r="F76" s="3456"/>
      <c r="G76" s="3456"/>
      <c r="H76" s="3456"/>
      <c r="I76" s="3456"/>
      <c r="J76" s="282"/>
      <c r="K76" s="283"/>
      <c r="L76" s="282"/>
      <c r="M76" s="284"/>
      <c r="N76" s="283"/>
      <c r="O76" s="285"/>
      <c r="P76" s="282"/>
      <c r="Q76" s="286"/>
      <c r="R76" s="287"/>
      <c r="S76" s="288"/>
      <c r="T76" s="288"/>
      <c r="U76" s="288"/>
      <c r="V76" s="288"/>
      <c r="W76" s="288"/>
      <c r="X76" s="288"/>
      <c r="Y76" s="288"/>
    </row>
    <row r="77" spans="1:25">
      <c r="A77" s="290">
        <v>3221</v>
      </c>
      <c r="B77" s="330"/>
      <c r="C77" s="330"/>
      <c r="D77" s="330"/>
      <c r="E77" s="329"/>
      <c r="F77" s="306"/>
      <c r="G77" s="293"/>
      <c r="H77" s="293"/>
      <c r="I77" s="294"/>
      <c r="J77" s="295"/>
      <c r="K77" s="294"/>
      <c r="L77" s="295"/>
      <c r="M77" s="296"/>
      <c r="N77" s="294"/>
      <c r="O77" s="297"/>
      <c r="P77" s="295"/>
      <c r="Q77" s="298"/>
      <c r="R77" s="299"/>
      <c r="S77" s="298"/>
      <c r="T77" s="298"/>
      <c r="U77" s="298"/>
      <c r="V77" s="298"/>
      <c r="W77" s="298"/>
      <c r="X77" s="298"/>
      <c r="Y77" s="298"/>
    </row>
    <row r="78" spans="1:25">
      <c r="A78" s="290">
        <v>3222</v>
      </c>
      <c r="B78" s="330"/>
      <c r="C78" s="330"/>
      <c r="D78" s="330"/>
      <c r="E78" s="329"/>
      <c r="F78" s="306"/>
      <c r="G78" s="293"/>
      <c r="H78" s="293"/>
      <c r="I78" s="294"/>
      <c r="J78" s="295"/>
      <c r="K78" s="294"/>
      <c r="L78" s="295"/>
      <c r="M78" s="296"/>
      <c r="N78" s="294"/>
      <c r="O78" s="297"/>
      <c r="P78" s="295"/>
      <c r="Q78" s="298"/>
      <c r="R78" s="299"/>
      <c r="S78" s="298"/>
      <c r="T78" s="298"/>
      <c r="U78" s="298"/>
      <c r="V78" s="298"/>
      <c r="W78" s="298"/>
      <c r="X78" s="298"/>
      <c r="Y78" s="298"/>
    </row>
    <row r="79" spans="1:25" ht="15.75" customHeight="1">
      <c r="A79" s="301" t="s">
        <v>233</v>
      </c>
      <c r="B79" s="330"/>
      <c r="C79" s="330"/>
      <c r="D79" s="330"/>
      <c r="E79" s="329"/>
      <c r="F79" s="331"/>
      <c r="G79" s="331"/>
      <c r="H79" s="331"/>
      <c r="I79" s="294"/>
      <c r="J79" s="295"/>
      <c r="K79" s="294"/>
      <c r="L79" s="295"/>
      <c r="M79" s="296"/>
      <c r="N79" s="294"/>
      <c r="O79" s="297"/>
      <c r="P79" s="295"/>
      <c r="Q79" s="298"/>
      <c r="R79" s="299"/>
      <c r="S79" s="298"/>
      <c r="T79" s="298"/>
      <c r="U79" s="298"/>
      <c r="V79" s="298"/>
      <c r="W79" s="298"/>
      <c r="X79" s="298"/>
      <c r="Y79" s="298"/>
    </row>
    <row r="80" spans="1:25" s="272" customFormat="1" ht="33.75" customHeight="1">
      <c r="A80" s="3458" t="s">
        <v>275</v>
      </c>
      <c r="B80" s="3458"/>
      <c r="C80" s="3458"/>
      <c r="D80" s="3458"/>
      <c r="E80" s="3458"/>
      <c r="F80" s="3458"/>
      <c r="G80" s="3458"/>
      <c r="H80" s="3458"/>
      <c r="I80" s="3458"/>
      <c r="J80" s="265"/>
      <c r="K80" s="265"/>
      <c r="L80" s="265"/>
      <c r="M80" s="266"/>
      <c r="N80" s="265"/>
      <c r="O80" s="267"/>
      <c r="P80" s="265"/>
      <c r="Q80" s="268"/>
      <c r="R80" s="269">
        <f>+R81+R90+R99</f>
        <v>1602730.3695833336</v>
      </c>
      <c r="S80" s="270"/>
      <c r="T80" s="270"/>
      <c r="U80" s="270"/>
      <c r="V80" s="270"/>
      <c r="W80" s="270"/>
      <c r="X80" s="270"/>
      <c r="Y80" s="270"/>
    </row>
    <row r="81" spans="1:25" ht="15.75" customHeight="1">
      <c r="A81" s="3457" t="s">
        <v>276</v>
      </c>
      <c r="B81" s="3457"/>
      <c r="C81" s="3457"/>
      <c r="D81" s="3457"/>
      <c r="E81" s="3457"/>
      <c r="F81" s="3457"/>
      <c r="G81" s="3457"/>
      <c r="H81" s="3457"/>
      <c r="I81" s="3457"/>
      <c r="J81" s="273"/>
      <c r="K81" s="273"/>
      <c r="L81" s="273"/>
      <c r="M81" s="274"/>
      <c r="N81" s="273"/>
      <c r="O81" s="275"/>
      <c r="P81" s="273"/>
      <c r="Q81" s="276"/>
      <c r="R81" s="277">
        <f>+'[11]Compil Costing PPA 3 millions'!F15</f>
        <v>356290.70624999999</v>
      </c>
      <c r="S81" s="278"/>
      <c r="T81" s="278"/>
      <c r="U81" s="278"/>
      <c r="V81" s="274"/>
      <c r="W81" s="274"/>
      <c r="X81" s="274"/>
      <c r="Y81" s="274"/>
    </row>
    <row r="82" spans="1:25" ht="16.5" customHeight="1">
      <c r="A82" s="281">
        <v>411</v>
      </c>
      <c r="B82" s="3456"/>
      <c r="C82" s="3456"/>
      <c r="D82" s="3456"/>
      <c r="E82" s="3456"/>
      <c r="F82" s="3456"/>
      <c r="G82" s="3456"/>
      <c r="H82" s="3456"/>
      <c r="I82" s="3456"/>
      <c r="J82" s="282"/>
      <c r="K82" s="283"/>
      <c r="L82" s="282"/>
      <c r="M82" s="284"/>
      <c r="N82" s="283"/>
      <c r="O82" s="285"/>
      <c r="P82" s="282"/>
      <c r="Q82" s="286"/>
      <c r="R82" s="287"/>
      <c r="S82" s="288"/>
      <c r="T82" s="288"/>
      <c r="U82" s="288"/>
      <c r="V82" s="288"/>
      <c r="W82" s="288"/>
      <c r="X82" s="288"/>
      <c r="Y82" s="288"/>
    </row>
    <row r="83" spans="1:25">
      <c r="A83" s="290">
        <v>4111</v>
      </c>
      <c r="B83" s="330"/>
      <c r="C83" s="330"/>
      <c r="D83" s="330"/>
      <c r="E83" s="329"/>
      <c r="F83" s="306"/>
      <c r="G83" s="293"/>
      <c r="H83" s="293"/>
      <c r="I83" s="294"/>
      <c r="J83" s="295"/>
      <c r="K83" s="294"/>
      <c r="L83" s="295"/>
      <c r="M83" s="296"/>
      <c r="N83" s="294"/>
      <c r="O83" s="297"/>
      <c r="P83" s="295"/>
      <c r="Q83" s="298"/>
      <c r="R83" s="299"/>
      <c r="S83" s="298"/>
      <c r="T83" s="298"/>
      <c r="U83" s="298"/>
      <c r="V83" s="298"/>
      <c r="W83" s="298"/>
      <c r="X83" s="298"/>
      <c r="Y83" s="298"/>
    </row>
    <row r="84" spans="1:25">
      <c r="A84" s="290">
        <v>4112</v>
      </c>
      <c r="B84" s="330"/>
      <c r="C84" s="330"/>
      <c r="D84" s="330"/>
      <c r="E84" s="329"/>
      <c r="F84" s="306"/>
      <c r="G84" s="293"/>
      <c r="H84" s="293"/>
      <c r="I84" s="294"/>
      <c r="J84" s="295"/>
      <c r="K84" s="294"/>
      <c r="L84" s="295"/>
      <c r="M84" s="296"/>
      <c r="N84" s="294"/>
      <c r="O84" s="297"/>
      <c r="P84" s="295"/>
      <c r="Q84" s="298"/>
      <c r="R84" s="299"/>
      <c r="S84" s="298"/>
      <c r="T84" s="298"/>
      <c r="U84" s="298"/>
      <c r="V84" s="298"/>
      <c r="W84" s="298"/>
      <c r="X84" s="298"/>
      <c r="Y84" s="298"/>
    </row>
    <row r="85" spans="1:25">
      <c r="A85" s="290">
        <v>4113</v>
      </c>
      <c r="B85" s="330"/>
      <c r="C85" s="330"/>
      <c r="D85" s="330"/>
      <c r="E85" s="329"/>
      <c r="F85" s="306"/>
      <c r="G85" s="293"/>
      <c r="H85" s="293"/>
      <c r="I85" s="294"/>
      <c r="J85" s="295"/>
      <c r="K85" s="294"/>
      <c r="L85" s="295"/>
      <c r="M85" s="296"/>
      <c r="N85" s="294"/>
      <c r="O85" s="297"/>
      <c r="P85" s="295"/>
      <c r="Q85" s="298"/>
      <c r="R85" s="299"/>
      <c r="S85" s="298"/>
      <c r="T85" s="298"/>
      <c r="U85" s="298"/>
      <c r="V85" s="298"/>
      <c r="W85" s="298"/>
      <c r="X85" s="298"/>
      <c r="Y85" s="298"/>
    </row>
    <row r="86" spans="1:25" ht="16.5" customHeight="1">
      <c r="A86" s="281">
        <v>412</v>
      </c>
      <c r="B86" s="3456"/>
      <c r="C86" s="3456"/>
      <c r="D86" s="3456"/>
      <c r="E86" s="3456"/>
      <c r="F86" s="3456"/>
      <c r="G86" s="3456"/>
      <c r="H86" s="3456"/>
      <c r="I86" s="3456"/>
      <c r="J86" s="282"/>
      <c r="K86" s="283"/>
      <c r="L86" s="282"/>
      <c r="M86" s="284"/>
      <c r="N86" s="283"/>
      <c r="O86" s="285"/>
      <c r="P86" s="282"/>
      <c r="Q86" s="286"/>
      <c r="R86" s="287"/>
      <c r="S86" s="288"/>
      <c r="T86" s="288"/>
      <c r="U86" s="288"/>
      <c r="V86" s="288"/>
      <c r="W86" s="288"/>
      <c r="X86" s="288"/>
      <c r="Y86" s="288"/>
    </row>
    <row r="87" spans="1:25">
      <c r="A87" s="290">
        <v>4121</v>
      </c>
      <c r="B87" s="330"/>
      <c r="C87" s="330"/>
      <c r="D87" s="330"/>
      <c r="E87" s="329"/>
      <c r="F87" s="306"/>
      <c r="G87" s="293"/>
      <c r="H87" s="293"/>
      <c r="I87" s="294"/>
      <c r="J87" s="295"/>
      <c r="K87" s="294"/>
      <c r="L87" s="295"/>
      <c r="M87" s="296"/>
      <c r="N87" s="294"/>
      <c r="O87" s="297"/>
      <c r="P87" s="295"/>
      <c r="Q87" s="298"/>
      <c r="R87" s="299"/>
      <c r="S87" s="298"/>
      <c r="T87" s="298"/>
      <c r="U87" s="298"/>
      <c r="V87" s="298"/>
      <c r="W87" s="298"/>
      <c r="X87" s="298"/>
      <c r="Y87" s="298"/>
    </row>
    <row r="88" spans="1:25">
      <c r="A88" s="290">
        <v>4122</v>
      </c>
      <c r="B88" s="330"/>
      <c r="C88" s="330"/>
      <c r="D88" s="330"/>
      <c r="E88" s="329"/>
      <c r="F88" s="306"/>
      <c r="G88" s="293"/>
      <c r="H88" s="293"/>
      <c r="I88" s="294"/>
      <c r="J88" s="295"/>
      <c r="K88" s="294"/>
      <c r="L88" s="295"/>
      <c r="M88" s="296"/>
      <c r="N88" s="294"/>
      <c r="O88" s="297"/>
      <c r="P88" s="295"/>
      <c r="Q88" s="298"/>
      <c r="R88" s="299"/>
      <c r="S88" s="298"/>
      <c r="T88" s="298"/>
      <c r="U88" s="298"/>
      <c r="V88" s="298"/>
      <c r="W88" s="298"/>
      <c r="X88" s="298"/>
      <c r="Y88" s="298"/>
    </row>
    <row r="89" spans="1:25" ht="15.75" customHeight="1">
      <c r="A89" s="301" t="s">
        <v>233</v>
      </c>
      <c r="B89" s="330"/>
      <c r="C89" s="330"/>
      <c r="D89" s="330"/>
      <c r="E89" s="329"/>
      <c r="F89" s="331"/>
      <c r="G89" s="331"/>
      <c r="H89" s="331"/>
      <c r="I89" s="294"/>
      <c r="J89" s="295"/>
      <c r="K89" s="294"/>
      <c r="L89" s="295"/>
      <c r="M89" s="296"/>
      <c r="N89" s="294"/>
      <c r="O89" s="297"/>
      <c r="P89" s="295"/>
      <c r="Q89" s="298"/>
      <c r="R89" s="299"/>
      <c r="S89" s="298"/>
      <c r="T89" s="298"/>
      <c r="U89" s="298"/>
      <c r="V89" s="298"/>
      <c r="W89" s="298"/>
      <c r="X89" s="298"/>
      <c r="Y89" s="298"/>
    </row>
    <row r="90" spans="1:25" ht="15.75" customHeight="1">
      <c r="A90" s="3457" t="s">
        <v>277</v>
      </c>
      <c r="B90" s="3457"/>
      <c r="C90" s="3457"/>
      <c r="D90" s="3457"/>
      <c r="E90" s="3457"/>
      <c r="F90" s="3457"/>
      <c r="G90" s="3457"/>
      <c r="H90" s="3457"/>
      <c r="I90" s="3457"/>
      <c r="J90" s="273"/>
      <c r="K90" s="273"/>
      <c r="L90" s="273"/>
      <c r="M90" s="274"/>
      <c r="N90" s="273"/>
      <c r="O90" s="275"/>
      <c r="P90" s="273"/>
      <c r="Q90" s="276"/>
      <c r="R90" s="277">
        <f>+'[11]Compil Costing PPA 3 millions'!F16+'[11]Compil Costing PPA 3 millions'!F18+'[11]Compil Costing PPA 3 millions'!F19</f>
        <v>1137594.3333333335</v>
      </c>
      <c r="S90" s="278"/>
      <c r="T90" s="278"/>
      <c r="U90" s="278"/>
      <c r="V90" s="274"/>
      <c r="W90" s="274"/>
      <c r="X90" s="274"/>
      <c r="Y90" s="274"/>
    </row>
    <row r="91" spans="1:25" ht="16.5" customHeight="1">
      <c r="A91" s="281">
        <v>421</v>
      </c>
      <c r="B91" s="3456"/>
      <c r="C91" s="3456"/>
      <c r="D91" s="3456"/>
      <c r="E91" s="3456"/>
      <c r="F91" s="3456"/>
      <c r="G91" s="3456"/>
      <c r="H91" s="3456"/>
      <c r="I91" s="3456"/>
      <c r="J91" s="282"/>
      <c r="K91" s="283"/>
      <c r="L91" s="282"/>
      <c r="M91" s="284"/>
      <c r="N91" s="283"/>
      <c r="O91" s="285"/>
      <c r="P91" s="282"/>
      <c r="Q91" s="286"/>
      <c r="R91" s="287"/>
      <c r="S91" s="288"/>
      <c r="T91" s="288"/>
      <c r="U91" s="288"/>
      <c r="V91" s="288"/>
      <c r="W91" s="288"/>
      <c r="X91" s="288"/>
      <c r="Y91" s="288"/>
    </row>
    <row r="92" spans="1:25">
      <c r="A92" s="290">
        <v>4211</v>
      </c>
      <c r="B92" s="291"/>
      <c r="C92" s="291"/>
      <c r="D92" s="291"/>
      <c r="E92" s="292"/>
      <c r="F92" s="306"/>
      <c r="G92" s="293"/>
      <c r="H92" s="293"/>
      <c r="I92" s="294"/>
      <c r="J92" s="295"/>
      <c r="K92" s="294"/>
      <c r="L92" s="295"/>
      <c r="M92" s="296"/>
      <c r="N92" s="294"/>
      <c r="O92" s="297"/>
      <c r="P92" s="295"/>
      <c r="Q92" s="298"/>
      <c r="R92" s="299"/>
      <c r="S92" s="298"/>
      <c r="T92" s="298"/>
      <c r="U92" s="298"/>
      <c r="V92" s="298"/>
      <c r="W92" s="298"/>
      <c r="X92" s="298"/>
      <c r="Y92" s="298"/>
    </row>
    <row r="93" spans="1:25">
      <c r="A93" s="290">
        <v>4212</v>
      </c>
      <c r="B93" s="291"/>
      <c r="C93" s="291"/>
      <c r="D93" s="291"/>
      <c r="E93" s="292"/>
      <c r="F93" s="306"/>
      <c r="G93" s="293"/>
      <c r="H93" s="293"/>
      <c r="I93" s="294"/>
      <c r="J93" s="295"/>
      <c r="K93" s="294"/>
      <c r="L93" s="295"/>
      <c r="M93" s="296"/>
      <c r="N93" s="294"/>
      <c r="O93" s="297"/>
      <c r="P93" s="295"/>
      <c r="Q93" s="298"/>
      <c r="R93" s="299"/>
      <c r="S93" s="298"/>
      <c r="T93" s="298"/>
      <c r="U93" s="298"/>
      <c r="V93" s="298"/>
      <c r="W93" s="298"/>
      <c r="X93" s="298"/>
      <c r="Y93" s="298"/>
    </row>
    <row r="94" spans="1:25">
      <c r="A94" s="290">
        <v>4213</v>
      </c>
      <c r="B94" s="291"/>
      <c r="C94" s="291"/>
      <c r="D94" s="291"/>
      <c r="E94" s="292"/>
      <c r="F94" s="306"/>
      <c r="G94" s="293"/>
      <c r="H94" s="293"/>
      <c r="I94" s="294"/>
      <c r="J94" s="295"/>
      <c r="K94" s="294"/>
      <c r="L94" s="295"/>
      <c r="M94" s="296"/>
      <c r="N94" s="294"/>
      <c r="O94" s="297"/>
      <c r="P94" s="295"/>
      <c r="Q94" s="298"/>
      <c r="R94" s="299"/>
      <c r="S94" s="298"/>
      <c r="T94" s="298"/>
      <c r="U94" s="298"/>
      <c r="V94" s="298"/>
      <c r="W94" s="298"/>
      <c r="X94" s="298"/>
      <c r="Y94" s="298"/>
    </row>
    <row r="95" spans="1:25" ht="16.5" customHeight="1">
      <c r="A95" s="281">
        <v>422</v>
      </c>
      <c r="B95" s="3456"/>
      <c r="C95" s="3456"/>
      <c r="D95" s="3456"/>
      <c r="E95" s="3456"/>
      <c r="F95" s="3456"/>
      <c r="G95" s="3456"/>
      <c r="H95" s="3456"/>
      <c r="I95" s="3456"/>
      <c r="J95" s="282"/>
      <c r="K95" s="283"/>
      <c r="L95" s="282"/>
      <c r="M95" s="284"/>
      <c r="N95" s="283"/>
      <c r="O95" s="285"/>
      <c r="P95" s="282"/>
      <c r="Q95" s="286"/>
      <c r="R95" s="287"/>
      <c r="S95" s="288"/>
      <c r="T95" s="288"/>
      <c r="U95" s="288"/>
      <c r="V95" s="288"/>
      <c r="W95" s="288"/>
      <c r="X95" s="288"/>
      <c r="Y95" s="288"/>
    </row>
    <row r="96" spans="1:25">
      <c r="A96" s="290">
        <v>4221</v>
      </c>
      <c r="B96" s="291"/>
      <c r="C96" s="291"/>
      <c r="D96" s="291"/>
      <c r="E96" s="292"/>
      <c r="F96" s="306"/>
      <c r="G96" s="293"/>
      <c r="H96" s="293"/>
      <c r="I96" s="294"/>
      <c r="J96" s="295"/>
      <c r="K96" s="294"/>
      <c r="L96" s="295"/>
      <c r="M96" s="296"/>
      <c r="N96" s="294"/>
      <c r="O96" s="297"/>
      <c r="P96" s="295"/>
      <c r="Q96" s="298"/>
      <c r="R96" s="299"/>
      <c r="S96" s="298"/>
      <c r="T96" s="298"/>
      <c r="U96" s="298"/>
      <c r="V96" s="298"/>
      <c r="W96" s="298"/>
      <c r="X96" s="298"/>
      <c r="Y96" s="298"/>
    </row>
    <row r="97" spans="1:25">
      <c r="A97" s="290">
        <v>4222</v>
      </c>
      <c r="B97" s="291"/>
      <c r="C97" s="291"/>
      <c r="D97" s="291"/>
      <c r="E97" s="292"/>
      <c r="F97" s="306"/>
      <c r="G97" s="293"/>
      <c r="H97" s="293"/>
      <c r="I97" s="294"/>
      <c r="J97" s="295"/>
      <c r="K97" s="294"/>
      <c r="L97" s="295"/>
      <c r="M97" s="296"/>
      <c r="N97" s="294"/>
      <c r="O97" s="297"/>
      <c r="P97" s="295"/>
      <c r="Q97" s="298"/>
      <c r="R97" s="299"/>
      <c r="S97" s="298"/>
      <c r="T97" s="298"/>
      <c r="U97" s="298"/>
      <c r="V97" s="298"/>
      <c r="W97" s="298"/>
      <c r="X97" s="298"/>
      <c r="Y97" s="298"/>
    </row>
    <row r="98" spans="1:25">
      <c r="A98" s="301" t="s">
        <v>233</v>
      </c>
      <c r="B98" s="291"/>
      <c r="C98" s="291"/>
      <c r="D98" s="291"/>
      <c r="E98" s="292"/>
      <c r="F98" s="306"/>
      <c r="G98" s="293"/>
      <c r="H98" s="293"/>
      <c r="I98" s="294"/>
      <c r="J98" s="295"/>
      <c r="K98" s="294"/>
      <c r="L98" s="295"/>
      <c r="M98" s="296"/>
      <c r="N98" s="294"/>
      <c r="O98" s="297"/>
      <c r="P98" s="295"/>
      <c r="Q98" s="298"/>
      <c r="R98" s="299"/>
      <c r="S98" s="298"/>
      <c r="T98" s="298"/>
      <c r="U98" s="298"/>
      <c r="V98" s="298"/>
      <c r="W98" s="298"/>
      <c r="X98" s="298"/>
      <c r="Y98" s="298"/>
    </row>
    <row r="99" spans="1:25" ht="15.75" customHeight="1">
      <c r="A99" s="3457" t="s">
        <v>278</v>
      </c>
      <c r="B99" s="3457"/>
      <c r="C99" s="3457"/>
      <c r="D99" s="3457"/>
      <c r="E99" s="3457"/>
      <c r="F99" s="3457"/>
      <c r="G99" s="3457"/>
      <c r="H99" s="3457"/>
      <c r="I99" s="3457"/>
      <c r="J99" s="273"/>
      <c r="K99" s="273"/>
      <c r="L99" s="273"/>
      <c r="M99" s="274"/>
      <c r="N99" s="273"/>
      <c r="O99" s="275"/>
      <c r="P99" s="273"/>
      <c r="Q99" s="276"/>
      <c r="R99" s="277">
        <f>+'[11]Compil Costing PPA 3 millions'!F17</f>
        <v>108845.33</v>
      </c>
      <c r="S99" s="278"/>
      <c r="T99" s="278"/>
      <c r="U99" s="278"/>
      <c r="V99" s="274"/>
      <c r="W99" s="274"/>
      <c r="X99" s="274"/>
      <c r="Y99" s="274"/>
    </row>
    <row r="100" spans="1:25" ht="16.5" customHeight="1">
      <c r="A100" s="281">
        <v>431</v>
      </c>
      <c r="B100" s="3456"/>
      <c r="C100" s="3456"/>
      <c r="D100" s="3456"/>
      <c r="E100" s="3456"/>
      <c r="F100" s="3456"/>
      <c r="G100" s="3456"/>
      <c r="H100" s="3456"/>
      <c r="I100" s="3456"/>
      <c r="J100" s="282"/>
      <c r="K100" s="283"/>
      <c r="L100" s="282"/>
      <c r="M100" s="284"/>
      <c r="N100" s="283"/>
      <c r="O100" s="285"/>
      <c r="P100" s="282"/>
      <c r="Q100" s="286"/>
      <c r="R100" s="287"/>
      <c r="S100" s="288"/>
      <c r="T100" s="288"/>
      <c r="U100" s="288"/>
      <c r="V100" s="288"/>
      <c r="W100" s="288"/>
      <c r="X100" s="288"/>
      <c r="Y100" s="288"/>
    </row>
    <row r="101" spans="1:25">
      <c r="A101" s="290">
        <v>4311</v>
      </c>
      <c r="B101" s="291"/>
      <c r="C101" s="291"/>
      <c r="D101" s="291"/>
      <c r="E101" s="292"/>
      <c r="F101" s="306"/>
      <c r="G101" s="293"/>
      <c r="H101" s="293"/>
      <c r="I101" s="294"/>
      <c r="J101" s="295"/>
      <c r="K101" s="294"/>
      <c r="L101" s="295"/>
      <c r="M101" s="296"/>
      <c r="N101" s="294"/>
      <c r="O101" s="297"/>
      <c r="P101" s="295"/>
      <c r="Q101" s="298"/>
      <c r="R101" s="299"/>
      <c r="S101" s="298"/>
      <c r="T101" s="298"/>
      <c r="U101" s="298"/>
      <c r="V101" s="298"/>
      <c r="W101" s="298"/>
      <c r="X101" s="298"/>
      <c r="Y101" s="298"/>
    </row>
    <row r="102" spans="1:25">
      <c r="A102" s="290">
        <v>4312</v>
      </c>
      <c r="B102" s="291"/>
      <c r="C102" s="291"/>
      <c r="D102" s="291"/>
      <c r="E102" s="292"/>
      <c r="F102" s="306"/>
      <c r="G102" s="293"/>
      <c r="H102" s="293"/>
      <c r="I102" s="294"/>
      <c r="J102" s="295"/>
      <c r="K102" s="294"/>
      <c r="L102" s="295"/>
      <c r="M102" s="296"/>
      <c r="N102" s="294"/>
      <c r="O102" s="297"/>
      <c r="P102" s="295"/>
      <c r="Q102" s="298"/>
      <c r="R102" s="299"/>
      <c r="S102" s="298"/>
      <c r="T102" s="298"/>
      <c r="U102" s="298"/>
      <c r="V102" s="298"/>
      <c r="W102" s="298"/>
      <c r="X102" s="298"/>
      <c r="Y102" s="298"/>
    </row>
    <row r="103" spans="1:25">
      <c r="A103" s="290">
        <v>4313</v>
      </c>
      <c r="B103" s="291"/>
      <c r="C103" s="291"/>
      <c r="D103" s="291"/>
      <c r="E103" s="292"/>
      <c r="F103" s="306"/>
      <c r="G103" s="293"/>
      <c r="H103" s="293"/>
      <c r="I103" s="294"/>
      <c r="J103" s="295"/>
      <c r="K103" s="294"/>
      <c r="L103" s="295"/>
      <c r="M103" s="296"/>
      <c r="N103" s="294"/>
      <c r="O103" s="297"/>
      <c r="P103" s="295"/>
      <c r="Q103" s="298"/>
      <c r="R103" s="299"/>
      <c r="S103" s="298"/>
      <c r="T103" s="298"/>
      <c r="U103" s="298"/>
      <c r="V103" s="298"/>
      <c r="W103" s="298"/>
      <c r="X103" s="298"/>
      <c r="Y103" s="298"/>
    </row>
    <row r="104" spans="1:25" ht="16.5" customHeight="1">
      <c r="A104" s="281">
        <v>432</v>
      </c>
      <c r="B104" s="3456"/>
      <c r="C104" s="3456"/>
      <c r="D104" s="3456"/>
      <c r="E104" s="3456"/>
      <c r="F104" s="3456"/>
      <c r="G104" s="3456"/>
      <c r="H104" s="3456"/>
      <c r="I104" s="3456"/>
      <c r="J104" s="282"/>
      <c r="K104" s="283"/>
      <c r="L104" s="282"/>
      <c r="M104" s="284"/>
      <c r="N104" s="283"/>
      <c r="O104" s="285"/>
      <c r="P104" s="282"/>
      <c r="Q104" s="286"/>
      <c r="R104" s="287"/>
      <c r="S104" s="288"/>
      <c r="T104" s="288"/>
      <c r="U104" s="288"/>
      <c r="V104" s="288"/>
      <c r="W104" s="288"/>
      <c r="X104" s="288"/>
      <c r="Y104" s="288"/>
    </row>
    <row r="105" spans="1:25">
      <c r="A105" s="290">
        <v>4321</v>
      </c>
      <c r="B105" s="291"/>
      <c r="C105" s="291"/>
      <c r="D105" s="291"/>
      <c r="E105" s="292"/>
      <c r="F105" s="306"/>
      <c r="G105" s="293"/>
      <c r="H105" s="293"/>
      <c r="I105" s="294"/>
      <c r="J105" s="295"/>
      <c r="K105" s="294"/>
      <c r="L105" s="295"/>
      <c r="M105" s="296"/>
      <c r="N105" s="294"/>
      <c r="O105" s="297"/>
      <c r="P105" s="295"/>
      <c r="Q105" s="298"/>
      <c r="R105" s="299"/>
      <c r="S105" s="298"/>
      <c r="T105" s="298"/>
      <c r="U105" s="298"/>
      <c r="V105" s="298"/>
      <c r="W105" s="298"/>
      <c r="X105" s="298"/>
      <c r="Y105" s="298"/>
    </row>
    <row r="106" spans="1:25">
      <c r="A106" s="290">
        <v>4322</v>
      </c>
      <c r="B106" s="291"/>
      <c r="C106" s="291"/>
      <c r="D106" s="291"/>
      <c r="E106" s="292"/>
      <c r="F106" s="306"/>
      <c r="G106" s="293"/>
      <c r="H106" s="293"/>
      <c r="I106" s="294"/>
      <c r="J106" s="295"/>
      <c r="K106" s="294"/>
      <c r="L106" s="295"/>
      <c r="M106" s="296"/>
      <c r="N106" s="294"/>
      <c r="O106" s="297"/>
      <c r="P106" s="295"/>
      <c r="Q106" s="298"/>
      <c r="R106" s="299"/>
      <c r="S106" s="298"/>
      <c r="T106" s="298"/>
      <c r="U106" s="298"/>
      <c r="V106" s="298"/>
      <c r="W106" s="298"/>
      <c r="X106" s="298"/>
      <c r="Y106" s="298"/>
    </row>
    <row r="107" spans="1:25">
      <c r="A107" s="301" t="s">
        <v>233</v>
      </c>
      <c r="B107" s="291"/>
      <c r="C107" s="291"/>
      <c r="D107" s="291"/>
      <c r="E107" s="292"/>
      <c r="F107" s="306"/>
      <c r="G107" s="293"/>
      <c r="H107" s="293"/>
      <c r="I107" s="294"/>
      <c r="J107" s="295"/>
      <c r="K107" s="294"/>
      <c r="L107" s="295"/>
      <c r="M107" s="296"/>
      <c r="N107" s="294"/>
      <c r="O107" s="297"/>
      <c r="P107" s="295"/>
      <c r="Q107" s="298"/>
      <c r="R107" s="299"/>
      <c r="S107" s="298"/>
      <c r="T107" s="298"/>
      <c r="U107" s="298"/>
      <c r="V107" s="298"/>
      <c r="W107" s="298"/>
      <c r="X107" s="298"/>
      <c r="Y107" s="298"/>
    </row>
    <row r="108" spans="1:25" s="272" customFormat="1" ht="33.75" customHeight="1">
      <c r="A108" s="3458" t="s">
        <v>279</v>
      </c>
      <c r="B108" s="3458"/>
      <c r="C108" s="3458"/>
      <c r="D108" s="3458"/>
      <c r="E108" s="3458"/>
      <c r="F108" s="3458"/>
      <c r="G108" s="3458"/>
      <c r="H108" s="3458"/>
      <c r="I108" s="3458"/>
      <c r="J108" s="265"/>
      <c r="K108" s="265"/>
      <c r="L108" s="265"/>
      <c r="M108" s="266"/>
      <c r="N108" s="265"/>
      <c r="O108" s="267"/>
      <c r="P108" s="265"/>
      <c r="Q108" s="268"/>
      <c r="R108" s="269"/>
      <c r="S108" s="270"/>
      <c r="T108" s="270"/>
      <c r="U108" s="270"/>
      <c r="V108" s="270"/>
      <c r="W108" s="270"/>
      <c r="X108" s="270"/>
      <c r="Y108" s="270"/>
    </row>
    <row r="109" spans="1:25" ht="30" customHeight="1">
      <c r="A109" s="3457" t="s">
        <v>280</v>
      </c>
      <c r="B109" s="3457"/>
      <c r="C109" s="3457"/>
      <c r="D109" s="3457"/>
      <c r="E109" s="3457"/>
      <c r="F109" s="3457"/>
      <c r="G109" s="3457"/>
      <c r="H109" s="3457"/>
      <c r="I109" s="3457"/>
      <c r="J109" s="273"/>
      <c r="K109" s="273"/>
      <c r="L109" s="273"/>
      <c r="M109" s="274"/>
      <c r="N109" s="273"/>
      <c r="O109" s="275"/>
      <c r="P109" s="273"/>
      <c r="Q109" s="276"/>
      <c r="R109" s="277"/>
      <c r="S109" s="278"/>
      <c r="T109" s="278"/>
      <c r="U109" s="278"/>
      <c r="V109" s="274"/>
      <c r="W109" s="274"/>
      <c r="X109" s="274"/>
      <c r="Y109" s="274"/>
    </row>
    <row r="110" spans="1:25" ht="16.5" customHeight="1">
      <c r="A110" s="281">
        <v>511</v>
      </c>
      <c r="B110" s="3456"/>
      <c r="C110" s="3456"/>
      <c r="D110" s="3456"/>
      <c r="E110" s="3456"/>
      <c r="F110" s="3456"/>
      <c r="G110" s="3456"/>
      <c r="H110" s="3456"/>
      <c r="I110" s="3456"/>
      <c r="J110" s="282"/>
      <c r="K110" s="283"/>
      <c r="L110" s="282"/>
      <c r="M110" s="284"/>
      <c r="N110" s="283"/>
      <c r="O110" s="285"/>
      <c r="P110" s="282"/>
      <c r="Q110" s="286"/>
      <c r="R110" s="287"/>
      <c r="S110" s="288"/>
      <c r="T110" s="288"/>
      <c r="U110" s="288"/>
      <c r="V110" s="288"/>
      <c r="W110" s="288"/>
      <c r="X110" s="288"/>
      <c r="Y110" s="288"/>
    </row>
    <row r="111" spans="1:25">
      <c r="A111" s="332" t="s">
        <v>233</v>
      </c>
      <c r="B111" s="291"/>
      <c r="C111" s="291"/>
      <c r="D111" s="291"/>
      <c r="E111" s="292"/>
      <c r="F111" s="306"/>
      <c r="G111" s="293"/>
      <c r="H111" s="293"/>
      <c r="I111" s="294"/>
      <c r="J111" s="295"/>
      <c r="K111" s="294"/>
      <c r="L111" s="295"/>
      <c r="M111" s="296"/>
      <c r="N111" s="294"/>
      <c r="O111" s="297"/>
      <c r="P111" s="295"/>
      <c r="Q111" s="298"/>
      <c r="R111" s="299"/>
      <c r="S111" s="298"/>
      <c r="T111" s="298"/>
      <c r="U111" s="298"/>
      <c r="V111" s="298"/>
      <c r="W111" s="298"/>
      <c r="X111" s="298"/>
      <c r="Y111" s="298"/>
    </row>
    <row r="112" spans="1:25" s="272" customFormat="1" ht="33.75" customHeight="1">
      <c r="A112" s="3459" t="s">
        <v>281</v>
      </c>
      <c r="B112" s="3459"/>
      <c r="C112" s="3459"/>
      <c r="D112" s="3459"/>
      <c r="E112" s="3459"/>
      <c r="F112" s="3459"/>
      <c r="G112" s="3459"/>
      <c r="H112" s="3459"/>
      <c r="I112" s="3460"/>
      <c r="J112" s="333"/>
      <c r="K112" s="333"/>
      <c r="L112" s="333"/>
      <c r="M112" s="333"/>
      <c r="N112" s="333"/>
      <c r="O112" s="334"/>
      <c r="P112" s="333"/>
      <c r="Q112" s="334"/>
      <c r="R112" s="335">
        <f>+R113+R122+R131</f>
        <v>129747.66</v>
      </c>
      <c r="S112" s="270"/>
      <c r="T112" s="270"/>
      <c r="U112" s="270"/>
      <c r="V112" s="270"/>
      <c r="W112" s="270"/>
      <c r="X112" s="270"/>
      <c r="Y112" s="270"/>
    </row>
    <row r="113" spans="1:25" ht="33" customHeight="1">
      <c r="A113" s="3457" t="s">
        <v>282</v>
      </c>
      <c r="B113" s="3457"/>
      <c r="C113" s="3457"/>
      <c r="D113" s="3457"/>
      <c r="E113" s="3457"/>
      <c r="F113" s="3457"/>
      <c r="G113" s="3457"/>
      <c r="H113" s="3457"/>
      <c r="I113" s="3457"/>
      <c r="J113" s="273"/>
      <c r="K113" s="273"/>
      <c r="L113" s="273"/>
      <c r="M113" s="274"/>
      <c r="N113" s="273"/>
      <c r="O113" s="275"/>
      <c r="P113" s="273"/>
      <c r="Q113" s="276"/>
      <c r="R113" s="277"/>
      <c r="S113" s="278"/>
      <c r="T113" s="278"/>
      <c r="U113" s="278"/>
      <c r="V113" s="274"/>
      <c r="W113" s="274"/>
      <c r="X113" s="274"/>
      <c r="Y113" s="274"/>
    </row>
    <row r="114" spans="1:25" ht="16.5" customHeight="1">
      <c r="A114" s="281">
        <v>611</v>
      </c>
      <c r="B114" s="3456"/>
      <c r="C114" s="3456"/>
      <c r="D114" s="3456"/>
      <c r="E114" s="3456"/>
      <c r="F114" s="3456"/>
      <c r="G114" s="3456"/>
      <c r="H114" s="3456"/>
      <c r="I114" s="3456"/>
      <c r="J114" s="282"/>
      <c r="K114" s="283"/>
      <c r="L114" s="282"/>
      <c r="M114" s="284"/>
      <c r="N114" s="283"/>
      <c r="O114" s="285"/>
      <c r="P114" s="282"/>
      <c r="Q114" s="286"/>
      <c r="R114" s="287"/>
      <c r="S114" s="288"/>
      <c r="T114" s="288"/>
      <c r="U114" s="288"/>
      <c r="V114" s="288"/>
      <c r="W114" s="288"/>
      <c r="X114" s="288"/>
      <c r="Y114" s="288"/>
    </row>
    <row r="115" spans="1:25">
      <c r="A115" s="290">
        <v>6111</v>
      </c>
      <c r="B115" s="291"/>
      <c r="C115" s="291"/>
      <c r="D115" s="291"/>
      <c r="E115" s="292"/>
      <c r="F115" s="306"/>
      <c r="G115" s="293"/>
      <c r="H115" s="293"/>
      <c r="I115" s="294"/>
      <c r="J115" s="295"/>
      <c r="K115" s="294"/>
      <c r="L115" s="295"/>
      <c r="M115" s="296"/>
      <c r="N115" s="294"/>
      <c r="O115" s="297"/>
      <c r="P115" s="295"/>
      <c r="Q115" s="298"/>
      <c r="R115" s="299"/>
      <c r="S115" s="298"/>
      <c r="T115" s="298"/>
      <c r="U115" s="298"/>
      <c r="V115" s="298"/>
      <c r="W115" s="298"/>
      <c r="X115" s="298"/>
      <c r="Y115" s="298"/>
    </row>
    <row r="116" spans="1:25">
      <c r="A116" s="290">
        <v>6112</v>
      </c>
      <c r="B116" s="291"/>
      <c r="C116" s="291"/>
      <c r="D116" s="291"/>
      <c r="E116" s="292"/>
      <c r="F116" s="306"/>
      <c r="G116" s="293"/>
      <c r="H116" s="293"/>
      <c r="I116" s="294"/>
      <c r="J116" s="295"/>
      <c r="K116" s="294"/>
      <c r="L116" s="295"/>
      <c r="M116" s="296"/>
      <c r="N116" s="294"/>
      <c r="O116" s="297"/>
      <c r="P116" s="295"/>
      <c r="Q116" s="298"/>
      <c r="R116" s="299"/>
      <c r="S116" s="298"/>
      <c r="T116" s="298"/>
      <c r="U116" s="298"/>
      <c r="V116" s="298"/>
      <c r="W116" s="298"/>
      <c r="X116" s="298"/>
      <c r="Y116" s="298"/>
    </row>
    <row r="117" spans="1:25">
      <c r="A117" s="290">
        <v>6113</v>
      </c>
      <c r="B117" s="291"/>
      <c r="C117" s="291"/>
      <c r="D117" s="291"/>
      <c r="E117" s="292"/>
      <c r="F117" s="306"/>
      <c r="G117" s="293"/>
      <c r="H117" s="293"/>
      <c r="I117" s="294"/>
      <c r="J117" s="295"/>
      <c r="K117" s="294"/>
      <c r="L117" s="295"/>
      <c r="M117" s="296"/>
      <c r="N117" s="294"/>
      <c r="O117" s="297"/>
      <c r="P117" s="295"/>
      <c r="Q117" s="298"/>
      <c r="R117" s="299"/>
      <c r="S117" s="298"/>
      <c r="T117" s="298"/>
      <c r="U117" s="298"/>
      <c r="V117" s="298"/>
      <c r="W117" s="298"/>
      <c r="X117" s="298"/>
      <c r="Y117" s="298"/>
    </row>
    <row r="118" spans="1:25" ht="16.5" customHeight="1">
      <c r="A118" s="281">
        <v>612</v>
      </c>
      <c r="B118" s="3456"/>
      <c r="C118" s="3456"/>
      <c r="D118" s="3456"/>
      <c r="E118" s="3456"/>
      <c r="F118" s="3456"/>
      <c r="G118" s="3456"/>
      <c r="H118" s="3456"/>
      <c r="I118" s="3456"/>
      <c r="J118" s="282"/>
      <c r="K118" s="283"/>
      <c r="L118" s="282"/>
      <c r="M118" s="284"/>
      <c r="N118" s="283"/>
      <c r="O118" s="285"/>
      <c r="P118" s="282"/>
      <c r="Q118" s="286"/>
      <c r="R118" s="287"/>
      <c r="S118" s="288"/>
      <c r="T118" s="288"/>
      <c r="U118" s="288"/>
      <c r="V118" s="288"/>
      <c r="W118" s="288"/>
      <c r="X118" s="288"/>
      <c r="Y118" s="288"/>
    </row>
    <row r="119" spans="1:25">
      <c r="A119" s="290">
        <v>6121</v>
      </c>
      <c r="B119" s="291"/>
      <c r="C119" s="291"/>
      <c r="D119" s="291"/>
      <c r="E119" s="292"/>
      <c r="F119" s="306"/>
      <c r="G119" s="293"/>
      <c r="H119" s="293"/>
      <c r="I119" s="294"/>
      <c r="J119" s="295"/>
      <c r="K119" s="294"/>
      <c r="L119" s="295"/>
      <c r="M119" s="296"/>
      <c r="N119" s="294"/>
      <c r="O119" s="297"/>
      <c r="P119" s="295"/>
      <c r="Q119" s="298"/>
      <c r="R119" s="299"/>
      <c r="S119" s="298"/>
      <c r="T119" s="298"/>
      <c r="U119" s="298"/>
      <c r="V119" s="298"/>
      <c r="W119" s="298"/>
      <c r="X119" s="298"/>
      <c r="Y119" s="298"/>
    </row>
    <row r="120" spans="1:25">
      <c r="A120" s="290">
        <v>6122</v>
      </c>
      <c r="B120" s="291"/>
      <c r="C120" s="291"/>
      <c r="D120" s="291"/>
      <c r="E120" s="292"/>
      <c r="F120" s="306"/>
      <c r="G120" s="293"/>
      <c r="H120" s="293"/>
      <c r="I120" s="294"/>
      <c r="J120" s="295"/>
      <c r="K120" s="294"/>
      <c r="L120" s="295"/>
      <c r="M120" s="296"/>
      <c r="N120" s="294"/>
      <c r="O120" s="297"/>
      <c r="P120" s="295"/>
      <c r="Q120" s="298"/>
      <c r="R120" s="299"/>
      <c r="S120" s="298"/>
      <c r="T120" s="298"/>
      <c r="U120" s="298"/>
      <c r="V120" s="298"/>
      <c r="W120" s="298"/>
      <c r="X120" s="298"/>
      <c r="Y120" s="298"/>
    </row>
    <row r="121" spans="1:25">
      <c r="A121" s="301" t="s">
        <v>233</v>
      </c>
      <c r="B121" s="291"/>
      <c r="C121" s="291"/>
      <c r="D121" s="291"/>
      <c r="E121" s="292"/>
      <c r="F121" s="306"/>
      <c r="G121" s="293"/>
      <c r="H121" s="293"/>
      <c r="I121" s="294"/>
      <c r="J121" s="295"/>
      <c r="K121" s="294"/>
      <c r="L121" s="295"/>
      <c r="M121" s="296"/>
      <c r="N121" s="294"/>
      <c r="O121" s="297"/>
      <c r="P121" s="295"/>
      <c r="Q121" s="298"/>
      <c r="R121" s="299"/>
      <c r="S121" s="298"/>
      <c r="T121" s="298"/>
      <c r="U121" s="298"/>
      <c r="V121" s="298"/>
      <c r="W121" s="298"/>
      <c r="X121" s="298"/>
      <c r="Y121" s="298"/>
    </row>
    <row r="122" spans="1:25" ht="38.25" customHeight="1">
      <c r="A122" s="3457" t="s">
        <v>283</v>
      </c>
      <c r="B122" s="3457"/>
      <c r="C122" s="3457"/>
      <c r="D122" s="3457"/>
      <c r="E122" s="3457"/>
      <c r="F122" s="3457"/>
      <c r="G122" s="3457"/>
      <c r="H122" s="3457"/>
      <c r="I122" s="3457"/>
      <c r="J122" s="273"/>
      <c r="K122" s="273"/>
      <c r="L122" s="273"/>
      <c r="M122" s="274"/>
      <c r="N122" s="273"/>
      <c r="O122" s="275"/>
      <c r="P122" s="273"/>
      <c r="Q122" s="276"/>
      <c r="R122" s="277"/>
      <c r="S122" s="278"/>
      <c r="T122" s="278"/>
      <c r="U122" s="278"/>
      <c r="V122" s="274"/>
      <c r="W122" s="274"/>
      <c r="X122" s="274"/>
      <c r="Y122" s="274"/>
    </row>
    <row r="123" spans="1:25" ht="16.5" customHeight="1">
      <c r="A123" s="281">
        <v>621</v>
      </c>
      <c r="B123" s="3456"/>
      <c r="C123" s="3456"/>
      <c r="D123" s="3456"/>
      <c r="E123" s="3456"/>
      <c r="F123" s="3456"/>
      <c r="G123" s="3456"/>
      <c r="H123" s="3456"/>
      <c r="I123" s="3456"/>
      <c r="J123" s="282"/>
      <c r="K123" s="283"/>
      <c r="L123" s="282"/>
      <c r="M123" s="284"/>
      <c r="N123" s="283"/>
      <c r="O123" s="285"/>
      <c r="P123" s="282"/>
      <c r="Q123" s="286"/>
      <c r="R123" s="287"/>
      <c r="S123" s="288"/>
      <c r="T123" s="288"/>
      <c r="U123" s="288"/>
      <c r="V123" s="288"/>
      <c r="W123" s="288"/>
      <c r="X123" s="288"/>
      <c r="Y123" s="288"/>
    </row>
    <row r="124" spans="1:25">
      <c r="A124" s="290">
        <v>6211</v>
      </c>
      <c r="B124" s="291"/>
      <c r="C124" s="291"/>
      <c r="D124" s="291"/>
      <c r="E124" s="292"/>
      <c r="F124" s="306"/>
      <c r="G124" s="293"/>
      <c r="H124" s="293"/>
      <c r="I124" s="294"/>
      <c r="J124" s="295"/>
      <c r="K124" s="294"/>
      <c r="L124" s="295"/>
      <c r="M124" s="296"/>
      <c r="N124" s="294"/>
      <c r="O124" s="297"/>
      <c r="P124" s="295"/>
      <c r="Q124" s="298"/>
      <c r="R124" s="299"/>
      <c r="S124" s="298"/>
      <c r="T124" s="298"/>
      <c r="U124" s="298"/>
      <c r="V124" s="298"/>
      <c r="W124" s="298"/>
      <c r="X124" s="298"/>
      <c r="Y124" s="298"/>
    </row>
    <row r="125" spans="1:25">
      <c r="A125" s="290">
        <v>6212</v>
      </c>
      <c r="B125" s="291"/>
      <c r="C125" s="291"/>
      <c r="D125" s="291"/>
      <c r="E125" s="292"/>
      <c r="F125" s="306"/>
      <c r="G125" s="293"/>
      <c r="H125" s="293"/>
      <c r="I125" s="294"/>
      <c r="J125" s="295"/>
      <c r="K125" s="294"/>
      <c r="L125" s="295"/>
      <c r="M125" s="296"/>
      <c r="N125" s="294"/>
      <c r="O125" s="297"/>
      <c r="P125" s="295"/>
      <c r="Q125" s="298"/>
      <c r="R125" s="299"/>
      <c r="S125" s="298"/>
      <c r="T125" s="298"/>
      <c r="U125" s="298"/>
      <c r="V125" s="298"/>
      <c r="W125" s="298"/>
      <c r="X125" s="298"/>
      <c r="Y125" s="298"/>
    </row>
    <row r="126" spans="1:25">
      <c r="A126" s="290">
        <v>6213</v>
      </c>
      <c r="B126" s="291"/>
      <c r="C126" s="291"/>
      <c r="D126" s="291"/>
      <c r="E126" s="292"/>
      <c r="F126" s="306"/>
      <c r="G126" s="293"/>
      <c r="H126" s="293"/>
      <c r="I126" s="294"/>
      <c r="J126" s="295"/>
      <c r="K126" s="294"/>
      <c r="L126" s="295"/>
      <c r="M126" s="296"/>
      <c r="N126" s="294"/>
      <c r="O126" s="297"/>
      <c r="P126" s="295"/>
      <c r="Q126" s="298"/>
      <c r="R126" s="299"/>
      <c r="S126" s="298"/>
      <c r="T126" s="298"/>
      <c r="U126" s="298"/>
      <c r="V126" s="298"/>
      <c r="W126" s="298"/>
      <c r="X126" s="298"/>
      <c r="Y126" s="298"/>
    </row>
    <row r="127" spans="1:25" ht="16.5" customHeight="1">
      <c r="A127" s="281">
        <v>622</v>
      </c>
      <c r="B127" s="3456"/>
      <c r="C127" s="3456"/>
      <c r="D127" s="3456"/>
      <c r="E127" s="3456"/>
      <c r="F127" s="3456"/>
      <c r="G127" s="3456"/>
      <c r="H127" s="3456"/>
      <c r="I127" s="3456"/>
      <c r="J127" s="282"/>
      <c r="K127" s="283"/>
      <c r="L127" s="282"/>
      <c r="M127" s="284"/>
      <c r="N127" s="283"/>
      <c r="O127" s="285"/>
      <c r="P127" s="282"/>
      <c r="Q127" s="286"/>
      <c r="R127" s="287"/>
      <c r="S127" s="288"/>
      <c r="T127" s="288"/>
      <c r="U127" s="288"/>
      <c r="V127" s="288"/>
      <c r="W127" s="288"/>
      <c r="X127" s="288"/>
      <c r="Y127" s="288"/>
    </row>
    <row r="128" spans="1:25">
      <c r="A128" s="290">
        <v>6221</v>
      </c>
      <c r="B128" s="291"/>
      <c r="C128" s="291"/>
      <c r="D128" s="291"/>
      <c r="E128" s="292"/>
      <c r="F128" s="306"/>
      <c r="G128" s="293"/>
      <c r="H128" s="293"/>
      <c r="I128" s="294"/>
      <c r="J128" s="295"/>
      <c r="K128" s="294"/>
      <c r="L128" s="295"/>
      <c r="M128" s="296"/>
      <c r="N128" s="294"/>
      <c r="O128" s="297"/>
      <c r="P128" s="295"/>
      <c r="Q128" s="298"/>
      <c r="R128" s="299"/>
      <c r="S128" s="298"/>
      <c r="T128" s="298"/>
      <c r="U128" s="298"/>
      <c r="V128" s="298"/>
      <c r="W128" s="298"/>
      <c r="X128" s="298"/>
      <c r="Y128" s="298"/>
    </row>
    <row r="129" spans="1:25">
      <c r="A129" s="290">
        <v>6222</v>
      </c>
      <c r="B129" s="291"/>
      <c r="C129" s="291"/>
      <c r="D129" s="291"/>
      <c r="E129" s="292"/>
      <c r="F129" s="306"/>
      <c r="G129" s="293"/>
      <c r="H129" s="293"/>
      <c r="I129" s="294"/>
      <c r="J129" s="295"/>
      <c r="K129" s="294"/>
      <c r="L129" s="295"/>
      <c r="M129" s="296"/>
      <c r="N129" s="294"/>
      <c r="O129" s="297"/>
      <c r="P129" s="295"/>
      <c r="Q129" s="298"/>
      <c r="R129" s="299"/>
      <c r="S129" s="298"/>
      <c r="T129" s="298"/>
      <c r="U129" s="298"/>
      <c r="V129" s="298"/>
      <c r="W129" s="298"/>
      <c r="X129" s="298"/>
      <c r="Y129" s="298"/>
    </row>
    <row r="130" spans="1:25">
      <c r="A130" s="301" t="s">
        <v>233</v>
      </c>
      <c r="B130" s="291"/>
      <c r="C130" s="291"/>
      <c r="D130" s="291"/>
      <c r="E130" s="292"/>
      <c r="F130" s="306"/>
      <c r="G130" s="293"/>
      <c r="H130" s="293"/>
      <c r="I130" s="294"/>
      <c r="J130" s="295"/>
      <c r="K130" s="294"/>
      <c r="L130" s="295"/>
      <c r="M130" s="296"/>
      <c r="N130" s="294"/>
      <c r="O130" s="297"/>
      <c r="P130" s="295"/>
      <c r="Q130" s="298"/>
      <c r="R130" s="299"/>
      <c r="S130" s="298"/>
      <c r="T130" s="298"/>
      <c r="U130" s="298"/>
      <c r="V130" s="298"/>
      <c r="W130" s="298"/>
      <c r="X130" s="298"/>
      <c r="Y130" s="298"/>
    </row>
    <row r="131" spans="1:25" ht="38.25" customHeight="1">
      <c r="A131" s="3457" t="s">
        <v>284</v>
      </c>
      <c r="B131" s="3457"/>
      <c r="C131" s="3457"/>
      <c r="D131" s="3457"/>
      <c r="E131" s="3457"/>
      <c r="F131" s="3457"/>
      <c r="G131" s="3457"/>
      <c r="H131" s="3457"/>
      <c r="I131" s="3457"/>
      <c r="J131" s="273"/>
      <c r="K131" s="273"/>
      <c r="L131" s="273"/>
      <c r="M131" s="274"/>
      <c r="N131" s="273"/>
      <c r="O131" s="275"/>
      <c r="P131" s="273"/>
      <c r="Q131" s="276"/>
      <c r="R131" s="277">
        <f>+'[11]Compil Costing PPA 3 millions'!F20</f>
        <v>129747.66</v>
      </c>
      <c r="S131" s="278"/>
      <c r="T131" s="278"/>
      <c r="U131" s="278"/>
      <c r="V131" s="274"/>
      <c r="W131" s="274"/>
      <c r="X131" s="274"/>
      <c r="Y131" s="274"/>
    </row>
    <row r="132" spans="1:25" ht="16.5" customHeight="1">
      <c r="A132" s="281">
        <v>631</v>
      </c>
      <c r="B132" s="3456"/>
      <c r="C132" s="3456"/>
      <c r="D132" s="3456"/>
      <c r="E132" s="3456"/>
      <c r="F132" s="3456"/>
      <c r="G132" s="3456"/>
      <c r="H132" s="3456"/>
      <c r="I132" s="3456"/>
      <c r="J132" s="282"/>
      <c r="K132" s="283"/>
      <c r="L132" s="282"/>
      <c r="M132" s="284"/>
      <c r="N132" s="283"/>
      <c r="O132" s="285"/>
      <c r="P132" s="282"/>
      <c r="Q132" s="286"/>
      <c r="R132" s="287"/>
      <c r="S132" s="288"/>
      <c r="T132" s="288"/>
      <c r="U132" s="288"/>
      <c r="V132" s="288"/>
      <c r="W132" s="288"/>
      <c r="X132" s="288"/>
      <c r="Y132" s="288"/>
    </row>
    <row r="133" spans="1:25">
      <c r="A133" s="290">
        <v>6311</v>
      </c>
      <c r="B133" s="291"/>
      <c r="C133" s="291"/>
      <c r="D133" s="291"/>
      <c r="E133" s="292"/>
      <c r="F133" s="306"/>
      <c r="G133" s="293"/>
      <c r="H133" s="293"/>
      <c r="I133" s="294"/>
      <c r="J133" s="295"/>
      <c r="K133" s="294"/>
      <c r="L133" s="295"/>
      <c r="M133" s="296"/>
      <c r="N133" s="294"/>
      <c r="O133" s="297"/>
      <c r="P133" s="295"/>
      <c r="Q133" s="298"/>
      <c r="R133" s="299"/>
      <c r="S133" s="298"/>
      <c r="T133" s="298"/>
      <c r="U133" s="298"/>
      <c r="V133" s="298"/>
      <c r="W133" s="298"/>
      <c r="X133" s="298"/>
      <c r="Y133" s="298"/>
    </row>
    <row r="134" spans="1:25">
      <c r="A134" s="290">
        <v>6312</v>
      </c>
      <c r="B134" s="291"/>
      <c r="C134" s="291"/>
      <c r="D134" s="291"/>
      <c r="E134" s="292"/>
      <c r="F134" s="306"/>
      <c r="G134" s="293"/>
      <c r="H134" s="293"/>
      <c r="I134" s="294"/>
      <c r="J134" s="295"/>
      <c r="K134" s="294"/>
      <c r="L134" s="295"/>
      <c r="M134" s="296"/>
      <c r="N134" s="294"/>
      <c r="O134" s="297"/>
      <c r="P134" s="295"/>
      <c r="Q134" s="298"/>
      <c r="R134" s="299"/>
      <c r="S134" s="298"/>
      <c r="T134" s="298"/>
      <c r="U134" s="298"/>
      <c r="V134" s="298"/>
      <c r="W134" s="298"/>
      <c r="X134" s="298"/>
      <c r="Y134" s="298"/>
    </row>
    <row r="135" spans="1:25">
      <c r="A135" s="290">
        <v>6313</v>
      </c>
      <c r="B135" s="291"/>
      <c r="C135" s="291"/>
      <c r="D135" s="291"/>
      <c r="E135" s="292"/>
      <c r="F135" s="306"/>
      <c r="G135" s="293"/>
      <c r="H135" s="293"/>
      <c r="I135" s="294"/>
      <c r="J135" s="295"/>
      <c r="K135" s="294"/>
      <c r="L135" s="295"/>
      <c r="M135" s="296"/>
      <c r="N135" s="294"/>
      <c r="O135" s="297"/>
      <c r="P135" s="295"/>
      <c r="Q135" s="298"/>
      <c r="R135" s="299"/>
      <c r="S135" s="298"/>
      <c r="T135" s="298"/>
      <c r="U135" s="298"/>
      <c r="V135" s="298"/>
      <c r="W135" s="298"/>
      <c r="X135" s="298"/>
      <c r="Y135" s="298"/>
    </row>
    <row r="136" spans="1:25" ht="16.5" customHeight="1">
      <c r="A136" s="281">
        <v>632</v>
      </c>
      <c r="B136" s="3456"/>
      <c r="C136" s="3456"/>
      <c r="D136" s="3456"/>
      <c r="E136" s="3456"/>
      <c r="F136" s="3456"/>
      <c r="G136" s="3456"/>
      <c r="H136" s="3456"/>
      <c r="I136" s="3456"/>
      <c r="J136" s="282"/>
      <c r="K136" s="283"/>
      <c r="L136" s="282"/>
      <c r="M136" s="284"/>
      <c r="N136" s="283"/>
      <c r="O136" s="285"/>
      <c r="P136" s="282"/>
      <c r="Q136" s="286"/>
      <c r="R136" s="287"/>
      <c r="S136" s="288"/>
      <c r="T136" s="288"/>
      <c r="U136" s="288"/>
      <c r="V136" s="288"/>
      <c r="W136" s="288"/>
      <c r="X136" s="288"/>
      <c r="Y136" s="288"/>
    </row>
    <row r="137" spans="1:25">
      <c r="A137" s="290">
        <v>6321</v>
      </c>
      <c r="B137" s="291"/>
      <c r="C137" s="291"/>
      <c r="D137" s="291"/>
      <c r="E137" s="292"/>
      <c r="F137" s="306"/>
      <c r="G137" s="293"/>
      <c r="H137" s="293"/>
      <c r="I137" s="294"/>
      <c r="J137" s="295"/>
      <c r="K137" s="294"/>
      <c r="L137" s="295"/>
      <c r="M137" s="296"/>
      <c r="N137" s="294"/>
      <c r="O137" s="297"/>
      <c r="P137" s="295"/>
      <c r="Q137" s="298"/>
      <c r="R137" s="299"/>
      <c r="S137" s="298"/>
      <c r="T137" s="298"/>
      <c r="U137" s="298"/>
      <c r="V137" s="298"/>
      <c r="W137" s="298"/>
      <c r="X137" s="298"/>
      <c r="Y137" s="298"/>
    </row>
    <row r="138" spans="1:25">
      <c r="A138" s="290">
        <v>6322</v>
      </c>
      <c r="B138" s="291"/>
      <c r="C138" s="291"/>
      <c r="D138" s="291"/>
      <c r="E138" s="292"/>
      <c r="F138" s="306"/>
      <c r="G138" s="293"/>
      <c r="H138" s="293"/>
      <c r="I138" s="294"/>
      <c r="J138" s="295"/>
      <c r="K138" s="294"/>
      <c r="L138" s="295"/>
      <c r="M138" s="296"/>
      <c r="N138" s="294"/>
      <c r="O138" s="297"/>
      <c r="P138" s="295"/>
      <c r="Q138" s="298"/>
      <c r="R138" s="299"/>
      <c r="S138" s="298"/>
      <c r="T138" s="298"/>
      <c r="U138" s="298"/>
      <c r="V138" s="298"/>
      <c r="W138" s="298"/>
      <c r="X138" s="298"/>
      <c r="Y138" s="298"/>
    </row>
    <row r="139" spans="1:25">
      <c r="A139" s="301" t="s">
        <v>233</v>
      </c>
      <c r="B139" s="291"/>
      <c r="C139" s="291"/>
      <c r="D139" s="291"/>
      <c r="E139" s="292"/>
      <c r="F139" s="306"/>
      <c r="G139" s="293"/>
      <c r="H139" s="293"/>
      <c r="I139" s="294"/>
      <c r="J139" s="295"/>
      <c r="K139" s="294"/>
      <c r="L139" s="295"/>
      <c r="M139" s="296"/>
      <c r="N139" s="294"/>
      <c r="O139" s="297"/>
      <c r="P139" s="295"/>
      <c r="Q139" s="298"/>
      <c r="R139" s="299"/>
      <c r="S139" s="298"/>
      <c r="T139" s="298"/>
      <c r="U139" s="298"/>
      <c r="V139" s="298"/>
      <c r="W139" s="298"/>
      <c r="X139" s="298"/>
      <c r="Y139" s="298"/>
    </row>
    <row r="140" spans="1:25">
      <c r="H140" s="336"/>
      <c r="P140" s="342" t="s">
        <v>285</v>
      </c>
      <c r="Q140" s="315">
        <f>+Q7+Q26+Q61+Q80+Q108+Q112</f>
        <v>0</v>
      </c>
      <c r="R140" s="344">
        <f>+R7+R26+R61+R80+R108+R112</f>
        <v>3000000.316676667</v>
      </c>
    </row>
  </sheetData>
  <mergeCells count="64">
    <mergeCell ref="A2:V2"/>
    <mergeCell ref="A5:A6"/>
    <mergeCell ref="B5:B6"/>
    <mergeCell ref="C5:C6"/>
    <mergeCell ref="D5:D6"/>
    <mergeCell ref="E5:E6"/>
    <mergeCell ref="F5:G5"/>
    <mergeCell ref="H5:H6"/>
    <mergeCell ref="I5:J5"/>
    <mergeCell ref="K5:K6"/>
    <mergeCell ref="L5:L6"/>
    <mergeCell ref="M5:M6"/>
    <mergeCell ref="R5:R6"/>
    <mergeCell ref="S5:Y5"/>
    <mergeCell ref="P5:P6"/>
    <mergeCell ref="Q5:Q6"/>
    <mergeCell ref="A61:I61"/>
    <mergeCell ref="B28:I28"/>
    <mergeCell ref="N5:N6"/>
    <mergeCell ref="O5:O6"/>
    <mergeCell ref="B22:I22"/>
    <mergeCell ref="A27:I27"/>
    <mergeCell ref="A7:I7"/>
    <mergeCell ref="A17:I17"/>
    <mergeCell ref="B18:I18"/>
    <mergeCell ref="B13:I13"/>
    <mergeCell ref="A8:I8"/>
    <mergeCell ref="B9:I9"/>
    <mergeCell ref="A26:I26"/>
    <mergeCell ref="B37:I37"/>
    <mergeCell ref="B42:I42"/>
    <mergeCell ref="A46:I46"/>
    <mergeCell ref="B47:I47"/>
    <mergeCell ref="B104:I104"/>
    <mergeCell ref="A62:I62"/>
    <mergeCell ref="B63:I63"/>
    <mergeCell ref="B67:I67"/>
    <mergeCell ref="A71:I71"/>
    <mergeCell ref="A90:I90"/>
    <mergeCell ref="B91:I91"/>
    <mergeCell ref="B95:I95"/>
    <mergeCell ref="A99:I99"/>
    <mergeCell ref="B100:I100"/>
    <mergeCell ref="B76:I76"/>
    <mergeCell ref="A80:I80"/>
    <mergeCell ref="A81:I81"/>
    <mergeCell ref="B82:I82"/>
    <mergeCell ref="B86:I86"/>
    <mergeCell ref="B72:I72"/>
    <mergeCell ref="B32:I32"/>
    <mergeCell ref="A36:I36"/>
    <mergeCell ref="B136:I136"/>
    <mergeCell ref="A109:I109"/>
    <mergeCell ref="B110:I110"/>
    <mergeCell ref="A112:I112"/>
    <mergeCell ref="A113:I113"/>
    <mergeCell ref="B114:I114"/>
    <mergeCell ref="B118:I118"/>
    <mergeCell ref="A122:I122"/>
    <mergeCell ref="B123:I123"/>
    <mergeCell ref="B127:I127"/>
    <mergeCell ref="A131:I131"/>
    <mergeCell ref="B132:I132"/>
    <mergeCell ref="A108:I10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Z182"/>
  <sheetViews>
    <sheetView zoomScale="71" zoomScaleNormal="71" workbookViewId="0">
      <selection activeCell="A5" sqref="A5:A6"/>
    </sheetView>
  </sheetViews>
  <sheetFormatPr baseColWidth="10" defaultColWidth="11.42578125" defaultRowHeight="15.75"/>
  <cols>
    <col min="1" max="1" width="7.28515625" style="336" customWidth="1"/>
    <col min="2" max="2" width="45.28515625" style="337" customWidth="1"/>
    <col min="3" max="3" width="34.85546875" style="337" customWidth="1"/>
    <col min="4" max="4" width="14.85546875" style="337" customWidth="1"/>
    <col min="5" max="5" width="14.7109375" style="338" customWidth="1"/>
    <col min="6" max="6" width="13.5703125" style="339" customWidth="1"/>
    <col min="7" max="7" width="13.5703125" style="340" customWidth="1"/>
    <col min="8" max="8" width="25.140625" style="340" customWidth="1"/>
    <col min="9" max="9" width="14" style="341" customWidth="1"/>
    <col min="10" max="10" width="15.85546875" style="342" customWidth="1"/>
    <col min="11" max="11" width="19.5703125" style="341" customWidth="1"/>
    <col min="12" max="12" width="13.85546875" style="342" customWidth="1"/>
    <col min="13" max="13" width="13.85546875" style="280" customWidth="1"/>
    <col min="14" max="14" width="13.85546875" style="341" customWidth="1"/>
    <col min="15" max="15" width="20.140625" style="343" customWidth="1"/>
    <col min="16" max="16" width="14" style="342" customWidth="1"/>
    <col min="17" max="17" width="18.85546875" style="342" customWidth="1"/>
    <col min="18" max="18" width="17" style="344" bestFit="1" customWidth="1"/>
    <col min="19" max="19" width="18.5703125" style="315" customWidth="1"/>
    <col min="20" max="20" width="16.140625" style="315" customWidth="1"/>
    <col min="21" max="21" width="21.42578125" style="315" customWidth="1"/>
    <col min="22" max="22" width="13.28515625" style="315" customWidth="1"/>
    <col min="23" max="23" width="16.85546875" style="315" customWidth="1"/>
    <col min="24" max="24" width="10.42578125" style="315" customWidth="1"/>
    <col min="25" max="25" width="13.7109375" style="315" customWidth="1"/>
    <col min="26" max="16384" width="11.42578125" style="280"/>
  </cols>
  <sheetData>
    <row r="1" spans="1:25" s="238" customFormat="1">
      <c r="A1" s="234"/>
      <c r="B1" s="235"/>
      <c r="C1" s="235"/>
      <c r="D1" s="235"/>
      <c r="E1" s="236"/>
      <c r="F1" s="237"/>
      <c r="G1" s="237"/>
      <c r="H1" s="237"/>
      <c r="I1" s="237"/>
      <c r="J1" s="237"/>
      <c r="K1" s="237"/>
      <c r="L1" s="237"/>
      <c r="N1" s="237"/>
      <c r="O1" s="239"/>
      <c r="P1" s="237"/>
      <c r="Q1" s="237"/>
      <c r="R1" s="241"/>
      <c r="S1" s="239"/>
      <c r="T1" s="239"/>
      <c r="U1" s="239"/>
      <c r="V1" s="239"/>
      <c r="W1" s="239"/>
      <c r="X1" s="239"/>
      <c r="Y1" s="239"/>
    </row>
    <row r="2" spans="1:25" s="238" customFormat="1" ht="15.75" customHeight="1">
      <c r="A2" s="3443" t="s">
        <v>202</v>
      </c>
      <c r="B2" s="3443"/>
      <c r="C2" s="3443"/>
      <c r="D2" s="3443"/>
      <c r="E2" s="3443"/>
      <c r="F2" s="3443"/>
      <c r="G2" s="3443"/>
      <c r="H2" s="3443"/>
      <c r="I2" s="3443"/>
      <c r="J2" s="3443"/>
      <c r="K2" s="3443"/>
      <c r="L2" s="3443"/>
      <c r="M2" s="3443"/>
      <c r="N2" s="3443"/>
      <c r="O2" s="3443"/>
      <c r="P2" s="3443"/>
      <c r="Q2" s="3443"/>
      <c r="R2" s="3443"/>
      <c r="S2" s="3443"/>
      <c r="T2" s="3443"/>
      <c r="U2" s="3443"/>
      <c r="V2" s="3443"/>
    </row>
    <row r="3" spans="1:25" s="249" customFormat="1" ht="15.75" customHeight="1">
      <c r="A3" s="244"/>
      <c r="B3" s="244"/>
      <c r="C3" s="244"/>
      <c r="D3" s="244"/>
      <c r="E3" s="245"/>
      <c r="F3" s="244"/>
      <c r="G3" s="244"/>
      <c r="H3" s="244"/>
      <c r="I3" s="245"/>
      <c r="J3" s="245"/>
      <c r="K3" s="245"/>
      <c r="L3" s="245"/>
      <c r="M3" s="244"/>
      <c r="N3" s="245"/>
      <c r="O3" s="246"/>
      <c r="P3" s="245"/>
      <c r="Q3" s="245"/>
      <c r="R3" s="248"/>
      <c r="S3" s="244"/>
      <c r="T3" s="244"/>
      <c r="U3" s="244"/>
      <c r="V3" s="244"/>
    </row>
    <row r="4" spans="1:25" s="255" customFormat="1" ht="15">
      <c r="A4" s="251"/>
      <c r="B4" s="252"/>
      <c r="C4" s="252"/>
      <c r="D4" s="252"/>
      <c r="E4" s="253"/>
      <c r="F4" s="254"/>
      <c r="G4" s="254"/>
      <c r="H4" s="254"/>
      <c r="I4" s="254"/>
      <c r="J4" s="254"/>
      <c r="K4" s="254"/>
      <c r="L4" s="254"/>
      <c r="N4" s="254"/>
      <c r="O4" s="256"/>
      <c r="P4" s="254"/>
      <c r="Q4" s="254"/>
      <c r="R4" s="258"/>
      <c r="S4" s="256"/>
      <c r="T4" s="256"/>
      <c r="U4" s="256"/>
      <c r="V4" s="256"/>
      <c r="W4" s="256"/>
      <c r="X4" s="256"/>
      <c r="Y4" s="256"/>
    </row>
    <row r="5" spans="1:25" s="238" customFormat="1" ht="34.5" customHeight="1">
      <c r="A5" s="3466" t="s">
        <v>203</v>
      </c>
      <c r="B5" s="3462" t="s">
        <v>204</v>
      </c>
      <c r="C5" s="3462" t="s">
        <v>205</v>
      </c>
      <c r="D5" s="3499" t="s">
        <v>206</v>
      </c>
      <c r="E5" s="3500" t="s">
        <v>207</v>
      </c>
      <c r="F5" s="3468" t="s">
        <v>208</v>
      </c>
      <c r="G5" s="3468"/>
      <c r="H5" s="3501" t="s">
        <v>209</v>
      </c>
      <c r="I5" s="3469" t="s">
        <v>210</v>
      </c>
      <c r="J5" s="3469"/>
      <c r="K5" s="3503" t="s">
        <v>211</v>
      </c>
      <c r="L5" s="3462" t="s">
        <v>212</v>
      </c>
      <c r="M5" s="3463" t="s">
        <v>213</v>
      </c>
      <c r="N5" s="3499" t="s">
        <v>214</v>
      </c>
      <c r="O5" s="522"/>
      <c r="P5" s="3462" t="s">
        <v>216</v>
      </c>
      <c r="Q5" s="844"/>
      <c r="R5" s="3471" t="s">
        <v>287</v>
      </c>
      <c r="S5" s="3472" t="s">
        <v>219</v>
      </c>
      <c r="T5" s="3472"/>
      <c r="U5" s="3472"/>
      <c r="V5" s="3472"/>
      <c r="W5" s="3472"/>
      <c r="X5" s="3472"/>
      <c r="Y5" s="3472"/>
    </row>
    <row r="6" spans="1:25" s="237" customFormat="1" ht="60" customHeight="1">
      <c r="A6" s="3466"/>
      <c r="B6" s="3462"/>
      <c r="C6" s="3462"/>
      <c r="D6" s="3442"/>
      <c r="E6" s="3446"/>
      <c r="F6" s="260" t="s">
        <v>220</v>
      </c>
      <c r="G6" s="261" t="s">
        <v>221</v>
      </c>
      <c r="H6" s="3502"/>
      <c r="I6" s="262" t="s">
        <v>222</v>
      </c>
      <c r="J6" s="262" t="s">
        <v>288</v>
      </c>
      <c r="K6" s="3450"/>
      <c r="L6" s="3462"/>
      <c r="M6" s="3463"/>
      <c r="N6" s="3442"/>
      <c r="O6" s="3465" t="s">
        <v>909</v>
      </c>
      <c r="P6" s="3462"/>
      <c r="Q6" s="3497" t="s">
        <v>910</v>
      </c>
      <c r="R6" s="3471"/>
      <c r="S6" s="263" t="s">
        <v>224</v>
      </c>
      <c r="T6" s="263" t="s">
        <v>225</v>
      </c>
      <c r="U6" s="263" t="s">
        <v>226</v>
      </c>
      <c r="V6" s="263" t="s">
        <v>227</v>
      </c>
      <c r="W6" s="263" t="s">
        <v>228</v>
      </c>
      <c r="X6" s="263" t="s">
        <v>229</v>
      </c>
      <c r="Y6" s="263" t="s">
        <v>230</v>
      </c>
    </row>
    <row r="7" spans="1:25" s="272" customFormat="1" ht="33.75" hidden="1" customHeight="1">
      <c r="A7" s="3458" t="s">
        <v>231</v>
      </c>
      <c r="B7" s="3458"/>
      <c r="C7" s="3458"/>
      <c r="D7" s="3458"/>
      <c r="E7" s="3458"/>
      <c r="F7" s="3458"/>
      <c r="G7" s="3458"/>
      <c r="H7" s="3458"/>
      <c r="I7" s="3458"/>
      <c r="J7" s="265"/>
      <c r="K7" s="265"/>
      <c r="L7" s="265"/>
      <c r="M7" s="266"/>
      <c r="N7" s="265"/>
      <c r="O7" s="3465"/>
      <c r="P7" s="265"/>
      <c r="Q7" s="3498"/>
      <c r="R7" s="269">
        <f>+'[12]Compil Costing PPA 3 millions'!F5</f>
        <v>449500</v>
      </c>
      <c r="S7" s="270"/>
      <c r="T7" s="270"/>
      <c r="U7" s="270"/>
      <c r="V7" s="270"/>
      <c r="W7" s="270"/>
      <c r="X7" s="270"/>
      <c r="Y7" s="270"/>
    </row>
    <row r="8" spans="1:25" ht="37.5" hidden="1" customHeight="1">
      <c r="A8" s="3457" t="s">
        <v>232</v>
      </c>
      <c r="B8" s="3457"/>
      <c r="C8" s="3457"/>
      <c r="D8" s="3457"/>
      <c r="E8" s="3457"/>
      <c r="F8" s="3457"/>
      <c r="G8" s="3457"/>
      <c r="H8" s="3457"/>
      <c r="I8" s="3457"/>
      <c r="J8" s="273"/>
      <c r="K8" s="273"/>
      <c r="L8" s="273"/>
      <c r="M8" s="274"/>
      <c r="N8" s="273"/>
      <c r="O8" s="275"/>
      <c r="P8" s="273"/>
      <c r="Q8" s="273"/>
      <c r="R8" s="277"/>
      <c r="S8" s="278"/>
      <c r="T8" s="278"/>
      <c r="U8" s="278"/>
      <c r="V8" s="274"/>
      <c r="W8" s="274"/>
      <c r="X8" s="274"/>
      <c r="Y8" s="274"/>
    </row>
    <row r="9" spans="1:25" ht="16.5" hidden="1" customHeight="1">
      <c r="A9" s="281">
        <v>111</v>
      </c>
      <c r="B9" s="3456"/>
      <c r="C9" s="3456"/>
      <c r="D9" s="3456"/>
      <c r="E9" s="3456"/>
      <c r="F9" s="3456"/>
      <c r="G9" s="3456"/>
      <c r="H9" s="3456"/>
      <c r="I9" s="3456"/>
      <c r="J9" s="282"/>
      <c r="K9" s="283"/>
      <c r="L9" s="282"/>
      <c r="M9" s="284"/>
      <c r="N9" s="283"/>
      <c r="O9" s="285"/>
      <c r="P9" s="282"/>
      <c r="Q9" s="282"/>
      <c r="R9" s="287"/>
      <c r="S9" s="288"/>
      <c r="T9" s="288"/>
      <c r="U9" s="288"/>
      <c r="V9" s="288"/>
      <c r="W9" s="288"/>
      <c r="X9" s="288"/>
      <c r="Y9" s="288"/>
    </row>
    <row r="10" spans="1:25" ht="16.5" hidden="1" customHeight="1">
      <c r="A10" s="290">
        <v>1111</v>
      </c>
      <c r="B10" s="291"/>
      <c r="C10" s="291"/>
      <c r="D10" s="291"/>
      <c r="E10" s="292"/>
      <c r="F10" s="293"/>
      <c r="G10" s="293"/>
      <c r="H10" s="293"/>
      <c r="I10" s="294"/>
      <c r="J10" s="295"/>
      <c r="K10" s="294"/>
      <c r="L10" s="295"/>
      <c r="M10" s="296"/>
      <c r="N10" s="294"/>
      <c r="O10" s="297"/>
      <c r="P10" s="295"/>
      <c r="Q10" s="295"/>
      <c r="R10" s="299"/>
      <c r="S10" s="298"/>
      <c r="T10" s="298"/>
      <c r="U10" s="298"/>
      <c r="V10" s="298"/>
      <c r="W10" s="298"/>
      <c r="X10" s="298"/>
      <c r="Y10" s="298"/>
    </row>
    <row r="11" spans="1:25" ht="16.5" hidden="1" customHeight="1">
      <c r="A11" s="290">
        <v>1112</v>
      </c>
      <c r="B11" s="291"/>
      <c r="C11" s="291"/>
      <c r="D11" s="291"/>
      <c r="E11" s="292"/>
      <c r="F11" s="293"/>
      <c r="G11" s="293"/>
      <c r="H11" s="293"/>
      <c r="I11" s="294"/>
      <c r="J11" s="295"/>
      <c r="K11" s="294"/>
      <c r="L11" s="295"/>
      <c r="M11" s="296"/>
      <c r="N11" s="294"/>
      <c r="O11" s="297"/>
      <c r="P11" s="295"/>
      <c r="Q11" s="295"/>
      <c r="R11" s="299"/>
      <c r="S11" s="298"/>
      <c r="T11" s="298"/>
      <c r="U11" s="298"/>
      <c r="V11" s="298"/>
      <c r="W11" s="298"/>
      <c r="X11" s="298"/>
      <c r="Y11" s="298"/>
    </row>
    <row r="12" spans="1:25" ht="16.5" hidden="1" customHeight="1">
      <c r="A12" s="290">
        <v>1113</v>
      </c>
      <c r="B12" s="291"/>
      <c r="C12" s="291"/>
      <c r="D12" s="291"/>
      <c r="E12" s="292"/>
      <c r="F12" s="293"/>
      <c r="G12" s="293"/>
      <c r="H12" s="293"/>
      <c r="I12" s="294"/>
      <c r="J12" s="295"/>
      <c r="K12" s="294"/>
      <c r="L12" s="295"/>
      <c r="M12" s="296"/>
      <c r="N12" s="294"/>
      <c r="O12" s="297"/>
      <c r="P12" s="295"/>
      <c r="Q12" s="295"/>
      <c r="R12" s="299"/>
      <c r="S12" s="298"/>
      <c r="T12" s="298"/>
      <c r="U12" s="298"/>
      <c r="V12" s="298"/>
      <c r="W12" s="298"/>
      <c r="X12" s="298"/>
      <c r="Y12" s="298"/>
    </row>
    <row r="13" spans="1:25" ht="16.5" hidden="1" customHeight="1">
      <c r="A13" s="281">
        <v>112</v>
      </c>
      <c r="B13" s="3456"/>
      <c r="C13" s="3456"/>
      <c r="D13" s="3456"/>
      <c r="E13" s="3456"/>
      <c r="F13" s="3456"/>
      <c r="G13" s="3456"/>
      <c r="H13" s="3456"/>
      <c r="I13" s="3456"/>
      <c r="J13" s="282"/>
      <c r="K13" s="283"/>
      <c r="L13" s="282"/>
      <c r="M13" s="284"/>
      <c r="N13" s="283"/>
      <c r="O13" s="285"/>
      <c r="P13" s="282"/>
      <c r="Q13" s="282"/>
      <c r="R13" s="287"/>
      <c r="S13" s="288"/>
      <c r="T13" s="288"/>
      <c r="U13" s="288"/>
      <c r="V13" s="288"/>
      <c r="W13" s="288"/>
      <c r="X13" s="288"/>
      <c r="Y13" s="288"/>
    </row>
    <row r="14" spans="1:25" hidden="1">
      <c r="A14" s="290">
        <v>1121</v>
      </c>
      <c r="B14" s="291"/>
      <c r="C14" s="291"/>
      <c r="D14" s="291"/>
      <c r="E14" s="292"/>
      <c r="F14" s="293"/>
      <c r="G14" s="293"/>
      <c r="H14" s="293"/>
      <c r="I14" s="294"/>
      <c r="J14" s="295"/>
      <c r="K14" s="294"/>
      <c r="L14" s="295"/>
      <c r="M14" s="296"/>
      <c r="N14" s="294"/>
      <c r="O14" s="297"/>
      <c r="P14" s="295"/>
      <c r="Q14" s="295"/>
      <c r="R14" s="299"/>
      <c r="S14" s="298"/>
      <c r="T14" s="298"/>
      <c r="U14" s="298"/>
      <c r="V14" s="298"/>
      <c r="W14" s="298"/>
      <c r="X14" s="298"/>
      <c r="Y14" s="298"/>
    </row>
    <row r="15" spans="1:25" hidden="1">
      <c r="A15" s="290">
        <v>1122</v>
      </c>
      <c r="B15" s="291"/>
      <c r="C15" s="291"/>
      <c r="D15" s="291"/>
      <c r="E15" s="292"/>
      <c r="F15" s="293"/>
      <c r="G15" s="293"/>
      <c r="H15" s="293"/>
      <c r="I15" s="294"/>
      <c r="J15" s="295"/>
      <c r="K15" s="294"/>
      <c r="L15" s="295"/>
      <c r="M15" s="296"/>
      <c r="N15" s="294"/>
      <c r="O15" s="297"/>
      <c r="P15" s="295"/>
      <c r="Q15" s="295"/>
      <c r="R15" s="299"/>
      <c r="S15" s="298"/>
      <c r="T15" s="298"/>
      <c r="U15" s="298"/>
      <c r="V15" s="298"/>
      <c r="W15" s="298"/>
      <c r="X15" s="298"/>
      <c r="Y15" s="298"/>
    </row>
    <row r="16" spans="1:25" hidden="1">
      <c r="A16" s="301" t="s">
        <v>233</v>
      </c>
      <c r="B16" s="291"/>
      <c r="C16" s="291"/>
      <c r="D16" s="291"/>
      <c r="E16" s="292"/>
      <c r="F16" s="293"/>
      <c r="G16" s="293"/>
      <c r="H16" s="293"/>
      <c r="I16" s="294"/>
      <c r="J16" s="295"/>
      <c r="K16" s="294"/>
      <c r="L16" s="295"/>
      <c r="M16" s="296"/>
      <c r="N16" s="294"/>
      <c r="O16" s="297"/>
      <c r="P16" s="295"/>
      <c r="Q16" s="295"/>
      <c r="R16" s="299"/>
      <c r="S16" s="298"/>
      <c r="T16" s="298"/>
      <c r="U16" s="298"/>
      <c r="V16" s="298"/>
      <c r="W16" s="298"/>
      <c r="X16" s="298"/>
      <c r="Y16" s="298"/>
    </row>
    <row r="17" spans="1:25" ht="37.5" hidden="1" customHeight="1">
      <c r="A17" s="3457" t="s">
        <v>234</v>
      </c>
      <c r="B17" s="3457"/>
      <c r="C17" s="3457"/>
      <c r="D17" s="3457"/>
      <c r="E17" s="3457"/>
      <c r="F17" s="3457"/>
      <c r="G17" s="3457"/>
      <c r="H17" s="3457"/>
      <c r="I17" s="3457"/>
      <c r="J17" s="273"/>
      <c r="K17" s="273"/>
      <c r="L17" s="273"/>
      <c r="M17" s="274"/>
      <c r="N17" s="273"/>
      <c r="O17" s="275"/>
      <c r="P17" s="273"/>
      <c r="Q17" s="273"/>
      <c r="R17" s="277"/>
      <c r="S17" s="278"/>
      <c r="T17" s="278"/>
      <c r="U17" s="278"/>
      <c r="V17" s="274"/>
      <c r="W17" s="274"/>
      <c r="X17" s="274"/>
      <c r="Y17" s="274"/>
    </row>
    <row r="18" spans="1:25" ht="16.5" hidden="1" customHeight="1">
      <c r="A18" s="281">
        <v>121</v>
      </c>
      <c r="B18" s="3456"/>
      <c r="C18" s="3456"/>
      <c r="D18" s="3456"/>
      <c r="E18" s="3456"/>
      <c r="F18" s="3456"/>
      <c r="G18" s="3456"/>
      <c r="H18" s="3456"/>
      <c r="I18" s="3456"/>
      <c r="J18" s="282"/>
      <c r="K18" s="283"/>
      <c r="L18" s="282"/>
      <c r="M18" s="284"/>
      <c r="N18" s="283"/>
      <c r="O18" s="285"/>
      <c r="P18" s="282"/>
      <c r="Q18" s="282"/>
      <c r="R18" s="287"/>
      <c r="S18" s="288"/>
      <c r="T18" s="288"/>
      <c r="U18" s="288"/>
      <c r="V18" s="288"/>
      <c r="W18" s="288"/>
      <c r="X18" s="288"/>
      <c r="Y18" s="288"/>
    </row>
    <row r="19" spans="1:25" ht="16.5" hidden="1" customHeight="1">
      <c r="A19" s="290">
        <v>1211</v>
      </c>
      <c r="B19" s="291"/>
      <c r="C19" s="291"/>
      <c r="D19" s="291"/>
      <c r="E19" s="292"/>
      <c r="F19" s="293"/>
      <c r="G19" s="293"/>
      <c r="H19" s="293"/>
      <c r="I19" s="294"/>
      <c r="J19" s="295"/>
      <c r="K19" s="294"/>
      <c r="L19" s="295"/>
      <c r="M19" s="296"/>
      <c r="N19" s="294"/>
      <c r="O19" s="297"/>
      <c r="P19" s="295"/>
      <c r="Q19" s="295"/>
      <c r="R19" s="299"/>
      <c r="S19" s="298"/>
      <c r="T19" s="298"/>
      <c r="U19" s="298"/>
      <c r="V19" s="298"/>
      <c r="W19" s="298"/>
      <c r="X19" s="298"/>
      <c r="Y19" s="298"/>
    </row>
    <row r="20" spans="1:25" ht="16.5" hidden="1" customHeight="1">
      <c r="A20" s="290">
        <v>1212</v>
      </c>
      <c r="B20" s="291"/>
      <c r="C20" s="291"/>
      <c r="D20" s="291"/>
      <c r="E20" s="292"/>
      <c r="F20" s="293"/>
      <c r="G20" s="293"/>
      <c r="H20" s="293"/>
      <c r="I20" s="294"/>
      <c r="J20" s="295"/>
      <c r="K20" s="294"/>
      <c r="L20" s="295"/>
      <c r="M20" s="296"/>
      <c r="N20" s="294"/>
      <c r="O20" s="297"/>
      <c r="P20" s="295"/>
      <c r="Q20" s="295"/>
      <c r="R20" s="299"/>
      <c r="S20" s="298"/>
      <c r="T20" s="298"/>
      <c r="U20" s="298"/>
      <c r="V20" s="298"/>
      <c r="W20" s="298"/>
      <c r="X20" s="298"/>
      <c r="Y20" s="298"/>
    </row>
    <row r="21" spans="1:25" ht="16.5" hidden="1" customHeight="1">
      <c r="A21" s="290">
        <v>1213</v>
      </c>
      <c r="B21" s="291"/>
      <c r="C21" s="291"/>
      <c r="D21" s="291"/>
      <c r="E21" s="292"/>
      <c r="F21" s="293"/>
      <c r="G21" s="293"/>
      <c r="H21" s="293"/>
      <c r="I21" s="294"/>
      <c r="J21" s="295"/>
      <c r="K21" s="294"/>
      <c r="L21" s="295"/>
      <c r="M21" s="296"/>
      <c r="N21" s="294"/>
      <c r="O21" s="297"/>
      <c r="P21" s="295"/>
      <c r="Q21" s="295"/>
      <c r="R21" s="299"/>
      <c r="S21" s="298"/>
      <c r="T21" s="298"/>
      <c r="U21" s="298"/>
      <c r="V21" s="298"/>
      <c r="W21" s="298"/>
      <c r="X21" s="298"/>
      <c r="Y21" s="298"/>
    </row>
    <row r="22" spans="1:25" ht="16.5" hidden="1" customHeight="1">
      <c r="A22" s="281">
        <v>122</v>
      </c>
      <c r="B22" s="3456"/>
      <c r="C22" s="3456"/>
      <c r="D22" s="3456"/>
      <c r="E22" s="3456"/>
      <c r="F22" s="3456"/>
      <c r="G22" s="3456"/>
      <c r="H22" s="3456"/>
      <c r="I22" s="3456"/>
      <c r="J22" s="282"/>
      <c r="K22" s="283"/>
      <c r="L22" s="282"/>
      <c r="M22" s="284"/>
      <c r="N22" s="283"/>
      <c r="O22" s="285"/>
      <c r="P22" s="282"/>
      <c r="Q22" s="282"/>
      <c r="R22" s="287"/>
      <c r="S22" s="288"/>
      <c r="T22" s="288"/>
      <c r="U22" s="288"/>
      <c r="V22" s="288"/>
      <c r="W22" s="288"/>
      <c r="X22" s="288"/>
      <c r="Y22" s="288"/>
    </row>
    <row r="23" spans="1:25" ht="16.5" hidden="1" customHeight="1">
      <c r="A23" s="290">
        <v>1221</v>
      </c>
      <c r="B23" s="291"/>
      <c r="C23" s="291"/>
      <c r="D23" s="291"/>
      <c r="E23" s="292"/>
      <c r="F23" s="293"/>
      <c r="G23" s="293"/>
      <c r="H23" s="293"/>
      <c r="I23" s="294"/>
      <c r="J23" s="295"/>
      <c r="K23" s="294"/>
      <c r="L23" s="295"/>
      <c r="M23" s="296"/>
      <c r="N23" s="294"/>
      <c r="O23" s="297"/>
      <c r="P23" s="295"/>
      <c r="Q23" s="295"/>
      <c r="R23" s="299"/>
      <c r="S23" s="298"/>
      <c r="T23" s="298"/>
      <c r="U23" s="298"/>
      <c r="V23" s="298"/>
      <c r="W23" s="298"/>
      <c r="X23" s="298"/>
      <c r="Y23" s="298"/>
    </row>
    <row r="24" spans="1:25" ht="16.5" hidden="1" customHeight="1">
      <c r="A24" s="290">
        <v>1222</v>
      </c>
      <c r="B24" s="291"/>
      <c r="C24" s="291"/>
      <c r="D24" s="291"/>
      <c r="E24" s="292"/>
      <c r="F24" s="293"/>
      <c r="G24" s="293"/>
      <c r="H24" s="293"/>
      <c r="I24" s="294"/>
      <c r="J24" s="295"/>
      <c r="K24" s="294"/>
      <c r="L24" s="295"/>
      <c r="M24" s="296"/>
      <c r="N24" s="294"/>
      <c r="O24" s="297"/>
      <c r="P24" s="295"/>
      <c r="Q24" s="295"/>
      <c r="R24" s="299"/>
      <c r="S24" s="298"/>
      <c r="T24" s="298"/>
      <c r="U24" s="298"/>
      <c r="V24" s="298"/>
      <c r="W24" s="298"/>
      <c r="X24" s="298"/>
      <c r="Y24" s="298"/>
    </row>
    <row r="25" spans="1:25" hidden="1">
      <c r="A25" s="301" t="s">
        <v>233</v>
      </c>
      <c r="B25" s="291"/>
      <c r="C25" s="291"/>
      <c r="D25" s="291"/>
      <c r="E25" s="292"/>
      <c r="F25" s="293"/>
      <c r="G25" s="293"/>
      <c r="H25" s="293"/>
      <c r="I25" s="294"/>
      <c r="J25" s="295"/>
      <c r="K25" s="294"/>
      <c r="L25" s="295"/>
      <c r="M25" s="296"/>
      <c r="N25" s="294"/>
      <c r="O25" s="297"/>
      <c r="P25" s="295"/>
      <c r="Q25" s="295"/>
      <c r="R25" s="299"/>
      <c r="S25" s="298"/>
      <c r="T25" s="298"/>
      <c r="U25" s="298"/>
      <c r="V25" s="298"/>
      <c r="W25" s="298"/>
      <c r="X25" s="298"/>
      <c r="Y25" s="298"/>
    </row>
    <row r="26" spans="1:25" s="272" customFormat="1" ht="33.75" hidden="1" customHeight="1">
      <c r="A26" s="3458" t="s">
        <v>235</v>
      </c>
      <c r="B26" s="3458"/>
      <c r="C26" s="3458"/>
      <c r="D26" s="3458"/>
      <c r="E26" s="3458"/>
      <c r="F26" s="3458"/>
      <c r="G26" s="3458"/>
      <c r="H26" s="3458"/>
      <c r="I26" s="3458"/>
      <c r="J26" s="265"/>
      <c r="K26" s="265"/>
      <c r="L26" s="265"/>
      <c r="M26" s="266"/>
      <c r="N26" s="265"/>
      <c r="O26" s="267"/>
      <c r="P26" s="265"/>
      <c r="Q26" s="265"/>
      <c r="R26" s="269">
        <f>+R27+R36+R46</f>
        <v>688782.12</v>
      </c>
      <c r="S26" s="270"/>
      <c r="T26" s="270"/>
      <c r="U26" s="270"/>
      <c r="V26" s="270"/>
      <c r="W26" s="270"/>
      <c r="X26" s="270"/>
      <c r="Y26" s="270"/>
    </row>
    <row r="27" spans="1:25" ht="37.5" hidden="1" customHeight="1">
      <c r="A27" s="3457" t="s">
        <v>236</v>
      </c>
      <c r="B27" s="3457"/>
      <c r="C27" s="3457"/>
      <c r="D27" s="3457"/>
      <c r="E27" s="3457"/>
      <c r="F27" s="3457"/>
      <c r="G27" s="3457"/>
      <c r="H27" s="3457"/>
      <c r="I27" s="3457"/>
      <c r="J27" s="273"/>
      <c r="K27" s="273"/>
      <c r="L27" s="273"/>
      <c r="M27" s="274"/>
      <c r="N27" s="273"/>
      <c r="O27" s="275"/>
      <c r="P27" s="273"/>
      <c r="Q27" s="273"/>
      <c r="R27" s="277">
        <f>+'[12]Compil Costing PPA 3 millions'!F7</f>
        <v>300354.12</v>
      </c>
      <c r="S27" s="278"/>
      <c r="T27" s="278"/>
      <c r="U27" s="278"/>
      <c r="V27" s="274"/>
      <c r="W27" s="274"/>
      <c r="X27" s="274"/>
      <c r="Y27" s="274"/>
    </row>
    <row r="28" spans="1:25" ht="16.5" hidden="1" customHeight="1">
      <c r="A28" s="281">
        <v>211</v>
      </c>
      <c r="B28" s="3456"/>
      <c r="C28" s="3456"/>
      <c r="D28" s="3456"/>
      <c r="E28" s="3456"/>
      <c r="F28" s="3456"/>
      <c r="G28" s="3456"/>
      <c r="H28" s="3456"/>
      <c r="I28" s="3456"/>
      <c r="J28" s="282"/>
      <c r="K28" s="283"/>
      <c r="L28" s="282"/>
      <c r="M28" s="284"/>
      <c r="N28" s="283"/>
      <c r="O28" s="285"/>
      <c r="P28" s="282"/>
      <c r="Q28" s="282"/>
      <c r="R28" s="287"/>
      <c r="S28" s="288"/>
      <c r="T28" s="288"/>
      <c r="U28" s="288"/>
      <c r="V28" s="288"/>
      <c r="W28" s="288"/>
      <c r="X28" s="288"/>
      <c r="Y28" s="288"/>
    </row>
    <row r="29" spans="1:25" hidden="1">
      <c r="A29" s="305">
        <v>2111</v>
      </c>
      <c r="B29" s="330"/>
      <c r="C29" s="330"/>
      <c r="D29" s="330"/>
      <c r="E29" s="329"/>
      <c r="F29" s="306"/>
      <c r="G29" s="293"/>
      <c r="H29" s="293"/>
      <c r="I29" s="294"/>
      <c r="J29" s="295"/>
      <c r="K29" s="294"/>
      <c r="L29" s="295"/>
      <c r="M29" s="296"/>
      <c r="N29" s="294"/>
      <c r="O29" s="297"/>
      <c r="P29" s="295"/>
      <c r="Q29" s="295"/>
      <c r="R29" s="299"/>
      <c r="S29" s="298"/>
      <c r="T29" s="298"/>
      <c r="U29" s="298"/>
      <c r="V29" s="298"/>
      <c r="W29" s="298"/>
      <c r="X29" s="298"/>
      <c r="Y29" s="298"/>
    </row>
    <row r="30" spans="1:25" hidden="1">
      <c r="A30" s="305">
        <v>2112</v>
      </c>
      <c r="B30" s="330"/>
      <c r="C30" s="330"/>
      <c r="D30" s="330"/>
      <c r="E30" s="329"/>
      <c r="F30" s="306"/>
      <c r="G30" s="293"/>
      <c r="H30" s="293"/>
      <c r="I30" s="294"/>
      <c r="J30" s="295"/>
      <c r="K30" s="294"/>
      <c r="L30" s="295"/>
      <c r="M30" s="296"/>
      <c r="N30" s="294"/>
      <c r="O30" s="297"/>
      <c r="P30" s="295"/>
      <c r="Q30" s="295"/>
      <c r="R30" s="299"/>
      <c r="S30" s="298"/>
      <c r="T30" s="298"/>
      <c r="U30" s="298"/>
      <c r="V30" s="298"/>
      <c r="W30" s="298"/>
      <c r="X30" s="298"/>
      <c r="Y30" s="298"/>
    </row>
    <row r="31" spans="1:25" hidden="1">
      <c r="A31" s="305">
        <v>2113</v>
      </c>
      <c r="B31" s="330"/>
      <c r="C31" s="330"/>
      <c r="D31" s="330"/>
      <c r="E31" s="329"/>
      <c r="F31" s="306"/>
      <c r="G31" s="293"/>
      <c r="H31" s="293"/>
      <c r="I31" s="294"/>
      <c r="J31" s="295"/>
      <c r="K31" s="294"/>
      <c r="L31" s="295"/>
      <c r="M31" s="296"/>
      <c r="N31" s="294"/>
      <c r="O31" s="297"/>
      <c r="P31" s="295"/>
      <c r="Q31" s="295"/>
      <c r="R31" s="299"/>
      <c r="S31" s="298"/>
      <c r="T31" s="298"/>
      <c r="U31" s="298"/>
      <c r="V31" s="298"/>
      <c r="W31" s="298"/>
      <c r="X31" s="298"/>
      <c r="Y31" s="298"/>
    </row>
    <row r="32" spans="1:25" ht="16.5" hidden="1" customHeight="1">
      <c r="A32" s="281">
        <v>212</v>
      </c>
      <c r="B32" s="3456"/>
      <c r="C32" s="3456"/>
      <c r="D32" s="3456"/>
      <c r="E32" s="3456"/>
      <c r="F32" s="3456"/>
      <c r="G32" s="3456"/>
      <c r="H32" s="3456"/>
      <c r="I32" s="3456"/>
      <c r="J32" s="282"/>
      <c r="K32" s="283"/>
      <c r="L32" s="282"/>
      <c r="M32" s="284"/>
      <c r="N32" s="283"/>
      <c r="O32" s="285"/>
      <c r="P32" s="282"/>
      <c r="Q32" s="282"/>
      <c r="R32" s="287"/>
      <c r="S32" s="288"/>
      <c r="T32" s="288"/>
      <c r="U32" s="288"/>
      <c r="V32" s="288"/>
      <c r="W32" s="288"/>
      <c r="X32" s="288"/>
      <c r="Y32" s="288"/>
    </row>
    <row r="33" spans="1:25" hidden="1">
      <c r="A33" s="305">
        <v>2121</v>
      </c>
      <c r="B33" s="330"/>
      <c r="C33" s="330"/>
      <c r="D33" s="330"/>
      <c r="E33" s="329"/>
      <c r="F33" s="306"/>
      <c r="G33" s="293"/>
      <c r="H33" s="293"/>
      <c r="I33" s="294"/>
      <c r="J33" s="295"/>
      <c r="K33" s="294"/>
      <c r="L33" s="295"/>
      <c r="M33" s="296"/>
      <c r="N33" s="294"/>
      <c r="O33" s="297"/>
      <c r="P33" s="295"/>
      <c r="Q33" s="295"/>
      <c r="R33" s="299"/>
      <c r="S33" s="298"/>
      <c r="T33" s="298"/>
      <c r="U33" s="298"/>
      <c r="V33" s="298"/>
      <c r="W33" s="298"/>
      <c r="X33" s="298"/>
      <c r="Y33" s="298"/>
    </row>
    <row r="34" spans="1:25" hidden="1">
      <c r="A34" s="305">
        <v>2122</v>
      </c>
      <c r="B34" s="330"/>
      <c r="C34" s="330"/>
      <c r="D34" s="330"/>
      <c r="E34" s="329"/>
      <c r="F34" s="306"/>
      <c r="G34" s="293"/>
      <c r="H34" s="293"/>
      <c r="I34" s="294"/>
      <c r="J34" s="295"/>
      <c r="K34" s="294"/>
      <c r="L34" s="295"/>
      <c r="M34" s="296"/>
      <c r="N34" s="294"/>
      <c r="O34" s="297"/>
      <c r="P34" s="295"/>
      <c r="Q34" s="295"/>
      <c r="R34" s="299"/>
      <c r="S34" s="298"/>
      <c r="T34" s="298"/>
      <c r="U34" s="298"/>
      <c r="V34" s="298"/>
      <c r="W34" s="298"/>
      <c r="X34" s="298"/>
      <c r="Y34" s="298"/>
    </row>
    <row r="35" spans="1:25" hidden="1">
      <c r="A35" s="307" t="s">
        <v>233</v>
      </c>
      <c r="B35" s="326"/>
      <c r="C35" s="291"/>
      <c r="D35" s="291"/>
      <c r="E35" s="292"/>
      <c r="F35" s="306"/>
      <c r="G35" s="293"/>
      <c r="H35" s="293"/>
      <c r="I35" s="294"/>
      <c r="J35" s="295"/>
      <c r="K35" s="294"/>
      <c r="L35" s="295"/>
      <c r="M35" s="296"/>
      <c r="N35" s="294"/>
      <c r="O35" s="297"/>
      <c r="P35" s="295"/>
      <c r="Q35" s="295"/>
      <c r="R35" s="299"/>
      <c r="S35" s="298"/>
      <c r="T35" s="298"/>
      <c r="U35" s="298"/>
      <c r="V35" s="298"/>
      <c r="W35" s="298"/>
      <c r="X35" s="298"/>
      <c r="Y35" s="298"/>
    </row>
    <row r="36" spans="1:25" ht="37.5" hidden="1" customHeight="1">
      <c r="A36" s="3457" t="s">
        <v>237</v>
      </c>
      <c r="B36" s="3457"/>
      <c r="C36" s="3457"/>
      <c r="D36" s="3457"/>
      <c r="E36" s="3457"/>
      <c r="F36" s="3457"/>
      <c r="G36" s="3457"/>
      <c r="H36" s="3457"/>
      <c r="I36" s="3457"/>
      <c r="J36" s="273"/>
      <c r="K36" s="273"/>
      <c r="L36" s="273"/>
      <c r="M36" s="274"/>
      <c r="N36" s="273"/>
      <c r="O36" s="275"/>
      <c r="P36" s="273"/>
      <c r="Q36" s="273"/>
      <c r="R36" s="277">
        <f>+'[12]Compil Costing PPA 3 millions'!F8</f>
        <v>300000</v>
      </c>
      <c r="S36" s="278"/>
      <c r="T36" s="278"/>
      <c r="U36" s="278"/>
      <c r="V36" s="274"/>
      <c r="W36" s="274"/>
      <c r="X36" s="274"/>
      <c r="Y36" s="274"/>
    </row>
    <row r="37" spans="1:25" ht="16.5" hidden="1" customHeight="1">
      <c r="A37" s="281">
        <v>221</v>
      </c>
      <c r="B37" s="3461" t="s">
        <v>238</v>
      </c>
      <c r="C37" s="3461"/>
      <c r="D37" s="3461"/>
      <c r="E37" s="3461"/>
      <c r="F37" s="3461"/>
      <c r="G37" s="3461"/>
      <c r="H37" s="3461"/>
      <c r="I37" s="3461"/>
      <c r="J37" s="282"/>
      <c r="K37" s="283"/>
      <c r="L37" s="282"/>
      <c r="M37" s="284"/>
      <c r="N37" s="283"/>
      <c r="O37" s="285"/>
      <c r="P37" s="282"/>
      <c r="Q37" s="282"/>
      <c r="R37" s="287"/>
      <c r="S37" s="288"/>
      <c r="T37" s="288"/>
      <c r="U37" s="288"/>
      <c r="V37" s="288"/>
      <c r="W37" s="288"/>
      <c r="X37" s="288"/>
      <c r="Y37" s="288"/>
    </row>
    <row r="38" spans="1:25" hidden="1">
      <c r="A38" s="305">
        <v>2211</v>
      </c>
      <c r="B38" s="291" t="s">
        <v>363</v>
      </c>
      <c r="C38" s="327" t="s">
        <v>364</v>
      </c>
      <c r="D38" s="327"/>
      <c r="E38" s="292">
        <v>50</v>
      </c>
      <c r="F38" s="306">
        <v>43185</v>
      </c>
      <c r="G38" s="293">
        <f>+F38+E38</f>
        <v>43235</v>
      </c>
      <c r="H38" s="293"/>
      <c r="I38" s="294" t="s">
        <v>169</v>
      </c>
      <c r="J38" s="295" t="s">
        <v>174</v>
      </c>
      <c r="K38" s="845" t="s">
        <v>365</v>
      </c>
      <c r="L38" s="295">
        <v>2313</v>
      </c>
      <c r="M38" s="296"/>
      <c r="N38" s="294" t="s">
        <v>366</v>
      </c>
      <c r="O38" s="297"/>
      <c r="P38" s="295">
        <v>1</v>
      </c>
      <c r="Q38" s="295"/>
      <c r="R38" s="299"/>
      <c r="S38" s="298"/>
      <c r="T38" s="298"/>
      <c r="U38" s="298"/>
      <c r="V38" s="298"/>
      <c r="W38" s="298"/>
      <c r="X38" s="298"/>
      <c r="Y38" s="298"/>
    </row>
    <row r="39" spans="1:25" hidden="1">
      <c r="A39" s="305">
        <v>2211</v>
      </c>
      <c r="B39" s="291" t="s">
        <v>363</v>
      </c>
      <c r="C39" s="327" t="s">
        <v>367</v>
      </c>
      <c r="D39" s="327"/>
      <c r="E39" s="292">
        <v>150</v>
      </c>
      <c r="F39" s="293">
        <f>+G38</f>
        <v>43235</v>
      </c>
      <c r="G39" s="306">
        <f>+G38+E39</f>
        <v>43385</v>
      </c>
      <c r="H39" s="293" t="s">
        <v>368</v>
      </c>
      <c r="I39" s="294" t="s">
        <v>174</v>
      </c>
      <c r="J39" s="295" t="s">
        <v>169</v>
      </c>
      <c r="K39" s="845" t="s">
        <v>365</v>
      </c>
      <c r="L39" s="295">
        <v>2313</v>
      </c>
      <c r="M39" s="296"/>
      <c r="N39" s="294" t="s">
        <v>366</v>
      </c>
      <c r="O39" s="297"/>
      <c r="P39" s="295"/>
      <c r="Q39" s="295"/>
      <c r="R39" s="299"/>
      <c r="S39" s="298"/>
      <c r="T39" s="298"/>
      <c r="U39" s="298"/>
      <c r="V39" s="298"/>
      <c r="W39" s="298"/>
      <c r="X39" s="298"/>
      <c r="Y39" s="298"/>
    </row>
    <row r="40" spans="1:25" ht="31.5" hidden="1">
      <c r="A40" s="290">
        <v>2212</v>
      </c>
      <c r="B40" s="327" t="s">
        <v>92</v>
      </c>
      <c r="C40" s="327"/>
      <c r="D40" s="327"/>
      <c r="E40" s="329"/>
      <c r="F40" s="306"/>
      <c r="G40" s="293"/>
      <c r="H40" s="293"/>
      <c r="I40" s="294"/>
      <c r="J40" s="295"/>
      <c r="K40" s="294"/>
      <c r="L40" s="295"/>
      <c r="M40" s="296"/>
      <c r="N40" s="294"/>
      <c r="O40" s="297"/>
      <c r="P40" s="295"/>
      <c r="Q40" s="295"/>
      <c r="R40" s="299"/>
      <c r="S40" s="298"/>
      <c r="T40" s="298"/>
      <c r="U40" s="298"/>
      <c r="V40" s="298"/>
      <c r="W40" s="298"/>
      <c r="X40" s="298"/>
      <c r="Y40" s="298"/>
    </row>
    <row r="41" spans="1:25" hidden="1">
      <c r="A41" s="290">
        <v>2213</v>
      </c>
      <c r="B41" s="327" t="s">
        <v>93</v>
      </c>
      <c r="C41" s="327"/>
      <c r="D41" s="327"/>
      <c r="E41" s="292"/>
      <c r="F41" s="306"/>
      <c r="G41" s="293"/>
      <c r="H41" s="293"/>
      <c r="I41" s="294"/>
      <c r="J41" s="295"/>
      <c r="K41" s="294"/>
      <c r="L41" s="295"/>
      <c r="M41" s="296"/>
      <c r="N41" s="294"/>
      <c r="O41" s="297"/>
      <c r="P41" s="295"/>
      <c r="Q41" s="295"/>
      <c r="R41" s="299"/>
      <c r="S41" s="298"/>
      <c r="T41" s="298"/>
      <c r="U41" s="298"/>
      <c r="V41" s="298"/>
      <c r="W41" s="298"/>
      <c r="X41" s="298"/>
      <c r="Y41" s="298"/>
    </row>
    <row r="42" spans="1:25" ht="20.25" hidden="1" customHeight="1">
      <c r="A42" s="281">
        <v>222</v>
      </c>
      <c r="B42" s="3461" t="s">
        <v>239</v>
      </c>
      <c r="C42" s="3461"/>
      <c r="D42" s="3461"/>
      <c r="E42" s="3461"/>
      <c r="F42" s="3461"/>
      <c r="G42" s="3461"/>
      <c r="H42" s="3461"/>
      <c r="I42" s="3461"/>
      <c r="J42" s="282"/>
      <c r="K42" s="283"/>
      <c r="L42" s="282"/>
      <c r="M42" s="284"/>
      <c r="N42" s="283"/>
      <c r="O42" s="285"/>
      <c r="P42" s="282"/>
      <c r="Q42" s="282"/>
      <c r="R42" s="287"/>
      <c r="S42" s="288"/>
      <c r="T42" s="288"/>
      <c r="U42" s="288"/>
      <c r="V42" s="288"/>
      <c r="W42" s="288"/>
      <c r="X42" s="288"/>
      <c r="Y42" s="288"/>
    </row>
    <row r="43" spans="1:25" hidden="1">
      <c r="A43" s="290">
        <v>2221</v>
      </c>
      <c r="B43" s="330"/>
      <c r="C43" s="330"/>
      <c r="D43" s="330"/>
      <c r="E43" s="329"/>
      <c r="F43" s="306"/>
      <c r="G43" s="293"/>
      <c r="H43" s="293"/>
      <c r="I43" s="294"/>
      <c r="J43" s="295"/>
      <c r="K43" s="294"/>
      <c r="L43" s="295"/>
      <c r="M43" s="296"/>
      <c r="N43" s="294"/>
      <c r="O43" s="297"/>
      <c r="P43" s="295"/>
      <c r="Q43" s="295"/>
      <c r="R43" s="299"/>
      <c r="S43" s="298"/>
      <c r="T43" s="298"/>
      <c r="U43" s="298"/>
      <c r="V43" s="298"/>
      <c r="W43" s="298"/>
      <c r="X43" s="298"/>
      <c r="Y43" s="298"/>
    </row>
    <row r="44" spans="1:25" hidden="1">
      <c r="A44" s="290">
        <v>2222</v>
      </c>
      <c r="B44" s="330"/>
      <c r="C44" s="330"/>
      <c r="D44" s="330"/>
      <c r="E44" s="329"/>
      <c r="F44" s="306"/>
      <c r="G44" s="293"/>
      <c r="H44" s="293"/>
      <c r="I44" s="294"/>
      <c r="J44" s="295"/>
      <c r="K44" s="294"/>
      <c r="L44" s="295"/>
      <c r="M44" s="296"/>
      <c r="N44" s="294"/>
      <c r="O44" s="297"/>
      <c r="P44" s="295"/>
      <c r="Q44" s="295"/>
      <c r="R44" s="299"/>
      <c r="S44" s="298"/>
      <c r="T44" s="298"/>
      <c r="U44" s="298"/>
      <c r="V44" s="298"/>
      <c r="W44" s="298"/>
      <c r="X44" s="298"/>
      <c r="Y44" s="298"/>
    </row>
    <row r="45" spans="1:25" hidden="1">
      <c r="A45" s="307" t="s">
        <v>233</v>
      </c>
      <c r="B45" s="330"/>
      <c r="C45" s="330"/>
      <c r="D45" s="330"/>
      <c r="E45" s="329"/>
      <c r="F45" s="306"/>
      <c r="G45" s="293"/>
      <c r="H45" s="293"/>
      <c r="I45" s="294"/>
      <c r="J45" s="295"/>
      <c r="K45" s="294"/>
      <c r="L45" s="295"/>
      <c r="M45" s="296"/>
      <c r="N45" s="294"/>
      <c r="O45" s="297"/>
      <c r="P45" s="295"/>
      <c r="Q45" s="295"/>
      <c r="R45" s="299"/>
      <c r="S45" s="298"/>
      <c r="T45" s="298"/>
      <c r="U45" s="298"/>
      <c r="V45" s="298"/>
      <c r="W45" s="298"/>
      <c r="X45" s="298"/>
      <c r="Y45" s="298"/>
    </row>
    <row r="46" spans="1:25" ht="37.5" hidden="1" customHeight="1">
      <c r="A46" s="3457" t="s">
        <v>240</v>
      </c>
      <c r="B46" s="3457"/>
      <c r="C46" s="3457"/>
      <c r="D46" s="3457"/>
      <c r="E46" s="3457"/>
      <c r="F46" s="3457"/>
      <c r="G46" s="3457"/>
      <c r="H46" s="3457"/>
      <c r="I46" s="3457"/>
      <c r="J46" s="273"/>
      <c r="K46" s="273"/>
      <c r="L46" s="273"/>
      <c r="M46" s="274"/>
      <c r="N46" s="273"/>
      <c r="O46" s="275"/>
      <c r="P46" s="273"/>
      <c r="Q46" s="273"/>
      <c r="R46" s="277">
        <f>+'[12]Compil Costing PPA 3 millions'!F9</f>
        <v>88428</v>
      </c>
      <c r="S46" s="278"/>
      <c r="T46" s="278"/>
      <c r="U46" s="278"/>
      <c r="V46" s="274"/>
      <c r="W46" s="274"/>
      <c r="X46" s="274"/>
      <c r="Y46" s="274"/>
    </row>
    <row r="47" spans="1:25" ht="16.5" hidden="1" customHeight="1">
      <c r="A47" s="281">
        <v>231</v>
      </c>
      <c r="B47" s="3456"/>
      <c r="C47" s="3456"/>
      <c r="D47" s="3456"/>
      <c r="E47" s="3456"/>
      <c r="F47" s="3456"/>
      <c r="G47" s="3456"/>
      <c r="H47" s="3456"/>
      <c r="I47" s="3456"/>
      <c r="J47" s="282"/>
      <c r="K47" s="283"/>
      <c r="L47" s="282"/>
      <c r="M47" s="284"/>
      <c r="N47" s="283"/>
      <c r="O47" s="285"/>
      <c r="P47" s="282"/>
      <c r="Q47" s="282"/>
      <c r="R47" s="287"/>
      <c r="S47" s="288"/>
      <c r="T47" s="288"/>
      <c r="U47" s="288"/>
      <c r="V47" s="288"/>
      <c r="W47" s="288"/>
      <c r="X47" s="288"/>
      <c r="Y47" s="288"/>
    </row>
    <row r="48" spans="1:25" hidden="1">
      <c r="A48" s="290">
        <v>2311</v>
      </c>
      <c r="B48" s="330"/>
      <c r="C48" s="330"/>
      <c r="D48" s="330"/>
      <c r="E48" s="329"/>
      <c r="F48" s="306"/>
      <c r="G48" s="293"/>
      <c r="H48" s="293"/>
      <c r="I48" s="294"/>
      <c r="J48" s="295"/>
      <c r="K48" s="294"/>
      <c r="L48" s="295"/>
      <c r="M48" s="296"/>
      <c r="N48" s="294"/>
      <c r="O48" s="297"/>
      <c r="P48" s="295"/>
      <c r="Q48" s="295"/>
      <c r="R48" s="299"/>
      <c r="S48" s="298"/>
      <c r="T48" s="298"/>
      <c r="U48" s="298"/>
      <c r="V48" s="298"/>
      <c r="W48" s="298"/>
      <c r="X48" s="298"/>
      <c r="Y48" s="298"/>
    </row>
    <row r="49" spans="1:25" hidden="1">
      <c r="A49" s="290">
        <v>2312</v>
      </c>
      <c r="B49" s="330"/>
      <c r="C49" s="330"/>
      <c r="D49" s="330"/>
      <c r="E49" s="329"/>
      <c r="F49" s="306"/>
      <c r="G49" s="293"/>
      <c r="H49" s="293"/>
      <c r="I49" s="294"/>
      <c r="J49" s="295"/>
      <c r="K49" s="294"/>
      <c r="L49" s="295"/>
      <c r="M49" s="296"/>
      <c r="N49" s="294"/>
      <c r="O49" s="297"/>
      <c r="P49" s="295"/>
      <c r="Q49" s="295"/>
      <c r="R49" s="299"/>
      <c r="S49" s="298"/>
      <c r="T49" s="298"/>
      <c r="U49" s="298"/>
      <c r="V49" s="298"/>
      <c r="W49" s="298"/>
      <c r="X49" s="298"/>
      <c r="Y49" s="298"/>
    </row>
    <row r="50" spans="1:25" hidden="1">
      <c r="A50" s="290">
        <v>2313</v>
      </c>
      <c r="B50" s="330"/>
      <c r="C50" s="330"/>
      <c r="D50" s="330"/>
      <c r="E50" s="329"/>
      <c r="F50" s="306"/>
      <c r="G50" s="293"/>
      <c r="H50" s="293"/>
      <c r="I50" s="294"/>
      <c r="J50" s="295"/>
      <c r="K50" s="294"/>
      <c r="L50" s="295"/>
      <c r="M50" s="296"/>
      <c r="N50" s="294"/>
      <c r="O50" s="297"/>
      <c r="P50" s="295"/>
      <c r="Q50" s="295"/>
      <c r="R50" s="299"/>
      <c r="S50" s="298"/>
      <c r="T50" s="298"/>
      <c r="U50" s="298"/>
      <c r="V50" s="298"/>
      <c r="W50" s="298"/>
      <c r="X50" s="298"/>
      <c r="Y50" s="298"/>
    </row>
    <row r="51" spans="1:25" ht="16.5" hidden="1" customHeight="1">
      <c r="A51" s="281">
        <v>232</v>
      </c>
      <c r="B51" s="3456"/>
      <c r="C51" s="3456"/>
      <c r="D51" s="3456"/>
      <c r="E51" s="3456"/>
      <c r="F51" s="3456"/>
      <c r="G51" s="3456"/>
      <c r="H51" s="3456"/>
      <c r="I51" s="3456"/>
      <c r="J51" s="282"/>
      <c r="K51" s="283"/>
      <c r="L51" s="282"/>
      <c r="M51" s="284"/>
      <c r="N51" s="283"/>
      <c r="O51" s="285"/>
      <c r="P51" s="282"/>
      <c r="Q51" s="282"/>
      <c r="R51" s="287"/>
      <c r="S51" s="288"/>
      <c r="T51" s="288"/>
      <c r="U51" s="288"/>
      <c r="V51" s="288"/>
      <c r="W51" s="288"/>
      <c r="X51" s="288"/>
      <c r="Y51" s="288"/>
    </row>
    <row r="52" spans="1:25" hidden="1">
      <c r="A52" s="290">
        <v>2321</v>
      </c>
      <c r="B52" s="330"/>
      <c r="C52" s="330"/>
      <c r="D52" s="330"/>
      <c r="E52" s="329"/>
      <c r="F52" s="306"/>
      <c r="G52" s="293"/>
      <c r="H52" s="293"/>
      <c r="I52" s="294"/>
      <c r="J52" s="295"/>
      <c r="K52" s="294"/>
      <c r="L52" s="295"/>
      <c r="M52" s="296"/>
      <c r="N52" s="294"/>
      <c r="O52" s="297"/>
      <c r="P52" s="295"/>
      <c r="Q52" s="295"/>
      <c r="R52" s="299"/>
      <c r="S52" s="298"/>
      <c r="T52" s="298"/>
      <c r="U52" s="298"/>
      <c r="V52" s="298"/>
      <c r="W52" s="298"/>
      <c r="X52" s="298"/>
      <c r="Y52" s="298"/>
    </row>
    <row r="53" spans="1:25" hidden="1">
      <c r="A53" s="290">
        <v>2322</v>
      </c>
      <c r="B53" s="330"/>
      <c r="C53" s="330"/>
      <c r="D53" s="330"/>
      <c r="E53" s="329"/>
      <c r="F53" s="306"/>
      <c r="G53" s="293"/>
      <c r="H53" s="293"/>
      <c r="I53" s="294"/>
      <c r="J53" s="295"/>
      <c r="K53" s="294"/>
      <c r="L53" s="295"/>
      <c r="M53" s="296"/>
      <c r="N53" s="294"/>
      <c r="O53" s="297"/>
      <c r="P53" s="295"/>
      <c r="Q53" s="295"/>
      <c r="R53" s="299"/>
      <c r="S53" s="298"/>
      <c r="T53" s="298"/>
      <c r="U53" s="298"/>
      <c r="V53" s="298"/>
      <c r="W53" s="298"/>
      <c r="X53" s="298"/>
      <c r="Y53" s="298"/>
    </row>
    <row r="54" spans="1:25" hidden="1">
      <c r="A54" s="307" t="s">
        <v>233</v>
      </c>
      <c r="B54" s="330"/>
      <c r="C54" s="330"/>
      <c r="D54" s="330"/>
      <c r="E54" s="329"/>
      <c r="F54" s="306"/>
      <c r="G54" s="293"/>
      <c r="H54" s="293"/>
      <c r="I54" s="294"/>
      <c r="J54" s="295"/>
      <c r="K54" s="294"/>
      <c r="L54" s="295"/>
      <c r="M54" s="296"/>
      <c r="N54" s="294"/>
      <c r="O54" s="297"/>
      <c r="P54" s="295"/>
      <c r="Q54" s="295"/>
      <c r="R54" s="299"/>
      <c r="S54" s="298"/>
      <c r="T54" s="298"/>
      <c r="U54" s="298"/>
      <c r="V54" s="298"/>
      <c r="W54" s="298"/>
      <c r="X54" s="298"/>
      <c r="Y54" s="298"/>
    </row>
    <row r="55" spans="1:25" s="272" customFormat="1" ht="33.75" hidden="1" customHeight="1">
      <c r="A55" s="3458" t="s">
        <v>241</v>
      </c>
      <c r="B55" s="3458"/>
      <c r="C55" s="3458"/>
      <c r="D55" s="3458"/>
      <c r="E55" s="3458"/>
      <c r="F55" s="3458"/>
      <c r="G55" s="3458"/>
      <c r="H55" s="3458"/>
      <c r="I55" s="3458"/>
      <c r="J55" s="265"/>
      <c r="K55" s="265"/>
      <c r="L55" s="265"/>
      <c r="M55" s="266"/>
      <c r="N55" s="265"/>
      <c r="O55" s="267"/>
      <c r="P55" s="265"/>
      <c r="Q55" s="265"/>
      <c r="R55" s="269">
        <f>+R56+R65</f>
        <v>129240.07333333333</v>
      </c>
      <c r="S55" s="270"/>
      <c r="T55" s="270"/>
      <c r="U55" s="270"/>
      <c r="V55" s="270"/>
      <c r="W55" s="270"/>
      <c r="X55" s="270"/>
      <c r="Y55" s="270"/>
    </row>
    <row r="56" spans="1:25" ht="37.5" hidden="1" customHeight="1">
      <c r="A56" s="3457" t="s">
        <v>242</v>
      </c>
      <c r="B56" s="3457"/>
      <c r="C56" s="3457"/>
      <c r="D56" s="3457"/>
      <c r="E56" s="3457"/>
      <c r="F56" s="3457"/>
      <c r="G56" s="3457"/>
      <c r="H56" s="3457"/>
      <c r="I56" s="3457"/>
      <c r="J56" s="273"/>
      <c r="K56" s="273"/>
      <c r="L56" s="273"/>
      <c r="M56" s="274"/>
      <c r="N56" s="273"/>
      <c r="O56" s="275"/>
      <c r="P56" s="273"/>
      <c r="Q56" s="273"/>
      <c r="R56" s="277">
        <f>+'[12]Compil Costing PPA 3 millions'!F11</f>
        <v>29240.073333333334</v>
      </c>
      <c r="S56" s="278"/>
      <c r="T56" s="278"/>
      <c r="U56" s="278"/>
      <c r="V56" s="274"/>
      <c r="W56" s="274"/>
      <c r="X56" s="274"/>
      <c r="Y56" s="274"/>
    </row>
    <row r="57" spans="1:25" ht="16.5" hidden="1" customHeight="1">
      <c r="A57" s="281">
        <v>311</v>
      </c>
      <c r="B57" s="3456"/>
      <c r="C57" s="3456"/>
      <c r="D57" s="3456"/>
      <c r="E57" s="3456"/>
      <c r="F57" s="3456"/>
      <c r="G57" s="3456"/>
      <c r="H57" s="3456"/>
      <c r="I57" s="3456"/>
      <c r="J57" s="282"/>
      <c r="K57" s="283"/>
      <c r="L57" s="282"/>
      <c r="M57" s="284"/>
      <c r="N57" s="283"/>
      <c r="O57" s="285"/>
      <c r="P57" s="282"/>
      <c r="Q57" s="282"/>
      <c r="R57" s="287"/>
      <c r="S57" s="288"/>
      <c r="T57" s="288"/>
      <c r="U57" s="288"/>
      <c r="V57" s="288"/>
      <c r="W57" s="288"/>
      <c r="X57" s="288"/>
      <c r="Y57" s="288"/>
    </row>
    <row r="58" spans="1:25" hidden="1">
      <c r="A58" s="290">
        <v>3111</v>
      </c>
      <c r="B58" s="330"/>
      <c r="C58" s="330"/>
      <c r="D58" s="330"/>
      <c r="E58" s="329"/>
      <c r="F58" s="306"/>
      <c r="G58" s="293"/>
      <c r="H58" s="293"/>
      <c r="I58" s="294"/>
      <c r="J58" s="295"/>
      <c r="K58" s="294"/>
      <c r="L58" s="295"/>
      <c r="M58" s="296"/>
      <c r="N58" s="294"/>
      <c r="O58" s="297"/>
      <c r="P58" s="295"/>
      <c r="Q58" s="295"/>
      <c r="R58" s="299"/>
      <c r="S58" s="298"/>
      <c r="T58" s="298"/>
      <c r="U58" s="298"/>
      <c r="V58" s="298"/>
      <c r="W58" s="298"/>
      <c r="X58" s="298"/>
      <c r="Y58" s="298"/>
    </row>
    <row r="59" spans="1:25" hidden="1">
      <c r="A59" s="290">
        <v>3112</v>
      </c>
      <c r="B59" s="330"/>
      <c r="C59" s="330"/>
      <c r="D59" s="330"/>
      <c r="E59" s="329"/>
      <c r="F59" s="306"/>
      <c r="G59" s="293"/>
      <c r="H59" s="293"/>
      <c r="I59" s="294"/>
      <c r="J59" s="295"/>
      <c r="K59" s="294"/>
      <c r="L59" s="295"/>
      <c r="M59" s="296"/>
      <c r="N59" s="294"/>
      <c r="O59" s="297"/>
      <c r="P59" s="295"/>
      <c r="Q59" s="295"/>
      <c r="R59" s="299"/>
      <c r="S59" s="298"/>
      <c r="T59" s="298"/>
      <c r="U59" s="298"/>
      <c r="V59" s="298"/>
      <c r="W59" s="298"/>
      <c r="X59" s="298"/>
      <c r="Y59" s="298"/>
    </row>
    <row r="60" spans="1:25" hidden="1">
      <c r="A60" s="290">
        <v>3113</v>
      </c>
      <c r="B60" s="330"/>
      <c r="C60" s="330"/>
      <c r="D60" s="330"/>
      <c r="E60" s="329"/>
      <c r="F60" s="306"/>
      <c r="G60" s="293"/>
      <c r="H60" s="293"/>
      <c r="I60" s="294"/>
      <c r="J60" s="295"/>
      <c r="K60" s="294"/>
      <c r="L60" s="295"/>
      <c r="M60" s="296"/>
      <c r="N60" s="294"/>
      <c r="O60" s="297"/>
      <c r="P60" s="295"/>
      <c r="Q60" s="295"/>
      <c r="R60" s="299"/>
      <c r="S60" s="298"/>
      <c r="T60" s="298"/>
      <c r="U60" s="298"/>
      <c r="V60" s="298"/>
      <c r="W60" s="298"/>
      <c r="X60" s="298"/>
      <c r="Y60" s="298"/>
    </row>
    <row r="61" spans="1:25" ht="16.5" hidden="1" customHeight="1">
      <c r="A61" s="281">
        <v>312</v>
      </c>
      <c r="B61" s="3456"/>
      <c r="C61" s="3456"/>
      <c r="D61" s="3456"/>
      <c r="E61" s="3456"/>
      <c r="F61" s="3456"/>
      <c r="G61" s="3456"/>
      <c r="H61" s="3456"/>
      <c r="I61" s="3456"/>
      <c r="J61" s="282"/>
      <c r="K61" s="283"/>
      <c r="L61" s="282"/>
      <c r="M61" s="284"/>
      <c r="N61" s="283"/>
      <c r="O61" s="285"/>
      <c r="P61" s="282"/>
      <c r="Q61" s="282"/>
      <c r="R61" s="287"/>
      <c r="S61" s="288"/>
      <c r="T61" s="288"/>
      <c r="U61" s="288"/>
      <c r="V61" s="288"/>
      <c r="W61" s="288"/>
      <c r="X61" s="288"/>
      <c r="Y61" s="288"/>
    </row>
    <row r="62" spans="1:25" hidden="1">
      <c r="A62" s="290">
        <v>3121</v>
      </c>
      <c r="B62" s="330"/>
      <c r="C62" s="330"/>
      <c r="D62" s="330"/>
      <c r="E62" s="329"/>
      <c r="F62" s="306"/>
      <c r="G62" s="293"/>
      <c r="H62" s="293"/>
      <c r="I62" s="294"/>
      <c r="J62" s="295"/>
      <c r="K62" s="294"/>
      <c r="L62" s="295"/>
      <c r="M62" s="296"/>
      <c r="N62" s="294"/>
      <c r="O62" s="297"/>
      <c r="P62" s="295"/>
      <c r="Q62" s="295"/>
      <c r="R62" s="299"/>
      <c r="S62" s="298"/>
      <c r="T62" s="298"/>
      <c r="U62" s="298"/>
      <c r="V62" s="298"/>
      <c r="W62" s="298"/>
      <c r="X62" s="298"/>
      <c r="Y62" s="298"/>
    </row>
    <row r="63" spans="1:25" hidden="1">
      <c r="A63" s="290">
        <v>3122</v>
      </c>
      <c r="B63" s="330"/>
      <c r="C63" s="330"/>
      <c r="D63" s="330"/>
      <c r="E63" s="329"/>
      <c r="F63" s="306"/>
      <c r="G63" s="293"/>
      <c r="H63" s="293"/>
      <c r="I63" s="294"/>
      <c r="J63" s="295"/>
      <c r="K63" s="294"/>
      <c r="L63" s="295"/>
      <c r="M63" s="296"/>
      <c r="N63" s="294"/>
      <c r="O63" s="297"/>
      <c r="P63" s="295"/>
      <c r="Q63" s="295"/>
      <c r="R63" s="299"/>
      <c r="S63" s="298"/>
      <c r="T63" s="298"/>
      <c r="U63" s="298"/>
      <c r="V63" s="298"/>
      <c r="W63" s="298"/>
      <c r="X63" s="298"/>
      <c r="Y63" s="298"/>
    </row>
    <row r="64" spans="1:25" hidden="1">
      <c r="A64" s="301" t="s">
        <v>233</v>
      </c>
      <c r="B64" s="326"/>
      <c r="C64" s="291"/>
      <c r="D64" s="291"/>
      <c r="E64" s="292"/>
      <c r="F64" s="306"/>
      <c r="G64" s="293"/>
      <c r="H64" s="293"/>
      <c r="I64" s="294"/>
      <c r="J64" s="295"/>
      <c r="K64" s="294"/>
      <c r="L64" s="295"/>
      <c r="M64" s="296"/>
      <c r="N64" s="294"/>
      <c r="O64" s="297"/>
      <c r="P64" s="295"/>
      <c r="Q64" s="295"/>
      <c r="R64" s="299"/>
      <c r="S64" s="298"/>
      <c r="T64" s="298"/>
      <c r="U64" s="298"/>
      <c r="V64" s="298"/>
      <c r="W64" s="298"/>
      <c r="X64" s="298"/>
      <c r="Y64" s="298"/>
    </row>
    <row r="65" spans="1:25" ht="15.75" hidden="1" customHeight="1">
      <c r="A65" s="3457" t="s">
        <v>274</v>
      </c>
      <c r="B65" s="3457"/>
      <c r="C65" s="3457"/>
      <c r="D65" s="3457"/>
      <c r="E65" s="3457"/>
      <c r="F65" s="3457"/>
      <c r="G65" s="3457"/>
      <c r="H65" s="3457"/>
      <c r="I65" s="3457"/>
      <c r="J65" s="273"/>
      <c r="K65" s="273"/>
      <c r="L65" s="273"/>
      <c r="M65" s="274"/>
      <c r="N65" s="273"/>
      <c r="O65" s="275"/>
      <c r="P65" s="273"/>
      <c r="Q65" s="273"/>
      <c r="R65" s="277">
        <f>+'[12]Compil Costing PPA 3 millions'!F12</f>
        <v>100000</v>
      </c>
      <c r="S65" s="278"/>
      <c r="T65" s="278"/>
      <c r="U65" s="278"/>
      <c r="V65" s="274"/>
      <c r="W65" s="274"/>
      <c r="X65" s="274"/>
      <c r="Y65" s="274"/>
    </row>
    <row r="66" spans="1:25" ht="16.5" hidden="1" customHeight="1">
      <c r="A66" s="281">
        <v>321</v>
      </c>
      <c r="B66" s="3456"/>
      <c r="C66" s="3456"/>
      <c r="D66" s="3456"/>
      <c r="E66" s="3456"/>
      <c r="F66" s="3456"/>
      <c r="G66" s="3456"/>
      <c r="H66" s="3456"/>
      <c r="I66" s="3456"/>
      <c r="J66" s="282"/>
      <c r="K66" s="283"/>
      <c r="L66" s="282"/>
      <c r="M66" s="284"/>
      <c r="N66" s="283"/>
      <c r="O66" s="285"/>
      <c r="P66" s="282"/>
      <c r="Q66" s="282"/>
      <c r="R66" s="287"/>
      <c r="S66" s="288"/>
      <c r="T66" s="288"/>
      <c r="U66" s="288"/>
      <c r="V66" s="288"/>
      <c r="W66" s="288"/>
      <c r="X66" s="288"/>
      <c r="Y66" s="288"/>
    </row>
    <row r="67" spans="1:25" ht="15.75" hidden="1" customHeight="1">
      <c r="A67" s="290">
        <v>3211</v>
      </c>
      <c r="B67" s="330"/>
      <c r="C67" s="330"/>
      <c r="D67" s="330"/>
      <c r="E67" s="329"/>
      <c r="F67" s="331"/>
      <c r="G67" s="331"/>
      <c r="H67" s="331"/>
      <c r="I67" s="294"/>
      <c r="J67" s="295"/>
      <c r="K67" s="294"/>
      <c r="L67" s="295"/>
      <c r="M67" s="296"/>
      <c r="N67" s="294"/>
      <c r="O67" s="297"/>
      <c r="P67" s="295"/>
      <c r="Q67" s="295"/>
      <c r="R67" s="299"/>
      <c r="S67" s="298"/>
      <c r="T67" s="298"/>
      <c r="U67" s="298"/>
      <c r="V67" s="298"/>
      <c r="W67" s="298"/>
      <c r="X67" s="298"/>
      <c r="Y67" s="298"/>
    </row>
    <row r="68" spans="1:25" ht="15.75" hidden="1" customHeight="1">
      <c r="A68" s="290">
        <v>3212</v>
      </c>
      <c r="B68" s="330"/>
      <c r="C68" s="330"/>
      <c r="D68" s="330"/>
      <c r="E68" s="329"/>
      <c r="F68" s="331"/>
      <c r="G68" s="331"/>
      <c r="H68" s="331"/>
      <c r="I68" s="294"/>
      <c r="J68" s="295"/>
      <c r="K68" s="294"/>
      <c r="L68" s="295"/>
      <c r="M68" s="296"/>
      <c r="N68" s="294"/>
      <c r="O68" s="297"/>
      <c r="P68" s="295"/>
      <c r="Q68" s="295"/>
      <c r="R68" s="299"/>
      <c r="S68" s="298"/>
      <c r="T68" s="298"/>
      <c r="U68" s="298"/>
      <c r="V68" s="298"/>
      <c r="W68" s="298"/>
      <c r="X68" s="298"/>
      <c r="Y68" s="298"/>
    </row>
    <row r="69" spans="1:25" ht="15.75" hidden="1" customHeight="1">
      <c r="A69" s="290">
        <v>3213</v>
      </c>
      <c r="B69" s="330"/>
      <c r="C69" s="330"/>
      <c r="D69" s="330"/>
      <c r="E69" s="329"/>
      <c r="F69" s="331"/>
      <c r="G69" s="331"/>
      <c r="H69" s="331"/>
      <c r="I69" s="294"/>
      <c r="J69" s="295"/>
      <c r="K69" s="294"/>
      <c r="L69" s="295"/>
      <c r="M69" s="296"/>
      <c r="N69" s="294"/>
      <c r="O69" s="297"/>
      <c r="P69" s="295"/>
      <c r="Q69" s="295"/>
      <c r="R69" s="299"/>
      <c r="S69" s="298"/>
      <c r="T69" s="298"/>
      <c r="U69" s="298"/>
      <c r="V69" s="298"/>
      <c r="W69" s="298"/>
      <c r="X69" s="298"/>
      <c r="Y69" s="298"/>
    </row>
    <row r="70" spans="1:25" ht="16.5" hidden="1" customHeight="1">
      <c r="A70" s="281">
        <v>322</v>
      </c>
      <c r="B70" s="3456"/>
      <c r="C70" s="3456"/>
      <c r="D70" s="3456"/>
      <c r="E70" s="3456"/>
      <c r="F70" s="3456"/>
      <c r="G70" s="3456"/>
      <c r="H70" s="3456"/>
      <c r="I70" s="3456"/>
      <c r="J70" s="282"/>
      <c r="K70" s="283"/>
      <c r="L70" s="282"/>
      <c r="M70" s="284"/>
      <c r="N70" s="283"/>
      <c r="O70" s="285"/>
      <c r="P70" s="282"/>
      <c r="Q70" s="282"/>
      <c r="R70" s="287"/>
      <c r="S70" s="288"/>
      <c r="T70" s="288"/>
      <c r="U70" s="288"/>
      <c r="V70" s="288"/>
      <c r="W70" s="288"/>
      <c r="X70" s="288"/>
      <c r="Y70" s="288"/>
    </row>
    <row r="71" spans="1:25" hidden="1">
      <c r="A71" s="290">
        <v>3221</v>
      </c>
      <c r="B71" s="330"/>
      <c r="C71" s="330"/>
      <c r="D71" s="330"/>
      <c r="E71" s="329"/>
      <c r="F71" s="306"/>
      <c r="G71" s="293"/>
      <c r="H71" s="293"/>
      <c r="I71" s="294"/>
      <c r="J71" s="295"/>
      <c r="K71" s="294"/>
      <c r="L71" s="295"/>
      <c r="M71" s="296"/>
      <c r="N71" s="294"/>
      <c r="O71" s="297"/>
      <c r="P71" s="295"/>
      <c r="Q71" s="295"/>
      <c r="R71" s="299"/>
      <c r="S71" s="298"/>
      <c r="T71" s="298"/>
      <c r="U71" s="298"/>
      <c r="V71" s="298"/>
      <c r="W71" s="298"/>
      <c r="X71" s="298"/>
      <c r="Y71" s="298"/>
    </row>
    <row r="72" spans="1:25" hidden="1">
      <c r="A72" s="290">
        <v>3222</v>
      </c>
      <c r="B72" s="330"/>
      <c r="C72" s="330"/>
      <c r="D72" s="330"/>
      <c r="E72" s="329"/>
      <c r="F72" s="306"/>
      <c r="G72" s="293"/>
      <c r="H72" s="293"/>
      <c r="I72" s="294"/>
      <c r="J72" s="295"/>
      <c r="K72" s="294"/>
      <c r="L72" s="295"/>
      <c r="M72" s="296"/>
      <c r="N72" s="294"/>
      <c r="O72" s="297"/>
      <c r="P72" s="295"/>
      <c r="Q72" s="295"/>
      <c r="R72" s="299"/>
      <c r="S72" s="298"/>
      <c r="T72" s="298"/>
      <c r="U72" s="298"/>
      <c r="V72" s="298"/>
      <c r="W72" s="298"/>
      <c r="X72" s="298"/>
      <c r="Y72" s="298"/>
    </row>
    <row r="73" spans="1:25" ht="15.75" hidden="1" customHeight="1">
      <c r="A73" s="301" t="s">
        <v>233</v>
      </c>
      <c r="B73" s="330"/>
      <c r="C73" s="330"/>
      <c r="D73" s="330"/>
      <c r="E73" s="329"/>
      <c r="F73" s="331"/>
      <c r="G73" s="331"/>
      <c r="H73" s="331"/>
      <c r="I73" s="294"/>
      <c r="J73" s="295"/>
      <c r="K73" s="294"/>
      <c r="L73" s="295"/>
      <c r="M73" s="296"/>
      <c r="N73" s="294"/>
      <c r="O73" s="297"/>
      <c r="P73" s="295"/>
      <c r="Q73" s="295"/>
      <c r="R73" s="299"/>
      <c r="S73" s="298"/>
      <c r="T73" s="298"/>
      <c r="U73" s="298"/>
      <c r="V73" s="298"/>
      <c r="W73" s="298"/>
      <c r="X73" s="298"/>
      <c r="Y73" s="298"/>
    </row>
    <row r="74" spans="1:25" s="272" customFormat="1" ht="33.75" customHeight="1">
      <c r="A74" s="3458" t="s">
        <v>275</v>
      </c>
      <c r="B74" s="3458"/>
      <c r="C74" s="3458"/>
      <c r="D74" s="3458"/>
      <c r="E74" s="3458"/>
      <c r="F74" s="3458"/>
      <c r="G74" s="3458"/>
      <c r="H74" s="3458"/>
      <c r="I74" s="3458"/>
      <c r="J74" s="265"/>
      <c r="K74" s="265"/>
      <c r="L74" s="265"/>
      <c r="M74" s="266"/>
      <c r="N74" s="265"/>
      <c r="O74" s="267"/>
      <c r="P74" s="265"/>
      <c r="Q74" s="265"/>
      <c r="R74" s="269">
        <f>+R75+R122+R131</f>
        <v>1602730.3695833336</v>
      </c>
      <c r="S74" s="270"/>
      <c r="T74" s="270"/>
      <c r="U74" s="270"/>
      <c r="V74" s="270"/>
      <c r="W74" s="270"/>
      <c r="X74" s="270"/>
      <c r="Y74" s="270"/>
    </row>
    <row r="75" spans="1:25" ht="15.75" customHeight="1">
      <c r="A75" s="3457" t="s">
        <v>276</v>
      </c>
      <c r="B75" s="3457"/>
      <c r="C75" s="3457"/>
      <c r="D75" s="3457"/>
      <c r="E75" s="3457"/>
      <c r="F75" s="3457"/>
      <c r="G75" s="3457"/>
      <c r="H75" s="3457"/>
      <c r="I75" s="3457"/>
      <c r="J75" s="273"/>
      <c r="K75" s="273"/>
      <c r="L75" s="273"/>
      <c r="M75" s="274"/>
      <c r="N75" s="273"/>
      <c r="O75" s="275"/>
      <c r="P75" s="273"/>
      <c r="Q75" s="846"/>
      <c r="R75" s="277">
        <f>+'[12]Compil Costing PPA 3 millions'!F15</f>
        <v>356290.70624999999</v>
      </c>
      <c r="S75" s="278"/>
      <c r="T75" s="278"/>
      <c r="U75" s="278"/>
      <c r="V75" s="274"/>
      <c r="W75" s="274"/>
      <c r="X75" s="274"/>
      <c r="Y75" s="274"/>
    </row>
    <row r="76" spans="1:25" ht="16.5" customHeight="1">
      <c r="A76" s="281">
        <v>411</v>
      </c>
      <c r="B76" s="3504" t="s">
        <v>911</v>
      </c>
      <c r="C76" s="3504"/>
      <c r="D76" s="3504"/>
      <c r="E76" s="3504"/>
      <c r="F76" s="3504"/>
      <c r="G76" s="3504"/>
      <c r="H76" s="3504"/>
      <c r="I76" s="3504"/>
      <c r="J76" s="282"/>
      <c r="K76" s="283"/>
      <c r="L76" s="282"/>
      <c r="M76" s="284"/>
      <c r="N76" s="283"/>
      <c r="O76" s="285"/>
      <c r="P76" s="282"/>
      <c r="Q76" s="847">
        <f>SUM(Q77:Q90)</f>
        <v>63605.746874999997</v>
      </c>
      <c r="R76" s="287"/>
      <c r="S76" s="288"/>
      <c r="T76" s="288"/>
      <c r="U76" s="288"/>
      <c r="V76" s="288"/>
      <c r="W76" s="288"/>
      <c r="X76" s="288"/>
      <c r="Y76" s="288"/>
    </row>
    <row r="77" spans="1:25" ht="47.25" customHeight="1">
      <c r="A77" s="290">
        <v>4111</v>
      </c>
      <c r="B77" s="824" t="s">
        <v>912</v>
      </c>
      <c r="C77" s="291" t="s">
        <v>913</v>
      </c>
      <c r="D77" s="330"/>
      <c r="E77" s="551">
        <f>45+21+5</f>
        <v>71</v>
      </c>
      <c r="F77" s="848">
        <v>43192</v>
      </c>
      <c r="G77" s="848">
        <f>F77+E77</f>
        <v>43263</v>
      </c>
      <c r="H77" s="306" t="s">
        <v>914</v>
      </c>
      <c r="I77" s="845" t="s">
        <v>178</v>
      </c>
      <c r="J77" s="845" t="s">
        <v>169</v>
      </c>
      <c r="K77" s="849" t="s">
        <v>915</v>
      </c>
      <c r="L77" s="311">
        <v>23174</v>
      </c>
      <c r="M77" s="850"/>
      <c r="N77" s="845"/>
      <c r="O77" s="851">
        <v>1582.090625</v>
      </c>
      <c r="P77" s="852">
        <v>1</v>
      </c>
      <c r="Q77" s="853">
        <f t="shared" ref="Q77:Q90" si="0">O77*P77</f>
        <v>1582.090625</v>
      </c>
      <c r="R77" s="854"/>
      <c r="S77" s="854"/>
      <c r="T77" s="854"/>
      <c r="U77" s="854">
        <f>Q77</f>
        <v>1582.090625</v>
      </c>
      <c r="V77" s="854"/>
      <c r="W77" s="854"/>
      <c r="X77" s="854"/>
      <c r="Y77" s="296"/>
    </row>
    <row r="78" spans="1:25" ht="47.25">
      <c r="A78" s="290">
        <v>4111</v>
      </c>
      <c r="B78" s="824" t="s">
        <v>912</v>
      </c>
      <c r="C78" s="291" t="s">
        <v>913</v>
      </c>
      <c r="D78" s="855"/>
      <c r="E78" s="551">
        <f>45+21+5</f>
        <v>71</v>
      </c>
      <c r="F78" s="848">
        <v>43192</v>
      </c>
      <c r="G78" s="848">
        <f>F78+E78</f>
        <v>43263</v>
      </c>
      <c r="H78" s="306" t="s">
        <v>914</v>
      </c>
      <c r="I78" s="845" t="s">
        <v>169</v>
      </c>
      <c r="J78" s="845" t="s">
        <v>178</v>
      </c>
      <c r="K78" s="849" t="s">
        <v>320</v>
      </c>
      <c r="L78" s="311">
        <v>23173</v>
      </c>
      <c r="M78" s="850"/>
      <c r="N78" s="845"/>
      <c r="O78" s="851">
        <v>164.0625</v>
      </c>
      <c r="P78" s="852">
        <v>1</v>
      </c>
      <c r="Q78" s="853">
        <f t="shared" si="0"/>
        <v>164.0625</v>
      </c>
      <c r="R78" s="854"/>
      <c r="S78" s="854"/>
      <c r="T78" s="854"/>
      <c r="U78" s="854">
        <f t="shared" ref="U78:U84" si="1">Q78</f>
        <v>164.0625</v>
      </c>
      <c r="V78" s="854"/>
      <c r="W78" s="854"/>
      <c r="X78" s="854"/>
      <c r="Y78" s="296"/>
    </row>
    <row r="79" spans="1:25" ht="47.25">
      <c r="A79" s="290">
        <v>4111</v>
      </c>
      <c r="B79" s="824" t="s">
        <v>912</v>
      </c>
      <c r="C79" s="291" t="s">
        <v>913</v>
      </c>
      <c r="D79" s="855"/>
      <c r="E79" s="551">
        <f>45+21+5</f>
        <v>71</v>
      </c>
      <c r="F79" s="848">
        <v>43192</v>
      </c>
      <c r="G79" s="848">
        <f>F79+E79</f>
        <v>43263</v>
      </c>
      <c r="H79" s="306" t="s">
        <v>914</v>
      </c>
      <c r="I79" s="845" t="s">
        <v>169</v>
      </c>
      <c r="J79" s="845" t="s">
        <v>178</v>
      </c>
      <c r="K79" s="849" t="s">
        <v>916</v>
      </c>
      <c r="L79" s="311">
        <v>23173</v>
      </c>
      <c r="M79" s="850"/>
      <c r="N79" s="845"/>
      <c r="O79" s="851">
        <v>31.25</v>
      </c>
      <c r="P79" s="852">
        <v>5</v>
      </c>
      <c r="Q79" s="853">
        <f t="shared" si="0"/>
        <v>156.25</v>
      </c>
      <c r="R79" s="854"/>
      <c r="S79" s="854"/>
      <c r="T79" s="854"/>
      <c r="U79" s="854">
        <f t="shared" si="1"/>
        <v>156.25</v>
      </c>
      <c r="V79" s="854"/>
      <c r="W79" s="854"/>
      <c r="X79" s="854"/>
      <c r="Y79" s="296"/>
    </row>
    <row r="80" spans="1:25" ht="31.5">
      <c r="A80" s="856">
        <v>4112</v>
      </c>
      <c r="B80" s="857" t="s">
        <v>917</v>
      </c>
      <c r="C80" s="858" t="s">
        <v>918</v>
      </c>
      <c r="D80" s="859"/>
      <c r="E80" s="860">
        <f>3</f>
        <v>3</v>
      </c>
      <c r="F80" s="861">
        <v>43265</v>
      </c>
      <c r="G80" s="848">
        <f t="shared" ref="G80:G90" si="2">F80+E80-1</f>
        <v>43267</v>
      </c>
      <c r="H80" s="306" t="s">
        <v>914</v>
      </c>
      <c r="I80" s="294" t="s">
        <v>169</v>
      </c>
      <c r="J80" s="294" t="s">
        <v>178</v>
      </c>
      <c r="K80" s="849" t="s">
        <v>320</v>
      </c>
      <c r="L80" s="311">
        <v>23173</v>
      </c>
      <c r="M80" s="850"/>
      <c r="N80" s="845"/>
      <c r="O80" s="851">
        <v>523.125</v>
      </c>
      <c r="P80" s="852">
        <v>1</v>
      </c>
      <c r="Q80" s="853">
        <f t="shared" si="0"/>
        <v>523.125</v>
      </c>
      <c r="R80" s="854"/>
      <c r="S80" s="854"/>
      <c r="T80" s="854"/>
      <c r="U80" s="854">
        <f t="shared" si="1"/>
        <v>523.125</v>
      </c>
      <c r="V80" s="854"/>
      <c r="W80" s="854"/>
      <c r="X80" s="854"/>
      <c r="Y80" s="296"/>
    </row>
    <row r="81" spans="1:26" s="296" customFormat="1" ht="47.25" customHeight="1">
      <c r="A81" s="290">
        <v>4113</v>
      </c>
      <c r="B81" s="862" t="s">
        <v>919</v>
      </c>
      <c r="C81" s="858" t="s">
        <v>920</v>
      </c>
      <c r="D81" s="330"/>
      <c r="E81" s="551">
        <f>2</f>
        <v>2</v>
      </c>
      <c r="F81" s="848">
        <v>43271</v>
      </c>
      <c r="G81" s="848">
        <f t="shared" si="2"/>
        <v>43272</v>
      </c>
      <c r="H81" s="293" t="s">
        <v>914</v>
      </c>
      <c r="I81" s="294" t="s">
        <v>178</v>
      </c>
      <c r="J81" s="294" t="s">
        <v>169</v>
      </c>
      <c r="K81" s="849" t="s">
        <v>888</v>
      </c>
      <c r="L81" s="311">
        <v>23174</v>
      </c>
      <c r="N81" s="294"/>
      <c r="O81" s="851">
        <v>34491.78125</v>
      </c>
      <c r="P81" s="295">
        <v>1</v>
      </c>
      <c r="Q81" s="853">
        <f t="shared" si="0"/>
        <v>34491.78125</v>
      </c>
      <c r="R81" s="854"/>
      <c r="S81" s="854"/>
      <c r="T81" s="854"/>
      <c r="U81" s="854">
        <f t="shared" si="1"/>
        <v>34491.78125</v>
      </c>
      <c r="V81" s="854"/>
      <c r="W81" s="854"/>
      <c r="X81" s="854"/>
      <c r="Z81" s="863"/>
    </row>
    <row r="82" spans="1:26" s="296" customFormat="1" ht="47.25">
      <c r="A82" s="290">
        <v>4113</v>
      </c>
      <c r="B82" s="862" t="s">
        <v>919</v>
      </c>
      <c r="C82" s="858" t="s">
        <v>920</v>
      </c>
      <c r="D82" s="330"/>
      <c r="E82" s="551">
        <f>2</f>
        <v>2</v>
      </c>
      <c r="F82" s="848">
        <v>43271</v>
      </c>
      <c r="G82" s="848">
        <f t="shared" si="2"/>
        <v>43272</v>
      </c>
      <c r="H82" s="293" t="s">
        <v>914</v>
      </c>
      <c r="I82" s="294" t="s">
        <v>169</v>
      </c>
      <c r="J82" s="294" t="s">
        <v>178</v>
      </c>
      <c r="K82" s="849" t="s">
        <v>320</v>
      </c>
      <c r="L82" s="311">
        <v>23173</v>
      </c>
      <c r="N82" s="294"/>
      <c r="O82" s="851">
        <v>5156.25</v>
      </c>
      <c r="P82" s="295">
        <v>1</v>
      </c>
      <c r="Q82" s="853">
        <f t="shared" si="0"/>
        <v>5156.25</v>
      </c>
      <c r="R82" s="854"/>
      <c r="S82" s="854"/>
      <c r="T82" s="854"/>
      <c r="U82" s="854">
        <f t="shared" si="1"/>
        <v>5156.25</v>
      </c>
      <c r="V82" s="854"/>
      <c r="W82" s="854"/>
      <c r="X82" s="854"/>
      <c r="Z82" s="863"/>
    </row>
    <row r="83" spans="1:26" s="296" customFormat="1" ht="47.25">
      <c r="A83" s="290">
        <v>4113</v>
      </c>
      <c r="B83" s="862" t="s">
        <v>919</v>
      </c>
      <c r="C83" s="858" t="s">
        <v>920</v>
      </c>
      <c r="D83" s="330"/>
      <c r="E83" s="551">
        <f>2</f>
        <v>2</v>
      </c>
      <c r="F83" s="848">
        <v>43271</v>
      </c>
      <c r="G83" s="848">
        <f t="shared" si="2"/>
        <v>43272</v>
      </c>
      <c r="H83" s="293" t="s">
        <v>914</v>
      </c>
      <c r="I83" s="294" t="s">
        <v>169</v>
      </c>
      <c r="J83" s="294" t="s">
        <v>178</v>
      </c>
      <c r="K83" s="849" t="s">
        <v>916</v>
      </c>
      <c r="L83" s="311">
        <v>23173</v>
      </c>
      <c r="N83" s="294"/>
      <c r="O83" s="851">
        <v>31.25</v>
      </c>
      <c r="P83" s="295">
        <f>2*22</f>
        <v>44</v>
      </c>
      <c r="Q83" s="853">
        <f t="shared" si="0"/>
        <v>1375</v>
      </c>
      <c r="R83" s="854"/>
      <c r="S83" s="854"/>
      <c r="T83" s="854"/>
      <c r="U83" s="854">
        <f t="shared" si="1"/>
        <v>1375</v>
      </c>
      <c r="V83" s="854"/>
      <c r="W83" s="854"/>
      <c r="X83" s="854"/>
      <c r="Z83" s="863"/>
    </row>
    <row r="84" spans="1:26" s="296" customFormat="1" ht="31.5">
      <c r="A84" s="856">
        <v>4114</v>
      </c>
      <c r="B84" s="857" t="s">
        <v>921</v>
      </c>
      <c r="C84" s="858" t="s">
        <v>922</v>
      </c>
      <c r="D84" s="330"/>
      <c r="E84" s="551">
        <f>3</f>
        <v>3</v>
      </c>
      <c r="F84" s="864">
        <v>43279</v>
      </c>
      <c r="G84" s="848">
        <f t="shared" si="2"/>
        <v>43281</v>
      </c>
      <c r="H84" s="293" t="s">
        <v>914</v>
      </c>
      <c r="I84" s="294" t="s">
        <v>169</v>
      </c>
      <c r="J84" s="294" t="s">
        <v>178</v>
      </c>
      <c r="K84" s="849" t="s">
        <v>670</v>
      </c>
      <c r="L84" s="311">
        <v>23173</v>
      </c>
      <c r="N84" s="294"/>
      <c r="O84" s="851">
        <v>153.125</v>
      </c>
      <c r="P84" s="295">
        <v>2</v>
      </c>
      <c r="Q84" s="853">
        <f t="shared" si="0"/>
        <v>306.25</v>
      </c>
      <c r="R84" s="854"/>
      <c r="S84" s="854"/>
      <c r="T84" s="854"/>
      <c r="U84" s="854">
        <f t="shared" si="1"/>
        <v>306.25</v>
      </c>
      <c r="V84" s="854"/>
      <c r="W84" s="854"/>
      <c r="X84" s="854"/>
      <c r="Z84" s="863"/>
    </row>
    <row r="85" spans="1:26" s="850" customFormat="1" ht="48.75" customHeight="1">
      <c r="A85" s="290">
        <v>4115</v>
      </c>
      <c r="B85" s="865" t="s">
        <v>923</v>
      </c>
      <c r="C85" s="414" t="s">
        <v>924</v>
      </c>
      <c r="D85" s="291"/>
      <c r="E85" s="551">
        <f>5</f>
        <v>5</v>
      </c>
      <c r="F85" s="861">
        <v>43283</v>
      </c>
      <c r="G85" s="848">
        <f t="shared" si="2"/>
        <v>43287</v>
      </c>
      <c r="H85" s="293" t="s">
        <v>914</v>
      </c>
      <c r="I85" s="845" t="s">
        <v>178</v>
      </c>
      <c r="J85" s="866" t="s">
        <v>925</v>
      </c>
      <c r="K85" s="294"/>
      <c r="L85" s="295"/>
      <c r="M85" s="296"/>
      <c r="N85" s="294"/>
      <c r="O85" s="851">
        <v>0</v>
      </c>
      <c r="P85" s="295">
        <v>0</v>
      </c>
      <c r="Q85" s="853">
        <f t="shared" si="0"/>
        <v>0</v>
      </c>
      <c r="R85" s="854"/>
      <c r="S85" s="854"/>
      <c r="T85" s="854"/>
      <c r="U85" s="854"/>
      <c r="V85" s="854">
        <f>Q85</f>
        <v>0</v>
      </c>
      <c r="W85" s="854"/>
      <c r="X85" s="854"/>
      <c r="Y85" s="296"/>
      <c r="Z85" s="867"/>
    </row>
    <row r="86" spans="1:26" s="871" customFormat="1" ht="36.75" customHeight="1">
      <c r="A86" s="868">
        <v>4116</v>
      </c>
      <c r="B86" s="868" t="s">
        <v>926</v>
      </c>
      <c r="C86" s="869" t="s">
        <v>927</v>
      </c>
      <c r="D86" s="418"/>
      <c r="E86" s="870">
        <f>30</f>
        <v>30</v>
      </c>
      <c r="F86" s="848">
        <v>43290</v>
      </c>
      <c r="G86" s="848">
        <f t="shared" si="2"/>
        <v>43319</v>
      </c>
      <c r="H86" s="293" t="s">
        <v>914</v>
      </c>
      <c r="I86" s="294" t="s">
        <v>169</v>
      </c>
      <c r="J86" s="294" t="s">
        <v>178</v>
      </c>
      <c r="K86" s="849" t="s">
        <v>320</v>
      </c>
      <c r="L86" s="311">
        <v>23173</v>
      </c>
      <c r="N86" s="872"/>
      <c r="O86" s="851">
        <v>12270.9375</v>
      </c>
      <c r="P86" s="872">
        <v>1</v>
      </c>
      <c r="Q86" s="853">
        <f t="shared" si="0"/>
        <v>12270.9375</v>
      </c>
      <c r="R86" s="421"/>
      <c r="S86" s="421"/>
      <c r="T86" s="421"/>
      <c r="U86" s="421"/>
      <c r="V86" s="854">
        <f>Q86</f>
        <v>12270.9375</v>
      </c>
      <c r="W86" s="854"/>
      <c r="X86" s="854"/>
      <c r="Y86" s="418"/>
      <c r="Z86" s="873"/>
    </row>
    <row r="87" spans="1:26" s="296" customFormat="1" ht="31.5">
      <c r="A87" s="868">
        <v>4117</v>
      </c>
      <c r="B87" s="868" t="s">
        <v>928</v>
      </c>
      <c r="C87" s="868" t="s">
        <v>929</v>
      </c>
      <c r="E87" s="870">
        <f>6</f>
        <v>6</v>
      </c>
      <c r="F87" s="848">
        <v>43290</v>
      </c>
      <c r="G87" s="848">
        <f t="shared" si="2"/>
        <v>43295</v>
      </c>
      <c r="H87" s="293" t="s">
        <v>914</v>
      </c>
      <c r="I87" s="294" t="s">
        <v>169</v>
      </c>
      <c r="J87" s="294" t="s">
        <v>178</v>
      </c>
      <c r="K87" s="849" t="s">
        <v>320</v>
      </c>
      <c r="L87" s="311">
        <v>23173</v>
      </c>
      <c r="N87" s="294"/>
      <c r="O87" s="851">
        <v>599.375</v>
      </c>
      <c r="P87" s="295">
        <v>1</v>
      </c>
      <c r="Q87" s="853">
        <f t="shared" si="0"/>
        <v>599.375</v>
      </c>
      <c r="R87" s="854"/>
      <c r="S87" s="854"/>
      <c r="T87" s="854"/>
      <c r="U87" s="854"/>
      <c r="V87" s="854">
        <f>Q87</f>
        <v>599.375</v>
      </c>
      <c r="W87" s="854"/>
      <c r="X87" s="854"/>
      <c r="Z87" s="863"/>
    </row>
    <row r="88" spans="1:26" ht="47.25">
      <c r="A88" s="868">
        <v>4118</v>
      </c>
      <c r="B88" s="868" t="s">
        <v>930</v>
      </c>
      <c r="C88" s="868" t="s">
        <v>931</v>
      </c>
      <c r="D88" s="296"/>
      <c r="E88" s="551">
        <f>3</f>
        <v>3</v>
      </c>
      <c r="F88" s="848">
        <v>43304</v>
      </c>
      <c r="G88" s="848">
        <f t="shared" si="2"/>
        <v>43306</v>
      </c>
      <c r="H88" s="293" t="s">
        <v>914</v>
      </c>
      <c r="I88" s="294" t="s">
        <v>178</v>
      </c>
      <c r="J88" s="307" t="s">
        <v>932</v>
      </c>
      <c r="K88" s="874" t="s">
        <v>933</v>
      </c>
      <c r="L88" s="311">
        <v>23172</v>
      </c>
      <c r="M88" s="296"/>
      <c r="N88" s="294"/>
      <c r="O88" s="851">
        <v>15.625</v>
      </c>
      <c r="P88" s="295">
        <f>45</f>
        <v>45</v>
      </c>
      <c r="Q88" s="853">
        <f t="shared" si="0"/>
        <v>703.125</v>
      </c>
      <c r="R88" s="854"/>
      <c r="S88" s="854"/>
      <c r="T88" s="854"/>
      <c r="U88" s="854"/>
      <c r="V88" s="854">
        <f>Q88</f>
        <v>703.125</v>
      </c>
      <c r="W88" s="854"/>
      <c r="X88" s="854"/>
      <c r="Y88" s="296"/>
    </row>
    <row r="89" spans="1:26" ht="38.25">
      <c r="A89" s="868">
        <v>4119</v>
      </c>
      <c r="B89" s="868" t="s">
        <v>934</v>
      </c>
      <c r="C89" s="868" t="s">
        <v>935</v>
      </c>
      <c r="D89" s="850"/>
      <c r="E89" s="860">
        <f>5</f>
        <v>5</v>
      </c>
      <c r="F89" s="861">
        <v>43325</v>
      </c>
      <c r="G89" s="848">
        <f t="shared" si="2"/>
        <v>43329</v>
      </c>
      <c r="H89" s="293" t="s">
        <v>914</v>
      </c>
      <c r="I89" s="845" t="s">
        <v>178</v>
      </c>
      <c r="J89" s="845" t="s">
        <v>169</v>
      </c>
      <c r="K89" s="849" t="s">
        <v>888</v>
      </c>
      <c r="L89" s="311">
        <v>23174</v>
      </c>
      <c r="M89" s="850"/>
      <c r="N89" s="845"/>
      <c r="O89" s="851">
        <v>5277.5</v>
      </c>
      <c r="P89" s="852">
        <v>1</v>
      </c>
      <c r="Q89" s="853">
        <f t="shared" si="0"/>
        <v>5277.5</v>
      </c>
      <c r="R89" s="854"/>
      <c r="S89" s="854"/>
      <c r="T89" s="854"/>
      <c r="U89" s="854"/>
      <c r="V89" s="854"/>
      <c r="W89" s="854">
        <f>Q89</f>
        <v>5277.5</v>
      </c>
      <c r="X89" s="854"/>
      <c r="Y89" s="296"/>
    </row>
    <row r="90" spans="1:26" ht="38.25">
      <c r="A90" s="868">
        <v>4119</v>
      </c>
      <c r="B90" s="868" t="s">
        <v>934</v>
      </c>
      <c r="C90" s="868" t="s">
        <v>935</v>
      </c>
      <c r="D90" s="850"/>
      <c r="E90" s="860">
        <f>5</f>
        <v>5</v>
      </c>
      <c r="F90" s="861">
        <v>43325</v>
      </c>
      <c r="G90" s="848">
        <f t="shared" si="2"/>
        <v>43329</v>
      </c>
      <c r="H90" s="293" t="s">
        <v>914</v>
      </c>
      <c r="I90" s="294" t="s">
        <v>169</v>
      </c>
      <c r="J90" s="294" t="s">
        <v>178</v>
      </c>
      <c r="K90" s="849" t="s">
        <v>320</v>
      </c>
      <c r="L90" s="311">
        <v>23173</v>
      </c>
      <c r="M90" s="850"/>
      <c r="N90" s="845"/>
      <c r="O90" s="851">
        <v>1000</v>
      </c>
      <c r="P90" s="852">
        <v>1</v>
      </c>
      <c r="Q90" s="853">
        <f t="shared" si="0"/>
        <v>1000</v>
      </c>
      <c r="R90" s="854"/>
      <c r="S90" s="854"/>
      <c r="T90" s="854"/>
      <c r="U90" s="854"/>
      <c r="V90" s="854"/>
      <c r="W90" s="854">
        <f>Q90</f>
        <v>1000</v>
      </c>
      <c r="X90" s="854"/>
      <c r="Y90" s="296"/>
    </row>
    <row r="91" spans="1:26" s="514" customFormat="1" ht="16.5" customHeight="1">
      <c r="A91" s="281">
        <v>412</v>
      </c>
      <c r="B91" s="3504" t="s">
        <v>936</v>
      </c>
      <c r="C91" s="3504"/>
      <c r="D91" s="3504"/>
      <c r="E91" s="3504"/>
      <c r="F91" s="3504"/>
      <c r="G91" s="3504"/>
      <c r="H91" s="3504"/>
      <c r="I91" s="3504"/>
      <c r="J91" s="282"/>
      <c r="K91" s="283"/>
      <c r="L91" s="282"/>
      <c r="M91" s="284"/>
      <c r="N91" s="283"/>
      <c r="O91" s="285"/>
      <c r="P91" s="282"/>
      <c r="Q91" s="847">
        <f>SUM(Q92:Q96)</f>
        <v>9103.5</v>
      </c>
      <c r="R91" s="287"/>
      <c r="S91" s="875"/>
      <c r="T91" s="875"/>
      <c r="U91" s="875"/>
      <c r="V91" s="875"/>
      <c r="W91" s="875"/>
      <c r="X91" s="875"/>
      <c r="Y91" s="875"/>
    </row>
    <row r="92" spans="1:26" s="830" customFormat="1" ht="57" customHeight="1">
      <c r="A92" s="820">
        <v>4121</v>
      </c>
      <c r="B92" s="876" t="s">
        <v>937</v>
      </c>
      <c r="C92" s="876" t="s">
        <v>938</v>
      </c>
      <c r="D92" s="877"/>
      <c r="E92" s="878">
        <f>2</f>
        <v>2</v>
      </c>
      <c r="F92" s="848">
        <v>43297</v>
      </c>
      <c r="G92" s="848">
        <f>F92+E92-1</f>
        <v>43298</v>
      </c>
      <c r="H92" s="475" t="s">
        <v>178</v>
      </c>
      <c r="I92" s="879" t="s">
        <v>178</v>
      </c>
      <c r="J92" s="880" t="s">
        <v>169</v>
      </c>
      <c r="K92" s="849" t="s">
        <v>888</v>
      </c>
      <c r="L92" s="311">
        <v>23174</v>
      </c>
      <c r="M92" s="881"/>
      <c r="N92" s="882"/>
      <c r="O92" s="883">
        <v>3106.9156250000001</v>
      </c>
      <c r="P92" s="884">
        <v>1</v>
      </c>
      <c r="Q92" s="885">
        <f>O92*P92</f>
        <v>3106.9156250000001</v>
      </c>
      <c r="R92" s="886"/>
      <c r="S92" s="883"/>
      <c r="T92" s="883"/>
      <c r="U92" s="883"/>
      <c r="V92" s="883"/>
      <c r="W92" s="883">
        <f t="shared" ref="W92:W97" si="3">Q92</f>
        <v>3106.9156250000001</v>
      </c>
      <c r="X92" s="883"/>
      <c r="Y92" s="883"/>
    </row>
    <row r="93" spans="1:26" s="830" customFormat="1" ht="33" customHeight="1">
      <c r="A93" s="820">
        <v>4121</v>
      </c>
      <c r="B93" s="876" t="s">
        <v>937</v>
      </c>
      <c r="C93" s="876" t="s">
        <v>939</v>
      </c>
      <c r="D93" s="877"/>
      <c r="E93" s="878">
        <f>2</f>
        <v>2</v>
      </c>
      <c r="F93" s="848">
        <v>43297</v>
      </c>
      <c r="G93" s="848">
        <f>F93+E93-1</f>
        <v>43298</v>
      </c>
      <c r="H93" s="475" t="s">
        <v>178</v>
      </c>
      <c r="I93" s="887" t="s">
        <v>169</v>
      </c>
      <c r="J93" s="294" t="s">
        <v>178</v>
      </c>
      <c r="K93" s="849" t="s">
        <v>486</v>
      </c>
      <c r="L93" s="311">
        <v>23173</v>
      </c>
      <c r="M93" s="881"/>
      <c r="N93" s="882"/>
      <c r="O93" s="883">
        <v>46.875</v>
      </c>
      <c r="P93" s="884">
        <v>2</v>
      </c>
      <c r="Q93" s="885">
        <f>O93*P93</f>
        <v>93.75</v>
      </c>
      <c r="R93" s="886"/>
      <c r="S93" s="883"/>
      <c r="T93" s="883"/>
      <c r="U93" s="883"/>
      <c r="V93" s="883"/>
      <c r="W93" s="883">
        <f t="shared" si="3"/>
        <v>93.75</v>
      </c>
      <c r="X93" s="883"/>
      <c r="Y93" s="883"/>
    </row>
    <row r="94" spans="1:26" s="830" customFormat="1" ht="44.25" customHeight="1">
      <c r="A94" s="820">
        <v>4122</v>
      </c>
      <c r="B94" s="888" t="s">
        <v>23</v>
      </c>
      <c r="C94" s="876" t="s">
        <v>939</v>
      </c>
      <c r="D94" s="877"/>
      <c r="E94" s="878">
        <f>3</f>
        <v>3</v>
      </c>
      <c r="F94" s="848">
        <v>43300</v>
      </c>
      <c r="G94" s="848">
        <f>F94+E94-1</f>
        <v>43302</v>
      </c>
      <c r="H94" s="475" t="s">
        <v>178</v>
      </c>
      <c r="I94" s="879" t="s">
        <v>178</v>
      </c>
      <c r="J94" s="880" t="s">
        <v>169</v>
      </c>
      <c r="K94" s="849" t="s">
        <v>888</v>
      </c>
      <c r="L94" s="311">
        <v>23174</v>
      </c>
      <c r="M94" s="881"/>
      <c r="N94" s="882"/>
      <c r="O94" s="883">
        <v>5645.0218750000004</v>
      </c>
      <c r="P94" s="884">
        <v>1</v>
      </c>
      <c r="Q94" s="885">
        <f>O94*P94</f>
        <v>5645.0218750000004</v>
      </c>
      <c r="R94" s="886"/>
      <c r="S94" s="883"/>
      <c r="T94" s="883"/>
      <c r="U94" s="883"/>
      <c r="V94" s="883"/>
      <c r="W94" s="883">
        <f t="shared" si="3"/>
        <v>5645.0218750000004</v>
      </c>
      <c r="X94" s="883"/>
      <c r="Y94" s="883"/>
    </row>
    <row r="95" spans="1:26" s="830" customFormat="1" ht="37.5" customHeight="1">
      <c r="A95" s="820">
        <v>4122</v>
      </c>
      <c r="B95" s="888" t="s">
        <v>23</v>
      </c>
      <c r="C95" s="888" t="s">
        <v>940</v>
      </c>
      <c r="D95" s="877"/>
      <c r="E95" s="878">
        <f>3</f>
        <v>3</v>
      </c>
      <c r="F95" s="848">
        <v>43300</v>
      </c>
      <c r="G95" s="848">
        <f>F95+E95-1</f>
        <v>43302</v>
      </c>
      <c r="H95" s="475" t="s">
        <v>178</v>
      </c>
      <c r="I95" s="887" t="s">
        <v>169</v>
      </c>
      <c r="J95" s="294" t="s">
        <v>178</v>
      </c>
      <c r="K95" s="849" t="s">
        <v>486</v>
      </c>
      <c r="L95" s="311">
        <v>23173</v>
      </c>
      <c r="M95" s="881"/>
      <c r="N95" s="882"/>
      <c r="O95" s="883">
        <v>31.25</v>
      </c>
      <c r="P95" s="884">
        <v>3</v>
      </c>
      <c r="Q95" s="885">
        <f>O95*P95</f>
        <v>93.75</v>
      </c>
      <c r="R95" s="886"/>
      <c r="S95" s="883"/>
      <c r="T95" s="883"/>
      <c r="U95" s="883"/>
      <c r="V95" s="883"/>
      <c r="W95" s="883">
        <f t="shared" si="3"/>
        <v>93.75</v>
      </c>
      <c r="X95" s="883"/>
      <c r="Y95" s="883"/>
    </row>
    <row r="96" spans="1:26" s="830" customFormat="1" ht="37.5" customHeight="1">
      <c r="A96" s="820">
        <v>4122</v>
      </c>
      <c r="B96" s="888" t="s">
        <v>23</v>
      </c>
      <c r="C96" s="888" t="s">
        <v>940</v>
      </c>
      <c r="D96" s="877"/>
      <c r="E96" s="878">
        <f>3</f>
        <v>3</v>
      </c>
      <c r="F96" s="848">
        <v>43300</v>
      </c>
      <c r="G96" s="848">
        <f>F96+E96-1</f>
        <v>43302</v>
      </c>
      <c r="H96" s="475" t="s">
        <v>178</v>
      </c>
      <c r="I96" s="887" t="s">
        <v>169</v>
      </c>
      <c r="J96" s="294" t="s">
        <v>178</v>
      </c>
      <c r="K96" s="849" t="s">
        <v>320</v>
      </c>
      <c r="L96" s="311">
        <v>23173</v>
      </c>
      <c r="M96" s="881"/>
      <c r="N96" s="882"/>
      <c r="O96" s="883">
        <v>164.0625</v>
      </c>
      <c r="P96" s="884">
        <v>1</v>
      </c>
      <c r="Q96" s="885">
        <f>O96*P96</f>
        <v>164.0625</v>
      </c>
      <c r="R96" s="886"/>
      <c r="S96" s="883"/>
      <c r="T96" s="883"/>
      <c r="U96" s="883"/>
      <c r="V96" s="883"/>
      <c r="W96" s="883">
        <f t="shared" si="3"/>
        <v>164.0625</v>
      </c>
      <c r="X96" s="883"/>
      <c r="Y96" s="883"/>
    </row>
    <row r="97" spans="1:25" s="514" customFormat="1" ht="16.5" customHeight="1">
      <c r="A97" s="281">
        <v>413</v>
      </c>
      <c r="B97" s="3504" t="s">
        <v>941</v>
      </c>
      <c r="C97" s="3504"/>
      <c r="D97" s="3504"/>
      <c r="E97" s="3504"/>
      <c r="F97" s="3504"/>
      <c r="G97" s="3504"/>
      <c r="H97" s="3504"/>
      <c r="I97" s="3504"/>
      <c r="J97" s="282"/>
      <c r="K97" s="283"/>
      <c r="L97" s="282"/>
      <c r="M97" s="284"/>
      <c r="N97" s="283"/>
      <c r="O97" s="285"/>
      <c r="P97" s="282"/>
      <c r="Q97" s="847">
        <f>Q98+Q112</f>
        <v>283581.25624999998</v>
      </c>
      <c r="R97" s="287"/>
      <c r="S97" s="875"/>
      <c r="T97" s="875"/>
      <c r="U97" s="875"/>
      <c r="V97" s="875"/>
      <c r="W97" s="875">
        <f t="shared" si="3"/>
        <v>283581.25624999998</v>
      </c>
      <c r="X97" s="875"/>
      <c r="Y97" s="875"/>
    </row>
    <row r="98" spans="1:25" s="901" customFormat="1">
      <c r="A98" s="889">
        <v>4131</v>
      </c>
      <c r="B98" s="890" t="s">
        <v>942</v>
      </c>
      <c r="C98" s="891"/>
      <c r="D98" s="891"/>
      <c r="E98" s="892"/>
      <c r="F98" s="893"/>
      <c r="G98" s="893"/>
      <c r="H98" s="894"/>
      <c r="I98" s="895"/>
      <c r="J98" s="896"/>
      <c r="K98" s="895"/>
      <c r="L98" s="896"/>
      <c r="M98" s="891"/>
      <c r="N98" s="895"/>
      <c r="O98" s="897"/>
      <c r="P98" s="896"/>
      <c r="Q98" s="898">
        <f>SUM(Q99:Q111)</f>
        <v>243638.828125</v>
      </c>
      <c r="R98" s="899"/>
      <c r="S98" s="900"/>
      <c r="T98" s="900"/>
      <c r="U98" s="900"/>
      <c r="V98" s="900"/>
      <c r="W98" s="900"/>
      <c r="X98" s="900"/>
      <c r="Y98" s="900"/>
    </row>
    <row r="99" spans="1:25" ht="51.75" customHeight="1">
      <c r="A99" s="902">
        <v>41311</v>
      </c>
      <c r="B99" s="862" t="s">
        <v>943</v>
      </c>
      <c r="C99" s="903" t="s">
        <v>944</v>
      </c>
      <c r="D99" s="904"/>
      <c r="E99" s="551">
        <f>45+21</f>
        <v>66</v>
      </c>
      <c r="F99" s="848">
        <v>43192</v>
      </c>
      <c r="G99" s="848">
        <f>E99+F99-1</f>
        <v>43257</v>
      </c>
      <c r="H99" s="845" t="s">
        <v>178</v>
      </c>
      <c r="I99" s="845" t="s">
        <v>169</v>
      </c>
      <c r="J99" s="845" t="s">
        <v>178</v>
      </c>
      <c r="K99" s="874" t="s">
        <v>945</v>
      </c>
      <c r="L99" s="311">
        <v>2461</v>
      </c>
      <c r="M99" s="296"/>
      <c r="N99" s="294"/>
      <c r="O99" s="905">
        <v>3356.25</v>
      </c>
      <c r="P99" s="295">
        <v>1</v>
      </c>
      <c r="Q99" s="906">
        <f t="shared" ref="Q99:Q111" si="4">O99*P99</f>
        <v>3356.25</v>
      </c>
      <c r="R99" s="886"/>
      <c r="S99" s="907"/>
      <c r="T99" s="907"/>
      <c r="U99" s="907">
        <f>Q99</f>
        <v>3356.25</v>
      </c>
      <c r="V99" s="907"/>
      <c r="W99" s="907"/>
      <c r="X99" s="907"/>
      <c r="Y99" s="907"/>
    </row>
    <row r="100" spans="1:25" ht="47.25">
      <c r="A100" s="902">
        <v>41311</v>
      </c>
      <c r="B100" s="862" t="s">
        <v>943</v>
      </c>
      <c r="C100" s="903" t="s">
        <v>944</v>
      </c>
      <c r="D100" s="904"/>
      <c r="E100" s="551">
        <f>45+21</f>
        <v>66</v>
      </c>
      <c r="F100" s="848">
        <v>43192</v>
      </c>
      <c r="G100" s="848">
        <f t="shared" ref="G100:G111" si="5">E100+F100-1</f>
        <v>43257</v>
      </c>
      <c r="H100" s="845" t="s">
        <v>178</v>
      </c>
      <c r="I100" s="845" t="s">
        <v>169</v>
      </c>
      <c r="J100" s="845" t="s">
        <v>178</v>
      </c>
      <c r="K100" s="874" t="s">
        <v>946</v>
      </c>
      <c r="L100" s="311">
        <v>2314</v>
      </c>
      <c r="M100" s="296"/>
      <c r="N100" s="294"/>
      <c r="O100" s="905">
        <v>125</v>
      </c>
      <c r="P100" s="295">
        <v>1</v>
      </c>
      <c r="Q100" s="906">
        <f t="shared" si="4"/>
        <v>125</v>
      </c>
      <c r="R100" s="886"/>
      <c r="S100" s="907"/>
      <c r="T100" s="907"/>
      <c r="U100" s="907">
        <f>Q100</f>
        <v>125</v>
      </c>
      <c r="V100" s="907"/>
      <c r="W100" s="907"/>
      <c r="X100" s="907"/>
      <c r="Y100" s="907"/>
    </row>
    <row r="101" spans="1:25" ht="31.5">
      <c r="A101" s="902">
        <v>41311</v>
      </c>
      <c r="B101" s="862" t="s">
        <v>943</v>
      </c>
      <c r="C101" s="903" t="s">
        <v>944</v>
      </c>
      <c r="D101" s="904"/>
      <c r="E101" s="551">
        <f>45+21</f>
        <v>66</v>
      </c>
      <c r="F101" s="848">
        <v>43192</v>
      </c>
      <c r="G101" s="848">
        <f t="shared" si="5"/>
        <v>43257</v>
      </c>
      <c r="H101" s="845" t="s">
        <v>178</v>
      </c>
      <c r="I101" s="845" t="s">
        <v>169</v>
      </c>
      <c r="J101" s="845" t="s">
        <v>178</v>
      </c>
      <c r="K101" s="874" t="s">
        <v>320</v>
      </c>
      <c r="L101" s="311">
        <v>23173</v>
      </c>
      <c r="M101" s="296"/>
      <c r="N101" s="294"/>
      <c r="O101" s="905">
        <v>4340.625</v>
      </c>
      <c r="P101" s="295">
        <v>1</v>
      </c>
      <c r="Q101" s="906">
        <f t="shared" si="4"/>
        <v>4340.625</v>
      </c>
      <c r="R101" s="886"/>
      <c r="S101" s="907"/>
      <c r="T101" s="907"/>
      <c r="U101" s="907">
        <f>Q101</f>
        <v>4340.625</v>
      </c>
      <c r="V101" s="907"/>
      <c r="W101" s="907"/>
      <c r="X101" s="907"/>
      <c r="Y101" s="907"/>
    </row>
    <row r="102" spans="1:25" ht="49.5" customHeight="1">
      <c r="A102" s="902">
        <v>41311</v>
      </c>
      <c r="B102" s="862" t="s">
        <v>943</v>
      </c>
      <c r="C102" s="903" t="s">
        <v>944</v>
      </c>
      <c r="D102" s="904"/>
      <c r="E102" s="551">
        <f>45+21</f>
        <v>66</v>
      </c>
      <c r="F102" s="848">
        <v>43192</v>
      </c>
      <c r="G102" s="848">
        <f t="shared" si="5"/>
        <v>43257</v>
      </c>
      <c r="H102" s="845" t="s">
        <v>178</v>
      </c>
      <c r="I102" s="845" t="s">
        <v>169</v>
      </c>
      <c r="J102" s="845" t="s">
        <v>178</v>
      </c>
      <c r="K102" s="874" t="s">
        <v>947</v>
      </c>
      <c r="L102" s="311">
        <v>2463</v>
      </c>
      <c r="M102" s="296"/>
      <c r="N102" s="294"/>
      <c r="O102" s="905">
        <v>23062.5</v>
      </c>
      <c r="P102" s="295">
        <v>1</v>
      </c>
      <c r="Q102" s="906">
        <f t="shared" si="4"/>
        <v>23062.5</v>
      </c>
      <c r="R102" s="886"/>
      <c r="S102" s="907"/>
      <c r="T102" s="907"/>
      <c r="U102" s="907">
        <f>Q102</f>
        <v>23062.5</v>
      </c>
      <c r="V102" s="907"/>
      <c r="W102" s="907"/>
      <c r="X102" s="907"/>
      <c r="Y102" s="907"/>
    </row>
    <row r="103" spans="1:25" ht="31.5">
      <c r="A103" s="902">
        <v>41311</v>
      </c>
      <c r="B103" s="862" t="s">
        <v>943</v>
      </c>
      <c r="C103" s="903" t="s">
        <v>944</v>
      </c>
      <c r="D103" s="904"/>
      <c r="E103" s="551">
        <f>45+21</f>
        <v>66</v>
      </c>
      <c r="F103" s="848">
        <v>43192</v>
      </c>
      <c r="G103" s="848">
        <f t="shared" si="5"/>
        <v>43257</v>
      </c>
      <c r="H103" s="845" t="s">
        <v>178</v>
      </c>
      <c r="I103" s="845" t="s">
        <v>169</v>
      </c>
      <c r="J103" s="845" t="s">
        <v>178</v>
      </c>
      <c r="K103" s="874" t="s">
        <v>948</v>
      </c>
      <c r="L103" s="311">
        <v>2431</v>
      </c>
      <c r="M103" s="296"/>
      <c r="N103" s="294"/>
      <c r="O103" s="905">
        <v>7375</v>
      </c>
      <c r="P103" s="295">
        <v>1</v>
      </c>
      <c r="Q103" s="906">
        <f t="shared" si="4"/>
        <v>7375</v>
      </c>
      <c r="R103" s="886"/>
      <c r="S103" s="907"/>
      <c r="T103" s="907"/>
      <c r="U103" s="907">
        <f>Q103</f>
        <v>7375</v>
      </c>
      <c r="V103" s="907"/>
      <c r="W103" s="907"/>
      <c r="X103" s="907"/>
      <c r="Y103" s="907"/>
    </row>
    <row r="104" spans="1:25" ht="60.75" customHeight="1">
      <c r="A104" s="908">
        <v>41312</v>
      </c>
      <c r="B104" s="908" t="s">
        <v>949</v>
      </c>
      <c r="C104" s="908" t="s">
        <v>950</v>
      </c>
      <c r="D104" s="850"/>
      <c r="E104" s="860">
        <f>9</f>
        <v>9</v>
      </c>
      <c r="F104" s="861">
        <v>43283</v>
      </c>
      <c r="G104" s="848">
        <f t="shared" si="5"/>
        <v>43291</v>
      </c>
      <c r="H104" s="293" t="s">
        <v>914</v>
      </c>
      <c r="I104" s="845" t="s">
        <v>178</v>
      </c>
      <c r="J104" s="845" t="s">
        <v>169</v>
      </c>
      <c r="K104" s="849" t="s">
        <v>888</v>
      </c>
      <c r="L104" s="311">
        <v>23174</v>
      </c>
      <c r="M104" s="850"/>
      <c r="N104" s="845"/>
      <c r="O104" s="905">
        <v>7333.0281249999998</v>
      </c>
      <c r="P104" s="852">
        <v>1</v>
      </c>
      <c r="Q104" s="906">
        <f t="shared" si="4"/>
        <v>7333.0281249999998</v>
      </c>
      <c r="R104" s="886"/>
      <c r="S104" s="907"/>
      <c r="T104" s="907"/>
      <c r="U104" s="907"/>
      <c r="V104" s="907"/>
      <c r="W104" s="907">
        <f t="shared" ref="W104:W110" si="6">Q104</f>
        <v>7333.0281249999998</v>
      </c>
      <c r="X104" s="907"/>
      <c r="Y104" s="907"/>
    </row>
    <row r="105" spans="1:25" ht="60.75" customHeight="1">
      <c r="A105" s="908">
        <v>41312</v>
      </c>
      <c r="B105" s="908" t="s">
        <v>949</v>
      </c>
      <c r="C105" s="908" t="s">
        <v>950</v>
      </c>
      <c r="D105" s="850"/>
      <c r="E105" s="860">
        <f>9</f>
        <v>9</v>
      </c>
      <c r="F105" s="861">
        <v>43283</v>
      </c>
      <c r="G105" s="848">
        <f t="shared" si="5"/>
        <v>43291</v>
      </c>
      <c r="H105" s="293" t="s">
        <v>914</v>
      </c>
      <c r="I105" s="845" t="s">
        <v>169</v>
      </c>
      <c r="J105" s="845" t="s">
        <v>178</v>
      </c>
      <c r="K105" s="849" t="s">
        <v>320</v>
      </c>
      <c r="L105" s="311">
        <v>23173</v>
      </c>
      <c r="M105" s="850"/>
      <c r="N105" s="845"/>
      <c r="O105" s="905">
        <v>941.5625</v>
      </c>
      <c r="P105" s="852">
        <v>1</v>
      </c>
      <c r="Q105" s="906">
        <f t="shared" si="4"/>
        <v>941.5625</v>
      </c>
      <c r="R105" s="886"/>
      <c r="S105" s="907"/>
      <c r="T105" s="907"/>
      <c r="U105" s="907"/>
      <c r="V105" s="907"/>
      <c r="W105" s="907">
        <f t="shared" si="6"/>
        <v>941.5625</v>
      </c>
      <c r="X105" s="907"/>
      <c r="Y105" s="907"/>
    </row>
    <row r="106" spans="1:25" ht="60.75" customHeight="1">
      <c r="A106" s="908">
        <v>41312</v>
      </c>
      <c r="B106" s="908" t="s">
        <v>949</v>
      </c>
      <c r="C106" s="908" t="s">
        <v>950</v>
      </c>
      <c r="D106" s="850"/>
      <c r="E106" s="860">
        <f>9</f>
        <v>9</v>
      </c>
      <c r="F106" s="861">
        <v>43283</v>
      </c>
      <c r="G106" s="848">
        <f t="shared" si="5"/>
        <v>43291</v>
      </c>
      <c r="H106" s="293" t="s">
        <v>914</v>
      </c>
      <c r="I106" s="845" t="s">
        <v>169</v>
      </c>
      <c r="J106" s="845" t="s">
        <v>178</v>
      </c>
      <c r="K106" s="849" t="s">
        <v>916</v>
      </c>
      <c r="L106" s="311">
        <v>23173</v>
      </c>
      <c r="M106" s="850"/>
      <c r="N106" s="845"/>
      <c r="O106" s="905">
        <v>31.25</v>
      </c>
      <c r="P106" s="852">
        <v>8</v>
      </c>
      <c r="Q106" s="906">
        <f t="shared" si="4"/>
        <v>250</v>
      </c>
      <c r="R106" s="886"/>
      <c r="S106" s="907"/>
      <c r="T106" s="907"/>
      <c r="U106" s="907"/>
      <c r="V106" s="907"/>
      <c r="W106" s="907">
        <f t="shared" si="6"/>
        <v>250</v>
      </c>
      <c r="X106" s="907"/>
      <c r="Y106" s="907"/>
    </row>
    <row r="107" spans="1:25" ht="60.75" customHeight="1">
      <c r="A107" s="908">
        <v>41312</v>
      </c>
      <c r="B107" s="908" t="s">
        <v>949</v>
      </c>
      <c r="C107" s="908" t="s">
        <v>950</v>
      </c>
      <c r="D107" s="850"/>
      <c r="E107" s="860">
        <f>9</f>
        <v>9</v>
      </c>
      <c r="F107" s="861">
        <v>43283</v>
      </c>
      <c r="G107" s="848">
        <f t="shared" si="5"/>
        <v>43291</v>
      </c>
      <c r="H107" s="293" t="s">
        <v>914</v>
      </c>
      <c r="I107" s="845" t="s">
        <v>169</v>
      </c>
      <c r="J107" s="852" t="s">
        <v>178</v>
      </c>
      <c r="K107" s="874" t="s">
        <v>951</v>
      </c>
      <c r="L107" s="311">
        <v>23172</v>
      </c>
      <c r="M107" s="850"/>
      <c r="N107" s="845"/>
      <c r="O107" s="905">
        <v>312.5</v>
      </c>
      <c r="P107" s="852">
        <v>1</v>
      </c>
      <c r="Q107" s="907">
        <f t="shared" si="4"/>
        <v>312.5</v>
      </c>
      <c r="R107" s="886"/>
      <c r="S107" s="907"/>
      <c r="T107" s="907"/>
      <c r="U107" s="907"/>
      <c r="V107" s="907"/>
      <c r="W107" s="907">
        <f t="shared" si="6"/>
        <v>312.5</v>
      </c>
      <c r="X107" s="907"/>
      <c r="Y107" s="907"/>
    </row>
    <row r="108" spans="1:25" ht="47.25">
      <c r="A108" s="868">
        <v>41313</v>
      </c>
      <c r="B108" s="868" t="s">
        <v>952</v>
      </c>
      <c r="C108" s="909" t="s">
        <v>953</v>
      </c>
      <c r="D108" s="850"/>
      <c r="E108" s="860">
        <f>2</f>
        <v>2</v>
      </c>
      <c r="F108" s="848">
        <v>43306</v>
      </c>
      <c r="G108" s="848">
        <f t="shared" si="5"/>
        <v>43307</v>
      </c>
      <c r="H108" s="293" t="s">
        <v>914</v>
      </c>
      <c r="I108" s="845" t="s">
        <v>178</v>
      </c>
      <c r="J108" s="845" t="s">
        <v>169</v>
      </c>
      <c r="K108" s="849" t="s">
        <v>888</v>
      </c>
      <c r="L108" s="311">
        <v>23174</v>
      </c>
      <c r="M108" s="850"/>
      <c r="N108" s="845"/>
      <c r="O108" s="910">
        <v>41183.768750000003</v>
      </c>
      <c r="P108" s="852">
        <v>1</v>
      </c>
      <c r="Q108" s="907">
        <f t="shared" si="4"/>
        <v>41183.768750000003</v>
      </c>
      <c r="R108" s="886"/>
      <c r="S108" s="911"/>
      <c r="T108" s="911"/>
      <c r="U108" s="911"/>
      <c r="V108" s="911"/>
      <c r="W108" s="907">
        <f t="shared" si="6"/>
        <v>41183.768750000003</v>
      </c>
      <c r="X108" s="911"/>
      <c r="Y108" s="911"/>
    </row>
    <row r="109" spans="1:25" ht="47.25">
      <c r="A109" s="868">
        <v>41313</v>
      </c>
      <c r="B109" s="868" t="s">
        <v>952</v>
      </c>
      <c r="C109" s="909" t="s">
        <v>953</v>
      </c>
      <c r="D109" s="850"/>
      <c r="E109" s="860">
        <f>2</f>
        <v>2</v>
      </c>
      <c r="F109" s="848">
        <v>43306</v>
      </c>
      <c r="G109" s="848">
        <f t="shared" si="5"/>
        <v>43307</v>
      </c>
      <c r="H109" s="293" t="s">
        <v>914</v>
      </c>
      <c r="I109" s="845" t="s">
        <v>169</v>
      </c>
      <c r="J109" s="845" t="s">
        <v>178</v>
      </c>
      <c r="K109" s="849" t="s">
        <v>320</v>
      </c>
      <c r="L109" s="311">
        <v>23173</v>
      </c>
      <c r="M109" s="850"/>
      <c r="N109" s="845"/>
      <c r="O109" s="910">
        <v>11320.09375</v>
      </c>
      <c r="P109" s="852">
        <v>1</v>
      </c>
      <c r="Q109" s="907">
        <f t="shared" si="4"/>
        <v>11320.09375</v>
      </c>
      <c r="R109" s="912"/>
      <c r="S109" s="907"/>
      <c r="T109" s="907"/>
      <c r="U109" s="907"/>
      <c r="V109" s="907"/>
      <c r="W109" s="907">
        <f t="shared" si="6"/>
        <v>11320.09375</v>
      </c>
      <c r="X109" s="907"/>
      <c r="Y109" s="907"/>
    </row>
    <row r="110" spans="1:25" ht="47.25">
      <c r="A110" s="868">
        <v>41313</v>
      </c>
      <c r="B110" s="909" t="s">
        <v>952</v>
      </c>
      <c r="C110" s="909" t="s">
        <v>953</v>
      </c>
      <c r="D110" s="850"/>
      <c r="E110" s="860">
        <f>2</f>
        <v>2</v>
      </c>
      <c r="F110" s="848">
        <v>43306</v>
      </c>
      <c r="G110" s="848">
        <f t="shared" si="5"/>
        <v>43307</v>
      </c>
      <c r="H110" s="293" t="s">
        <v>914</v>
      </c>
      <c r="I110" s="845" t="s">
        <v>169</v>
      </c>
      <c r="J110" s="845" t="s">
        <v>178</v>
      </c>
      <c r="K110" s="849" t="s">
        <v>916</v>
      </c>
      <c r="L110" s="311">
        <v>23173</v>
      </c>
      <c r="M110" s="850"/>
      <c r="N110" s="845"/>
      <c r="O110" s="910">
        <v>46.875</v>
      </c>
      <c r="P110" s="852">
        <f>2*22</f>
        <v>44</v>
      </c>
      <c r="Q110" s="907">
        <f t="shared" si="4"/>
        <v>2062.5</v>
      </c>
      <c r="R110" s="912"/>
      <c r="S110" s="907"/>
      <c r="T110" s="907"/>
      <c r="U110" s="907"/>
      <c r="V110" s="907"/>
      <c r="W110" s="907">
        <f t="shared" si="6"/>
        <v>2062.5</v>
      </c>
      <c r="X110" s="907"/>
      <c r="Y110" s="907"/>
    </row>
    <row r="111" spans="1:25" ht="39.75" customHeight="1">
      <c r="A111" s="908">
        <v>41314</v>
      </c>
      <c r="B111" s="909" t="s">
        <v>954</v>
      </c>
      <c r="C111" s="909" t="s">
        <v>955</v>
      </c>
      <c r="D111" s="850"/>
      <c r="E111" s="860">
        <f>15</f>
        <v>15</v>
      </c>
      <c r="F111" s="848">
        <v>43241</v>
      </c>
      <c r="G111" s="848">
        <f t="shared" si="5"/>
        <v>43255</v>
      </c>
      <c r="H111" s="293" t="s">
        <v>914</v>
      </c>
      <c r="I111" s="845" t="s">
        <v>178</v>
      </c>
      <c r="J111" s="845" t="s">
        <v>169</v>
      </c>
      <c r="K111" s="849" t="s">
        <v>888</v>
      </c>
      <c r="L111" s="311">
        <v>23174</v>
      </c>
      <c r="M111" s="850"/>
      <c r="N111" s="845"/>
      <c r="O111" s="910">
        <v>141976</v>
      </c>
      <c r="P111" s="845">
        <v>1</v>
      </c>
      <c r="Q111" s="913">
        <f t="shared" si="4"/>
        <v>141976</v>
      </c>
      <c r="R111" s="914"/>
      <c r="S111" s="907"/>
      <c r="T111" s="907"/>
      <c r="U111" s="907">
        <f>Q111</f>
        <v>141976</v>
      </c>
      <c r="V111" s="907"/>
      <c r="W111" s="907"/>
      <c r="X111" s="907"/>
      <c r="Y111" s="907"/>
    </row>
    <row r="112" spans="1:25" s="901" customFormat="1">
      <c r="A112" s="915">
        <v>4132</v>
      </c>
      <c r="B112" s="916" t="s">
        <v>956</v>
      </c>
      <c r="C112" s="917"/>
      <c r="D112" s="917"/>
      <c r="E112" s="918"/>
      <c r="F112" s="919"/>
      <c r="G112" s="919"/>
      <c r="H112" s="920"/>
      <c r="I112" s="921"/>
      <c r="J112" s="922"/>
      <c r="K112" s="921"/>
      <c r="L112" s="922"/>
      <c r="M112" s="917"/>
      <c r="N112" s="921"/>
      <c r="O112" s="923"/>
      <c r="P112" s="922"/>
      <c r="Q112" s="924">
        <f>SUM(Q113:Q120)</f>
        <v>39942.428125000006</v>
      </c>
      <c r="R112" s="925"/>
      <c r="S112" s="926"/>
      <c r="T112" s="926"/>
      <c r="U112" s="926"/>
      <c r="V112" s="926"/>
      <c r="W112" s="926"/>
      <c r="X112" s="926"/>
      <c r="Y112" s="926"/>
    </row>
    <row r="113" spans="1:25" ht="54" customHeight="1">
      <c r="A113" s="927">
        <v>41321</v>
      </c>
      <c r="B113" s="927" t="s">
        <v>957</v>
      </c>
      <c r="C113" s="927" t="s">
        <v>958</v>
      </c>
      <c r="D113" s="850"/>
      <c r="E113" s="860">
        <f>4+30+4+4+4+2+5+4+6+4</f>
        <v>67</v>
      </c>
      <c r="F113" s="861">
        <v>43311</v>
      </c>
      <c r="G113" s="848">
        <f>E113+F113-1</f>
        <v>43377</v>
      </c>
      <c r="H113" s="293" t="s">
        <v>914</v>
      </c>
      <c r="I113" s="845" t="s">
        <v>178</v>
      </c>
      <c r="J113" s="845" t="s">
        <v>169</v>
      </c>
      <c r="K113" s="849" t="s">
        <v>888</v>
      </c>
      <c r="L113" s="311">
        <v>23174</v>
      </c>
      <c r="M113" s="850"/>
      <c r="N113" s="845"/>
      <c r="O113" s="913">
        <v>20498.981250000001</v>
      </c>
      <c r="P113" s="852">
        <v>1</v>
      </c>
      <c r="Q113" s="906">
        <f t="shared" ref="Q113:Q120" si="7">O113*P113</f>
        <v>20498.981250000001</v>
      </c>
      <c r="R113" s="928"/>
      <c r="S113" s="907"/>
      <c r="T113" s="907"/>
      <c r="U113" s="907"/>
      <c r="V113" s="907"/>
      <c r="W113" s="907">
        <f>0.08*Q113</f>
        <v>1639.9185</v>
      </c>
      <c r="X113" s="907">
        <f>0.19*Q113</f>
        <v>3894.8064375000004</v>
      </c>
      <c r="Y113" s="907">
        <f>(0.16+0.49+0.08)*Q113</f>
        <v>14964.2563125</v>
      </c>
    </row>
    <row r="114" spans="1:25" ht="45" customHeight="1">
      <c r="A114" s="927">
        <v>41321</v>
      </c>
      <c r="B114" s="927" t="s">
        <v>957</v>
      </c>
      <c r="C114" s="927" t="s">
        <v>958</v>
      </c>
      <c r="D114" s="850"/>
      <c r="E114" s="860">
        <f>4+30+4+4+4+2+5+4+6+4</f>
        <v>67</v>
      </c>
      <c r="F114" s="861">
        <v>43311</v>
      </c>
      <c r="G114" s="848">
        <f t="shared" ref="G114:G120" si="8">E114+F114-1</f>
        <v>43377</v>
      </c>
      <c r="H114" s="293" t="s">
        <v>914</v>
      </c>
      <c r="I114" s="929" t="s">
        <v>169</v>
      </c>
      <c r="J114" s="930" t="s">
        <v>178</v>
      </c>
      <c r="K114" s="849" t="s">
        <v>320</v>
      </c>
      <c r="L114" s="311">
        <v>23173</v>
      </c>
      <c r="M114" s="850"/>
      <c r="N114" s="845"/>
      <c r="O114" s="913">
        <v>5254.34375</v>
      </c>
      <c r="P114" s="852">
        <v>1</v>
      </c>
      <c r="Q114" s="906">
        <f t="shared" si="7"/>
        <v>5254.34375</v>
      </c>
      <c r="R114" s="928"/>
      <c r="S114" s="907"/>
      <c r="T114" s="907"/>
      <c r="U114" s="907"/>
      <c r="V114" s="907"/>
      <c r="W114" s="907">
        <f>0.08*Q114</f>
        <v>420.34750000000003</v>
      </c>
      <c r="X114" s="907">
        <f>0.19*Q114</f>
        <v>998.3253125</v>
      </c>
      <c r="Y114" s="907">
        <f>(0.16+0.49+0.08)*Q114</f>
        <v>3835.6709375</v>
      </c>
    </row>
    <row r="115" spans="1:25" ht="45" customHeight="1">
      <c r="A115" s="927">
        <v>41321</v>
      </c>
      <c r="B115" s="927" t="s">
        <v>957</v>
      </c>
      <c r="C115" s="927" t="s">
        <v>958</v>
      </c>
      <c r="D115" s="850"/>
      <c r="E115" s="860">
        <f>4+30+4+4+4+2+5+4+6+4</f>
        <v>67</v>
      </c>
      <c r="F115" s="861">
        <v>43311</v>
      </c>
      <c r="G115" s="848">
        <f t="shared" si="8"/>
        <v>43377</v>
      </c>
      <c r="H115" s="293" t="s">
        <v>914</v>
      </c>
      <c r="I115" s="929" t="s">
        <v>169</v>
      </c>
      <c r="J115" s="930" t="s">
        <v>178</v>
      </c>
      <c r="K115" s="849" t="s">
        <v>486</v>
      </c>
      <c r="L115" s="311">
        <v>23173</v>
      </c>
      <c r="M115" s="850"/>
      <c r="N115" s="845"/>
      <c r="O115" s="913">
        <v>31.25</v>
      </c>
      <c r="P115" s="852">
        <f>(4+4+5+4+5)</f>
        <v>22</v>
      </c>
      <c r="Q115" s="906">
        <f t="shared" si="7"/>
        <v>687.5</v>
      </c>
      <c r="R115" s="928"/>
      <c r="S115" s="907"/>
      <c r="T115" s="907"/>
      <c r="U115" s="907"/>
      <c r="V115" s="907"/>
      <c r="W115" s="907">
        <f>0.08*Q115</f>
        <v>55</v>
      </c>
      <c r="X115" s="907">
        <f>0.19*Q115</f>
        <v>130.625</v>
      </c>
      <c r="Y115" s="907">
        <f>(0.16+0.49+0.08)*Q115</f>
        <v>501.875</v>
      </c>
    </row>
    <row r="116" spans="1:25" ht="45" customHeight="1">
      <c r="A116" s="927">
        <v>41321</v>
      </c>
      <c r="B116" s="927" t="s">
        <v>957</v>
      </c>
      <c r="C116" s="927" t="s">
        <v>958</v>
      </c>
      <c r="D116" s="850"/>
      <c r="E116" s="860">
        <f>4+30+4+4+4+2+5+4+6+4</f>
        <v>67</v>
      </c>
      <c r="F116" s="861">
        <v>43311</v>
      </c>
      <c r="G116" s="848">
        <f t="shared" si="8"/>
        <v>43377</v>
      </c>
      <c r="H116" s="293" t="s">
        <v>914</v>
      </c>
      <c r="I116" s="929" t="s">
        <v>169</v>
      </c>
      <c r="J116" s="930" t="s">
        <v>178</v>
      </c>
      <c r="K116" s="874" t="s">
        <v>951</v>
      </c>
      <c r="L116" s="311">
        <v>23172</v>
      </c>
      <c r="M116" s="850"/>
      <c r="N116" s="845"/>
      <c r="O116" s="913">
        <v>312.5</v>
      </c>
      <c r="P116" s="852">
        <v>1</v>
      </c>
      <c r="Q116" s="906">
        <f t="shared" si="7"/>
        <v>312.5</v>
      </c>
      <c r="R116" s="928"/>
      <c r="S116" s="907"/>
      <c r="T116" s="907"/>
      <c r="U116" s="907"/>
      <c r="V116" s="907"/>
      <c r="W116" s="907">
        <f>0.08*Q116</f>
        <v>25</v>
      </c>
      <c r="X116" s="907">
        <f>0.19*Q116</f>
        <v>59.375</v>
      </c>
      <c r="Y116" s="907">
        <f>(0.16+0.49+0.08)*Q116</f>
        <v>228.125</v>
      </c>
    </row>
    <row r="117" spans="1:25" ht="45" customHeight="1">
      <c r="A117" s="908">
        <v>41322</v>
      </c>
      <c r="B117" s="927" t="s">
        <v>959</v>
      </c>
      <c r="C117" s="927" t="s">
        <v>960</v>
      </c>
      <c r="D117" s="850"/>
      <c r="E117" s="860">
        <f>5</f>
        <v>5</v>
      </c>
      <c r="F117" s="861">
        <v>43318</v>
      </c>
      <c r="G117" s="848">
        <f t="shared" si="8"/>
        <v>43322</v>
      </c>
      <c r="H117" s="293" t="s">
        <v>914</v>
      </c>
      <c r="I117" s="475" t="s">
        <v>178</v>
      </c>
      <c r="J117" s="853" t="s">
        <v>169</v>
      </c>
      <c r="K117" s="849" t="s">
        <v>888</v>
      </c>
      <c r="L117" s="311">
        <v>23174</v>
      </c>
      <c r="M117" s="850"/>
      <c r="N117" s="845"/>
      <c r="O117" s="913">
        <v>2368.7906250000001</v>
      </c>
      <c r="P117" s="852">
        <v>1</v>
      </c>
      <c r="Q117" s="906">
        <f t="shared" si="7"/>
        <v>2368.7906250000001</v>
      </c>
      <c r="R117" s="928"/>
      <c r="S117" s="907"/>
      <c r="T117" s="907"/>
      <c r="U117" s="907"/>
      <c r="V117" s="907"/>
      <c r="W117" s="907"/>
      <c r="X117" s="907">
        <f>Q117</f>
        <v>2368.7906250000001</v>
      </c>
      <c r="Y117" s="907"/>
    </row>
    <row r="118" spans="1:25" ht="45" customHeight="1">
      <c r="A118" s="908">
        <v>41322</v>
      </c>
      <c r="B118" s="927" t="s">
        <v>959</v>
      </c>
      <c r="C118" s="927" t="s">
        <v>960</v>
      </c>
      <c r="D118" s="850"/>
      <c r="E118" s="860">
        <f>5</f>
        <v>5</v>
      </c>
      <c r="F118" s="861">
        <v>43318</v>
      </c>
      <c r="G118" s="848">
        <f t="shared" si="8"/>
        <v>43322</v>
      </c>
      <c r="H118" s="293" t="s">
        <v>914</v>
      </c>
      <c r="I118" s="929" t="s">
        <v>169</v>
      </c>
      <c r="J118" s="930" t="s">
        <v>178</v>
      </c>
      <c r="K118" s="849" t="s">
        <v>320</v>
      </c>
      <c r="L118" s="311">
        <v>23173</v>
      </c>
      <c r="M118" s="850"/>
      <c r="N118" s="845"/>
      <c r="O118" s="913">
        <v>164.0625</v>
      </c>
      <c r="P118" s="852">
        <v>1</v>
      </c>
      <c r="Q118" s="906">
        <f t="shared" si="7"/>
        <v>164.0625</v>
      </c>
      <c r="R118" s="928"/>
      <c r="S118" s="907"/>
      <c r="T118" s="907"/>
      <c r="U118" s="907"/>
      <c r="V118" s="907"/>
      <c r="W118" s="907"/>
      <c r="X118" s="907">
        <f>Q118</f>
        <v>164.0625</v>
      </c>
      <c r="Y118" s="907"/>
    </row>
    <row r="119" spans="1:25" ht="45" customHeight="1">
      <c r="A119" s="908">
        <v>41322</v>
      </c>
      <c r="B119" s="927" t="s">
        <v>959</v>
      </c>
      <c r="C119" s="927" t="s">
        <v>960</v>
      </c>
      <c r="D119" s="850"/>
      <c r="E119" s="860">
        <f>5</f>
        <v>5</v>
      </c>
      <c r="F119" s="861">
        <v>43318</v>
      </c>
      <c r="G119" s="848">
        <f t="shared" si="8"/>
        <v>43322</v>
      </c>
      <c r="H119" s="293" t="s">
        <v>914</v>
      </c>
      <c r="I119" s="929" t="s">
        <v>169</v>
      </c>
      <c r="J119" s="930" t="s">
        <v>178</v>
      </c>
      <c r="K119" s="849" t="s">
        <v>486</v>
      </c>
      <c r="L119" s="311">
        <v>23173</v>
      </c>
      <c r="M119" s="850"/>
      <c r="N119" s="845"/>
      <c r="O119" s="913">
        <v>31.25</v>
      </c>
      <c r="P119" s="852">
        <v>5</v>
      </c>
      <c r="Q119" s="906">
        <f t="shared" si="7"/>
        <v>156.25</v>
      </c>
      <c r="R119" s="928"/>
      <c r="S119" s="907"/>
      <c r="T119" s="907"/>
      <c r="U119" s="907"/>
      <c r="V119" s="907"/>
      <c r="W119" s="907"/>
      <c r="X119" s="907">
        <f>Q119</f>
        <v>156.25</v>
      </c>
      <c r="Y119" s="907"/>
    </row>
    <row r="120" spans="1:25" ht="55.5" customHeight="1">
      <c r="A120" s="908">
        <v>41323</v>
      </c>
      <c r="B120" s="908" t="s">
        <v>961</v>
      </c>
      <c r="C120" s="931" t="s">
        <v>962</v>
      </c>
      <c r="D120" s="850"/>
      <c r="E120" s="860">
        <f>10</f>
        <v>10</v>
      </c>
      <c r="F120" s="848">
        <v>43360</v>
      </c>
      <c r="G120" s="848">
        <f t="shared" si="8"/>
        <v>43369</v>
      </c>
      <c r="H120" s="293" t="s">
        <v>914</v>
      </c>
      <c r="I120" s="929" t="s">
        <v>169</v>
      </c>
      <c r="J120" s="930" t="s">
        <v>178</v>
      </c>
      <c r="K120" s="874" t="s">
        <v>963</v>
      </c>
      <c r="L120" s="311">
        <v>2313</v>
      </c>
      <c r="M120" s="850"/>
      <c r="N120" s="845"/>
      <c r="O120" s="913">
        <v>750</v>
      </c>
      <c r="P120" s="852">
        <v>14</v>
      </c>
      <c r="Q120" s="906">
        <f t="shared" si="7"/>
        <v>10500</v>
      </c>
      <c r="R120" s="914"/>
      <c r="S120" s="907"/>
      <c r="T120" s="907"/>
      <c r="U120" s="907"/>
      <c r="V120" s="907"/>
      <c r="W120" s="907"/>
      <c r="X120" s="907"/>
      <c r="Y120" s="907">
        <f>Q120</f>
        <v>10500</v>
      </c>
    </row>
    <row r="121" spans="1:25">
      <c r="A121" s="902"/>
      <c r="B121" s="824"/>
      <c r="C121" s="850"/>
      <c r="D121" s="850"/>
      <c r="E121" s="932"/>
      <c r="F121" s="848"/>
      <c r="G121" s="848"/>
      <c r="H121" s="933"/>
      <c r="I121" s="845"/>
      <c r="J121" s="852"/>
      <c r="K121" s="845"/>
      <c r="L121" s="852"/>
      <c r="M121" s="850"/>
      <c r="N121" s="845"/>
      <c r="O121" s="934"/>
      <c r="P121" s="852"/>
      <c r="Q121" s="935">
        <f>Q97+Q91+Q76</f>
        <v>356290.50312499999</v>
      </c>
      <c r="R121" s="936">
        <f>SUM(R91:R120)</f>
        <v>0</v>
      </c>
      <c r="S121" s="907"/>
      <c r="T121" s="907"/>
      <c r="U121" s="907"/>
      <c r="V121" s="907"/>
      <c r="W121" s="907"/>
      <c r="X121" s="907"/>
      <c r="Y121" s="907"/>
    </row>
    <row r="122" spans="1:25" ht="15.75" hidden="1" customHeight="1">
      <c r="A122" s="3457" t="s">
        <v>277</v>
      </c>
      <c r="B122" s="3457"/>
      <c r="C122" s="3457"/>
      <c r="D122" s="3457"/>
      <c r="E122" s="3457"/>
      <c r="F122" s="3457"/>
      <c r="G122" s="3457"/>
      <c r="H122" s="3457"/>
      <c r="I122" s="3457"/>
      <c r="J122" s="273"/>
      <c r="K122" s="273"/>
      <c r="L122" s="273"/>
      <c r="M122" s="274"/>
      <c r="N122" s="273"/>
      <c r="O122" s="275"/>
      <c r="P122" s="273"/>
      <c r="Q122" s="273"/>
      <c r="R122" s="277">
        <f>+'[12]Compil Costing PPA 3 millions'!F16+'[12]Compil Costing PPA 3 millions'!F18+'[12]Compil Costing PPA 3 millions'!F19</f>
        <v>1137594.3333333335</v>
      </c>
      <c r="S122" s="278"/>
      <c r="T122" s="278"/>
      <c r="U122" s="278"/>
      <c r="V122" s="274"/>
      <c r="W122" s="274"/>
      <c r="X122" s="274"/>
      <c r="Y122" s="274"/>
    </row>
    <row r="123" spans="1:25" ht="16.5" hidden="1" customHeight="1">
      <c r="A123" s="281">
        <v>421</v>
      </c>
      <c r="B123" s="3456"/>
      <c r="C123" s="3456"/>
      <c r="D123" s="3456"/>
      <c r="E123" s="3456"/>
      <c r="F123" s="3456"/>
      <c r="G123" s="3456"/>
      <c r="H123" s="3456"/>
      <c r="I123" s="3456"/>
      <c r="J123" s="282"/>
      <c r="K123" s="283"/>
      <c r="L123" s="282"/>
      <c r="M123" s="284"/>
      <c r="N123" s="283"/>
      <c r="O123" s="285"/>
      <c r="P123" s="282"/>
      <c r="Q123" s="282"/>
      <c r="R123" s="287"/>
      <c r="S123" s="288"/>
      <c r="T123" s="288"/>
      <c r="U123" s="288"/>
      <c r="V123" s="288"/>
      <c r="W123" s="288"/>
      <c r="X123" s="288"/>
      <c r="Y123" s="288"/>
    </row>
    <row r="124" spans="1:25" hidden="1">
      <c r="A124" s="290">
        <v>4211</v>
      </c>
      <c r="B124" s="291"/>
      <c r="C124" s="291"/>
      <c r="D124" s="291"/>
      <c r="E124" s="292"/>
      <c r="F124" s="306"/>
      <c r="G124" s="293"/>
      <c r="H124" s="293"/>
      <c r="I124" s="294"/>
      <c r="J124" s="295"/>
      <c r="K124" s="294"/>
      <c r="L124" s="295"/>
      <c r="M124" s="296"/>
      <c r="N124" s="294"/>
      <c r="O124" s="297"/>
      <c r="P124" s="295"/>
      <c r="Q124" s="295"/>
      <c r="R124" s="299"/>
      <c r="S124" s="298"/>
      <c r="T124" s="298"/>
      <c r="U124" s="298"/>
      <c r="V124" s="298"/>
      <c r="W124" s="298"/>
      <c r="X124" s="298"/>
      <c r="Y124" s="298"/>
    </row>
    <row r="125" spans="1:25" hidden="1">
      <c r="A125" s="290">
        <v>4212</v>
      </c>
      <c r="B125" s="291"/>
      <c r="C125" s="291"/>
      <c r="D125" s="291"/>
      <c r="E125" s="292"/>
      <c r="F125" s="306"/>
      <c r="G125" s="293"/>
      <c r="H125" s="293"/>
      <c r="I125" s="294"/>
      <c r="J125" s="295"/>
      <c r="K125" s="294"/>
      <c r="L125" s="295"/>
      <c r="M125" s="296"/>
      <c r="N125" s="294"/>
      <c r="O125" s="297"/>
      <c r="P125" s="295"/>
      <c r="Q125" s="295"/>
      <c r="R125" s="299"/>
      <c r="S125" s="298"/>
      <c r="T125" s="298"/>
      <c r="U125" s="298"/>
      <c r="V125" s="298"/>
      <c r="W125" s="298"/>
      <c r="X125" s="298"/>
      <c r="Y125" s="298"/>
    </row>
    <row r="126" spans="1:25" hidden="1">
      <c r="A126" s="290">
        <v>4213</v>
      </c>
      <c r="B126" s="291"/>
      <c r="C126" s="291"/>
      <c r="D126" s="291"/>
      <c r="E126" s="292"/>
      <c r="F126" s="306"/>
      <c r="G126" s="293"/>
      <c r="H126" s="293"/>
      <c r="I126" s="294"/>
      <c r="J126" s="295"/>
      <c r="K126" s="294"/>
      <c r="L126" s="295"/>
      <c r="M126" s="296"/>
      <c r="N126" s="294"/>
      <c r="O126" s="297"/>
      <c r="P126" s="295"/>
      <c r="Q126" s="295"/>
      <c r="R126" s="299"/>
      <c r="S126" s="298"/>
      <c r="T126" s="298"/>
      <c r="U126" s="298"/>
      <c r="V126" s="298"/>
      <c r="W126" s="298"/>
      <c r="X126" s="298"/>
      <c r="Y126" s="298"/>
    </row>
    <row r="127" spans="1:25" ht="16.5" hidden="1" customHeight="1">
      <c r="A127" s="281">
        <v>422</v>
      </c>
      <c r="B127" s="3456"/>
      <c r="C127" s="3456"/>
      <c r="D127" s="3456"/>
      <c r="E127" s="3456"/>
      <c r="F127" s="3456"/>
      <c r="G127" s="3456"/>
      <c r="H127" s="3456"/>
      <c r="I127" s="3456"/>
      <c r="J127" s="282"/>
      <c r="K127" s="283"/>
      <c r="L127" s="282"/>
      <c r="M127" s="284"/>
      <c r="N127" s="283"/>
      <c r="O127" s="285"/>
      <c r="P127" s="282"/>
      <c r="Q127" s="282"/>
      <c r="R127" s="287"/>
      <c r="S127" s="288"/>
      <c r="T127" s="288"/>
      <c r="U127" s="288"/>
      <c r="V127" s="288"/>
      <c r="W127" s="288"/>
      <c r="X127" s="288"/>
      <c r="Y127" s="288"/>
    </row>
    <row r="128" spans="1:25" hidden="1">
      <c r="A128" s="290">
        <v>4221</v>
      </c>
      <c r="B128" s="291"/>
      <c r="C128" s="291"/>
      <c r="D128" s="291"/>
      <c r="E128" s="292"/>
      <c r="F128" s="306"/>
      <c r="G128" s="293"/>
      <c r="H128" s="293"/>
      <c r="I128" s="294"/>
      <c r="J128" s="295"/>
      <c r="K128" s="294"/>
      <c r="L128" s="295"/>
      <c r="M128" s="296"/>
      <c r="N128" s="294"/>
      <c r="O128" s="297"/>
      <c r="P128" s="295"/>
      <c r="Q128" s="295"/>
      <c r="R128" s="299"/>
      <c r="S128" s="298"/>
      <c r="T128" s="298"/>
      <c r="U128" s="298"/>
      <c r="V128" s="298"/>
      <c r="W128" s="298"/>
      <c r="X128" s="298"/>
      <c r="Y128" s="298"/>
    </row>
    <row r="129" spans="1:25" hidden="1">
      <c r="A129" s="290">
        <v>4222</v>
      </c>
      <c r="B129" s="291"/>
      <c r="C129" s="291"/>
      <c r="D129" s="291"/>
      <c r="E129" s="292"/>
      <c r="F129" s="306"/>
      <c r="G129" s="293"/>
      <c r="H129" s="293"/>
      <c r="I129" s="294"/>
      <c r="J129" s="295"/>
      <c r="K129" s="294"/>
      <c r="L129" s="295"/>
      <c r="M129" s="296"/>
      <c r="N129" s="294"/>
      <c r="O129" s="297"/>
      <c r="P129" s="295"/>
      <c r="Q129" s="295"/>
      <c r="R129" s="299"/>
      <c r="S129" s="298"/>
      <c r="T129" s="298"/>
      <c r="U129" s="298"/>
      <c r="V129" s="298"/>
      <c r="W129" s="298"/>
      <c r="X129" s="298"/>
      <c r="Y129" s="298"/>
    </row>
    <row r="130" spans="1:25" hidden="1">
      <c r="A130" s="301" t="s">
        <v>233</v>
      </c>
      <c r="B130" s="291"/>
      <c r="C130" s="291"/>
      <c r="D130" s="291"/>
      <c r="E130" s="292"/>
      <c r="F130" s="306"/>
      <c r="G130" s="293"/>
      <c r="H130" s="293"/>
      <c r="I130" s="294"/>
      <c r="J130" s="295"/>
      <c r="K130" s="294"/>
      <c r="L130" s="295"/>
      <c r="M130" s="296"/>
      <c r="N130" s="294"/>
      <c r="O130" s="297"/>
      <c r="P130" s="295"/>
      <c r="Q130" s="295"/>
      <c r="R130" s="299"/>
      <c r="S130" s="298"/>
      <c r="T130" s="298"/>
      <c r="U130" s="298"/>
      <c r="V130" s="298"/>
      <c r="W130" s="298"/>
      <c r="X130" s="298"/>
      <c r="Y130" s="298"/>
    </row>
    <row r="131" spans="1:25" ht="15.75" hidden="1" customHeight="1">
      <c r="A131" s="3457" t="s">
        <v>278</v>
      </c>
      <c r="B131" s="3457"/>
      <c r="C131" s="3457"/>
      <c r="D131" s="3457"/>
      <c r="E131" s="3457"/>
      <c r="F131" s="3457"/>
      <c r="G131" s="3457"/>
      <c r="H131" s="3457"/>
      <c r="I131" s="3457"/>
      <c r="J131" s="273"/>
      <c r="K131" s="273"/>
      <c r="L131" s="273"/>
      <c r="M131" s="274"/>
      <c r="N131" s="273"/>
      <c r="O131" s="275"/>
      <c r="P131" s="273"/>
      <c r="Q131" s="273"/>
      <c r="R131" s="277">
        <f>+'[12]Compil Costing PPA 3 millions'!F17</f>
        <v>108845.33</v>
      </c>
      <c r="S131" s="278"/>
      <c r="T131" s="278"/>
      <c r="U131" s="278"/>
      <c r="V131" s="274"/>
      <c r="W131" s="274"/>
      <c r="X131" s="274"/>
      <c r="Y131" s="274"/>
    </row>
    <row r="132" spans="1:25" ht="16.5" hidden="1" customHeight="1">
      <c r="A132" s="281">
        <v>431</v>
      </c>
      <c r="B132" s="3456"/>
      <c r="C132" s="3456"/>
      <c r="D132" s="3456"/>
      <c r="E132" s="3456"/>
      <c r="F132" s="3456"/>
      <c r="G132" s="3456"/>
      <c r="H132" s="3456"/>
      <c r="I132" s="3456"/>
      <c r="J132" s="282"/>
      <c r="K132" s="283"/>
      <c r="L132" s="282"/>
      <c r="M132" s="284"/>
      <c r="N132" s="283"/>
      <c r="O132" s="285"/>
      <c r="P132" s="282"/>
      <c r="Q132" s="282"/>
      <c r="R132" s="287"/>
      <c r="S132" s="288"/>
      <c r="T132" s="288"/>
      <c r="U132" s="288"/>
      <c r="V132" s="288"/>
      <c r="W132" s="288"/>
      <c r="X132" s="288"/>
      <c r="Y132" s="288"/>
    </row>
    <row r="133" spans="1:25" hidden="1">
      <c r="A133" s="290">
        <v>4311</v>
      </c>
      <c r="B133" s="291"/>
      <c r="C133" s="291"/>
      <c r="D133" s="291"/>
      <c r="E133" s="292"/>
      <c r="F133" s="306"/>
      <c r="G133" s="293"/>
      <c r="H133" s="293"/>
      <c r="I133" s="294"/>
      <c r="J133" s="295"/>
      <c r="K133" s="294"/>
      <c r="L133" s="295"/>
      <c r="M133" s="296"/>
      <c r="N133" s="294"/>
      <c r="O133" s="297"/>
      <c r="P133" s="295"/>
      <c r="Q133" s="295"/>
      <c r="R133" s="299"/>
      <c r="S133" s="298"/>
      <c r="T133" s="298"/>
      <c r="U133" s="298"/>
      <c r="V133" s="298"/>
      <c r="W133" s="298"/>
      <c r="X133" s="298"/>
      <c r="Y133" s="298"/>
    </row>
    <row r="134" spans="1:25" hidden="1">
      <c r="A134" s="290">
        <v>4312</v>
      </c>
      <c r="B134" s="291"/>
      <c r="C134" s="291"/>
      <c r="D134" s="291"/>
      <c r="E134" s="292"/>
      <c r="F134" s="306"/>
      <c r="G134" s="293"/>
      <c r="H134" s="293"/>
      <c r="I134" s="294"/>
      <c r="J134" s="295"/>
      <c r="K134" s="294"/>
      <c r="L134" s="295"/>
      <c r="M134" s="296"/>
      <c r="N134" s="294"/>
      <c r="O134" s="297"/>
      <c r="P134" s="295"/>
      <c r="Q134" s="295"/>
      <c r="R134" s="299"/>
      <c r="S134" s="298"/>
      <c r="T134" s="298"/>
      <c r="U134" s="298"/>
      <c r="V134" s="298"/>
      <c r="W134" s="298"/>
      <c r="X134" s="298"/>
      <c r="Y134" s="298"/>
    </row>
    <row r="135" spans="1:25" hidden="1">
      <c r="A135" s="290">
        <v>4313</v>
      </c>
      <c r="B135" s="291"/>
      <c r="C135" s="291"/>
      <c r="D135" s="291"/>
      <c r="E135" s="292"/>
      <c r="F135" s="306"/>
      <c r="G135" s="293"/>
      <c r="H135" s="293"/>
      <c r="I135" s="294"/>
      <c r="J135" s="295"/>
      <c r="K135" s="294"/>
      <c r="L135" s="295"/>
      <c r="M135" s="296"/>
      <c r="N135" s="294"/>
      <c r="O135" s="297"/>
      <c r="P135" s="295"/>
      <c r="Q135" s="295"/>
      <c r="R135" s="299"/>
      <c r="S135" s="298"/>
      <c r="T135" s="298"/>
      <c r="U135" s="298"/>
      <c r="V135" s="298"/>
      <c r="W135" s="298"/>
      <c r="X135" s="298"/>
      <c r="Y135" s="298"/>
    </row>
    <row r="136" spans="1:25" ht="16.5" hidden="1" customHeight="1">
      <c r="A136" s="281">
        <v>432</v>
      </c>
      <c r="B136" s="3456"/>
      <c r="C136" s="3456"/>
      <c r="D136" s="3456"/>
      <c r="E136" s="3456"/>
      <c r="F136" s="3456"/>
      <c r="G136" s="3456"/>
      <c r="H136" s="3456"/>
      <c r="I136" s="3456"/>
      <c r="J136" s="282"/>
      <c r="K136" s="283"/>
      <c r="L136" s="282"/>
      <c r="M136" s="284"/>
      <c r="N136" s="283"/>
      <c r="O136" s="285"/>
      <c r="P136" s="282"/>
      <c r="Q136" s="282"/>
      <c r="R136" s="287"/>
      <c r="S136" s="288"/>
      <c r="T136" s="288"/>
      <c r="U136" s="288"/>
      <c r="V136" s="288"/>
      <c r="W136" s="288"/>
      <c r="X136" s="288"/>
      <c r="Y136" s="288"/>
    </row>
    <row r="137" spans="1:25" hidden="1">
      <c r="A137" s="290">
        <v>4321</v>
      </c>
      <c r="B137" s="291"/>
      <c r="C137" s="291"/>
      <c r="D137" s="291"/>
      <c r="E137" s="292"/>
      <c r="F137" s="306"/>
      <c r="G137" s="293"/>
      <c r="H137" s="293"/>
      <c r="I137" s="294"/>
      <c r="J137" s="295"/>
      <c r="K137" s="294"/>
      <c r="L137" s="295"/>
      <c r="M137" s="296"/>
      <c r="N137" s="294"/>
      <c r="O137" s="297"/>
      <c r="P137" s="295"/>
      <c r="Q137" s="295"/>
      <c r="R137" s="299"/>
      <c r="S137" s="298"/>
      <c r="T137" s="298"/>
      <c r="U137" s="298"/>
      <c r="V137" s="298"/>
      <c r="W137" s="298"/>
      <c r="X137" s="298"/>
      <c r="Y137" s="298"/>
    </row>
    <row r="138" spans="1:25" hidden="1">
      <c r="A138" s="290">
        <v>4322</v>
      </c>
      <c r="B138" s="291"/>
      <c r="C138" s="291"/>
      <c r="D138" s="291"/>
      <c r="E138" s="292"/>
      <c r="F138" s="306"/>
      <c r="G138" s="293"/>
      <c r="H138" s="293"/>
      <c r="I138" s="294"/>
      <c r="J138" s="295"/>
      <c r="K138" s="294"/>
      <c r="L138" s="295"/>
      <c r="M138" s="296"/>
      <c r="N138" s="294"/>
      <c r="O138" s="297"/>
      <c r="P138" s="295"/>
      <c r="Q138" s="295"/>
      <c r="R138" s="299"/>
      <c r="S138" s="298"/>
      <c r="T138" s="298"/>
      <c r="U138" s="298"/>
      <c r="V138" s="298"/>
      <c r="W138" s="298"/>
      <c r="X138" s="298"/>
      <c r="Y138" s="298"/>
    </row>
    <row r="139" spans="1:25" hidden="1">
      <c r="A139" s="301" t="s">
        <v>233</v>
      </c>
      <c r="B139" s="291"/>
      <c r="C139" s="291"/>
      <c r="D139" s="291"/>
      <c r="E139" s="292"/>
      <c r="F139" s="306"/>
      <c r="G139" s="293"/>
      <c r="H139" s="293"/>
      <c r="I139" s="294"/>
      <c r="J139" s="295"/>
      <c r="K139" s="294"/>
      <c r="L139" s="295"/>
      <c r="M139" s="296"/>
      <c r="N139" s="294"/>
      <c r="O139" s="297"/>
      <c r="P139" s="295"/>
      <c r="Q139" s="295"/>
      <c r="R139" s="299"/>
      <c r="S139" s="298"/>
      <c r="T139" s="298"/>
      <c r="U139" s="298"/>
      <c r="V139" s="298"/>
      <c r="W139" s="298"/>
      <c r="X139" s="298"/>
      <c r="Y139" s="298"/>
    </row>
    <row r="140" spans="1:25" s="272" customFormat="1" ht="33.75" hidden="1" customHeight="1">
      <c r="A140" s="3458" t="s">
        <v>279</v>
      </c>
      <c r="B140" s="3458"/>
      <c r="C140" s="3458"/>
      <c r="D140" s="3458"/>
      <c r="E140" s="3458"/>
      <c r="F140" s="3458"/>
      <c r="G140" s="3458"/>
      <c r="H140" s="3458"/>
      <c r="I140" s="3458"/>
      <c r="J140" s="265"/>
      <c r="K140" s="265"/>
      <c r="L140" s="265"/>
      <c r="M140" s="266"/>
      <c r="N140" s="265"/>
      <c r="O140" s="267"/>
      <c r="P140" s="265"/>
      <c r="Q140" s="265"/>
      <c r="R140" s="269"/>
      <c r="S140" s="270"/>
      <c r="T140" s="270"/>
      <c r="U140" s="270"/>
      <c r="V140" s="270"/>
      <c r="W140" s="270"/>
      <c r="X140" s="270"/>
      <c r="Y140" s="270"/>
    </row>
    <row r="141" spans="1:25" ht="30" hidden="1" customHeight="1">
      <c r="A141" s="3457" t="s">
        <v>280</v>
      </c>
      <c r="B141" s="3457"/>
      <c r="C141" s="3457"/>
      <c r="D141" s="3457"/>
      <c r="E141" s="3457"/>
      <c r="F141" s="3457"/>
      <c r="G141" s="3457"/>
      <c r="H141" s="3457"/>
      <c r="I141" s="3457"/>
      <c r="J141" s="273"/>
      <c r="K141" s="273"/>
      <c r="L141" s="273"/>
      <c r="M141" s="274"/>
      <c r="N141" s="273"/>
      <c r="O141" s="275"/>
      <c r="P141" s="273"/>
      <c r="Q141" s="273"/>
      <c r="R141" s="277"/>
      <c r="S141" s="278"/>
      <c r="T141" s="278"/>
      <c r="U141" s="278"/>
      <c r="V141" s="274"/>
      <c r="W141" s="274"/>
      <c r="X141" s="274"/>
      <c r="Y141" s="274"/>
    </row>
    <row r="142" spans="1:25" ht="16.5" hidden="1" customHeight="1">
      <c r="A142" s="281">
        <v>511</v>
      </c>
      <c r="B142" s="3456"/>
      <c r="C142" s="3456"/>
      <c r="D142" s="3456"/>
      <c r="E142" s="3456"/>
      <c r="F142" s="3456"/>
      <c r="G142" s="3456"/>
      <c r="H142" s="3456"/>
      <c r="I142" s="3456"/>
      <c r="J142" s="282"/>
      <c r="K142" s="283"/>
      <c r="L142" s="282"/>
      <c r="M142" s="284"/>
      <c r="N142" s="283"/>
      <c r="O142" s="285"/>
      <c r="P142" s="282"/>
      <c r="Q142" s="282"/>
      <c r="R142" s="287"/>
      <c r="S142" s="288"/>
      <c r="T142" s="288"/>
      <c r="U142" s="288"/>
      <c r="V142" s="288"/>
      <c r="W142" s="288"/>
      <c r="X142" s="288"/>
      <c r="Y142" s="288"/>
    </row>
    <row r="143" spans="1:25" hidden="1">
      <c r="A143" s="332" t="s">
        <v>233</v>
      </c>
      <c r="B143" s="291"/>
      <c r="C143" s="291"/>
      <c r="D143" s="291"/>
      <c r="E143" s="292"/>
      <c r="F143" s="306"/>
      <c r="G143" s="293"/>
      <c r="H143" s="293"/>
      <c r="I143" s="294"/>
      <c r="J143" s="295"/>
      <c r="K143" s="294"/>
      <c r="L143" s="295"/>
      <c r="M143" s="296"/>
      <c r="N143" s="294"/>
      <c r="O143" s="297"/>
      <c r="P143" s="295"/>
      <c r="Q143" s="295"/>
      <c r="R143" s="299"/>
      <c r="S143" s="298"/>
      <c r="T143" s="298"/>
      <c r="U143" s="298"/>
      <c r="V143" s="298"/>
      <c r="W143" s="298"/>
      <c r="X143" s="298"/>
      <c r="Y143" s="298"/>
    </row>
    <row r="144" spans="1:25" s="272" customFormat="1" ht="33.75" hidden="1" customHeight="1">
      <c r="A144" s="3505" t="s">
        <v>281</v>
      </c>
      <c r="B144" s="3505"/>
      <c r="C144" s="3505"/>
      <c r="D144" s="3505"/>
      <c r="E144" s="3505"/>
      <c r="F144" s="3505"/>
      <c r="G144" s="3505"/>
      <c r="H144" s="3505"/>
      <c r="I144" s="3506"/>
      <c r="J144" s="333"/>
      <c r="K144" s="333"/>
      <c r="L144" s="333"/>
      <c r="M144" s="333"/>
      <c r="N144" s="333"/>
      <c r="O144" s="334"/>
      <c r="P144" s="333"/>
      <c r="Q144" s="333"/>
      <c r="R144" s="335">
        <f>+R145+R154+R163</f>
        <v>129747.66</v>
      </c>
      <c r="S144" s="270"/>
      <c r="T144" s="270"/>
      <c r="U144" s="270"/>
      <c r="V144" s="270"/>
      <c r="W144" s="270"/>
      <c r="X144" s="270"/>
      <c r="Y144" s="270"/>
    </row>
    <row r="145" spans="1:25" ht="33" hidden="1" customHeight="1">
      <c r="A145" s="3457" t="s">
        <v>282</v>
      </c>
      <c r="B145" s="3457"/>
      <c r="C145" s="3457"/>
      <c r="D145" s="3457"/>
      <c r="E145" s="3457"/>
      <c r="F145" s="3457"/>
      <c r="G145" s="3457"/>
      <c r="H145" s="3457"/>
      <c r="I145" s="3457"/>
      <c r="J145" s="273"/>
      <c r="K145" s="273"/>
      <c r="L145" s="273"/>
      <c r="M145" s="274"/>
      <c r="N145" s="273"/>
      <c r="O145" s="275"/>
      <c r="P145" s="273"/>
      <c r="Q145" s="273"/>
      <c r="R145" s="277"/>
      <c r="S145" s="278"/>
      <c r="T145" s="278"/>
      <c r="U145" s="278"/>
      <c r="V145" s="274"/>
      <c r="W145" s="274"/>
      <c r="X145" s="274"/>
      <c r="Y145" s="274"/>
    </row>
    <row r="146" spans="1:25" ht="16.5" hidden="1" customHeight="1">
      <c r="A146" s="281">
        <v>611</v>
      </c>
      <c r="B146" s="3456"/>
      <c r="C146" s="3456"/>
      <c r="D146" s="3456"/>
      <c r="E146" s="3456"/>
      <c r="F146" s="3456"/>
      <c r="G146" s="3456"/>
      <c r="H146" s="3456"/>
      <c r="I146" s="3456"/>
      <c r="J146" s="282"/>
      <c r="K146" s="283"/>
      <c r="L146" s="282"/>
      <c r="M146" s="284"/>
      <c r="N146" s="283"/>
      <c r="O146" s="285"/>
      <c r="P146" s="282"/>
      <c r="Q146" s="282"/>
      <c r="R146" s="287"/>
      <c r="S146" s="288"/>
      <c r="T146" s="288"/>
      <c r="U146" s="288"/>
      <c r="V146" s="288"/>
      <c r="W146" s="288"/>
      <c r="X146" s="288"/>
      <c r="Y146" s="288"/>
    </row>
    <row r="147" spans="1:25" hidden="1">
      <c r="A147" s="290">
        <v>6111</v>
      </c>
      <c r="B147" s="291"/>
      <c r="C147" s="291"/>
      <c r="D147" s="291"/>
      <c r="E147" s="292"/>
      <c r="F147" s="306"/>
      <c r="G147" s="293"/>
      <c r="H147" s="293"/>
      <c r="I147" s="294"/>
      <c r="J147" s="295"/>
      <c r="K147" s="294"/>
      <c r="L147" s="295"/>
      <c r="M147" s="296"/>
      <c r="N147" s="294"/>
      <c r="O147" s="297"/>
      <c r="P147" s="295"/>
      <c r="Q147" s="295"/>
      <c r="R147" s="299"/>
      <c r="S147" s="298"/>
      <c r="T147" s="298"/>
      <c r="U147" s="298"/>
      <c r="V147" s="298"/>
      <c r="W147" s="298"/>
      <c r="X147" s="298"/>
      <c r="Y147" s="298"/>
    </row>
    <row r="148" spans="1:25" hidden="1">
      <c r="A148" s="290">
        <v>6112</v>
      </c>
      <c r="B148" s="291"/>
      <c r="C148" s="291"/>
      <c r="D148" s="291"/>
      <c r="E148" s="292"/>
      <c r="F148" s="306"/>
      <c r="G148" s="293"/>
      <c r="H148" s="293"/>
      <c r="I148" s="294"/>
      <c r="J148" s="295"/>
      <c r="K148" s="294"/>
      <c r="L148" s="295"/>
      <c r="M148" s="296"/>
      <c r="N148" s="294"/>
      <c r="O148" s="297"/>
      <c r="P148" s="295"/>
      <c r="Q148" s="295"/>
      <c r="R148" s="299"/>
      <c r="S148" s="298"/>
      <c r="T148" s="298"/>
      <c r="U148" s="298"/>
      <c r="V148" s="298"/>
      <c r="W148" s="298"/>
      <c r="X148" s="298"/>
      <c r="Y148" s="298"/>
    </row>
    <row r="149" spans="1:25" hidden="1">
      <c r="A149" s="290">
        <v>6113</v>
      </c>
      <c r="B149" s="291"/>
      <c r="C149" s="291"/>
      <c r="D149" s="291"/>
      <c r="E149" s="292"/>
      <c r="F149" s="306"/>
      <c r="G149" s="293"/>
      <c r="H149" s="293"/>
      <c r="I149" s="294"/>
      <c r="J149" s="295"/>
      <c r="K149" s="294"/>
      <c r="L149" s="295"/>
      <c r="M149" s="296"/>
      <c r="N149" s="294"/>
      <c r="O149" s="297"/>
      <c r="P149" s="295"/>
      <c r="Q149" s="295"/>
      <c r="R149" s="299"/>
      <c r="S149" s="298"/>
      <c r="T149" s="298"/>
      <c r="U149" s="298"/>
      <c r="V149" s="298"/>
      <c r="W149" s="298"/>
      <c r="X149" s="298"/>
      <c r="Y149" s="298"/>
    </row>
    <row r="150" spans="1:25" ht="16.5" hidden="1" customHeight="1">
      <c r="A150" s="281">
        <v>612</v>
      </c>
      <c r="B150" s="3456"/>
      <c r="C150" s="3456"/>
      <c r="D150" s="3456"/>
      <c r="E150" s="3456"/>
      <c r="F150" s="3456"/>
      <c r="G150" s="3456"/>
      <c r="H150" s="3456"/>
      <c r="I150" s="3456"/>
      <c r="J150" s="282"/>
      <c r="K150" s="283"/>
      <c r="L150" s="282"/>
      <c r="M150" s="284"/>
      <c r="N150" s="283"/>
      <c r="O150" s="285"/>
      <c r="P150" s="282"/>
      <c r="Q150" s="282"/>
      <c r="R150" s="287"/>
      <c r="S150" s="288"/>
      <c r="T150" s="288"/>
      <c r="U150" s="288"/>
      <c r="V150" s="288"/>
      <c r="W150" s="288"/>
      <c r="X150" s="288"/>
      <c r="Y150" s="288"/>
    </row>
    <row r="151" spans="1:25" hidden="1">
      <c r="A151" s="290">
        <v>6121</v>
      </c>
      <c r="B151" s="291"/>
      <c r="C151" s="291"/>
      <c r="D151" s="291"/>
      <c r="E151" s="292"/>
      <c r="F151" s="306"/>
      <c r="G151" s="293"/>
      <c r="H151" s="293"/>
      <c r="I151" s="294"/>
      <c r="J151" s="295"/>
      <c r="K151" s="294"/>
      <c r="L151" s="295"/>
      <c r="M151" s="296"/>
      <c r="N151" s="294"/>
      <c r="O151" s="297"/>
      <c r="P151" s="295"/>
      <c r="Q151" s="295"/>
      <c r="R151" s="299"/>
      <c r="S151" s="298"/>
      <c r="T151" s="298"/>
      <c r="U151" s="298"/>
      <c r="V151" s="298"/>
      <c r="W151" s="298"/>
      <c r="X151" s="298"/>
      <c r="Y151" s="298"/>
    </row>
    <row r="152" spans="1:25" hidden="1">
      <c r="A152" s="290">
        <v>6122</v>
      </c>
      <c r="B152" s="291"/>
      <c r="C152" s="291"/>
      <c r="D152" s="291"/>
      <c r="E152" s="292"/>
      <c r="F152" s="306"/>
      <c r="G152" s="293"/>
      <c r="H152" s="293"/>
      <c r="I152" s="294"/>
      <c r="J152" s="295"/>
      <c r="K152" s="294"/>
      <c r="L152" s="295"/>
      <c r="M152" s="296"/>
      <c r="N152" s="294"/>
      <c r="O152" s="297"/>
      <c r="P152" s="295"/>
      <c r="Q152" s="295"/>
      <c r="R152" s="299"/>
      <c r="S152" s="298"/>
      <c r="T152" s="298"/>
      <c r="U152" s="298"/>
      <c r="V152" s="298"/>
      <c r="W152" s="298"/>
      <c r="X152" s="298"/>
      <c r="Y152" s="298"/>
    </row>
    <row r="153" spans="1:25" hidden="1">
      <c r="A153" s="301" t="s">
        <v>233</v>
      </c>
      <c r="B153" s="291"/>
      <c r="C153" s="291"/>
      <c r="D153" s="291"/>
      <c r="E153" s="292"/>
      <c r="F153" s="306"/>
      <c r="G153" s="293"/>
      <c r="H153" s="293"/>
      <c r="I153" s="294"/>
      <c r="J153" s="295"/>
      <c r="K153" s="294"/>
      <c r="L153" s="295"/>
      <c r="M153" s="296"/>
      <c r="N153" s="294"/>
      <c r="O153" s="297"/>
      <c r="P153" s="295"/>
      <c r="Q153" s="295"/>
      <c r="R153" s="299"/>
      <c r="S153" s="298"/>
      <c r="T153" s="298"/>
      <c r="U153" s="298"/>
      <c r="V153" s="298"/>
      <c r="W153" s="298"/>
      <c r="X153" s="298"/>
      <c r="Y153" s="298"/>
    </row>
    <row r="154" spans="1:25" ht="38.25" hidden="1" customHeight="1">
      <c r="A154" s="3457" t="s">
        <v>283</v>
      </c>
      <c r="B154" s="3457"/>
      <c r="C154" s="3457"/>
      <c r="D154" s="3457"/>
      <c r="E154" s="3457"/>
      <c r="F154" s="3457"/>
      <c r="G154" s="3457"/>
      <c r="H154" s="3457"/>
      <c r="I154" s="3457"/>
      <c r="J154" s="273"/>
      <c r="K154" s="273"/>
      <c r="L154" s="273"/>
      <c r="M154" s="274"/>
      <c r="N154" s="273"/>
      <c r="O154" s="275"/>
      <c r="P154" s="273"/>
      <c r="Q154" s="273"/>
      <c r="R154" s="277"/>
      <c r="S154" s="278"/>
      <c r="T154" s="278"/>
      <c r="U154" s="278"/>
      <c r="V154" s="274"/>
      <c r="W154" s="274"/>
      <c r="X154" s="274"/>
      <c r="Y154" s="274"/>
    </row>
    <row r="155" spans="1:25" ht="16.5" hidden="1" customHeight="1">
      <c r="A155" s="281">
        <v>621</v>
      </c>
      <c r="B155" s="3456"/>
      <c r="C155" s="3456"/>
      <c r="D155" s="3456"/>
      <c r="E155" s="3456"/>
      <c r="F155" s="3456"/>
      <c r="G155" s="3456"/>
      <c r="H155" s="3456"/>
      <c r="I155" s="3456"/>
      <c r="J155" s="282"/>
      <c r="K155" s="283"/>
      <c r="L155" s="282"/>
      <c r="M155" s="284"/>
      <c r="N155" s="283"/>
      <c r="O155" s="285"/>
      <c r="P155" s="282"/>
      <c r="Q155" s="282"/>
      <c r="R155" s="287"/>
      <c r="S155" s="288"/>
      <c r="T155" s="288"/>
      <c r="U155" s="288"/>
      <c r="V155" s="288"/>
      <c r="W155" s="288"/>
      <c r="X155" s="288"/>
      <c r="Y155" s="288"/>
    </row>
    <row r="156" spans="1:25" hidden="1">
      <c r="A156" s="290">
        <v>6211</v>
      </c>
      <c r="B156" s="291"/>
      <c r="C156" s="291"/>
      <c r="D156" s="291"/>
      <c r="E156" s="292"/>
      <c r="F156" s="306"/>
      <c r="G156" s="293"/>
      <c r="H156" s="293"/>
      <c r="I156" s="294"/>
      <c r="J156" s="295"/>
      <c r="K156" s="294"/>
      <c r="L156" s="295"/>
      <c r="M156" s="296"/>
      <c r="N156" s="294"/>
      <c r="O156" s="297"/>
      <c r="P156" s="295"/>
      <c r="Q156" s="295"/>
      <c r="R156" s="299"/>
      <c r="S156" s="298"/>
      <c r="T156" s="298"/>
      <c r="U156" s="298"/>
      <c r="V156" s="298"/>
      <c r="W156" s="298"/>
      <c r="X156" s="298"/>
      <c r="Y156" s="298"/>
    </row>
    <row r="157" spans="1:25" hidden="1">
      <c r="A157" s="290">
        <v>6212</v>
      </c>
      <c r="B157" s="291"/>
      <c r="C157" s="291"/>
      <c r="D157" s="291"/>
      <c r="E157" s="292"/>
      <c r="F157" s="306"/>
      <c r="G157" s="293"/>
      <c r="H157" s="293"/>
      <c r="I157" s="294"/>
      <c r="J157" s="295"/>
      <c r="K157" s="294"/>
      <c r="L157" s="295"/>
      <c r="M157" s="296"/>
      <c r="N157" s="294"/>
      <c r="O157" s="297"/>
      <c r="P157" s="295"/>
      <c r="Q157" s="295"/>
      <c r="R157" s="299"/>
      <c r="S157" s="298"/>
      <c r="T157" s="298"/>
      <c r="U157" s="298"/>
      <c r="V157" s="298"/>
      <c r="W157" s="298"/>
      <c r="X157" s="298"/>
      <c r="Y157" s="298"/>
    </row>
    <row r="158" spans="1:25" hidden="1">
      <c r="A158" s="290">
        <v>6213</v>
      </c>
      <c r="B158" s="291"/>
      <c r="C158" s="291"/>
      <c r="D158" s="291"/>
      <c r="E158" s="292"/>
      <c r="F158" s="306"/>
      <c r="G158" s="293"/>
      <c r="H158" s="293"/>
      <c r="I158" s="294"/>
      <c r="J158" s="295"/>
      <c r="K158" s="294"/>
      <c r="L158" s="295"/>
      <c r="M158" s="296"/>
      <c r="N158" s="294"/>
      <c r="O158" s="297"/>
      <c r="P158" s="295"/>
      <c r="Q158" s="295"/>
      <c r="R158" s="299"/>
      <c r="S158" s="298"/>
      <c r="T158" s="298"/>
      <c r="U158" s="298"/>
      <c r="V158" s="298"/>
      <c r="W158" s="298"/>
      <c r="X158" s="298"/>
      <c r="Y158" s="298"/>
    </row>
    <row r="159" spans="1:25" ht="16.5" hidden="1" customHeight="1">
      <c r="A159" s="281">
        <v>622</v>
      </c>
      <c r="B159" s="3456"/>
      <c r="C159" s="3456"/>
      <c r="D159" s="3456"/>
      <c r="E159" s="3456"/>
      <c r="F159" s="3456"/>
      <c r="G159" s="3456"/>
      <c r="H159" s="3456"/>
      <c r="I159" s="3456"/>
      <c r="J159" s="282"/>
      <c r="K159" s="283"/>
      <c r="L159" s="282"/>
      <c r="M159" s="284"/>
      <c r="N159" s="283"/>
      <c r="O159" s="285"/>
      <c r="P159" s="282"/>
      <c r="Q159" s="282"/>
      <c r="R159" s="287"/>
      <c r="S159" s="288"/>
      <c r="T159" s="288"/>
      <c r="U159" s="288"/>
      <c r="V159" s="288"/>
      <c r="W159" s="288"/>
      <c r="X159" s="288"/>
      <c r="Y159" s="288"/>
    </row>
    <row r="160" spans="1:25" hidden="1">
      <c r="A160" s="290">
        <v>6221</v>
      </c>
      <c r="B160" s="291"/>
      <c r="C160" s="291"/>
      <c r="D160" s="291"/>
      <c r="E160" s="292"/>
      <c r="F160" s="306"/>
      <c r="G160" s="293"/>
      <c r="H160" s="293"/>
      <c r="I160" s="294"/>
      <c r="J160" s="295"/>
      <c r="K160" s="294"/>
      <c r="L160" s="295"/>
      <c r="M160" s="296"/>
      <c r="N160" s="294"/>
      <c r="O160" s="297"/>
      <c r="P160" s="295"/>
      <c r="Q160" s="295"/>
      <c r="R160" s="299"/>
      <c r="S160" s="298"/>
      <c r="T160" s="298"/>
      <c r="U160" s="298"/>
      <c r="V160" s="298"/>
      <c r="W160" s="298"/>
      <c r="X160" s="298"/>
      <c r="Y160" s="298"/>
    </row>
    <row r="161" spans="1:25" hidden="1">
      <c r="A161" s="290">
        <v>6222</v>
      </c>
      <c r="B161" s="291"/>
      <c r="C161" s="291"/>
      <c r="D161" s="291"/>
      <c r="E161" s="292"/>
      <c r="F161" s="306"/>
      <c r="G161" s="293"/>
      <c r="H161" s="293"/>
      <c r="I161" s="294"/>
      <c r="J161" s="295"/>
      <c r="K161" s="294"/>
      <c r="L161" s="295"/>
      <c r="M161" s="296"/>
      <c r="N161" s="294"/>
      <c r="O161" s="297"/>
      <c r="P161" s="295"/>
      <c r="Q161" s="295"/>
      <c r="R161" s="299"/>
      <c r="S161" s="298"/>
      <c r="T161" s="298"/>
      <c r="U161" s="298"/>
      <c r="V161" s="298"/>
      <c r="W161" s="298"/>
      <c r="X161" s="298"/>
      <c r="Y161" s="298"/>
    </row>
    <row r="162" spans="1:25" hidden="1">
      <c r="A162" s="301" t="s">
        <v>233</v>
      </c>
      <c r="B162" s="291"/>
      <c r="C162" s="291"/>
      <c r="D162" s="291"/>
      <c r="E162" s="292"/>
      <c r="F162" s="306"/>
      <c r="G162" s="293"/>
      <c r="H162" s="293"/>
      <c r="I162" s="294"/>
      <c r="J162" s="295"/>
      <c r="K162" s="294"/>
      <c r="L162" s="295"/>
      <c r="M162" s="296"/>
      <c r="N162" s="294"/>
      <c r="O162" s="297"/>
      <c r="P162" s="295"/>
      <c r="Q162" s="295"/>
      <c r="R162" s="299"/>
      <c r="S162" s="298"/>
      <c r="T162" s="298"/>
      <c r="U162" s="298"/>
      <c r="V162" s="298"/>
      <c r="W162" s="298"/>
      <c r="X162" s="298"/>
      <c r="Y162" s="298"/>
    </row>
    <row r="163" spans="1:25" ht="38.25" hidden="1" customHeight="1">
      <c r="A163" s="3457" t="s">
        <v>284</v>
      </c>
      <c r="B163" s="3457"/>
      <c r="C163" s="3457"/>
      <c r="D163" s="3457"/>
      <c r="E163" s="3457"/>
      <c r="F163" s="3457"/>
      <c r="G163" s="3457"/>
      <c r="H163" s="3457"/>
      <c r="I163" s="3457"/>
      <c r="J163" s="273"/>
      <c r="K163" s="273"/>
      <c r="L163" s="273"/>
      <c r="M163" s="274"/>
      <c r="N163" s="273"/>
      <c r="O163" s="275"/>
      <c r="P163" s="273"/>
      <c r="Q163" s="273"/>
      <c r="R163" s="277">
        <f>+'[12]Compil Costing PPA 3 millions'!F20</f>
        <v>129747.66</v>
      </c>
      <c r="S163" s="278"/>
      <c r="T163" s="278"/>
      <c r="U163" s="278"/>
      <c r="V163" s="274"/>
      <c r="W163" s="274"/>
      <c r="X163" s="274"/>
      <c r="Y163" s="274"/>
    </row>
    <row r="164" spans="1:25" ht="16.5" hidden="1" customHeight="1">
      <c r="A164" s="281">
        <v>631</v>
      </c>
      <c r="B164" s="3456"/>
      <c r="C164" s="3456"/>
      <c r="D164" s="3456"/>
      <c r="E164" s="3456"/>
      <c r="F164" s="3456"/>
      <c r="G164" s="3456"/>
      <c r="H164" s="3456"/>
      <c r="I164" s="3456"/>
      <c r="J164" s="282"/>
      <c r="K164" s="283"/>
      <c r="L164" s="282"/>
      <c r="M164" s="284"/>
      <c r="N164" s="283"/>
      <c r="O164" s="285"/>
      <c r="P164" s="282"/>
      <c r="Q164" s="282"/>
      <c r="R164" s="287"/>
      <c r="S164" s="288"/>
      <c r="T164" s="288"/>
      <c r="U164" s="288"/>
      <c r="V164" s="288"/>
      <c r="W164" s="288"/>
      <c r="X164" s="288"/>
      <c r="Y164" s="288"/>
    </row>
    <row r="165" spans="1:25" hidden="1">
      <c r="A165" s="290">
        <v>6311</v>
      </c>
      <c r="B165" s="291"/>
      <c r="C165" s="291"/>
      <c r="D165" s="291"/>
      <c r="E165" s="292"/>
      <c r="F165" s="306"/>
      <c r="G165" s="293"/>
      <c r="H165" s="293"/>
      <c r="I165" s="294"/>
      <c r="J165" s="295"/>
      <c r="K165" s="294"/>
      <c r="L165" s="295"/>
      <c r="M165" s="296"/>
      <c r="N165" s="294"/>
      <c r="O165" s="297"/>
      <c r="P165" s="295"/>
      <c r="Q165" s="295"/>
      <c r="R165" s="299"/>
      <c r="S165" s="298"/>
      <c r="T165" s="298"/>
      <c r="U165" s="298"/>
      <c r="V165" s="298"/>
      <c r="W165" s="298"/>
      <c r="X165" s="298"/>
      <c r="Y165" s="298"/>
    </row>
    <row r="166" spans="1:25" hidden="1">
      <c r="A166" s="290">
        <v>6312</v>
      </c>
      <c r="B166" s="291"/>
      <c r="C166" s="291"/>
      <c r="D166" s="291"/>
      <c r="E166" s="292"/>
      <c r="F166" s="306"/>
      <c r="G166" s="293"/>
      <c r="H166" s="293"/>
      <c r="I166" s="294"/>
      <c r="J166" s="295"/>
      <c r="K166" s="294"/>
      <c r="L166" s="295"/>
      <c r="M166" s="296"/>
      <c r="N166" s="294"/>
      <c r="O166" s="297"/>
      <c r="P166" s="295"/>
      <c r="Q166" s="295"/>
      <c r="R166" s="299"/>
      <c r="S166" s="298"/>
      <c r="T166" s="298"/>
      <c r="U166" s="298"/>
      <c r="V166" s="298"/>
      <c r="W166" s="298"/>
      <c r="X166" s="298"/>
      <c r="Y166" s="298"/>
    </row>
    <row r="167" spans="1:25" hidden="1">
      <c r="A167" s="290">
        <v>6313</v>
      </c>
      <c r="B167" s="291"/>
      <c r="C167" s="291"/>
      <c r="D167" s="291"/>
      <c r="E167" s="292"/>
      <c r="F167" s="306"/>
      <c r="G167" s="293"/>
      <c r="H167" s="293"/>
      <c r="I167" s="294"/>
      <c r="J167" s="295"/>
      <c r="K167" s="294"/>
      <c r="L167" s="295"/>
      <c r="M167" s="296"/>
      <c r="N167" s="294"/>
      <c r="O167" s="297"/>
      <c r="P167" s="295"/>
      <c r="Q167" s="295"/>
      <c r="R167" s="299"/>
      <c r="S167" s="298"/>
      <c r="T167" s="298"/>
      <c r="U167" s="298"/>
      <c r="V167" s="298"/>
      <c r="W167" s="298"/>
      <c r="X167" s="298"/>
      <c r="Y167" s="298"/>
    </row>
    <row r="168" spans="1:25" ht="16.5" hidden="1" customHeight="1">
      <c r="A168" s="281">
        <v>632</v>
      </c>
      <c r="B168" s="3456"/>
      <c r="C168" s="3456"/>
      <c r="D168" s="3456"/>
      <c r="E168" s="3456"/>
      <c r="F168" s="3456"/>
      <c r="G168" s="3456"/>
      <c r="H168" s="3456"/>
      <c r="I168" s="3456"/>
      <c r="J168" s="282"/>
      <c r="K168" s="283"/>
      <c r="L168" s="282"/>
      <c r="M168" s="284"/>
      <c r="N168" s="283"/>
      <c r="O168" s="285"/>
      <c r="P168" s="282"/>
      <c r="Q168" s="282"/>
      <c r="R168" s="287"/>
      <c r="S168" s="288"/>
      <c r="T168" s="288"/>
      <c r="U168" s="288"/>
      <c r="V168" s="288"/>
      <c r="W168" s="288"/>
      <c r="X168" s="288"/>
      <c r="Y168" s="288"/>
    </row>
    <row r="169" spans="1:25" hidden="1">
      <c r="A169" s="290">
        <v>6321</v>
      </c>
      <c r="B169" s="291"/>
      <c r="C169" s="291"/>
      <c r="D169" s="291"/>
      <c r="E169" s="292"/>
      <c r="F169" s="306"/>
      <c r="G169" s="293"/>
      <c r="H169" s="293"/>
      <c r="I169" s="294"/>
      <c r="J169" s="295"/>
      <c r="K169" s="294"/>
      <c r="L169" s="295"/>
      <c r="M169" s="296"/>
      <c r="N169" s="294"/>
      <c r="O169" s="297"/>
      <c r="P169" s="295"/>
      <c r="Q169" s="295"/>
      <c r="R169" s="299"/>
      <c r="S169" s="298"/>
      <c r="T169" s="298"/>
      <c r="U169" s="298"/>
      <c r="V169" s="298"/>
      <c r="W169" s="298"/>
      <c r="X169" s="298"/>
      <c r="Y169" s="298"/>
    </row>
    <row r="170" spans="1:25" hidden="1">
      <c r="A170" s="290">
        <v>6322</v>
      </c>
      <c r="B170" s="291"/>
      <c r="C170" s="291"/>
      <c r="D170" s="291"/>
      <c r="E170" s="292"/>
      <c r="F170" s="306"/>
      <c r="G170" s="293"/>
      <c r="H170" s="293"/>
      <c r="I170" s="294"/>
      <c r="J170" s="295"/>
      <c r="K170" s="294"/>
      <c r="L170" s="295"/>
      <c r="M170" s="296"/>
      <c r="N170" s="294"/>
      <c r="O170" s="297"/>
      <c r="P170" s="295"/>
      <c r="Q170" s="295"/>
      <c r="R170" s="299"/>
      <c r="S170" s="298"/>
      <c r="T170" s="298"/>
      <c r="U170" s="298"/>
      <c r="V170" s="298"/>
      <c r="W170" s="298"/>
      <c r="X170" s="298"/>
      <c r="Y170" s="298"/>
    </row>
    <row r="171" spans="1:25" hidden="1">
      <c r="A171" s="301" t="s">
        <v>233</v>
      </c>
      <c r="B171" s="291"/>
      <c r="C171" s="291"/>
      <c r="D171" s="291"/>
      <c r="E171" s="292"/>
      <c r="F171" s="306"/>
      <c r="G171" s="293"/>
      <c r="H171" s="293"/>
      <c r="I171" s="294"/>
      <c r="J171" s="295"/>
      <c r="K171" s="294"/>
      <c r="L171" s="295"/>
      <c r="M171" s="296"/>
      <c r="N171" s="294"/>
      <c r="O171" s="297"/>
      <c r="P171" s="295"/>
      <c r="Q171" s="295"/>
      <c r="R171" s="299"/>
      <c r="S171" s="298"/>
      <c r="T171" s="298"/>
      <c r="U171" s="298"/>
      <c r="V171" s="298"/>
      <c r="W171" s="298"/>
      <c r="X171" s="298"/>
      <c r="Y171" s="298"/>
    </row>
    <row r="172" spans="1:25" hidden="1">
      <c r="H172" s="336"/>
      <c r="P172" s="342" t="s">
        <v>285</v>
      </c>
      <c r="R172" s="344">
        <f>+R7+R26+R55+R74+R140+R144</f>
        <v>3000000.2229166673</v>
      </c>
    </row>
    <row r="173" spans="1:25">
      <c r="J173" s="315"/>
      <c r="K173" s="315"/>
      <c r="L173" s="315"/>
      <c r="M173" s="315"/>
      <c r="N173" s="315"/>
      <c r="O173" s="315"/>
      <c r="P173" s="315"/>
      <c r="Q173" s="315"/>
      <c r="R173" s="342"/>
      <c r="S173" s="342"/>
      <c r="T173" s="342"/>
    </row>
    <row r="174" spans="1:25">
      <c r="J174" s="315"/>
      <c r="K174" s="315"/>
      <c r="L174" s="315"/>
      <c r="M174" s="315"/>
      <c r="N174" s="315"/>
      <c r="O174" s="315"/>
      <c r="P174" s="315"/>
      <c r="Q174" s="315"/>
      <c r="R174" s="342"/>
      <c r="S174" s="342"/>
      <c r="T174" s="342"/>
    </row>
    <row r="175" spans="1:25">
      <c r="J175" s="315"/>
      <c r="K175" s="315"/>
      <c r="L175" s="315"/>
      <c r="M175" s="315"/>
      <c r="N175" s="315"/>
      <c r="O175" s="315"/>
      <c r="P175" s="315"/>
      <c r="Q175" s="315"/>
      <c r="R175" s="342"/>
      <c r="S175" s="342"/>
      <c r="T175" s="342"/>
    </row>
    <row r="176" spans="1:25">
      <c r="J176" s="315"/>
      <c r="K176" s="315"/>
      <c r="L176" s="315"/>
      <c r="M176" s="315"/>
      <c r="N176" s="315"/>
      <c r="O176" s="315"/>
      <c r="P176" s="315"/>
      <c r="Q176" s="315"/>
      <c r="R176" s="342"/>
      <c r="S176" s="342"/>
      <c r="T176" s="342"/>
    </row>
    <row r="177" spans="10:20">
      <c r="J177" s="315"/>
      <c r="K177" s="315"/>
      <c r="L177" s="315"/>
      <c r="M177" s="315"/>
      <c r="N177" s="315"/>
      <c r="O177" s="315"/>
      <c r="P177" s="315"/>
      <c r="Q177" s="315"/>
      <c r="R177" s="342"/>
      <c r="S177" s="342"/>
      <c r="T177" s="342"/>
    </row>
    <row r="178" spans="10:20">
      <c r="J178" s="315"/>
      <c r="K178" s="315"/>
      <c r="L178" s="315"/>
      <c r="M178" s="315"/>
      <c r="N178" s="315"/>
      <c r="O178" s="315"/>
      <c r="P178" s="315"/>
      <c r="Q178" s="315"/>
      <c r="R178" s="342"/>
      <c r="S178" s="342"/>
      <c r="T178" s="342"/>
    </row>
    <row r="179" spans="10:20">
      <c r="J179" s="315"/>
      <c r="K179" s="315"/>
      <c r="L179" s="315"/>
      <c r="M179" s="315"/>
      <c r="N179" s="315"/>
      <c r="O179" s="315"/>
      <c r="P179" s="315"/>
      <c r="Q179" s="315"/>
      <c r="R179" s="342"/>
      <c r="S179" s="342"/>
      <c r="T179" s="342"/>
    </row>
    <row r="180" spans="10:20">
      <c r="R180" s="342"/>
      <c r="S180" s="342"/>
      <c r="T180" s="342"/>
    </row>
    <row r="181" spans="10:20">
      <c r="R181" s="342"/>
      <c r="S181" s="342"/>
      <c r="T181" s="342"/>
    </row>
    <row r="182" spans="10:20">
      <c r="R182" s="342"/>
      <c r="S182" s="342"/>
      <c r="T182" s="342"/>
    </row>
  </sheetData>
  <mergeCells count="66">
    <mergeCell ref="B168:I168"/>
    <mergeCell ref="A141:I141"/>
    <mergeCell ref="B142:I142"/>
    <mergeCell ref="A144:I144"/>
    <mergeCell ref="A145:I145"/>
    <mergeCell ref="B146:I146"/>
    <mergeCell ref="B150:I150"/>
    <mergeCell ref="A154:I154"/>
    <mergeCell ref="B155:I155"/>
    <mergeCell ref="B159:I159"/>
    <mergeCell ref="A163:I163"/>
    <mergeCell ref="B164:I164"/>
    <mergeCell ref="A140:I140"/>
    <mergeCell ref="A74:I74"/>
    <mergeCell ref="A75:I75"/>
    <mergeCell ref="B76:I76"/>
    <mergeCell ref="B91:I91"/>
    <mergeCell ref="B97:I97"/>
    <mergeCell ref="A122:I122"/>
    <mergeCell ref="B123:I123"/>
    <mergeCell ref="B127:I127"/>
    <mergeCell ref="A131:I131"/>
    <mergeCell ref="B132:I132"/>
    <mergeCell ref="B136:I136"/>
    <mergeCell ref="B70:I70"/>
    <mergeCell ref="B37:I37"/>
    <mergeCell ref="B42:I42"/>
    <mergeCell ref="A46:I46"/>
    <mergeCell ref="B47:I47"/>
    <mergeCell ref="B51:I51"/>
    <mergeCell ref="A55:I55"/>
    <mergeCell ref="A56:I56"/>
    <mergeCell ref="B57:I57"/>
    <mergeCell ref="B61:I61"/>
    <mergeCell ref="A65:I65"/>
    <mergeCell ref="B66:I66"/>
    <mergeCell ref="P5:P6"/>
    <mergeCell ref="R5:R6"/>
    <mergeCell ref="A36:I36"/>
    <mergeCell ref="A7:I7"/>
    <mergeCell ref="A8:I8"/>
    <mergeCell ref="B9:I9"/>
    <mergeCell ref="B13:I13"/>
    <mergeCell ref="A17:I17"/>
    <mergeCell ref="B18:I18"/>
    <mergeCell ref="B22:I22"/>
    <mergeCell ref="A26:I26"/>
    <mergeCell ref="A27:I27"/>
    <mergeCell ref="B28:I28"/>
    <mergeCell ref="B32:I32"/>
    <mergeCell ref="S5:Y5"/>
    <mergeCell ref="O6:O7"/>
    <mergeCell ref="Q6:Q7"/>
    <mergeCell ref="A2:V2"/>
    <mergeCell ref="A5:A6"/>
    <mergeCell ref="B5:B6"/>
    <mergeCell ref="C5:C6"/>
    <mergeCell ref="D5:D6"/>
    <mergeCell ref="E5:E6"/>
    <mergeCell ref="F5:G5"/>
    <mergeCell ref="H5:H6"/>
    <mergeCell ref="I5:J5"/>
    <mergeCell ref="K5:K6"/>
    <mergeCell ref="L5:L6"/>
    <mergeCell ref="M5:M6"/>
    <mergeCell ref="N5:N6"/>
  </mergeCells>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MK343"/>
  <sheetViews>
    <sheetView topLeftCell="E205" workbookViewId="0">
      <selection activeCell="O207" sqref="O207"/>
    </sheetView>
  </sheetViews>
  <sheetFormatPr baseColWidth="10" defaultColWidth="9.140625" defaultRowHeight="15.75"/>
  <cols>
    <col min="1" max="1" width="9.140625" style="747"/>
    <col min="2" max="2" width="28.28515625" style="747" bestFit="1" customWidth="1"/>
    <col min="3" max="3" width="51.42578125" style="748" customWidth="1"/>
    <col min="4" max="4" width="15.85546875" style="749" hidden="1" customWidth="1"/>
    <col min="5" max="5" width="14.7109375" style="750" customWidth="1"/>
    <col min="6" max="6" width="17.5703125" style="751" customWidth="1"/>
    <col min="7" max="7" width="14.85546875" style="752" customWidth="1"/>
    <col min="8" max="8" width="20.140625" style="750" customWidth="1"/>
    <col min="9" max="9" width="15.7109375" style="753" customWidth="1"/>
    <col min="10" max="10" width="18.5703125" style="754" customWidth="1"/>
    <col min="11" max="11" width="17.42578125" style="750" customWidth="1"/>
    <col min="12" max="12" width="14.7109375" style="755" customWidth="1"/>
    <col min="13" max="13" width="12.28515625" style="746" customWidth="1"/>
    <col min="14" max="14" width="13.42578125" style="756" customWidth="1"/>
    <col min="15" max="15" width="21.42578125" style="757" customWidth="1"/>
    <col min="16" max="16" width="9.140625" style="756"/>
    <col min="17" max="17" width="14.28515625" style="757" customWidth="1"/>
    <col min="18" max="18" width="16.7109375" style="761" customWidth="1"/>
    <col min="19" max="19" width="16" style="760" customWidth="1"/>
    <col min="20" max="20" width="20" style="760" customWidth="1"/>
    <col min="21" max="21" width="16" style="760" customWidth="1"/>
    <col min="22" max="22" width="19.140625" style="760" customWidth="1"/>
    <col min="23" max="23" width="19.85546875" style="760" customWidth="1"/>
    <col min="24" max="25" width="16" style="760" customWidth="1"/>
    <col min="26" max="1023" width="9.140625" style="746"/>
    <col min="1024" max="1025" width="9.140625" style="592"/>
  </cols>
  <sheetData>
    <row r="1" spans="1:1024" s="587" customFormat="1">
      <c r="A1" s="579"/>
      <c r="B1" s="579"/>
      <c r="C1" s="580"/>
      <c r="D1" s="581"/>
      <c r="E1" s="582"/>
      <c r="F1" s="583"/>
      <c r="G1" s="583"/>
      <c r="H1" s="584"/>
      <c r="I1" s="585"/>
      <c r="J1" s="584"/>
      <c r="K1" s="584"/>
      <c r="L1" s="586"/>
      <c r="N1" s="588"/>
      <c r="O1" s="589"/>
      <c r="P1" s="588"/>
      <c r="Q1" s="589"/>
      <c r="R1" s="590"/>
      <c r="S1" s="591"/>
      <c r="T1" s="591"/>
      <c r="U1" s="591"/>
      <c r="V1" s="591"/>
      <c r="W1" s="591"/>
      <c r="X1" s="591"/>
      <c r="Y1" s="591"/>
      <c r="AMJ1" s="592"/>
    </row>
    <row r="2" spans="1:1024" s="592" customFormat="1" ht="15.75" customHeight="1">
      <c r="A2" s="3507" t="s">
        <v>202</v>
      </c>
      <c r="B2" s="3507"/>
      <c r="C2" s="3507"/>
      <c r="D2" s="3507"/>
      <c r="E2" s="3507"/>
      <c r="F2" s="3507"/>
      <c r="G2" s="3507"/>
      <c r="H2" s="3507"/>
      <c r="I2" s="3507"/>
      <c r="J2" s="3507"/>
      <c r="K2" s="3507"/>
      <c r="L2" s="3507"/>
      <c r="M2" s="3507"/>
      <c r="N2" s="3507"/>
      <c r="O2" s="3507"/>
      <c r="P2" s="3507"/>
      <c r="Q2" s="3507"/>
      <c r="R2" s="3507"/>
      <c r="S2" s="3507"/>
      <c r="T2" s="3507"/>
      <c r="U2" s="3507"/>
      <c r="V2" s="3507"/>
    </row>
    <row r="3" spans="1:1024" s="602" customFormat="1" ht="15.75" customHeight="1">
      <c r="A3" s="593"/>
      <c r="B3" s="594"/>
      <c r="C3" s="595"/>
      <c r="D3" s="593"/>
      <c r="E3" s="596"/>
      <c r="F3" s="597"/>
      <c r="G3" s="597"/>
      <c r="H3" s="598"/>
      <c r="I3" s="596"/>
      <c r="J3" s="596"/>
      <c r="K3" s="596"/>
      <c r="L3" s="599"/>
      <c r="M3" s="593"/>
      <c r="N3" s="594"/>
      <c r="O3" s="600"/>
      <c r="P3" s="594"/>
      <c r="Q3" s="600"/>
      <c r="R3" s="601"/>
      <c r="S3" s="593"/>
      <c r="T3" s="593"/>
      <c r="U3" s="593"/>
      <c r="V3" s="593"/>
      <c r="AMJ3" s="592"/>
    </row>
    <row r="4" spans="1:1024" s="610" customFormat="1">
      <c r="A4" s="603"/>
      <c r="B4" s="603"/>
      <c r="C4" s="604"/>
      <c r="D4" s="605"/>
      <c r="E4" s="606"/>
      <c r="F4" s="607"/>
      <c r="G4" s="607"/>
      <c r="H4" s="608"/>
      <c r="I4" s="609"/>
      <c r="J4" s="608"/>
      <c r="K4" s="608"/>
      <c r="L4" s="586"/>
      <c r="N4" s="611"/>
      <c r="O4" s="612"/>
      <c r="P4" s="611"/>
      <c r="Q4" s="612"/>
      <c r="R4" s="613"/>
      <c r="S4" s="614"/>
      <c r="T4" s="614"/>
      <c r="U4" s="614"/>
      <c r="V4" s="614"/>
      <c r="W4" s="614"/>
      <c r="X4" s="614"/>
      <c r="Y4" s="614"/>
      <c r="AMJ4" s="592"/>
    </row>
    <row r="5" spans="1:1024" s="587" customFormat="1" ht="34.5" customHeight="1">
      <c r="A5" s="3508" t="s">
        <v>203</v>
      </c>
      <c r="B5" s="3508" t="s">
        <v>613</v>
      </c>
      <c r="C5" s="3509" t="s">
        <v>205</v>
      </c>
      <c r="D5" s="3510" t="s">
        <v>206</v>
      </c>
      <c r="E5" s="3511" t="s">
        <v>614</v>
      </c>
      <c r="F5" s="3512" t="s">
        <v>208</v>
      </c>
      <c r="G5" s="3512"/>
      <c r="H5" s="3513" t="s">
        <v>209</v>
      </c>
      <c r="I5" s="3514" t="s">
        <v>210</v>
      </c>
      <c r="J5" s="3514"/>
      <c r="K5" s="3515" t="s">
        <v>211</v>
      </c>
      <c r="L5" s="3516" t="s">
        <v>212</v>
      </c>
      <c r="M5" s="3510" t="s">
        <v>615</v>
      </c>
      <c r="N5" s="3510" t="s">
        <v>214</v>
      </c>
      <c r="O5" s="3519" t="s">
        <v>215</v>
      </c>
      <c r="P5" s="3508" t="s">
        <v>216</v>
      </c>
      <c r="Q5" s="3519" t="s">
        <v>286</v>
      </c>
      <c r="R5" s="3517" t="s">
        <v>287</v>
      </c>
      <c r="S5" s="3518" t="s">
        <v>219</v>
      </c>
      <c r="T5" s="3518"/>
      <c r="U5" s="3518"/>
      <c r="V5" s="3518"/>
      <c r="W5" s="3518"/>
      <c r="X5" s="3518"/>
      <c r="Y5" s="3518"/>
      <c r="AMJ5" s="592"/>
    </row>
    <row r="6" spans="1:1024" s="588" customFormat="1" ht="63">
      <c r="A6" s="3508"/>
      <c r="B6" s="3508"/>
      <c r="C6" s="3509"/>
      <c r="D6" s="3510"/>
      <c r="E6" s="3511"/>
      <c r="F6" s="615" t="s">
        <v>220</v>
      </c>
      <c r="G6" s="616" t="s">
        <v>616</v>
      </c>
      <c r="H6" s="3513"/>
      <c r="I6" s="617" t="s">
        <v>617</v>
      </c>
      <c r="J6" s="617" t="s">
        <v>288</v>
      </c>
      <c r="K6" s="3515"/>
      <c r="L6" s="3516"/>
      <c r="M6" s="3510"/>
      <c r="N6" s="3510"/>
      <c r="O6" s="3519"/>
      <c r="P6" s="3508"/>
      <c r="Q6" s="3519"/>
      <c r="R6" s="3517"/>
      <c r="S6" s="618" t="s">
        <v>224</v>
      </c>
      <c r="T6" s="618" t="s">
        <v>225</v>
      </c>
      <c r="U6" s="618" t="s">
        <v>226</v>
      </c>
      <c r="V6" s="618" t="s">
        <v>227</v>
      </c>
      <c r="W6" s="618" t="s">
        <v>228</v>
      </c>
      <c r="X6" s="618" t="s">
        <v>229</v>
      </c>
      <c r="Y6" s="618" t="s">
        <v>230</v>
      </c>
      <c r="AMJ6" s="592"/>
    </row>
    <row r="7" spans="1:1024" s="626" customFormat="1" ht="33.75" customHeight="1">
      <c r="A7" s="3520" t="s">
        <v>618</v>
      </c>
      <c r="B7" s="3520"/>
      <c r="C7" s="3520"/>
      <c r="D7" s="3520"/>
      <c r="E7" s="3520"/>
      <c r="F7" s="3520"/>
      <c r="G7" s="3520"/>
      <c r="H7" s="3520"/>
      <c r="I7" s="3520"/>
      <c r="J7" s="619"/>
      <c r="K7" s="619"/>
      <c r="L7" s="620"/>
      <c r="M7" s="621"/>
      <c r="N7" s="622"/>
      <c r="O7" s="623"/>
      <c r="P7" s="622"/>
      <c r="Q7" s="623"/>
      <c r="R7" s="624">
        <f>R9+R96+R167</f>
        <v>449060.34299999999</v>
      </c>
      <c r="S7" s="625"/>
      <c r="T7" s="625"/>
      <c r="U7" s="625"/>
      <c r="V7" s="625"/>
      <c r="W7" s="625"/>
      <c r="X7" s="625"/>
      <c r="Y7" s="625"/>
      <c r="AMJ7" s="592"/>
    </row>
    <row r="8" spans="1:1024" s="592" customFormat="1" ht="37.5" customHeight="1">
      <c r="A8" s="3523" t="s">
        <v>232</v>
      </c>
      <c r="B8" s="3523"/>
      <c r="C8" s="3523"/>
      <c r="D8" s="3523"/>
      <c r="E8" s="3523"/>
      <c r="F8" s="3523"/>
      <c r="G8" s="3523"/>
      <c r="H8" s="3523"/>
      <c r="I8" s="3523"/>
      <c r="J8" s="627"/>
      <c r="K8" s="627"/>
      <c r="L8" s="628"/>
      <c r="M8" s="629"/>
      <c r="N8" s="630"/>
      <c r="O8" s="631"/>
      <c r="P8" s="630"/>
      <c r="Q8" s="631"/>
      <c r="R8" s="632"/>
      <c r="S8" s="633"/>
      <c r="T8" s="633"/>
      <c r="U8" s="633"/>
      <c r="V8" s="629"/>
      <c r="W8" s="629"/>
      <c r="X8" s="629"/>
      <c r="Y8" s="629"/>
    </row>
    <row r="9" spans="1:1024" s="280" customFormat="1" ht="16.5" customHeight="1">
      <c r="A9" s="634">
        <v>111</v>
      </c>
      <c r="B9" s="3524" t="s">
        <v>619</v>
      </c>
      <c r="C9" s="3524"/>
      <c r="D9" s="3524"/>
      <c r="E9" s="3524"/>
      <c r="F9" s="3524"/>
      <c r="G9" s="3524"/>
      <c r="H9" s="3524"/>
      <c r="I9" s="3524"/>
      <c r="J9" s="635"/>
      <c r="K9" s="636"/>
      <c r="L9" s="636"/>
      <c r="M9" s="637"/>
      <c r="N9" s="636"/>
      <c r="O9" s="638"/>
      <c r="P9" s="635"/>
      <c r="Q9" s="638"/>
      <c r="R9" s="639">
        <f>+R10+R23+R50+R56+R68+R87</f>
        <v>134501.66666666666</v>
      </c>
      <c r="S9" s="640"/>
      <c r="T9" s="640"/>
      <c r="U9" s="640"/>
      <c r="V9" s="640"/>
      <c r="W9" s="640"/>
      <c r="X9" s="640"/>
      <c r="Y9" s="640"/>
    </row>
    <row r="10" spans="1:1024" s="357" customFormat="1" ht="116.25" customHeight="1">
      <c r="A10" s="641">
        <v>1111</v>
      </c>
      <c r="B10" s="642" t="s">
        <v>620</v>
      </c>
      <c r="C10" s="643" t="s">
        <v>621</v>
      </c>
      <c r="D10" s="644"/>
      <c r="E10" s="643">
        <v>5</v>
      </c>
      <c r="F10" s="645">
        <v>43206</v>
      </c>
      <c r="G10" s="645">
        <f>F10+E10-1</f>
        <v>43210</v>
      </c>
      <c r="H10" s="644" t="s">
        <v>622</v>
      </c>
      <c r="I10" s="643" t="s">
        <v>170</v>
      </c>
      <c r="J10" s="643" t="s">
        <v>623</v>
      </c>
      <c r="K10" s="643"/>
      <c r="L10" s="646"/>
      <c r="M10" s="644"/>
      <c r="N10" s="643"/>
      <c r="O10" s="647"/>
      <c r="P10" s="643"/>
      <c r="Q10" s="648">
        <f>R10</f>
        <v>3979.3333333333335</v>
      </c>
      <c r="R10" s="649">
        <f>+SUM(R11:R22)</f>
        <v>3979.3333333333335</v>
      </c>
      <c r="S10" s="650"/>
      <c r="T10" s="651"/>
      <c r="U10" s="650"/>
      <c r="V10" s="650"/>
      <c r="W10" s="650"/>
      <c r="X10" s="650"/>
      <c r="Y10" s="650"/>
    </row>
    <row r="11" spans="1:1024" s="357" customFormat="1" ht="116.25" customHeight="1">
      <c r="A11" s="641">
        <v>1111</v>
      </c>
      <c r="B11" s="652" t="s">
        <v>620</v>
      </c>
      <c r="C11" s="643" t="s">
        <v>621</v>
      </c>
      <c r="D11" s="644"/>
      <c r="E11" s="643">
        <v>5</v>
      </c>
      <c r="F11" s="645">
        <v>43206</v>
      </c>
      <c r="G11" s="645">
        <f t="shared" ref="G11:G77" si="0">F11+E11-1</f>
        <v>43210</v>
      </c>
      <c r="H11" s="644" t="s">
        <v>622</v>
      </c>
      <c r="I11" s="643" t="s">
        <v>170</v>
      </c>
      <c r="J11" s="643" t="s">
        <v>623</v>
      </c>
      <c r="K11" s="643" t="s">
        <v>624</v>
      </c>
      <c r="L11" s="646" t="s">
        <v>625</v>
      </c>
      <c r="M11" s="644"/>
      <c r="N11" s="643"/>
      <c r="O11" s="647">
        <v>84</v>
      </c>
      <c r="P11" s="643">
        <v>1</v>
      </c>
      <c r="Q11" s="648">
        <f t="shared" ref="Q11:Q74" si="1">R11</f>
        <v>84</v>
      </c>
      <c r="R11" s="653">
        <v>84</v>
      </c>
      <c r="S11" s="650"/>
      <c r="T11" s="654">
        <f t="shared" ref="T11:T22" si="2">Q11</f>
        <v>84</v>
      </c>
      <c r="U11" s="650"/>
      <c r="V11" s="650"/>
      <c r="W11" s="650"/>
      <c r="X11" s="650"/>
      <c r="Y11" s="650"/>
    </row>
    <row r="12" spans="1:1024" s="357" customFormat="1" ht="116.25" customHeight="1">
      <c r="A12" s="641">
        <v>1111</v>
      </c>
      <c r="B12" s="652" t="s">
        <v>620</v>
      </c>
      <c r="C12" s="643" t="s">
        <v>621</v>
      </c>
      <c r="D12" s="644"/>
      <c r="E12" s="643">
        <v>5</v>
      </c>
      <c r="F12" s="645">
        <v>43206</v>
      </c>
      <c r="G12" s="645">
        <f t="shared" si="0"/>
        <v>43210</v>
      </c>
      <c r="H12" s="644" t="s">
        <v>622</v>
      </c>
      <c r="I12" s="643" t="s">
        <v>170</v>
      </c>
      <c r="J12" s="643" t="s">
        <v>623</v>
      </c>
      <c r="K12" s="643" t="s">
        <v>626</v>
      </c>
      <c r="L12" s="646" t="s">
        <v>625</v>
      </c>
      <c r="M12" s="644"/>
      <c r="N12" s="643"/>
      <c r="O12" s="647">
        <v>93.333333333333343</v>
      </c>
      <c r="P12" s="643">
        <v>1</v>
      </c>
      <c r="Q12" s="648">
        <f t="shared" si="1"/>
        <v>93.333333333333343</v>
      </c>
      <c r="R12" s="653">
        <v>93.333333333333343</v>
      </c>
      <c r="S12" s="650"/>
      <c r="T12" s="654">
        <f t="shared" si="2"/>
        <v>93.333333333333343</v>
      </c>
      <c r="U12" s="650"/>
      <c r="V12" s="650"/>
      <c r="W12" s="650"/>
      <c r="X12" s="650"/>
      <c r="Y12" s="650"/>
    </row>
    <row r="13" spans="1:1024" s="357" customFormat="1" ht="116.25" customHeight="1">
      <c r="A13" s="641">
        <v>1111</v>
      </c>
      <c r="B13" s="652" t="s">
        <v>620</v>
      </c>
      <c r="C13" s="643" t="s">
        <v>621</v>
      </c>
      <c r="D13" s="644"/>
      <c r="E13" s="643">
        <v>5</v>
      </c>
      <c r="F13" s="645">
        <v>43206</v>
      </c>
      <c r="G13" s="645">
        <f t="shared" si="0"/>
        <v>43210</v>
      </c>
      <c r="H13" s="644" t="s">
        <v>622</v>
      </c>
      <c r="I13" s="643" t="s">
        <v>170</v>
      </c>
      <c r="J13" s="643" t="s">
        <v>623</v>
      </c>
      <c r="K13" s="643" t="s">
        <v>627</v>
      </c>
      <c r="L13" s="646" t="s">
        <v>625</v>
      </c>
      <c r="M13" s="644"/>
      <c r="N13" s="643"/>
      <c r="O13" s="647">
        <v>70</v>
      </c>
      <c r="P13" s="643">
        <v>1</v>
      </c>
      <c r="Q13" s="648">
        <f t="shared" si="1"/>
        <v>70</v>
      </c>
      <c r="R13" s="653">
        <v>70</v>
      </c>
      <c r="S13" s="650"/>
      <c r="T13" s="654">
        <f t="shared" si="2"/>
        <v>70</v>
      </c>
      <c r="U13" s="650"/>
      <c r="V13" s="650"/>
      <c r="W13" s="650"/>
      <c r="X13" s="650"/>
      <c r="Y13" s="650"/>
    </row>
    <row r="14" spans="1:1024" s="357" customFormat="1" ht="116.25" customHeight="1">
      <c r="A14" s="641">
        <v>1111</v>
      </c>
      <c r="B14" s="652" t="s">
        <v>620</v>
      </c>
      <c r="C14" s="643" t="s">
        <v>621</v>
      </c>
      <c r="D14" s="644"/>
      <c r="E14" s="643">
        <v>5</v>
      </c>
      <c r="F14" s="645">
        <v>43206</v>
      </c>
      <c r="G14" s="645">
        <f t="shared" si="0"/>
        <v>43210</v>
      </c>
      <c r="H14" s="644" t="s">
        <v>622</v>
      </c>
      <c r="I14" s="643" t="s">
        <v>170</v>
      </c>
      <c r="J14" s="643" t="s">
        <v>623</v>
      </c>
      <c r="K14" s="643" t="s">
        <v>628</v>
      </c>
      <c r="L14" s="646" t="s">
        <v>625</v>
      </c>
      <c r="M14" s="644"/>
      <c r="N14" s="643"/>
      <c r="O14" s="647">
        <v>46.666666666666671</v>
      </c>
      <c r="P14" s="643">
        <v>1</v>
      </c>
      <c r="Q14" s="648">
        <f t="shared" si="1"/>
        <v>46.666666666666671</v>
      </c>
      <c r="R14" s="653">
        <v>46.666666666666671</v>
      </c>
      <c r="S14" s="650"/>
      <c r="T14" s="654">
        <f t="shared" si="2"/>
        <v>46.666666666666671</v>
      </c>
      <c r="U14" s="650"/>
      <c r="V14" s="650"/>
      <c r="W14" s="650"/>
      <c r="X14" s="650"/>
      <c r="Y14" s="650"/>
    </row>
    <row r="15" spans="1:1024" s="357" customFormat="1" ht="116.25" customHeight="1">
      <c r="A15" s="641">
        <v>1111</v>
      </c>
      <c r="B15" s="652" t="s">
        <v>620</v>
      </c>
      <c r="C15" s="643" t="s">
        <v>621</v>
      </c>
      <c r="D15" s="644"/>
      <c r="E15" s="643">
        <v>5</v>
      </c>
      <c r="F15" s="645">
        <v>43206</v>
      </c>
      <c r="G15" s="645">
        <f t="shared" si="0"/>
        <v>43210</v>
      </c>
      <c r="H15" s="644" t="s">
        <v>622</v>
      </c>
      <c r="I15" s="643" t="s">
        <v>170</v>
      </c>
      <c r="J15" s="643" t="s">
        <v>623</v>
      </c>
      <c r="K15" s="643" t="s">
        <v>629</v>
      </c>
      <c r="L15" s="646" t="s">
        <v>625</v>
      </c>
      <c r="M15" s="644"/>
      <c r="N15" s="643"/>
      <c r="O15" s="647">
        <v>336</v>
      </c>
      <c r="P15" s="643">
        <v>1</v>
      </c>
      <c r="Q15" s="648">
        <f t="shared" si="1"/>
        <v>336</v>
      </c>
      <c r="R15" s="653">
        <v>336</v>
      </c>
      <c r="S15" s="650"/>
      <c r="T15" s="654">
        <f t="shared" si="2"/>
        <v>336</v>
      </c>
      <c r="U15" s="650"/>
      <c r="V15" s="650"/>
      <c r="W15" s="650"/>
      <c r="X15" s="650"/>
      <c r="Y15" s="650"/>
    </row>
    <row r="16" spans="1:1024" s="357" customFormat="1" ht="116.25" customHeight="1">
      <c r="A16" s="641">
        <v>1111</v>
      </c>
      <c r="B16" s="652" t="s">
        <v>620</v>
      </c>
      <c r="C16" s="643" t="s">
        <v>621</v>
      </c>
      <c r="D16" s="644"/>
      <c r="E16" s="643">
        <v>5</v>
      </c>
      <c r="F16" s="645">
        <v>43206</v>
      </c>
      <c r="G16" s="645">
        <f t="shared" si="0"/>
        <v>43210</v>
      </c>
      <c r="H16" s="644" t="s">
        <v>622</v>
      </c>
      <c r="I16" s="643" t="s">
        <v>170</v>
      </c>
      <c r="J16" s="643" t="s">
        <v>623</v>
      </c>
      <c r="K16" s="643" t="s">
        <v>630</v>
      </c>
      <c r="L16" s="646" t="s">
        <v>625</v>
      </c>
      <c r="M16" s="644"/>
      <c r="N16" s="643"/>
      <c r="O16" s="647">
        <v>373.33333333333337</v>
      </c>
      <c r="P16" s="643">
        <v>1</v>
      </c>
      <c r="Q16" s="648">
        <f t="shared" si="1"/>
        <v>373.33333333333337</v>
      </c>
      <c r="R16" s="653">
        <v>373.33333333333337</v>
      </c>
      <c r="S16" s="650"/>
      <c r="T16" s="654">
        <f t="shared" si="2"/>
        <v>373.33333333333337</v>
      </c>
      <c r="U16" s="650"/>
      <c r="V16" s="650"/>
      <c r="W16" s="650"/>
      <c r="X16" s="650"/>
      <c r="Y16" s="650"/>
    </row>
    <row r="17" spans="1:25" s="357" customFormat="1" ht="116.25" customHeight="1">
      <c r="A17" s="641">
        <v>1111</v>
      </c>
      <c r="B17" s="652" t="s">
        <v>620</v>
      </c>
      <c r="C17" s="643" t="s">
        <v>621</v>
      </c>
      <c r="D17" s="644"/>
      <c r="E17" s="643">
        <v>5</v>
      </c>
      <c r="F17" s="645">
        <v>43206</v>
      </c>
      <c r="G17" s="645">
        <f t="shared" si="0"/>
        <v>43210</v>
      </c>
      <c r="H17" s="644" t="s">
        <v>622</v>
      </c>
      <c r="I17" s="643" t="s">
        <v>170</v>
      </c>
      <c r="J17" s="643" t="s">
        <v>623</v>
      </c>
      <c r="K17" s="643" t="s">
        <v>631</v>
      </c>
      <c r="L17" s="646" t="s">
        <v>632</v>
      </c>
      <c r="M17" s="644"/>
      <c r="N17" s="643"/>
      <c r="O17" s="647">
        <v>107</v>
      </c>
      <c r="P17" s="643">
        <v>1</v>
      </c>
      <c r="Q17" s="648">
        <f t="shared" si="1"/>
        <v>107</v>
      </c>
      <c r="R17" s="653">
        <v>107</v>
      </c>
      <c r="S17" s="650"/>
      <c r="T17" s="654">
        <f t="shared" si="2"/>
        <v>107</v>
      </c>
      <c r="U17" s="650"/>
      <c r="V17" s="650"/>
      <c r="W17" s="650"/>
      <c r="X17" s="650"/>
      <c r="Y17" s="650"/>
    </row>
    <row r="18" spans="1:25" s="357" customFormat="1" ht="116.25" customHeight="1">
      <c r="A18" s="641">
        <v>1111</v>
      </c>
      <c r="B18" s="652" t="s">
        <v>620</v>
      </c>
      <c r="C18" s="643" t="s">
        <v>621</v>
      </c>
      <c r="D18" s="644"/>
      <c r="E18" s="643">
        <v>5</v>
      </c>
      <c r="F18" s="645">
        <v>43206</v>
      </c>
      <c r="G18" s="645">
        <f t="shared" si="0"/>
        <v>43210</v>
      </c>
      <c r="H18" s="644" t="s">
        <v>622</v>
      </c>
      <c r="I18" s="643" t="s">
        <v>170</v>
      </c>
      <c r="J18" s="643" t="s">
        <v>623</v>
      </c>
      <c r="K18" s="643" t="s">
        <v>633</v>
      </c>
      <c r="L18" s="646" t="s">
        <v>634</v>
      </c>
      <c r="M18" s="644"/>
      <c r="N18" s="643"/>
      <c r="O18" s="647">
        <v>91</v>
      </c>
      <c r="P18" s="643">
        <v>1</v>
      </c>
      <c r="Q18" s="648">
        <f t="shared" si="1"/>
        <v>91</v>
      </c>
      <c r="R18" s="653">
        <v>91</v>
      </c>
      <c r="S18" s="650"/>
      <c r="T18" s="654">
        <f t="shared" si="2"/>
        <v>91</v>
      </c>
      <c r="U18" s="650"/>
      <c r="V18" s="650"/>
      <c r="W18" s="650"/>
      <c r="X18" s="650"/>
      <c r="Y18" s="650"/>
    </row>
    <row r="19" spans="1:25" s="357" customFormat="1" ht="116.25" customHeight="1">
      <c r="A19" s="641">
        <v>1111</v>
      </c>
      <c r="B19" s="652" t="s">
        <v>620</v>
      </c>
      <c r="C19" s="643" t="s">
        <v>621</v>
      </c>
      <c r="D19" s="644"/>
      <c r="E19" s="643">
        <v>5</v>
      </c>
      <c r="F19" s="645">
        <v>43206</v>
      </c>
      <c r="G19" s="645">
        <f t="shared" si="0"/>
        <v>43210</v>
      </c>
      <c r="H19" s="644" t="s">
        <v>622</v>
      </c>
      <c r="I19" s="643" t="s">
        <v>170</v>
      </c>
      <c r="J19" s="643" t="s">
        <v>623</v>
      </c>
      <c r="K19" s="643" t="s">
        <v>635</v>
      </c>
      <c r="L19" s="646" t="s">
        <v>625</v>
      </c>
      <c r="M19" s="644"/>
      <c r="N19" s="643"/>
      <c r="O19" s="647">
        <v>1092</v>
      </c>
      <c r="P19" s="643">
        <v>1</v>
      </c>
      <c r="Q19" s="648">
        <f t="shared" si="1"/>
        <v>1092</v>
      </c>
      <c r="R19" s="653">
        <v>1092</v>
      </c>
      <c r="S19" s="650"/>
      <c r="T19" s="654">
        <f t="shared" si="2"/>
        <v>1092</v>
      </c>
      <c r="U19" s="650"/>
      <c r="V19" s="650"/>
      <c r="W19" s="650"/>
      <c r="X19" s="650"/>
      <c r="Y19" s="650"/>
    </row>
    <row r="20" spans="1:25" s="357" customFormat="1" ht="116.25" customHeight="1">
      <c r="A20" s="641">
        <v>1111</v>
      </c>
      <c r="B20" s="652" t="s">
        <v>620</v>
      </c>
      <c r="C20" s="643" t="s">
        <v>621</v>
      </c>
      <c r="D20" s="644"/>
      <c r="E20" s="643">
        <v>5</v>
      </c>
      <c r="F20" s="645">
        <v>43206</v>
      </c>
      <c r="G20" s="645">
        <f t="shared" si="0"/>
        <v>43210</v>
      </c>
      <c r="H20" s="644" t="s">
        <v>622</v>
      </c>
      <c r="I20" s="643" t="s">
        <v>170</v>
      </c>
      <c r="J20" s="643" t="s">
        <v>623</v>
      </c>
      <c r="K20" s="643" t="s">
        <v>636</v>
      </c>
      <c r="L20" s="646" t="s">
        <v>625</v>
      </c>
      <c r="M20" s="644"/>
      <c r="N20" s="643"/>
      <c r="O20" s="647">
        <v>1213</v>
      </c>
      <c r="P20" s="643">
        <v>1</v>
      </c>
      <c r="Q20" s="648">
        <f t="shared" si="1"/>
        <v>1213</v>
      </c>
      <c r="R20" s="653">
        <v>1213</v>
      </c>
      <c r="S20" s="650"/>
      <c r="T20" s="654">
        <f t="shared" si="2"/>
        <v>1213</v>
      </c>
      <c r="U20" s="650"/>
      <c r="V20" s="650"/>
      <c r="W20" s="650"/>
      <c r="X20" s="650"/>
      <c r="Y20" s="650"/>
    </row>
    <row r="21" spans="1:25" s="357" customFormat="1" ht="116.25" customHeight="1">
      <c r="A21" s="641">
        <v>1111</v>
      </c>
      <c r="B21" s="652" t="s">
        <v>620</v>
      </c>
      <c r="C21" s="643" t="s">
        <v>621</v>
      </c>
      <c r="D21" s="644"/>
      <c r="E21" s="643">
        <v>5</v>
      </c>
      <c r="F21" s="645">
        <v>43206</v>
      </c>
      <c r="G21" s="645">
        <f t="shared" si="0"/>
        <v>43210</v>
      </c>
      <c r="H21" s="644" t="s">
        <v>622</v>
      </c>
      <c r="I21" s="643" t="s">
        <v>170</v>
      </c>
      <c r="J21" s="643" t="s">
        <v>623</v>
      </c>
      <c r="K21" s="643" t="s">
        <v>637</v>
      </c>
      <c r="L21" s="646" t="s">
        <v>632</v>
      </c>
      <c r="M21" s="644"/>
      <c r="N21" s="643"/>
      <c r="O21" s="647">
        <v>173</v>
      </c>
      <c r="P21" s="643">
        <v>1</v>
      </c>
      <c r="Q21" s="648">
        <f t="shared" si="1"/>
        <v>173</v>
      </c>
      <c r="R21" s="653">
        <v>173</v>
      </c>
      <c r="S21" s="650"/>
      <c r="T21" s="654">
        <f t="shared" si="2"/>
        <v>173</v>
      </c>
      <c r="U21" s="650"/>
      <c r="V21" s="650"/>
      <c r="W21" s="650"/>
      <c r="X21" s="650"/>
      <c r="Y21" s="650"/>
    </row>
    <row r="22" spans="1:25" s="357" customFormat="1" ht="116.25" customHeight="1">
      <c r="A22" s="641">
        <v>1111</v>
      </c>
      <c r="B22" s="652" t="s">
        <v>620</v>
      </c>
      <c r="C22" s="643" t="s">
        <v>621</v>
      </c>
      <c r="D22" s="644"/>
      <c r="E22" s="643">
        <v>5</v>
      </c>
      <c r="F22" s="645">
        <v>43206</v>
      </c>
      <c r="G22" s="645">
        <f t="shared" si="0"/>
        <v>43210</v>
      </c>
      <c r="H22" s="644" t="s">
        <v>622</v>
      </c>
      <c r="I22" s="643" t="s">
        <v>170</v>
      </c>
      <c r="J22" s="643" t="s">
        <v>623</v>
      </c>
      <c r="K22" s="643" t="s">
        <v>638</v>
      </c>
      <c r="L22" s="646" t="s">
        <v>639</v>
      </c>
      <c r="M22" s="644"/>
      <c r="N22" s="643"/>
      <c r="O22" s="647">
        <v>300</v>
      </c>
      <c r="P22" s="643">
        <v>1</v>
      </c>
      <c r="Q22" s="648">
        <f t="shared" si="1"/>
        <v>300</v>
      </c>
      <c r="R22" s="653">
        <v>300</v>
      </c>
      <c r="S22" s="650"/>
      <c r="T22" s="654">
        <f t="shared" si="2"/>
        <v>300</v>
      </c>
      <c r="U22" s="650"/>
      <c r="V22" s="650"/>
      <c r="W22" s="650"/>
      <c r="X22" s="650"/>
      <c r="Y22" s="650"/>
    </row>
    <row r="23" spans="1:25" s="357" customFormat="1" ht="116.25" customHeight="1">
      <c r="A23" s="641">
        <v>1112</v>
      </c>
      <c r="B23" s="655" t="s">
        <v>640</v>
      </c>
      <c r="C23" s="643" t="s">
        <v>641</v>
      </c>
      <c r="D23" s="644"/>
      <c r="E23" s="643">
        <v>5</v>
      </c>
      <c r="F23" s="645">
        <v>43220</v>
      </c>
      <c r="G23" s="645">
        <f t="shared" si="0"/>
        <v>43224</v>
      </c>
      <c r="H23" s="644" t="s">
        <v>622</v>
      </c>
      <c r="I23" s="643" t="s">
        <v>170</v>
      </c>
      <c r="J23" s="643" t="s">
        <v>642</v>
      </c>
      <c r="K23" s="643"/>
      <c r="L23" s="646"/>
      <c r="M23" s="644"/>
      <c r="N23" s="643"/>
      <c r="O23" s="647"/>
      <c r="P23" s="643"/>
      <c r="Q23" s="648">
        <f t="shared" si="1"/>
        <v>22315.666666666664</v>
      </c>
      <c r="R23" s="649">
        <f>SUM(R24:R49)</f>
        <v>22315.666666666664</v>
      </c>
      <c r="S23" s="650"/>
      <c r="T23" s="651"/>
      <c r="U23" s="651"/>
      <c r="V23" s="650"/>
      <c r="W23" s="650"/>
      <c r="X23" s="650"/>
      <c r="Y23" s="650"/>
    </row>
    <row r="24" spans="1:25" s="357" customFormat="1" ht="116.25" customHeight="1">
      <c r="A24" s="641">
        <v>1112</v>
      </c>
      <c r="B24" s="656" t="s">
        <v>640</v>
      </c>
      <c r="C24" s="643" t="s">
        <v>641</v>
      </c>
      <c r="D24" s="644"/>
      <c r="E24" s="643">
        <v>5</v>
      </c>
      <c r="F24" s="645">
        <v>43220</v>
      </c>
      <c r="G24" s="645">
        <f t="shared" si="0"/>
        <v>43224</v>
      </c>
      <c r="H24" s="644" t="s">
        <v>622</v>
      </c>
      <c r="I24" s="643" t="s">
        <v>170</v>
      </c>
      <c r="J24" s="643" t="s">
        <v>642</v>
      </c>
      <c r="K24" s="643" t="s">
        <v>643</v>
      </c>
      <c r="L24" s="646" t="s">
        <v>625</v>
      </c>
      <c r="M24" s="644"/>
      <c r="N24" s="643"/>
      <c r="O24" s="647">
        <v>60</v>
      </c>
      <c r="P24" s="643">
        <v>1</v>
      </c>
      <c r="Q24" s="648">
        <f t="shared" si="1"/>
        <v>60</v>
      </c>
      <c r="R24" s="653">
        <v>60</v>
      </c>
      <c r="S24" s="650"/>
      <c r="T24" s="654">
        <f>Q24</f>
        <v>60</v>
      </c>
      <c r="U24" s="651"/>
      <c r="V24" s="650"/>
      <c r="W24" s="650"/>
      <c r="X24" s="650"/>
      <c r="Y24" s="650"/>
    </row>
    <row r="25" spans="1:25" s="357" customFormat="1" ht="116.25" customHeight="1">
      <c r="A25" s="641">
        <v>1112</v>
      </c>
      <c r="B25" s="656" t="s">
        <v>640</v>
      </c>
      <c r="C25" s="643" t="s">
        <v>641</v>
      </c>
      <c r="D25" s="644"/>
      <c r="E25" s="643">
        <v>5</v>
      </c>
      <c r="F25" s="645">
        <v>43220</v>
      </c>
      <c r="G25" s="645">
        <f t="shared" si="0"/>
        <v>43224</v>
      </c>
      <c r="H25" s="644" t="s">
        <v>622</v>
      </c>
      <c r="I25" s="643" t="s">
        <v>170</v>
      </c>
      <c r="J25" s="643" t="s">
        <v>642</v>
      </c>
      <c r="K25" s="643" t="s">
        <v>644</v>
      </c>
      <c r="L25" s="646" t="s">
        <v>625</v>
      </c>
      <c r="M25" s="644"/>
      <c r="N25" s="643"/>
      <c r="O25" s="647">
        <v>66.666666666666671</v>
      </c>
      <c r="P25" s="643">
        <v>1</v>
      </c>
      <c r="Q25" s="648">
        <f t="shared" si="1"/>
        <v>66.666666666666671</v>
      </c>
      <c r="R25" s="653">
        <v>66.666666666666671</v>
      </c>
      <c r="S25" s="650"/>
      <c r="T25" s="654">
        <f>Q25</f>
        <v>66.666666666666671</v>
      </c>
      <c r="U25" s="651"/>
      <c r="V25" s="650"/>
      <c r="W25" s="650"/>
      <c r="X25" s="650"/>
      <c r="Y25" s="650"/>
    </row>
    <row r="26" spans="1:25" s="357" customFormat="1" ht="116.25" customHeight="1">
      <c r="A26" s="641">
        <v>1112</v>
      </c>
      <c r="B26" s="656" t="s">
        <v>640</v>
      </c>
      <c r="C26" s="643" t="s">
        <v>641</v>
      </c>
      <c r="D26" s="644"/>
      <c r="E26" s="643">
        <v>5</v>
      </c>
      <c r="F26" s="645">
        <v>43220</v>
      </c>
      <c r="G26" s="645">
        <f t="shared" si="0"/>
        <v>43224</v>
      </c>
      <c r="H26" s="644" t="s">
        <v>622</v>
      </c>
      <c r="I26" s="643" t="s">
        <v>170</v>
      </c>
      <c r="J26" s="643" t="s">
        <v>642</v>
      </c>
      <c r="K26" s="643" t="s">
        <v>645</v>
      </c>
      <c r="L26" s="646" t="s">
        <v>625</v>
      </c>
      <c r="M26" s="644"/>
      <c r="N26" s="643"/>
      <c r="O26" s="647">
        <v>50</v>
      </c>
      <c r="P26" s="643">
        <v>1</v>
      </c>
      <c r="Q26" s="648">
        <f t="shared" si="1"/>
        <v>50</v>
      </c>
      <c r="R26" s="653">
        <v>50</v>
      </c>
      <c r="S26" s="650"/>
      <c r="T26" s="654">
        <f>Q26</f>
        <v>50</v>
      </c>
      <c r="U26" s="651"/>
      <c r="V26" s="650"/>
      <c r="W26" s="650"/>
      <c r="X26" s="650"/>
      <c r="Y26" s="650"/>
    </row>
    <row r="27" spans="1:25" s="357" customFormat="1" ht="116.25" customHeight="1">
      <c r="A27" s="641">
        <v>1112</v>
      </c>
      <c r="B27" s="656" t="s">
        <v>640</v>
      </c>
      <c r="C27" s="643" t="s">
        <v>641</v>
      </c>
      <c r="D27" s="644"/>
      <c r="E27" s="643">
        <v>5</v>
      </c>
      <c r="F27" s="645">
        <v>43220</v>
      </c>
      <c r="G27" s="645">
        <f t="shared" si="0"/>
        <v>43224</v>
      </c>
      <c r="H27" s="644" t="s">
        <v>622</v>
      </c>
      <c r="I27" s="643" t="s">
        <v>170</v>
      </c>
      <c r="J27" s="643" t="s">
        <v>642</v>
      </c>
      <c r="K27" s="643" t="s">
        <v>646</v>
      </c>
      <c r="L27" s="646" t="s">
        <v>625</v>
      </c>
      <c r="M27" s="644"/>
      <c r="N27" s="643"/>
      <c r="O27" s="647">
        <v>33.333333333333336</v>
      </c>
      <c r="P27" s="643">
        <v>1</v>
      </c>
      <c r="Q27" s="648">
        <f t="shared" si="1"/>
        <v>33.333333333333336</v>
      </c>
      <c r="R27" s="653">
        <v>33.333333333333336</v>
      </c>
      <c r="S27" s="650"/>
      <c r="T27" s="654">
        <f>Q27</f>
        <v>33.333333333333336</v>
      </c>
      <c r="U27" s="651"/>
      <c r="V27" s="650"/>
      <c r="W27" s="650"/>
      <c r="X27" s="650"/>
      <c r="Y27" s="650"/>
    </row>
    <row r="28" spans="1:25" s="357" customFormat="1" ht="116.25" customHeight="1">
      <c r="A28" s="641">
        <v>1112</v>
      </c>
      <c r="B28" s="656" t="s">
        <v>640</v>
      </c>
      <c r="C28" s="643" t="s">
        <v>641</v>
      </c>
      <c r="D28" s="644"/>
      <c r="E28" s="643">
        <v>5</v>
      </c>
      <c r="F28" s="645">
        <v>43220</v>
      </c>
      <c r="G28" s="645">
        <f t="shared" si="0"/>
        <v>43224</v>
      </c>
      <c r="H28" s="644" t="s">
        <v>622</v>
      </c>
      <c r="I28" s="643" t="s">
        <v>170</v>
      </c>
      <c r="J28" s="643" t="s">
        <v>642</v>
      </c>
      <c r="K28" s="643" t="s">
        <v>647</v>
      </c>
      <c r="L28" s="646" t="s">
        <v>625</v>
      </c>
      <c r="M28" s="644"/>
      <c r="N28" s="643"/>
      <c r="O28" s="647">
        <v>588</v>
      </c>
      <c r="P28" s="643">
        <v>1</v>
      </c>
      <c r="Q28" s="648">
        <f t="shared" si="1"/>
        <v>588</v>
      </c>
      <c r="R28" s="653">
        <v>588</v>
      </c>
      <c r="S28" s="650"/>
      <c r="T28" s="651"/>
      <c r="U28" s="654">
        <f>Q28</f>
        <v>588</v>
      </c>
      <c r="V28" s="650"/>
      <c r="W28" s="650"/>
      <c r="X28" s="650"/>
      <c r="Y28" s="650"/>
    </row>
    <row r="29" spans="1:25" s="357" customFormat="1" ht="116.25" customHeight="1">
      <c r="A29" s="641">
        <v>1112</v>
      </c>
      <c r="B29" s="656" t="s">
        <v>640</v>
      </c>
      <c r="C29" s="643" t="s">
        <v>641</v>
      </c>
      <c r="D29" s="644"/>
      <c r="E29" s="643">
        <v>5</v>
      </c>
      <c r="F29" s="645">
        <v>43220</v>
      </c>
      <c r="G29" s="645">
        <f t="shared" si="0"/>
        <v>43224</v>
      </c>
      <c r="H29" s="644" t="s">
        <v>622</v>
      </c>
      <c r="I29" s="643" t="s">
        <v>170</v>
      </c>
      <c r="J29" s="643" t="s">
        <v>642</v>
      </c>
      <c r="K29" s="643" t="s">
        <v>648</v>
      </c>
      <c r="L29" s="646" t="s">
        <v>625</v>
      </c>
      <c r="M29" s="644"/>
      <c r="N29" s="643"/>
      <c r="O29" s="647">
        <v>653.33333333333337</v>
      </c>
      <c r="P29" s="643">
        <v>1</v>
      </c>
      <c r="Q29" s="648">
        <f t="shared" si="1"/>
        <v>653.33333333333337</v>
      </c>
      <c r="R29" s="653">
        <v>653.33333333333337</v>
      </c>
      <c r="S29" s="650"/>
      <c r="T29" s="651"/>
      <c r="U29" s="654">
        <f>Q29</f>
        <v>653.33333333333337</v>
      </c>
      <c r="V29" s="650"/>
      <c r="W29" s="650"/>
      <c r="X29" s="650"/>
      <c r="Y29" s="650"/>
    </row>
    <row r="30" spans="1:25" s="357" customFormat="1" ht="116.25" customHeight="1">
      <c r="A30" s="641">
        <v>1112</v>
      </c>
      <c r="B30" s="656" t="s">
        <v>640</v>
      </c>
      <c r="C30" s="643" t="s">
        <v>641</v>
      </c>
      <c r="D30" s="644"/>
      <c r="E30" s="643">
        <v>5</v>
      </c>
      <c r="F30" s="645">
        <v>43220</v>
      </c>
      <c r="G30" s="645">
        <f t="shared" si="0"/>
        <v>43224</v>
      </c>
      <c r="H30" s="644" t="s">
        <v>622</v>
      </c>
      <c r="I30" s="643" t="s">
        <v>170</v>
      </c>
      <c r="J30" s="643" t="s">
        <v>642</v>
      </c>
      <c r="K30" s="643" t="s">
        <v>649</v>
      </c>
      <c r="L30" s="646" t="s">
        <v>625</v>
      </c>
      <c r="M30" s="644"/>
      <c r="N30" s="643"/>
      <c r="O30" s="647">
        <v>490</v>
      </c>
      <c r="P30" s="643">
        <v>1</v>
      </c>
      <c r="Q30" s="648">
        <f t="shared" si="1"/>
        <v>490</v>
      </c>
      <c r="R30" s="653">
        <v>490</v>
      </c>
      <c r="S30" s="650"/>
      <c r="T30" s="651"/>
      <c r="U30" s="654">
        <f>Q30</f>
        <v>490</v>
      </c>
      <c r="V30" s="650"/>
      <c r="W30" s="650"/>
      <c r="X30" s="650"/>
      <c r="Y30" s="650"/>
    </row>
    <row r="31" spans="1:25" s="357" customFormat="1" ht="116.25" customHeight="1">
      <c r="A31" s="641">
        <v>1112</v>
      </c>
      <c r="B31" s="656" t="s">
        <v>640</v>
      </c>
      <c r="C31" s="643" t="s">
        <v>641</v>
      </c>
      <c r="D31" s="644"/>
      <c r="E31" s="643">
        <v>5</v>
      </c>
      <c r="F31" s="645">
        <v>43220</v>
      </c>
      <c r="G31" s="645">
        <f t="shared" si="0"/>
        <v>43224</v>
      </c>
      <c r="H31" s="644" t="s">
        <v>622</v>
      </c>
      <c r="I31" s="643" t="s">
        <v>170</v>
      </c>
      <c r="J31" s="643" t="s">
        <v>642</v>
      </c>
      <c r="K31" s="643" t="s">
        <v>650</v>
      </c>
      <c r="L31" s="646" t="s">
        <v>625</v>
      </c>
      <c r="M31" s="644"/>
      <c r="N31" s="643"/>
      <c r="O31" s="647">
        <v>326.66666666666669</v>
      </c>
      <c r="P31" s="643">
        <v>1</v>
      </c>
      <c r="Q31" s="648">
        <f t="shared" si="1"/>
        <v>326.66666666666669</v>
      </c>
      <c r="R31" s="653">
        <v>326.66666666666669</v>
      </c>
      <c r="S31" s="650"/>
      <c r="T31" s="651"/>
      <c r="U31" s="654">
        <f>Q31</f>
        <v>326.66666666666669</v>
      </c>
      <c r="V31" s="650"/>
      <c r="W31" s="650"/>
      <c r="X31" s="650"/>
      <c r="Y31" s="650"/>
    </row>
    <row r="32" spans="1:25" s="357" customFormat="1" ht="116.25" customHeight="1">
      <c r="A32" s="641">
        <v>1112</v>
      </c>
      <c r="B32" s="656" t="s">
        <v>640</v>
      </c>
      <c r="C32" s="643" t="s">
        <v>641</v>
      </c>
      <c r="D32" s="644"/>
      <c r="E32" s="643">
        <v>5</v>
      </c>
      <c r="F32" s="645">
        <v>43220</v>
      </c>
      <c r="G32" s="645">
        <f t="shared" si="0"/>
        <v>43224</v>
      </c>
      <c r="H32" s="644" t="s">
        <v>622</v>
      </c>
      <c r="I32" s="643" t="s">
        <v>170</v>
      </c>
      <c r="J32" s="643" t="s">
        <v>642</v>
      </c>
      <c r="K32" s="643" t="s">
        <v>651</v>
      </c>
      <c r="L32" s="646" t="s">
        <v>634</v>
      </c>
      <c r="M32" s="644"/>
      <c r="N32" s="643"/>
      <c r="O32" s="647">
        <v>6347</v>
      </c>
      <c r="P32" s="643">
        <v>1</v>
      </c>
      <c r="Q32" s="648">
        <f t="shared" si="1"/>
        <v>6347</v>
      </c>
      <c r="R32" s="653">
        <v>6347</v>
      </c>
      <c r="S32" s="650"/>
      <c r="T32" s="654">
        <f>Q32</f>
        <v>6347</v>
      </c>
      <c r="U32" s="651"/>
      <c r="V32" s="650"/>
      <c r="W32" s="650"/>
      <c r="X32" s="650"/>
      <c r="Y32" s="650"/>
    </row>
    <row r="33" spans="1:25" s="357" customFormat="1" ht="116.25" customHeight="1">
      <c r="A33" s="641">
        <v>1112</v>
      </c>
      <c r="B33" s="656" t="s">
        <v>640</v>
      </c>
      <c r="C33" s="643" t="s">
        <v>641</v>
      </c>
      <c r="D33" s="644"/>
      <c r="E33" s="643">
        <v>5</v>
      </c>
      <c r="F33" s="645">
        <v>43220</v>
      </c>
      <c r="G33" s="645">
        <f t="shared" si="0"/>
        <v>43224</v>
      </c>
      <c r="H33" s="644" t="s">
        <v>622</v>
      </c>
      <c r="I33" s="643" t="s">
        <v>170</v>
      </c>
      <c r="J33" s="643" t="s">
        <v>642</v>
      </c>
      <c r="K33" s="643" t="s">
        <v>652</v>
      </c>
      <c r="L33" s="646" t="s">
        <v>625</v>
      </c>
      <c r="M33" s="644"/>
      <c r="N33" s="643"/>
      <c r="O33" s="647">
        <v>924</v>
      </c>
      <c r="P33" s="643">
        <v>1</v>
      </c>
      <c r="Q33" s="648">
        <f t="shared" si="1"/>
        <v>924</v>
      </c>
      <c r="R33" s="653">
        <v>924</v>
      </c>
      <c r="S33" s="650"/>
      <c r="T33" s="651"/>
      <c r="U33" s="654">
        <f t="shared" ref="U33:U39" si="3">Q33</f>
        <v>924</v>
      </c>
      <c r="V33" s="650"/>
      <c r="W33" s="650"/>
      <c r="X33" s="650"/>
      <c r="Y33" s="650"/>
    </row>
    <row r="34" spans="1:25" s="357" customFormat="1" ht="116.25" customHeight="1">
      <c r="A34" s="641">
        <v>1112</v>
      </c>
      <c r="B34" s="656" t="s">
        <v>640</v>
      </c>
      <c r="C34" s="643" t="s">
        <v>641</v>
      </c>
      <c r="D34" s="644"/>
      <c r="E34" s="643">
        <v>5</v>
      </c>
      <c r="F34" s="645">
        <v>43220</v>
      </c>
      <c r="G34" s="645">
        <f t="shared" si="0"/>
        <v>43224</v>
      </c>
      <c r="H34" s="644" t="s">
        <v>622</v>
      </c>
      <c r="I34" s="643" t="s">
        <v>170</v>
      </c>
      <c r="J34" s="643" t="s">
        <v>642</v>
      </c>
      <c r="K34" s="643" t="s">
        <v>653</v>
      </c>
      <c r="L34" s="646" t="s">
        <v>625</v>
      </c>
      <c r="M34" s="644"/>
      <c r="N34" s="643"/>
      <c r="O34" s="647">
        <v>1026.6666666666665</v>
      </c>
      <c r="P34" s="643">
        <v>1</v>
      </c>
      <c r="Q34" s="648">
        <f t="shared" si="1"/>
        <v>1026.6666666666665</v>
      </c>
      <c r="R34" s="653">
        <v>1026.6666666666665</v>
      </c>
      <c r="S34" s="650"/>
      <c r="T34" s="651"/>
      <c r="U34" s="654">
        <f t="shared" si="3"/>
        <v>1026.6666666666665</v>
      </c>
      <c r="V34" s="650"/>
      <c r="W34" s="650"/>
      <c r="X34" s="650"/>
      <c r="Y34" s="650"/>
    </row>
    <row r="35" spans="1:25" s="357" customFormat="1" ht="116.25" customHeight="1">
      <c r="A35" s="641">
        <v>1112</v>
      </c>
      <c r="B35" s="656" t="s">
        <v>640</v>
      </c>
      <c r="C35" s="643" t="s">
        <v>641</v>
      </c>
      <c r="D35" s="644"/>
      <c r="E35" s="643">
        <v>5</v>
      </c>
      <c r="F35" s="645">
        <v>43220</v>
      </c>
      <c r="G35" s="645">
        <f t="shared" si="0"/>
        <v>43224</v>
      </c>
      <c r="H35" s="644" t="s">
        <v>622</v>
      </c>
      <c r="I35" s="643"/>
      <c r="J35" s="643"/>
      <c r="K35" s="643" t="s">
        <v>654</v>
      </c>
      <c r="L35" s="646"/>
      <c r="M35" s="644"/>
      <c r="N35" s="643"/>
      <c r="O35" s="647">
        <v>770</v>
      </c>
      <c r="P35" s="643">
        <v>1</v>
      </c>
      <c r="Q35" s="648">
        <f t="shared" si="1"/>
        <v>770</v>
      </c>
      <c r="R35" s="653">
        <v>770</v>
      </c>
      <c r="S35" s="650"/>
      <c r="T35" s="651"/>
      <c r="U35" s="654"/>
      <c r="V35" s="650"/>
      <c r="W35" s="650"/>
      <c r="X35" s="650"/>
      <c r="Y35" s="650"/>
    </row>
    <row r="36" spans="1:25" s="357" customFormat="1" ht="116.25" customHeight="1">
      <c r="A36" s="641">
        <v>1112</v>
      </c>
      <c r="B36" s="656" t="s">
        <v>640</v>
      </c>
      <c r="C36" s="643" t="s">
        <v>641</v>
      </c>
      <c r="D36" s="644"/>
      <c r="E36" s="643">
        <v>5</v>
      </c>
      <c r="F36" s="645">
        <v>43220</v>
      </c>
      <c r="G36" s="645">
        <f t="shared" si="0"/>
        <v>43224</v>
      </c>
      <c r="H36" s="644" t="s">
        <v>622</v>
      </c>
      <c r="I36" s="643"/>
      <c r="J36" s="643"/>
      <c r="K36" s="643" t="s">
        <v>655</v>
      </c>
      <c r="L36" s="646"/>
      <c r="M36" s="644"/>
      <c r="N36" s="643"/>
      <c r="O36" s="647">
        <v>513</v>
      </c>
      <c r="P36" s="643">
        <v>1</v>
      </c>
      <c r="Q36" s="648">
        <f t="shared" si="1"/>
        <v>513</v>
      </c>
      <c r="R36" s="653">
        <v>513</v>
      </c>
      <c r="S36" s="650"/>
      <c r="T36" s="651"/>
      <c r="U36" s="654"/>
      <c r="V36" s="650"/>
      <c r="W36" s="650"/>
      <c r="X36" s="650"/>
      <c r="Y36" s="650"/>
    </row>
    <row r="37" spans="1:25" s="357" customFormat="1" ht="116.25" customHeight="1">
      <c r="A37" s="641">
        <v>1112</v>
      </c>
      <c r="B37" s="656" t="s">
        <v>640</v>
      </c>
      <c r="C37" s="643" t="s">
        <v>641</v>
      </c>
      <c r="D37" s="644"/>
      <c r="E37" s="643">
        <v>5</v>
      </c>
      <c r="F37" s="645">
        <v>43220</v>
      </c>
      <c r="G37" s="645">
        <f t="shared" si="0"/>
        <v>43224</v>
      </c>
      <c r="H37" s="644" t="s">
        <v>622</v>
      </c>
      <c r="I37" s="643" t="s">
        <v>170</v>
      </c>
      <c r="J37" s="643" t="s">
        <v>642</v>
      </c>
      <c r="K37" s="643" t="s">
        <v>656</v>
      </c>
      <c r="L37" s="646" t="s">
        <v>625</v>
      </c>
      <c r="M37" s="644"/>
      <c r="N37" s="643"/>
      <c r="O37" s="647">
        <v>1764</v>
      </c>
      <c r="P37" s="643">
        <v>1</v>
      </c>
      <c r="Q37" s="648">
        <f t="shared" si="1"/>
        <v>1764</v>
      </c>
      <c r="R37" s="653">
        <v>1764</v>
      </c>
      <c r="S37" s="650"/>
      <c r="T37" s="651"/>
      <c r="U37" s="654">
        <f t="shared" si="3"/>
        <v>1764</v>
      </c>
      <c r="V37" s="650"/>
      <c r="W37" s="650"/>
      <c r="X37" s="650"/>
      <c r="Y37" s="650"/>
    </row>
    <row r="38" spans="1:25" s="357" customFormat="1" ht="116.25" customHeight="1">
      <c r="A38" s="641">
        <v>1112</v>
      </c>
      <c r="B38" s="656" t="s">
        <v>640</v>
      </c>
      <c r="C38" s="643" t="s">
        <v>641</v>
      </c>
      <c r="D38" s="644"/>
      <c r="E38" s="643">
        <v>5</v>
      </c>
      <c r="F38" s="645">
        <v>43220</v>
      </c>
      <c r="G38" s="645">
        <f t="shared" si="0"/>
        <v>43224</v>
      </c>
      <c r="H38" s="644" t="s">
        <v>622</v>
      </c>
      <c r="I38" s="643" t="s">
        <v>170</v>
      </c>
      <c r="J38" s="643" t="s">
        <v>642</v>
      </c>
      <c r="K38" s="643" t="s">
        <v>657</v>
      </c>
      <c r="L38" s="646" t="s">
        <v>625</v>
      </c>
      <c r="M38" s="644"/>
      <c r="N38" s="643"/>
      <c r="O38" s="647">
        <v>1960</v>
      </c>
      <c r="P38" s="643">
        <v>1</v>
      </c>
      <c r="Q38" s="648">
        <f t="shared" si="1"/>
        <v>1960</v>
      </c>
      <c r="R38" s="653">
        <v>1960</v>
      </c>
      <c r="S38" s="650"/>
      <c r="T38" s="651"/>
      <c r="U38" s="654">
        <f t="shared" si="3"/>
        <v>1960</v>
      </c>
      <c r="V38" s="650"/>
      <c r="W38" s="650"/>
      <c r="X38" s="650"/>
      <c r="Y38" s="650"/>
    </row>
    <row r="39" spans="1:25" s="357" customFormat="1" ht="116.25" customHeight="1">
      <c r="A39" s="641">
        <v>1112</v>
      </c>
      <c r="B39" s="656" t="s">
        <v>640</v>
      </c>
      <c r="C39" s="643" t="s">
        <v>641</v>
      </c>
      <c r="D39" s="644"/>
      <c r="E39" s="643">
        <v>5</v>
      </c>
      <c r="F39" s="645">
        <v>43220</v>
      </c>
      <c r="G39" s="645">
        <f t="shared" si="0"/>
        <v>43224</v>
      </c>
      <c r="H39" s="644" t="s">
        <v>622</v>
      </c>
      <c r="I39" s="643"/>
      <c r="J39" s="643"/>
      <c r="K39" s="643" t="s">
        <v>658</v>
      </c>
      <c r="L39" s="646"/>
      <c r="M39" s="644"/>
      <c r="N39" s="643"/>
      <c r="O39" s="647">
        <v>1960</v>
      </c>
      <c r="P39" s="643">
        <v>1</v>
      </c>
      <c r="Q39" s="648">
        <f t="shared" si="1"/>
        <v>1960</v>
      </c>
      <c r="R39" s="653">
        <v>1960</v>
      </c>
      <c r="S39" s="650"/>
      <c r="T39" s="651"/>
      <c r="U39" s="654">
        <f t="shared" si="3"/>
        <v>1960</v>
      </c>
      <c r="V39" s="650"/>
      <c r="W39" s="650"/>
      <c r="X39" s="650"/>
      <c r="Y39" s="650"/>
    </row>
    <row r="40" spans="1:25" s="357" customFormat="1" ht="116.25" customHeight="1">
      <c r="A40" s="641">
        <v>1112</v>
      </c>
      <c r="B40" s="656" t="s">
        <v>640</v>
      </c>
      <c r="C40" s="643" t="s">
        <v>641</v>
      </c>
      <c r="D40" s="644"/>
      <c r="E40" s="643">
        <v>5</v>
      </c>
      <c r="F40" s="645">
        <v>43220</v>
      </c>
      <c r="G40" s="645">
        <f t="shared" si="0"/>
        <v>43224</v>
      </c>
      <c r="H40" s="644" t="s">
        <v>622</v>
      </c>
      <c r="I40" s="643" t="s">
        <v>170</v>
      </c>
      <c r="J40" s="643" t="s">
        <v>642</v>
      </c>
      <c r="K40" s="643" t="s">
        <v>659</v>
      </c>
      <c r="L40" s="646" t="s">
        <v>625</v>
      </c>
      <c r="M40" s="644"/>
      <c r="N40" s="643"/>
      <c r="O40" s="647">
        <v>84</v>
      </c>
      <c r="P40" s="643">
        <v>1</v>
      </c>
      <c r="Q40" s="648">
        <f t="shared" si="1"/>
        <v>84</v>
      </c>
      <c r="R40" s="653">
        <v>84</v>
      </c>
      <c r="S40" s="650"/>
      <c r="T40" s="654">
        <f>Q40</f>
        <v>84</v>
      </c>
      <c r="U40" s="651"/>
      <c r="V40" s="650"/>
      <c r="W40" s="650"/>
      <c r="X40" s="650"/>
      <c r="Y40" s="650"/>
    </row>
    <row r="41" spans="1:25" s="357" customFormat="1" ht="116.25" customHeight="1">
      <c r="A41" s="641">
        <v>1112</v>
      </c>
      <c r="B41" s="656" t="s">
        <v>640</v>
      </c>
      <c r="C41" s="643" t="s">
        <v>641</v>
      </c>
      <c r="D41" s="643"/>
      <c r="E41" s="643">
        <v>5</v>
      </c>
      <c r="F41" s="645">
        <v>43220</v>
      </c>
      <c r="G41" s="645">
        <f t="shared" si="0"/>
        <v>43224</v>
      </c>
      <c r="H41" s="643" t="s">
        <v>622</v>
      </c>
      <c r="I41" s="643" t="s">
        <v>170</v>
      </c>
      <c r="J41" s="643" t="s">
        <v>642</v>
      </c>
      <c r="K41" s="643" t="s">
        <v>660</v>
      </c>
      <c r="L41" s="646" t="s">
        <v>625</v>
      </c>
      <c r="M41" s="644"/>
      <c r="N41" s="643"/>
      <c r="O41" s="647">
        <v>93.333333333333343</v>
      </c>
      <c r="P41" s="643">
        <v>1</v>
      </c>
      <c r="Q41" s="648">
        <f t="shared" si="1"/>
        <v>93.333333333333343</v>
      </c>
      <c r="R41" s="653">
        <v>93.333333333333343</v>
      </c>
      <c r="S41" s="650"/>
      <c r="T41" s="654">
        <f>Q41</f>
        <v>93.333333333333343</v>
      </c>
      <c r="U41" s="651"/>
      <c r="V41" s="650"/>
      <c r="W41" s="650"/>
      <c r="X41" s="650"/>
      <c r="Y41" s="650"/>
    </row>
    <row r="42" spans="1:25" s="357" customFormat="1" ht="116.25" customHeight="1">
      <c r="A42" s="641">
        <v>1112</v>
      </c>
      <c r="B42" s="656" t="s">
        <v>640</v>
      </c>
      <c r="C42" s="643" t="s">
        <v>641</v>
      </c>
      <c r="D42" s="643"/>
      <c r="E42" s="643">
        <v>5</v>
      </c>
      <c r="F42" s="645">
        <v>43220</v>
      </c>
      <c r="G42" s="645">
        <f t="shared" si="0"/>
        <v>43224</v>
      </c>
      <c r="H42" s="643" t="s">
        <v>622</v>
      </c>
      <c r="I42" s="643" t="s">
        <v>170</v>
      </c>
      <c r="J42" s="643" t="s">
        <v>642</v>
      </c>
      <c r="K42" s="643" t="s">
        <v>661</v>
      </c>
      <c r="L42" s="646" t="s">
        <v>625</v>
      </c>
      <c r="M42" s="644"/>
      <c r="N42" s="643"/>
      <c r="O42" s="647">
        <v>70</v>
      </c>
      <c r="P42" s="643">
        <v>1</v>
      </c>
      <c r="Q42" s="648">
        <f t="shared" si="1"/>
        <v>70</v>
      </c>
      <c r="R42" s="653">
        <v>70</v>
      </c>
      <c r="S42" s="650"/>
      <c r="T42" s="654">
        <f>Q42</f>
        <v>70</v>
      </c>
      <c r="U42" s="651"/>
      <c r="V42" s="650"/>
      <c r="W42" s="650"/>
      <c r="X42" s="650"/>
      <c r="Y42" s="650"/>
    </row>
    <row r="43" spans="1:25" s="357" customFormat="1" ht="116.25" customHeight="1">
      <c r="A43" s="641">
        <v>1112</v>
      </c>
      <c r="B43" s="656" t="s">
        <v>640</v>
      </c>
      <c r="C43" s="643" t="s">
        <v>641</v>
      </c>
      <c r="D43" s="643"/>
      <c r="E43" s="643">
        <v>5</v>
      </c>
      <c r="F43" s="645">
        <v>43220</v>
      </c>
      <c r="G43" s="645">
        <f t="shared" si="0"/>
        <v>43224</v>
      </c>
      <c r="H43" s="643" t="s">
        <v>622</v>
      </c>
      <c r="I43" s="643" t="s">
        <v>170</v>
      </c>
      <c r="J43" s="643" t="s">
        <v>642</v>
      </c>
      <c r="K43" s="643" t="s">
        <v>662</v>
      </c>
      <c r="L43" s="646" t="s">
        <v>625</v>
      </c>
      <c r="M43" s="644"/>
      <c r="N43" s="643"/>
      <c r="O43" s="647">
        <v>46.666666666666671</v>
      </c>
      <c r="P43" s="643">
        <v>1</v>
      </c>
      <c r="Q43" s="648">
        <f t="shared" si="1"/>
        <v>46.666666666666671</v>
      </c>
      <c r="R43" s="653">
        <v>46.666666666666671</v>
      </c>
      <c r="S43" s="650"/>
      <c r="T43" s="654">
        <f>Q43</f>
        <v>46.666666666666671</v>
      </c>
      <c r="U43" s="651"/>
      <c r="V43" s="650"/>
      <c r="W43" s="650"/>
      <c r="X43" s="650"/>
      <c r="Y43" s="650"/>
    </row>
    <row r="44" spans="1:25" s="357" customFormat="1" ht="116.25" customHeight="1">
      <c r="A44" s="641">
        <v>1112</v>
      </c>
      <c r="B44" s="656" t="s">
        <v>640</v>
      </c>
      <c r="C44" s="643" t="s">
        <v>641</v>
      </c>
      <c r="D44" s="643"/>
      <c r="E44" s="643">
        <v>5</v>
      </c>
      <c r="F44" s="645">
        <v>43220</v>
      </c>
      <c r="G44" s="645">
        <f t="shared" si="0"/>
        <v>43224</v>
      </c>
      <c r="H44" s="643" t="s">
        <v>622</v>
      </c>
      <c r="I44" s="643" t="s">
        <v>170</v>
      </c>
      <c r="J44" s="643" t="s">
        <v>642</v>
      </c>
      <c r="K44" s="643" t="s">
        <v>663</v>
      </c>
      <c r="L44" s="646" t="s">
        <v>625</v>
      </c>
      <c r="M44" s="644"/>
      <c r="N44" s="643"/>
      <c r="O44" s="647">
        <v>1176</v>
      </c>
      <c r="P44" s="643">
        <v>1</v>
      </c>
      <c r="Q44" s="648">
        <f t="shared" si="1"/>
        <v>1176</v>
      </c>
      <c r="R44" s="653">
        <v>1176</v>
      </c>
      <c r="S44" s="650"/>
      <c r="T44" s="651"/>
      <c r="U44" s="654">
        <f>Q44</f>
        <v>1176</v>
      </c>
      <c r="V44" s="650"/>
      <c r="W44" s="650"/>
      <c r="X44" s="650"/>
      <c r="Y44" s="650"/>
    </row>
    <row r="45" spans="1:25" s="357" customFormat="1" ht="116.25" customHeight="1">
      <c r="A45" s="641">
        <v>1112</v>
      </c>
      <c r="B45" s="656" t="s">
        <v>640</v>
      </c>
      <c r="C45" s="643" t="s">
        <v>641</v>
      </c>
      <c r="D45" s="643"/>
      <c r="E45" s="643">
        <v>5</v>
      </c>
      <c r="F45" s="645">
        <v>43220</v>
      </c>
      <c r="G45" s="645">
        <f t="shared" si="0"/>
        <v>43224</v>
      </c>
      <c r="H45" s="643" t="s">
        <v>622</v>
      </c>
      <c r="I45" s="643" t="s">
        <v>170</v>
      </c>
      <c r="J45" s="643" t="s">
        <v>642</v>
      </c>
      <c r="K45" s="643" t="s">
        <v>664</v>
      </c>
      <c r="L45" s="646" t="s">
        <v>625</v>
      </c>
      <c r="M45" s="644"/>
      <c r="N45" s="643"/>
      <c r="O45" s="647">
        <v>1306.6666666666667</v>
      </c>
      <c r="P45" s="643">
        <v>1</v>
      </c>
      <c r="Q45" s="648">
        <f t="shared" si="1"/>
        <v>1306.6666666666667</v>
      </c>
      <c r="R45" s="653">
        <v>1306.6666666666667</v>
      </c>
      <c r="S45" s="650"/>
      <c r="T45" s="651"/>
      <c r="U45" s="654">
        <f>Q45</f>
        <v>1306.6666666666667</v>
      </c>
      <c r="V45" s="650"/>
      <c r="W45" s="650"/>
      <c r="X45" s="650"/>
      <c r="Y45" s="650"/>
    </row>
    <row r="46" spans="1:25" s="357" customFormat="1" ht="116.25" customHeight="1">
      <c r="A46" s="641">
        <v>1112</v>
      </c>
      <c r="B46" s="656" t="s">
        <v>640</v>
      </c>
      <c r="C46" s="643" t="s">
        <v>641</v>
      </c>
      <c r="D46" s="643"/>
      <c r="E46" s="643">
        <v>5</v>
      </c>
      <c r="F46" s="645">
        <v>43220</v>
      </c>
      <c r="G46" s="645">
        <f t="shared" si="0"/>
        <v>43224</v>
      </c>
      <c r="H46" s="643" t="s">
        <v>622</v>
      </c>
      <c r="I46" s="643" t="s">
        <v>170</v>
      </c>
      <c r="J46" s="643" t="s">
        <v>642</v>
      </c>
      <c r="K46" s="643" t="s">
        <v>665</v>
      </c>
      <c r="L46" s="646" t="s">
        <v>632</v>
      </c>
      <c r="M46" s="644"/>
      <c r="N46" s="643"/>
      <c r="O46" s="647">
        <v>373</v>
      </c>
      <c r="P46" s="643">
        <v>1</v>
      </c>
      <c r="Q46" s="648">
        <f t="shared" si="1"/>
        <v>373</v>
      </c>
      <c r="R46" s="653">
        <v>373</v>
      </c>
      <c r="S46" s="650"/>
      <c r="T46" s="654">
        <f>Q46</f>
        <v>373</v>
      </c>
      <c r="U46" s="651"/>
      <c r="V46" s="650"/>
      <c r="W46" s="650"/>
      <c r="X46" s="650"/>
      <c r="Y46" s="650"/>
    </row>
    <row r="47" spans="1:25" s="357" customFormat="1" ht="116.25" customHeight="1">
      <c r="A47" s="641">
        <v>1112</v>
      </c>
      <c r="B47" s="656" t="s">
        <v>640</v>
      </c>
      <c r="C47" s="643" t="s">
        <v>641</v>
      </c>
      <c r="D47" s="644"/>
      <c r="E47" s="643">
        <v>5</v>
      </c>
      <c r="F47" s="645">
        <v>43220</v>
      </c>
      <c r="G47" s="645">
        <f t="shared" si="0"/>
        <v>43224</v>
      </c>
      <c r="H47" s="644" t="s">
        <v>622</v>
      </c>
      <c r="I47" s="643" t="s">
        <v>170</v>
      </c>
      <c r="J47" s="643" t="s">
        <v>642</v>
      </c>
      <c r="K47" s="643" t="s">
        <v>638</v>
      </c>
      <c r="L47" s="646" t="s">
        <v>639</v>
      </c>
      <c r="M47" s="644"/>
      <c r="N47" s="643"/>
      <c r="O47" s="647">
        <v>833.33333333333337</v>
      </c>
      <c r="P47" s="643">
        <v>1</v>
      </c>
      <c r="Q47" s="648">
        <f t="shared" si="1"/>
        <v>833.33333333333337</v>
      </c>
      <c r="R47" s="653">
        <v>833.33333333333337</v>
      </c>
      <c r="S47" s="650"/>
      <c r="T47" s="654">
        <f>Q47</f>
        <v>833.33333333333337</v>
      </c>
      <c r="U47" s="651"/>
      <c r="V47" s="650"/>
      <c r="W47" s="650"/>
      <c r="X47" s="650"/>
      <c r="Y47" s="650"/>
    </row>
    <row r="48" spans="1:25" s="357" customFormat="1" ht="116.25" customHeight="1">
      <c r="A48" s="641">
        <v>1112</v>
      </c>
      <c r="B48" s="656" t="s">
        <v>640</v>
      </c>
      <c r="C48" s="643" t="s">
        <v>666</v>
      </c>
      <c r="D48" s="644"/>
      <c r="E48" s="643">
        <v>1</v>
      </c>
      <c r="F48" s="645">
        <v>43225</v>
      </c>
      <c r="G48" s="645">
        <f t="shared" si="0"/>
        <v>43225</v>
      </c>
      <c r="H48" s="644" t="s">
        <v>667</v>
      </c>
      <c r="I48" s="643" t="s">
        <v>170</v>
      </c>
      <c r="J48" s="643" t="s">
        <v>642</v>
      </c>
      <c r="K48" s="643" t="s">
        <v>668</v>
      </c>
      <c r="L48" s="646" t="s">
        <v>669</v>
      </c>
      <c r="M48" s="644"/>
      <c r="N48" s="643"/>
      <c r="O48" s="647">
        <v>333.33333333333331</v>
      </c>
      <c r="P48" s="643">
        <v>1</v>
      </c>
      <c r="Q48" s="648">
        <f t="shared" si="1"/>
        <v>333.33333333333331</v>
      </c>
      <c r="R48" s="653">
        <v>333.33333333333331</v>
      </c>
      <c r="S48" s="650"/>
      <c r="T48" s="651"/>
      <c r="U48" s="654">
        <f>Q48</f>
        <v>333.33333333333331</v>
      </c>
      <c r="V48" s="650"/>
      <c r="W48" s="650"/>
      <c r="X48" s="650"/>
      <c r="Y48" s="650"/>
    </row>
    <row r="49" spans="1:25" s="357" customFormat="1" ht="116.25" customHeight="1">
      <c r="A49" s="641">
        <v>1112</v>
      </c>
      <c r="B49" s="656" t="s">
        <v>640</v>
      </c>
      <c r="C49" s="643" t="s">
        <v>666</v>
      </c>
      <c r="D49" s="644"/>
      <c r="E49" s="643">
        <v>1</v>
      </c>
      <c r="F49" s="645">
        <v>43225</v>
      </c>
      <c r="G49" s="645">
        <f t="shared" si="0"/>
        <v>43225</v>
      </c>
      <c r="H49" s="644" t="s">
        <v>667</v>
      </c>
      <c r="I49" s="643" t="s">
        <v>170</v>
      </c>
      <c r="J49" s="643" t="s">
        <v>642</v>
      </c>
      <c r="K49" s="643" t="s">
        <v>670</v>
      </c>
      <c r="L49" s="646" t="s">
        <v>669</v>
      </c>
      <c r="M49" s="644"/>
      <c r="N49" s="643"/>
      <c r="O49" s="647">
        <v>466.66666666666669</v>
      </c>
      <c r="P49" s="643">
        <v>1</v>
      </c>
      <c r="Q49" s="648">
        <f t="shared" si="1"/>
        <v>466.66666666666669</v>
      </c>
      <c r="R49" s="653">
        <v>466.66666666666669</v>
      </c>
      <c r="S49" s="650"/>
      <c r="T49" s="651"/>
      <c r="U49" s="654">
        <f>Q49</f>
        <v>466.66666666666669</v>
      </c>
      <c r="V49" s="650"/>
      <c r="W49" s="650"/>
      <c r="X49" s="650"/>
      <c r="Y49" s="650"/>
    </row>
    <row r="50" spans="1:25" s="357" customFormat="1" ht="73.900000000000006" customHeight="1">
      <c r="A50" s="641">
        <v>1113</v>
      </c>
      <c r="B50" s="655" t="s">
        <v>671</v>
      </c>
      <c r="C50" s="643" t="s">
        <v>672</v>
      </c>
      <c r="D50" s="644"/>
      <c r="E50" s="643">
        <v>5</v>
      </c>
      <c r="F50" s="645">
        <v>43227</v>
      </c>
      <c r="G50" s="645">
        <f t="shared" si="0"/>
        <v>43231</v>
      </c>
      <c r="H50" s="644" t="s">
        <v>667</v>
      </c>
      <c r="I50" s="644" t="s">
        <v>170</v>
      </c>
      <c r="J50" s="643" t="s">
        <v>673</v>
      </c>
      <c r="K50" s="643" t="s">
        <v>268</v>
      </c>
      <c r="L50" s="646"/>
      <c r="M50" s="644"/>
      <c r="N50" s="643"/>
      <c r="O50" s="647"/>
      <c r="P50" s="643"/>
      <c r="Q50" s="648">
        <f t="shared" si="1"/>
        <v>6494.0000000000009</v>
      </c>
      <c r="R50" s="649">
        <f>SUM(R51:R55)</f>
        <v>6494.0000000000009</v>
      </c>
      <c r="S50" s="650"/>
      <c r="T50" s="650"/>
      <c r="U50" s="651"/>
      <c r="V50" s="650"/>
      <c r="W50" s="650"/>
      <c r="X50" s="650"/>
      <c r="Y50" s="650"/>
    </row>
    <row r="51" spans="1:25" s="357" customFormat="1" ht="73.900000000000006" customHeight="1">
      <c r="A51" s="641">
        <v>1113</v>
      </c>
      <c r="B51" s="656" t="s">
        <v>671</v>
      </c>
      <c r="C51" s="643" t="s">
        <v>672</v>
      </c>
      <c r="D51" s="644"/>
      <c r="E51" s="643">
        <v>5</v>
      </c>
      <c r="F51" s="645">
        <v>43227</v>
      </c>
      <c r="G51" s="645">
        <f t="shared" si="0"/>
        <v>43231</v>
      </c>
      <c r="H51" s="644" t="s">
        <v>667</v>
      </c>
      <c r="I51" s="644" t="s">
        <v>170</v>
      </c>
      <c r="J51" s="643" t="s">
        <v>673</v>
      </c>
      <c r="K51" s="643" t="s">
        <v>674</v>
      </c>
      <c r="L51" s="646" t="s">
        <v>625</v>
      </c>
      <c r="M51" s="644"/>
      <c r="N51" s="643"/>
      <c r="O51" s="647">
        <v>588</v>
      </c>
      <c r="P51" s="643">
        <v>1</v>
      </c>
      <c r="Q51" s="648">
        <f t="shared" si="1"/>
        <v>588</v>
      </c>
      <c r="R51" s="653">
        <v>588</v>
      </c>
      <c r="S51" s="650"/>
      <c r="T51" s="650"/>
      <c r="U51" s="654">
        <f>Q51</f>
        <v>588</v>
      </c>
      <c r="V51" s="650"/>
      <c r="W51" s="650"/>
      <c r="X51" s="650"/>
      <c r="Y51" s="650"/>
    </row>
    <row r="52" spans="1:25" s="357" customFormat="1" ht="73.900000000000006" customHeight="1">
      <c r="A52" s="641">
        <v>1113</v>
      </c>
      <c r="B52" s="656" t="s">
        <v>671</v>
      </c>
      <c r="C52" s="643" t="s">
        <v>672</v>
      </c>
      <c r="D52" s="644"/>
      <c r="E52" s="643">
        <v>5</v>
      </c>
      <c r="F52" s="645">
        <v>43227</v>
      </c>
      <c r="G52" s="645">
        <f t="shared" si="0"/>
        <v>43231</v>
      </c>
      <c r="H52" s="644" t="s">
        <v>667</v>
      </c>
      <c r="I52" s="644" t="s">
        <v>170</v>
      </c>
      <c r="J52" s="643" t="s">
        <v>673</v>
      </c>
      <c r="K52" s="643" t="s">
        <v>675</v>
      </c>
      <c r="L52" s="646" t="s">
        <v>625</v>
      </c>
      <c r="M52" s="644"/>
      <c r="N52" s="643"/>
      <c r="O52" s="647">
        <v>653.33333333333337</v>
      </c>
      <c r="P52" s="643">
        <v>1</v>
      </c>
      <c r="Q52" s="648">
        <f t="shared" si="1"/>
        <v>653.33333333333337</v>
      </c>
      <c r="R52" s="653">
        <v>653.33333333333337</v>
      </c>
      <c r="S52" s="650"/>
      <c r="T52" s="650"/>
      <c r="U52" s="654">
        <f>Q52</f>
        <v>653.33333333333337</v>
      </c>
      <c r="V52" s="650"/>
      <c r="W52" s="650"/>
      <c r="X52" s="650"/>
      <c r="Y52" s="650"/>
    </row>
    <row r="53" spans="1:25" s="357" customFormat="1" ht="73.900000000000006" customHeight="1">
      <c r="A53" s="641">
        <v>1113</v>
      </c>
      <c r="B53" s="656" t="s">
        <v>671</v>
      </c>
      <c r="C53" s="643" t="s">
        <v>672</v>
      </c>
      <c r="D53" s="644"/>
      <c r="E53" s="643">
        <v>5</v>
      </c>
      <c r="F53" s="645">
        <v>43227</v>
      </c>
      <c r="G53" s="645">
        <f t="shared" si="0"/>
        <v>43231</v>
      </c>
      <c r="H53" s="644" t="s">
        <v>667</v>
      </c>
      <c r="I53" s="644" t="s">
        <v>170</v>
      </c>
      <c r="J53" s="643" t="s">
        <v>673</v>
      </c>
      <c r="K53" s="643" t="s">
        <v>676</v>
      </c>
      <c r="L53" s="646" t="s">
        <v>632</v>
      </c>
      <c r="M53" s="644"/>
      <c r="N53" s="643"/>
      <c r="O53" s="647">
        <v>653</v>
      </c>
      <c r="P53" s="643">
        <v>1</v>
      </c>
      <c r="Q53" s="648">
        <f t="shared" si="1"/>
        <v>653</v>
      </c>
      <c r="R53" s="653">
        <v>653</v>
      </c>
      <c r="S53" s="650"/>
      <c r="T53" s="650"/>
      <c r="U53" s="654">
        <f>Q53</f>
        <v>653</v>
      </c>
      <c r="V53" s="650"/>
      <c r="W53" s="650"/>
      <c r="X53" s="650"/>
      <c r="Y53" s="650"/>
    </row>
    <row r="54" spans="1:25" s="357" customFormat="1" ht="73.900000000000006" customHeight="1">
      <c r="A54" s="641">
        <v>1113</v>
      </c>
      <c r="B54" s="656" t="s">
        <v>671</v>
      </c>
      <c r="C54" s="643" t="s">
        <v>672</v>
      </c>
      <c r="D54" s="644"/>
      <c r="E54" s="643">
        <v>5</v>
      </c>
      <c r="F54" s="645">
        <v>43227</v>
      </c>
      <c r="G54" s="645">
        <f t="shared" si="0"/>
        <v>43231</v>
      </c>
      <c r="H54" s="644" t="s">
        <v>667</v>
      </c>
      <c r="I54" s="644" t="s">
        <v>170</v>
      </c>
      <c r="J54" s="643" t="s">
        <v>673</v>
      </c>
      <c r="K54" s="643" t="s">
        <v>677</v>
      </c>
      <c r="L54" s="646" t="s">
        <v>669</v>
      </c>
      <c r="M54" s="644"/>
      <c r="N54" s="643"/>
      <c r="O54" s="647">
        <v>3833</v>
      </c>
      <c r="P54" s="643">
        <v>1</v>
      </c>
      <c r="Q54" s="648">
        <f t="shared" si="1"/>
        <v>3833</v>
      </c>
      <c r="R54" s="653">
        <v>3833</v>
      </c>
      <c r="S54" s="650"/>
      <c r="T54" s="650"/>
      <c r="U54" s="654">
        <f>Q54</f>
        <v>3833</v>
      </c>
      <c r="V54" s="650"/>
      <c r="W54" s="650"/>
      <c r="X54" s="650"/>
      <c r="Y54" s="650"/>
    </row>
    <row r="55" spans="1:25" s="357" customFormat="1" ht="73.900000000000006" customHeight="1">
      <c r="A55" s="641">
        <v>1113</v>
      </c>
      <c r="B55" s="656" t="s">
        <v>671</v>
      </c>
      <c r="C55" s="643" t="s">
        <v>672</v>
      </c>
      <c r="D55" s="644"/>
      <c r="E55" s="643">
        <v>5</v>
      </c>
      <c r="F55" s="645">
        <v>43227</v>
      </c>
      <c r="G55" s="645">
        <f t="shared" si="0"/>
        <v>43231</v>
      </c>
      <c r="H55" s="644" t="s">
        <v>667</v>
      </c>
      <c r="I55" s="644" t="s">
        <v>170</v>
      </c>
      <c r="J55" s="643" t="s">
        <v>673</v>
      </c>
      <c r="K55" s="643" t="s">
        <v>678</v>
      </c>
      <c r="L55" s="646" t="s">
        <v>639</v>
      </c>
      <c r="M55" s="644"/>
      <c r="N55" s="643"/>
      <c r="O55" s="647">
        <v>766.66666666666674</v>
      </c>
      <c r="P55" s="643">
        <v>1</v>
      </c>
      <c r="Q55" s="648">
        <f t="shared" si="1"/>
        <v>766.66666666666674</v>
      </c>
      <c r="R55" s="653">
        <v>766.66666666666674</v>
      </c>
      <c r="S55" s="650"/>
      <c r="T55" s="650"/>
      <c r="U55" s="654">
        <f>Q55</f>
        <v>766.66666666666674</v>
      </c>
      <c r="V55" s="650"/>
      <c r="W55" s="650"/>
      <c r="X55" s="650"/>
      <c r="Y55" s="650"/>
    </row>
    <row r="56" spans="1:25" s="357" customFormat="1" ht="73.900000000000006" customHeight="1">
      <c r="A56" s="641">
        <v>1114</v>
      </c>
      <c r="B56" s="655" t="s">
        <v>679</v>
      </c>
      <c r="C56" s="643" t="s">
        <v>680</v>
      </c>
      <c r="D56" s="644"/>
      <c r="E56" s="643">
        <v>5</v>
      </c>
      <c r="F56" s="645">
        <v>43248</v>
      </c>
      <c r="G56" s="645">
        <f t="shared" si="0"/>
        <v>43252</v>
      </c>
      <c r="H56" s="644" t="s">
        <v>681</v>
      </c>
      <c r="I56" s="644" t="s">
        <v>170</v>
      </c>
      <c r="J56" s="643" t="s">
        <v>682</v>
      </c>
      <c r="K56" s="643" t="s">
        <v>268</v>
      </c>
      <c r="L56" s="646"/>
      <c r="M56" s="644"/>
      <c r="N56" s="643"/>
      <c r="O56" s="647"/>
      <c r="P56" s="643"/>
      <c r="Q56" s="648">
        <f t="shared" si="1"/>
        <v>29221</v>
      </c>
      <c r="R56" s="649">
        <f>SUM(R57:R67)</f>
        <v>29221</v>
      </c>
      <c r="S56" s="650"/>
      <c r="T56" s="650"/>
      <c r="U56" s="651"/>
      <c r="V56" s="651"/>
      <c r="W56" s="650"/>
      <c r="X56" s="650"/>
      <c r="Y56" s="650"/>
    </row>
    <row r="57" spans="1:25" s="357" customFormat="1" ht="73.900000000000006" customHeight="1">
      <c r="A57" s="641">
        <v>1114</v>
      </c>
      <c r="B57" s="656" t="s">
        <v>679</v>
      </c>
      <c r="C57" s="643" t="s">
        <v>680</v>
      </c>
      <c r="D57" s="644"/>
      <c r="E57" s="643">
        <v>5</v>
      </c>
      <c r="F57" s="645">
        <v>43248</v>
      </c>
      <c r="G57" s="645">
        <f t="shared" si="0"/>
        <v>43252</v>
      </c>
      <c r="H57" s="644" t="s">
        <v>681</v>
      </c>
      <c r="I57" s="644" t="s">
        <v>170</v>
      </c>
      <c r="J57" s="643" t="s">
        <v>682</v>
      </c>
      <c r="K57" s="643" t="s">
        <v>683</v>
      </c>
      <c r="L57" s="646" t="s">
        <v>625</v>
      </c>
      <c r="M57" s="644"/>
      <c r="N57" s="643"/>
      <c r="O57" s="647">
        <v>588</v>
      </c>
      <c r="P57" s="643">
        <v>1</v>
      </c>
      <c r="Q57" s="648">
        <f t="shared" si="1"/>
        <v>588</v>
      </c>
      <c r="R57" s="653">
        <v>588</v>
      </c>
      <c r="S57" s="650"/>
      <c r="T57" s="650"/>
      <c r="U57" s="654">
        <f t="shared" ref="U57:U64" si="4">Q57</f>
        <v>588</v>
      </c>
      <c r="V57" s="651"/>
      <c r="W57" s="650"/>
      <c r="X57" s="650"/>
      <c r="Y57" s="650"/>
    </row>
    <row r="58" spans="1:25" s="357" customFormat="1" ht="73.900000000000006" customHeight="1">
      <c r="A58" s="641">
        <v>1114</v>
      </c>
      <c r="B58" s="656" t="s">
        <v>679</v>
      </c>
      <c r="C58" s="643" t="s">
        <v>680</v>
      </c>
      <c r="D58" s="644"/>
      <c r="E58" s="643">
        <v>5</v>
      </c>
      <c r="F58" s="645">
        <v>43248</v>
      </c>
      <c r="G58" s="645">
        <f t="shared" si="0"/>
        <v>43252</v>
      </c>
      <c r="H58" s="644" t="s">
        <v>681</v>
      </c>
      <c r="I58" s="644" t="s">
        <v>170</v>
      </c>
      <c r="J58" s="643" t="s">
        <v>682</v>
      </c>
      <c r="K58" s="643" t="s">
        <v>684</v>
      </c>
      <c r="L58" s="646" t="s">
        <v>625</v>
      </c>
      <c r="M58" s="644"/>
      <c r="N58" s="643"/>
      <c r="O58" s="647">
        <v>653.33333333333337</v>
      </c>
      <c r="P58" s="643">
        <v>1</v>
      </c>
      <c r="Q58" s="648">
        <f t="shared" si="1"/>
        <v>653.33333333333337</v>
      </c>
      <c r="R58" s="653">
        <v>653.33333333333337</v>
      </c>
      <c r="S58" s="650"/>
      <c r="T58" s="650"/>
      <c r="U58" s="654">
        <f t="shared" si="4"/>
        <v>653.33333333333337</v>
      </c>
      <c r="V58" s="651"/>
      <c r="W58" s="650"/>
      <c r="X58" s="650"/>
      <c r="Y58" s="650"/>
    </row>
    <row r="59" spans="1:25" s="357" customFormat="1" ht="73.900000000000006" customHeight="1">
      <c r="A59" s="641">
        <v>1114</v>
      </c>
      <c r="B59" s="656" t="s">
        <v>679</v>
      </c>
      <c r="C59" s="643" t="s">
        <v>680</v>
      </c>
      <c r="D59" s="644"/>
      <c r="E59" s="643">
        <v>5</v>
      </c>
      <c r="F59" s="645">
        <v>43248</v>
      </c>
      <c r="G59" s="645">
        <f t="shared" si="0"/>
        <v>43252</v>
      </c>
      <c r="H59" s="644" t="s">
        <v>681</v>
      </c>
      <c r="I59" s="644" t="s">
        <v>170</v>
      </c>
      <c r="J59" s="643" t="s">
        <v>682</v>
      </c>
      <c r="K59" s="643" t="s">
        <v>685</v>
      </c>
      <c r="L59" s="646" t="s">
        <v>625</v>
      </c>
      <c r="M59" s="644"/>
      <c r="N59" s="643"/>
      <c r="O59" s="647">
        <v>490</v>
      </c>
      <c r="P59" s="643">
        <v>1</v>
      </c>
      <c r="Q59" s="648">
        <f t="shared" si="1"/>
        <v>490</v>
      </c>
      <c r="R59" s="653">
        <v>490</v>
      </c>
      <c r="S59" s="650"/>
      <c r="T59" s="650"/>
      <c r="U59" s="654">
        <f t="shared" si="4"/>
        <v>490</v>
      </c>
      <c r="V59" s="651"/>
      <c r="W59" s="650"/>
      <c r="X59" s="650"/>
      <c r="Y59" s="650"/>
    </row>
    <row r="60" spans="1:25" s="357" customFormat="1" ht="73.900000000000006" customHeight="1">
      <c r="A60" s="641">
        <v>1114</v>
      </c>
      <c r="B60" s="656" t="s">
        <v>679</v>
      </c>
      <c r="C60" s="643" t="s">
        <v>680</v>
      </c>
      <c r="D60" s="644"/>
      <c r="E60" s="643">
        <v>5</v>
      </c>
      <c r="F60" s="645">
        <v>43248</v>
      </c>
      <c r="G60" s="645">
        <f t="shared" si="0"/>
        <v>43252</v>
      </c>
      <c r="H60" s="644" t="s">
        <v>681</v>
      </c>
      <c r="I60" s="644" t="s">
        <v>170</v>
      </c>
      <c r="J60" s="643" t="s">
        <v>682</v>
      </c>
      <c r="K60" s="643" t="s">
        <v>686</v>
      </c>
      <c r="L60" s="646" t="s">
        <v>625</v>
      </c>
      <c r="M60" s="644"/>
      <c r="N60" s="643"/>
      <c r="O60" s="647">
        <v>326.66666666666669</v>
      </c>
      <c r="P60" s="643">
        <v>1</v>
      </c>
      <c r="Q60" s="648">
        <f t="shared" si="1"/>
        <v>326.66666666666669</v>
      </c>
      <c r="R60" s="653">
        <v>326.66666666666669</v>
      </c>
      <c r="S60" s="650"/>
      <c r="T60" s="650"/>
      <c r="U60" s="654">
        <f t="shared" si="4"/>
        <v>326.66666666666669</v>
      </c>
      <c r="V60" s="651"/>
      <c r="W60" s="650"/>
      <c r="X60" s="650"/>
      <c r="Y60" s="650"/>
    </row>
    <row r="61" spans="1:25" s="357" customFormat="1" ht="73.900000000000006" customHeight="1">
      <c r="A61" s="641">
        <v>1114</v>
      </c>
      <c r="B61" s="656" t="s">
        <v>679</v>
      </c>
      <c r="C61" s="643" t="s">
        <v>680</v>
      </c>
      <c r="D61" s="644"/>
      <c r="E61" s="643">
        <v>5</v>
      </c>
      <c r="F61" s="645">
        <v>43248</v>
      </c>
      <c r="G61" s="645">
        <f t="shared" si="0"/>
        <v>43252</v>
      </c>
      <c r="H61" s="644" t="s">
        <v>681</v>
      </c>
      <c r="I61" s="644" t="s">
        <v>170</v>
      </c>
      <c r="J61" s="643" t="s">
        <v>682</v>
      </c>
      <c r="K61" s="643" t="s">
        <v>687</v>
      </c>
      <c r="L61" s="646" t="s">
        <v>634</v>
      </c>
      <c r="M61" s="644"/>
      <c r="N61" s="643"/>
      <c r="O61" s="647">
        <v>2221</v>
      </c>
      <c r="P61" s="643">
        <v>1</v>
      </c>
      <c r="Q61" s="648">
        <f t="shared" si="1"/>
        <v>2221</v>
      </c>
      <c r="R61" s="653">
        <v>2221</v>
      </c>
      <c r="S61" s="650"/>
      <c r="T61" s="650"/>
      <c r="U61" s="654">
        <f t="shared" si="4"/>
        <v>2221</v>
      </c>
      <c r="V61" s="651"/>
      <c r="W61" s="650"/>
      <c r="X61" s="650"/>
      <c r="Y61" s="650"/>
    </row>
    <row r="62" spans="1:25" s="357" customFormat="1" ht="73.900000000000006" customHeight="1">
      <c r="A62" s="641">
        <v>1114</v>
      </c>
      <c r="B62" s="656" t="s">
        <v>679</v>
      </c>
      <c r="C62" s="643" t="s">
        <v>680</v>
      </c>
      <c r="D62" s="644"/>
      <c r="E62" s="643">
        <v>5</v>
      </c>
      <c r="F62" s="645">
        <v>43248</v>
      </c>
      <c r="G62" s="645">
        <f t="shared" si="0"/>
        <v>43252</v>
      </c>
      <c r="H62" s="644" t="s">
        <v>681</v>
      </c>
      <c r="I62" s="644" t="s">
        <v>170</v>
      </c>
      <c r="J62" s="643" t="s">
        <v>682</v>
      </c>
      <c r="K62" s="643" t="s">
        <v>688</v>
      </c>
      <c r="L62" s="646" t="s">
        <v>625</v>
      </c>
      <c r="M62" s="644"/>
      <c r="N62" s="643"/>
      <c r="O62" s="647">
        <v>1764</v>
      </c>
      <c r="P62" s="643">
        <v>1</v>
      </c>
      <c r="Q62" s="648">
        <f t="shared" si="1"/>
        <v>1764</v>
      </c>
      <c r="R62" s="653">
        <v>1764</v>
      </c>
      <c r="S62" s="650"/>
      <c r="T62" s="650"/>
      <c r="U62" s="654">
        <f t="shared" si="4"/>
        <v>1764</v>
      </c>
      <c r="V62" s="651"/>
      <c r="W62" s="650"/>
      <c r="X62" s="650"/>
      <c r="Y62" s="650"/>
    </row>
    <row r="63" spans="1:25" s="357" customFormat="1" ht="73.900000000000006" customHeight="1">
      <c r="A63" s="641">
        <v>1114</v>
      </c>
      <c r="B63" s="656" t="s">
        <v>679</v>
      </c>
      <c r="C63" s="643" t="s">
        <v>680</v>
      </c>
      <c r="D63" s="644"/>
      <c r="E63" s="643">
        <v>5</v>
      </c>
      <c r="F63" s="645">
        <v>43248</v>
      </c>
      <c r="G63" s="645">
        <f t="shared" si="0"/>
        <v>43252</v>
      </c>
      <c r="H63" s="644" t="s">
        <v>681</v>
      </c>
      <c r="I63" s="644" t="s">
        <v>170</v>
      </c>
      <c r="J63" s="643" t="s">
        <v>682</v>
      </c>
      <c r="K63" s="643" t="s">
        <v>689</v>
      </c>
      <c r="L63" s="646" t="s">
        <v>625</v>
      </c>
      <c r="M63" s="644"/>
      <c r="N63" s="643"/>
      <c r="O63" s="647">
        <v>1960</v>
      </c>
      <c r="P63" s="643">
        <v>1</v>
      </c>
      <c r="Q63" s="648">
        <f t="shared" si="1"/>
        <v>1960</v>
      </c>
      <c r="R63" s="653">
        <v>1960</v>
      </c>
      <c r="S63" s="650"/>
      <c r="T63" s="650"/>
      <c r="U63" s="654">
        <f t="shared" si="4"/>
        <v>1960</v>
      </c>
      <c r="V63" s="651"/>
      <c r="W63" s="650"/>
      <c r="X63" s="650"/>
      <c r="Y63" s="650"/>
    </row>
    <row r="64" spans="1:25" s="357" customFormat="1" ht="73.900000000000006" customHeight="1">
      <c r="A64" s="641">
        <v>1114</v>
      </c>
      <c r="B64" s="656" t="s">
        <v>679</v>
      </c>
      <c r="C64" s="643" t="s">
        <v>680</v>
      </c>
      <c r="D64" s="644"/>
      <c r="E64" s="643">
        <v>5</v>
      </c>
      <c r="F64" s="645">
        <v>43248</v>
      </c>
      <c r="G64" s="645">
        <f t="shared" si="0"/>
        <v>43252</v>
      </c>
      <c r="H64" s="644" t="s">
        <v>681</v>
      </c>
      <c r="I64" s="644" t="s">
        <v>170</v>
      </c>
      <c r="J64" s="643" t="s">
        <v>682</v>
      </c>
      <c r="K64" s="643" t="s">
        <v>690</v>
      </c>
      <c r="L64" s="646" t="s">
        <v>632</v>
      </c>
      <c r="M64" s="644"/>
      <c r="N64" s="643"/>
      <c r="O64" s="647">
        <v>1960</v>
      </c>
      <c r="P64" s="643">
        <v>1</v>
      </c>
      <c r="Q64" s="648">
        <f t="shared" si="1"/>
        <v>1960</v>
      </c>
      <c r="R64" s="653">
        <v>1960</v>
      </c>
      <c r="S64" s="650"/>
      <c r="T64" s="650"/>
      <c r="U64" s="654">
        <f t="shared" si="4"/>
        <v>1960</v>
      </c>
      <c r="V64" s="651"/>
      <c r="W64" s="650"/>
      <c r="X64" s="650"/>
      <c r="Y64" s="650"/>
    </row>
    <row r="65" spans="1:25" s="357" customFormat="1" ht="73.900000000000006" customHeight="1">
      <c r="A65" s="641">
        <v>1114</v>
      </c>
      <c r="B65" s="656" t="s">
        <v>679</v>
      </c>
      <c r="C65" s="643" t="s">
        <v>680</v>
      </c>
      <c r="D65" s="644"/>
      <c r="E65" s="643">
        <v>5</v>
      </c>
      <c r="F65" s="645">
        <v>43248</v>
      </c>
      <c r="G65" s="645">
        <f t="shared" si="0"/>
        <v>43252</v>
      </c>
      <c r="H65" s="644" t="s">
        <v>681</v>
      </c>
      <c r="I65" s="644" t="s">
        <v>170</v>
      </c>
      <c r="J65" s="643" t="s">
        <v>682</v>
      </c>
      <c r="K65" s="643" t="s">
        <v>691</v>
      </c>
      <c r="L65" s="646" t="s">
        <v>625</v>
      </c>
      <c r="M65" s="644"/>
      <c r="N65" s="643"/>
      <c r="O65" s="647">
        <v>8484</v>
      </c>
      <c r="P65" s="643">
        <v>1</v>
      </c>
      <c r="Q65" s="648">
        <f t="shared" si="1"/>
        <v>8484</v>
      </c>
      <c r="R65" s="653">
        <v>8484</v>
      </c>
      <c r="S65" s="650"/>
      <c r="T65" s="650"/>
      <c r="U65" s="651"/>
      <c r="V65" s="654">
        <f>Q65</f>
        <v>8484</v>
      </c>
      <c r="W65" s="650"/>
      <c r="X65" s="650"/>
      <c r="Y65" s="650"/>
    </row>
    <row r="66" spans="1:25" s="357" customFormat="1" ht="73.900000000000006" customHeight="1">
      <c r="A66" s="641">
        <v>1114</v>
      </c>
      <c r="B66" s="656" t="s">
        <v>679</v>
      </c>
      <c r="C66" s="643" t="s">
        <v>680</v>
      </c>
      <c r="D66" s="644"/>
      <c r="E66" s="643">
        <v>5</v>
      </c>
      <c r="F66" s="645">
        <v>43248</v>
      </c>
      <c r="G66" s="645">
        <f t="shared" si="0"/>
        <v>43252</v>
      </c>
      <c r="H66" s="644" t="s">
        <v>681</v>
      </c>
      <c r="I66" s="644" t="s">
        <v>170</v>
      </c>
      <c r="J66" s="643" t="s">
        <v>682</v>
      </c>
      <c r="K66" s="643" t="s">
        <v>692</v>
      </c>
      <c r="L66" s="646" t="s">
        <v>625</v>
      </c>
      <c r="M66" s="644"/>
      <c r="N66" s="643"/>
      <c r="O66" s="647">
        <v>9427</v>
      </c>
      <c r="P66" s="643">
        <v>1</v>
      </c>
      <c r="Q66" s="648">
        <f t="shared" si="1"/>
        <v>9427</v>
      </c>
      <c r="R66" s="653">
        <v>9427</v>
      </c>
      <c r="S66" s="650"/>
      <c r="T66" s="650"/>
      <c r="U66" s="651"/>
      <c r="V66" s="654">
        <f>Q66</f>
        <v>9427</v>
      </c>
      <c r="W66" s="650"/>
      <c r="X66" s="650"/>
      <c r="Y66" s="650"/>
    </row>
    <row r="67" spans="1:25" s="357" customFormat="1" ht="73.900000000000006" customHeight="1">
      <c r="A67" s="641">
        <v>1114</v>
      </c>
      <c r="B67" s="656" t="s">
        <v>679</v>
      </c>
      <c r="C67" s="643" t="s">
        <v>680</v>
      </c>
      <c r="D67" s="644"/>
      <c r="E67" s="643">
        <v>5</v>
      </c>
      <c r="F67" s="645">
        <v>43248</v>
      </c>
      <c r="G67" s="645">
        <f t="shared" si="0"/>
        <v>43252</v>
      </c>
      <c r="H67" s="644" t="s">
        <v>681</v>
      </c>
      <c r="I67" s="644" t="s">
        <v>170</v>
      </c>
      <c r="J67" s="643" t="s">
        <v>682</v>
      </c>
      <c r="K67" s="643" t="s">
        <v>693</v>
      </c>
      <c r="L67" s="646" t="s">
        <v>632</v>
      </c>
      <c r="M67" s="644"/>
      <c r="N67" s="643"/>
      <c r="O67" s="647">
        <v>1347</v>
      </c>
      <c r="P67" s="643">
        <v>1</v>
      </c>
      <c r="Q67" s="648">
        <f t="shared" si="1"/>
        <v>1347</v>
      </c>
      <c r="R67" s="653">
        <v>1347</v>
      </c>
      <c r="S67" s="650"/>
      <c r="T67" s="650"/>
      <c r="U67" s="651"/>
      <c r="V67" s="654">
        <f>Q67</f>
        <v>1347</v>
      </c>
      <c r="W67" s="650"/>
      <c r="X67" s="650"/>
      <c r="Y67" s="650"/>
    </row>
    <row r="68" spans="1:25" s="357" customFormat="1" ht="97.5" customHeight="1">
      <c r="A68" s="641">
        <v>1115</v>
      </c>
      <c r="B68" s="655" t="s">
        <v>694</v>
      </c>
      <c r="C68" s="643" t="s">
        <v>695</v>
      </c>
      <c r="D68" s="644"/>
      <c r="E68" s="643">
        <v>10</v>
      </c>
      <c r="F68" s="645">
        <v>43257</v>
      </c>
      <c r="G68" s="645">
        <f t="shared" si="0"/>
        <v>43266</v>
      </c>
      <c r="H68" s="644" t="s">
        <v>681</v>
      </c>
      <c r="I68" s="644" t="s">
        <v>170</v>
      </c>
      <c r="J68" s="643" t="s">
        <v>696</v>
      </c>
      <c r="K68" s="643" t="s">
        <v>268</v>
      </c>
      <c r="L68" s="646"/>
      <c r="M68" s="644"/>
      <c r="N68" s="643"/>
      <c r="O68" s="647"/>
      <c r="P68" s="643"/>
      <c r="Q68" s="648">
        <f t="shared" si="1"/>
        <v>68472</v>
      </c>
      <c r="R68" s="649">
        <f>SUM(R69:R86)</f>
        <v>68472</v>
      </c>
      <c r="S68" s="650"/>
      <c r="T68" s="650"/>
      <c r="U68" s="650"/>
      <c r="V68" s="651"/>
      <c r="W68" s="651"/>
      <c r="X68" s="650"/>
      <c r="Y68" s="650"/>
    </row>
    <row r="69" spans="1:25" s="357" customFormat="1" ht="97.5" customHeight="1">
      <c r="A69" s="641">
        <v>1115</v>
      </c>
      <c r="B69" s="656" t="s">
        <v>694</v>
      </c>
      <c r="C69" s="643" t="s">
        <v>695</v>
      </c>
      <c r="D69" s="644"/>
      <c r="E69" s="643">
        <v>10</v>
      </c>
      <c r="F69" s="645">
        <v>43257</v>
      </c>
      <c r="G69" s="645">
        <f t="shared" si="0"/>
        <v>43266</v>
      </c>
      <c r="H69" s="644" t="s">
        <v>681</v>
      </c>
      <c r="I69" s="644" t="s">
        <v>170</v>
      </c>
      <c r="J69" s="643" t="s">
        <v>696</v>
      </c>
      <c r="K69" s="643" t="s">
        <v>697</v>
      </c>
      <c r="L69" s="646" t="s">
        <v>625</v>
      </c>
      <c r="M69" s="644"/>
      <c r="N69" s="643"/>
      <c r="O69" s="647">
        <v>420</v>
      </c>
      <c r="P69" s="643">
        <v>1</v>
      </c>
      <c r="Q69" s="648">
        <f t="shared" si="1"/>
        <v>420</v>
      </c>
      <c r="R69" s="653">
        <v>420</v>
      </c>
      <c r="S69" s="650"/>
      <c r="T69" s="650"/>
      <c r="U69" s="650"/>
      <c r="V69" s="654">
        <f>Q69</f>
        <v>420</v>
      </c>
      <c r="W69" s="651"/>
      <c r="X69" s="650"/>
      <c r="Y69" s="650"/>
    </row>
    <row r="70" spans="1:25" s="357" customFormat="1" ht="97.5" customHeight="1">
      <c r="A70" s="641">
        <v>1115</v>
      </c>
      <c r="B70" s="656" t="s">
        <v>694</v>
      </c>
      <c r="C70" s="643" t="s">
        <v>695</v>
      </c>
      <c r="D70" s="644"/>
      <c r="E70" s="643">
        <v>10</v>
      </c>
      <c r="F70" s="645">
        <v>43257</v>
      </c>
      <c r="G70" s="645">
        <f t="shared" si="0"/>
        <v>43266</v>
      </c>
      <c r="H70" s="644" t="s">
        <v>681</v>
      </c>
      <c r="I70" s="644" t="s">
        <v>170</v>
      </c>
      <c r="J70" s="643" t="s">
        <v>696</v>
      </c>
      <c r="K70" s="643" t="s">
        <v>698</v>
      </c>
      <c r="L70" s="646" t="s">
        <v>625</v>
      </c>
      <c r="M70" s="644"/>
      <c r="N70" s="643"/>
      <c r="O70" s="647">
        <v>466.66666666666669</v>
      </c>
      <c r="P70" s="643">
        <v>1</v>
      </c>
      <c r="Q70" s="648">
        <f t="shared" si="1"/>
        <v>466.66666666666669</v>
      </c>
      <c r="R70" s="653">
        <v>466.66666666666669</v>
      </c>
      <c r="S70" s="650"/>
      <c r="T70" s="650"/>
      <c r="U70" s="650"/>
      <c r="V70" s="654">
        <f t="shared" ref="V70:V80" si="5">Q70</f>
        <v>466.66666666666669</v>
      </c>
      <c r="W70" s="651"/>
      <c r="X70" s="650"/>
      <c r="Y70" s="650"/>
    </row>
    <row r="71" spans="1:25" s="357" customFormat="1" ht="97.5" customHeight="1">
      <c r="A71" s="641">
        <v>1115</v>
      </c>
      <c r="B71" s="656" t="s">
        <v>694</v>
      </c>
      <c r="C71" s="643" t="s">
        <v>695</v>
      </c>
      <c r="D71" s="644"/>
      <c r="E71" s="643">
        <v>10</v>
      </c>
      <c r="F71" s="645">
        <v>43257</v>
      </c>
      <c r="G71" s="645">
        <f t="shared" si="0"/>
        <v>43266</v>
      </c>
      <c r="H71" s="644" t="s">
        <v>681</v>
      </c>
      <c r="I71" s="644" t="s">
        <v>170</v>
      </c>
      <c r="J71" s="643" t="s">
        <v>696</v>
      </c>
      <c r="K71" s="643" t="s">
        <v>699</v>
      </c>
      <c r="L71" s="646" t="s">
        <v>625</v>
      </c>
      <c r="M71" s="644"/>
      <c r="N71" s="643"/>
      <c r="O71" s="647">
        <v>350</v>
      </c>
      <c r="P71" s="643">
        <v>1</v>
      </c>
      <c r="Q71" s="648">
        <f t="shared" si="1"/>
        <v>350</v>
      </c>
      <c r="R71" s="653">
        <v>350</v>
      </c>
      <c r="S71" s="650"/>
      <c r="T71" s="650"/>
      <c r="U71" s="650"/>
      <c r="V71" s="654">
        <f t="shared" si="5"/>
        <v>350</v>
      </c>
      <c r="W71" s="651"/>
      <c r="X71" s="650"/>
      <c r="Y71" s="650"/>
    </row>
    <row r="72" spans="1:25" s="357" customFormat="1" ht="97.5" customHeight="1">
      <c r="A72" s="641">
        <v>1115</v>
      </c>
      <c r="B72" s="656" t="s">
        <v>694</v>
      </c>
      <c r="C72" s="643" t="s">
        <v>695</v>
      </c>
      <c r="D72" s="644"/>
      <c r="E72" s="643">
        <v>10</v>
      </c>
      <c r="F72" s="645">
        <v>43257</v>
      </c>
      <c r="G72" s="645">
        <f t="shared" si="0"/>
        <v>43266</v>
      </c>
      <c r="H72" s="644" t="s">
        <v>681</v>
      </c>
      <c r="I72" s="644" t="s">
        <v>170</v>
      </c>
      <c r="J72" s="643" t="s">
        <v>696</v>
      </c>
      <c r="K72" s="643" t="s">
        <v>700</v>
      </c>
      <c r="L72" s="646" t="s">
        <v>625</v>
      </c>
      <c r="M72" s="644"/>
      <c r="N72" s="643"/>
      <c r="O72" s="647">
        <v>233.33333333333334</v>
      </c>
      <c r="P72" s="643">
        <v>1</v>
      </c>
      <c r="Q72" s="648">
        <f t="shared" si="1"/>
        <v>233.33333333333334</v>
      </c>
      <c r="R72" s="653">
        <v>233.33333333333334</v>
      </c>
      <c r="S72" s="650"/>
      <c r="T72" s="650"/>
      <c r="U72" s="650"/>
      <c r="V72" s="654">
        <f t="shared" si="5"/>
        <v>233.33333333333334</v>
      </c>
      <c r="W72" s="651"/>
      <c r="X72" s="650"/>
      <c r="Y72" s="650"/>
    </row>
    <row r="73" spans="1:25" s="357" customFormat="1" ht="97.5" customHeight="1">
      <c r="A73" s="641">
        <v>1115</v>
      </c>
      <c r="B73" s="656" t="s">
        <v>694</v>
      </c>
      <c r="C73" s="643" t="s">
        <v>695</v>
      </c>
      <c r="D73" s="644"/>
      <c r="E73" s="643">
        <v>10</v>
      </c>
      <c r="F73" s="645">
        <v>43257</v>
      </c>
      <c r="G73" s="645">
        <f t="shared" si="0"/>
        <v>43266</v>
      </c>
      <c r="H73" s="644" t="s">
        <v>681</v>
      </c>
      <c r="I73" s="644" t="s">
        <v>170</v>
      </c>
      <c r="J73" s="643" t="s">
        <v>696</v>
      </c>
      <c r="K73" s="643" t="s">
        <v>683</v>
      </c>
      <c r="L73" s="646" t="s">
        <v>625</v>
      </c>
      <c r="M73" s="644"/>
      <c r="N73" s="643"/>
      <c r="O73" s="647">
        <v>1176</v>
      </c>
      <c r="P73" s="643">
        <v>1</v>
      </c>
      <c r="Q73" s="648">
        <f t="shared" si="1"/>
        <v>1176</v>
      </c>
      <c r="R73" s="653">
        <v>1176</v>
      </c>
      <c r="S73" s="650"/>
      <c r="T73" s="650"/>
      <c r="U73" s="650"/>
      <c r="V73" s="654">
        <f t="shared" si="5"/>
        <v>1176</v>
      </c>
      <c r="W73" s="651"/>
      <c r="X73" s="650"/>
      <c r="Y73" s="650"/>
    </row>
    <row r="74" spans="1:25" s="357" customFormat="1" ht="97.5" customHeight="1">
      <c r="A74" s="641">
        <v>1115</v>
      </c>
      <c r="B74" s="656" t="s">
        <v>694</v>
      </c>
      <c r="C74" s="643" t="s">
        <v>695</v>
      </c>
      <c r="D74" s="644"/>
      <c r="E74" s="643">
        <v>10</v>
      </c>
      <c r="F74" s="645">
        <v>43257</v>
      </c>
      <c r="G74" s="645">
        <f t="shared" si="0"/>
        <v>43266</v>
      </c>
      <c r="H74" s="644" t="s">
        <v>681</v>
      </c>
      <c r="I74" s="644" t="s">
        <v>170</v>
      </c>
      <c r="J74" s="643" t="s">
        <v>696</v>
      </c>
      <c r="K74" s="643" t="s">
        <v>684</v>
      </c>
      <c r="L74" s="646" t="s">
        <v>625</v>
      </c>
      <c r="M74" s="644"/>
      <c r="N74" s="643"/>
      <c r="O74" s="647">
        <v>1307</v>
      </c>
      <c r="P74" s="643">
        <v>1</v>
      </c>
      <c r="Q74" s="648">
        <f t="shared" si="1"/>
        <v>1307</v>
      </c>
      <c r="R74" s="653">
        <v>1307</v>
      </c>
      <c r="S74" s="650"/>
      <c r="T74" s="650"/>
      <c r="U74" s="650"/>
      <c r="V74" s="654">
        <f t="shared" si="5"/>
        <v>1307</v>
      </c>
      <c r="W74" s="651"/>
      <c r="X74" s="650"/>
      <c r="Y74" s="650"/>
    </row>
    <row r="75" spans="1:25" s="357" customFormat="1" ht="97.5" customHeight="1">
      <c r="A75" s="641">
        <v>1115</v>
      </c>
      <c r="B75" s="656" t="s">
        <v>694</v>
      </c>
      <c r="C75" s="643" t="s">
        <v>695</v>
      </c>
      <c r="D75" s="644"/>
      <c r="E75" s="643">
        <v>10</v>
      </c>
      <c r="F75" s="645">
        <v>43257</v>
      </c>
      <c r="G75" s="645">
        <f t="shared" si="0"/>
        <v>43266</v>
      </c>
      <c r="H75" s="644" t="s">
        <v>681</v>
      </c>
      <c r="I75" s="644" t="s">
        <v>170</v>
      </c>
      <c r="J75" s="643" t="s">
        <v>696</v>
      </c>
      <c r="K75" s="643" t="s">
        <v>685</v>
      </c>
      <c r="L75" s="646" t="s">
        <v>625</v>
      </c>
      <c r="M75" s="644"/>
      <c r="N75" s="643"/>
      <c r="O75" s="647">
        <v>980</v>
      </c>
      <c r="P75" s="643">
        <v>1</v>
      </c>
      <c r="Q75" s="648">
        <f t="shared" ref="Q75:Q94" si="6">R75</f>
        <v>980</v>
      </c>
      <c r="R75" s="653">
        <v>980</v>
      </c>
      <c r="S75" s="650"/>
      <c r="T75" s="650"/>
      <c r="U75" s="650"/>
      <c r="V75" s="654">
        <f>Q75</f>
        <v>980</v>
      </c>
      <c r="W75" s="651"/>
      <c r="X75" s="650"/>
      <c r="Y75" s="650"/>
    </row>
    <row r="76" spans="1:25" s="357" customFormat="1" ht="97.5" customHeight="1">
      <c r="A76" s="641">
        <v>1115</v>
      </c>
      <c r="B76" s="656" t="s">
        <v>694</v>
      </c>
      <c r="C76" s="643" t="s">
        <v>695</v>
      </c>
      <c r="D76" s="644"/>
      <c r="E76" s="643">
        <v>10</v>
      </c>
      <c r="F76" s="645">
        <v>43257</v>
      </c>
      <c r="G76" s="645">
        <f t="shared" si="0"/>
        <v>43266</v>
      </c>
      <c r="H76" s="644" t="s">
        <v>681</v>
      </c>
      <c r="I76" s="644" t="s">
        <v>170</v>
      </c>
      <c r="J76" s="643" t="s">
        <v>696</v>
      </c>
      <c r="K76" s="643" t="s">
        <v>686</v>
      </c>
      <c r="L76" s="646" t="s">
        <v>625</v>
      </c>
      <c r="M76" s="644"/>
      <c r="N76" s="643"/>
      <c r="O76" s="647">
        <v>653</v>
      </c>
      <c r="P76" s="643">
        <v>1</v>
      </c>
      <c r="Q76" s="648">
        <f t="shared" si="6"/>
        <v>653</v>
      </c>
      <c r="R76" s="653">
        <v>653</v>
      </c>
      <c r="S76" s="650"/>
      <c r="T76" s="650"/>
      <c r="U76" s="650"/>
      <c r="V76" s="654">
        <f t="shared" si="5"/>
        <v>653</v>
      </c>
      <c r="W76" s="651"/>
      <c r="X76" s="650"/>
      <c r="Y76" s="650"/>
    </row>
    <row r="77" spans="1:25" s="357" customFormat="1" ht="97.5" customHeight="1">
      <c r="A77" s="641">
        <v>1115</v>
      </c>
      <c r="B77" s="656" t="s">
        <v>694</v>
      </c>
      <c r="C77" s="643" t="s">
        <v>695</v>
      </c>
      <c r="D77" s="644"/>
      <c r="E77" s="643">
        <v>10</v>
      </c>
      <c r="F77" s="645">
        <v>43257</v>
      </c>
      <c r="G77" s="645">
        <f t="shared" si="0"/>
        <v>43266</v>
      </c>
      <c r="H77" s="644" t="s">
        <v>681</v>
      </c>
      <c r="I77" s="644" t="s">
        <v>170</v>
      </c>
      <c r="J77" s="643" t="s">
        <v>696</v>
      </c>
      <c r="K77" s="643" t="s">
        <v>701</v>
      </c>
      <c r="L77" s="646" t="s">
        <v>634</v>
      </c>
      <c r="M77" s="644"/>
      <c r="N77" s="643"/>
      <c r="O77" s="647">
        <v>4443</v>
      </c>
      <c r="P77" s="643">
        <v>1</v>
      </c>
      <c r="Q77" s="648">
        <f t="shared" si="6"/>
        <v>4443</v>
      </c>
      <c r="R77" s="653">
        <v>4443</v>
      </c>
      <c r="S77" s="650"/>
      <c r="T77" s="650"/>
      <c r="U77" s="650"/>
      <c r="V77" s="654">
        <f t="shared" si="5"/>
        <v>4443</v>
      </c>
      <c r="W77" s="651"/>
      <c r="X77" s="650"/>
      <c r="Y77" s="650"/>
    </row>
    <row r="78" spans="1:25" s="357" customFormat="1" ht="97.5" customHeight="1">
      <c r="A78" s="641">
        <v>1115</v>
      </c>
      <c r="B78" s="656" t="s">
        <v>694</v>
      </c>
      <c r="C78" s="643" t="s">
        <v>695</v>
      </c>
      <c r="D78" s="644"/>
      <c r="E78" s="643">
        <v>10</v>
      </c>
      <c r="F78" s="645">
        <v>43257</v>
      </c>
      <c r="G78" s="645">
        <f t="shared" ref="G78:G94" si="7">F78+E78-1</f>
        <v>43266</v>
      </c>
      <c r="H78" s="644" t="s">
        <v>681</v>
      </c>
      <c r="I78" s="644" t="s">
        <v>170</v>
      </c>
      <c r="J78" s="643" t="s">
        <v>696</v>
      </c>
      <c r="K78" s="643" t="s">
        <v>702</v>
      </c>
      <c r="L78" s="646" t="s">
        <v>625</v>
      </c>
      <c r="M78" s="644"/>
      <c r="N78" s="643"/>
      <c r="O78" s="647">
        <v>3528</v>
      </c>
      <c r="P78" s="643">
        <v>1</v>
      </c>
      <c r="Q78" s="648">
        <f t="shared" si="6"/>
        <v>3528</v>
      </c>
      <c r="R78" s="653">
        <v>3528</v>
      </c>
      <c r="S78" s="650"/>
      <c r="T78" s="650"/>
      <c r="U78" s="650"/>
      <c r="V78" s="654">
        <f>Q78</f>
        <v>3528</v>
      </c>
      <c r="W78" s="651"/>
      <c r="X78" s="650"/>
      <c r="Y78" s="650"/>
    </row>
    <row r="79" spans="1:25" s="357" customFormat="1" ht="97.5" customHeight="1">
      <c r="A79" s="641">
        <v>1115</v>
      </c>
      <c r="B79" s="656" t="s">
        <v>694</v>
      </c>
      <c r="C79" s="643" t="s">
        <v>695</v>
      </c>
      <c r="D79" s="644"/>
      <c r="E79" s="643">
        <v>10</v>
      </c>
      <c r="F79" s="645">
        <v>43257</v>
      </c>
      <c r="G79" s="645">
        <f t="shared" si="7"/>
        <v>43266</v>
      </c>
      <c r="H79" s="644" t="s">
        <v>681</v>
      </c>
      <c r="I79" s="644" t="s">
        <v>170</v>
      </c>
      <c r="J79" s="643" t="s">
        <v>696</v>
      </c>
      <c r="K79" s="643" t="s">
        <v>689</v>
      </c>
      <c r="L79" s="646" t="s">
        <v>625</v>
      </c>
      <c r="M79" s="644"/>
      <c r="N79" s="643"/>
      <c r="O79" s="647">
        <v>3920</v>
      </c>
      <c r="P79" s="643">
        <v>1</v>
      </c>
      <c r="Q79" s="648">
        <f t="shared" si="6"/>
        <v>3920</v>
      </c>
      <c r="R79" s="653">
        <v>3920</v>
      </c>
      <c r="S79" s="650"/>
      <c r="T79" s="650"/>
      <c r="U79" s="650"/>
      <c r="V79" s="654">
        <f t="shared" si="5"/>
        <v>3920</v>
      </c>
      <c r="W79" s="651"/>
      <c r="X79" s="650"/>
      <c r="Y79" s="650"/>
    </row>
    <row r="80" spans="1:25" s="357" customFormat="1" ht="97.5" customHeight="1">
      <c r="A80" s="641">
        <v>1115</v>
      </c>
      <c r="B80" s="656" t="s">
        <v>694</v>
      </c>
      <c r="C80" s="643" t="s">
        <v>695</v>
      </c>
      <c r="D80" s="644"/>
      <c r="E80" s="643">
        <v>10</v>
      </c>
      <c r="F80" s="645">
        <v>43257</v>
      </c>
      <c r="G80" s="645">
        <f t="shared" si="7"/>
        <v>43266</v>
      </c>
      <c r="H80" s="644" t="s">
        <v>681</v>
      </c>
      <c r="I80" s="644" t="s">
        <v>170</v>
      </c>
      <c r="J80" s="643" t="s">
        <v>696</v>
      </c>
      <c r="K80" s="643" t="s">
        <v>690</v>
      </c>
      <c r="L80" s="646" t="s">
        <v>632</v>
      </c>
      <c r="M80" s="644"/>
      <c r="N80" s="643"/>
      <c r="O80" s="647">
        <v>1960</v>
      </c>
      <c r="P80" s="643">
        <v>1</v>
      </c>
      <c r="Q80" s="648">
        <f t="shared" si="6"/>
        <v>1960</v>
      </c>
      <c r="R80" s="653">
        <v>1960</v>
      </c>
      <c r="S80" s="650"/>
      <c r="T80" s="650"/>
      <c r="U80" s="650"/>
      <c r="V80" s="654">
        <f t="shared" si="5"/>
        <v>1960</v>
      </c>
      <c r="W80" s="651"/>
      <c r="X80" s="650"/>
      <c r="Y80" s="650"/>
    </row>
    <row r="81" spans="1:25" s="357" customFormat="1" ht="97.5" customHeight="1">
      <c r="A81" s="641">
        <v>1115</v>
      </c>
      <c r="B81" s="656" t="s">
        <v>694</v>
      </c>
      <c r="C81" s="643" t="s">
        <v>695</v>
      </c>
      <c r="D81" s="644"/>
      <c r="E81" s="643">
        <v>10</v>
      </c>
      <c r="F81" s="645">
        <v>43257</v>
      </c>
      <c r="G81" s="645">
        <f t="shared" si="7"/>
        <v>43266</v>
      </c>
      <c r="H81" s="644" t="s">
        <v>681</v>
      </c>
      <c r="I81" s="644" t="s">
        <v>170</v>
      </c>
      <c r="J81" s="643" t="s">
        <v>696</v>
      </c>
      <c r="K81" s="643" t="s">
        <v>703</v>
      </c>
      <c r="L81" s="646" t="s">
        <v>625</v>
      </c>
      <c r="M81" s="644"/>
      <c r="N81" s="643"/>
      <c r="O81" s="647">
        <v>16968</v>
      </c>
      <c r="P81" s="643">
        <v>1</v>
      </c>
      <c r="Q81" s="648">
        <f t="shared" si="6"/>
        <v>16968</v>
      </c>
      <c r="R81" s="653">
        <v>16968</v>
      </c>
      <c r="S81" s="650"/>
      <c r="T81" s="650"/>
      <c r="U81" s="650"/>
      <c r="V81" s="651"/>
      <c r="W81" s="654">
        <f>Q81</f>
        <v>16968</v>
      </c>
      <c r="X81" s="650"/>
      <c r="Y81" s="650"/>
    </row>
    <row r="82" spans="1:25" s="357" customFormat="1" ht="97.5" customHeight="1">
      <c r="A82" s="641">
        <v>1115</v>
      </c>
      <c r="B82" s="656" t="s">
        <v>694</v>
      </c>
      <c r="C82" s="643" t="s">
        <v>695</v>
      </c>
      <c r="D82" s="644"/>
      <c r="E82" s="643">
        <v>10</v>
      </c>
      <c r="F82" s="645">
        <v>43257</v>
      </c>
      <c r="G82" s="645">
        <f t="shared" si="7"/>
        <v>43266</v>
      </c>
      <c r="H82" s="644" t="s">
        <v>681</v>
      </c>
      <c r="I82" s="644" t="s">
        <v>170</v>
      </c>
      <c r="J82" s="643" t="s">
        <v>696</v>
      </c>
      <c r="K82" s="643" t="s">
        <v>692</v>
      </c>
      <c r="L82" s="646" t="s">
        <v>625</v>
      </c>
      <c r="M82" s="644"/>
      <c r="N82" s="643"/>
      <c r="O82" s="647">
        <v>18853</v>
      </c>
      <c r="P82" s="643">
        <v>1</v>
      </c>
      <c r="Q82" s="648">
        <f t="shared" si="6"/>
        <v>18853</v>
      </c>
      <c r="R82" s="653">
        <v>18853</v>
      </c>
      <c r="S82" s="650"/>
      <c r="T82" s="650"/>
      <c r="U82" s="650"/>
      <c r="V82" s="651"/>
      <c r="W82" s="654">
        <f>Q82</f>
        <v>18853</v>
      </c>
      <c r="X82" s="650"/>
      <c r="Y82" s="650"/>
    </row>
    <row r="83" spans="1:25" s="357" customFormat="1" ht="97.5" customHeight="1">
      <c r="A83" s="641">
        <v>1115</v>
      </c>
      <c r="B83" s="656" t="s">
        <v>694</v>
      </c>
      <c r="C83" s="643" t="s">
        <v>695</v>
      </c>
      <c r="D83" s="644"/>
      <c r="E83" s="643">
        <v>10</v>
      </c>
      <c r="F83" s="645">
        <v>43257</v>
      </c>
      <c r="G83" s="645">
        <f t="shared" si="7"/>
        <v>43266</v>
      </c>
      <c r="H83" s="644" t="s">
        <v>681</v>
      </c>
      <c r="I83" s="644" t="s">
        <v>170</v>
      </c>
      <c r="J83" s="643" t="s">
        <v>696</v>
      </c>
      <c r="K83" s="643" t="s">
        <v>693</v>
      </c>
      <c r="L83" s="646" t="s">
        <v>632</v>
      </c>
      <c r="M83" s="644"/>
      <c r="N83" s="643"/>
      <c r="O83" s="647">
        <v>1347</v>
      </c>
      <c r="P83" s="643">
        <v>1</v>
      </c>
      <c r="Q83" s="648">
        <f t="shared" si="6"/>
        <v>1347</v>
      </c>
      <c r="R83" s="653">
        <v>1347</v>
      </c>
      <c r="S83" s="650"/>
      <c r="T83" s="650"/>
      <c r="U83" s="650"/>
      <c r="V83" s="651"/>
      <c r="W83" s="654">
        <f>Q83</f>
        <v>1347</v>
      </c>
      <c r="X83" s="650"/>
      <c r="Y83" s="650"/>
    </row>
    <row r="84" spans="1:25" s="357" customFormat="1" ht="97.5" customHeight="1">
      <c r="A84" s="641">
        <v>1115</v>
      </c>
      <c r="B84" s="656" t="s">
        <v>694</v>
      </c>
      <c r="C84" s="643" t="s">
        <v>695</v>
      </c>
      <c r="D84" s="644"/>
      <c r="E84" s="643">
        <v>10</v>
      </c>
      <c r="F84" s="645">
        <v>43257</v>
      </c>
      <c r="G84" s="645">
        <f t="shared" si="7"/>
        <v>43266</v>
      </c>
      <c r="H84" s="644" t="s">
        <v>681</v>
      </c>
      <c r="I84" s="644" t="s">
        <v>170</v>
      </c>
      <c r="J84" s="643" t="s">
        <v>696</v>
      </c>
      <c r="K84" s="643" t="s">
        <v>704</v>
      </c>
      <c r="L84" s="646" t="s">
        <v>705</v>
      </c>
      <c r="M84" s="644"/>
      <c r="N84" s="643"/>
      <c r="O84" s="647">
        <v>1117</v>
      </c>
      <c r="P84" s="643">
        <v>1</v>
      </c>
      <c r="Q84" s="648">
        <f t="shared" si="6"/>
        <v>1117</v>
      </c>
      <c r="R84" s="653">
        <v>1117</v>
      </c>
      <c r="S84" s="650"/>
      <c r="T84" s="650"/>
      <c r="U84" s="650"/>
      <c r="V84" s="654">
        <f>Q84</f>
        <v>1117</v>
      </c>
      <c r="W84" s="651"/>
      <c r="X84" s="650"/>
      <c r="Y84" s="650"/>
    </row>
    <row r="85" spans="1:25" s="357" customFormat="1" ht="97.5" customHeight="1">
      <c r="A85" s="641">
        <v>1115</v>
      </c>
      <c r="B85" s="656" t="s">
        <v>694</v>
      </c>
      <c r="C85" s="643" t="s">
        <v>695</v>
      </c>
      <c r="D85" s="644"/>
      <c r="E85" s="643">
        <v>10</v>
      </c>
      <c r="F85" s="645">
        <v>43257</v>
      </c>
      <c r="G85" s="645">
        <f t="shared" si="7"/>
        <v>43266</v>
      </c>
      <c r="H85" s="644" t="s">
        <v>681</v>
      </c>
      <c r="I85" s="644" t="s">
        <v>170</v>
      </c>
      <c r="J85" s="643" t="s">
        <v>696</v>
      </c>
      <c r="K85" s="643" t="s">
        <v>706</v>
      </c>
      <c r="L85" s="646" t="s">
        <v>705</v>
      </c>
      <c r="M85" s="644"/>
      <c r="N85" s="643"/>
      <c r="O85" s="647">
        <v>6450</v>
      </c>
      <c r="P85" s="643">
        <v>1</v>
      </c>
      <c r="Q85" s="648">
        <f t="shared" si="6"/>
        <v>6450</v>
      </c>
      <c r="R85" s="653">
        <v>6450</v>
      </c>
      <c r="S85" s="650"/>
      <c r="T85" s="650"/>
      <c r="U85" s="650"/>
      <c r="V85" s="654">
        <f>Q85</f>
        <v>6450</v>
      </c>
      <c r="W85" s="651"/>
      <c r="X85" s="650"/>
      <c r="Y85" s="650"/>
    </row>
    <row r="86" spans="1:25" s="357" customFormat="1" ht="97.5" customHeight="1">
      <c r="A86" s="641">
        <v>1115</v>
      </c>
      <c r="B86" s="656" t="s">
        <v>694</v>
      </c>
      <c r="C86" s="643" t="s">
        <v>695</v>
      </c>
      <c r="D86" s="644"/>
      <c r="E86" s="643">
        <v>10</v>
      </c>
      <c r="F86" s="645">
        <v>43257</v>
      </c>
      <c r="G86" s="645">
        <f t="shared" si="7"/>
        <v>43266</v>
      </c>
      <c r="H86" s="644" t="s">
        <v>681</v>
      </c>
      <c r="I86" s="644" t="s">
        <v>170</v>
      </c>
      <c r="J86" s="643" t="s">
        <v>696</v>
      </c>
      <c r="K86" s="643" t="s">
        <v>638</v>
      </c>
      <c r="L86" s="646" t="s">
        <v>639</v>
      </c>
      <c r="M86" s="644"/>
      <c r="N86" s="643"/>
      <c r="O86" s="647">
        <v>4300</v>
      </c>
      <c r="P86" s="643">
        <v>1</v>
      </c>
      <c r="Q86" s="648">
        <f t="shared" si="6"/>
        <v>4300</v>
      </c>
      <c r="R86" s="653">
        <v>4300</v>
      </c>
      <c r="S86" s="650"/>
      <c r="T86" s="650"/>
      <c r="U86" s="650"/>
      <c r="V86" s="654">
        <f>Q86</f>
        <v>4300</v>
      </c>
      <c r="W86" s="651"/>
      <c r="X86" s="650"/>
      <c r="Y86" s="650"/>
    </row>
    <row r="87" spans="1:25" s="357" customFormat="1" ht="73.900000000000006" customHeight="1">
      <c r="A87" s="641">
        <v>1116</v>
      </c>
      <c r="B87" s="655" t="s">
        <v>707</v>
      </c>
      <c r="C87" s="643" t="s">
        <v>708</v>
      </c>
      <c r="D87" s="644"/>
      <c r="E87" s="643">
        <v>1</v>
      </c>
      <c r="F87" s="645">
        <v>43315</v>
      </c>
      <c r="G87" s="645">
        <f t="shared" si="7"/>
        <v>43315</v>
      </c>
      <c r="H87" s="644" t="s">
        <v>667</v>
      </c>
      <c r="I87" s="644" t="s">
        <v>170</v>
      </c>
      <c r="J87" s="643" t="s">
        <v>696</v>
      </c>
      <c r="K87" s="643" t="s">
        <v>268</v>
      </c>
      <c r="L87" s="646"/>
      <c r="M87" s="644"/>
      <c r="N87" s="643"/>
      <c r="O87" s="647"/>
      <c r="P87" s="643"/>
      <c r="Q87" s="648">
        <f t="shared" si="6"/>
        <v>4019.666666666667</v>
      </c>
      <c r="R87" s="649">
        <f>SUM(R88:R94)</f>
        <v>4019.666666666667</v>
      </c>
      <c r="S87" s="650"/>
      <c r="T87" s="650"/>
      <c r="U87" s="650"/>
      <c r="V87" s="650"/>
      <c r="W87" s="650"/>
      <c r="X87" s="651"/>
      <c r="Y87" s="650"/>
    </row>
    <row r="88" spans="1:25" s="357" customFormat="1" ht="73.900000000000006" customHeight="1">
      <c r="A88" s="641">
        <v>1116</v>
      </c>
      <c r="B88" s="656" t="s">
        <v>707</v>
      </c>
      <c r="C88" s="643" t="s">
        <v>708</v>
      </c>
      <c r="D88" s="644"/>
      <c r="E88" s="643">
        <v>1</v>
      </c>
      <c r="F88" s="645">
        <v>43315</v>
      </c>
      <c r="G88" s="645">
        <f t="shared" si="7"/>
        <v>43315</v>
      </c>
      <c r="H88" s="644" t="s">
        <v>667</v>
      </c>
      <c r="I88" s="644" t="s">
        <v>170</v>
      </c>
      <c r="J88" s="643" t="s">
        <v>696</v>
      </c>
      <c r="K88" s="643" t="s">
        <v>709</v>
      </c>
      <c r="L88" s="646" t="s">
        <v>625</v>
      </c>
      <c r="M88" s="644"/>
      <c r="N88" s="643"/>
      <c r="O88" s="647">
        <v>252</v>
      </c>
      <c r="P88" s="643">
        <v>1</v>
      </c>
      <c r="Q88" s="648">
        <f t="shared" si="6"/>
        <v>252</v>
      </c>
      <c r="R88" s="653">
        <v>252</v>
      </c>
      <c r="S88" s="650"/>
      <c r="T88" s="650"/>
      <c r="U88" s="650"/>
      <c r="V88" s="650"/>
      <c r="W88" s="650"/>
      <c r="X88" s="654">
        <f>Q88</f>
        <v>252</v>
      </c>
      <c r="Y88" s="650"/>
    </row>
    <row r="89" spans="1:25" s="357" customFormat="1" ht="73.900000000000006" customHeight="1">
      <c r="A89" s="641">
        <v>1116</v>
      </c>
      <c r="B89" s="656" t="s">
        <v>707</v>
      </c>
      <c r="C89" s="643" t="s">
        <v>708</v>
      </c>
      <c r="D89" s="644"/>
      <c r="E89" s="643">
        <v>1</v>
      </c>
      <c r="F89" s="645">
        <v>43315</v>
      </c>
      <c r="G89" s="645">
        <f t="shared" si="7"/>
        <v>43315</v>
      </c>
      <c r="H89" s="644" t="s">
        <v>667</v>
      </c>
      <c r="I89" s="644" t="s">
        <v>170</v>
      </c>
      <c r="J89" s="643" t="s">
        <v>696</v>
      </c>
      <c r="K89" s="643" t="s">
        <v>710</v>
      </c>
      <c r="L89" s="646" t="s">
        <v>625</v>
      </c>
      <c r="M89" s="644"/>
      <c r="N89" s="643"/>
      <c r="O89" s="647">
        <v>280</v>
      </c>
      <c r="P89" s="643">
        <v>1</v>
      </c>
      <c r="Q89" s="648">
        <f t="shared" si="6"/>
        <v>280</v>
      </c>
      <c r="R89" s="653">
        <v>280</v>
      </c>
      <c r="S89" s="650"/>
      <c r="T89" s="650"/>
      <c r="U89" s="650"/>
      <c r="V89" s="650"/>
      <c r="W89" s="650"/>
      <c r="X89" s="654">
        <f t="shared" ref="X89:X94" si="8">Q89</f>
        <v>280</v>
      </c>
      <c r="Y89" s="650"/>
    </row>
    <row r="90" spans="1:25" s="357" customFormat="1" ht="73.900000000000006" customHeight="1">
      <c r="A90" s="641">
        <v>1116</v>
      </c>
      <c r="B90" s="656" t="s">
        <v>707</v>
      </c>
      <c r="C90" s="643" t="s">
        <v>708</v>
      </c>
      <c r="D90" s="644"/>
      <c r="E90" s="643">
        <v>1</v>
      </c>
      <c r="F90" s="645">
        <v>43315</v>
      </c>
      <c r="G90" s="645">
        <f t="shared" si="7"/>
        <v>43315</v>
      </c>
      <c r="H90" s="644" t="s">
        <v>667</v>
      </c>
      <c r="I90" s="644" t="s">
        <v>170</v>
      </c>
      <c r="J90" s="643" t="s">
        <v>696</v>
      </c>
      <c r="K90" s="643" t="s">
        <v>711</v>
      </c>
      <c r="L90" s="646" t="s">
        <v>625</v>
      </c>
      <c r="M90" s="644"/>
      <c r="N90" s="643"/>
      <c r="O90" s="647">
        <v>210</v>
      </c>
      <c r="P90" s="643">
        <v>1</v>
      </c>
      <c r="Q90" s="648">
        <f t="shared" si="6"/>
        <v>210</v>
      </c>
      <c r="R90" s="653">
        <v>210</v>
      </c>
      <c r="S90" s="650"/>
      <c r="T90" s="650"/>
      <c r="U90" s="650"/>
      <c r="V90" s="650"/>
      <c r="W90" s="650"/>
      <c r="X90" s="654">
        <f t="shared" si="8"/>
        <v>210</v>
      </c>
      <c r="Y90" s="650"/>
    </row>
    <row r="91" spans="1:25" s="357" customFormat="1" ht="73.900000000000006" customHeight="1">
      <c r="A91" s="641">
        <v>1116</v>
      </c>
      <c r="B91" s="656" t="s">
        <v>707</v>
      </c>
      <c r="C91" s="643" t="s">
        <v>708</v>
      </c>
      <c r="D91" s="644"/>
      <c r="E91" s="643">
        <v>1</v>
      </c>
      <c r="F91" s="645">
        <v>43315</v>
      </c>
      <c r="G91" s="645">
        <f t="shared" si="7"/>
        <v>43315</v>
      </c>
      <c r="H91" s="644" t="s">
        <v>667</v>
      </c>
      <c r="I91" s="644" t="s">
        <v>170</v>
      </c>
      <c r="J91" s="643" t="s">
        <v>696</v>
      </c>
      <c r="K91" s="643" t="s">
        <v>712</v>
      </c>
      <c r="L91" s="646" t="s">
        <v>625</v>
      </c>
      <c r="M91" s="644"/>
      <c r="N91" s="643"/>
      <c r="O91" s="647">
        <v>140</v>
      </c>
      <c r="P91" s="643">
        <v>1</v>
      </c>
      <c r="Q91" s="648">
        <f t="shared" si="6"/>
        <v>140</v>
      </c>
      <c r="R91" s="653">
        <v>140</v>
      </c>
      <c r="S91" s="650"/>
      <c r="T91" s="650"/>
      <c r="U91" s="650"/>
      <c r="V91" s="650"/>
      <c r="W91" s="650"/>
      <c r="X91" s="654">
        <f t="shared" si="8"/>
        <v>140</v>
      </c>
      <c r="Y91" s="650"/>
    </row>
    <row r="92" spans="1:25" s="357" customFormat="1" ht="73.900000000000006" customHeight="1">
      <c r="A92" s="641">
        <v>1116</v>
      </c>
      <c r="B92" s="656" t="s">
        <v>707</v>
      </c>
      <c r="C92" s="643" t="s">
        <v>708</v>
      </c>
      <c r="D92" s="644"/>
      <c r="E92" s="643">
        <v>1</v>
      </c>
      <c r="F92" s="645">
        <v>43315</v>
      </c>
      <c r="G92" s="645">
        <f t="shared" si="7"/>
        <v>43315</v>
      </c>
      <c r="H92" s="644" t="s">
        <v>667</v>
      </c>
      <c r="I92" s="644" t="s">
        <v>170</v>
      </c>
      <c r="J92" s="643" t="s">
        <v>696</v>
      </c>
      <c r="K92" s="643" t="s">
        <v>713</v>
      </c>
      <c r="L92" s="646" t="s">
        <v>634</v>
      </c>
      <c r="M92" s="644"/>
      <c r="N92" s="643"/>
      <c r="O92" s="647">
        <v>2221</v>
      </c>
      <c r="P92" s="643">
        <v>1</v>
      </c>
      <c r="Q92" s="648">
        <f t="shared" si="6"/>
        <v>2221</v>
      </c>
      <c r="R92" s="653">
        <v>2221</v>
      </c>
      <c r="S92" s="650"/>
      <c r="T92" s="650"/>
      <c r="U92" s="650"/>
      <c r="V92" s="650"/>
      <c r="W92" s="650"/>
      <c r="X92" s="654">
        <f t="shared" si="8"/>
        <v>2221</v>
      </c>
      <c r="Y92" s="650"/>
    </row>
    <row r="93" spans="1:25" s="357" customFormat="1" ht="73.900000000000006" customHeight="1">
      <c r="A93" s="641">
        <v>1116</v>
      </c>
      <c r="B93" s="656" t="s">
        <v>707</v>
      </c>
      <c r="C93" s="643" t="s">
        <v>708</v>
      </c>
      <c r="D93" s="644"/>
      <c r="E93" s="643">
        <v>1</v>
      </c>
      <c r="F93" s="645">
        <v>43315</v>
      </c>
      <c r="G93" s="645">
        <f t="shared" si="7"/>
        <v>43315</v>
      </c>
      <c r="H93" s="644" t="s">
        <v>667</v>
      </c>
      <c r="I93" s="644" t="s">
        <v>170</v>
      </c>
      <c r="J93" s="643" t="s">
        <v>696</v>
      </c>
      <c r="K93" s="643" t="s">
        <v>714</v>
      </c>
      <c r="L93" s="646" t="s">
        <v>669</v>
      </c>
      <c r="M93" s="644"/>
      <c r="N93" s="643"/>
      <c r="O93" s="647">
        <v>333.33333333333331</v>
      </c>
      <c r="P93" s="643">
        <v>1</v>
      </c>
      <c r="Q93" s="648">
        <f t="shared" si="6"/>
        <v>333.33333333333331</v>
      </c>
      <c r="R93" s="653">
        <v>333.33333333333331</v>
      </c>
      <c r="S93" s="650"/>
      <c r="T93" s="650"/>
      <c r="U93" s="650"/>
      <c r="V93" s="650"/>
      <c r="W93" s="650"/>
      <c r="X93" s="654">
        <f t="shared" si="8"/>
        <v>333.33333333333331</v>
      </c>
      <c r="Y93" s="650"/>
    </row>
    <row r="94" spans="1:25" s="357" customFormat="1" ht="73.900000000000006" customHeight="1">
      <c r="A94" s="641">
        <v>1116</v>
      </c>
      <c r="B94" s="656" t="s">
        <v>707</v>
      </c>
      <c r="C94" s="643" t="s">
        <v>708</v>
      </c>
      <c r="D94" s="644"/>
      <c r="E94" s="643">
        <v>1</v>
      </c>
      <c r="F94" s="645">
        <v>43315</v>
      </c>
      <c r="G94" s="645">
        <f t="shared" si="7"/>
        <v>43315</v>
      </c>
      <c r="H94" s="644" t="s">
        <v>667</v>
      </c>
      <c r="I94" s="644" t="s">
        <v>170</v>
      </c>
      <c r="J94" s="643" t="s">
        <v>696</v>
      </c>
      <c r="K94" s="643" t="s">
        <v>670</v>
      </c>
      <c r="L94" s="646" t="s">
        <v>669</v>
      </c>
      <c r="M94" s="644"/>
      <c r="N94" s="643"/>
      <c r="O94" s="647">
        <v>583.33333333333337</v>
      </c>
      <c r="P94" s="643">
        <v>1</v>
      </c>
      <c r="Q94" s="648">
        <f t="shared" si="6"/>
        <v>583.33333333333337</v>
      </c>
      <c r="R94" s="653">
        <v>583.33333333333337</v>
      </c>
      <c r="S94" s="650"/>
      <c r="T94" s="650"/>
      <c r="U94" s="650"/>
      <c r="V94" s="650"/>
      <c r="W94" s="650"/>
      <c r="X94" s="654">
        <f t="shared" si="8"/>
        <v>583.33333333333337</v>
      </c>
      <c r="Y94" s="650"/>
    </row>
    <row r="95" spans="1:25" s="592" customFormat="1" ht="37.5" customHeight="1">
      <c r="A95" s="3523" t="s">
        <v>234</v>
      </c>
      <c r="B95" s="3523"/>
      <c r="C95" s="3523"/>
      <c r="D95" s="3523"/>
      <c r="E95" s="3523"/>
      <c r="F95" s="3523"/>
      <c r="G95" s="3523"/>
      <c r="H95" s="3523"/>
      <c r="I95" s="3523"/>
      <c r="J95" s="627"/>
      <c r="K95" s="627"/>
      <c r="L95" s="628"/>
      <c r="M95" s="629"/>
      <c r="N95" s="630"/>
      <c r="O95" s="631"/>
      <c r="P95" s="630"/>
      <c r="Q95" s="631"/>
      <c r="R95" s="632"/>
      <c r="S95" s="633"/>
      <c r="T95" s="633"/>
      <c r="U95" s="633"/>
      <c r="V95" s="629"/>
      <c r="W95" s="629"/>
      <c r="X95" s="629"/>
      <c r="Y95" s="629"/>
    </row>
    <row r="96" spans="1:25" s="592" customFormat="1" ht="16.5" customHeight="1">
      <c r="A96" s="657">
        <v>121</v>
      </c>
      <c r="B96" s="3521" t="s">
        <v>715</v>
      </c>
      <c r="C96" s="3521"/>
      <c r="D96" s="3521"/>
      <c r="E96" s="3521"/>
      <c r="F96" s="3521"/>
      <c r="G96" s="3521"/>
      <c r="H96" s="3521"/>
      <c r="I96" s="3521"/>
      <c r="J96" s="658"/>
      <c r="K96" s="659"/>
      <c r="L96" s="660"/>
      <c r="M96" s="661"/>
      <c r="N96" s="659"/>
      <c r="O96" s="662"/>
      <c r="P96" s="659"/>
      <c r="Q96" s="662"/>
      <c r="R96" s="663">
        <f>SUM(U97+V110+W120+W133+X137+Y148+S164)</f>
        <v>163711</v>
      </c>
      <c r="S96" s="664"/>
      <c r="T96" s="664"/>
      <c r="U96" s="664"/>
      <c r="V96" s="664"/>
      <c r="W96" s="664"/>
      <c r="X96" s="664"/>
      <c r="Y96" s="664"/>
    </row>
    <row r="97" spans="1:25" s="680" customFormat="1" ht="51.75" customHeight="1">
      <c r="A97" s="665">
        <v>1211</v>
      </c>
      <c r="B97" s="666" t="s">
        <v>716</v>
      </c>
      <c r="C97" s="667" t="s">
        <v>717</v>
      </c>
      <c r="D97" s="668"/>
      <c r="E97" s="669">
        <f t="shared" ref="E97:E131" si="9">+G97-F97+1</f>
        <v>12</v>
      </c>
      <c r="F97" s="670">
        <v>43220</v>
      </c>
      <c r="G97" s="670">
        <v>43231</v>
      </c>
      <c r="H97" s="669" t="s">
        <v>718</v>
      </c>
      <c r="I97" s="671" t="s">
        <v>170</v>
      </c>
      <c r="J97" s="669" t="s">
        <v>719</v>
      </c>
      <c r="K97" s="672"/>
      <c r="L97" s="673"/>
      <c r="M97" s="674"/>
      <c r="N97" s="672"/>
      <c r="O97" s="675"/>
      <c r="P97" s="672"/>
      <c r="Q97" s="676"/>
      <c r="R97" s="677">
        <f>+SUM(Q98:Q109)</f>
        <v>14002</v>
      </c>
      <c r="S97" s="678"/>
      <c r="T97" s="678"/>
      <c r="U97" s="679">
        <f>SUM(Q98:Q109)</f>
        <v>14002</v>
      </c>
      <c r="V97" s="678"/>
      <c r="W97" s="678"/>
      <c r="X97" s="678"/>
      <c r="Y97" s="678"/>
    </row>
    <row r="98" spans="1:25" s="592" customFormat="1" ht="72.75" customHeight="1">
      <c r="A98" s="665">
        <v>1211</v>
      </c>
      <c r="B98" s="681" t="s">
        <v>716</v>
      </c>
      <c r="C98" s="667" t="s">
        <v>717</v>
      </c>
      <c r="D98" s="668"/>
      <c r="E98" s="669">
        <f t="shared" si="9"/>
        <v>12</v>
      </c>
      <c r="F98" s="670">
        <v>43220</v>
      </c>
      <c r="G98" s="670">
        <v>43231</v>
      </c>
      <c r="H98" s="669" t="s">
        <v>718</v>
      </c>
      <c r="I98" s="671" t="s">
        <v>170</v>
      </c>
      <c r="J98" s="682" t="s">
        <v>719</v>
      </c>
      <c r="K98" s="643" t="s">
        <v>720</v>
      </c>
      <c r="L98" s="683">
        <v>6241</v>
      </c>
      <c r="M98" s="684"/>
      <c r="N98" s="685"/>
      <c r="O98" s="686">
        <v>157</v>
      </c>
      <c r="P98" s="685">
        <v>28</v>
      </c>
      <c r="Q98" s="686">
        <f t="shared" ref="Q98:Q109" si="10">+O98*P98</f>
        <v>4396</v>
      </c>
      <c r="R98" s="687"/>
      <c r="S98" s="688"/>
      <c r="T98" s="688"/>
      <c r="U98" s="688"/>
      <c r="V98" s="688"/>
      <c r="W98" s="688"/>
      <c r="X98" s="688"/>
      <c r="Y98" s="688"/>
    </row>
    <row r="99" spans="1:25" s="592" customFormat="1" ht="72.75" customHeight="1">
      <c r="A99" s="665">
        <v>1211</v>
      </c>
      <c r="B99" s="681" t="s">
        <v>716</v>
      </c>
      <c r="C99" s="667" t="s">
        <v>717</v>
      </c>
      <c r="D99" s="668"/>
      <c r="E99" s="669">
        <f t="shared" si="9"/>
        <v>12</v>
      </c>
      <c r="F99" s="670">
        <f t="shared" ref="F99:F109" si="11">+F98</f>
        <v>43220</v>
      </c>
      <c r="G99" s="670">
        <v>43231</v>
      </c>
      <c r="H99" s="669" t="s">
        <v>718</v>
      </c>
      <c r="I99" s="671" t="s">
        <v>170</v>
      </c>
      <c r="J99" s="682" t="s">
        <v>719</v>
      </c>
      <c r="K99" s="689" t="s">
        <v>721</v>
      </c>
      <c r="L99" s="683">
        <v>6241</v>
      </c>
      <c r="M99" s="684"/>
      <c r="N99" s="685"/>
      <c r="O99" s="686">
        <v>162</v>
      </c>
      <c r="P99" s="685">
        <v>28</v>
      </c>
      <c r="Q99" s="686">
        <f t="shared" si="10"/>
        <v>4536</v>
      </c>
      <c r="R99" s="687"/>
      <c r="S99" s="688"/>
      <c r="T99" s="688"/>
      <c r="U99" s="688"/>
      <c r="V99" s="688"/>
      <c r="W99" s="688"/>
      <c r="X99" s="688"/>
      <c r="Y99" s="688"/>
    </row>
    <row r="100" spans="1:25" s="592" customFormat="1" ht="72.75" customHeight="1">
      <c r="A100" s="665">
        <v>1211</v>
      </c>
      <c r="B100" s="681" t="s">
        <v>716</v>
      </c>
      <c r="C100" s="667" t="s">
        <v>717</v>
      </c>
      <c r="D100" s="668"/>
      <c r="E100" s="669">
        <f t="shared" si="9"/>
        <v>12</v>
      </c>
      <c r="F100" s="670">
        <f t="shared" si="11"/>
        <v>43220</v>
      </c>
      <c r="G100" s="670">
        <v>43231</v>
      </c>
      <c r="H100" s="669" t="s">
        <v>718</v>
      </c>
      <c r="I100" s="671" t="s">
        <v>170</v>
      </c>
      <c r="J100" s="682" t="s">
        <v>719</v>
      </c>
      <c r="K100" s="689" t="s">
        <v>722</v>
      </c>
      <c r="L100" s="683">
        <v>6231</v>
      </c>
      <c r="M100" s="684"/>
      <c r="N100" s="685"/>
      <c r="O100" s="686">
        <v>22</v>
      </c>
      <c r="P100" s="685">
        <v>28</v>
      </c>
      <c r="Q100" s="686">
        <f t="shared" si="10"/>
        <v>616</v>
      </c>
      <c r="R100" s="687"/>
      <c r="S100" s="688"/>
      <c r="T100" s="688"/>
      <c r="U100" s="688"/>
      <c r="V100" s="688"/>
      <c r="W100" s="688"/>
      <c r="X100" s="688"/>
      <c r="Y100" s="688"/>
    </row>
    <row r="101" spans="1:25" s="592" customFormat="1" ht="72.75" customHeight="1">
      <c r="A101" s="665">
        <v>1211</v>
      </c>
      <c r="B101" s="681" t="s">
        <v>716</v>
      </c>
      <c r="C101" s="667" t="s">
        <v>717</v>
      </c>
      <c r="D101" s="668"/>
      <c r="E101" s="669">
        <f t="shared" si="9"/>
        <v>12</v>
      </c>
      <c r="F101" s="670">
        <f t="shared" si="11"/>
        <v>43220</v>
      </c>
      <c r="G101" s="670">
        <v>43231</v>
      </c>
      <c r="H101" s="669" t="s">
        <v>718</v>
      </c>
      <c r="I101" s="671" t="s">
        <v>170</v>
      </c>
      <c r="J101" s="682" t="s">
        <v>719</v>
      </c>
      <c r="K101" s="689" t="s">
        <v>415</v>
      </c>
      <c r="L101" s="683">
        <v>6271</v>
      </c>
      <c r="M101" s="684"/>
      <c r="N101" s="685"/>
      <c r="O101" s="686">
        <v>156</v>
      </c>
      <c r="P101" s="685">
        <v>10</v>
      </c>
      <c r="Q101" s="686">
        <f t="shared" si="10"/>
        <v>1560</v>
      </c>
      <c r="R101" s="687"/>
      <c r="S101" s="688"/>
      <c r="T101" s="688"/>
      <c r="U101" s="688"/>
      <c r="V101" s="688"/>
      <c r="W101" s="688"/>
      <c r="X101" s="688"/>
      <c r="Y101" s="688"/>
    </row>
    <row r="102" spans="1:25" s="592" customFormat="1" ht="72.75" customHeight="1">
      <c r="A102" s="665">
        <v>1211</v>
      </c>
      <c r="B102" s="681" t="s">
        <v>716</v>
      </c>
      <c r="C102" s="667" t="s">
        <v>717</v>
      </c>
      <c r="D102" s="668"/>
      <c r="E102" s="669">
        <f t="shared" si="9"/>
        <v>12</v>
      </c>
      <c r="F102" s="670">
        <f t="shared" si="11"/>
        <v>43220</v>
      </c>
      <c r="G102" s="670">
        <v>43231</v>
      </c>
      <c r="H102" s="669" t="s">
        <v>718</v>
      </c>
      <c r="I102" s="671" t="s">
        <v>170</v>
      </c>
      <c r="J102" s="682" t="s">
        <v>719</v>
      </c>
      <c r="K102" s="689" t="s">
        <v>638</v>
      </c>
      <c r="L102" s="683">
        <v>6111</v>
      </c>
      <c r="M102" s="684"/>
      <c r="N102" s="685"/>
      <c r="O102" s="686">
        <v>10</v>
      </c>
      <c r="P102" s="685">
        <v>28</v>
      </c>
      <c r="Q102" s="686">
        <f t="shared" si="10"/>
        <v>280</v>
      </c>
      <c r="R102" s="687"/>
      <c r="S102" s="688"/>
      <c r="T102" s="688"/>
      <c r="U102" s="688"/>
      <c r="V102" s="688"/>
      <c r="W102" s="688"/>
      <c r="X102" s="688"/>
      <c r="Y102" s="688"/>
    </row>
    <row r="103" spans="1:25" s="592" customFormat="1" ht="72.75" customHeight="1">
      <c r="A103" s="665">
        <v>1211</v>
      </c>
      <c r="B103" s="681" t="s">
        <v>716</v>
      </c>
      <c r="C103" s="667" t="s">
        <v>717</v>
      </c>
      <c r="D103" s="668"/>
      <c r="E103" s="669">
        <f t="shared" si="9"/>
        <v>12</v>
      </c>
      <c r="F103" s="670">
        <f t="shared" si="11"/>
        <v>43220</v>
      </c>
      <c r="G103" s="670">
        <v>43231</v>
      </c>
      <c r="H103" s="669" t="s">
        <v>718</v>
      </c>
      <c r="I103" s="671" t="s">
        <v>170</v>
      </c>
      <c r="J103" s="682" t="s">
        <v>719</v>
      </c>
      <c r="K103" s="689" t="s">
        <v>723</v>
      </c>
      <c r="L103" s="683">
        <v>6241</v>
      </c>
      <c r="M103" s="684"/>
      <c r="N103" s="685"/>
      <c r="O103" s="686">
        <v>281</v>
      </c>
      <c r="P103" s="685">
        <v>4</v>
      </c>
      <c r="Q103" s="686">
        <f t="shared" si="10"/>
        <v>1124</v>
      </c>
      <c r="R103" s="687"/>
      <c r="S103" s="688"/>
      <c r="T103" s="688"/>
      <c r="U103" s="688"/>
      <c r="V103" s="688"/>
      <c r="W103" s="688"/>
      <c r="X103" s="688"/>
      <c r="Y103" s="688"/>
    </row>
    <row r="104" spans="1:25" s="592" customFormat="1" ht="72.75" customHeight="1">
      <c r="A104" s="665">
        <v>1211</v>
      </c>
      <c r="B104" s="681" t="s">
        <v>716</v>
      </c>
      <c r="C104" s="667" t="s">
        <v>717</v>
      </c>
      <c r="D104" s="668"/>
      <c r="E104" s="669">
        <f t="shared" si="9"/>
        <v>12</v>
      </c>
      <c r="F104" s="670">
        <f t="shared" si="11"/>
        <v>43220</v>
      </c>
      <c r="G104" s="670">
        <v>43231</v>
      </c>
      <c r="H104" s="669" t="s">
        <v>718</v>
      </c>
      <c r="I104" s="671" t="s">
        <v>170</v>
      </c>
      <c r="J104" s="682" t="s">
        <v>719</v>
      </c>
      <c r="K104" s="689" t="s">
        <v>724</v>
      </c>
      <c r="L104" s="683">
        <v>6224</v>
      </c>
      <c r="M104" s="684"/>
      <c r="N104" s="685"/>
      <c r="O104" s="686">
        <v>10</v>
      </c>
      <c r="P104" s="685">
        <v>28</v>
      </c>
      <c r="Q104" s="686">
        <f t="shared" si="10"/>
        <v>280</v>
      </c>
      <c r="R104" s="687"/>
      <c r="S104" s="688"/>
      <c r="T104" s="688"/>
      <c r="U104" s="688"/>
      <c r="V104" s="688"/>
      <c r="W104" s="688"/>
      <c r="X104" s="688"/>
      <c r="Y104" s="688"/>
    </row>
    <row r="105" spans="1:25" s="592" customFormat="1" ht="72.75" customHeight="1">
      <c r="A105" s="665">
        <f>+A104</f>
        <v>1211</v>
      </c>
      <c r="B105" s="681" t="s">
        <v>716</v>
      </c>
      <c r="C105" s="667" t="s">
        <v>717</v>
      </c>
      <c r="D105" s="668"/>
      <c r="E105" s="669">
        <f t="shared" si="9"/>
        <v>12</v>
      </c>
      <c r="F105" s="670">
        <f t="shared" si="11"/>
        <v>43220</v>
      </c>
      <c r="G105" s="670">
        <v>43231</v>
      </c>
      <c r="H105" s="669" t="s">
        <v>718</v>
      </c>
      <c r="I105" s="671" t="s">
        <v>170</v>
      </c>
      <c r="J105" s="682" t="s">
        <v>719</v>
      </c>
      <c r="K105" s="689" t="s">
        <v>725</v>
      </c>
      <c r="L105" s="683">
        <v>6241</v>
      </c>
      <c r="M105" s="684"/>
      <c r="N105" s="685"/>
      <c r="O105" s="686">
        <v>157</v>
      </c>
      <c r="P105" s="685">
        <v>2</v>
      </c>
      <c r="Q105" s="686">
        <f t="shared" si="10"/>
        <v>314</v>
      </c>
      <c r="R105" s="687"/>
      <c r="S105" s="688"/>
      <c r="T105" s="688"/>
      <c r="U105" s="688"/>
      <c r="V105" s="688"/>
      <c r="W105" s="688"/>
      <c r="X105" s="688"/>
      <c r="Y105" s="688"/>
    </row>
    <row r="106" spans="1:25" s="592" customFormat="1" ht="72.75" customHeight="1">
      <c r="A106" s="665">
        <f>+A105</f>
        <v>1211</v>
      </c>
      <c r="B106" s="681" t="s">
        <v>716</v>
      </c>
      <c r="C106" s="667" t="s">
        <v>717</v>
      </c>
      <c r="D106" s="668"/>
      <c r="E106" s="669">
        <f t="shared" si="9"/>
        <v>12</v>
      </c>
      <c r="F106" s="670">
        <f t="shared" si="11"/>
        <v>43220</v>
      </c>
      <c r="G106" s="670">
        <v>43231</v>
      </c>
      <c r="H106" s="669" t="s">
        <v>718</v>
      </c>
      <c r="I106" s="671" t="s">
        <v>170</v>
      </c>
      <c r="J106" s="682" t="s">
        <v>719</v>
      </c>
      <c r="K106" s="689" t="s">
        <v>726</v>
      </c>
      <c r="L106" s="683">
        <v>6241</v>
      </c>
      <c r="M106" s="684"/>
      <c r="N106" s="685"/>
      <c r="O106" s="686">
        <v>162</v>
      </c>
      <c r="P106" s="685">
        <v>2</v>
      </c>
      <c r="Q106" s="686">
        <f t="shared" si="10"/>
        <v>324</v>
      </c>
      <c r="R106" s="687"/>
      <c r="S106" s="688"/>
      <c r="T106" s="688"/>
      <c r="U106" s="688"/>
      <c r="V106" s="688"/>
      <c r="W106" s="688"/>
      <c r="X106" s="688"/>
      <c r="Y106" s="688"/>
    </row>
    <row r="107" spans="1:25" s="592" customFormat="1" ht="72.75" customHeight="1">
      <c r="A107" s="665">
        <f>+A106</f>
        <v>1211</v>
      </c>
      <c r="B107" s="681" t="s">
        <v>716</v>
      </c>
      <c r="C107" s="667" t="s">
        <v>717</v>
      </c>
      <c r="D107" s="668"/>
      <c r="E107" s="669">
        <f t="shared" si="9"/>
        <v>12</v>
      </c>
      <c r="F107" s="670">
        <f t="shared" si="11"/>
        <v>43220</v>
      </c>
      <c r="G107" s="670">
        <v>43231</v>
      </c>
      <c r="H107" s="669" t="s">
        <v>718</v>
      </c>
      <c r="I107" s="671" t="s">
        <v>170</v>
      </c>
      <c r="J107" s="682" t="s">
        <v>719</v>
      </c>
      <c r="K107" s="689" t="s">
        <v>727</v>
      </c>
      <c r="L107" s="683">
        <v>6241</v>
      </c>
      <c r="M107" s="684"/>
      <c r="N107" s="685"/>
      <c r="O107" s="686">
        <v>131</v>
      </c>
      <c r="P107" s="685">
        <v>2</v>
      </c>
      <c r="Q107" s="686">
        <f t="shared" si="10"/>
        <v>262</v>
      </c>
      <c r="R107" s="687"/>
      <c r="S107" s="688"/>
      <c r="T107" s="688"/>
      <c r="U107" s="688"/>
      <c r="V107" s="688"/>
      <c r="W107" s="688"/>
      <c r="X107" s="688"/>
      <c r="Y107" s="688"/>
    </row>
    <row r="108" spans="1:25" s="592" customFormat="1" ht="72.75" customHeight="1">
      <c r="A108" s="665">
        <f>+A107</f>
        <v>1211</v>
      </c>
      <c r="B108" s="681" t="s">
        <v>716</v>
      </c>
      <c r="C108" s="667" t="s">
        <v>717</v>
      </c>
      <c r="D108" s="668"/>
      <c r="E108" s="669">
        <f t="shared" si="9"/>
        <v>12</v>
      </c>
      <c r="F108" s="670">
        <f t="shared" si="11"/>
        <v>43220</v>
      </c>
      <c r="G108" s="670">
        <v>43231</v>
      </c>
      <c r="H108" s="669" t="s">
        <v>718</v>
      </c>
      <c r="I108" s="671" t="s">
        <v>170</v>
      </c>
      <c r="J108" s="682" t="s">
        <v>719</v>
      </c>
      <c r="K108" s="689" t="s">
        <v>728</v>
      </c>
      <c r="L108" s="683">
        <v>6241</v>
      </c>
      <c r="M108" s="684"/>
      <c r="N108" s="685"/>
      <c r="O108" s="686">
        <v>81</v>
      </c>
      <c r="P108" s="685">
        <v>2</v>
      </c>
      <c r="Q108" s="686">
        <f t="shared" si="10"/>
        <v>162</v>
      </c>
      <c r="R108" s="687"/>
      <c r="S108" s="688"/>
      <c r="T108" s="688"/>
      <c r="U108" s="688"/>
      <c r="V108" s="688"/>
      <c r="W108" s="688"/>
      <c r="X108" s="688"/>
      <c r="Y108" s="688"/>
    </row>
    <row r="109" spans="1:25" s="592" customFormat="1" ht="72.75" customHeight="1">
      <c r="A109" s="665">
        <f>+A107</f>
        <v>1211</v>
      </c>
      <c r="B109" s="681" t="s">
        <v>716</v>
      </c>
      <c r="C109" s="667" t="s">
        <v>717</v>
      </c>
      <c r="D109" s="668"/>
      <c r="E109" s="669">
        <f t="shared" si="9"/>
        <v>12</v>
      </c>
      <c r="F109" s="670">
        <f t="shared" si="11"/>
        <v>43220</v>
      </c>
      <c r="G109" s="670">
        <v>43231</v>
      </c>
      <c r="H109" s="669" t="s">
        <v>718</v>
      </c>
      <c r="I109" s="671" t="s">
        <v>170</v>
      </c>
      <c r="J109" s="682" t="s">
        <v>719</v>
      </c>
      <c r="K109" s="689" t="s">
        <v>729</v>
      </c>
      <c r="L109" s="683">
        <v>6131</v>
      </c>
      <c r="M109" s="684"/>
      <c r="N109" s="685"/>
      <c r="O109" s="686">
        <v>74</v>
      </c>
      <c r="P109" s="685">
        <v>2</v>
      </c>
      <c r="Q109" s="686">
        <f t="shared" si="10"/>
        <v>148</v>
      </c>
      <c r="R109" s="687"/>
      <c r="S109" s="688"/>
      <c r="T109" s="688"/>
      <c r="U109" s="688"/>
      <c r="V109" s="688"/>
      <c r="W109" s="688"/>
      <c r="X109" s="688"/>
      <c r="Y109" s="688"/>
    </row>
    <row r="110" spans="1:25" s="592" customFormat="1" ht="62.1" customHeight="1">
      <c r="A110" s="665">
        <v>1212</v>
      </c>
      <c r="B110" s="690" t="s">
        <v>730</v>
      </c>
      <c r="C110" s="667" t="s">
        <v>731</v>
      </c>
      <c r="D110" s="668"/>
      <c r="E110" s="669">
        <f t="shared" si="9"/>
        <v>5</v>
      </c>
      <c r="F110" s="670">
        <v>43248</v>
      </c>
      <c r="G110" s="670">
        <f t="shared" ref="G110:G119" si="12">+F110+5-1</f>
        <v>43252</v>
      </c>
      <c r="H110" s="669" t="s">
        <v>732</v>
      </c>
      <c r="I110" s="671" t="s">
        <v>170</v>
      </c>
      <c r="J110" s="669" t="s">
        <v>719</v>
      </c>
      <c r="K110" s="689"/>
      <c r="L110" s="683"/>
      <c r="M110" s="684"/>
      <c r="N110" s="685"/>
      <c r="O110" s="686"/>
      <c r="P110" s="685"/>
      <c r="Q110" s="691"/>
      <c r="R110" s="687">
        <f>SUM(Q111:Q119)</f>
        <v>31374</v>
      </c>
      <c r="S110" s="688"/>
      <c r="T110" s="688"/>
      <c r="U110" s="688"/>
      <c r="V110" s="687">
        <f>SUM(Q111:Q119)</f>
        <v>31374</v>
      </c>
      <c r="W110" s="688"/>
      <c r="X110" s="688"/>
      <c r="Y110" s="688"/>
    </row>
    <row r="111" spans="1:25" s="592" customFormat="1" ht="72" customHeight="1">
      <c r="A111" s="665">
        <v>1212</v>
      </c>
      <c r="B111" s="692" t="s">
        <v>730</v>
      </c>
      <c r="C111" s="667" t="s">
        <v>731</v>
      </c>
      <c r="D111" s="668"/>
      <c r="E111" s="669">
        <f t="shared" si="9"/>
        <v>5</v>
      </c>
      <c r="F111" s="670">
        <v>43248</v>
      </c>
      <c r="G111" s="670">
        <f t="shared" si="12"/>
        <v>43252</v>
      </c>
      <c r="H111" s="669" t="s">
        <v>732</v>
      </c>
      <c r="I111" s="671" t="s">
        <v>170</v>
      </c>
      <c r="J111" s="669" t="s">
        <v>719</v>
      </c>
      <c r="K111" s="689" t="s">
        <v>733</v>
      </c>
      <c r="L111" s="683">
        <v>6241</v>
      </c>
      <c r="M111" s="684"/>
      <c r="N111" s="685"/>
      <c r="O111" s="686">
        <v>101</v>
      </c>
      <c r="P111" s="685">
        <v>49</v>
      </c>
      <c r="Q111" s="686">
        <f t="shared" ref="Q111:Q119" si="13">+O111*P111</f>
        <v>4949</v>
      </c>
      <c r="R111" s="687"/>
      <c r="S111" s="688"/>
      <c r="T111" s="688"/>
      <c r="U111" s="688"/>
      <c r="V111" s="688"/>
      <c r="W111" s="688"/>
      <c r="X111" s="688"/>
      <c r="Y111" s="688"/>
    </row>
    <row r="112" spans="1:25" s="592" customFormat="1" ht="72" customHeight="1">
      <c r="A112" s="665">
        <f>+A111</f>
        <v>1212</v>
      </c>
      <c r="B112" s="692" t="s">
        <v>730</v>
      </c>
      <c r="C112" s="667" t="s">
        <v>731</v>
      </c>
      <c r="D112" s="668"/>
      <c r="E112" s="669">
        <f t="shared" si="9"/>
        <v>5</v>
      </c>
      <c r="F112" s="670">
        <v>43248</v>
      </c>
      <c r="G112" s="670">
        <f t="shared" si="12"/>
        <v>43252</v>
      </c>
      <c r="H112" s="669" t="s">
        <v>732</v>
      </c>
      <c r="I112" s="671" t="s">
        <v>170</v>
      </c>
      <c r="J112" s="669" t="s">
        <v>719</v>
      </c>
      <c r="K112" s="689" t="s">
        <v>721</v>
      </c>
      <c r="L112" s="683">
        <v>6241</v>
      </c>
      <c r="M112" s="684"/>
      <c r="N112" s="685"/>
      <c r="O112" s="686">
        <v>100</v>
      </c>
      <c r="P112" s="685">
        <v>49</v>
      </c>
      <c r="Q112" s="686">
        <f t="shared" si="13"/>
        <v>4900</v>
      </c>
      <c r="R112" s="687"/>
      <c r="S112" s="688"/>
      <c r="T112" s="688"/>
      <c r="U112" s="688"/>
      <c r="V112" s="688"/>
      <c r="W112" s="688"/>
      <c r="X112" s="688"/>
      <c r="Y112" s="688"/>
    </row>
    <row r="113" spans="1:25" s="592" customFormat="1" ht="72" customHeight="1">
      <c r="A113" s="665">
        <f>+A112</f>
        <v>1212</v>
      </c>
      <c r="B113" s="692" t="s">
        <v>730</v>
      </c>
      <c r="C113" s="667" t="s">
        <v>731</v>
      </c>
      <c r="D113" s="668"/>
      <c r="E113" s="669">
        <f t="shared" si="9"/>
        <v>5</v>
      </c>
      <c r="F113" s="670">
        <v>43248</v>
      </c>
      <c r="G113" s="670">
        <f t="shared" si="12"/>
        <v>43252</v>
      </c>
      <c r="H113" s="669" t="s">
        <v>732</v>
      </c>
      <c r="I113" s="671" t="s">
        <v>170</v>
      </c>
      <c r="J113" s="669" t="s">
        <v>719</v>
      </c>
      <c r="K113" s="689" t="s">
        <v>734</v>
      </c>
      <c r="L113" s="683">
        <v>6241</v>
      </c>
      <c r="M113" s="684"/>
      <c r="N113" s="685"/>
      <c r="O113" s="686">
        <v>875</v>
      </c>
      <c r="P113" s="685">
        <v>7</v>
      </c>
      <c r="Q113" s="686">
        <f t="shared" si="13"/>
        <v>6125</v>
      </c>
      <c r="R113" s="687"/>
      <c r="S113" s="688"/>
      <c r="T113" s="688"/>
      <c r="U113" s="688"/>
      <c r="V113" s="688"/>
      <c r="W113" s="688"/>
      <c r="X113" s="688"/>
      <c r="Y113" s="688"/>
    </row>
    <row r="114" spans="1:25" s="592" customFormat="1" ht="72" customHeight="1">
      <c r="A114" s="665">
        <f>+A113</f>
        <v>1212</v>
      </c>
      <c r="B114" s="692" t="s">
        <v>730</v>
      </c>
      <c r="C114" s="667" t="s">
        <v>731</v>
      </c>
      <c r="D114" s="668"/>
      <c r="E114" s="669">
        <f t="shared" si="9"/>
        <v>5</v>
      </c>
      <c r="F114" s="670">
        <v>43248</v>
      </c>
      <c r="G114" s="670">
        <f t="shared" si="12"/>
        <v>43252</v>
      </c>
      <c r="H114" s="669" t="s">
        <v>732</v>
      </c>
      <c r="I114" s="671" t="s">
        <v>170</v>
      </c>
      <c r="J114" s="669" t="s">
        <v>719</v>
      </c>
      <c r="K114" s="689" t="s">
        <v>735</v>
      </c>
      <c r="L114" s="683">
        <v>6131</v>
      </c>
      <c r="M114" s="684"/>
      <c r="N114" s="685"/>
      <c r="O114" s="686">
        <v>510</v>
      </c>
      <c r="P114" s="685">
        <v>7</v>
      </c>
      <c r="Q114" s="686">
        <f t="shared" si="13"/>
        <v>3570</v>
      </c>
      <c r="R114" s="687"/>
      <c r="S114" s="688"/>
      <c r="T114" s="688"/>
      <c r="U114" s="688"/>
      <c r="V114" s="688"/>
      <c r="W114" s="688"/>
      <c r="X114" s="688"/>
      <c r="Y114" s="688"/>
    </row>
    <row r="115" spans="1:25" s="592" customFormat="1" ht="72" customHeight="1">
      <c r="A115" s="665">
        <f>+A113</f>
        <v>1212</v>
      </c>
      <c r="B115" s="692" t="s">
        <v>730</v>
      </c>
      <c r="C115" s="667" t="s">
        <v>731</v>
      </c>
      <c r="D115" s="668"/>
      <c r="E115" s="669">
        <f t="shared" si="9"/>
        <v>5</v>
      </c>
      <c r="F115" s="670">
        <v>43248</v>
      </c>
      <c r="G115" s="670">
        <f t="shared" si="12"/>
        <v>43252</v>
      </c>
      <c r="H115" s="669" t="s">
        <v>732</v>
      </c>
      <c r="I115" s="671" t="s">
        <v>170</v>
      </c>
      <c r="J115" s="669" t="s">
        <v>719</v>
      </c>
      <c r="K115" s="689" t="s">
        <v>725</v>
      </c>
      <c r="L115" s="683">
        <v>6241</v>
      </c>
      <c r="M115" s="684"/>
      <c r="N115" s="685"/>
      <c r="O115" s="686">
        <v>101</v>
      </c>
      <c r="P115" s="685">
        <v>14</v>
      </c>
      <c r="Q115" s="686">
        <f t="shared" si="13"/>
        <v>1414</v>
      </c>
      <c r="R115" s="687"/>
      <c r="S115" s="688"/>
      <c r="T115" s="688"/>
      <c r="U115" s="688"/>
      <c r="V115" s="688"/>
      <c r="W115" s="688"/>
      <c r="X115" s="688"/>
      <c r="Y115" s="688"/>
    </row>
    <row r="116" spans="1:25" s="592" customFormat="1" ht="72" customHeight="1">
      <c r="A116" s="665">
        <f>+A115</f>
        <v>1212</v>
      </c>
      <c r="B116" s="692" t="s">
        <v>730</v>
      </c>
      <c r="C116" s="667" t="s">
        <v>731</v>
      </c>
      <c r="D116" s="668"/>
      <c r="E116" s="669">
        <f t="shared" si="9"/>
        <v>5</v>
      </c>
      <c r="F116" s="670">
        <v>43248</v>
      </c>
      <c r="G116" s="670">
        <f t="shared" si="12"/>
        <v>43252</v>
      </c>
      <c r="H116" s="669" t="s">
        <v>732</v>
      </c>
      <c r="I116" s="671" t="s">
        <v>170</v>
      </c>
      <c r="J116" s="669" t="s">
        <v>719</v>
      </c>
      <c r="K116" s="689" t="s">
        <v>726</v>
      </c>
      <c r="L116" s="683">
        <v>6241</v>
      </c>
      <c r="M116" s="684"/>
      <c r="N116" s="685"/>
      <c r="O116" s="686">
        <v>100</v>
      </c>
      <c r="P116" s="685">
        <v>14</v>
      </c>
      <c r="Q116" s="686">
        <f t="shared" si="13"/>
        <v>1400</v>
      </c>
      <c r="R116" s="687"/>
      <c r="S116" s="688"/>
      <c r="T116" s="688"/>
      <c r="U116" s="688"/>
      <c r="V116" s="688"/>
      <c r="W116" s="688"/>
      <c r="X116" s="688"/>
      <c r="Y116" s="688"/>
    </row>
    <row r="117" spans="1:25" s="592" customFormat="1" ht="72" customHeight="1">
      <c r="A117" s="665">
        <f>+A116</f>
        <v>1212</v>
      </c>
      <c r="B117" s="692" t="s">
        <v>730</v>
      </c>
      <c r="C117" s="667" t="s">
        <v>731</v>
      </c>
      <c r="D117" s="668"/>
      <c r="E117" s="669">
        <f t="shared" si="9"/>
        <v>5</v>
      </c>
      <c r="F117" s="670">
        <v>43248</v>
      </c>
      <c r="G117" s="670">
        <f t="shared" si="12"/>
        <v>43252</v>
      </c>
      <c r="H117" s="669" t="s">
        <v>732</v>
      </c>
      <c r="I117" s="671" t="s">
        <v>170</v>
      </c>
      <c r="J117" s="669" t="s">
        <v>719</v>
      </c>
      <c r="K117" s="689" t="s">
        <v>727</v>
      </c>
      <c r="L117" s="683">
        <v>6241</v>
      </c>
      <c r="M117" s="684"/>
      <c r="N117" s="685"/>
      <c r="O117" s="686">
        <v>84</v>
      </c>
      <c r="P117" s="685">
        <v>14</v>
      </c>
      <c r="Q117" s="686">
        <f t="shared" si="13"/>
        <v>1176</v>
      </c>
      <c r="R117" s="687"/>
      <c r="S117" s="688"/>
      <c r="T117" s="688"/>
      <c r="U117" s="688"/>
      <c r="V117" s="688"/>
      <c r="W117" s="688"/>
      <c r="X117" s="688"/>
      <c r="Y117" s="688"/>
    </row>
    <row r="118" spans="1:25" s="592" customFormat="1" ht="72" customHeight="1">
      <c r="A118" s="665">
        <f>+A117</f>
        <v>1212</v>
      </c>
      <c r="B118" s="692" t="s">
        <v>730</v>
      </c>
      <c r="C118" s="667" t="s">
        <v>731</v>
      </c>
      <c r="D118" s="668"/>
      <c r="E118" s="669">
        <f t="shared" si="9"/>
        <v>5</v>
      </c>
      <c r="F118" s="670">
        <v>43248</v>
      </c>
      <c r="G118" s="670">
        <f t="shared" si="12"/>
        <v>43252</v>
      </c>
      <c r="H118" s="669" t="s">
        <v>732</v>
      </c>
      <c r="I118" s="671" t="s">
        <v>170</v>
      </c>
      <c r="J118" s="669" t="s">
        <v>719</v>
      </c>
      <c r="K118" s="689" t="s">
        <v>736</v>
      </c>
      <c r="L118" s="683">
        <v>6241</v>
      </c>
      <c r="M118" s="684"/>
      <c r="N118" s="685"/>
      <c r="O118" s="686">
        <v>50</v>
      </c>
      <c r="P118" s="685">
        <v>14</v>
      </c>
      <c r="Q118" s="686">
        <f t="shared" si="13"/>
        <v>700</v>
      </c>
      <c r="R118" s="687"/>
      <c r="S118" s="688"/>
      <c r="T118" s="688"/>
      <c r="U118" s="688"/>
      <c r="V118" s="688"/>
      <c r="W118" s="688"/>
      <c r="X118" s="688"/>
      <c r="Y118" s="688"/>
    </row>
    <row r="119" spans="1:25" s="592" customFormat="1" ht="72" customHeight="1">
      <c r="A119" s="665">
        <f>+A118</f>
        <v>1212</v>
      </c>
      <c r="B119" s="692" t="s">
        <v>730</v>
      </c>
      <c r="C119" s="667" t="s">
        <v>731</v>
      </c>
      <c r="D119" s="668"/>
      <c r="E119" s="669">
        <f t="shared" si="9"/>
        <v>5</v>
      </c>
      <c r="F119" s="670">
        <v>43248</v>
      </c>
      <c r="G119" s="670">
        <f t="shared" si="12"/>
        <v>43252</v>
      </c>
      <c r="H119" s="669" t="s">
        <v>732</v>
      </c>
      <c r="I119" s="671" t="s">
        <v>170</v>
      </c>
      <c r="J119" s="669" t="s">
        <v>719</v>
      </c>
      <c r="K119" s="689" t="s">
        <v>737</v>
      </c>
      <c r="L119" s="683">
        <v>6131</v>
      </c>
      <c r="M119" s="684"/>
      <c r="N119" s="685"/>
      <c r="O119" s="686">
        <v>510</v>
      </c>
      <c r="P119" s="685">
        <v>14</v>
      </c>
      <c r="Q119" s="686">
        <f t="shared" si="13"/>
        <v>7140</v>
      </c>
      <c r="R119" s="687"/>
      <c r="S119" s="688"/>
      <c r="T119" s="688"/>
      <c r="U119" s="688"/>
      <c r="V119" s="688"/>
      <c r="W119" s="688"/>
      <c r="X119" s="688"/>
      <c r="Y119" s="688"/>
    </row>
    <row r="120" spans="1:25" s="592" customFormat="1" ht="72" customHeight="1">
      <c r="A120" s="665">
        <v>1213</v>
      </c>
      <c r="B120" s="690" t="s">
        <v>738</v>
      </c>
      <c r="C120" s="667" t="s">
        <v>739</v>
      </c>
      <c r="D120" s="668"/>
      <c r="E120" s="669">
        <f t="shared" si="9"/>
        <v>26</v>
      </c>
      <c r="F120" s="670">
        <v>43262</v>
      </c>
      <c r="G120" s="670">
        <v>43287</v>
      </c>
      <c r="H120" s="669"/>
      <c r="I120" s="671" t="s">
        <v>170</v>
      </c>
      <c r="J120" s="669" t="s">
        <v>719</v>
      </c>
      <c r="K120" s="689"/>
      <c r="L120" s="683"/>
      <c r="M120" s="684"/>
      <c r="N120" s="685"/>
      <c r="O120" s="686"/>
      <c r="P120" s="685"/>
      <c r="Q120" s="691"/>
      <c r="R120" s="687">
        <f>SUM(Q121:Q132)</f>
        <v>18706</v>
      </c>
      <c r="S120" s="688"/>
      <c r="T120" s="688"/>
      <c r="U120" s="688"/>
      <c r="V120" s="688"/>
      <c r="W120" s="687">
        <f>SUM(Q121:Q132)</f>
        <v>18706</v>
      </c>
      <c r="X120" s="688"/>
      <c r="Y120" s="688"/>
    </row>
    <row r="121" spans="1:25" s="592" customFormat="1" ht="72" customHeight="1">
      <c r="A121" s="665">
        <v>1213</v>
      </c>
      <c r="B121" s="692" t="s">
        <v>738</v>
      </c>
      <c r="C121" s="667" t="s">
        <v>739</v>
      </c>
      <c r="D121" s="668"/>
      <c r="E121" s="669">
        <f t="shared" si="9"/>
        <v>26</v>
      </c>
      <c r="F121" s="670">
        <v>43262</v>
      </c>
      <c r="G121" s="670">
        <v>43287</v>
      </c>
      <c r="H121" s="669"/>
      <c r="I121" s="671" t="s">
        <v>170</v>
      </c>
      <c r="J121" s="669" t="s">
        <v>719</v>
      </c>
      <c r="K121" s="689" t="s">
        <v>740</v>
      </c>
      <c r="L121" s="683">
        <v>6241</v>
      </c>
      <c r="M121" s="684"/>
      <c r="N121" s="685"/>
      <c r="O121" s="686">
        <v>214</v>
      </c>
      <c r="P121" s="685">
        <v>28</v>
      </c>
      <c r="Q121" s="686">
        <f t="shared" ref="Q121:Q132" si="14">+O121*P121</f>
        <v>5992</v>
      </c>
      <c r="R121" s="687"/>
      <c r="S121" s="688"/>
      <c r="T121" s="688"/>
      <c r="U121" s="688"/>
      <c r="V121" s="688"/>
      <c r="W121" s="688"/>
      <c r="X121" s="688"/>
      <c r="Y121" s="688"/>
    </row>
    <row r="122" spans="1:25" s="592" customFormat="1" ht="72" customHeight="1">
      <c r="A122" s="665">
        <v>1213</v>
      </c>
      <c r="B122" s="692" t="s">
        <v>738</v>
      </c>
      <c r="C122" s="667" t="s">
        <v>739</v>
      </c>
      <c r="D122" s="668"/>
      <c r="E122" s="669">
        <f t="shared" si="9"/>
        <v>26</v>
      </c>
      <c r="F122" s="670">
        <v>43262</v>
      </c>
      <c r="G122" s="670">
        <v>43287</v>
      </c>
      <c r="H122" s="669"/>
      <c r="I122" s="671" t="s">
        <v>170</v>
      </c>
      <c r="J122" s="669" t="s">
        <v>719</v>
      </c>
      <c r="K122" s="689" t="s">
        <v>741</v>
      </c>
      <c r="L122" s="683">
        <v>6241</v>
      </c>
      <c r="M122" s="684"/>
      <c r="N122" s="685"/>
      <c r="O122" s="686">
        <v>225</v>
      </c>
      <c r="P122" s="685">
        <v>28</v>
      </c>
      <c r="Q122" s="686">
        <f t="shared" si="14"/>
        <v>6300</v>
      </c>
      <c r="R122" s="687"/>
      <c r="S122" s="688"/>
      <c r="T122" s="688"/>
      <c r="U122" s="688"/>
      <c r="V122" s="688"/>
      <c r="W122" s="688"/>
      <c r="X122" s="688"/>
      <c r="Y122" s="688"/>
    </row>
    <row r="123" spans="1:25" s="592" customFormat="1" ht="72" customHeight="1">
      <c r="A123" s="665">
        <v>1213</v>
      </c>
      <c r="B123" s="692" t="s">
        <v>738</v>
      </c>
      <c r="C123" s="667" t="s">
        <v>739</v>
      </c>
      <c r="D123" s="668"/>
      <c r="E123" s="669">
        <f t="shared" si="9"/>
        <v>26</v>
      </c>
      <c r="F123" s="670">
        <v>43262</v>
      </c>
      <c r="G123" s="670">
        <v>43287</v>
      </c>
      <c r="H123" s="669"/>
      <c r="I123" s="671" t="s">
        <v>170</v>
      </c>
      <c r="J123" s="669" t="s">
        <v>719</v>
      </c>
      <c r="K123" s="689" t="s">
        <v>742</v>
      </c>
      <c r="L123" s="683">
        <v>6231</v>
      </c>
      <c r="M123" s="684"/>
      <c r="N123" s="685"/>
      <c r="O123" s="686">
        <v>38</v>
      </c>
      <c r="P123" s="685">
        <v>28</v>
      </c>
      <c r="Q123" s="686">
        <f t="shared" si="14"/>
        <v>1064</v>
      </c>
      <c r="R123" s="687"/>
      <c r="S123" s="688"/>
      <c r="T123" s="688"/>
      <c r="U123" s="688"/>
      <c r="V123" s="688"/>
      <c r="W123" s="688"/>
      <c r="X123" s="688"/>
      <c r="Y123" s="688"/>
    </row>
    <row r="124" spans="1:25" s="592" customFormat="1" ht="72" customHeight="1">
      <c r="A124" s="665">
        <v>1213</v>
      </c>
      <c r="B124" s="692" t="s">
        <v>738</v>
      </c>
      <c r="C124" s="667" t="s">
        <v>739</v>
      </c>
      <c r="D124" s="668"/>
      <c r="E124" s="669">
        <f t="shared" si="9"/>
        <v>26</v>
      </c>
      <c r="F124" s="670">
        <v>43262</v>
      </c>
      <c r="G124" s="670">
        <v>43287</v>
      </c>
      <c r="H124" s="669"/>
      <c r="I124" s="671" t="s">
        <v>170</v>
      </c>
      <c r="J124" s="669" t="s">
        <v>719</v>
      </c>
      <c r="K124" s="689" t="s">
        <v>743</v>
      </c>
      <c r="L124" s="683">
        <v>6241</v>
      </c>
      <c r="M124" s="684"/>
      <c r="N124" s="685"/>
      <c r="O124" s="686">
        <f>+O121</f>
        <v>214</v>
      </c>
      <c r="P124" s="685">
        <v>2</v>
      </c>
      <c r="Q124" s="686">
        <f t="shared" si="14"/>
        <v>428</v>
      </c>
      <c r="R124" s="687"/>
      <c r="S124" s="688"/>
      <c r="T124" s="688"/>
      <c r="U124" s="688"/>
      <c r="V124" s="688"/>
      <c r="W124" s="688"/>
      <c r="X124" s="688"/>
      <c r="Y124" s="688"/>
    </row>
    <row r="125" spans="1:25" s="592" customFormat="1" ht="72" customHeight="1">
      <c r="A125" s="665">
        <v>1213</v>
      </c>
      <c r="B125" s="692" t="s">
        <v>738</v>
      </c>
      <c r="C125" s="667" t="s">
        <v>739</v>
      </c>
      <c r="D125" s="668"/>
      <c r="E125" s="669">
        <f t="shared" si="9"/>
        <v>26</v>
      </c>
      <c r="F125" s="670">
        <v>43262</v>
      </c>
      <c r="G125" s="670">
        <v>43287</v>
      </c>
      <c r="H125" s="669"/>
      <c r="I125" s="671" t="s">
        <v>170</v>
      </c>
      <c r="J125" s="669" t="s">
        <v>719</v>
      </c>
      <c r="K125" s="689" t="s">
        <v>744</v>
      </c>
      <c r="L125" s="683">
        <v>6241</v>
      </c>
      <c r="M125" s="684"/>
      <c r="N125" s="685"/>
      <c r="O125" s="686">
        <f>+O122</f>
        <v>225</v>
      </c>
      <c r="P125" s="685">
        <v>2</v>
      </c>
      <c r="Q125" s="686">
        <f t="shared" si="14"/>
        <v>450</v>
      </c>
      <c r="R125" s="687"/>
      <c r="S125" s="688"/>
      <c r="T125" s="688"/>
      <c r="U125" s="688"/>
      <c r="V125" s="688"/>
      <c r="W125" s="688"/>
      <c r="X125" s="688"/>
      <c r="Y125" s="688"/>
    </row>
    <row r="126" spans="1:25" s="592" customFormat="1" ht="72" customHeight="1">
      <c r="A126" s="665">
        <v>1213</v>
      </c>
      <c r="B126" s="692" t="s">
        <v>738</v>
      </c>
      <c r="C126" s="667" t="s">
        <v>739</v>
      </c>
      <c r="D126" s="668"/>
      <c r="E126" s="669">
        <f t="shared" si="9"/>
        <v>26</v>
      </c>
      <c r="F126" s="670">
        <v>43262</v>
      </c>
      <c r="G126" s="670">
        <v>43287</v>
      </c>
      <c r="H126" s="669"/>
      <c r="I126" s="671" t="s">
        <v>170</v>
      </c>
      <c r="J126" s="669" t="s">
        <v>719</v>
      </c>
      <c r="K126" s="689" t="s">
        <v>745</v>
      </c>
      <c r="L126" s="683">
        <v>6131</v>
      </c>
      <c r="M126" s="684"/>
      <c r="N126" s="685"/>
      <c r="O126" s="686">
        <v>255</v>
      </c>
      <c r="P126" s="685">
        <v>2</v>
      </c>
      <c r="Q126" s="686">
        <f t="shared" si="14"/>
        <v>510</v>
      </c>
      <c r="R126" s="687"/>
      <c r="S126" s="688"/>
      <c r="T126" s="688"/>
      <c r="U126" s="688"/>
      <c r="V126" s="688"/>
      <c r="W126" s="688"/>
      <c r="X126" s="688"/>
      <c r="Y126" s="688"/>
    </row>
    <row r="127" spans="1:25" s="592" customFormat="1" ht="72" customHeight="1">
      <c r="A127" s="665">
        <v>1213</v>
      </c>
      <c r="B127" s="692" t="s">
        <v>738</v>
      </c>
      <c r="C127" s="667" t="s">
        <v>739</v>
      </c>
      <c r="D127" s="668"/>
      <c r="E127" s="669">
        <f t="shared" si="9"/>
        <v>26</v>
      </c>
      <c r="F127" s="670">
        <v>43262</v>
      </c>
      <c r="G127" s="670">
        <v>43287</v>
      </c>
      <c r="H127" s="669"/>
      <c r="I127" s="671" t="s">
        <v>170</v>
      </c>
      <c r="J127" s="669" t="s">
        <v>719</v>
      </c>
      <c r="K127" s="689" t="s">
        <v>727</v>
      </c>
      <c r="L127" s="683">
        <v>6241</v>
      </c>
      <c r="M127" s="684"/>
      <c r="N127" s="685"/>
      <c r="O127" s="686">
        <v>178</v>
      </c>
      <c r="P127" s="685">
        <v>2</v>
      </c>
      <c r="Q127" s="686">
        <f t="shared" si="14"/>
        <v>356</v>
      </c>
      <c r="R127" s="687"/>
      <c r="S127" s="688"/>
      <c r="T127" s="688"/>
      <c r="U127" s="688"/>
      <c r="V127" s="688"/>
      <c r="W127" s="688"/>
      <c r="X127" s="688"/>
      <c r="Y127" s="688"/>
    </row>
    <row r="128" spans="1:25" s="592" customFormat="1" ht="72" customHeight="1">
      <c r="A128" s="665">
        <v>1213</v>
      </c>
      <c r="B128" s="692" t="s">
        <v>738</v>
      </c>
      <c r="C128" s="667" t="s">
        <v>739</v>
      </c>
      <c r="D128" s="668"/>
      <c r="E128" s="669">
        <f t="shared" si="9"/>
        <v>26</v>
      </c>
      <c r="F128" s="670">
        <v>43262</v>
      </c>
      <c r="G128" s="670">
        <v>43287</v>
      </c>
      <c r="H128" s="669"/>
      <c r="I128" s="671" t="s">
        <v>170</v>
      </c>
      <c r="J128" s="669" t="s">
        <v>719</v>
      </c>
      <c r="K128" s="689" t="s">
        <v>736</v>
      </c>
      <c r="L128" s="683">
        <v>6241</v>
      </c>
      <c r="M128" s="684"/>
      <c r="N128" s="685"/>
      <c r="O128" s="686">
        <v>112</v>
      </c>
      <c r="P128" s="685">
        <v>2</v>
      </c>
      <c r="Q128" s="686">
        <f t="shared" si="14"/>
        <v>224</v>
      </c>
      <c r="R128" s="687"/>
      <c r="S128" s="688"/>
      <c r="T128" s="688"/>
      <c r="U128" s="688"/>
      <c r="V128" s="688"/>
      <c r="W128" s="688"/>
      <c r="X128" s="688"/>
      <c r="Y128" s="688"/>
    </row>
    <row r="129" spans="1:25" s="592" customFormat="1" ht="72" customHeight="1">
      <c r="A129" s="665">
        <v>1213</v>
      </c>
      <c r="B129" s="692" t="s">
        <v>738</v>
      </c>
      <c r="C129" s="667" t="s">
        <v>739</v>
      </c>
      <c r="D129" s="668"/>
      <c r="E129" s="669">
        <f t="shared" si="9"/>
        <v>26</v>
      </c>
      <c r="F129" s="670">
        <v>43262</v>
      </c>
      <c r="G129" s="670">
        <v>43287</v>
      </c>
      <c r="H129" s="669"/>
      <c r="I129" s="671" t="s">
        <v>170</v>
      </c>
      <c r="J129" s="669" t="s">
        <v>719</v>
      </c>
      <c r="K129" s="689" t="s">
        <v>302</v>
      </c>
      <c r="L129" s="683">
        <v>6111</v>
      </c>
      <c r="M129" s="684"/>
      <c r="N129" s="685"/>
      <c r="O129" s="686">
        <v>15</v>
      </c>
      <c r="P129" s="685">
        <v>28</v>
      </c>
      <c r="Q129" s="686">
        <f t="shared" si="14"/>
        <v>420</v>
      </c>
      <c r="R129" s="687"/>
      <c r="S129" s="688"/>
      <c r="T129" s="688"/>
      <c r="U129" s="688"/>
      <c r="V129" s="688"/>
      <c r="W129" s="688"/>
      <c r="X129" s="688"/>
      <c r="Y129" s="688"/>
    </row>
    <row r="130" spans="1:25" s="592" customFormat="1" ht="63.75" customHeight="1">
      <c r="A130" s="665">
        <v>1213</v>
      </c>
      <c r="B130" s="692" t="s">
        <v>738</v>
      </c>
      <c r="C130" s="667" t="s">
        <v>739</v>
      </c>
      <c r="D130" s="668"/>
      <c r="E130" s="669">
        <f t="shared" si="9"/>
        <v>26</v>
      </c>
      <c r="F130" s="670">
        <v>43262</v>
      </c>
      <c r="G130" s="670">
        <v>43287</v>
      </c>
      <c r="H130" s="669"/>
      <c r="I130" s="671" t="s">
        <v>170</v>
      </c>
      <c r="J130" s="669" t="s">
        <v>719</v>
      </c>
      <c r="K130" s="689" t="s">
        <v>486</v>
      </c>
      <c r="L130" s="683">
        <v>6271</v>
      </c>
      <c r="M130" s="684"/>
      <c r="N130" s="685"/>
      <c r="O130" s="686">
        <v>156</v>
      </c>
      <c r="P130" s="685">
        <v>15</v>
      </c>
      <c r="Q130" s="686">
        <f t="shared" si="14"/>
        <v>2340</v>
      </c>
      <c r="R130" s="687"/>
      <c r="S130" s="688"/>
      <c r="T130" s="688"/>
      <c r="U130" s="688"/>
      <c r="V130" s="688"/>
      <c r="W130" s="688"/>
      <c r="X130" s="688"/>
      <c r="Y130" s="688"/>
    </row>
    <row r="131" spans="1:25" s="592" customFormat="1" ht="63.75" customHeight="1">
      <c r="A131" s="665">
        <v>1213</v>
      </c>
      <c r="B131" s="692" t="s">
        <v>738</v>
      </c>
      <c r="C131" s="667" t="s">
        <v>739</v>
      </c>
      <c r="D131" s="668"/>
      <c r="E131" s="669">
        <f t="shared" si="9"/>
        <v>26</v>
      </c>
      <c r="F131" s="670">
        <v>43262</v>
      </c>
      <c r="G131" s="670">
        <v>43287</v>
      </c>
      <c r="H131" s="669"/>
      <c r="I131" s="671" t="s">
        <v>170</v>
      </c>
      <c r="J131" s="669" t="s">
        <v>719</v>
      </c>
      <c r="K131" s="693" t="s">
        <v>723</v>
      </c>
      <c r="L131" s="683">
        <v>6241</v>
      </c>
      <c r="M131" s="684"/>
      <c r="N131" s="685"/>
      <c r="O131" s="686">
        <v>281</v>
      </c>
      <c r="P131" s="685">
        <v>2</v>
      </c>
      <c r="Q131" s="686">
        <f t="shared" si="14"/>
        <v>562</v>
      </c>
      <c r="R131" s="687"/>
      <c r="S131" s="688"/>
      <c r="T131" s="688"/>
      <c r="U131" s="688"/>
      <c r="V131" s="688"/>
      <c r="W131" s="688"/>
      <c r="X131" s="688"/>
      <c r="Y131" s="688"/>
    </row>
    <row r="132" spans="1:25" s="592" customFormat="1" ht="63.75" customHeight="1">
      <c r="A132" s="665">
        <v>1213</v>
      </c>
      <c r="B132" s="692" t="s">
        <v>738</v>
      </c>
      <c r="C132" s="667" t="s">
        <v>739</v>
      </c>
      <c r="D132" s="668"/>
      <c r="E132" s="669"/>
      <c r="F132" s="670"/>
      <c r="G132" s="670"/>
      <c r="H132" s="669"/>
      <c r="I132" s="671" t="s">
        <v>170</v>
      </c>
      <c r="J132" s="669" t="s">
        <v>719</v>
      </c>
      <c r="K132" s="693" t="s">
        <v>746</v>
      </c>
      <c r="L132" s="683">
        <v>6224</v>
      </c>
      <c r="M132" s="684"/>
      <c r="N132" s="685"/>
      <c r="O132" s="686">
        <v>1</v>
      </c>
      <c r="P132" s="685">
        <v>60</v>
      </c>
      <c r="Q132" s="686">
        <f t="shared" si="14"/>
        <v>60</v>
      </c>
      <c r="R132" s="687"/>
      <c r="S132" s="688"/>
      <c r="T132" s="688"/>
      <c r="U132" s="688"/>
      <c r="V132" s="688"/>
      <c r="W132" s="688"/>
      <c r="X132" s="688"/>
      <c r="Y132" s="688"/>
    </row>
    <row r="133" spans="1:25" s="592" customFormat="1" ht="58.5" customHeight="1">
      <c r="A133" s="665">
        <v>1214</v>
      </c>
      <c r="B133" s="694" t="s">
        <v>747</v>
      </c>
      <c r="C133" s="667" t="s">
        <v>748</v>
      </c>
      <c r="D133" s="668"/>
      <c r="E133" s="669">
        <f>+G133-F133+1</f>
        <v>3</v>
      </c>
      <c r="F133" s="670">
        <v>43304</v>
      </c>
      <c r="G133" s="670">
        <f>+F133+3-1</f>
        <v>43306</v>
      </c>
      <c r="H133" s="669"/>
      <c r="I133" s="671"/>
      <c r="J133" s="682"/>
      <c r="K133" s="695"/>
      <c r="L133" s="683"/>
      <c r="M133" s="684"/>
      <c r="N133" s="685"/>
      <c r="O133" s="686"/>
      <c r="P133" s="685"/>
      <c r="Q133" s="691"/>
      <c r="R133" s="687">
        <f>SUM(Q134:Q136)</f>
        <v>3056</v>
      </c>
      <c r="S133" s="688"/>
      <c r="T133" s="688"/>
      <c r="U133" s="688"/>
      <c r="V133" s="688"/>
      <c r="W133" s="687">
        <f>SUM(Q134:Q136)</f>
        <v>3056</v>
      </c>
      <c r="X133" s="688"/>
      <c r="Y133" s="688"/>
    </row>
    <row r="134" spans="1:25" s="592" customFormat="1" ht="58.5" customHeight="1">
      <c r="A134" s="665">
        <v>1214</v>
      </c>
      <c r="B134" s="696" t="s">
        <v>747</v>
      </c>
      <c r="C134" s="667" t="s">
        <v>748</v>
      </c>
      <c r="D134" s="668"/>
      <c r="E134" s="669">
        <f>+G134-F134+1</f>
        <v>3</v>
      </c>
      <c r="F134" s="670">
        <v>43304</v>
      </c>
      <c r="G134" s="670">
        <f>+F134+3-1</f>
        <v>43306</v>
      </c>
      <c r="H134" s="669"/>
      <c r="I134" s="671" t="s">
        <v>170</v>
      </c>
      <c r="J134" s="682"/>
      <c r="K134" s="697" t="s">
        <v>670</v>
      </c>
      <c r="L134" s="683">
        <v>6225</v>
      </c>
      <c r="M134" s="684"/>
      <c r="N134" s="685"/>
      <c r="O134" s="686">
        <f>16*3</f>
        <v>48</v>
      </c>
      <c r="P134" s="685">
        <v>40</v>
      </c>
      <c r="Q134" s="686">
        <f>+O134*P134</f>
        <v>1920</v>
      </c>
      <c r="R134" s="687"/>
      <c r="S134" s="688"/>
      <c r="T134" s="688"/>
      <c r="U134" s="688"/>
      <c r="V134" s="688"/>
      <c r="W134" s="688"/>
      <c r="X134" s="688"/>
      <c r="Y134" s="688"/>
    </row>
    <row r="135" spans="1:25" s="592" customFormat="1" ht="58.5" customHeight="1">
      <c r="A135" s="665">
        <v>1214</v>
      </c>
      <c r="B135" s="696" t="s">
        <v>747</v>
      </c>
      <c r="C135" s="667" t="s">
        <v>748</v>
      </c>
      <c r="D135" s="668"/>
      <c r="E135" s="669">
        <f>+G135-F135+1</f>
        <v>3</v>
      </c>
      <c r="F135" s="670">
        <v>43304</v>
      </c>
      <c r="G135" s="670">
        <f>+F135+3-1</f>
        <v>43306</v>
      </c>
      <c r="H135" s="669"/>
      <c r="I135" s="671" t="s">
        <v>170</v>
      </c>
      <c r="J135" s="682"/>
      <c r="K135" s="689" t="s">
        <v>638</v>
      </c>
      <c r="L135" s="683">
        <v>6111</v>
      </c>
      <c r="M135" s="684"/>
      <c r="N135" s="685"/>
      <c r="O135" s="686">
        <v>5</v>
      </c>
      <c r="P135" s="685">
        <v>40</v>
      </c>
      <c r="Q135" s="686">
        <f>+O135*P135</f>
        <v>200</v>
      </c>
      <c r="R135" s="687"/>
      <c r="S135" s="688"/>
      <c r="T135" s="688"/>
      <c r="U135" s="688"/>
      <c r="V135" s="688"/>
      <c r="W135" s="688"/>
      <c r="X135" s="688"/>
      <c r="Y135" s="688"/>
    </row>
    <row r="136" spans="1:25" s="592" customFormat="1" ht="58.5" customHeight="1">
      <c r="A136" s="665">
        <v>1214</v>
      </c>
      <c r="B136" s="696" t="s">
        <v>747</v>
      </c>
      <c r="C136" s="667" t="s">
        <v>748</v>
      </c>
      <c r="D136" s="668"/>
      <c r="E136" s="669">
        <f>+G136-F136+1</f>
        <v>3</v>
      </c>
      <c r="F136" s="670">
        <v>43304</v>
      </c>
      <c r="G136" s="670">
        <f>+F136+3-1</f>
        <v>43306</v>
      </c>
      <c r="H136" s="669"/>
      <c r="I136" s="671" t="s">
        <v>170</v>
      </c>
      <c r="J136" s="682"/>
      <c r="K136" s="689" t="s">
        <v>486</v>
      </c>
      <c r="L136" s="683">
        <v>6271</v>
      </c>
      <c r="M136" s="684"/>
      <c r="N136" s="685"/>
      <c r="O136" s="686">
        <v>312</v>
      </c>
      <c r="P136" s="685">
        <v>3</v>
      </c>
      <c r="Q136" s="686">
        <f>+O136*P136</f>
        <v>936</v>
      </c>
      <c r="R136" s="687"/>
      <c r="S136" s="688"/>
      <c r="T136" s="688"/>
      <c r="U136" s="688"/>
      <c r="V136" s="688"/>
      <c r="W136" s="688"/>
      <c r="X136" s="688"/>
      <c r="Y136" s="688"/>
    </row>
    <row r="137" spans="1:25" s="592" customFormat="1" ht="46.5" customHeight="1">
      <c r="A137" s="698">
        <v>1215</v>
      </c>
      <c r="B137" s="694" t="s">
        <v>749</v>
      </c>
      <c r="C137" s="667" t="s">
        <v>750</v>
      </c>
      <c r="D137" s="699"/>
      <c r="E137" s="669">
        <f t="shared" ref="E137:E166" si="15">+G137-F137+1</f>
        <v>6</v>
      </c>
      <c r="F137" s="670">
        <v>43318</v>
      </c>
      <c r="G137" s="670">
        <f t="shared" ref="G137:G147" si="16">F137+6-1</f>
        <v>43323</v>
      </c>
      <c r="H137" s="669"/>
      <c r="I137" s="671"/>
      <c r="J137" s="682"/>
      <c r="K137" s="689"/>
      <c r="L137" s="683"/>
      <c r="M137" s="684"/>
      <c r="N137" s="685"/>
      <c r="O137" s="686"/>
      <c r="P137" s="685"/>
      <c r="Q137" s="686"/>
      <c r="R137" s="687">
        <f>SUM(Q138:Q147)</f>
        <v>7142</v>
      </c>
      <c r="S137" s="688"/>
      <c r="T137" s="688"/>
      <c r="U137" s="688"/>
      <c r="V137" s="688"/>
      <c r="W137" s="688"/>
      <c r="X137" s="687">
        <f>SUM(Q138:Q147)</f>
        <v>7142</v>
      </c>
      <c r="Y137" s="688"/>
    </row>
    <row r="138" spans="1:25" s="700" customFormat="1" ht="75.75" customHeight="1">
      <c r="A138" s="698">
        <v>1215</v>
      </c>
      <c r="B138" s="696" t="s">
        <v>749</v>
      </c>
      <c r="C138" s="667" t="s">
        <v>750</v>
      </c>
      <c r="D138" s="699"/>
      <c r="E138" s="669">
        <f t="shared" si="15"/>
        <v>6</v>
      </c>
      <c r="F138" s="670">
        <v>43318</v>
      </c>
      <c r="G138" s="670">
        <f t="shared" si="16"/>
        <v>43323</v>
      </c>
      <c r="H138" s="669"/>
      <c r="I138" s="671" t="s">
        <v>170</v>
      </c>
      <c r="J138" s="669"/>
      <c r="K138" s="697" t="s">
        <v>751</v>
      </c>
      <c r="L138" s="683">
        <v>6241</v>
      </c>
      <c r="M138" s="685"/>
      <c r="N138" s="685"/>
      <c r="O138" s="686">
        <v>67</v>
      </c>
      <c r="P138" s="685">
        <v>26</v>
      </c>
      <c r="Q138" s="686">
        <f t="shared" ref="Q138:Q147" si="17">+O138*P138</f>
        <v>1742</v>
      </c>
      <c r="R138" s="687"/>
      <c r="S138" s="687"/>
      <c r="T138" s="687"/>
      <c r="U138" s="687"/>
      <c r="V138" s="687"/>
      <c r="W138" s="687"/>
      <c r="X138" s="687"/>
      <c r="Y138" s="687"/>
    </row>
    <row r="139" spans="1:25" s="700" customFormat="1" ht="75.75" customHeight="1">
      <c r="A139" s="698">
        <v>1215</v>
      </c>
      <c r="B139" s="696" t="s">
        <v>749</v>
      </c>
      <c r="C139" s="667" t="s">
        <v>750</v>
      </c>
      <c r="D139" s="699"/>
      <c r="E139" s="669">
        <f t="shared" si="15"/>
        <v>6</v>
      </c>
      <c r="F139" s="670">
        <v>43318</v>
      </c>
      <c r="G139" s="670">
        <f t="shared" si="16"/>
        <v>43323</v>
      </c>
      <c r="H139" s="669"/>
      <c r="I139" s="671" t="s">
        <v>170</v>
      </c>
      <c r="J139" s="669"/>
      <c r="K139" s="689" t="s">
        <v>752</v>
      </c>
      <c r="L139" s="683">
        <v>6241</v>
      </c>
      <c r="M139" s="685"/>
      <c r="N139" s="685"/>
      <c r="O139" s="686">
        <v>63</v>
      </c>
      <c r="P139" s="685">
        <v>26</v>
      </c>
      <c r="Q139" s="686">
        <f t="shared" si="17"/>
        <v>1638</v>
      </c>
      <c r="R139" s="687"/>
      <c r="S139" s="687"/>
      <c r="T139" s="687"/>
      <c r="U139" s="687"/>
      <c r="V139" s="687"/>
      <c r="W139" s="687"/>
      <c r="X139" s="687"/>
      <c r="Y139" s="687"/>
    </row>
    <row r="140" spans="1:25" s="700" customFormat="1" ht="75.75" customHeight="1">
      <c r="A140" s="698">
        <v>1215</v>
      </c>
      <c r="B140" s="696" t="s">
        <v>749</v>
      </c>
      <c r="C140" s="667" t="s">
        <v>750</v>
      </c>
      <c r="D140" s="699"/>
      <c r="E140" s="669">
        <f t="shared" si="15"/>
        <v>6</v>
      </c>
      <c r="F140" s="670">
        <v>43318</v>
      </c>
      <c r="G140" s="670">
        <f t="shared" si="16"/>
        <v>43323</v>
      </c>
      <c r="H140" s="669"/>
      <c r="I140" s="671" t="s">
        <v>170</v>
      </c>
      <c r="J140" s="669"/>
      <c r="K140" s="689" t="s">
        <v>753</v>
      </c>
      <c r="L140" s="683">
        <v>6231</v>
      </c>
      <c r="M140" s="685"/>
      <c r="N140" s="685"/>
      <c r="O140" s="686">
        <v>38</v>
      </c>
      <c r="P140" s="685">
        <v>26</v>
      </c>
      <c r="Q140" s="686">
        <f t="shared" si="17"/>
        <v>988</v>
      </c>
      <c r="R140" s="687"/>
      <c r="S140" s="687"/>
      <c r="T140" s="687"/>
      <c r="U140" s="687"/>
      <c r="V140" s="687"/>
      <c r="W140" s="687"/>
      <c r="X140" s="687"/>
      <c r="Y140" s="687"/>
    </row>
    <row r="141" spans="1:25" s="700" customFormat="1" ht="75.75" customHeight="1">
      <c r="A141" s="698">
        <v>1215</v>
      </c>
      <c r="B141" s="696" t="s">
        <v>749</v>
      </c>
      <c r="C141" s="667" t="s">
        <v>750</v>
      </c>
      <c r="D141" s="699"/>
      <c r="E141" s="669">
        <f t="shared" si="15"/>
        <v>6</v>
      </c>
      <c r="F141" s="670">
        <v>43318</v>
      </c>
      <c r="G141" s="670">
        <f t="shared" si="16"/>
        <v>43323</v>
      </c>
      <c r="H141" s="669"/>
      <c r="I141" s="671" t="s">
        <v>170</v>
      </c>
      <c r="J141" s="669"/>
      <c r="K141" s="689" t="s">
        <v>743</v>
      </c>
      <c r="L141" s="683">
        <v>6241</v>
      </c>
      <c r="M141" s="685"/>
      <c r="N141" s="685"/>
      <c r="O141" s="686">
        <v>67</v>
      </c>
      <c r="P141" s="685">
        <v>2</v>
      </c>
      <c r="Q141" s="686">
        <f t="shared" si="17"/>
        <v>134</v>
      </c>
      <c r="R141" s="687"/>
      <c r="S141" s="687"/>
      <c r="T141" s="687"/>
      <c r="U141" s="687"/>
      <c r="V141" s="687"/>
      <c r="W141" s="687"/>
      <c r="X141" s="687"/>
      <c r="Y141" s="687"/>
    </row>
    <row r="142" spans="1:25" s="700" customFormat="1" ht="75.75" customHeight="1">
      <c r="A142" s="698">
        <v>1215</v>
      </c>
      <c r="B142" s="696" t="s">
        <v>749</v>
      </c>
      <c r="C142" s="667" t="s">
        <v>750</v>
      </c>
      <c r="D142" s="699"/>
      <c r="E142" s="669">
        <f t="shared" si="15"/>
        <v>6</v>
      </c>
      <c r="F142" s="670">
        <v>43318</v>
      </c>
      <c r="G142" s="670">
        <f t="shared" si="16"/>
        <v>43323</v>
      </c>
      <c r="H142" s="669"/>
      <c r="I142" s="671" t="s">
        <v>170</v>
      </c>
      <c r="J142" s="669"/>
      <c r="K142" s="689" t="s">
        <v>754</v>
      </c>
      <c r="L142" s="683">
        <v>6241</v>
      </c>
      <c r="M142" s="685"/>
      <c r="N142" s="685"/>
      <c r="O142" s="686">
        <v>63</v>
      </c>
      <c r="P142" s="685">
        <v>2</v>
      </c>
      <c r="Q142" s="686">
        <f t="shared" si="17"/>
        <v>126</v>
      </c>
      <c r="R142" s="687"/>
      <c r="S142" s="687"/>
      <c r="T142" s="687"/>
      <c r="U142" s="687"/>
      <c r="V142" s="687"/>
      <c r="W142" s="687"/>
      <c r="X142" s="687"/>
      <c r="Y142" s="687"/>
    </row>
    <row r="143" spans="1:25" s="700" customFormat="1" ht="75.75" customHeight="1">
      <c r="A143" s="698">
        <v>1215</v>
      </c>
      <c r="B143" s="696" t="s">
        <v>749</v>
      </c>
      <c r="C143" s="667" t="s">
        <v>750</v>
      </c>
      <c r="D143" s="699"/>
      <c r="E143" s="669">
        <f t="shared" si="15"/>
        <v>6</v>
      </c>
      <c r="F143" s="670">
        <v>43318</v>
      </c>
      <c r="G143" s="670">
        <f t="shared" si="16"/>
        <v>43323</v>
      </c>
      <c r="H143" s="669"/>
      <c r="I143" s="671" t="s">
        <v>170</v>
      </c>
      <c r="J143" s="669"/>
      <c r="K143" s="689" t="s">
        <v>729</v>
      </c>
      <c r="L143" s="683">
        <v>6131</v>
      </c>
      <c r="M143" s="685"/>
      <c r="N143" s="685"/>
      <c r="O143" s="686">
        <v>255</v>
      </c>
      <c r="P143" s="685">
        <v>2</v>
      </c>
      <c r="Q143" s="686">
        <f t="shared" si="17"/>
        <v>510</v>
      </c>
      <c r="R143" s="687"/>
      <c r="S143" s="687"/>
      <c r="T143" s="687"/>
      <c r="U143" s="687"/>
      <c r="V143" s="687"/>
      <c r="W143" s="687"/>
      <c r="X143" s="687"/>
      <c r="Y143" s="687"/>
    </row>
    <row r="144" spans="1:25" s="700" customFormat="1" ht="75.75" customHeight="1">
      <c r="A144" s="698">
        <v>1215</v>
      </c>
      <c r="B144" s="696" t="s">
        <v>749</v>
      </c>
      <c r="C144" s="667" t="s">
        <v>750</v>
      </c>
      <c r="D144" s="699"/>
      <c r="E144" s="669">
        <f t="shared" si="15"/>
        <v>6</v>
      </c>
      <c r="F144" s="670">
        <v>43318</v>
      </c>
      <c r="G144" s="670">
        <f t="shared" si="16"/>
        <v>43323</v>
      </c>
      <c r="H144" s="669"/>
      <c r="I144" s="671" t="s">
        <v>170</v>
      </c>
      <c r="J144" s="669"/>
      <c r="K144" s="689" t="s">
        <v>302</v>
      </c>
      <c r="L144" s="683">
        <v>6111</v>
      </c>
      <c r="M144" s="685"/>
      <c r="N144" s="685"/>
      <c r="O144" s="686">
        <v>5</v>
      </c>
      <c r="P144" s="685">
        <v>26</v>
      </c>
      <c r="Q144" s="686">
        <f t="shared" si="17"/>
        <v>130</v>
      </c>
      <c r="R144" s="687"/>
      <c r="S144" s="687"/>
      <c r="T144" s="687"/>
      <c r="U144" s="687"/>
      <c r="V144" s="687"/>
      <c r="W144" s="687"/>
      <c r="X144" s="687"/>
      <c r="Y144" s="687"/>
    </row>
    <row r="145" spans="1:25" s="700" customFormat="1" ht="75.75" customHeight="1">
      <c r="A145" s="698">
        <v>1215</v>
      </c>
      <c r="B145" s="696" t="s">
        <v>749</v>
      </c>
      <c r="C145" s="667" t="s">
        <v>750</v>
      </c>
      <c r="D145" s="699"/>
      <c r="E145" s="669">
        <f t="shared" si="15"/>
        <v>6</v>
      </c>
      <c r="F145" s="670">
        <v>43318</v>
      </c>
      <c r="G145" s="670">
        <f t="shared" si="16"/>
        <v>43323</v>
      </c>
      <c r="H145" s="669"/>
      <c r="I145" s="671" t="s">
        <v>170</v>
      </c>
      <c r="J145" s="669"/>
      <c r="K145" s="689" t="s">
        <v>486</v>
      </c>
      <c r="L145" s="683">
        <v>6271</v>
      </c>
      <c r="M145" s="685"/>
      <c r="N145" s="685"/>
      <c r="O145" s="686">
        <v>156</v>
      </c>
      <c r="P145" s="685">
        <v>6</v>
      </c>
      <c r="Q145" s="686">
        <f t="shared" si="17"/>
        <v>936</v>
      </c>
      <c r="R145" s="687"/>
      <c r="S145" s="687"/>
      <c r="T145" s="687"/>
      <c r="U145" s="687"/>
      <c r="V145" s="687"/>
      <c r="W145" s="687"/>
      <c r="X145" s="687"/>
      <c r="Y145" s="687"/>
    </row>
    <row r="146" spans="1:25" s="700" customFormat="1" ht="75.75" customHeight="1">
      <c r="A146" s="698">
        <v>1215</v>
      </c>
      <c r="B146" s="696" t="s">
        <v>749</v>
      </c>
      <c r="C146" s="667" t="s">
        <v>750</v>
      </c>
      <c r="D146" s="699"/>
      <c r="E146" s="669">
        <f t="shared" si="15"/>
        <v>6</v>
      </c>
      <c r="F146" s="670">
        <v>43318</v>
      </c>
      <c r="G146" s="670">
        <f t="shared" si="16"/>
        <v>43323</v>
      </c>
      <c r="H146" s="669"/>
      <c r="I146" s="671" t="s">
        <v>170</v>
      </c>
      <c r="J146" s="669"/>
      <c r="K146" s="689" t="s">
        <v>723</v>
      </c>
      <c r="L146" s="683">
        <v>6241</v>
      </c>
      <c r="M146" s="685"/>
      <c r="N146" s="685"/>
      <c r="O146" s="686">
        <v>169</v>
      </c>
      <c r="P146" s="685">
        <v>2</v>
      </c>
      <c r="Q146" s="686">
        <f t="shared" si="17"/>
        <v>338</v>
      </c>
      <c r="R146" s="687"/>
      <c r="S146" s="687"/>
      <c r="T146" s="687"/>
      <c r="U146" s="687"/>
      <c r="V146" s="687"/>
      <c r="W146" s="687"/>
      <c r="X146" s="687"/>
      <c r="Y146" s="687"/>
    </row>
    <row r="147" spans="1:25" s="700" customFormat="1" ht="75.75" customHeight="1">
      <c r="A147" s="698">
        <v>1215</v>
      </c>
      <c r="B147" s="696" t="s">
        <v>749</v>
      </c>
      <c r="C147" s="667" t="s">
        <v>750</v>
      </c>
      <c r="D147" s="699"/>
      <c r="E147" s="669">
        <f t="shared" si="15"/>
        <v>6</v>
      </c>
      <c r="F147" s="670">
        <v>43318</v>
      </c>
      <c r="G147" s="670">
        <f t="shared" si="16"/>
        <v>43323</v>
      </c>
      <c r="H147" s="669"/>
      <c r="I147" s="671" t="s">
        <v>170</v>
      </c>
      <c r="J147" s="669"/>
      <c r="K147" s="689" t="s">
        <v>755</v>
      </c>
      <c r="L147" s="683">
        <v>6224</v>
      </c>
      <c r="M147" s="685"/>
      <c r="N147" s="685"/>
      <c r="O147" s="686">
        <v>10</v>
      </c>
      <c r="P147" s="685">
        <v>60</v>
      </c>
      <c r="Q147" s="686">
        <f t="shared" si="17"/>
        <v>600</v>
      </c>
      <c r="R147" s="687"/>
      <c r="S147" s="687"/>
      <c r="T147" s="687"/>
      <c r="U147" s="687"/>
      <c r="V147" s="687"/>
      <c r="W147" s="687"/>
      <c r="X147" s="687"/>
      <c r="Y147" s="687"/>
    </row>
    <row r="148" spans="1:25" s="700" customFormat="1" ht="75.75" customHeight="1">
      <c r="A148" s="698">
        <v>1216</v>
      </c>
      <c r="B148" s="690" t="s">
        <v>756</v>
      </c>
      <c r="C148" s="667" t="s">
        <v>757</v>
      </c>
      <c r="D148" s="699"/>
      <c r="E148" s="669">
        <f t="shared" si="15"/>
        <v>27</v>
      </c>
      <c r="F148" s="670">
        <v>43332</v>
      </c>
      <c r="G148" s="670">
        <v>43358</v>
      </c>
      <c r="H148" s="669"/>
      <c r="I148" s="671"/>
      <c r="J148" s="669"/>
      <c r="K148" s="689"/>
      <c r="L148" s="683"/>
      <c r="M148" s="685"/>
      <c r="N148" s="685"/>
      <c r="O148" s="686"/>
      <c r="P148" s="685"/>
      <c r="Q148" s="691"/>
      <c r="R148" s="687">
        <f>SUM(Q149:Q163)</f>
        <v>24431</v>
      </c>
      <c r="S148" s="687"/>
      <c r="T148" s="687"/>
      <c r="U148" s="687"/>
      <c r="V148" s="687"/>
      <c r="W148" s="687"/>
      <c r="X148" s="687"/>
      <c r="Y148" s="687">
        <f>SUM(Q149:Q163)</f>
        <v>24431</v>
      </c>
    </row>
    <row r="149" spans="1:25" s="700" customFormat="1" ht="75.75" customHeight="1">
      <c r="A149" s="698">
        <v>1216</v>
      </c>
      <c r="B149" s="692" t="s">
        <v>756</v>
      </c>
      <c r="C149" s="667" t="s">
        <v>757</v>
      </c>
      <c r="D149" s="699"/>
      <c r="E149" s="669">
        <f t="shared" si="15"/>
        <v>27</v>
      </c>
      <c r="F149" s="670">
        <v>43332</v>
      </c>
      <c r="G149" s="670">
        <v>43358</v>
      </c>
      <c r="H149" s="669"/>
      <c r="I149" s="671" t="s">
        <v>170</v>
      </c>
      <c r="J149" s="669"/>
      <c r="K149" s="689" t="s">
        <v>758</v>
      </c>
      <c r="L149" s="683">
        <v>6241</v>
      </c>
      <c r="M149" s="685"/>
      <c r="N149" s="685"/>
      <c r="O149" s="686">
        <v>214</v>
      </c>
      <c r="P149" s="685">
        <v>31</v>
      </c>
      <c r="Q149" s="686">
        <f t="shared" ref="Q149:Q163" si="18">+O149*P149</f>
        <v>6634</v>
      </c>
      <c r="R149" s="687"/>
      <c r="S149" s="687"/>
      <c r="T149" s="687"/>
      <c r="U149" s="687"/>
      <c r="V149" s="687"/>
      <c r="W149" s="687"/>
      <c r="X149" s="687"/>
      <c r="Y149" s="687"/>
    </row>
    <row r="150" spans="1:25" s="700" customFormat="1" ht="75.75" customHeight="1">
      <c r="A150" s="698">
        <v>1216</v>
      </c>
      <c r="B150" s="692" t="s">
        <v>756</v>
      </c>
      <c r="C150" s="667" t="s">
        <v>757</v>
      </c>
      <c r="D150" s="699"/>
      <c r="E150" s="669">
        <f t="shared" si="15"/>
        <v>27</v>
      </c>
      <c r="F150" s="670">
        <v>43332</v>
      </c>
      <c r="G150" s="670">
        <v>43358</v>
      </c>
      <c r="H150" s="669"/>
      <c r="I150" s="671" t="s">
        <v>170</v>
      </c>
      <c r="J150" s="669"/>
      <c r="K150" s="689" t="s">
        <v>759</v>
      </c>
      <c r="L150" s="683">
        <v>6241</v>
      </c>
      <c r="M150" s="685"/>
      <c r="N150" s="685"/>
      <c r="O150" s="686">
        <v>225</v>
      </c>
      <c r="P150" s="685">
        <v>31</v>
      </c>
      <c r="Q150" s="686">
        <f t="shared" si="18"/>
        <v>6975</v>
      </c>
      <c r="R150" s="687"/>
      <c r="S150" s="687"/>
      <c r="T150" s="687"/>
      <c r="U150" s="687"/>
      <c r="V150" s="687"/>
      <c r="W150" s="687"/>
      <c r="X150" s="687"/>
      <c r="Y150" s="687"/>
    </row>
    <row r="151" spans="1:25" s="700" customFormat="1" ht="75.75" customHeight="1">
      <c r="A151" s="698">
        <v>1216</v>
      </c>
      <c r="B151" s="692" t="s">
        <v>756</v>
      </c>
      <c r="C151" s="667" t="s">
        <v>757</v>
      </c>
      <c r="D151" s="699"/>
      <c r="E151" s="669">
        <f t="shared" si="15"/>
        <v>27</v>
      </c>
      <c r="F151" s="670">
        <v>43332</v>
      </c>
      <c r="G151" s="670">
        <v>43358</v>
      </c>
      <c r="H151" s="669"/>
      <c r="I151" s="671" t="s">
        <v>170</v>
      </c>
      <c r="J151" s="669"/>
      <c r="K151" s="701" t="s">
        <v>760</v>
      </c>
      <c r="L151" s="683">
        <v>6231</v>
      </c>
      <c r="M151" s="685"/>
      <c r="N151" s="685"/>
      <c r="O151" s="686">
        <v>37</v>
      </c>
      <c r="P151" s="685">
        <v>31</v>
      </c>
      <c r="Q151" s="686">
        <f t="shared" si="18"/>
        <v>1147</v>
      </c>
      <c r="R151" s="687"/>
      <c r="S151" s="687"/>
      <c r="T151" s="687"/>
      <c r="U151" s="687"/>
      <c r="V151" s="687"/>
      <c r="W151" s="687"/>
      <c r="X151" s="687"/>
      <c r="Y151" s="687"/>
    </row>
    <row r="152" spans="1:25" s="700" customFormat="1" ht="75.75" customHeight="1">
      <c r="A152" s="698">
        <v>1216</v>
      </c>
      <c r="B152" s="692" t="s">
        <v>756</v>
      </c>
      <c r="C152" s="667" t="s">
        <v>757</v>
      </c>
      <c r="D152" s="699"/>
      <c r="E152" s="669">
        <f t="shared" si="15"/>
        <v>27</v>
      </c>
      <c r="F152" s="670">
        <v>43332</v>
      </c>
      <c r="G152" s="670">
        <v>43358</v>
      </c>
      <c r="H152" s="669"/>
      <c r="I152" s="671" t="s">
        <v>170</v>
      </c>
      <c r="J152" s="669"/>
      <c r="K152" s="689" t="s">
        <v>743</v>
      </c>
      <c r="L152" s="683">
        <v>6241</v>
      </c>
      <c r="M152" s="685"/>
      <c r="N152" s="685"/>
      <c r="O152" s="686">
        <f>+O149</f>
        <v>214</v>
      </c>
      <c r="P152" s="685">
        <v>2</v>
      </c>
      <c r="Q152" s="686">
        <f t="shared" si="18"/>
        <v>428</v>
      </c>
      <c r="R152" s="687"/>
      <c r="S152" s="687"/>
      <c r="T152" s="687"/>
      <c r="U152" s="687"/>
      <c r="V152" s="687"/>
      <c r="W152" s="687"/>
      <c r="X152" s="687"/>
      <c r="Y152" s="687"/>
    </row>
    <row r="153" spans="1:25" s="700" customFormat="1" ht="75.75" customHeight="1">
      <c r="A153" s="698">
        <v>1216</v>
      </c>
      <c r="B153" s="692" t="s">
        <v>756</v>
      </c>
      <c r="C153" s="667" t="s">
        <v>757</v>
      </c>
      <c r="D153" s="699"/>
      <c r="E153" s="669">
        <f t="shared" si="15"/>
        <v>27</v>
      </c>
      <c r="F153" s="670">
        <v>43332</v>
      </c>
      <c r="G153" s="670">
        <v>43358</v>
      </c>
      <c r="H153" s="669"/>
      <c r="I153" s="671" t="s">
        <v>170</v>
      </c>
      <c r="J153" s="669"/>
      <c r="K153" s="689" t="s">
        <v>744</v>
      </c>
      <c r="L153" s="683">
        <v>6241</v>
      </c>
      <c r="M153" s="685"/>
      <c r="N153" s="685"/>
      <c r="O153" s="686">
        <f>+O150</f>
        <v>225</v>
      </c>
      <c r="P153" s="685">
        <v>2</v>
      </c>
      <c r="Q153" s="686">
        <f t="shared" si="18"/>
        <v>450</v>
      </c>
      <c r="R153" s="687"/>
      <c r="S153" s="687"/>
      <c r="T153" s="687"/>
      <c r="U153" s="687"/>
      <c r="V153" s="687"/>
      <c r="W153" s="687"/>
      <c r="X153" s="687"/>
      <c r="Y153" s="687"/>
    </row>
    <row r="154" spans="1:25" s="700" customFormat="1" ht="75.75" customHeight="1">
      <c r="A154" s="698">
        <v>1216</v>
      </c>
      <c r="B154" s="692" t="s">
        <v>756</v>
      </c>
      <c r="C154" s="667" t="s">
        <v>757</v>
      </c>
      <c r="D154" s="699"/>
      <c r="E154" s="669">
        <f t="shared" si="15"/>
        <v>27</v>
      </c>
      <c r="F154" s="670">
        <v>43332</v>
      </c>
      <c r="G154" s="670">
        <v>43358</v>
      </c>
      <c r="H154" s="669"/>
      <c r="I154" s="671" t="s">
        <v>170</v>
      </c>
      <c r="J154" s="669"/>
      <c r="K154" s="689" t="s">
        <v>745</v>
      </c>
      <c r="L154" s="683">
        <v>6131</v>
      </c>
      <c r="M154" s="685"/>
      <c r="N154" s="685"/>
      <c r="O154" s="686">
        <v>255</v>
      </c>
      <c r="P154" s="685">
        <v>2</v>
      </c>
      <c r="Q154" s="686">
        <f t="shared" si="18"/>
        <v>510</v>
      </c>
      <c r="R154" s="687"/>
      <c r="S154" s="687"/>
      <c r="T154" s="687"/>
      <c r="U154" s="687"/>
      <c r="V154" s="687"/>
      <c r="W154" s="687"/>
      <c r="X154" s="687"/>
      <c r="Y154" s="687"/>
    </row>
    <row r="155" spans="1:25" s="700" customFormat="1" ht="75.75" customHeight="1">
      <c r="A155" s="698">
        <v>1216</v>
      </c>
      <c r="B155" s="692" t="s">
        <v>756</v>
      </c>
      <c r="C155" s="667" t="s">
        <v>757</v>
      </c>
      <c r="D155" s="699"/>
      <c r="E155" s="669">
        <f t="shared" si="15"/>
        <v>27</v>
      </c>
      <c r="F155" s="670">
        <v>43332</v>
      </c>
      <c r="G155" s="670">
        <v>43358</v>
      </c>
      <c r="H155" s="669"/>
      <c r="I155" s="671" t="s">
        <v>170</v>
      </c>
      <c r="J155" s="669"/>
      <c r="K155" s="689" t="s">
        <v>727</v>
      </c>
      <c r="L155" s="683">
        <v>6241</v>
      </c>
      <c r="M155" s="685"/>
      <c r="N155" s="685"/>
      <c r="O155" s="686">
        <v>178</v>
      </c>
      <c r="P155" s="685">
        <v>2</v>
      </c>
      <c r="Q155" s="686">
        <f t="shared" si="18"/>
        <v>356</v>
      </c>
      <c r="R155" s="687"/>
      <c r="S155" s="687"/>
      <c r="T155" s="687"/>
      <c r="U155" s="687"/>
      <c r="V155" s="687"/>
      <c r="W155" s="687"/>
      <c r="X155" s="687"/>
      <c r="Y155" s="687"/>
    </row>
    <row r="156" spans="1:25" s="700" customFormat="1" ht="75.75" customHeight="1">
      <c r="A156" s="698">
        <v>1216</v>
      </c>
      <c r="B156" s="692" t="s">
        <v>756</v>
      </c>
      <c r="C156" s="667" t="s">
        <v>757</v>
      </c>
      <c r="D156" s="699"/>
      <c r="E156" s="669">
        <f t="shared" si="15"/>
        <v>27</v>
      </c>
      <c r="F156" s="670">
        <v>43332</v>
      </c>
      <c r="G156" s="670">
        <v>43358</v>
      </c>
      <c r="H156" s="669"/>
      <c r="I156" s="671" t="s">
        <v>170</v>
      </c>
      <c r="J156" s="669"/>
      <c r="K156" s="689" t="s">
        <v>736</v>
      </c>
      <c r="L156" s="683">
        <v>6241</v>
      </c>
      <c r="M156" s="685"/>
      <c r="N156" s="685"/>
      <c r="O156" s="686">
        <v>112</v>
      </c>
      <c r="P156" s="685">
        <v>2</v>
      </c>
      <c r="Q156" s="686">
        <f t="shared" si="18"/>
        <v>224</v>
      </c>
      <c r="R156" s="687"/>
      <c r="S156" s="687"/>
      <c r="T156" s="687"/>
      <c r="U156" s="687"/>
      <c r="V156" s="687"/>
      <c r="W156" s="687"/>
      <c r="X156" s="687"/>
      <c r="Y156" s="687"/>
    </row>
    <row r="157" spans="1:25" s="700" customFormat="1" ht="75.75" customHeight="1">
      <c r="A157" s="698">
        <v>1216</v>
      </c>
      <c r="B157" s="692" t="s">
        <v>756</v>
      </c>
      <c r="C157" s="667" t="s">
        <v>757</v>
      </c>
      <c r="D157" s="699"/>
      <c r="E157" s="669">
        <f t="shared" si="15"/>
        <v>27</v>
      </c>
      <c r="F157" s="670">
        <v>43332</v>
      </c>
      <c r="G157" s="670">
        <v>43358</v>
      </c>
      <c r="H157" s="669"/>
      <c r="I157" s="671" t="s">
        <v>170</v>
      </c>
      <c r="J157" s="669"/>
      <c r="K157" s="689" t="s">
        <v>302</v>
      </c>
      <c r="L157" s="683">
        <v>6111</v>
      </c>
      <c r="M157" s="685"/>
      <c r="N157" s="685"/>
      <c r="O157" s="686">
        <v>15</v>
      </c>
      <c r="P157" s="685">
        <v>30</v>
      </c>
      <c r="Q157" s="686">
        <f t="shared" si="18"/>
        <v>450</v>
      </c>
      <c r="R157" s="687"/>
      <c r="S157" s="687"/>
      <c r="T157" s="687"/>
      <c r="U157" s="687"/>
      <c r="V157" s="687"/>
      <c r="W157" s="687"/>
      <c r="X157" s="687"/>
      <c r="Y157" s="687"/>
    </row>
    <row r="158" spans="1:25" s="700" customFormat="1" ht="75.75" customHeight="1">
      <c r="A158" s="698">
        <v>1216</v>
      </c>
      <c r="B158" s="692" t="s">
        <v>756</v>
      </c>
      <c r="C158" s="667" t="s">
        <v>757</v>
      </c>
      <c r="D158" s="699"/>
      <c r="E158" s="669">
        <f t="shared" si="15"/>
        <v>27</v>
      </c>
      <c r="F158" s="670">
        <v>43332</v>
      </c>
      <c r="G158" s="670">
        <v>43358</v>
      </c>
      <c r="H158" s="669"/>
      <c r="I158" s="671" t="s">
        <v>170</v>
      </c>
      <c r="J158" s="669"/>
      <c r="K158" s="689" t="s">
        <v>486</v>
      </c>
      <c r="L158" s="683">
        <v>6271</v>
      </c>
      <c r="M158" s="685"/>
      <c r="N158" s="685"/>
      <c r="O158" s="686">
        <v>156</v>
      </c>
      <c r="P158" s="685">
        <v>15</v>
      </c>
      <c r="Q158" s="686">
        <f t="shared" si="18"/>
        <v>2340</v>
      </c>
      <c r="R158" s="687"/>
      <c r="S158" s="687"/>
      <c r="T158" s="687"/>
      <c r="U158" s="687"/>
      <c r="V158" s="687"/>
      <c r="W158" s="687"/>
      <c r="X158" s="687"/>
      <c r="Y158" s="687"/>
    </row>
    <row r="159" spans="1:25" s="700" customFormat="1" ht="75.75" customHeight="1">
      <c r="A159" s="698">
        <v>1216</v>
      </c>
      <c r="B159" s="692" t="s">
        <v>756</v>
      </c>
      <c r="C159" s="667" t="s">
        <v>757</v>
      </c>
      <c r="D159" s="699"/>
      <c r="E159" s="669">
        <f t="shared" si="15"/>
        <v>27</v>
      </c>
      <c r="F159" s="670">
        <v>43332</v>
      </c>
      <c r="G159" s="670">
        <v>43358</v>
      </c>
      <c r="H159" s="669"/>
      <c r="I159" s="671" t="s">
        <v>170</v>
      </c>
      <c r="J159" s="669"/>
      <c r="K159" s="689" t="s">
        <v>723</v>
      </c>
      <c r="L159" s="683">
        <v>6241</v>
      </c>
      <c r="M159" s="685"/>
      <c r="N159" s="685"/>
      <c r="O159" s="686">
        <v>281</v>
      </c>
      <c r="P159" s="685">
        <v>2</v>
      </c>
      <c r="Q159" s="686">
        <f t="shared" si="18"/>
        <v>562</v>
      </c>
      <c r="R159" s="687"/>
      <c r="S159" s="687"/>
      <c r="T159" s="687"/>
      <c r="U159" s="687"/>
      <c r="V159" s="687"/>
      <c r="W159" s="687"/>
      <c r="X159" s="687"/>
      <c r="Y159" s="687"/>
    </row>
    <row r="160" spans="1:25" s="700" customFormat="1" ht="75.75" customHeight="1">
      <c r="A160" s="698">
        <v>1216</v>
      </c>
      <c r="B160" s="692" t="s">
        <v>756</v>
      </c>
      <c r="C160" s="667" t="s">
        <v>757</v>
      </c>
      <c r="D160" s="699"/>
      <c r="E160" s="669">
        <f t="shared" si="15"/>
        <v>27</v>
      </c>
      <c r="F160" s="670">
        <v>43332</v>
      </c>
      <c r="G160" s="670">
        <v>43358</v>
      </c>
      <c r="H160" s="669"/>
      <c r="I160" s="671" t="s">
        <v>170</v>
      </c>
      <c r="J160" s="669"/>
      <c r="K160" s="689" t="s">
        <v>761</v>
      </c>
      <c r="L160" s="683">
        <v>6224</v>
      </c>
      <c r="M160" s="685"/>
      <c r="N160" s="685"/>
      <c r="O160" s="686">
        <v>10</v>
      </c>
      <c r="P160" s="685">
        <v>50</v>
      </c>
      <c r="Q160" s="686">
        <f t="shared" si="18"/>
        <v>500</v>
      </c>
      <c r="R160" s="687"/>
      <c r="S160" s="687"/>
      <c r="T160" s="687"/>
      <c r="U160" s="687"/>
      <c r="V160" s="687"/>
      <c r="W160" s="687"/>
      <c r="X160" s="687"/>
      <c r="Y160" s="687"/>
    </row>
    <row r="161" spans="1:28" s="700" customFormat="1" ht="75.75" customHeight="1">
      <c r="A161" s="698">
        <v>1216</v>
      </c>
      <c r="B161" s="692" t="s">
        <v>756</v>
      </c>
      <c r="C161" s="667" t="s">
        <v>757</v>
      </c>
      <c r="D161" s="699"/>
      <c r="E161" s="669">
        <f t="shared" si="15"/>
        <v>27</v>
      </c>
      <c r="F161" s="670">
        <v>43332</v>
      </c>
      <c r="G161" s="670">
        <v>43358</v>
      </c>
      <c r="H161" s="669"/>
      <c r="I161" s="671" t="s">
        <v>170</v>
      </c>
      <c r="J161" s="669"/>
      <c r="K161" s="689" t="s">
        <v>762</v>
      </c>
      <c r="L161" s="683">
        <v>6225</v>
      </c>
      <c r="M161" s="685"/>
      <c r="N161" s="685"/>
      <c r="O161" s="686">
        <v>15</v>
      </c>
      <c r="P161" s="685">
        <v>50</v>
      </c>
      <c r="Q161" s="686">
        <f t="shared" si="18"/>
        <v>750</v>
      </c>
      <c r="R161" s="687"/>
      <c r="S161" s="687"/>
      <c r="T161" s="687"/>
      <c r="U161" s="687"/>
      <c r="V161" s="687"/>
      <c r="W161" s="687"/>
      <c r="X161" s="687"/>
      <c r="Y161" s="687"/>
    </row>
    <row r="162" spans="1:28" s="700" customFormat="1" ht="75.75" customHeight="1">
      <c r="A162" s="698">
        <v>1216</v>
      </c>
      <c r="B162" s="692" t="s">
        <v>756</v>
      </c>
      <c r="C162" s="667" t="s">
        <v>757</v>
      </c>
      <c r="D162" s="699"/>
      <c r="E162" s="669">
        <f t="shared" si="15"/>
        <v>27</v>
      </c>
      <c r="F162" s="670">
        <v>43332</v>
      </c>
      <c r="G162" s="670">
        <v>43358</v>
      </c>
      <c r="H162" s="669"/>
      <c r="I162" s="671" t="s">
        <v>170</v>
      </c>
      <c r="J162" s="669"/>
      <c r="K162" s="689" t="s">
        <v>763</v>
      </c>
      <c r="L162" s="683">
        <v>6224</v>
      </c>
      <c r="M162" s="685"/>
      <c r="N162" s="685"/>
      <c r="O162" s="686">
        <v>10</v>
      </c>
      <c r="P162" s="685">
        <f>22+114+28+23+10+10</f>
        <v>207</v>
      </c>
      <c r="Q162" s="686">
        <f t="shared" si="18"/>
        <v>2070</v>
      </c>
      <c r="R162" s="687"/>
      <c r="S162" s="687"/>
      <c r="T162" s="687"/>
      <c r="U162" s="687"/>
      <c r="V162" s="687"/>
      <c r="W162" s="687"/>
      <c r="X162" s="687"/>
      <c r="Y162" s="687"/>
    </row>
    <row r="163" spans="1:28" s="700" customFormat="1" ht="75.75" customHeight="1">
      <c r="A163" s="698">
        <v>1216</v>
      </c>
      <c r="B163" s="692" t="s">
        <v>756</v>
      </c>
      <c r="C163" s="667" t="s">
        <v>757</v>
      </c>
      <c r="D163" s="699"/>
      <c r="E163" s="669">
        <f t="shared" si="15"/>
        <v>27</v>
      </c>
      <c r="F163" s="670">
        <v>43332</v>
      </c>
      <c r="G163" s="670">
        <v>43358</v>
      </c>
      <c r="H163" s="669"/>
      <c r="I163" s="671" t="s">
        <v>170</v>
      </c>
      <c r="J163" s="669"/>
      <c r="K163" s="689" t="s">
        <v>764</v>
      </c>
      <c r="L163" s="683"/>
      <c r="M163" s="685"/>
      <c r="N163" s="685"/>
      <c r="O163" s="686">
        <v>5</v>
      </c>
      <c r="P163" s="685">
        <v>207</v>
      </c>
      <c r="Q163" s="686">
        <f t="shared" si="18"/>
        <v>1035</v>
      </c>
      <c r="R163" s="687"/>
      <c r="S163" s="687"/>
      <c r="T163" s="687"/>
      <c r="U163" s="687"/>
      <c r="V163" s="687"/>
      <c r="W163" s="687"/>
      <c r="X163" s="687"/>
      <c r="Y163" s="687"/>
    </row>
    <row r="164" spans="1:28" s="700" customFormat="1" ht="75.75" customHeight="1">
      <c r="A164" s="698">
        <v>1217</v>
      </c>
      <c r="B164" s="690" t="s">
        <v>765</v>
      </c>
      <c r="C164" s="667" t="s">
        <v>766</v>
      </c>
      <c r="D164" s="699"/>
      <c r="E164" s="669"/>
      <c r="F164" s="670">
        <v>43185</v>
      </c>
      <c r="G164" s="670">
        <v>43373</v>
      </c>
      <c r="H164" s="669"/>
      <c r="I164" s="671"/>
      <c r="J164" s="669"/>
      <c r="K164" s="689"/>
      <c r="L164" s="683"/>
      <c r="M164" s="685"/>
      <c r="N164" s="685"/>
      <c r="O164" s="686"/>
      <c r="P164" s="685"/>
      <c r="Q164" s="686"/>
      <c r="R164" s="687">
        <f>SUM(Q165+Q166)</f>
        <v>65000</v>
      </c>
      <c r="S164" s="687">
        <f>SUM(Q165:Q166)</f>
        <v>65000</v>
      </c>
      <c r="T164" s="687"/>
      <c r="U164" s="687"/>
      <c r="V164" s="687"/>
      <c r="W164" s="687"/>
      <c r="X164" s="687"/>
      <c r="Y164" s="687"/>
    </row>
    <row r="165" spans="1:28" s="700" customFormat="1" ht="75.75" customHeight="1">
      <c r="A165" s="698">
        <v>1217</v>
      </c>
      <c r="B165" s="692" t="s">
        <v>499</v>
      </c>
      <c r="C165" s="667" t="s">
        <v>767</v>
      </c>
      <c r="D165" s="699"/>
      <c r="E165" s="669">
        <f t="shared" si="15"/>
        <v>189</v>
      </c>
      <c r="F165" s="670">
        <v>43185</v>
      </c>
      <c r="G165" s="670">
        <v>43373</v>
      </c>
      <c r="H165" s="669"/>
      <c r="I165" s="671" t="s">
        <v>768</v>
      </c>
      <c r="J165" s="669"/>
      <c r="K165" s="689"/>
      <c r="L165" s="683"/>
      <c r="M165" s="685"/>
      <c r="N165" s="685"/>
      <c r="O165" s="686">
        <v>50000</v>
      </c>
      <c r="P165" s="685"/>
      <c r="Q165" s="686">
        <v>50000</v>
      </c>
      <c r="R165" s="687"/>
      <c r="S165" s="687"/>
      <c r="T165" s="686">
        <v>50000</v>
      </c>
      <c r="U165" s="687"/>
      <c r="V165" s="687"/>
      <c r="W165" s="687"/>
      <c r="X165" s="687"/>
      <c r="Y165" s="687"/>
    </row>
    <row r="166" spans="1:28" s="592" customFormat="1" ht="57.75" customHeight="1">
      <c r="A166" s="665">
        <v>1218</v>
      </c>
      <c r="B166" s="692" t="s">
        <v>769</v>
      </c>
      <c r="C166" s="667" t="s">
        <v>770</v>
      </c>
      <c r="D166" s="668"/>
      <c r="E166" s="669">
        <f t="shared" si="15"/>
        <v>189</v>
      </c>
      <c r="F166" s="670">
        <v>43185</v>
      </c>
      <c r="G166" s="670">
        <v>43373</v>
      </c>
      <c r="H166" s="669"/>
      <c r="I166" s="671" t="s">
        <v>768</v>
      </c>
      <c r="J166" s="682"/>
      <c r="K166" s="689"/>
      <c r="L166" s="683"/>
      <c r="M166" s="684"/>
      <c r="N166" s="685"/>
      <c r="O166" s="686">
        <v>15000</v>
      </c>
      <c r="P166" s="685"/>
      <c r="Q166" s="686">
        <v>15000</v>
      </c>
      <c r="R166" s="687"/>
      <c r="S166" s="688"/>
      <c r="T166" s="686">
        <v>15000</v>
      </c>
      <c r="U166" s="687"/>
      <c r="V166" s="688"/>
      <c r="W166" s="688"/>
      <c r="X166" s="688"/>
      <c r="Y166" s="688"/>
    </row>
    <row r="167" spans="1:28" s="341" customFormat="1" ht="19.5" customHeight="1">
      <c r="A167" s="634">
        <v>122</v>
      </c>
      <c r="B167" s="3522" t="s">
        <v>771</v>
      </c>
      <c r="C167" s="3522"/>
      <c r="D167" s="3522"/>
      <c r="E167" s="3522"/>
      <c r="F167" s="3522"/>
      <c r="G167" s="3522"/>
      <c r="H167" s="3522"/>
      <c r="I167" s="3522"/>
      <c r="J167" s="636"/>
      <c r="K167" s="636"/>
      <c r="L167" s="636"/>
      <c r="M167" s="636"/>
      <c r="N167" s="636"/>
      <c r="O167" s="702">
        <f>SUM(O168:O234)</f>
        <v>452543029</v>
      </c>
      <c r="P167" s="703"/>
      <c r="Q167" s="704"/>
      <c r="R167" s="639">
        <f>O167/3000</f>
        <v>150847.67633333334</v>
      </c>
      <c r="S167" s="705"/>
      <c r="T167" s="705"/>
      <c r="U167" s="705"/>
      <c r="V167" s="705"/>
      <c r="W167" s="705"/>
      <c r="X167" s="705"/>
      <c r="Y167" s="705"/>
    </row>
    <row r="168" spans="1:28" s="715" customFormat="1" ht="57.75" customHeight="1">
      <c r="A168" s="706">
        <v>1221</v>
      </c>
      <c r="B168" s="707" t="s">
        <v>772</v>
      </c>
      <c r="C168" s="708" t="s">
        <v>773</v>
      </c>
      <c r="D168" s="706"/>
      <c r="E168" s="706">
        <v>10</v>
      </c>
      <c r="F168" s="709">
        <v>43206</v>
      </c>
      <c r="G168" s="709">
        <f>F168+E168</f>
        <v>43216</v>
      </c>
      <c r="H168" s="706" t="s">
        <v>774</v>
      </c>
      <c r="I168" s="706" t="s">
        <v>170</v>
      </c>
      <c r="J168" s="708"/>
      <c r="K168" s="708" t="s">
        <v>775</v>
      </c>
      <c r="L168" s="710">
        <v>23174</v>
      </c>
      <c r="M168" s="706"/>
      <c r="N168" s="706"/>
      <c r="O168" s="711">
        <f>+'[13]REF METIER'!$G$15</f>
        <v>13608000</v>
      </c>
      <c r="P168" s="706">
        <v>1</v>
      </c>
      <c r="Q168" s="712">
        <f t="shared" ref="Q168:Q194" si="19">O168*P168</f>
        <v>13608000</v>
      </c>
      <c r="R168" s="713">
        <f>Q168/3000</f>
        <v>4536</v>
      </c>
      <c r="S168" s="712"/>
      <c r="T168" s="712"/>
      <c r="U168" s="711"/>
      <c r="V168" s="706"/>
      <c r="W168" s="714"/>
      <c r="X168" s="714"/>
      <c r="Y168" s="706"/>
      <c r="Z168" s="706"/>
      <c r="AA168" s="706"/>
      <c r="AB168" s="706"/>
    </row>
    <row r="169" spans="1:28" s="715" customFormat="1" ht="57.75" customHeight="1">
      <c r="A169" s="706">
        <v>1221</v>
      </c>
      <c r="B169" s="716" t="s">
        <v>772</v>
      </c>
      <c r="C169" s="708" t="s">
        <v>773</v>
      </c>
      <c r="D169" s="706"/>
      <c r="E169" s="706">
        <v>10</v>
      </c>
      <c r="F169" s="709">
        <v>43206</v>
      </c>
      <c r="G169" s="709">
        <f t="shared" ref="G169:G174" si="20">F169+E169</f>
        <v>43216</v>
      </c>
      <c r="H169" s="706" t="s">
        <v>774</v>
      </c>
      <c r="I169" s="706" t="s">
        <v>170</v>
      </c>
      <c r="J169" s="706"/>
      <c r="K169" s="708" t="s">
        <v>776</v>
      </c>
      <c r="L169" s="710">
        <v>23174</v>
      </c>
      <c r="M169" s="706"/>
      <c r="N169" s="706"/>
      <c r="O169" s="711">
        <f>'[13]REF METIER'!$G$16</f>
        <v>3960000</v>
      </c>
      <c r="P169" s="706">
        <v>1</v>
      </c>
      <c r="Q169" s="712">
        <f t="shared" si="19"/>
        <v>3960000</v>
      </c>
      <c r="R169" s="713">
        <f t="shared" ref="R169:R232" si="21">Q169/3000</f>
        <v>1320</v>
      </c>
      <c r="S169" s="712"/>
      <c r="T169" s="712"/>
      <c r="U169" s="711"/>
      <c r="V169" s="706"/>
      <c r="W169" s="714"/>
      <c r="X169" s="706"/>
      <c r="Y169" s="706"/>
      <c r="Z169" s="706"/>
      <c r="AA169" s="706"/>
      <c r="AB169" s="706"/>
    </row>
    <row r="170" spans="1:28" s="715" customFormat="1" ht="57.75" customHeight="1">
      <c r="A170" s="706">
        <v>1221</v>
      </c>
      <c r="B170" s="716" t="s">
        <v>772</v>
      </c>
      <c r="C170" s="708" t="s">
        <v>773</v>
      </c>
      <c r="D170" s="706"/>
      <c r="E170" s="706">
        <v>10</v>
      </c>
      <c r="F170" s="709">
        <v>43206</v>
      </c>
      <c r="G170" s="709">
        <f t="shared" si="20"/>
        <v>43216</v>
      </c>
      <c r="H170" s="706" t="s">
        <v>774</v>
      </c>
      <c r="I170" s="706" t="s">
        <v>170</v>
      </c>
      <c r="J170" s="706"/>
      <c r="K170" s="708" t="s">
        <v>777</v>
      </c>
      <c r="L170" s="710">
        <v>23174</v>
      </c>
      <c r="M170" s="706"/>
      <c r="N170" s="706"/>
      <c r="O170" s="711">
        <f>'[13]REF METIER'!$G$18</f>
        <v>780000</v>
      </c>
      <c r="P170" s="706">
        <v>1</v>
      </c>
      <c r="Q170" s="712">
        <f t="shared" si="19"/>
        <v>780000</v>
      </c>
      <c r="R170" s="713">
        <f t="shared" si="21"/>
        <v>260</v>
      </c>
      <c r="S170" s="712"/>
      <c r="T170" s="712"/>
      <c r="U170" s="711"/>
      <c r="V170" s="706"/>
      <c r="W170" s="714"/>
      <c r="X170" s="706"/>
      <c r="Y170" s="706"/>
      <c r="Z170" s="706"/>
      <c r="AA170" s="706"/>
      <c r="AB170" s="706"/>
    </row>
    <row r="171" spans="1:28" s="715" customFormat="1" ht="57.75" customHeight="1">
      <c r="A171" s="706">
        <v>1221</v>
      </c>
      <c r="B171" s="716" t="s">
        <v>772</v>
      </c>
      <c r="C171" s="708" t="s">
        <v>773</v>
      </c>
      <c r="D171" s="706"/>
      <c r="E171" s="706">
        <v>10</v>
      </c>
      <c r="F171" s="709">
        <v>43206</v>
      </c>
      <c r="G171" s="709">
        <f t="shared" si="20"/>
        <v>43216</v>
      </c>
      <c r="H171" s="706" t="s">
        <v>774</v>
      </c>
      <c r="I171" s="706" t="s">
        <v>170</v>
      </c>
      <c r="J171" s="706"/>
      <c r="K171" s="708" t="s">
        <v>778</v>
      </c>
      <c r="L171" s="710">
        <v>23174</v>
      </c>
      <c r="M171" s="706"/>
      <c r="N171" s="706"/>
      <c r="O171" s="711">
        <f>'[13]REF METIER'!$G$25</f>
        <v>13720000</v>
      </c>
      <c r="P171" s="706">
        <v>1</v>
      </c>
      <c r="Q171" s="712">
        <f t="shared" si="19"/>
        <v>13720000</v>
      </c>
      <c r="R171" s="713">
        <f t="shared" si="21"/>
        <v>4573.333333333333</v>
      </c>
      <c r="S171" s="712"/>
      <c r="T171" s="712"/>
      <c r="U171" s="711"/>
      <c r="V171" s="706"/>
      <c r="W171" s="714"/>
      <c r="X171" s="706"/>
      <c r="Y171" s="706"/>
      <c r="Z171" s="706"/>
      <c r="AA171" s="706"/>
      <c r="AB171" s="706"/>
    </row>
    <row r="172" spans="1:28" s="715" customFormat="1" ht="57.75" customHeight="1">
      <c r="A172" s="706">
        <v>1221</v>
      </c>
      <c r="B172" s="716" t="s">
        <v>772</v>
      </c>
      <c r="C172" s="708" t="s">
        <v>773</v>
      </c>
      <c r="D172" s="706"/>
      <c r="E172" s="706">
        <v>10</v>
      </c>
      <c r="F172" s="709">
        <v>43206</v>
      </c>
      <c r="G172" s="709">
        <f t="shared" si="20"/>
        <v>43216</v>
      </c>
      <c r="H172" s="706" t="s">
        <v>774</v>
      </c>
      <c r="I172" s="706" t="s">
        <v>170</v>
      </c>
      <c r="J172" s="706"/>
      <c r="K172" s="708" t="s">
        <v>779</v>
      </c>
      <c r="L172" s="710">
        <v>23174</v>
      </c>
      <c r="M172" s="706"/>
      <c r="N172" s="706"/>
      <c r="O172" s="711">
        <f>'[13]REF METIER'!$G$27</f>
        <v>460000</v>
      </c>
      <c r="P172" s="706">
        <v>1</v>
      </c>
      <c r="Q172" s="712">
        <f t="shared" si="19"/>
        <v>460000</v>
      </c>
      <c r="R172" s="713">
        <f t="shared" si="21"/>
        <v>153.33333333333334</v>
      </c>
      <c r="S172" s="712"/>
      <c r="T172" s="712"/>
      <c r="U172" s="711"/>
      <c r="V172" s="706"/>
      <c r="W172" s="714"/>
      <c r="X172" s="706"/>
      <c r="Y172" s="706"/>
      <c r="Z172" s="706"/>
      <c r="AA172" s="706"/>
      <c r="AB172" s="706"/>
    </row>
    <row r="173" spans="1:28" s="715" customFormat="1" ht="57.75" customHeight="1">
      <c r="A173" s="706">
        <v>1221</v>
      </c>
      <c r="B173" s="716" t="s">
        <v>772</v>
      </c>
      <c r="C173" s="708" t="s">
        <v>773</v>
      </c>
      <c r="D173" s="706"/>
      <c r="E173" s="706">
        <v>10</v>
      </c>
      <c r="F173" s="709">
        <v>43206</v>
      </c>
      <c r="G173" s="709">
        <f t="shared" si="20"/>
        <v>43216</v>
      </c>
      <c r="H173" s="706" t="s">
        <v>774</v>
      </c>
      <c r="I173" s="706" t="s">
        <v>170</v>
      </c>
      <c r="J173" s="706"/>
      <c r="K173" s="708" t="s">
        <v>780</v>
      </c>
      <c r="L173" s="710">
        <v>23174</v>
      </c>
      <c r="M173" s="706"/>
      <c r="N173" s="706"/>
      <c r="O173" s="711">
        <f>'[13]REF METIER'!$F$31</f>
        <v>714000</v>
      </c>
      <c r="P173" s="706">
        <v>1</v>
      </c>
      <c r="Q173" s="712">
        <f t="shared" si="19"/>
        <v>714000</v>
      </c>
      <c r="R173" s="713">
        <f t="shared" si="21"/>
        <v>238</v>
      </c>
      <c r="S173" s="712"/>
      <c r="T173" s="712"/>
      <c r="U173" s="711"/>
      <c r="V173" s="706"/>
      <c r="W173" s="714"/>
      <c r="X173" s="706"/>
      <c r="Y173" s="706"/>
      <c r="Z173" s="706"/>
      <c r="AA173" s="706"/>
      <c r="AB173" s="706"/>
    </row>
    <row r="174" spans="1:28" s="715" customFormat="1" ht="57.75" customHeight="1">
      <c r="A174" s="706">
        <v>1221</v>
      </c>
      <c r="B174" s="716" t="s">
        <v>772</v>
      </c>
      <c r="C174" s="708" t="s">
        <v>773</v>
      </c>
      <c r="D174" s="706"/>
      <c r="E174" s="706">
        <v>10</v>
      </c>
      <c r="F174" s="709">
        <v>43206</v>
      </c>
      <c r="G174" s="709">
        <f t="shared" si="20"/>
        <v>43216</v>
      </c>
      <c r="H174" s="706" t="s">
        <v>774</v>
      </c>
      <c r="I174" s="706" t="s">
        <v>170</v>
      </c>
      <c r="J174" s="706"/>
      <c r="K174" s="708" t="s">
        <v>781</v>
      </c>
      <c r="L174" s="710">
        <v>23174</v>
      </c>
      <c r="M174" s="706"/>
      <c r="N174" s="706"/>
      <c r="O174" s="711">
        <f>'[13]REF METIER'!$F$32</f>
        <v>1784200</v>
      </c>
      <c r="P174" s="706">
        <v>1</v>
      </c>
      <c r="Q174" s="712">
        <f t="shared" si="19"/>
        <v>1784200</v>
      </c>
      <c r="R174" s="713">
        <f t="shared" si="21"/>
        <v>594.73333333333335</v>
      </c>
      <c r="S174" s="712"/>
      <c r="T174" s="712"/>
      <c r="U174" s="711"/>
      <c r="V174" s="706"/>
      <c r="W174" s="714"/>
      <c r="X174" s="706"/>
      <c r="Y174" s="706"/>
      <c r="Z174" s="706"/>
      <c r="AA174" s="706"/>
      <c r="AB174" s="706"/>
    </row>
    <row r="175" spans="1:28" s="715" customFormat="1" ht="57.75" customHeight="1">
      <c r="A175" s="706">
        <v>1221</v>
      </c>
      <c r="B175" s="716" t="s">
        <v>772</v>
      </c>
      <c r="C175" s="708" t="s">
        <v>773</v>
      </c>
      <c r="D175" s="706"/>
      <c r="E175" s="706"/>
      <c r="F175" s="709"/>
      <c r="G175" s="709"/>
      <c r="H175" s="706" t="s">
        <v>774</v>
      </c>
      <c r="I175" s="706" t="s">
        <v>170</v>
      </c>
      <c r="J175" s="706"/>
      <c r="K175" s="717" t="s">
        <v>782</v>
      </c>
      <c r="L175" s="710">
        <v>23173</v>
      </c>
      <c r="M175" s="706"/>
      <c r="N175" s="706"/>
      <c r="O175" s="711">
        <f>'[13]REF METIER'!$F$44</f>
        <v>222999</v>
      </c>
      <c r="P175" s="706">
        <v>1</v>
      </c>
      <c r="Q175" s="712">
        <f t="shared" si="19"/>
        <v>222999</v>
      </c>
      <c r="R175" s="713">
        <f t="shared" si="21"/>
        <v>74.332999999999998</v>
      </c>
      <c r="S175" s="712"/>
      <c r="T175" s="712"/>
      <c r="U175" s="711"/>
      <c r="V175" s="706"/>
      <c r="W175" s="714"/>
      <c r="X175" s="706"/>
      <c r="Y175" s="706"/>
      <c r="Z175" s="706"/>
      <c r="AA175" s="706"/>
      <c r="AB175" s="706"/>
    </row>
    <row r="176" spans="1:28" s="715" customFormat="1" ht="57.75" customHeight="1">
      <c r="A176" s="706">
        <v>1221</v>
      </c>
      <c r="B176" s="716" t="s">
        <v>772</v>
      </c>
      <c r="C176" s="708" t="s">
        <v>773</v>
      </c>
      <c r="D176" s="706"/>
      <c r="E176" s="706"/>
      <c r="F176" s="718"/>
      <c r="G176" s="718"/>
      <c r="H176" s="706" t="s">
        <v>774</v>
      </c>
      <c r="I176" s="706" t="s">
        <v>170</v>
      </c>
      <c r="J176" s="706"/>
      <c r="K176" s="708" t="s">
        <v>415</v>
      </c>
      <c r="L176" s="710">
        <v>23173</v>
      </c>
      <c r="M176" s="706"/>
      <c r="N176" s="706"/>
      <c r="O176" s="711">
        <f>'[13]REF METIER'!$F$43</f>
        <v>5000000</v>
      </c>
      <c r="P176" s="706">
        <v>1</v>
      </c>
      <c r="Q176" s="712">
        <f t="shared" si="19"/>
        <v>5000000</v>
      </c>
      <c r="R176" s="713">
        <f t="shared" si="21"/>
        <v>1666.6666666666667</v>
      </c>
      <c r="S176" s="712"/>
      <c r="T176" s="712"/>
      <c r="U176" s="711"/>
      <c r="V176" s="706"/>
      <c r="W176" s="714"/>
      <c r="X176" s="706"/>
      <c r="Y176" s="706"/>
      <c r="Z176" s="706"/>
      <c r="AA176" s="706"/>
      <c r="AB176" s="706"/>
    </row>
    <row r="177" spans="1:28" s="715" customFormat="1" ht="57.75" customHeight="1">
      <c r="A177" s="706">
        <v>1222</v>
      </c>
      <c r="B177" s="719" t="s">
        <v>783</v>
      </c>
      <c r="C177" s="720" t="s">
        <v>784</v>
      </c>
      <c r="D177" s="706"/>
      <c r="E177" s="706">
        <v>10</v>
      </c>
      <c r="F177" s="709">
        <v>43227</v>
      </c>
      <c r="G177" s="709">
        <f>F177+E177</f>
        <v>43237</v>
      </c>
      <c r="H177" s="706" t="s">
        <v>785</v>
      </c>
      <c r="I177" s="706" t="s">
        <v>170</v>
      </c>
      <c r="J177" s="706"/>
      <c r="K177" s="708" t="s">
        <v>775</v>
      </c>
      <c r="L177" s="710">
        <v>23174</v>
      </c>
      <c r="M177" s="706"/>
      <c r="N177" s="706"/>
      <c r="O177" s="711">
        <f>'[13]REF COMPETENCES'!$G$15</f>
        <v>14868000</v>
      </c>
      <c r="P177" s="706">
        <v>1</v>
      </c>
      <c r="Q177" s="712">
        <f t="shared" si="19"/>
        <v>14868000</v>
      </c>
      <c r="R177" s="713">
        <f t="shared" si="21"/>
        <v>4956</v>
      </c>
      <c r="S177" s="712"/>
      <c r="T177" s="712"/>
      <c r="U177" s="711"/>
      <c r="V177" s="706"/>
      <c r="W177" s="706"/>
      <c r="X177" s="706"/>
      <c r="Y177" s="706"/>
      <c r="Z177" s="706"/>
      <c r="AA177" s="706"/>
      <c r="AB177" s="706"/>
    </row>
    <row r="178" spans="1:28" s="715" customFormat="1" ht="57.75" customHeight="1">
      <c r="A178" s="706">
        <v>1222</v>
      </c>
      <c r="B178" s="721" t="s">
        <v>783</v>
      </c>
      <c r="C178" s="720" t="s">
        <v>784</v>
      </c>
      <c r="D178" s="706"/>
      <c r="E178" s="706">
        <v>10</v>
      </c>
      <c r="F178" s="709">
        <v>43227</v>
      </c>
      <c r="G178" s="709">
        <f t="shared" ref="G178:G183" si="22">F178+E178</f>
        <v>43237</v>
      </c>
      <c r="H178" s="706" t="s">
        <v>785</v>
      </c>
      <c r="I178" s="706" t="s">
        <v>170</v>
      </c>
      <c r="J178" s="706"/>
      <c r="K178" s="708" t="s">
        <v>777</v>
      </c>
      <c r="L178" s="710">
        <v>23174</v>
      </c>
      <c r="M178" s="706"/>
      <c r="N178" s="706"/>
      <c r="O178" s="711">
        <f>'[13]REF COMPETENCES'!$G$17</f>
        <v>870000</v>
      </c>
      <c r="P178" s="706">
        <v>1</v>
      </c>
      <c r="Q178" s="712">
        <f t="shared" si="19"/>
        <v>870000</v>
      </c>
      <c r="R178" s="713">
        <f t="shared" si="21"/>
        <v>290</v>
      </c>
      <c r="S178" s="712"/>
      <c r="T178" s="712"/>
      <c r="U178" s="711"/>
      <c r="V178" s="706"/>
      <c r="W178" s="706"/>
      <c r="X178" s="706"/>
      <c r="Y178" s="706"/>
      <c r="Z178" s="706"/>
      <c r="AA178" s="706"/>
      <c r="AB178" s="706"/>
    </row>
    <row r="179" spans="1:28" s="715" customFormat="1" ht="57.75" customHeight="1">
      <c r="A179" s="706">
        <v>1222</v>
      </c>
      <c r="B179" s="721" t="s">
        <v>783</v>
      </c>
      <c r="C179" s="720" t="s">
        <v>784</v>
      </c>
      <c r="D179" s="706"/>
      <c r="E179" s="706">
        <v>10</v>
      </c>
      <c r="F179" s="709">
        <v>43227</v>
      </c>
      <c r="G179" s="709">
        <f t="shared" si="22"/>
        <v>43237</v>
      </c>
      <c r="H179" s="706" t="s">
        <v>785</v>
      </c>
      <c r="I179" s="706" t="s">
        <v>170</v>
      </c>
      <c r="J179" s="706"/>
      <c r="K179" s="708" t="s">
        <v>776</v>
      </c>
      <c r="L179" s="710">
        <v>23174</v>
      </c>
      <c r="M179" s="706"/>
      <c r="N179" s="706"/>
      <c r="O179" s="711">
        <f>'[13]REF COMPETENCES'!$G$16</f>
        <v>4320000</v>
      </c>
      <c r="P179" s="706">
        <v>1</v>
      </c>
      <c r="Q179" s="712">
        <f t="shared" si="19"/>
        <v>4320000</v>
      </c>
      <c r="R179" s="713">
        <f t="shared" si="21"/>
        <v>1440</v>
      </c>
      <c r="S179" s="712"/>
      <c r="T179" s="712"/>
      <c r="U179" s="711"/>
      <c r="V179" s="706"/>
      <c r="W179" s="706"/>
      <c r="X179" s="706"/>
      <c r="Y179" s="706"/>
      <c r="Z179" s="706"/>
      <c r="AA179" s="706"/>
      <c r="AB179" s="706"/>
    </row>
    <row r="180" spans="1:28" s="715" customFormat="1" ht="57.75" customHeight="1">
      <c r="A180" s="706">
        <v>1222</v>
      </c>
      <c r="B180" s="721" t="s">
        <v>783</v>
      </c>
      <c r="C180" s="720" t="s">
        <v>784</v>
      </c>
      <c r="D180" s="706"/>
      <c r="E180" s="706">
        <v>10</v>
      </c>
      <c r="F180" s="709">
        <v>43227</v>
      </c>
      <c r="G180" s="709">
        <f t="shared" si="22"/>
        <v>43237</v>
      </c>
      <c r="H180" s="706" t="s">
        <v>785</v>
      </c>
      <c r="I180" s="706" t="s">
        <v>170</v>
      </c>
      <c r="J180" s="706"/>
      <c r="K180" s="708" t="s">
        <v>778</v>
      </c>
      <c r="L180" s="710">
        <v>23174</v>
      </c>
      <c r="M180" s="706"/>
      <c r="N180" s="706"/>
      <c r="O180" s="711">
        <f>'[13]REF COMPETENCES'!$G$25</f>
        <v>15120000</v>
      </c>
      <c r="P180" s="706">
        <v>1</v>
      </c>
      <c r="Q180" s="712">
        <f t="shared" si="19"/>
        <v>15120000</v>
      </c>
      <c r="R180" s="713">
        <f t="shared" si="21"/>
        <v>5040</v>
      </c>
      <c r="S180" s="712"/>
      <c r="T180" s="712"/>
      <c r="U180" s="711"/>
      <c r="V180" s="706"/>
      <c r="W180" s="706"/>
      <c r="X180" s="706"/>
      <c r="Y180" s="706"/>
      <c r="Z180" s="706"/>
      <c r="AA180" s="706"/>
      <c r="AB180" s="706"/>
    </row>
    <row r="181" spans="1:28" s="715" customFormat="1" ht="57.75" customHeight="1">
      <c r="A181" s="706">
        <v>1222</v>
      </c>
      <c r="B181" s="721" t="s">
        <v>783</v>
      </c>
      <c r="C181" s="720" t="s">
        <v>784</v>
      </c>
      <c r="D181" s="706"/>
      <c r="E181" s="706">
        <v>10</v>
      </c>
      <c r="F181" s="709">
        <v>43227</v>
      </c>
      <c r="G181" s="709">
        <f t="shared" si="22"/>
        <v>43237</v>
      </c>
      <c r="H181" s="706" t="s">
        <v>785</v>
      </c>
      <c r="I181" s="706" t="s">
        <v>170</v>
      </c>
      <c r="J181" s="706"/>
      <c r="K181" s="708" t="s">
        <v>779</v>
      </c>
      <c r="L181" s="710">
        <v>23174</v>
      </c>
      <c r="M181" s="706"/>
      <c r="N181" s="706"/>
      <c r="O181" s="711">
        <f>'[13]REF COMPETENCES'!$G$27</f>
        <v>520000</v>
      </c>
      <c r="P181" s="706">
        <v>1</v>
      </c>
      <c r="Q181" s="712">
        <f t="shared" si="19"/>
        <v>520000</v>
      </c>
      <c r="R181" s="713">
        <f t="shared" si="21"/>
        <v>173.33333333333334</v>
      </c>
      <c r="S181" s="712"/>
      <c r="T181" s="712"/>
      <c r="U181" s="711"/>
      <c r="V181" s="706"/>
      <c r="W181" s="706"/>
      <c r="X181" s="706"/>
      <c r="Y181" s="706"/>
      <c r="Z181" s="706"/>
      <c r="AA181" s="706"/>
      <c r="AB181" s="706"/>
    </row>
    <row r="182" spans="1:28" s="715" customFormat="1" ht="57.75" customHeight="1">
      <c r="A182" s="706">
        <v>1222</v>
      </c>
      <c r="B182" s="721" t="s">
        <v>783</v>
      </c>
      <c r="C182" s="720" t="s">
        <v>784</v>
      </c>
      <c r="D182" s="706"/>
      <c r="E182" s="706">
        <v>10</v>
      </c>
      <c r="F182" s="709">
        <v>43227</v>
      </c>
      <c r="G182" s="709">
        <f t="shared" si="22"/>
        <v>43237</v>
      </c>
      <c r="H182" s="706" t="s">
        <v>785</v>
      </c>
      <c r="I182" s="706" t="s">
        <v>170</v>
      </c>
      <c r="J182" s="706"/>
      <c r="K182" s="708" t="s">
        <v>780</v>
      </c>
      <c r="L182" s="710">
        <v>23174</v>
      </c>
      <c r="M182" s="706"/>
      <c r="N182" s="706"/>
      <c r="O182" s="711">
        <f>'[13]REF COMPETENCES'!$F$31</f>
        <v>2448000</v>
      </c>
      <c r="P182" s="706">
        <v>1</v>
      </c>
      <c r="Q182" s="712">
        <f t="shared" si="19"/>
        <v>2448000</v>
      </c>
      <c r="R182" s="713">
        <f t="shared" si="21"/>
        <v>816</v>
      </c>
      <c r="S182" s="712"/>
      <c r="T182" s="712"/>
      <c r="U182" s="711"/>
      <c r="V182" s="706"/>
      <c r="W182" s="706"/>
      <c r="X182" s="706"/>
      <c r="Y182" s="706"/>
      <c r="Z182" s="706"/>
      <c r="AA182" s="706"/>
      <c r="AB182" s="706"/>
    </row>
    <row r="183" spans="1:28" s="715" customFormat="1" ht="57.75" customHeight="1">
      <c r="A183" s="706">
        <v>1222</v>
      </c>
      <c r="B183" s="721" t="s">
        <v>783</v>
      </c>
      <c r="C183" s="720" t="s">
        <v>784</v>
      </c>
      <c r="D183" s="706"/>
      <c r="E183" s="706">
        <v>10</v>
      </c>
      <c r="F183" s="709">
        <v>43227</v>
      </c>
      <c r="G183" s="709">
        <f t="shared" si="22"/>
        <v>43237</v>
      </c>
      <c r="H183" s="706" t="s">
        <v>785</v>
      </c>
      <c r="I183" s="706" t="s">
        <v>170</v>
      </c>
      <c r="J183" s="706"/>
      <c r="K183" s="708" t="s">
        <v>781</v>
      </c>
      <c r="L183" s="710">
        <v>23174</v>
      </c>
      <c r="M183" s="706"/>
      <c r="N183" s="706"/>
      <c r="O183" s="711">
        <f>'[13]REF COMPETENCES'!$F$32</f>
        <v>3905000</v>
      </c>
      <c r="P183" s="706">
        <v>1</v>
      </c>
      <c r="Q183" s="712">
        <f t="shared" si="19"/>
        <v>3905000</v>
      </c>
      <c r="R183" s="713">
        <f t="shared" si="21"/>
        <v>1301.6666666666667</v>
      </c>
      <c r="S183" s="712"/>
      <c r="T183" s="712"/>
      <c r="U183" s="711"/>
      <c r="V183" s="706"/>
      <c r="W183" s="706"/>
      <c r="X183" s="706"/>
      <c r="Y183" s="706"/>
      <c r="Z183" s="706"/>
      <c r="AA183" s="706"/>
      <c r="AB183" s="706"/>
    </row>
    <row r="184" spans="1:28" s="715" customFormat="1" ht="57.75" customHeight="1">
      <c r="A184" s="706">
        <v>1222</v>
      </c>
      <c r="B184" s="721" t="s">
        <v>783</v>
      </c>
      <c r="C184" s="720" t="s">
        <v>784</v>
      </c>
      <c r="D184" s="706"/>
      <c r="E184" s="706"/>
      <c r="F184" s="709"/>
      <c r="G184" s="709"/>
      <c r="H184" s="706" t="s">
        <v>785</v>
      </c>
      <c r="I184" s="706" t="s">
        <v>170</v>
      </c>
      <c r="J184" s="706"/>
      <c r="K184" s="717" t="s">
        <v>782</v>
      </c>
      <c r="L184" s="710">
        <v>23173</v>
      </c>
      <c r="M184" s="706"/>
      <c r="N184" s="706"/>
      <c r="O184" s="711">
        <f>'[13]REF COMPETENCES'!$F$44</f>
        <v>222999</v>
      </c>
      <c r="P184" s="706">
        <v>1</v>
      </c>
      <c r="Q184" s="712">
        <f t="shared" si="19"/>
        <v>222999</v>
      </c>
      <c r="R184" s="713">
        <f t="shared" si="21"/>
        <v>74.332999999999998</v>
      </c>
      <c r="S184" s="712"/>
      <c r="T184" s="712"/>
      <c r="U184" s="711"/>
      <c r="V184" s="706"/>
      <c r="W184" s="706"/>
      <c r="X184" s="706"/>
      <c r="Y184" s="706"/>
      <c r="Z184" s="706"/>
      <c r="AA184" s="706"/>
      <c r="AB184" s="706"/>
    </row>
    <row r="185" spans="1:28" s="715" customFormat="1" ht="57.75" customHeight="1">
      <c r="A185" s="706">
        <v>1222</v>
      </c>
      <c r="B185" s="721" t="s">
        <v>783</v>
      </c>
      <c r="C185" s="720" t="s">
        <v>784</v>
      </c>
      <c r="D185" s="706"/>
      <c r="E185" s="706"/>
      <c r="F185" s="709"/>
      <c r="G185" s="706"/>
      <c r="H185" s="706" t="s">
        <v>785</v>
      </c>
      <c r="I185" s="706" t="s">
        <v>170</v>
      </c>
      <c r="J185" s="706"/>
      <c r="K185" s="708" t="s">
        <v>415</v>
      </c>
      <c r="L185" s="710">
        <v>23173</v>
      </c>
      <c r="M185" s="706"/>
      <c r="N185" s="706"/>
      <c r="O185" s="711">
        <f>'[13]REF COMPETENCES'!$F$43</f>
        <v>5000000</v>
      </c>
      <c r="P185" s="706">
        <v>1</v>
      </c>
      <c r="Q185" s="712">
        <f t="shared" si="19"/>
        <v>5000000</v>
      </c>
      <c r="R185" s="713">
        <f t="shared" si="21"/>
        <v>1666.6666666666667</v>
      </c>
      <c r="S185" s="712"/>
      <c r="T185" s="712"/>
      <c r="U185" s="711"/>
      <c r="V185" s="706"/>
      <c r="W185" s="706"/>
      <c r="X185" s="706"/>
      <c r="Y185" s="706"/>
      <c r="Z185" s="706"/>
      <c r="AA185" s="706"/>
      <c r="AB185" s="706"/>
    </row>
    <row r="186" spans="1:28" s="715" customFormat="1" ht="57.75" customHeight="1">
      <c r="A186" s="706">
        <v>1223</v>
      </c>
      <c r="B186" s="719" t="s">
        <v>786</v>
      </c>
      <c r="C186" s="720" t="s">
        <v>787</v>
      </c>
      <c r="D186" s="706"/>
      <c r="E186" s="706">
        <v>10</v>
      </c>
      <c r="F186" s="709">
        <v>43262</v>
      </c>
      <c r="G186" s="709">
        <f>F186+E186</f>
        <v>43272</v>
      </c>
      <c r="H186" s="706" t="s">
        <v>785</v>
      </c>
      <c r="I186" s="706" t="s">
        <v>170</v>
      </c>
      <c r="J186" s="706"/>
      <c r="K186" s="708" t="s">
        <v>775</v>
      </c>
      <c r="L186" s="710">
        <v>23174</v>
      </c>
      <c r="M186" s="706"/>
      <c r="N186" s="706"/>
      <c r="O186" s="711">
        <f>'[13]REF EVALUATION'!$G$15</f>
        <v>14868000</v>
      </c>
      <c r="P186" s="706">
        <v>1</v>
      </c>
      <c r="Q186" s="712">
        <f t="shared" si="19"/>
        <v>14868000</v>
      </c>
      <c r="R186" s="713">
        <f t="shared" si="21"/>
        <v>4956</v>
      </c>
      <c r="S186" s="712"/>
      <c r="T186" s="712"/>
      <c r="U186" s="722"/>
      <c r="V186" s="706"/>
      <c r="W186" s="706"/>
      <c r="X186" s="706"/>
      <c r="Y186" s="706"/>
      <c r="Z186" s="706"/>
      <c r="AA186" s="706"/>
      <c r="AB186" s="706"/>
    </row>
    <row r="187" spans="1:28" s="715" customFormat="1" ht="57.75" customHeight="1">
      <c r="A187" s="706">
        <v>1223</v>
      </c>
      <c r="B187" s="721" t="s">
        <v>786</v>
      </c>
      <c r="C187" s="720" t="s">
        <v>787</v>
      </c>
      <c r="D187" s="706"/>
      <c r="E187" s="706">
        <v>10</v>
      </c>
      <c r="F187" s="709">
        <v>43262</v>
      </c>
      <c r="G187" s="709">
        <f t="shared" ref="G187:G192" si="23">F187+E187</f>
        <v>43272</v>
      </c>
      <c r="H187" s="706" t="s">
        <v>785</v>
      </c>
      <c r="I187" s="706" t="s">
        <v>170</v>
      </c>
      <c r="J187" s="706"/>
      <c r="K187" s="708" t="s">
        <v>777</v>
      </c>
      <c r="L187" s="710">
        <v>23174</v>
      </c>
      <c r="M187" s="706"/>
      <c r="N187" s="706"/>
      <c r="O187" s="711">
        <f>'[13]REF EVALUATION'!$G$18</f>
        <v>870000</v>
      </c>
      <c r="P187" s="706">
        <v>1</v>
      </c>
      <c r="Q187" s="712">
        <f t="shared" si="19"/>
        <v>870000</v>
      </c>
      <c r="R187" s="713">
        <f t="shared" si="21"/>
        <v>290</v>
      </c>
      <c r="S187" s="712"/>
      <c r="T187" s="712"/>
      <c r="U187" s="722"/>
      <c r="V187" s="706"/>
      <c r="W187" s="706"/>
      <c r="X187" s="706"/>
      <c r="Y187" s="706"/>
      <c r="Z187" s="706"/>
      <c r="AA187" s="706"/>
      <c r="AB187" s="706"/>
    </row>
    <row r="188" spans="1:28" s="715" customFormat="1" ht="57.75" customHeight="1">
      <c r="A188" s="706">
        <v>1223</v>
      </c>
      <c r="B188" s="721" t="s">
        <v>786</v>
      </c>
      <c r="C188" s="720" t="s">
        <v>787</v>
      </c>
      <c r="D188" s="706"/>
      <c r="E188" s="706">
        <v>10</v>
      </c>
      <c r="F188" s="709">
        <v>43262</v>
      </c>
      <c r="G188" s="709">
        <f t="shared" si="23"/>
        <v>43272</v>
      </c>
      <c r="H188" s="706" t="s">
        <v>785</v>
      </c>
      <c r="I188" s="706" t="s">
        <v>170</v>
      </c>
      <c r="J188" s="706"/>
      <c r="K188" s="708" t="s">
        <v>776</v>
      </c>
      <c r="L188" s="710">
        <v>23174</v>
      </c>
      <c r="M188" s="706"/>
      <c r="N188" s="706"/>
      <c r="O188" s="711">
        <f>'[13]REF EVALUATION'!$G$16</f>
        <v>4320000</v>
      </c>
      <c r="P188" s="706">
        <v>1</v>
      </c>
      <c r="Q188" s="712">
        <f t="shared" si="19"/>
        <v>4320000</v>
      </c>
      <c r="R188" s="713">
        <f t="shared" si="21"/>
        <v>1440</v>
      </c>
      <c r="S188" s="712"/>
      <c r="T188" s="712"/>
      <c r="U188" s="722"/>
      <c r="V188" s="706"/>
      <c r="W188" s="706"/>
      <c r="X188" s="706"/>
      <c r="Y188" s="706"/>
      <c r="Z188" s="706"/>
      <c r="AA188" s="706"/>
      <c r="AB188" s="706"/>
    </row>
    <row r="189" spans="1:28" s="715" customFormat="1" ht="57.75" customHeight="1">
      <c r="A189" s="706">
        <v>1223</v>
      </c>
      <c r="B189" s="721" t="s">
        <v>786</v>
      </c>
      <c r="C189" s="720" t="s">
        <v>787</v>
      </c>
      <c r="D189" s="706"/>
      <c r="E189" s="706">
        <v>10</v>
      </c>
      <c r="F189" s="709">
        <v>43262</v>
      </c>
      <c r="G189" s="709">
        <f t="shared" si="23"/>
        <v>43272</v>
      </c>
      <c r="H189" s="706" t="s">
        <v>785</v>
      </c>
      <c r="I189" s="706" t="s">
        <v>170</v>
      </c>
      <c r="J189" s="706"/>
      <c r="K189" s="708" t="s">
        <v>778</v>
      </c>
      <c r="L189" s="710">
        <v>23174</v>
      </c>
      <c r="M189" s="706"/>
      <c r="N189" s="706"/>
      <c r="O189" s="711">
        <f>'[13]REF EVALUATION'!$G$25</f>
        <v>15120000</v>
      </c>
      <c r="P189" s="706">
        <v>1</v>
      </c>
      <c r="Q189" s="712">
        <f t="shared" si="19"/>
        <v>15120000</v>
      </c>
      <c r="R189" s="713">
        <f t="shared" si="21"/>
        <v>5040</v>
      </c>
      <c r="S189" s="712"/>
      <c r="T189" s="712"/>
      <c r="U189" s="722"/>
      <c r="V189" s="706"/>
      <c r="W189" s="706"/>
      <c r="X189" s="706"/>
      <c r="Y189" s="706"/>
      <c r="Z189" s="706"/>
      <c r="AA189" s="706"/>
      <c r="AB189" s="706"/>
    </row>
    <row r="190" spans="1:28" s="715" customFormat="1" ht="57.75" customHeight="1">
      <c r="A190" s="706">
        <v>1223</v>
      </c>
      <c r="B190" s="721" t="s">
        <v>786</v>
      </c>
      <c r="C190" s="720" t="s">
        <v>787</v>
      </c>
      <c r="D190" s="706"/>
      <c r="E190" s="706">
        <v>10</v>
      </c>
      <c r="F190" s="709">
        <v>43262</v>
      </c>
      <c r="G190" s="709">
        <f t="shared" si="23"/>
        <v>43272</v>
      </c>
      <c r="H190" s="706" t="s">
        <v>785</v>
      </c>
      <c r="I190" s="706" t="s">
        <v>170</v>
      </c>
      <c r="J190" s="706"/>
      <c r="K190" s="708" t="s">
        <v>779</v>
      </c>
      <c r="L190" s="710">
        <v>23174</v>
      </c>
      <c r="M190" s="706"/>
      <c r="N190" s="706"/>
      <c r="O190" s="711">
        <f>'[13]REF EVALUATION'!$G$27</f>
        <v>520000</v>
      </c>
      <c r="P190" s="706">
        <v>1</v>
      </c>
      <c r="Q190" s="712">
        <f t="shared" si="19"/>
        <v>520000</v>
      </c>
      <c r="R190" s="713">
        <f t="shared" si="21"/>
        <v>173.33333333333334</v>
      </c>
      <c r="S190" s="712"/>
      <c r="T190" s="712"/>
      <c r="U190" s="722"/>
      <c r="V190" s="706"/>
      <c r="W190" s="706"/>
      <c r="X190" s="706"/>
      <c r="Y190" s="706"/>
      <c r="Z190" s="706"/>
      <c r="AA190" s="706"/>
      <c r="AB190" s="706"/>
    </row>
    <row r="191" spans="1:28" s="715" customFormat="1" ht="57.75" customHeight="1">
      <c r="A191" s="706">
        <v>1223</v>
      </c>
      <c r="B191" s="721" t="s">
        <v>786</v>
      </c>
      <c r="C191" s="720" t="s">
        <v>787</v>
      </c>
      <c r="D191" s="706"/>
      <c r="E191" s="706">
        <v>10</v>
      </c>
      <c r="F191" s="709">
        <v>43262</v>
      </c>
      <c r="G191" s="709">
        <f t="shared" si="23"/>
        <v>43272</v>
      </c>
      <c r="H191" s="706" t="s">
        <v>785</v>
      </c>
      <c r="I191" s="706" t="s">
        <v>170</v>
      </c>
      <c r="J191" s="706"/>
      <c r="K191" s="708" t="s">
        <v>780</v>
      </c>
      <c r="L191" s="710">
        <v>23174</v>
      </c>
      <c r="M191" s="706"/>
      <c r="N191" s="706"/>
      <c r="O191" s="711">
        <f>'[13]REF EVALUATION'!$F$31</f>
        <v>2448000</v>
      </c>
      <c r="P191" s="706">
        <v>1</v>
      </c>
      <c r="Q191" s="712">
        <f t="shared" si="19"/>
        <v>2448000</v>
      </c>
      <c r="R191" s="713">
        <f t="shared" si="21"/>
        <v>816</v>
      </c>
      <c r="S191" s="712"/>
      <c r="T191" s="712"/>
      <c r="U191" s="722"/>
      <c r="V191" s="706"/>
      <c r="W191" s="706"/>
      <c r="X191" s="706"/>
      <c r="Y191" s="706"/>
      <c r="Z191" s="706"/>
      <c r="AA191" s="706"/>
      <c r="AB191" s="706"/>
    </row>
    <row r="192" spans="1:28" s="715" customFormat="1" ht="57.75" customHeight="1">
      <c r="A192" s="706">
        <v>1223</v>
      </c>
      <c r="B192" s="721" t="s">
        <v>786</v>
      </c>
      <c r="C192" s="720" t="s">
        <v>787</v>
      </c>
      <c r="D192" s="706"/>
      <c r="E192" s="706">
        <v>10</v>
      </c>
      <c r="F192" s="709">
        <v>43262</v>
      </c>
      <c r="G192" s="709">
        <f t="shared" si="23"/>
        <v>43272</v>
      </c>
      <c r="H192" s="706" t="s">
        <v>785</v>
      </c>
      <c r="I192" s="706" t="s">
        <v>170</v>
      </c>
      <c r="J192" s="706"/>
      <c r="K192" s="708" t="s">
        <v>781</v>
      </c>
      <c r="L192" s="710">
        <v>23174</v>
      </c>
      <c r="M192" s="706"/>
      <c r="N192" s="706"/>
      <c r="O192" s="711">
        <f>'[13]REF EVALUATION'!$F$32</f>
        <v>3905000</v>
      </c>
      <c r="P192" s="706">
        <v>1</v>
      </c>
      <c r="Q192" s="712">
        <f t="shared" si="19"/>
        <v>3905000</v>
      </c>
      <c r="R192" s="713">
        <f t="shared" si="21"/>
        <v>1301.6666666666667</v>
      </c>
      <c r="S192" s="712"/>
      <c r="T192" s="712"/>
      <c r="U192" s="722"/>
      <c r="V192" s="706"/>
      <c r="W192" s="706"/>
      <c r="X192" s="706"/>
      <c r="Y192" s="706"/>
      <c r="Z192" s="706"/>
      <c r="AA192" s="706"/>
      <c r="AB192" s="706"/>
    </row>
    <row r="193" spans="1:28" s="715" customFormat="1" ht="57.75" customHeight="1">
      <c r="A193" s="706">
        <v>1223</v>
      </c>
      <c r="B193" s="721" t="s">
        <v>786</v>
      </c>
      <c r="C193" s="720" t="s">
        <v>787</v>
      </c>
      <c r="D193" s="706"/>
      <c r="E193" s="706"/>
      <c r="F193" s="709"/>
      <c r="G193" s="709"/>
      <c r="H193" s="706" t="s">
        <v>785</v>
      </c>
      <c r="I193" s="706" t="s">
        <v>170</v>
      </c>
      <c r="J193" s="706"/>
      <c r="K193" s="717" t="s">
        <v>782</v>
      </c>
      <c r="L193" s="710">
        <v>23173</v>
      </c>
      <c r="M193" s="706"/>
      <c r="N193" s="706"/>
      <c r="O193" s="711">
        <f>'[13]REF EVALUATION'!$F$44</f>
        <v>222999</v>
      </c>
      <c r="P193" s="706">
        <v>1</v>
      </c>
      <c r="Q193" s="712">
        <f t="shared" si="19"/>
        <v>222999</v>
      </c>
      <c r="R193" s="713">
        <f t="shared" si="21"/>
        <v>74.332999999999998</v>
      </c>
      <c r="S193" s="712"/>
      <c r="T193" s="712"/>
      <c r="U193" s="722"/>
      <c r="V193" s="706"/>
      <c r="W193" s="706"/>
      <c r="X193" s="706"/>
      <c r="Y193" s="706"/>
      <c r="Z193" s="706"/>
      <c r="AA193" s="706"/>
      <c r="AB193" s="706"/>
    </row>
    <row r="194" spans="1:28" s="715" customFormat="1" ht="57.75" customHeight="1">
      <c r="A194" s="706">
        <v>1223</v>
      </c>
      <c r="B194" s="721" t="s">
        <v>786</v>
      </c>
      <c r="C194" s="720" t="s">
        <v>787</v>
      </c>
      <c r="D194" s="706"/>
      <c r="E194" s="706"/>
      <c r="F194" s="709"/>
      <c r="G194" s="709"/>
      <c r="H194" s="706" t="s">
        <v>785</v>
      </c>
      <c r="I194" s="706" t="s">
        <v>170</v>
      </c>
      <c r="J194" s="706"/>
      <c r="K194" s="708" t="s">
        <v>415</v>
      </c>
      <c r="L194" s="710">
        <v>23173</v>
      </c>
      <c r="M194" s="706"/>
      <c r="N194" s="706"/>
      <c r="O194" s="711">
        <f>'[13]REF EVALUATION'!$F$43</f>
        <v>5000000</v>
      </c>
      <c r="P194" s="706">
        <v>1</v>
      </c>
      <c r="Q194" s="712">
        <f t="shared" si="19"/>
        <v>5000000</v>
      </c>
      <c r="R194" s="713">
        <f t="shared" si="21"/>
        <v>1666.6666666666667</v>
      </c>
      <c r="S194" s="712"/>
      <c r="T194" s="712"/>
      <c r="U194" s="722"/>
      <c r="V194" s="706"/>
      <c r="W194" s="706"/>
      <c r="X194" s="706"/>
      <c r="Y194" s="706"/>
      <c r="Z194" s="706"/>
      <c r="AA194" s="706"/>
      <c r="AB194" s="706"/>
    </row>
    <row r="195" spans="1:28" s="715" customFormat="1" ht="57.75" customHeight="1">
      <c r="A195" s="706">
        <v>1224</v>
      </c>
      <c r="B195" s="719" t="s">
        <v>788</v>
      </c>
      <c r="C195" s="706" t="s">
        <v>789</v>
      </c>
      <c r="D195" s="706"/>
      <c r="E195" s="706">
        <v>1</v>
      </c>
      <c r="F195" s="709">
        <v>43279</v>
      </c>
      <c r="G195" s="709">
        <f>F195</f>
        <v>43279</v>
      </c>
      <c r="H195" s="706" t="s">
        <v>790</v>
      </c>
      <c r="I195" s="706" t="s">
        <v>170</v>
      </c>
      <c r="J195" s="706"/>
      <c r="K195" s="708" t="s">
        <v>670</v>
      </c>
      <c r="L195" s="710">
        <v>23173</v>
      </c>
      <c r="M195" s="706"/>
      <c r="N195" s="706"/>
      <c r="O195" s="723">
        <f>[13]VALIDATION!$F$10</f>
        <v>2000000</v>
      </c>
      <c r="P195" s="706">
        <v>1</v>
      </c>
      <c r="Q195" s="712">
        <f>O195*P195</f>
        <v>2000000</v>
      </c>
      <c r="R195" s="713">
        <f t="shared" si="21"/>
        <v>666.66666666666663</v>
      </c>
      <c r="S195" s="712"/>
      <c r="T195" s="711"/>
      <c r="U195" s="722"/>
      <c r="V195" s="706"/>
      <c r="W195" s="706"/>
      <c r="X195" s="706"/>
      <c r="Y195" s="706"/>
      <c r="Z195" s="706"/>
      <c r="AA195" s="706"/>
      <c r="AB195" s="706"/>
    </row>
    <row r="196" spans="1:28" s="715" customFormat="1" ht="57.75" customHeight="1">
      <c r="A196" s="706">
        <v>1224</v>
      </c>
      <c r="B196" s="721" t="s">
        <v>788</v>
      </c>
      <c r="C196" s="706" t="s">
        <v>789</v>
      </c>
      <c r="D196" s="706"/>
      <c r="E196" s="706">
        <v>1</v>
      </c>
      <c r="F196" s="709">
        <v>43279</v>
      </c>
      <c r="G196" s="709">
        <f>F196</f>
        <v>43279</v>
      </c>
      <c r="H196" s="706" t="s">
        <v>790</v>
      </c>
      <c r="I196" s="706" t="s">
        <v>170</v>
      </c>
      <c r="J196" s="706"/>
      <c r="K196" s="708" t="s">
        <v>415</v>
      </c>
      <c r="L196" s="710">
        <v>23173</v>
      </c>
      <c r="M196" s="706"/>
      <c r="N196" s="706"/>
      <c r="O196" s="723">
        <f>[13]VALIDATION!$F$9</f>
        <v>1000000</v>
      </c>
      <c r="P196" s="706">
        <v>1</v>
      </c>
      <c r="Q196" s="712">
        <f>O196*P196</f>
        <v>1000000</v>
      </c>
      <c r="R196" s="713">
        <f t="shared" si="21"/>
        <v>333.33333333333331</v>
      </c>
      <c r="S196" s="712"/>
      <c r="T196" s="712"/>
      <c r="U196" s="722"/>
      <c r="V196" s="706"/>
      <c r="W196" s="706"/>
      <c r="X196" s="706"/>
      <c r="Y196" s="706"/>
      <c r="Z196" s="706"/>
      <c r="AA196" s="706"/>
      <c r="AB196" s="706"/>
    </row>
    <row r="197" spans="1:28" s="715" customFormat="1" ht="57.75" customHeight="1">
      <c r="A197" s="706">
        <v>1224</v>
      </c>
      <c r="B197" s="721" t="s">
        <v>788</v>
      </c>
      <c r="C197" s="706" t="s">
        <v>789</v>
      </c>
      <c r="D197" s="706"/>
      <c r="E197" s="706">
        <v>1</v>
      </c>
      <c r="F197" s="709">
        <v>43279</v>
      </c>
      <c r="G197" s="709">
        <f>F197</f>
        <v>43279</v>
      </c>
      <c r="H197" s="706" t="s">
        <v>790</v>
      </c>
      <c r="I197" s="706" t="s">
        <v>170</v>
      </c>
      <c r="J197" s="706"/>
      <c r="K197" s="708" t="s">
        <v>638</v>
      </c>
      <c r="L197" s="710">
        <v>23173</v>
      </c>
      <c r="M197" s="706"/>
      <c r="N197" s="706"/>
      <c r="O197" s="723">
        <f>[13]VALIDATION!$F$11</f>
        <v>648000</v>
      </c>
      <c r="P197" s="706">
        <v>1</v>
      </c>
      <c r="Q197" s="712">
        <f>O197*P197</f>
        <v>648000</v>
      </c>
      <c r="R197" s="713">
        <f t="shared" si="21"/>
        <v>216</v>
      </c>
      <c r="S197" s="712"/>
      <c r="T197" s="712"/>
      <c r="U197" s="722"/>
      <c r="V197" s="706"/>
      <c r="W197" s="706"/>
      <c r="X197" s="706"/>
      <c r="Y197" s="706"/>
      <c r="Z197" s="706"/>
      <c r="AA197" s="706"/>
      <c r="AB197" s="706"/>
    </row>
    <row r="198" spans="1:28" s="715" customFormat="1" ht="57.75" customHeight="1">
      <c r="A198" s="706">
        <v>1225</v>
      </c>
      <c r="B198" s="719" t="s">
        <v>791</v>
      </c>
      <c r="C198" s="706" t="s">
        <v>792</v>
      </c>
      <c r="D198" s="706"/>
      <c r="E198" s="706"/>
      <c r="F198" s="709">
        <v>43283</v>
      </c>
      <c r="G198" s="706"/>
      <c r="H198" s="706" t="s">
        <v>793</v>
      </c>
      <c r="I198" s="706" t="s">
        <v>170</v>
      </c>
      <c r="J198" s="706"/>
      <c r="K198" s="708" t="s">
        <v>794</v>
      </c>
      <c r="L198" s="710">
        <v>23173</v>
      </c>
      <c r="M198" s="706"/>
      <c r="N198" s="706"/>
      <c r="O198" s="711">
        <f>[13]DUPLICATION!$F$11</f>
        <v>38115000</v>
      </c>
      <c r="P198" s="706">
        <v>1</v>
      </c>
      <c r="Q198" s="712">
        <f>O198*P198</f>
        <v>38115000</v>
      </c>
      <c r="R198" s="713">
        <f t="shared" si="21"/>
        <v>12705</v>
      </c>
      <c r="S198" s="712"/>
      <c r="T198" s="712"/>
      <c r="U198" s="711"/>
      <c r="V198" s="706"/>
      <c r="W198" s="706"/>
      <c r="X198" s="706"/>
      <c r="Y198" s="706"/>
      <c r="Z198" s="706"/>
      <c r="AA198" s="706"/>
      <c r="AB198" s="706"/>
    </row>
    <row r="199" spans="1:28" s="715" customFormat="1" ht="57.75" customHeight="1">
      <c r="A199" s="706">
        <v>1226</v>
      </c>
      <c r="B199" s="719" t="s">
        <v>795</v>
      </c>
      <c r="C199" s="708" t="s">
        <v>796</v>
      </c>
      <c r="D199" s="706"/>
      <c r="E199" s="706">
        <v>5</v>
      </c>
      <c r="F199" s="709">
        <v>43297</v>
      </c>
      <c r="G199" s="709">
        <f>F199+E199</f>
        <v>43302</v>
      </c>
      <c r="H199" s="706" t="s">
        <v>785</v>
      </c>
      <c r="I199" s="706" t="s">
        <v>170</v>
      </c>
      <c r="J199" s="706"/>
      <c r="K199" s="708" t="s">
        <v>797</v>
      </c>
      <c r="L199" s="710">
        <v>23174</v>
      </c>
      <c r="M199" s="706"/>
      <c r="N199" s="706"/>
      <c r="O199" s="711">
        <f>'[14]ELAB OUTILS EVAL'!$H$15</f>
        <v>5040000</v>
      </c>
      <c r="P199" s="706">
        <v>1</v>
      </c>
      <c r="Q199" s="712">
        <f t="shared" ref="Q199:Q207" si="24">O199*P199</f>
        <v>5040000</v>
      </c>
      <c r="R199" s="713">
        <f t="shared" si="21"/>
        <v>1680</v>
      </c>
      <c r="S199" s="712"/>
      <c r="T199" s="712"/>
      <c r="U199" s="711"/>
      <c r="V199" s="706"/>
      <c r="W199" s="706"/>
      <c r="X199" s="706"/>
      <c r="Y199" s="706"/>
      <c r="Z199" s="706"/>
      <c r="AA199" s="706"/>
      <c r="AB199" s="706"/>
    </row>
    <row r="200" spans="1:28" s="715" customFormat="1" ht="57.75" customHeight="1">
      <c r="A200" s="706">
        <v>1226</v>
      </c>
      <c r="B200" s="721" t="s">
        <v>795</v>
      </c>
      <c r="C200" s="708" t="s">
        <v>796</v>
      </c>
      <c r="D200" s="706"/>
      <c r="E200" s="706">
        <v>5</v>
      </c>
      <c r="F200" s="709">
        <v>43297</v>
      </c>
      <c r="G200" s="709">
        <f t="shared" ref="G200:G205" si="25">F200+E200</f>
        <v>43302</v>
      </c>
      <c r="H200" s="706" t="s">
        <v>785</v>
      </c>
      <c r="I200" s="706" t="s">
        <v>170</v>
      </c>
      <c r="J200" s="706"/>
      <c r="K200" s="708" t="s">
        <v>798</v>
      </c>
      <c r="L200" s="710">
        <v>23174</v>
      </c>
      <c r="M200" s="706"/>
      <c r="N200" s="706"/>
      <c r="O200" s="711">
        <f>'[14]ELAB OUTILS EVAL'!$H$14</f>
        <v>2700000</v>
      </c>
      <c r="P200" s="706">
        <v>1</v>
      </c>
      <c r="Q200" s="712">
        <f t="shared" si="24"/>
        <v>2700000</v>
      </c>
      <c r="R200" s="713">
        <f t="shared" si="21"/>
        <v>900</v>
      </c>
      <c r="S200" s="712"/>
      <c r="T200" s="712"/>
      <c r="U200" s="711"/>
      <c r="V200" s="706"/>
      <c r="W200" s="706"/>
      <c r="X200" s="706"/>
      <c r="Y200" s="706"/>
      <c r="Z200" s="706"/>
      <c r="AA200" s="706"/>
      <c r="AB200" s="706"/>
    </row>
    <row r="201" spans="1:28" s="715" customFormat="1" ht="57.75" customHeight="1">
      <c r="A201" s="706">
        <v>1226</v>
      </c>
      <c r="B201" s="721" t="s">
        <v>795</v>
      </c>
      <c r="C201" s="708" t="s">
        <v>796</v>
      </c>
      <c r="D201" s="706"/>
      <c r="E201" s="706">
        <v>5</v>
      </c>
      <c r="F201" s="709">
        <v>43297</v>
      </c>
      <c r="G201" s="709">
        <f t="shared" si="25"/>
        <v>43302</v>
      </c>
      <c r="H201" s="706" t="s">
        <v>785</v>
      </c>
      <c r="I201" s="706" t="s">
        <v>170</v>
      </c>
      <c r="J201" s="706"/>
      <c r="K201" s="708" t="s">
        <v>799</v>
      </c>
      <c r="L201" s="710">
        <v>23174</v>
      </c>
      <c r="M201" s="706"/>
      <c r="N201" s="706"/>
      <c r="O201" s="711">
        <f>'[14]ELAB OUTILS EVAL'!$H$17</f>
        <v>360000</v>
      </c>
      <c r="P201" s="706">
        <v>1</v>
      </c>
      <c r="Q201" s="712">
        <f t="shared" si="24"/>
        <v>360000</v>
      </c>
      <c r="R201" s="713">
        <f t="shared" si="21"/>
        <v>120</v>
      </c>
      <c r="S201" s="712"/>
      <c r="T201" s="712"/>
      <c r="U201" s="711"/>
      <c r="V201" s="706"/>
      <c r="W201" s="706"/>
      <c r="X201" s="706"/>
      <c r="Y201" s="706"/>
      <c r="Z201" s="706"/>
      <c r="AA201" s="706"/>
      <c r="AB201" s="706"/>
    </row>
    <row r="202" spans="1:28" s="715" customFormat="1" ht="57.75" customHeight="1">
      <c r="A202" s="706">
        <v>1226</v>
      </c>
      <c r="B202" s="721" t="s">
        <v>795</v>
      </c>
      <c r="C202" s="708" t="s">
        <v>796</v>
      </c>
      <c r="D202" s="706"/>
      <c r="E202" s="706">
        <v>5</v>
      </c>
      <c r="F202" s="709">
        <v>43297</v>
      </c>
      <c r="G202" s="709">
        <f t="shared" si="25"/>
        <v>43302</v>
      </c>
      <c r="H202" s="706" t="s">
        <v>785</v>
      </c>
      <c r="I202" s="706" t="s">
        <v>170</v>
      </c>
      <c r="J202" s="706"/>
      <c r="K202" s="708" t="s">
        <v>800</v>
      </c>
      <c r="L202" s="710">
        <v>23174</v>
      </c>
      <c r="M202" s="706"/>
      <c r="N202" s="706"/>
      <c r="O202" s="711">
        <f>'[14]ELAB OUTILS EVAL'!$H$23</f>
        <v>2320000</v>
      </c>
      <c r="P202" s="706">
        <v>1</v>
      </c>
      <c r="Q202" s="712">
        <f t="shared" si="24"/>
        <v>2320000</v>
      </c>
      <c r="R202" s="713">
        <f t="shared" si="21"/>
        <v>773.33333333333337</v>
      </c>
      <c r="S202" s="712"/>
      <c r="T202" s="712"/>
      <c r="U202" s="711"/>
      <c r="V202" s="706"/>
      <c r="W202" s="706"/>
      <c r="X202" s="706"/>
      <c r="Y202" s="706"/>
      <c r="Z202" s="706"/>
      <c r="AA202" s="706"/>
      <c r="AB202" s="706"/>
    </row>
    <row r="203" spans="1:28" s="715" customFormat="1" ht="57.75" customHeight="1">
      <c r="A203" s="706">
        <v>1226</v>
      </c>
      <c r="B203" s="721" t="s">
        <v>795</v>
      </c>
      <c r="C203" s="708" t="s">
        <v>796</v>
      </c>
      <c r="D203" s="706"/>
      <c r="E203" s="706">
        <v>5</v>
      </c>
      <c r="F203" s="709">
        <v>43297</v>
      </c>
      <c r="G203" s="709">
        <f t="shared" si="25"/>
        <v>43302</v>
      </c>
      <c r="H203" s="706" t="s">
        <v>785</v>
      </c>
      <c r="I203" s="706" t="s">
        <v>170</v>
      </c>
      <c r="J203" s="706"/>
      <c r="K203" s="708" t="s">
        <v>801</v>
      </c>
      <c r="L203" s="710">
        <v>23174</v>
      </c>
      <c r="M203" s="706"/>
      <c r="N203" s="706"/>
      <c r="O203" s="711">
        <f>'[14]ELAB OUTILS EVAL'!$H$25</f>
        <v>320000</v>
      </c>
      <c r="P203" s="706">
        <v>1</v>
      </c>
      <c r="Q203" s="712">
        <f t="shared" si="24"/>
        <v>320000</v>
      </c>
      <c r="R203" s="713">
        <f t="shared" si="21"/>
        <v>106.66666666666667</v>
      </c>
      <c r="S203" s="712"/>
      <c r="T203" s="712"/>
      <c r="U203" s="711"/>
      <c r="V203" s="706"/>
      <c r="W203" s="706"/>
      <c r="X203" s="706"/>
      <c r="Y203" s="706"/>
      <c r="Z203" s="706"/>
      <c r="AA203" s="706"/>
      <c r="AB203" s="706"/>
    </row>
    <row r="204" spans="1:28" s="715" customFormat="1" ht="57.75" customHeight="1">
      <c r="A204" s="706">
        <v>1226</v>
      </c>
      <c r="B204" s="721" t="s">
        <v>795</v>
      </c>
      <c r="C204" s="708" t="s">
        <v>796</v>
      </c>
      <c r="D204" s="706"/>
      <c r="E204" s="706">
        <v>5</v>
      </c>
      <c r="F204" s="709">
        <v>43297</v>
      </c>
      <c r="G204" s="709">
        <f t="shared" si="25"/>
        <v>43302</v>
      </c>
      <c r="H204" s="706" t="s">
        <v>785</v>
      </c>
      <c r="I204" s="706" t="s">
        <v>170</v>
      </c>
      <c r="J204" s="706"/>
      <c r="K204" s="708" t="s">
        <v>802</v>
      </c>
      <c r="L204" s="710">
        <v>23174</v>
      </c>
      <c r="M204" s="706"/>
      <c r="N204" s="706"/>
      <c r="O204" s="711">
        <f>'[14]ELAB OUTILS EVAL'!$F$29</f>
        <v>2448000</v>
      </c>
      <c r="P204" s="706">
        <v>1</v>
      </c>
      <c r="Q204" s="712">
        <f t="shared" si="24"/>
        <v>2448000</v>
      </c>
      <c r="R204" s="713">
        <f t="shared" si="21"/>
        <v>816</v>
      </c>
      <c r="S204" s="712"/>
      <c r="T204" s="712"/>
      <c r="U204" s="711"/>
      <c r="V204" s="706"/>
      <c r="W204" s="706"/>
      <c r="X204" s="706"/>
      <c r="Y204" s="706"/>
      <c r="Z204" s="706"/>
      <c r="AA204" s="706"/>
      <c r="AB204" s="706"/>
    </row>
    <row r="205" spans="1:28" s="715" customFormat="1" ht="57.75" customHeight="1">
      <c r="A205" s="706">
        <v>1226</v>
      </c>
      <c r="B205" s="721" t="s">
        <v>795</v>
      </c>
      <c r="C205" s="708" t="s">
        <v>796</v>
      </c>
      <c r="D205" s="706"/>
      <c r="E205" s="706">
        <v>5</v>
      </c>
      <c r="F205" s="709">
        <v>43297</v>
      </c>
      <c r="G205" s="709">
        <f t="shared" si="25"/>
        <v>43302</v>
      </c>
      <c r="H205" s="706" t="s">
        <v>785</v>
      </c>
      <c r="I205" s="706" t="s">
        <v>170</v>
      </c>
      <c r="J205" s="706"/>
      <c r="K205" s="708" t="s">
        <v>803</v>
      </c>
      <c r="L205" s="710">
        <v>23174</v>
      </c>
      <c r="M205" s="706"/>
      <c r="N205" s="706"/>
      <c r="O205" s="711">
        <f>'[14]ELAB OUTILS EVAL'!$F$30</f>
        <v>1440000</v>
      </c>
      <c r="P205" s="706">
        <v>1</v>
      </c>
      <c r="Q205" s="712">
        <f t="shared" si="24"/>
        <v>1440000</v>
      </c>
      <c r="R205" s="713">
        <f t="shared" si="21"/>
        <v>480</v>
      </c>
      <c r="S205" s="712"/>
      <c r="T205" s="712"/>
      <c r="U205" s="711"/>
      <c r="V205" s="706"/>
      <c r="W205" s="706"/>
      <c r="X205" s="706"/>
      <c r="Y205" s="706"/>
      <c r="Z205" s="706"/>
      <c r="AA205" s="706"/>
      <c r="AB205" s="706"/>
    </row>
    <row r="206" spans="1:28" s="715" customFormat="1" ht="57.75" customHeight="1">
      <c r="A206" s="706">
        <v>1226</v>
      </c>
      <c r="B206" s="721" t="s">
        <v>795</v>
      </c>
      <c r="C206" s="708" t="s">
        <v>796</v>
      </c>
      <c r="D206" s="706"/>
      <c r="E206" s="706"/>
      <c r="F206" s="709"/>
      <c r="G206" s="709"/>
      <c r="H206" s="706" t="s">
        <v>785</v>
      </c>
      <c r="I206" s="706" t="s">
        <v>170</v>
      </c>
      <c r="J206" s="706"/>
      <c r="K206" s="708" t="s">
        <v>415</v>
      </c>
      <c r="L206" s="710">
        <v>23173</v>
      </c>
      <c r="M206" s="706"/>
      <c r="N206" s="706"/>
      <c r="O206" s="711">
        <f>'[14]ELAB OUTILS EVAL'!$F$33</f>
        <v>2500000</v>
      </c>
      <c r="P206" s="706">
        <v>1</v>
      </c>
      <c r="Q206" s="712">
        <f t="shared" si="24"/>
        <v>2500000</v>
      </c>
      <c r="R206" s="713">
        <f t="shared" si="21"/>
        <v>833.33333333333337</v>
      </c>
      <c r="S206" s="712"/>
      <c r="T206" s="712"/>
      <c r="U206" s="711"/>
      <c r="V206" s="706"/>
      <c r="W206" s="706"/>
      <c r="X206" s="706"/>
      <c r="Y206" s="706"/>
      <c r="Z206" s="706"/>
      <c r="AA206" s="706"/>
      <c r="AB206" s="706"/>
    </row>
    <row r="207" spans="1:28" s="715" customFormat="1" ht="57.75" customHeight="1">
      <c r="A207" s="706">
        <v>1226</v>
      </c>
      <c r="B207" s="721" t="s">
        <v>795</v>
      </c>
      <c r="C207" s="708" t="s">
        <v>796</v>
      </c>
      <c r="D207" s="706"/>
      <c r="E207" s="706"/>
      <c r="F207" s="709"/>
      <c r="G207" s="709"/>
      <c r="H207" s="706" t="s">
        <v>785</v>
      </c>
      <c r="I207" s="706" t="s">
        <v>170</v>
      </c>
      <c r="J207" s="706"/>
      <c r="K207" s="708" t="s">
        <v>804</v>
      </c>
      <c r="L207" s="710">
        <v>23173</v>
      </c>
      <c r="M207" s="706"/>
      <c r="N207" s="706"/>
      <c r="O207" s="711">
        <f>'[14]ELAB OUTILS EVAL'!$F$34</f>
        <v>107500</v>
      </c>
      <c r="P207" s="706">
        <v>1</v>
      </c>
      <c r="Q207" s="712">
        <f t="shared" si="24"/>
        <v>107500</v>
      </c>
      <c r="R207" s="713">
        <f t="shared" si="21"/>
        <v>35.833333333333336</v>
      </c>
      <c r="S207" s="712"/>
      <c r="T207" s="712"/>
      <c r="U207" s="711"/>
      <c r="V207" s="706"/>
      <c r="W207" s="706"/>
      <c r="X207" s="706"/>
      <c r="Y207" s="706"/>
      <c r="Z207" s="706"/>
      <c r="AA207" s="706"/>
      <c r="AB207" s="706"/>
    </row>
    <row r="208" spans="1:28" s="715" customFormat="1" ht="57.75" customHeight="1">
      <c r="A208" s="706">
        <v>1227</v>
      </c>
      <c r="B208" s="719" t="s">
        <v>805</v>
      </c>
      <c r="C208" s="708" t="s">
        <v>806</v>
      </c>
      <c r="D208" s="706"/>
      <c r="E208" s="706"/>
      <c r="F208" s="709">
        <v>43304</v>
      </c>
      <c r="G208" s="706"/>
      <c r="H208" s="706" t="s">
        <v>793</v>
      </c>
      <c r="I208" s="706" t="s">
        <v>170</v>
      </c>
      <c r="J208" s="706"/>
      <c r="K208" s="708" t="s">
        <v>807</v>
      </c>
      <c r="L208" s="710">
        <v>23173</v>
      </c>
      <c r="M208" s="706"/>
      <c r="N208" s="706"/>
      <c r="O208" s="711">
        <f>'[14]DUPLICATION OUTILS'!$F$9</f>
        <v>3267000</v>
      </c>
      <c r="P208" s="706">
        <v>1</v>
      </c>
      <c r="Q208" s="714">
        <f>P208*O208</f>
        <v>3267000</v>
      </c>
      <c r="R208" s="713">
        <f t="shared" si="21"/>
        <v>1089</v>
      </c>
      <c r="S208" s="712"/>
      <c r="T208" s="712"/>
      <c r="U208" s="711"/>
      <c r="V208" s="706"/>
      <c r="W208" s="706"/>
      <c r="X208" s="706"/>
      <c r="Y208" s="706"/>
      <c r="Z208" s="706"/>
      <c r="AA208" s="706"/>
      <c r="AB208" s="706"/>
    </row>
    <row r="209" spans="1:28" s="715" customFormat="1" ht="57.75" customHeight="1">
      <c r="A209" s="706">
        <v>1228</v>
      </c>
      <c r="B209" s="719" t="s">
        <v>808</v>
      </c>
      <c r="C209" s="708" t="s">
        <v>809</v>
      </c>
      <c r="D209" s="706"/>
      <c r="E209" s="706">
        <v>10</v>
      </c>
      <c r="F209" s="709">
        <v>43318</v>
      </c>
      <c r="G209" s="709">
        <f>F209+E209</f>
        <v>43328</v>
      </c>
      <c r="H209" s="706" t="s">
        <v>810</v>
      </c>
      <c r="I209" s="706" t="s">
        <v>170</v>
      </c>
      <c r="J209" s="706"/>
      <c r="K209" s="708" t="s">
        <v>811</v>
      </c>
      <c r="L209" s="710">
        <v>23174</v>
      </c>
      <c r="M209" s="706"/>
      <c r="N209" s="706"/>
      <c r="O209" s="711">
        <f>[14]DESCENTE!$H$14</f>
        <v>108000000</v>
      </c>
      <c r="P209" s="706">
        <v>1</v>
      </c>
      <c r="Q209" s="724">
        <f t="shared" ref="Q209:Q229" si="26">O209*P209</f>
        <v>108000000</v>
      </c>
      <c r="R209" s="713">
        <f t="shared" si="21"/>
        <v>36000</v>
      </c>
      <c r="S209" s="712"/>
      <c r="T209" s="725"/>
      <c r="U209" s="722"/>
      <c r="V209" s="706"/>
      <c r="W209" s="706"/>
      <c r="X209" s="706"/>
      <c r="Y209" s="706"/>
      <c r="Z209" s="706"/>
      <c r="AA209" s="706"/>
      <c r="AB209" s="706"/>
    </row>
    <row r="210" spans="1:28" s="715" customFormat="1" ht="57.75" customHeight="1">
      <c r="A210" s="706">
        <v>1228</v>
      </c>
      <c r="B210" s="721" t="s">
        <v>808</v>
      </c>
      <c r="C210" s="708" t="s">
        <v>809</v>
      </c>
      <c r="D210" s="706"/>
      <c r="E210" s="706">
        <v>10</v>
      </c>
      <c r="F210" s="709">
        <v>43318</v>
      </c>
      <c r="G210" s="709">
        <f t="shared" ref="G210:G215" si="27">F210+E210</f>
        <v>43328</v>
      </c>
      <c r="H210" s="706" t="s">
        <v>810</v>
      </c>
      <c r="I210" s="706" t="s">
        <v>170</v>
      </c>
      <c r="J210" s="706"/>
      <c r="K210" s="708" t="s">
        <v>812</v>
      </c>
      <c r="L210" s="710">
        <v>23174</v>
      </c>
      <c r="N210" s="706"/>
      <c r="O210" s="711">
        <f>[14]DESCENTE!$H$13</f>
        <v>23760000</v>
      </c>
      <c r="P210" s="706">
        <v>1</v>
      </c>
      <c r="Q210" s="724">
        <f t="shared" si="26"/>
        <v>23760000</v>
      </c>
      <c r="R210" s="713">
        <f t="shared" si="21"/>
        <v>7920</v>
      </c>
      <c r="S210" s="712"/>
      <c r="T210" s="725"/>
      <c r="U210" s="722"/>
      <c r="V210" s="706"/>
      <c r="W210" s="706"/>
      <c r="X210" s="706"/>
      <c r="Y210" s="706"/>
      <c r="Z210" s="706"/>
      <c r="AA210" s="706"/>
      <c r="AB210" s="706"/>
    </row>
    <row r="211" spans="1:28" s="715" customFormat="1" ht="57.75" customHeight="1">
      <c r="A211" s="706">
        <v>1228</v>
      </c>
      <c r="B211" s="721" t="s">
        <v>808</v>
      </c>
      <c r="C211" s="708" t="s">
        <v>809</v>
      </c>
      <c r="D211" s="706"/>
      <c r="E211" s="706">
        <v>10</v>
      </c>
      <c r="F211" s="709">
        <v>43318</v>
      </c>
      <c r="G211" s="709">
        <f t="shared" si="27"/>
        <v>43328</v>
      </c>
      <c r="H211" s="706" t="s">
        <v>810</v>
      </c>
      <c r="I211" s="706" t="s">
        <v>170</v>
      </c>
      <c r="J211" s="706"/>
      <c r="K211" s="708" t="s">
        <v>813</v>
      </c>
      <c r="L211" s="710">
        <v>23174</v>
      </c>
      <c r="M211" s="706"/>
      <c r="N211" s="706"/>
      <c r="O211" s="711">
        <f>[14]DESCENTE!$H$16</f>
        <v>1800000</v>
      </c>
      <c r="P211" s="706">
        <v>1</v>
      </c>
      <c r="Q211" s="724">
        <f t="shared" si="26"/>
        <v>1800000</v>
      </c>
      <c r="R211" s="713">
        <f t="shared" si="21"/>
        <v>600</v>
      </c>
      <c r="S211" s="712"/>
      <c r="T211" s="725"/>
      <c r="U211" s="722"/>
      <c r="V211" s="706"/>
      <c r="W211" s="706"/>
      <c r="X211" s="706"/>
      <c r="Y211" s="706"/>
      <c r="Z211" s="706"/>
      <c r="AA211" s="706"/>
      <c r="AB211" s="706"/>
    </row>
    <row r="212" spans="1:28" s="715" customFormat="1" ht="57.75" customHeight="1">
      <c r="A212" s="706">
        <v>1228</v>
      </c>
      <c r="B212" s="721" t="s">
        <v>808</v>
      </c>
      <c r="C212" s="708" t="s">
        <v>809</v>
      </c>
      <c r="D212" s="706"/>
      <c r="E212" s="706">
        <v>10</v>
      </c>
      <c r="F212" s="709">
        <v>43318</v>
      </c>
      <c r="G212" s="709">
        <f t="shared" si="27"/>
        <v>43328</v>
      </c>
      <c r="H212" s="706" t="s">
        <v>810</v>
      </c>
      <c r="I212" s="706" t="s">
        <v>170</v>
      </c>
      <c r="J212" s="706"/>
      <c r="K212" s="708" t="s">
        <v>814</v>
      </c>
      <c r="L212" s="710">
        <v>23174</v>
      </c>
      <c r="M212" s="706"/>
      <c r="N212" s="706"/>
      <c r="O212" s="711">
        <f>[14]DESCENTE!$H$21</f>
        <v>19800000</v>
      </c>
      <c r="P212" s="706">
        <v>1</v>
      </c>
      <c r="Q212" s="724">
        <f t="shared" si="26"/>
        <v>19800000</v>
      </c>
      <c r="R212" s="713">
        <f t="shared" si="21"/>
        <v>6600</v>
      </c>
      <c r="S212" s="712"/>
      <c r="T212" s="725"/>
      <c r="U212" s="722"/>
      <c r="V212" s="706"/>
      <c r="W212" s="706"/>
      <c r="X212" s="706"/>
      <c r="Y212" s="706"/>
      <c r="Z212" s="706"/>
      <c r="AA212" s="706"/>
      <c r="AB212" s="706"/>
    </row>
    <row r="213" spans="1:28" s="715" customFormat="1" ht="57.75" customHeight="1">
      <c r="A213" s="706">
        <v>1228</v>
      </c>
      <c r="B213" s="721" t="s">
        <v>808</v>
      </c>
      <c r="C213" s="708" t="s">
        <v>809</v>
      </c>
      <c r="D213" s="706"/>
      <c r="E213" s="706">
        <v>10</v>
      </c>
      <c r="F213" s="709">
        <v>43318</v>
      </c>
      <c r="G213" s="709">
        <f t="shared" si="27"/>
        <v>43328</v>
      </c>
      <c r="H213" s="706" t="s">
        <v>810</v>
      </c>
      <c r="I213" s="706" t="s">
        <v>170</v>
      </c>
      <c r="J213" s="706"/>
      <c r="K213" s="708" t="s">
        <v>815</v>
      </c>
      <c r="L213" s="710">
        <v>23174</v>
      </c>
      <c r="M213" s="706"/>
      <c r="N213" s="706"/>
      <c r="O213" s="711">
        <f>[14]DESCENTE!$H$23</f>
        <v>900000</v>
      </c>
      <c r="P213" s="706">
        <v>1</v>
      </c>
      <c r="Q213" s="724">
        <f t="shared" si="26"/>
        <v>900000</v>
      </c>
      <c r="R213" s="713">
        <f t="shared" si="21"/>
        <v>300</v>
      </c>
      <c r="S213" s="712"/>
      <c r="T213" s="725"/>
      <c r="U213" s="722"/>
      <c r="V213" s="706"/>
      <c r="W213" s="706"/>
      <c r="X213" s="706"/>
      <c r="Y213" s="706"/>
      <c r="Z213" s="706"/>
      <c r="AA213" s="706"/>
      <c r="AB213" s="706"/>
    </row>
    <row r="214" spans="1:28" s="715" customFormat="1" ht="57.75" customHeight="1">
      <c r="A214" s="706">
        <v>1228</v>
      </c>
      <c r="B214" s="721" t="s">
        <v>808</v>
      </c>
      <c r="C214" s="708" t="s">
        <v>809</v>
      </c>
      <c r="D214" s="706"/>
      <c r="E214" s="706">
        <v>10</v>
      </c>
      <c r="F214" s="709">
        <v>43318</v>
      </c>
      <c r="G214" s="709">
        <f t="shared" si="27"/>
        <v>43328</v>
      </c>
      <c r="H214" s="706" t="s">
        <v>810</v>
      </c>
      <c r="I214" s="706" t="s">
        <v>170</v>
      </c>
      <c r="J214" s="706"/>
      <c r="K214" s="708" t="s">
        <v>816</v>
      </c>
      <c r="L214" s="710">
        <v>23174</v>
      </c>
      <c r="M214" s="706"/>
      <c r="N214" s="706"/>
      <c r="O214" s="711">
        <f>[14]DESCENTE!$F$27</f>
        <v>8160000</v>
      </c>
      <c r="P214" s="706">
        <v>1</v>
      </c>
      <c r="Q214" s="724">
        <f t="shared" si="26"/>
        <v>8160000</v>
      </c>
      <c r="R214" s="713">
        <f t="shared" si="21"/>
        <v>2720</v>
      </c>
      <c r="S214" s="712"/>
      <c r="T214" s="725"/>
      <c r="U214" s="722"/>
      <c r="V214" s="706"/>
      <c r="W214" s="706"/>
      <c r="X214" s="706"/>
      <c r="Y214" s="706"/>
      <c r="Z214" s="706"/>
      <c r="AA214" s="706"/>
      <c r="AB214" s="706"/>
    </row>
    <row r="215" spans="1:28" s="715" customFormat="1" ht="57.75" customHeight="1">
      <c r="A215" s="706">
        <v>1228</v>
      </c>
      <c r="B215" s="721" t="s">
        <v>808</v>
      </c>
      <c r="C215" s="708" t="s">
        <v>809</v>
      </c>
      <c r="D215" s="706"/>
      <c r="E215" s="706">
        <v>10</v>
      </c>
      <c r="F215" s="709">
        <v>43318</v>
      </c>
      <c r="G215" s="709">
        <f t="shared" si="27"/>
        <v>43328</v>
      </c>
      <c r="H215" s="706" t="s">
        <v>810</v>
      </c>
      <c r="I215" s="706" t="s">
        <v>170</v>
      </c>
      <c r="J215" s="706"/>
      <c r="K215" s="708" t="s">
        <v>817</v>
      </c>
      <c r="L215" s="710">
        <v>23174</v>
      </c>
      <c r="M215" s="706"/>
      <c r="N215" s="706"/>
      <c r="O215" s="711">
        <f>[14]DESCENTE!$F$28</f>
        <v>20024800</v>
      </c>
      <c r="P215" s="706">
        <v>1</v>
      </c>
      <c r="Q215" s="724">
        <f t="shared" si="26"/>
        <v>20024800</v>
      </c>
      <c r="R215" s="713">
        <f t="shared" si="21"/>
        <v>6674.9333333333334</v>
      </c>
      <c r="S215" s="712"/>
      <c r="T215" s="725"/>
      <c r="U215" s="722"/>
      <c r="V215" s="706"/>
      <c r="W215" s="706"/>
      <c r="X215" s="706"/>
      <c r="Y215" s="706"/>
      <c r="Z215" s="706"/>
      <c r="AA215" s="706"/>
      <c r="AB215" s="706"/>
    </row>
    <row r="216" spans="1:28" s="715" customFormat="1" ht="57.75" customHeight="1">
      <c r="A216" s="706">
        <v>1228</v>
      </c>
      <c r="B216" s="721" t="s">
        <v>808</v>
      </c>
      <c r="C216" s="708" t="s">
        <v>809</v>
      </c>
      <c r="D216" s="706"/>
      <c r="E216" s="706">
        <v>45</v>
      </c>
      <c r="F216" s="709"/>
      <c r="G216" s="709"/>
      <c r="H216" s="706" t="s">
        <v>810</v>
      </c>
      <c r="I216" s="706" t="s">
        <v>170</v>
      </c>
      <c r="J216" s="706"/>
      <c r="K216" s="708" t="s">
        <v>818</v>
      </c>
      <c r="L216" s="710">
        <v>23173</v>
      </c>
      <c r="M216" s="706"/>
      <c r="N216" s="706"/>
      <c r="O216" s="711">
        <f>[14]DESCENTE!$F$58</f>
        <v>616875</v>
      </c>
      <c r="P216" s="706">
        <v>1</v>
      </c>
      <c r="Q216" s="724">
        <f t="shared" si="26"/>
        <v>616875</v>
      </c>
      <c r="R216" s="713">
        <f t="shared" si="21"/>
        <v>205.625</v>
      </c>
      <c r="S216" s="712"/>
      <c r="T216" s="725"/>
      <c r="U216" s="722"/>
      <c r="V216" s="706"/>
      <c r="W216" s="706"/>
      <c r="X216" s="706"/>
      <c r="Y216" s="706"/>
      <c r="Z216" s="706"/>
      <c r="AA216" s="706"/>
      <c r="AB216" s="706"/>
    </row>
    <row r="217" spans="1:28" s="715" customFormat="1" ht="57.75" customHeight="1">
      <c r="A217" s="706">
        <v>1229</v>
      </c>
      <c r="B217" s="721" t="s">
        <v>819</v>
      </c>
      <c r="C217" s="720" t="s">
        <v>820</v>
      </c>
      <c r="D217" s="726"/>
      <c r="E217" s="726">
        <v>10</v>
      </c>
      <c r="F217" s="709">
        <v>43339</v>
      </c>
      <c r="G217" s="709">
        <f>F217+E217</f>
        <v>43349</v>
      </c>
      <c r="H217" s="706" t="s">
        <v>774</v>
      </c>
      <c r="I217" s="706" t="s">
        <v>170</v>
      </c>
      <c r="J217" s="726"/>
      <c r="K217" s="708" t="s">
        <v>821</v>
      </c>
      <c r="L217" s="710">
        <v>23174</v>
      </c>
      <c r="M217" s="726"/>
      <c r="N217" s="726"/>
      <c r="O217" s="711">
        <f>[14]TRAVAIL_SAISIE!$H$15</f>
        <v>3960000</v>
      </c>
      <c r="P217" s="706">
        <v>1</v>
      </c>
      <c r="Q217" s="724">
        <f t="shared" si="26"/>
        <v>3960000</v>
      </c>
      <c r="R217" s="713">
        <f t="shared" si="21"/>
        <v>1320</v>
      </c>
      <c r="S217" s="712"/>
      <c r="T217" s="712"/>
      <c r="U217" s="727"/>
      <c r="V217" s="726"/>
      <c r="W217" s="726"/>
      <c r="X217" s="726"/>
      <c r="Y217" s="726"/>
      <c r="Z217" s="726"/>
      <c r="AA217" s="726"/>
      <c r="AB217" s="726"/>
    </row>
    <row r="218" spans="1:28" s="715" customFormat="1" ht="57.75" customHeight="1">
      <c r="A218" s="706">
        <v>1229</v>
      </c>
      <c r="B218" s="721" t="s">
        <v>819</v>
      </c>
      <c r="C218" s="720" t="s">
        <v>820</v>
      </c>
      <c r="D218" s="726"/>
      <c r="E218" s="726">
        <v>10</v>
      </c>
      <c r="F218" s="709">
        <v>43339</v>
      </c>
      <c r="G218" s="709">
        <f t="shared" ref="G218:G223" si="28">F218+E218</f>
        <v>43349</v>
      </c>
      <c r="H218" s="706" t="s">
        <v>774</v>
      </c>
      <c r="I218" s="706" t="s">
        <v>170</v>
      </c>
      <c r="J218" s="726"/>
      <c r="K218" s="708" t="s">
        <v>822</v>
      </c>
      <c r="L218" s="710">
        <v>23174</v>
      </c>
      <c r="M218" s="726"/>
      <c r="N218" s="726"/>
      <c r="O218" s="711">
        <f>[14]TRAVAIL_SAISIE!$H$14</f>
        <v>17172000</v>
      </c>
      <c r="P218" s="706">
        <v>1</v>
      </c>
      <c r="Q218" s="724">
        <f t="shared" si="26"/>
        <v>17172000</v>
      </c>
      <c r="R218" s="713">
        <f t="shared" si="21"/>
        <v>5724</v>
      </c>
      <c r="S218" s="712"/>
      <c r="T218" s="712"/>
      <c r="U218" s="727"/>
      <c r="V218" s="726"/>
      <c r="W218" s="726"/>
      <c r="X218" s="726"/>
      <c r="Y218" s="726"/>
      <c r="Z218" s="726"/>
      <c r="AA218" s="726"/>
      <c r="AB218" s="726"/>
    </row>
    <row r="219" spans="1:28" s="715" customFormat="1" ht="57.75" customHeight="1">
      <c r="A219" s="706">
        <v>1229</v>
      </c>
      <c r="B219" s="721" t="s">
        <v>819</v>
      </c>
      <c r="C219" s="720" t="s">
        <v>820</v>
      </c>
      <c r="D219" s="726"/>
      <c r="E219" s="726">
        <v>10</v>
      </c>
      <c r="F219" s="709">
        <v>43339</v>
      </c>
      <c r="G219" s="709">
        <f t="shared" si="28"/>
        <v>43349</v>
      </c>
      <c r="H219" s="706" t="s">
        <v>774</v>
      </c>
      <c r="I219" s="706" t="s">
        <v>170</v>
      </c>
      <c r="J219" s="726"/>
      <c r="K219" s="708" t="s">
        <v>799</v>
      </c>
      <c r="L219" s="710">
        <v>23174</v>
      </c>
      <c r="M219" s="726"/>
      <c r="N219" s="726"/>
      <c r="O219" s="711">
        <f>[14]TRAVAIL_SAISIE!$H$17</f>
        <v>780000</v>
      </c>
      <c r="P219" s="706">
        <v>1</v>
      </c>
      <c r="Q219" s="724">
        <f t="shared" si="26"/>
        <v>780000</v>
      </c>
      <c r="R219" s="713">
        <f t="shared" si="21"/>
        <v>260</v>
      </c>
      <c r="S219" s="712"/>
      <c r="T219" s="712"/>
      <c r="U219" s="727"/>
      <c r="V219" s="726"/>
      <c r="W219" s="726"/>
      <c r="X219" s="726"/>
      <c r="Y219" s="726"/>
      <c r="Z219" s="726"/>
      <c r="AA219" s="726"/>
      <c r="AB219" s="726"/>
    </row>
    <row r="220" spans="1:28" s="715" customFormat="1" ht="57.75" customHeight="1">
      <c r="A220" s="706">
        <v>1229</v>
      </c>
      <c r="B220" s="721" t="s">
        <v>819</v>
      </c>
      <c r="C220" s="720" t="s">
        <v>820</v>
      </c>
      <c r="D220" s="726"/>
      <c r="E220" s="726">
        <v>10</v>
      </c>
      <c r="F220" s="709">
        <v>43339</v>
      </c>
      <c r="G220" s="709">
        <f t="shared" si="28"/>
        <v>43349</v>
      </c>
      <c r="H220" s="706" t="s">
        <v>774</v>
      </c>
      <c r="I220" s="706" t="s">
        <v>170</v>
      </c>
      <c r="J220" s="726"/>
      <c r="K220" s="708" t="s">
        <v>823</v>
      </c>
      <c r="L220" s="710">
        <v>23174</v>
      </c>
      <c r="M220" s="726"/>
      <c r="N220" s="726"/>
      <c r="O220" s="711">
        <f>[14]TRAVAIL_SAISIE!$H$23</f>
        <v>17320000</v>
      </c>
      <c r="P220" s="706">
        <v>1</v>
      </c>
      <c r="Q220" s="724">
        <f t="shared" si="26"/>
        <v>17320000</v>
      </c>
      <c r="R220" s="713">
        <f t="shared" si="21"/>
        <v>5773.333333333333</v>
      </c>
      <c r="S220" s="712"/>
      <c r="T220" s="712"/>
      <c r="U220" s="727"/>
      <c r="V220" s="726"/>
      <c r="W220" s="726"/>
      <c r="X220" s="726"/>
      <c r="Y220" s="726"/>
      <c r="Z220" s="726"/>
      <c r="AA220" s="726"/>
      <c r="AB220" s="726"/>
    </row>
    <row r="221" spans="1:28" s="715" customFormat="1" ht="57.75" customHeight="1">
      <c r="A221" s="706">
        <v>1229</v>
      </c>
      <c r="B221" s="721" t="s">
        <v>819</v>
      </c>
      <c r="C221" s="720" t="s">
        <v>820</v>
      </c>
      <c r="D221" s="726"/>
      <c r="E221" s="726">
        <v>10</v>
      </c>
      <c r="F221" s="709">
        <v>43339</v>
      </c>
      <c r="G221" s="709">
        <f t="shared" si="28"/>
        <v>43349</v>
      </c>
      <c r="H221" s="706" t="s">
        <v>774</v>
      </c>
      <c r="I221" s="706" t="s">
        <v>170</v>
      </c>
      <c r="J221" s="726"/>
      <c r="K221" s="708" t="s">
        <v>779</v>
      </c>
      <c r="L221" s="710">
        <v>23174</v>
      </c>
      <c r="M221" s="726"/>
      <c r="N221" s="726"/>
      <c r="O221" s="711">
        <f>[14]TRAVAIL_SAISIE!$H$25</f>
        <v>460000</v>
      </c>
      <c r="P221" s="706">
        <v>1</v>
      </c>
      <c r="Q221" s="724">
        <f t="shared" si="26"/>
        <v>460000</v>
      </c>
      <c r="R221" s="713">
        <f t="shared" si="21"/>
        <v>153.33333333333334</v>
      </c>
      <c r="S221" s="712"/>
      <c r="T221" s="712"/>
      <c r="U221" s="727"/>
      <c r="V221" s="726"/>
      <c r="W221" s="726"/>
      <c r="X221" s="726"/>
      <c r="Y221" s="726"/>
      <c r="Z221" s="726"/>
      <c r="AA221" s="726"/>
      <c r="AB221" s="726"/>
    </row>
    <row r="222" spans="1:28" s="715" customFormat="1" ht="57.75" customHeight="1">
      <c r="A222" s="706">
        <v>1229</v>
      </c>
      <c r="B222" s="721" t="s">
        <v>819</v>
      </c>
      <c r="C222" s="720" t="s">
        <v>820</v>
      </c>
      <c r="D222" s="726"/>
      <c r="E222" s="726">
        <v>10</v>
      </c>
      <c r="F222" s="709">
        <v>43339</v>
      </c>
      <c r="G222" s="709">
        <f t="shared" si="28"/>
        <v>43349</v>
      </c>
      <c r="H222" s="706" t="s">
        <v>774</v>
      </c>
      <c r="I222" s="706" t="s">
        <v>170</v>
      </c>
      <c r="J222" s="726"/>
      <c r="K222" s="708" t="s">
        <v>824</v>
      </c>
      <c r="L222" s="710">
        <v>23174</v>
      </c>
      <c r="M222" s="726"/>
      <c r="N222" s="726"/>
      <c r="O222" s="711">
        <f>[14]TRAVAIL_SAISIE!$F$29</f>
        <v>714000</v>
      </c>
      <c r="P222" s="706">
        <v>1</v>
      </c>
      <c r="Q222" s="724">
        <f t="shared" si="26"/>
        <v>714000</v>
      </c>
      <c r="R222" s="713">
        <f t="shared" si="21"/>
        <v>238</v>
      </c>
      <c r="S222" s="712"/>
      <c r="T222" s="712"/>
      <c r="U222" s="727"/>
      <c r="V222" s="726"/>
      <c r="W222" s="726"/>
      <c r="X222" s="726"/>
      <c r="Y222" s="726"/>
      <c r="Z222" s="726"/>
      <c r="AA222" s="726"/>
      <c r="AB222" s="726"/>
    </row>
    <row r="223" spans="1:28" s="715" customFormat="1" ht="57.75" customHeight="1">
      <c r="A223" s="706">
        <v>1229</v>
      </c>
      <c r="B223" s="721" t="s">
        <v>819</v>
      </c>
      <c r="C223" s="720" t="s">
        <v>820</v>
      </c>
      <c r="D223" s="726"/>
      <c r="E223" s="726">
        <v>10</v>
      </c>
      <c r="F223" s="709">
        <v>43339</v>
      </c>
      <c r="G223" s="709">
        <f t="shared" si="28"/>
        <v>43349</v>
      </c>
      <c r="H223" s="706" t="s">
        <v>774</v>
      </c>
      <c r="I223" s="706" t="s">
        <v>170</v>
      </c>
      <c r="J223" s="726"/>
      <c r="K223" s="708" t="s">
        <v>825</v>
      </c>
      <c r="L223" s="710">
        <v>23174</v>
      </c>
      <c r="M223" s="726"/>
      <c r="N223" s="726"/>
      <c r="O223" s="711">
        <f>[14]TRAVAIL_SAISIE!$F$30</f>
        <v>1505000</v>
      </c>
      <c r="P223" s="706">
        <v>1</v>
      </c>
      <c r="Q223" s="724">
        <f t="shared" si="26"/>
        <v>1505000</v>
      </c>
      <c r="R223" s="713">
        <f t="shared" si="21"/>
        <v>501.66666666666669</v>
      </c>
      <c r="S223" s="712"/>
      <c r="T223" s="712"/>
      <c r="U223" s="727"/>
      <c r="V223" s="726"/>
      <c r="W223" s="726"/>
      <c r="X223" s="726"/>
      <c r="Y223" s="726"/>
      <c r="Z223" s="726"/>
      <c r="AA223" s="726"/>
      <c r="AB223" s="726"/>
    </row>
    <row r="224" spans="1:28" s="715" customFormat="1" ht="57.75" customHeight="1">
      <c r="A224" s="706">
        <v>1229</v>
      </c>
      <c r="B224" s="721" t="s">
        <v>819</v>
      </c>
      <c r="C224" s="720" t="s">
        <v>820</v>
      </c>
      <c r="D224" s="726"/>
      <c r="E224" s="726"/>
      <c r="F224" s="709"/>
      <c r="G224" s="709"/>
      <c r="H224" s="706" t="s">
        <v>774</v>
      </c>
      <c r="I224" s="706" t="s">
        <v>170</v>
      </c>
      <c r="J224" s="726"/>
      <c r="K224" s="717" t="s">
        <v>818</v>
      </c>
      <c r="L224" s="710">
        <v>23173</v>
      </c>
      <c r="M224" s="726"/>
      <c r="N224" s="726"/>
      <c r="O224" s="711">
        <f>[14]TRAVAIL_SAISIE!$F$34</f>
        <v>1604664</v>
      </c>
      <c r="P224" s="727">
        <v>1</v>
      </c>
      <c r="Q224" s="724">
        <f t="shared" si="26"/>
        <v>1604664</v>
      </c>
      <c r="R224" s="713">
        <f t="shared" si="21"/>
        <v>534.88800000000003</v>
      </c>
      <c r="S224" s="712"/>
      <c r="T224" s="712"/>
      <c r="U224" s="727"/>
      <c r="V224" s="726"/>
      <c r="W224" s="726"/>
      <c r="X224" s="726"/>
      <c r="Y224" s="726"/>
      <c r="Z224" s="726"/>
      <c r="AA224" s="726"/>
      <c r="AB224" s="726"/>
    </row>
    <row r="225" spans="1:1024" s="715" customFormat="1" ht="57.75" customHeight="1">
      <c r="A225" s="706">
        <v>1229</v>
      </c>
      <c r="B225" s="721" t="s">
        <v>819</v>
      </c>
      <c r="C225" s="720" t="s">
        <v>820</v>
      </c>
      <c r="D225" s="726"/>
      <c r="E225" s="726"/>
      <c r="F225" s="726"/>
      <c r="G225" s="726"/>
      <c r="H225" s="706" t="s">
        <v>774</v>
      </c>
      <c r="I225" s="706" t="s">
        <v>170</v>
      </c>
      <c r="J225" s="726"/>
      <c r="K225" s="708" t="s">
        <v>415</v>
      </c>
      <c r="L225" s="710">
        <v>23173</v>
      </c>
      <c r="M225" s="726"/>
      <c r="N225" s="726"/>
      <c r="O225" s="711">
        <f>[14]TRAVAIL_SAISIE!$F$33</f>
        <v>5000000</v>
      </c>
      <c r="P225" s="706">
        <v>1</v>
      </c>
      <c r="Q225" s="724">
        <f t="shared" si="26"/>
        <v>5000000</v>
      </c>
      <c r="R225" s="713">
        <f t="shared" si="21"/>
        <v>1666.6666666666667</v>
      </c>
      <c r="S225" s="712"/>
      <c r="T225" s="712"/>
      <c r="U225" s="727"/>
      <c r="V225" s="726"/>
      <c r="W225" s="726"/>
      <c r="X225" s="726"/>
      <c r="Y225" s="726"/>
      <c r="Z225" s="726"/>
      <c r="AA225" s="726"/>
      <c r="AB225" s="726"/>
    </row>
    <row r="226" spans="1:1024" s="715" customFormat="1" ht="57.75" customHeight="1">
      <c r="A226" s="706">
        <v>1230</v>
      </c>
      <c r="B226" s="721" t="s">
        <v>826</v>
      </c>
      <c r="C226" s="728" t="s">
        <v>827</v>
      </c>
      <c r="D226" s="726"/>
      <c r="E226" s="726">
        <v>5</v>
      </c>
      <c r="F226" s="709">
        <v>43360</v>
      </c>
      <c r="G226" s="709">
        <f>F226+E226</f>
        <v>43365</v>
      </c>
      <c r="H226" s="706" t="s">
        <v>785</v>
      </c>
      <c r="I226" s="706" t="s">
        <v>170</v>
      </c>
      <c r="J226" s="726"/>
      <c r="K226" s="708" t="s">
        <v>828</v>
      </c>
      <c r="L226" s="710">
        <v>23174</v>
      </c>
      <c r="M226" s="726"/>
      <c r="N226" s="726"/>
      <c r="O226" s="711">
        <f>'[14]ANALYSE ET RAPPORT'!$H$15</f>
        <v>7560000</v>
      </c>
      <c r="P226" s="706">
        <v>1</v>
      </c>
      <c r="Q226" s="727">
        <f t="shared" si="26"/>
        <v>7560000</v>
      </c>
      <c r="R226" s="713">
        <f t="shared" si="21"/>
        <v>2520</v>
      </c>
      <c r="S226" s="712"/>
      <c r="T226" s="712"/>
      <c r="U226" s="727"/>
      <c r="V226" s="726"/>
      <c r="W226" s="726"/>
      <c r="X226" s="726"/>
      <c r="Y226" s="726"/>
      <c r="Z226" s="726"/>
      <c r="AA226" s="726"/>
      <c r="AB226" s="726"/>
    </row>
    <row r="227" spans="1:1024" s="715" customFormat="1" ht="57.75" customHeight="1">
      <c r="A227" s="706">
        <v>1230</v>
      </c>
      <c r="B227" s="721" t="s">
        <v>826</v>
      </c>
      <c r="C227" s="728" t="s">
        <v>827</v>
      </c>
      <c r="D227" s="726"/>
      <c r="E227" s="726">
        <v>5</v>
      </c>
      <c r="F227" s="709">
        <v>43360</v>
      </c>
      <c r="G227" s="709">
        <f t="shared" ref="G227:G232" si="29">F227+E227</f>
        <v>43365</v>
      </c>
      <c r="H227" s="706" t="s">
        <v>785</v>
      </c>
      <c r="I227" s="706" t="s">
        <v>170</v>
      </c>
      <c r="J227" s="726"/>
      <c r="K227" s="708" t="s">
        <v>829</v>
      </c>
      <c r="L227" s="710">
        <v>23174</v>
      </c>
      <c r="M227" s="726"/>
      <c r="N227" s="726"/>
      <c r="O227" s="711">
        <f>'[14]ANALYSE ET RAPPORT'!$H$14</f>
        <v>3708000</v>
      </c>
      <c r="P227" s="706">
        <v>1</v>
      </c>
      <c r="Q227" s="727">
        <f t="shared" si="26"/>
        <v>3708000</v>
      </c>
      <c r="R227" s="713">
        <f t="shared" si="21"/>
        <v>1236</v>
      </c>
      <c r="S227" s="712"/>
      <c r="T227" s="712"/>
      <c r="U227" s="727"/>
      <c r="V227" s="726"/>
      <c r="W227" s="726"/>
      <c r="X227" s="726"/>
      <c r="Y227" s="726"/>
      <c r="Z227" s="726"/>
      <c r="AA227" s="726"/>
      <c r="AB227" s="726"/>
    </row>
    <row r="228" spans="1:1024" s="715" customFormat="1" ht="57.75" customHeight="1">
      <c r="A228" s="706">
        <v>1230</v>
      </c>
      <c r="B228" s="721" t="s">
        <v>826</v>
      </c>
      <c r="C228" s="728" t="s">
        <v>827</v>
      </c>
      <c r="D228" s="726"/>
      <c r="E228" s="726">
        <v>5</v>
      </c>
      <c r="F228" s="709">
        <v>43360</v>
      </c>
      <c r="G228" s="709">
        <f t="shared" si="29"/>
        <v>43365</v>
      </c>
      <c r="H228" s="706" t="s">
        <v>785</v>
      </c>
      <c r="I228" s="706" t="s">
        <v>170</v>
      </c>
      <c r="J228" s="726"/>
      <c r="K228" s="708" t="s">
        <v>830</v>
      </c>
      <c r="L228" s="710">
        <v>23174</v>
      </c>
      <c r="M228" s="726"/>
      <c r="N228" s="726"/>
      <c r="O228" s="711">
        <f>'[14]ANALYSE ET RAPPORT'!$H$17</f>
        <v>780000</v>
      </c>
      <c r="P228" s="706">
        <v>1</v>
      </c>
      <c r="Q228" s="727">
        <f t="shared" si="26"/>
        <v>780000</v>
      </c>
      <c r="R228" s="713">
        <f t="shared" si="21"/>
        <v>260</v>
      </c>
      <c r="S228" s="712"/>
      <c r="T228" s="712"/>
      <c r="U228" s="727"/>
      <c r="V228" s="726"/>
      <c r="W228" s="726"/>
      <c r="X228" s="726"/>
      <c r="Y228" s="726"/>
      <c r="Z228" s="726"/>
      <c r="AA228" s="726"/>
      <c r="AB228" s="726"/>
    </row>
    <row r="229" spans="1:1024" s="715" customFormat="1" ht="57.75" customHeight="1">
      <c r="A229" s="706">
        <v>1230</v>
      </c>
      <c r="B229" s="721" t="s">
        <v>826</v>
      </c>
      <c r="C229" s="728" t="s">
        <v>827</v>
      </c>
      <c r="D229" s="726"/>
      <c r="E229" s="726">
        <v>5</v>
      </c>
      <c r="F229" s="709">
        <v>43360</v>
      </c>
      <c r="G229" s="709">
        <f t="shared" si="29"/>
        <v>43365</v>
      </c>
      <c r="H229" s="706" t="s">
        <v>785</v>
      </c>
      <c r="I229" s="706" t="s">
        <v>170</v>
      </c>
      <c r="J229" s="726"/>
      <c r="K229" s="708" t="s">
        <v>831</v>
      </c>
      <c r="L229" s="710">
        <v>23174</v>
      </c>
      <c r="M229" s="726"/>
      <c r="N229" s="726"/>
      <c r="O229" s="711">
        <f>'[14]ANALYSE ET RAPPORT'!$H$23</f>
        <v>3520000</v>
      </c>
      <c r="P229" s="706">
        <v>1</v>
      </c>
      <c r="Q229" s="727">
        <f t="shared" si="26"/>
        <v>3520000</v>
      </c>
      <c r="R229" s="713">
        <f t="shared" si="21"/>
        <v>1173.3333333333333</v>
      </c>
      <c r="S229" s="712"/>
      <c r="T229" s="712"/>
      <c r="U229" s="727"/>
      <c r="V229" s="726"/>
      <c r="W229" s="726"/>
      <c r="X229" s="726"/>
      <c r="Y229" s="726"/>
      <c r="Z229" s="726"/>
      <c r="AA229" s="726"/>
      <c r="AB229" s="726"/>
    </row>
    <row r="230" spans="1:1024" s="715" customFormat="1" ht="57.75" customHeight="1">
      <c r="A230" s="706">
        <v>1230</v>
      </c>
      <c r="B230" s="721" t="s">
        <v>826</v>
      </c>
      <c r="C230" s="728" t="s">
        <v>827</v>
      </c>
      <c r="D230" s="726"/>
      <c r="E230" s="726">
        <v>5</v>
      </c>
      <c r="F230" s="709">
        <v>43360</v>
      </c>
      <c r="G230" s="709">
        <f t="shared" si="29"/>
        <v>43365</v>
      </c>
      <c r="H230" s="706" t="s">
        <v>785</v>
      </c>
      <c r="I230" s="706" t="s">
        <v>170</v>
      </c>
      <c r="J230" s="726"/>
      <c r="K230" s="708" t="s">
        <v>832</v>
      </c>
      <c r="L230" s="710">
        <v>23174</v>
      </c>
      <c r="M230" s="726"/>
      <c r="N230" s="726"/>
      <c r="O230" s="711">
        <f>'[14]ANALYSE ET RAPPORT'!$H$25</f>
        <v>440000</v>
      </c>
      <c r="P230" s="706">
        <v>1</v>
      </c>
      <c r="Q230" s="727">
        <f>P230*O230</f>
        <v>440000</v>
      </c>
      <c r="R230" s="713">
        <f t="shared" si="21"/>
        <v>146.66666666666666</v>
      </c>
      <c r="S230" s="712"/>
      <c r="T230" s="712"/>
      <c r="U230" s="727"/>
      <c r="V230" s="726"/>
      <c r="W230" s="726"/>
      <c r="X230" s="726"/>
      <c r="Y230" s="726"/>
      <c r="Z230" s="726"/>
      <c r="AA230" s="726"/>
      <c r="AB230" s="726"/>
    </row>
    <row r="231" spans="1:1024" s="715" customFormat="1" ht="57.75" customHeight="1">
      <c r="A231" s="706">
        <v>1230</v>
      </c>
      <c r="B231" s="721" t="s">
        <v>826</v>
      </c>
      <c r="C231" s="728" t="s">
        <v>827</v>
      </c>
      <c r="D231" s="726"/>
      <c r="E231" s="726">
        <v>5</v>
      </c>
      <c r="F231" s="709">
        <v>43360</v>
      </c>
      <c r="G231" s="709">
        <f t="shared" si="29"/>
        <v>43365</v>
      </c>
      <c r="H231" s="706" t="s">
        <v>785</v>
      </c>
      <c r="I231" s="706" t="s">
        <v>170</v>
      </c>
      <c r="J231" s="726"/>
      <c r="K231" s="708" t="s">
        <v>833</v>
      </c>
      <c r="L231" s="710">
        <v>23174</v>
      </c>
      <c r="M231" s="726"/>
      <c r="N231" s="726"/>
      <c r="O231" s="711">
        <f>'[14]ANALYSE ET RAPPORT'!$F$29</f>
        <v>3264000</v>
      </c>
      <c r="P231" s="706">
        <v>1</v>
      </c>
      <c r="Q231" s="727">
        <f>P231*O231</f>
        <v>3264000</v>
      </c>
      <c r="R231" s="713">
        <f t="shared" si="21"/>
        <v>1088</v>
      </c>
      <c r="S231" s="712"/>
      <c r="T231" s="712"/>
      <c r="U231" s="727"/>
      <c r="V231" s="726"/>
      <c r="W231" s="726"/>
      <c r="X231" s="726"/>
      <c r="Y231" s="726"/>
      <c r="Z231" s="726"/>
      <c r="AA231" s="726"/>
      <c r="AB231" s="726"/>
    </row>
    <row r="232" spans="1:1024" s="715" customFormat="1" ht="57.75" customHeight="1">
      <c r="A232" s="706">
        <v>1230</v>
      </c>
      <c r="B232" s="721" t="s">
        <v>826</v>
      </c>
      <c r="C232" s="728" t="s">
        <v>827</v>
      </c>
      <c r="D232" s="726"/>
      <c r="E232" s="726">
        <v>5</v>
      </c>
      <c r="F232" s="709">
        <v>43360</v>
      </c>
      <c r="G232" s="709">
        <f t="shared" si="29"/>
        <v>43365</v>
      </c>
      <c r="H232" s="706" t="s">
        <v>785</v>
      </c>
      <c r="I232" s="706" t="s">
        <v>170</v>
      </c>
      <c r="J232" s="726"/>
      <c r="K232" s="708" t="s">
        <v>834</v>
      </c>
      <c r="L232" s="710">
        <v>23174</v>
      </c>
      <c r="M232" s="726"/>
      <c r="N232" s="726"/>
      <c r="O232" s="711">
        <f>'[14]ANALYSE ET RAPPORT'!$F$31</f>
        <v>2040000</v>
      </c>
      <c r="P232" s="706">
        <v>1</v>
      </c>
      <c r="Q232" s="727">
        <f>O232*P232</f>
        <v>2040000</v>
      </c>
      <c r="R232" s="713">
        <f t="shared" si="21"/>
        <v>680</v>
      </c>
      <c r="S232" s="712"/>
      <c r="T232" s="712"/>
      <c r="U232" s="727"/>
      <c r="V232" s="726"/>
      <c r="W232" s="726"/>
      <c r="X232" s="726"/>
      <c r="Y232" s="726"/>
      <c r="Z232" s="726"/>
      <c r="AA232" s="726"/>
      <c r="AB232" s="726"/>
    </row>
    <row r="233" spans="1:1024" s="715" customFormat="1" ht="57.75" customHeight="1">
      <c r="A233" s="706">
        <v>1230</v>
      </c>
      <c r="B233" s="721" t="s">
        <v>826</v>
      </c>
      <c r="C233" s="728" t="s">
        <v>827</v>
      </c>
      <c r="D233" s="726"/>
      <c r="E233" s="726"/>
      <c r="F233" s="709"/>
      <c r="G233" s="709"/>
      <c r="H233" s="706" t="s">
        <v>785</v>
      </c>
      <c r="I233" s="706" t="s">
        <v>170</v>
      </c>
      <c r="J233" s="726"/>
      <c r="K233" s="717" t="s">
        <v>835</v>
      </c>
      <c r="L233" s="710">
        <v>23173</v>
      </c>
      <c r="M233" s="726"/>
      <c r="N233" s="726"/>
      <c r="O233" s="711">
        <f>'[14]ANALYSE ET RAPPORT'!$F$34</f>
        <v>90993</v>
      </c>
      <c r="P233" s="706">
        <v>1</v>
      </c>
      <c r="Q233" s="727">
        <f>O233*P233</f>
        <v>90993</v>
      </c>
      <c r="R233" s="713">
        <f>Q233/3000</f>
        <v>30.331</v>
      </c>
      <c r="S233" s="712"/>
      <c r="T233" s="712"/>
      <c r="U233" s="727"/>
      <c r="V233" s="726"/>
      <c r="W233" s="726"/>
      <c r="X233" s="726"/>
      <c r="Y233" s="726"/>
      <c r="Z233" s="726"/>
      <c r="AA233" s="726"/>
      <c r="AB233" s="726"/>
    </row>
    <row r="234" spans="1:1024" s="715" customFormat="1" ht="57.75" customHeight="1">
      <c r="A234" s="706">
        <v>1230</v>
      </c>
      <c r="B234" s="721" t="s">
        <v>826</v>
      </c>
      <c r="C234" s="728" t="s">
        <v>827</v>
      </c>
      <c r="D234" s="726"/>
      <c r="E234" s="726"/>
      <c r="F234" s="726"/>
      <c r="G234" s="726"/>
      <c r="H234" s="706" t="s">
        <v>785</v>
      </c>
      <c r="I234" s="706" t="s">
        <v>170</v>
      </c>
      <c r="J234" s="726"/>
      <c r="K234" s="708" t="s">
        <v>415</v>
      </c>
      <c r="L234" s="710">
        <v>23173</v>
      </c>
      <c r="M234" s="726"/>
      <c r="N234" s="726"/>
      <c r="O234" s="711">
        <f>'[14]ANALYSE ET RAPPORT'!$F$33</f>
        <v>2500000</v>
      </c>
      <c r="P234" s="706">
        <v>1</v>
      </c>
      <c r="Q234" s="727">
        <f>O234*P234</f>
        <v>2500000</v>
      </c>
      <c r="R234" s="713">
        <f>Q234/3000</f>
        <v>833.33333333333337</v>
      </c>
      <c r="S234" s="712"/>
      <c r="T234" s="712"/>
      <c r="U234" s="727"/>
      <c r="V234" s="726"/>
      <c r="W234" s="726"/>
      <c r="X234" s="726"/>
      <c r="Y234" s="726"/>
      <c r="Z234" s="726"/>
      <c r="AA234" s="726"/>
      <c r="AB234" s="726"/>
    </row>
    <row r="235" spans="1:1024" s="626" customFormat="1" ht="33.75" customHeight="1">
      <c r="A235" s="3520" t="s">
        <v>836</v>
      </c>
      <c r="B235" s="3520"/>
      <c r="C235" s="3520"/>
      <c r="D235" s="3520"/>
      <c r="E235" s="3520"/>
      <c r="F235" s="3520"/>
      <c r="G235" s="3520"/>
      <c r="H235" s="3520"/>
      <c r="I235" s="3520"/>
      <c r="J235" s="619"/>
      <c r="K235" s="619"/>
      <c r="L235" s="620"/>
      <c r="M235" s="621"/>
      <c r="N235" s="622"/>
      <c r="O235" s="623"/>
      <c r="P235" s="687"/>
      <c r="Q235" s="623"/>
      <c r="R235" s="624" t="e">
        <f>+R236+R245+R255</f>
        <v>#VALUE!</v>
      </c>
      <c r="S235" s="625"/>
      <c r="T235" s="625"/>
      <c r="U235" s="625"/>
      <c r="V235" s="625"/>
      <c r="W235" s="625"/>
      <c r="X235" s="625"/>
      <c r="Y235" s="625"/>
      <c r="AMJ235" s="592"/>
    </row>
    <row r="236" spans="1:1024" s="592" customFormat="1" ht="37.5" customHeight="1">
      <c r="A236" s="3523" t="s">
        <v>837</v>
      </c>
      <c r="B236" s="3523"/>
      <c r="C236" s="3523"/>
      <c r="D236" s="3523"/>
      <c r="E236" s="3523"/>
      <c r="F236" s="3523"/>
      <c r="G236" s="3523"/>
      <c r="H236" s="3523"/>
      <c r="I236" s="3523"/>
      <c r="J236" s="627"/>
      <c r="K236" s="627"/>
      <c r="L236" s="628"/>
      <c r="M236" s="629"/>
      <c r="N236" s="630"/>
      <c r="O236" s="631"/>
      <c r="P236" s="630"/>
      <c r="Q236" s="631"/>
      <c r="R236" s="632" t="e">
        <f>+'[15]Compil Costing PPA 3 millions'!F7</f>
        <v>#VALUE!</v>
      </c>
      <c r="S236" s="633"/>
      <c r="T236" s="633"/>
      <c r="U236" s="633"/>
      <c r="V236" s="629"/>
      <c r="W236" s="629"/>
      <c r="X236" s="629"/>
      <c r="Y236" s="629"/>
    </row>
    <row r="237" spans="1:1024" s="592" customFormat="1" ht="16.5" customHeight="1">
      <c r="A237" s="657">
        <v>211</v>
      </c>
      <c r="B237" s="3521"/>
      <c r="C237" s="3521"/>
      <c r="D237" s="3521"/>
      <c r="E237" s="3521"/>
      <c r="F237" s="3521"/>
      <c r="G237" s="3521"/>
      <c r="H237" s="3521"/>
      <c r="I237" s="3521"/>
      <c r="J237" s="658"/>
      <c r="K237" s="659"/>
      <c r="L237" s="660"/>
      <c r="M237" s="661"/>
      <c r="N237" s="659"/>
      <c r="O237" s="662"/>
      <c r="P237" s="659"/>
      <c r="Q237" s="662"/>
      <c r="R237" s="729"/>
      <c r="S237" s="664"/>
      <c r="T237" s="664"/>
      <c r="U237" s="664"/>
      <c r="V237" s="664"/>
      <c r="W237" s="664"/>
      <c r="X237" s="664"/>
      <c r="Y237" s="664"/>
    </row>
    <row r="238" spans="1:1024" s="592" customFormat="1">
      <c r="A238" s="730">
        <v>2111</v>
      </c>
      <c r="B238" s="731"/>
      <c r="C238" s="732"/>
      <c r="D238" s="733"/>
      <c r="E238" s="734"/>
      <c r="F238" s="735"/>
      <c r="G238" s="670"/>
      <c r="H238" s="669"/>
      <c r="I238" s="671"/>
      <c r="J238" s="682"/>
      <c r="K238" s="669"/>
      <c r="L238" s="683"/>
      <c r="M238" s="684"/>
      <c r="N238" s="685"/>
      <c r="O238" s="686"/>
      <c r="P238" s="685"/>
      <c r="Q238" s="686"/>
      <c r="R238" s="687"/>
      <c r="S238" s="688"/>
      <c r="T238" s="688"/>
      <c r="U238" s="688"/>
      <c r="V238" s="688"/>
      <c r="W238" s="688"/>
      <c r="X238" s="688"/>
      <c r="Y238" s="688"/>
    </row>
    <row r="239" spans="1:1024" s="592" customFormat="1">
      <c r="A239" s="730">
        <v>2112</v>
      </c>
      <c r="B239" s="731"/>
      <c r="C239" s="732"/>
      <c r="D239" s="733"/>
      <c r="E239" s="734"/>
      <c r="F239" s="735"/>
      <c r="G239" s="670"/>
      <c r="H239" s="669"/>
      <c r="I239" s="671"/>
      <c r="J239" s="682"/>
      <c r="K239" s="669"/>
      <c r="L239" s="683"/>
      <c r="M239" s="684"/>
      <c r="N239" s="685"/>
      <c r="O239" s="686"/>
      <c r="P239" s="685"/>
      <c r="Q239" s="686"/>
      <c r="R239" s="687"/>
      <c r="S239" s="688"/>
      <c r="T239" s="688"/>
      <c r="U239" s="688"/>
      <c r="V239" s="688"/>
      <c r="W239" s="688"/>
      <c r="X239" s="688"/>
      <c r="Y239" s="688"/>
    </row>
    <row r="240" spans="1:1024" s="592" customFormat="1">
      <c r="A240" s="730">
        <v>2113</v>
      </c>
      <c r="B240" s="731"/>
      <c r="C240" s="732"/>
      <c r="D240" s="733"/>
      <c r="E240" s="734"/>
      <c r="F240" s="735"/>
      <c r="G240" s="670"/>
      <c r="H240" s="669"/>
      <c r="I240" s="671"/>
      <c r="J240" s="682"/>
      <c r="K240" s="669"/>
      <c r="L240" s="683"/>
      <c r="M240" s="684"/>
      <c r="N240" s="685"/>
      <c r="O240" s="686"/>
      <c r="P240" s="685"/>
      <c r="Q240" s="686"/>
      <c r="R240" s="687"/>
      <c r="S240" s="688"/>
      <c r="T240" s="688"/>
      <c r="U240" s="688"/>
      <c r="V240" s="688"/>
      <c r="W240" s="688"/>
      <c r="X240" s="688"/>
      <c r="Y240" s="688"/>
    </row>
    <row r="241" spans="1:25" s="592" customFormat="1" ht="16.5" customHeight="1">
      <c r="A241" s="657">
        <v>212</v>
      </c>
      <c r="B241" s="3521"/>
      <c r="C241" s="3521"/>
      <c r="D241" s="3521"/>
      <c r="E241" s="3521"/>
      <c r="F241" s="3521"/>
      <c r="G241" s="3521"/>
      <c r="H241" s="3521"/>
      <c r="I241" s="3521"/>
      <c r="J241" s="658"/>
      <c r="K241" s="659"/>
      <c r="L241" s="660"/>
      <c r="M241" s="661"/>
      <c r="N241" s="659"/>
      <c r="O241" s="662"/>
      <c r="P241" s="659"/>
      <c r="Q241" s="662"/>
      <c r="R241" s="729"/>
      <c r="S241" s="664"/>
      <c r="T241" s="664"/>
      <c r="U241" s="664"/>
      <c r="V241" s="664"/>
      <c r="W241" s="664"/>
      <c r="X241" s="664"/>
      <c r="Y241" s="664"/>
    </row>
    <row r="242" spans="1:25" s="592" customFormat="1">
      <c r="A242" s="730">
        <v>2121</v>
      </c>
      <c r="B242" s="731"/>
      <c r="C242" s="732"/>
      <c r="D242" s="733"/>
      <c r="E242" s="734"/>
      <c r="F242" s="735"/>
      <c r="G242" s="670"/>
      <c r="H242" s="669"/>
      <c r="I242" s="671"/>
      <c r="J242" s="682"/>
      <c r="K242" s="669"/>
      <c r="L242" s="683"/>
      <c r="M242" s="684"/>
      <c r="N242" s="685"/>
      <c r="O242" s="686"/>
      <c r="P242" s="685"/>
      <c r="Q242" s="686"/>
      <c r="R242" s="687"/>
      <c r="S242" s="688"/>
      <c r="T242" s="688"/>
      <c r="U242" s="688"/>
      <c r="V242" s="688"/>
      <c r="W242" s="688"/>
      <c r="X242" s="688"/>
      <c r="Y242" s="688"/>
    </row>
    <row r="243" spans="1:25" s="592" customFormat="1">
      <c r="A243" s="730">
        <v>2122</v>
      </c>
      <c r="B243" s="731"/>
      <c r="C243" s="732"/>
      <c r="D243" s="733"/>
      <c r="E243" s="734"/>
      <c r="F243" s="735"/>
      <c r="G243" s="670"/>
      <c r="H243" s="669"/>
      <c r="I243" s="671"/>
      <c r="J243" s="682"/>
      <c r="K243" s="669"/>
      <c r="L243" s="683"/>
      <c r="M243" s="684"/>
      <c r="N243" s="685"/>
      <c r="O243" s="686"/>
      <c r="P243" s="685"/>
      <c r="Q243" s="686"/>
      <c r="R243" s="687"/>
      <c r="S243" s="688"/>
      <c r="T243" s="688"/>
      <c r="U243" s="688"/>
      <c r="V243" s="688"/>
      <c r="W243" s="688"/>
      <c r="X243" s="688"/>
      <c r="Y243" s="688"/>
    </row>
    <row r="244" spans="1:25" s="592" customFormat="1">
      <c r="A244" s="699" t="s">
        <v>233</v>
      </c>
      <c r="B244" s="699"/>
      <c r="C244" s="667"/>
      <c r="D244" s="668"/>
      <c r="E244" s="669"/>
      <c r="F244" s="735"/>
      <c r="G244" s="670"/>
      <c r="H244" s="669"/>
      <c r="I244" s="671"/>
      <c r="J244" s="682"/>
      <c r="K244" s="669"/>
      <c r="L244" s="683"/>
      <c r="M244" s="684"/>
      <c r="N244" s="685"/>
      <c r="O244" s="686"/>
      <c r="P244" s="685"/>
      <c r="Q244" s="686"/>
      <c r="R244" s="687"/>
      <c r="S244" s="688"/>
      <c r="T244" s="688"/>
      <c r="U244" s="688"/>
      <c r="V244" s="688"/>
      <c r="W244" s="688"/>
      <c r="X244" s="688"/>
      <c r="Y244" s="688"/>
    </row>
    <row r="245" spans="1:25" s="592" customFormat="1" ht="37.5" customHeight="1">
      <c r="A245" s="3523" t="s">
        <v>237</v>
      </c>
      <c r="B245" s="3523"/>
      <c r="C245" s="3523"/>
      <c r="D245" s="3523"/>
      <c r="E245" s="3523"/>
      <c r="F245" s="3523"/>
      <c r="G245" s="3523"/>
      <c r="H245" s="3523"/>
      <c r="I245" s="3523"/>
      <c r="J245" s="627"/>
      <c r="K245" s="627"/>
      <c r="L245" s="628"/>
      <c r="M245" s="629"/>
      <c r="N245" s="630"/>
      <c r="O245" s="631"/>
      <c r="P245" s="630"/>
      <c r="Q245" s="631"/>
      <c r="R245" s="632" t="e">
        <f>+'[15]Compil Costing PPA 3 millions'!F8</f>
        <v>#VALUE!</v>
      </c>
      <c r="S245" s="633"/>
      <c r="T245" s="633"/>
      <c r="U245" s="633"/>
      <c r="V245" s="629"/>
      <c r="W245" s="629"/>
      <c r="X245" s="629"/>
      <c r="Y245" s="629"/>
    </row>
    <row r="246" spans="1:25" s="592" customFormat="1" ht="16.5" customHeight="1">
      <c r="A246" s="657">
        <v>221</v>
      </c>
      <c r="B246" s="3525" t="s">
        <v>238</v>
      </c>
      <c r="C246" s="3525"/>
      <c r="D246" s="3525"/>
      <c r="E246" s="3525"/>
      <c r="F246" s="3525"/>
      <c r="G246" s="3525"/>
      <c r="H246" s="3525"/>
      <c r="I246" s="3525"/>
      <c r="J246" s="658"/>
      <c r="K246" s="659"/>
      <c r="L246" s="660"/>
      <c r="M246" s="661"/>
      <c r="N246" s="659"/>
      <c r="O246" s="662"/>
      <c r="P246" s="659"/>
      <c r="Q246" s="662"/>
      <c r="R246" s="729"/>
      <c r="S246" s="664"/>
      <c r="T246" s="664"/>
      <c r="U246" s="664"/>
      <c r="V246" s="664"/>
      <c r="W246" s="664"/>
      <c r="X246" s="664"/>
      <c r="Y246" s="664"/>
    </row>
    <row r="247" spans="1:25" s="592" customFormat="1" ht="31.5">
      <c r="A247" s="730">
        <v>2211</v>
      </c>
      <c r="B247" s="699" t="s">
        <v>363</v>
      </c>
      <c r="C247" s="667" t="s">
        <v>364</v>
      </c>
      <c r="D247" s="736"/>
      <c r="E247" s="669">
        <v>50</v>
      </c>
      <c r="F247" s="735">
        <v>43185</v>
      </c>
      <c r="G247" s="670">
        <f>+F247+E247</f>
        <v>43235</v>
      </c>
      <c r="H247" s="669"/>
      <c r="I247" s="671" t="s">
        <v>169</v>
      </c>
      <c r="J247" s="682" t="s">
        <v>174</v>
      </c>
      <c r="K247" s="737" t="s">
        <v>365</v>
      </c>
      <c r="L247" s="683">
        <v>2313</v>
      </c>
      <c r="M247" s="684"/>
      <c r="N247" s="685" t="s">
        <v>366</v>
      </c>
      <c r="O247" s="686">
        <v>27000</v>
      </c>
      <c r="P247" s="685">
        <v>1</v>
      </c>
      <c r="Q247" s="686">
        <f>+O247*P247</f>
        <v>27000</v>
      </c>
      <c r="R247" s="687"/>
      <c r="S247" s="688"/>
      <c r="T247" s="688"/>
      <c r="U247" s="688"/>
      <c r="V247" s="688"/>
      <c r="W247" s="688"/>
      <c r="X247" s="688"/>
      <c r="Y247" s="688"/>
    </row>
    <row r="248" spans="1:25" s="592" customFormat="1" ht="31.5">
      <c r="A248" s="730">
        <v>2211</v>
      </c>
      <c r="B248" s="699" t="s">
        <v>363</v>
      </c>
      <c r="C248" s="667" t="s">
        <v>367</v>
      </c>
      <c r="D248" s="736"/>
      <c r="E248" s="669">
        <v>150</v>
      </c>
      <c r="F248" s="670">
        <f>+G247</f>
        <v>43235</v>
      </c>
      <c r="G248" s="735">
        <f>+G247+E248</f>
        <v>43385</v>
      </c>
      <c r="H248" s="669" t="s">
        <v>368</v>
      </c>
      <c r="I248" s="671" t="s">
        <v>174</v>
      </c>
      <c r="J248" s="682" t="s">
        <v>169</v>
      </c>
      <c r="K248" s="737" t="s">
        <v>365</v>
      </c>
      <c r="L248" s="683">
        <v>2313</v>
      </c>
      <c r="M248" s="684"/>
      <c r="N248" s="685" t="s">
        <v>366</v>
      </c>
      <c r="O248" s="686"/>
      <c r="P248" s="685"/>
      <c r="Q248" s="686"/>
      <c r="R248" s="687"/>
      <c r="S248" s="688"/>
      <c r="T248" s="688"/>
      <c r="U248" s="688"/>
      <c r="V248" s="688"/>
      <c r="W248" s="688"/>
      <c r="X248" s="688"/>
      <c r="Y248" s="688"/>
    </row>
    <row r="249" spans="1:25" s="592" customFormat="1" ht="47.25">
      <c r="A249" s="665">
        <v>2212</v>
      </c>
      <c r="B249" s="699" t="s">
        <v>92</v>
      </c>
      <c r="C249" s="667"/>
      <c r="D249" s="736"/>
      <c r="E249" s="734"/>
      <c r="F249" s="735"/>
      <c r="G249" s="670"/>
      <c r="H249" s="669"/>
      <c r="I249" s="671"/>
      <c r="J249" s="682"/>
      <c r="K249" s="669"/>
      <c r="L249" s="683"/>
      <c r="M249" s="684"/>
      <c r="N249" s="685"/>
      <c r="O249" s="686"/>
      <c r="P249" s="685"/>
      <c r="Q249" s="686"/>
      <c r="R249" s="687"/>
      <c r="S249" s="688"/>
      <c r="T249" s="688"/>
      <c r="U249" s="688"/>
      <c r="V249" s="688"/>
      <c r="W249" s="688"/>
      <c r="X249" s="688"/>
      <c r="Y249" s="688"/>
    </row>
    <row r="250" spans="1:25" s="592" customFormat="1" ht="31.5">
      <c r="A250" s="665">
        <v>2213</v>
      </c>
      <c r="B250" s="699" t="s">
        <v>93</v>
      </c>
      <c r="C250" s="667"/>
      <c r="D250" s="736"/>
      <c r="E250" s="669"/>
      <c r="F250" s="735"/>
      <c r="G250" s="670"/>
      <c r="H250" s="669"/>
      <c r="I250" s="671"/>
      <c r="J250" s="682"/>
      <c r="K250" s="669"/>
      <c r="L250" s="683"/>
      <c r="M250" s="684"/>
      <c r="N250" s="685"/>
      <c r="O250" s="686"/>
      <c r="P250" s="685"/>
      <c r="Q250" s="686"/>
      <c r="R250" s="687"/>
      <c r="S250" s="688"/>
      <c r="T250" s="688"/>
      <c r="U250" s="688"/>
      <c r="V250" s="688"/>
      <c r="W250" s="688"/>
      <c r="X250" s="688"/>
      <c r="Y250" s="688"/>
    </row>
    <row r="251" spans="1:25" s="592" customFormat="1" ht="20.25" customHeight="1">
      <c r="A251" s="657">
        <v>222</v>
      </c>
      <c r="B251" s="3525" t="s">
        <v>239</v>
      </c>
      <c r="C251" s="3525"/>
      <c r="D251" s="3525"/>
      <c r="E251" s="3525"/>
      <c r="F251" s="3525"/>
      <c r="G251" s="3525"/>
      <c r="H251" s="3525"/>
      <c r="I251" s="3525"/>
      <c r="J251" s="658"/>
      <c r="K251" s="659"/>
      <c r="L251" s="660"/>
      <c r="M251" s="661"/>
      <c r="N251" s="659"/>
      <c r="O251" s="662"/>
      <c r="P251" s="659"/>
      <c r="Q251" s="662"/>
      <c r="R251" s="729"/>
      <c r="S251" s="664"/>
      <c r="T251" s="664"/>
      <c r="U251" s="664"/>
      <c r="V251" s="664"/>
      <c r="W251" s="664"/>
      <c r="X251" s="664"/>
      <c r="Y251" s="664"/>
    </row>
    <row r="252" spans="1:25" s="592" customFormat="1">
      <c r="A252" s="665">
        <v>2221</v>
      </c>
      <c r="B252" s="731"/>
      <c r="C252" s="732"/>
      <c r="D252" s="733"/>
      <c r="E252" s="734"/>
      <c r="F252" s="735"/>
      <c r="G252" s="670"/>
      <c r="H252" s="669"/>
      <c r="I252" s="671"/>
      <c r="J252" s="682"/>
      <c r="K252" s="669"/>
      <c r="L252" s="683"/>
      <c r="M252" s="684"/>
      <c r="N252" s="685"/>
      <c r="O252" s="686"/>
      <c r="P252" s="685"/>
      <c r="Q252" s="686"/>
      <c r="R252" s="687"/>
      <c r="S252" s="688"/>
      <c r="T252" s="688"/>
      <c r="U252" s="688"/>
      <c r="V252" s="688"/>
      <c r="W252" s="688"/>
      <c r="X252" s="688"/>
      <c r="Y252" s="688"/>
    </row>
    <row r="253" spans="1:25" s="592" customFormat="1">
      <c r="A253" s="665">
        <v>2222</v>
      </c>
      <c r="B253" s="731"/>
      <c r="C253" s="732"/>
      <c r="D253" s="733"/>
      <c r="E253" s="734"/>
      <c r="F253" s="735"/>
      <c r="G253" s="670"/>
      <c r="H253" s="669"/>
      <c r="I253" s="671"/>
      <c r="J253" s="682"/>
      <c r="K253" s="669"/>
      <c r="L253" s="683"/>
      <c r="M253" s="684"/>
      <c r="N253" s="685"/>
      <c r="O253" s="686"/>
      <c r="P253" s="685"/>
      <c r="Q253" s="686"/>
      <c r="R253" s="687"/>
      <c r="S253" s="688"/>
      <c r="T253" s="688"/>
      <c r="U253" s="688"/>
      <c r="V253" s="688"/>
      <c r="W253" s="688"/>
      <c r="X253" s="688"/>
      <c r="Y253" s="688"/>
    </row>
    <row r="254" spans="1:25" s="592" customFormat="1">
      <c r="A254" s="699" t="s">
        <v>233</v>
      </c>
      <c r="B254" s="731"/>
      <c r="C254" s="732"/>
      <c r="D254" s="733"/>
      <c r="E254" s="734"/>
      <c r="F254" s="735"/>
      <c r="G254" s="670"/>
      <c r="H254" s="669"/>
      <c r="I254" s="671"/>
      <c r="J254" s="682"/>
      <c r="K254" s="669"/>
      <c r="L254" s="683"/>
      <c r="M254" s="684"/>
      <c r="N254" s="685"/>
      <c r="O254" s="686"/>
      <c r="P254" s="685"/>
      <c r="Q254" s="686"/>
      <c r="R254" s="687"/>
      <c r="S254" s="688"/>
      <c r="T254" s="688"/>
      <c r="U254" s="688"/>
      <c r="V254" s="688"/>
      <c r="W254" s="688"/>
      <c r="X254" s="688"/>
      <c r="Y254" s="688"/>
    </row>
    <row r="255" spans="1:25" s="592" customFormat="1" ht="37.5" customHeight="1">
      <c r="A255" s="3523" t="s">
        <v>240</v>
      </c>
      <c r="B255" s="3523"/>
      <c r="C255" s="3523"/>
      <c r="D255" s="3523"/>
      <c r="E255" s="3523"/>
      <c r="F255" s="3523"/>
      <c r="G255" s="3523"/>
      <c r="H255" s="3523"/>
      <c r="I255" s="3523"/>
      <c r="J255" s="627"/>
      <c r="K255" s="627"/>
      <c r="L255" s="628"/>
      <c r="M255" s="629"/>
      <c r="N255" s="630"/>
      <c r="O255" s="631"/>
      <c r="P255" s="630"/>
      <c r="Q255" s="631"/>
      <c r="R255" s="632" t="e">
        <f>+'[15]Compil Costing PPA 3 millions'!F9</f>
        <v>#VALUE!</v>
      </c>
      <c r="S255" s="633"/>
      <c r="T255" s="633"/>
      <c r="U255" s="633"/>
      <c r="V255" s="629"/>
      <c r="W255" s="629"/>
      <c r="X255" s="629"/>
      <c r="Y255" s="629"/>
    </row>
    <row r="256" spans="1:25" s="592" customFormat="1" ht="16.5" customHeight="1">
      <c r="A256" s="657">
        <v>231</v>
      </c>
      <c r="B256" s="3521"/>
      <c r="C256" s="3521"/>
      <c r="D256" s="3521"/>
      <c r="E256" s="3521"/>
      <c r="F256" s="3521"/>
      <c r="G256" s="3521"/>
      <c r="H256" s="3521"/>
      <c r="I256" s="3521"/>
      <c r="J256" s="658"/>
      <c r="K256" s="659"/>
      <c r="L256" s="660"/>
      <c r="M256" s="661"/>
      <c r="N256" s="659"/>
      <c r="O256" s="662"/>
      <c r="P256" s="659"/>
      <c r="Q256" s="662"/>
      <c r="R256" s="729"/>
      <c r="S256" s="664"/>
      <c r="T256" s="664"/>
      <c r="U256" s="664"/>
      <c r="V256" s="664"/>
      <c r="W256" s="664"/>
      <c r="X256" s="664"/>
      <c r="Y256" s="664"/>
    </row>
    <row r="257" spans="1:1024" s="592" customFormat="1">
      <c r="A257" s="665">
        <v>2311</v>
      </c>
      <c r="B257" s="731"/>
      <c r="C257" s="732"/>
      <c r="D257" s="733"/>
      <c r="E257" s="734"/>
      <c r="F257" s="735"/>
      <c r="G257" s="670"/>
      <c r="H257" s="669"/>
      <c r="I257" s="671"/>
      <c r="J257" s="682"/>
      <c r="K257" s="669"/>
      <c r="L257" s="683"/>
      <c r="M257" s="684"/>
      <c r="N257" s="685"/>
      <c r="O257" s="686"/>
      <c r="P257" s="685"/>
      <c r="Q257" s="686"/>
      <c r="R257" s="687"/>
      <c r="S257" s="688"/>
      <c r="T257" s="688"/>
      <c r="U257" s="688"/>
      <c r="V257" s="688"/>
      <c r="W257" s="688"/>
      <c r="X257" s="688"/>
      <c r="Y257" s="688"/>
    </row>
    <row r="258" spans="1:1024" s="592" customFormat="1">
      <c r="A258" s="665">
        <v>2312</v>
      </c>
      <c r="B258" s="731"/>
      <c r="C258" s="732"/>
      <c r="D258" s="733"/>
      <c r="E258" s="734"/>
      <c r="F258" s="735"/>
      <c r="G258" s="670"/>
      <c r="H258" s="669"/>
      <c r="I258" s="671"/>
      <c r="J258" s="682"/>
      <c r="K258" s="669"/>
      <c r="L258" s="683"/>
      <c r="M258" s="684"/>
      <c r="N258" s="685"/>
      <c r="O258" s="686"/>
      <c r="P258" s="685"/>
      <c r="Q258" s="686"/>
      <c r="R258" s="687"/>
      <c r="S258" s="688"/>
      <c r="T258" s="688"/>
      <c r="U258" s="688"/>
      <c r="V258" s="688"/>
      <c r="W258" s="688"/>
      <c r="X258" s="688"/>
      <c r="Y258" s="688"/>
    </row>
    <row r="259" spans="1:1024" s="592" customFormat="1">
      <c r="A259" s="665">
        <v>2313</v>
      </c>
      <c r="B259" s="731"/>
      <c r="C259" s="732"/>
      <c r="D259" s="733"/>
      <c r="E259" s="734"/>
      <c r="F259" s="735"/>
      <c r="G259" s="670"/>
      <c r="H259" s="669"/>
      <c r="I259" s="671"/>
      <c r="J259" s="682"/>
      <c r="K259" s="669"/>
      <c r="L259" s="683"/>
      <c r="M259" s="684"/>
      <c r="N259" s="685"/>
      <c r="O259" s="686"/>
      <c r="P259" s="685"/>
      <c r="Q259" s="686"/>
      <c r="R259" s="687"/>
      <c r="S259" s="688"/>
      <c r="T259" s="688"/>
      <c r="U259" s="688"/>
      <c r="V259" s="688"/>
      <c r="W259" s="688"/>
      <c r="X259" s="688"/>
      <c r="Y259" s="688"/>
    </row>
    <row r="260" spans="1:1024" s="592" customFormat="1" ht="16.5" customHeight="1">
      <c r="A260" s="657">
        <v>232</v>
      </c>
      <c r="B260" s="3521"/>
      <c r="C260" s="3521"/>
      <c r="D260" s="3521"/>
      <c r="E260" s="3521"/>
      <c r="F260" s="3521"/>
      <c r="G260" s="3521"/>
      <c r="H260" s="3521"/>
      <c r="I260" s="3521"/>
      <c r="J260" s="658"/>
      <c r="K260" s="659"/>
      <c r="L260" s="660"/>
      <c r="M260" s="661"/>
      <c r="N260" s="659"/>
      <c r="O260" s="662"/>
      <c r="P260" s="659"/>
      <c r="Q260" s="662"/>
      <c r="R260" s="729"/>
      <c r="S260" s="664"/>
      <c r="T260" s="664"/>
      <c r="U260" s="664"/>
      <c r="V260" s="664"/>
      <c r="W260" s="664"/>
      <c r="X260" s="664"/>
      <c r="Y260" s="664"/>
    </row>
    <row r="261" spans="1:1024" s="592" customFormat="1">
      <c r="A261" s="665">
        <v>2321</v>
      </c>
      <c r="B261" s="731"/>
      <c r="C261" s="732"/>
      <c r="D261" s="733"/>
      <c r="E261" s="734"/>
      <c r="F261" s="735"/>
      <c r="G261" s="670"/>
      <c r="H261" s="669"/>
      <c r="I261" s="671"/>
      <c r="J261" s="682"/>
      <c r="K261" s="669"/>
      <c r="L261" s="683"/>
      <c r="M261" s="684"/>
      <c r="N261" s="685"/>
      <c r="O261" s="686"/>
      <c r="P261" s="685"/>
      <c r="Q261" s="686"/>
      <c r="R261" s="687"/>
      <c r="S261" s="688"/>
      <c r="T261" s="688"/>
      <c r="U261" s="688"/>
      <c r="V261" s="688"/>
      <c r="W261" s="688"/>
      <c r="X261" s="688"/>
      <c r="Y261" s="688"/>
    </row>
    <row r="262" spans="1:1024" s="592" customFormat="1">
      <c r="A262" s="665">
        <v>2322</v>
      </c>
      <c r="B262" s="731"/>
      <c r="C262" s="732"/>
      <c r="D262" s="733"/>
      <c r="E262" s="734"/>
      <c r="F262" s="735"/>
      <c r="G262" s="670"/>
      <c r="H262" s="669"/>
      <c r="I262" s="671"/>
      <c r="J262" s="682"/>
      <c r="K262" s="669"/>
      <c r="L262" s="683"/>
      <c r="M262" s="684"/>
      <c r="N262" s="685"/>
      <c r="O262" s="686"/>
      <c r="P262" s="685"/>
      <c r="Q262" s="686"/>
      <c r="R262" s="687"/>
      <c r="S262" s="688"/>
      <c r="T262" s="688"/>
      <c r="U262" s="688"/>
      <c r="V262" s="688"/>
      <c r="W262" s="688"/>
      <c r="X262" s="688"/>
      <c r="Y262" s="688"/>
    </row>
    <row r="263" spans="1:1024" s="592" customFormat="1">
      <c r="A263" s="699" t="s">
        <v>233</v>
      </c>
      <c r="B263" s="731"/>
      <c r="C263" s="732"/>
      <c r="D263" s="733"/>
      <c r="E263" s="734"/>
      <c r="F263" s="735"/>
      <c r="G263" s="670"/>
      <c r="H263" s="669"/>
      <c r="I263" s="671"/>
      <c r="J263" s="682"/>
      <c r="K263" s="669"/>
      <c r="L263" s="683"/>
      <c r="M263" s="684"/>
      <c r="N263" s="685"/>
      <c r="O263" s="686"/>
      <c r="P263" s="685"/>
      <c r="Q263" s="686"/>
      <c r="R263" s="687"/>
      <c r="S263" s="688"/>
      <c r="T263" s="688"/>
      <c r="U263" s="688"/>
      <c r="V263" s="688"/>
      <c r="W263" s="688"/>
      <c r="X263" s="688"/>
      <c r="Y263" s="688"/>
    </row>
    <row r="264" spans="1:1024" s="626" customFormat="1" ht="33.75" customHeight="1">
      <c r="A264" s="3520" t="s">
        <v>241</v>
      </c>
      <c r="B264" s="3520"/>
      <c r="C264" s="3520"/>
      <c r="D264" s="3520"/>
      <c r="E264" s="3520"/>
      <c r="F264" s="3520"/>
      <c r="G264" s="3520"/>
      <c r="H264" s="3520"/>
      <c r="I264" s="3520"/>
      <c r="J264" s="619"/>
      <c r="K264" s="619"/>
      <c r="L264" s="620"/>
      <c r="M264" s="621"/>
      <c r="N264" s="622"/>
      <c r="O264" s="623"/>
      <c r="P264" s="622"/>
      <c r="Q264" s="623"/>
      <c r="R264" s="624" t="e">
        <f>+R265+R274</f>
        <v>#VALUE!</v>
      </c>
      <c r="S264" s="625"/>
      <c r="T264" s="625"/>
      <c r="U264" s="625"/>
      <c r="V264" s="625"/>
      <c r="W264" s="625"/>
      <c r="X264" s="625"/>
      <c r="Y264" s="625"/>
      <c r="AMJ264" s="592"/>
    </row>
    <row r="265" spans="1:1024" s="592" customFormat="1" ht="37.5" customHeight="1">
      <c r="A265" s="3523" t="s">
        <v>838</v>
      </c>
      <c r="B265" s="3523"/>
      <c r="C265" s="3523"/>
      <c r="D265" s="3523"/>
      <c r="E265" s="3523"/>
      <c r="F265" s="3523"/>
      <c r="G265" s="3523"/>
      <c r="H265" s="3523"/>
      <c r="I265" s="3523"/>
      <c r="J265" s="627"/>
      <c r="K265" s="627"/>
      <c r="L265" s="628"/>
      <c r="M265" s="629"/>
      <c r="N265" s="630"/>
      <c r="O265" s="631"/>
      <c r="P265" s="630"/>
      <c r="Q265" s="631"/>
      <c r="R265" s="632" t="e">
        <f>+'[15]Compil Costing PPA 3 millions'!F11</f>
        <v>#VALUE!</v>
      </c>
      <c r="S265" s="633"/>
      <c r="T265" s="633"/>
      <c r="U265" s="633"/>
      <c r="V265" s="629"/>
      <c r="W265" s="629"/>
      <c r="X265" s="629"/>
      <c r="Y265" s="629"/>
    </row>
    <row r="266" spans="1:1024" s="592" customFormat="1" ht="16.5" customHeight="1">
      <c r="A266" s="657">
        <v>311</v>
      </c>
      <c r="B266" s="3521"/>
      <c r="C266" s="3521"/>
      <c r="D266" s="3521"/>
      <c r="E266" s="3521"/>
      <c r="F266" s="3521"/>
      <c r="G266" s="3521"/>
      <c r="H266" s="3521"/>
      <c r="I266" s="3521"/>
      <c r="J266" s="658"/>
      <c r="K266" s="659"/>
      <c r="L266" s="660"/>
      <c r="M266" s="661"/>
      <c r="N266" s="659"/>
      <c r="O266" s="662"/>
      <c r="P266" s="659"/>
      <c r="Q266" s="662"/>
      <c r="R266" s="729"/>
      <c r="S266" s="664"/>
      <c r="T266" s="664"/>
      <c r="U266" s="664"/>
      <c r="V266" s="664"/>
      <c r="W266" s="664"/>
      <c r="X266" s="664"/>
      <c r="Y266" s="664"/>
    </row>
    <row r="267" spans="1:1024" s="592" customFormat="1">
      <c r="A267" s="665">
        <v>3111</v>
      </c>
      <c r="B267" s="731"/>
      <c r="C267" s="732"/>
      <c r="D267" s="733"/>
      <c r="E267" s="734"/>
      <c r="F267" s="735"/>
      <c r="G267" s="670"/>
      <c r="H267" s="669"/>
      <c r="I267" s="671"/>
      <c r="J267" s="682"/>
      <c r="K267" s="669"/>
      <c r="L267" s="683"/>
      <c r="M267" s="684"/>
      <c r="N267" s="685"/>
      <c r="O267" s="686"/>
      <c r="P267" s="685"/>
      <c r="Q267" s="686"/>
      <c r="R267" s="687"/>
      <c r="S267" s="688"/>
      <c r="T267" s="688"/>
      <c r="U267" s="688"/>
      <c r="V267" s="688"/>
      <c r="W267" s="688"/>
      <c r="X267" s="688"/>
      <c r="Y267" s="688"/>
    </row>
    <row r="268" spans="1:1024" s="592" customFormat="1">
      <c r="A268" s="665">
        <v>3112</v>
      </c>
      <c r="B268" s="731"/>
      <c r="C268" s="732"/>
      <c r="D268" s="733"/>
      <c r="E268" s="734"/>
      <c r="F268" s="735"/>
      <c r="G268" s="670"/>
      <c r="H268" s="669"/>
      <c r="I268" s="671"/>
      <c r="J268" s="682"/>
      <c r="K268" s="669"/>
      <c r="L268" s="683"/>
      <c r="M268" s="684"/>
      <c r="N268" s="685"/>
      <c r="O268" s="686"/>
      <c r="P268" s="685"/>
      <c r="Q268" s="686"/>
      <c r="R268" s="687"/>
      <c r="S268" s="688"/>
      <c r="T268" s="688"/>
      <c r="U268" s="688"/>
      <c r="V268" s="688"/>
      <c r="W268" s="688"/>
      <c r="X268" s="688"/>
      <c r="Y268" s="688"/>
    </row>
    <row r="269" spans="1:1024" s="592" customFormat="1">
      <c r="A269" s="665">
        <v>3113</v>
      </c>
      <c r="B269" s="731"/>
      <c r="C269" s="732"/>
      <c r="D269" s="733"/>
      <c r="E269" s="734"/>
      <c r="F269" s="735"/>
      <c r="G269" s="670"/>
      <c r="H269" s="669"/>
      <c r="I269" s="671"/>
      <c r="J269" s="682"/>
      <c r="K269" s="669"/>
      <c r="L269" s="683"/>
      <c r="M269" s="684"/>
      <c r="N269" s="685"/>
      <c r="O269" s="686"/>
      <c r="P269" s="685"/>
      <c r="Q269" s="686"/>
      <c r="R269" s="687"/>
      <c r="S269" s="688"/>
      <c r="T269" s="688"/>
      <c r="U269" s="688"/>
      <c r="V269" s="688"/>
      <c r="W269" s="688"/>
      <c r="X269" s="688"/>
      <c r="Y269" s="688"/>
    </row>
    <row r="270" spans="1:1024" s="592" customFormat="1" ht="16.5" customHeight="1">
      <c r="A270" s="657">
        <v>312</v>
      </c>
      <c r="B270" s="3521"/>
      <c r="C270" s="3521"/>
      <c r="D270" s="3521"/>
      <c r="E270" s="3521"/>
      <c r="F270" s="3521"/>
      <c r="G270" s="3521"/>
      <c r="H270" s="3521"/>
      <c r="I270" s="3521"/>
      <c r="J270" s="658"/>
      <c r="K270" s="659"/>
      <c r="L270" s="660"/>
      <c r="M270" s="661"/>
      <c r="N270" s="659"/>
      <c r="O270" s="662"/>
      <c r="P270" s="659"/>
      <c r="Q270" s="662"/>
      <c r="R270" s="729"/>
      <c r="S270" s="664"/>
      <c r="T270" s="664"/>
      <c r="U270" s="664"/>
      <c r="V270" s="664"/>
      <c r="W270" s="664"/>
      <c r="X270" s="664"/>
      <c r="Y270" s="664"/>
    </row>
    <row r="271" spans="1:1024" s="592" customFormat="1">
      <c r="A271" s="665">
        <v>3121</v>
      </c>
      <c r="B271" s="731"/>
      <c r="C271" s="732"/>
      <c r="D271" s="733"/>
      <c r="E271" s="734"/>
      <c r="F271" s="735"/>
      <c r="G271" s="670"/>
      <c r="H271" s="669"/>
      <c r="I271" s="671"/>
      <c r="J271" s="682"/>
      <c r="K271" s="669"/>
      <c r="L271" s="683"/>
      <c r="M271" s="684"/>
      <c r="N271" s="685"/>
      <c r="O271" s="686"/>
      <c r="P271" s="685"/>
      <c r="Q271" s="686"/>
      <c r="R271" s="687"/>
      <c r="S271" s="688"/>
      <c r="T271" s="688"/>
      <c r="U271" s="688"/>
      <c r="V271" s="688"/>
      <c r="W271" s="688"/>
      <c r="X271" s="688"/>
      <c r="Y271" s="688"/>
    </row>
    <row r="272" spans="1:1024" s="592" customFormat="1">
      <c r="A272" s="665">
        <v>3122</v>
      </c>
      <c r="B272" s="731"/>
      <c r="C272" s="732"/>
      <c r="D272" s="733"/>
      <c r="E272" s="734"/>
      <c r="F272" s="735"/>
      <c r="G272" s="670"/>
      <c r="H272" s="669"/>
      <c r="I272" s="671"/>
      <c r="J272" s="682"/>
      <c r="K272" s="669"/>
      <c r="L272" s="683"/>
      <c r="M272" s="684"/>
      <c r="N272" s="685"/>
      <c r="O272" s="686"/>
      <c r="P272" s="685"/>
      <c r="Q272" s="686"/>
      <c r="R272" s="687"/>
      <c r="S272" s="688"/>
      <c r="T272" s="688"/>
      <c r="U272" s="688"/>
      <c r="V272" s="688"/>
      <c r="W272" s="688"/>
      <c r="X272" s="688"/>
      <c r="Y272" s="688"/>
    </row>
    <row r="273" spans="1:1024" s="592" customFormat="1">
      <c r="A273" s="738" t="s">
        <v>233</v>
      </c>
      <c r="B273" s="699"/>
      <c r="C273" s="667"/>
      <c r="D273" s="668"/>
      <c r="E273" s="669"/>
      <c r="F273" s="735"/>
      <c r="G273" s="670"/>
      <c r="H273" s="669"/>
      <c r="I273" s="671"/>
      <c r="J273" s="682"/>
      <c r="K273" s="669"/>
      <c r="L273" s="683"/>
      <c r="M273" s="684"/>
      <c r="N273" s="685"/>
      <c r="O273" s="686"/>
      <c r="P273" s="685"/>
      <c r="Q273" s="686"/>
      <c r="R273" s="687"/>
      <c r="S273" s="688"/>
      <c r="T273" s="688"/>
      <c r="U273" s="688"/>
      <c r="V273" s="688"/>
      <c r="W273" s="688"/>
      <c r="X273" s="688"/>
      <c r="Y273" s="688"/>
    </row>
    <row r="274" spans="1:1024" s="592" customFormat="1" ht="15.75" customHeight="1">
      <c r="A274" s="3523" t="s">
        <v>839</v>
      </c>
      <c r="B274" s="3523"/>
      <c r="C274" s="3523"/>
      <c r="D274" s="3523"/>
      <c r="E274" s="3523"/>
      <c r="F274" s="3523"/>
      <c r="G274" s="3523"/>
      <c r="H274" s="3523"/>
      <c r="I274" s="3523"/>
      <c r="J274" s="627"/>
      <c r="K274" s="627"/>
      <c r="L274" s="628"/>
      <c r="M274" s="629"/>
      <c r="N274" s="630"/>
      <c r="O274" s="631"/>
      <c r="P274" s="630"/>
      <c r="Q274" s="631"/>
      <c r="R274" s="632" t="e">
        <f>+'[15]Compil Costing PPA 3 millions'!F12</f>
        <v>#VALUE!</v>
      </c>
      <c r="S274" s="633"/>
      <c r="T274" s="633"/>
      <c r="U274" s="633"/>
      <c r="V274" s="629"/>
      <c r="W274" s="629"/>
      <c r="X274" s="629"/>
      <c r="Y274" s="629"/>
    </row>
    <row r="275" spans="1:1024" s="592" customFormat="1" ht="16.5" customHeight="1">
      <c r="A275" s="657">
        <v>321</v>
      </c>
      <c r="B275" s="3521"/>
      <c r="C275" s="3521"/>
      <c r="D275" s="3521"/>
      <c r="E275" s="3521"/>
      <c r="F275" s="3521"/>
      <c r="G275" s="3521"/>
      <c r="H275" s="3521"/>
      <c r="I275" s="3521"/>
      <c r="J275" s="658"/>
      <c r="K275" s="659"/>
      <c r="L275" s="660"/>
      <c r="M275" s="661"/>
      <c r="N275" s="659"/>
      <c r="O275" s="662"/>
      <c r="P275" s="659"/>
      <c r="Q275" s="662"/>
      <c r="R275" s="729"/>
      <c r="S275" s="664"/>
      <c r="T275" s="664"/>
      <c r="U275" s="664"/>
      <c r="V275" s="664"/>
      <c r="W275" s="664"/>
      <c r="X275" s="664"/>
      <c r="Y275" s="664"/>
    </row>
    <row r="276" spans="1:1024" s="592" customFormat="1" ht="15.75" customHeight="1">
      <c r="A276" s="665">
        <v>3211</v>
      </c>
      <c r="B276" s="731"/>
      <c r="C276" s="732"/>
      <c r="D276" s="733"/>
      <c r="E276" s="734"/>
      <c r="F276" s="739"/>
      <c r="G276" s="739"/>
      <c r="H276" s="740"/>
      <c r="I276" s="671"/>
      <c r="J276" s="682"/>
      <c r="K276" s="669"/>
      <c r="L276" s="683"/>
      <c r="M276" s="684"/>
      <c r="N276" s="685"/>
      <c r="O276" s="686"/>
      <c r="P276" s="685"/>
      <c r="Q276" s="686"/>
      <c r="R276" s="687"/>
      <c r="S276" s="688"/>
      <c r="T276" s="688"/>
      <c r="U276" s="688"/>
      <c r="V276" s="688"/>
      <c r="W276" s="688"/>
      <c r="X276" s="688"/>
      <c r="Y276" s="688"/>
    </row>
    <row r="277" spans="1:1024" s="592" customFormat="1" ht="15.75" customHeight="1">
      <c r="A277" s="665">
        <v>3212</v>
      </c>
      <c r="B277" s="731"/>
      <c r="C277" s="732"/>
      <c r="D277" s="733"/>
      <c r="E277" s="734"/>
      <c r="F277" s="739"/>
      <c r="G277" s="739"/>
      <c r="H277" s="740"/>
      <c r="I277" s="671"/>
      <c r="J277" s="682"/>
      <c r="K277" s="669"/>
      <c r="L277" s="683"/>
      <c r="M277" s="684"/>
      <c r="N277" s="685"/>
      <c r="O277" s="686"/>
      <c r="P277" s="685"/>
      <c r="Q277" s="686"/>
      <c r="R277" s="687"/>
      <c r="S277" s="688"/>
      <c r="T277" s="688"/>
      <c r="U277" s="688"/>
      <c r="V277" s="688"/>
      <c r="W277" s="688"/>
      <c r="X277" s="688"/>
      <c r="Y277" s="688"/>
    </row>
    <row r="278" spans="1:1024" s="592" customFormat="1" ht="15.75" customHeight="1">
      <c r="A278" s="665">
        <v>3213</v>
      </c>
      <c r="B278" s="731"/>
      <c r="C278" s="732"/>
      <c r="D278" s="733"/>
      <c r="E278" s="734"/>
      <c r="F278" s="739"/>
      <c r="G278" s="739"/>
      <c r="H278" s="740"/>
      <c r="I278" s="671"/>
      <c r="J278" s="682"/>
      <c r="K278" s="669"/>
      <c r="L278" s="683"/>
      <c r="M278" s="684"/>
      <c r="N278" s="685"/>
      <c r="O278" s="686"/>
      <c r="P278" s="685"/>
      <c r="Q278" s="686"/>
      <c r="R278" s="687"/>
      <c r="S278" s="688"/>
      <c r="T278" s="688"/>
      <c r="U278" s="688"/>
      <c r="V278" s="688"/>
      <c r="W278" s="688"/>
      <c r="X278" s="688"/>
      <c r="Y278" s="688"/>
    </row>
    <row r="279" spans="1:1024" s="592" customFormat="1" ht="16.5" customHeight="1">
      <c r="A279" s="657">
        <v>322</v>
      </c>
      <c r="B279" s="3521"/>
      <c r="C279" s="3521"/>
      <c r="D279" s="3521"/>
      <c r="E279" s="3521"/>
      <c r="F279" s="3521"/>
      <c r="G279" s="3521"/>
      <c r="H279" s="3521"/>
      <c r="I279" s="3521"/>
      <c r="J279" s="658"/>
      <c r="K279" s="659"/>
      <c r="L279" s="660"/>
      <c r="M279" s="661"/>
      <c r="N279" s="659"/>
      <c r="O279" s="662"/>
      <c r="P279" s="659"/>
      <c r="Q279" s="662"/>
      <c r="R279" s="729"/>
      <c r="S279" s="664"/>
      <c r="T279" s="664"/>
      <c r="U279" s="664"/>
      <c r="V279" s="664"/>
      <c r="W279" s="664"/>
      <c r="X279" s="664"/>
      <c r="Y279" s="664"/>
    </row>
    <row r="280" spans="1:1024" s="592" customFormat="1">
      <c r="A280" s="665">
        <v>3221</v>
      </c>
      <c r="B280" s="731"/>
      <c r="C280" s="732"/>
      <c r="D280" s="733"/>
      <c r="E280" s="734"/>
      <c r="F280" s="735"/>
      <c r="G280" s="670"/>
      <c r="H280" s="669"/>
      <c r="I280" s="671"/>
      <c r="J280" s="682"/>
      <c r="K280" s="669"/>
      <c r="L280" s="683"/>
      <c r="M280" s="684"/>
      <c r="N280" s="685"/>
      <c r="O280" s="686"/>
      <c r="P280" s="685"/>
      <c r="Q280" s="686"/>
      <c r="R280" s="687"/>
      <c r="S280" s="688"/>
      <c r="T280" s="688"/>
      <c r="U280" s="688"/>
      <c r="V280" s="688"/>
      <c r="W280" s="688"/>
      <c r="X280" s="688"/>
      <c r="Y280" s="688"/>
    </row>
    <row r="281" spans="1:1024" s="592" customFormat="1">
      <c r="A281" s="665">
        <v>3222</v>
      </c>
      <c r="B281" s="731"/>
      <c r="C281" s="732"/>
      <c r="D281" s="733"/>
      <c r="E281" s="734"/>
      <c r="F281" s="735"/>
      <c r="G281" s="670"/>
      <c r="H281" s="669"/>
      <c r="I281" s="671"/>
      <c r="J281" s="682"/>
      <c r="K281" s="669"/>
      <c r="L281" s="683"/>
      <c r="M281" s="684"/>
      <c r="N281" s="685"/>
      <c r="O281" s="686"/>
      <c r="P281" s="685"/>
      <c r="Q281" s="686"/>
      <c r="R281" s="687"/>
      <c r="S281" s="688"/>
      <c r="T281" s="688"/>
      <c r="U281" s="688"/>
      <c r="V281" s="688"/>
      <c r="W281" s="688"/>
      <c r="X281" s="688"/>
      <c r="Y281" s="688"/>
    </row>
    <row r="282" spans="1:1024" s="592" customFormat="1" ht="15.75" customHeight="1">
      <c r="A282" s="738" t="s">
        <v>233</v>
      </c>
      <c r="B282" s="731"/>
      <c r="C282" s="732"/>
      <c r="D282" s="733"/>
      <c r="E282" s="734"/>
      <c r="F282" s="739"/>
      <c r="G282" s="739"/>
      <c r="H282" s="740"/>
      <c r="I282" s="671"/>
      <c r="J282" s="682"/>
      <c r="K282" s="669"/>
      <c r="L282" s="683"/>
      <c r="M282" s="684"/>
      <c r="N282" s="685"/>
      <c r="O282" s="686"/>
      <c r="P282" s="685"/>
      <c r="Q282" s="686"/>
      <c r="R282" s="687"/>
      <c r="S282" s="688"/>
      <c r="T282" s="688"/>
      <c r="U282" s="688"/>
      <c r="V282" s="688"/>
      <c r="W282" s="688"/>
      <c r="X282" s="688"/>
      <c r="Y282" s="688"/>
    </row>
    <row r="283" spans="1:1024" s="626" customFormat="1" ht="33.75" customHeight="1">
      <c r="A283" s="3520" t="s">
        <v>840</v>
      </c>
      <c r="B283" s="3520"/>
      <c r="C283" s="3520"/>
      <c r="D283" s="3520"/>
      <c r="E283" s="3520"/>
      <c r="F283" s="3520"/>
      <c r="G283" s="3520"/>
      <c r="H283" s="3520"/>
      <c r="I283" s="3520"/>
      <c r="J283" s="619"/>
      <c r="K283" s="619"/>
      <c r="L283" s="620"/>
      <c r="M283" s="621"/>
      <c r="N283" s="622"/>
      <c r="O283" s="623"/>
      <c r="P283" s="622"/>
      <c r="Q283" s="623"/>
      <c r="R283" s="624" t="e">
        <f>+R284+R293+R302</f>
        <v>#VALUE!</v>
      </c>
      <c r="S283" s="625"/>
      <c r="T283" s="625"/>
      <c r="U283" s="625"/>
      <c r="V283" s="625"/>
      <c r="W283" s="625"/>
      <c r="X283" s="625"/>
      <c r="Y283" s="625"/>
      <c r="AMJ283" s="592"/>
    </row>
    <row r="284" spans="1:1024" s="592" customFormat="1" ht="15.75" customHeight="1">
      <c r="A284" s="3523" t="s">
        <v>276</v>
      </c>
      <c r="B284" s="3523"/>
      <c r="C284" s="3523"/>
      <c r="D284" s="3523"/>
      <c r="E284" s="3523"/>
      <c r="F284" s="3523"/>
      <c r="G284" s="3523"/>
      <c r="H284" s="3523"/>
      <c r="I284" s="3523"/>
      <c r="J284" s="627"/>
      <c r="K284" s="627"/>
      <c r="L284" s="628"/>
      <c r="M284" s="629"/>
      <c r="N284" s="630"/>
      <c r="O284" s="631"/>
      <c r="P284" s="630"/>
      <c r="Q284" s="631"/>
      <c r="R284" s="632" t="e">
        <f>+'[15]Compil Costing PPA 3 millions'!F15</f>
        <v>#VALUE!</v>
      </c>
      <c r="S284" s="633"/>
      <c r="T284" s="633"/>
      <c r="U284" s="633"/>
      <c r="V284" s="629"/>
      <c r="W284" s="629"/>
      <c r="X284" s="629"/>
      <c r="Y284" s="629"/>
    </row>
    <row r="285" spans="1:1024" s="592" customFormat="1" ht="16.5" customHeight="1">
      <c r="A285" s="657">
        <v>411</v>
      </c>
      <c r="B285" s="3521"/>
      <c r="C285" s="3521"/>
      <c r="D285" s="3521"/>
      <c r="E285" s="3521"/>
      <c r="F285" s="3521"/>
      <c r="G285" s="3521"/>
      <c r="H285" s="3521"/>
      <c r="I285" s="3521"/>
      <c r="J285" s="658"/>
      <c r="K285" s="659"/>
      <c r="L285" s="660"/>
      <c r="M285" s="661"/>
      <c r="N285" s="659"/>
      <c r="O285" s="662"/>
      <c r="P285" s="659"/>
      <c r="Q285" s="662"/>
      <c r="R285" s="729"/>
      <c r="S285" s="664"/>
      <c r="T285" s="664"/>
      <c r="U285" s="664"/>
      <c r="V285" s="664"/>
      <c r="W285" s="664"/>
      <c r="X285" s="664"/>
      <c r="Y285" s="664"/>
    </row>
    <row r="286" spans="1:1024" s="592" customFormat="1">
      <c r="A286" s="665">
        <v>4111</v>
      </c>
      <c r="B286" s="731"/>
      <c r="C286" s="732"/>
      <c r="D286" s="733"/>
      <c r="E286" s="734"/>
      <c r="F286" s="735"/>
      <c r="G286" s="670"/>
      <c r="H286" s="669"/>
      <c r="I286" s="671"/>
      <c r="J286" s="682"/>
      <c r="K286" s="669"/>
      <c r="L286" s="683"/>
      <c r="M286" s="684"/>
      <c r="N286" s="685"/>
      <c r="O286" s="686"/>
      <c r="P286" s="685"/>
      <c r="Q286" s="686"/>
      <c r="R286" s="687"/>
      <c r="S286" s="688"/>
      <c r="T286" s="688"/>
      <c r="U286" s="688"/>
      <c r="V286" s="688"/>
      <c r="W286" s="688"/>
      <c r="X286" s="688"/>
      <c r="Y286" s="688"/>
    </row>
    <row r="287" spans="1:1024" s="592" customFormat="1">
      <c r="A287" s="665">
        <v>4112</v>
      </c>
      <c r="B287" s="731"/>
      <c r="C287" s="732"/>
      <c r="D287" s="733"/>
      <c r="E287" s="734"/>
      <c r="F287" s="735"/>
      <c r="G287" s="670"/>
      <c r="H287" s="669"/>
      <c r="I287" s="671"/>
      <c r="J287" s="682"/>
      <c r="K287" s="669"/>
      <c r="L287" s="683"/>
      <c r="M287" s="684"/>
      <c r="N287" s="685"/>
      <c r="O287" s="686"/>
      <c r="P287" s="685"/>
      <c r="Q287" s="686"/>
      <c r="R287" s="687"/>
      <c r="S287" s="688"/>
      <c r="T287" s="688"/>
      <c r="U287" s="688"/>
      <c r="V287" s="688"/>
      <c r="W287" s="688"/>
      <c r="X287" s="688"/>
      <c r="Y287" s="688"/>
    </row>
    <row r="288" spans="1:1024" s="592" customFormat="1">
      <c r="A288" s="665">
        <v>4113</v>
      </c>
      <c r="B288" s="731"/>
      <c r="C288" s="732"/>
      <c r="D288" s="733"/>
      <c r="E288" s="734"/>
      <c r="F288" s="735"/>
      <c r="G288" s="670"/>
      <c r="H288" s="669"/>
      <c r="I288" s="671"/>
      <c r="J288" s="682"/>
      <c r="K288" s="669"/>
      <c r="L288" s="683"/>
      <c r="M288" s="684"/>
      <c r="N288" s="685"/>
      <c r="O288" s="686"/>
      <c r="P288" s="685"/>
      <c r="Q288" s="686"/>
      <c r="R288" s="687"/>
      <c r="S288" s="688"/>
      <c r="T288" s="688"/>
      <c r="U288" s="688"/>
      <c r="V288" s="688"/>
      <c r="W288" s="688"/>
      <c r="X288" s="688"/>
      <c r="Y288" s="688"/>
    </row>
    <row r="289" spans="1:25" s="592" customFormat="1" ht="16.5" customHeight="1">
      <c r="A289" s="657">
        <v>412</v>
      </c>
      <c r="B289" s="3521"/>
      <c r="C289" s="3521"/>
      <c r="D289" s="3521"/>
      <c r="E289" s="3521"/>
      <c r="F289" s="3521"/>
      <c r="G289" s="3521"/>
      <c r="H289" s="3521"/>
      <c r="I289" s="3521"/>
      <c r="J289" s="658"/>
      <c r="K289" s="659"/>
      <c r="L289" s="660"/>
      <c r="M289" s="661"/>
      <c r="N289" s="659"/>
      <c r="O289" s="662"/>
      <c r="P289" s="659"/>
      <c r="Q289" s="662"/>
      <c r="R289" s="729"/>
      <c r="S289" s="664"/>
      <c r="T289" s="664"/>
      <c r="U289" s="664"/>
      <c r="V289" s="664"/>
      <c r="W289" s="664"/>
      <c r="X289" s="664"/>
      <c r="Y289" s="664"/>
    </row>
    <row r="290" spans="1:25" s="592" customFormat="1">
      <c r="A290" s="665">
        <v>4121</v>
      </c>
      <c r="B290" s="731"/>
      <c r="C290" s="732"/>
      <c r="D290" s="733"/>
      <c r="E290" s="734"/>
      <c r="F290" s="735"/>
      <c r="G290" s="670"/>
      <c r="H290" s="669"/>
      <c r="I290" s="671"/>
      <c r="J290" s="682"/>
      <c r="K290" s="669"/>
      <c r="L290" s="683"/>
      <c r="M290" s="684"/>
      <c r="N290" s="685"/>
      <c r="O290" s="686"/>
      <c r="P290" s="685"/>
      <c r="Q290" s="686"/>
      <c r="R290" s="687"/>
      <c r="S290" s="688"/>
      <c r="T290" s="688"/>
      <c r="U290" s="688"/>
      <c r="V290" s="688"/>
      <c r="W290" s="688"/>
      <c r="X290" s="688"/>
      <c r="Y290" s="688"/>
    </row>
    <row r="291" spans="1:25" s="592" customFormat="1">
      <c r="A291" s="665">
        <v>4122</v>
      </c>
      <c r="B291" s="731"/>
      <c r="C291" s="732"/>
      <c r="D291" s="733"/>
      <c r="E291" s="734"/>
      <c r="F291" s="735"/>
      <c r="G291" s="670"/>
      <c r="H291" s="669"/>
      <c r="I291" s="671"/>
      <c r="J291" s="682"/>
      <c r="K291" s="669"/>
      <c r="L291" s="683"/>
      <c r="M291" s="684"/>
      <c r="N291" s="685"/>
      <c r="O291" s="686"/>
      <c r="P291" s="685"/>
      <c r="Q291" s="686"/>
      <c r="R291" s="687"/>
      <c r="S291" s="688"/>
      <c r="T291" s="688"/>
      <c r="U291" s="688"/>
      <c r="V291" s="688"/>
      <c r="W291" s="688"/>
      <c r="X291" s="688"/>
      <c r="Y291" s="688"/>
    </row>
    <row r="292" spans="1:25" s="592" customFormat="1" ht="15.75" customHeight="1">
      <c r="A292" s="738" t="s">
        <v>233</v>
      </c>
      <c r="B292" s="731"/>
      <c r="C292" s="732"/>
      <c r="D292" s="733"/>
      <c r="E292" s="734"/>
      <c r="F292" s="739"/>
      <c r="G292" s="739"/>
      <c r="H292" s="740"/>
      <c r="I292" s="671"/>
      <c r="J292" s="682"/>
      <c r="K292" s="669"/>
      <c r="L292" s="683"/>
      <c r="M292" s="684"/>
      <c r="N292" s="685"/>
      <c r="O292" s="686"/>
      <c r="P292" s="685"/>
      <c r="Q292" s="686"/>
      <c r="R292" s="687"/>
      <c r="S292" s="688"/>
      <c r="T292" s="688"/>
      <c r="U292" s="688"/>
      <c r="V292" s="688"/>
      <c r="W292" s="688"/>
      <c r="X292" s="688"/>
      <c r="Y292" s="688"/>
    </row>
    <row r="293" spans="1:25" s="592" customFormat="1" ht="15.75" customHeight="1">
      <c r="A293" s="3523" t="s">
        <v>841</v>
      </c>
      <c r="B293" s="3523"/>
      <c r="C293" s="3523"/>
      <c r="D293" s="3523"/>
      <c r="E293" s="3523"/>
      <c r="F293" s="3523"/>
      <c r="G293" s="3523"/>
      <c r="H293" s="3523"/>
      <c r="I293" s="3523"/>
      <c r="J293" s="627"/>
      <c r="K293" s="627"/>
      <c r="L293" s="628"/>
      <c r="M293" s="629"/>
      <c r="N293" s="630"/>
      <c r="O293" s="631"/>
      <c r="P293" s="630"/>
      <c r="Q293" s="631"/>
      <c r="R293" s="632" t="e">
        <f>+'[15]Compil Costing PPA 3 millions'!F16+'[15]Compil Costing PPA 3 millions'!F18+'[15]Compil Costing PPA 3 millions'!F19</f>
        <v>#VALUE!</v>
      </c>
      <c r="S293" s="633"/>
      <c r="T293" s="633"/>
      <c r="U293" s="633"/>
      <c r="V293" s="629"/>
      <c r="W293" s="629"/>
      <c r="X293" s="629"/>
      <c r="Y293" s="629"/>
    </row>
    <row r="294" spans="1:25" s="592" customFormat="1" ht="16.5" customHeight="1">
      <c r="A294" s="657">
        <v>421</v>
      </c>
      <c r="B294" s="3521"/>
      <c r="C294" s="3521"/>
      <c r="D294" s="3521"/>
      <c r="E294" s="3521"/>
      <c r="F294" s="3521"/>
      <c r="G294" s="3521"/>
      <c r="H294" s="3521"/>
      <c r="I294" s="3521"/>
      <c r="J294" s="658"/>
      <c r="K294" s="659"/>
      <c r="L294" s="660"/>
      <c r="M294" s="661"/>
      <c r="N294" s="659"/>
      <c r="O294" s="662"/>
      <c r="P294" s="659"/>
      <c r="Q294" s="662"/>
      <c r="R294" s="729"/>
      <c r="S294" s="664"/>
      <c r="T294" s="664"/>
      <c r="U294" s="664"/>
      <c r="V294" s="664"/>
      <c r="W294" s="664"/>
      <c r="X294" s="664"/>
      <c r="Y294" s="664"/>
    </row>
    <row r="295" spans="1:25" s="592" customFormat="1">
      <c r="A295" s="665">
        <v>4211</v>
      </c>
      <c r="B295" s="699"/>
      <c r="C295" s="667"/>
      <c r="D295" s="668"/>
      <c r="E295" s="669"/>
      <c r="F295" s="735"/>
      <c r="G295" s="670"/>
      <c r="H295" s="669"/>
      <c r="I295" s="671"/>
      <c r="J295" s="682"/>
      <c r="K295" s="669"/>
      <c r="L295" s="683"/>
      <c r="M295" s="684"/>
      <c r="N295" s="685"/>
      <c r="O295" s="686"/>
      <c r="P295" s="685"/>
      <c r="Q295" s="686"/>
      <c r="R295" s="687"/>
      <c r="S295" s="688"/>
      <c r="T295" s="688"/>
      <c r="U295" s="688"/>
      <c r="V295" s="688"/>
      <c r="W295" s="688"/>
      <c r="X295" s="688"/>
      <c r="Y295" s="688"/>
    </row>
    <row r="296" spans="1:25" s="592" customFormat="1">
      <c r="A296" s="665">
        <v>4212</v>
      </c>
      <c r="B296" s="699"/>
      <c r="C296" s="667"/>
      <c r="D296" s="668"/>
      <c r="E296" s="669"/>
      <c r="F296" s="735"/>
      <c r="G296" s="670"/>
      <c r="H296" s="669"/>
      <c r="I296" s="671"/>
      <c r="J296" s="682"/>
      <c r="K296" s="669"/>
      <c r="L296" s="683"/>
      <c r="M296" s="684"/>
      <c r="N296" s="685"/>
      <c r="O296" s="686"/>
      <c r="P296" s="685"/>
      <c r="Q296" s="686"/>
      <c r="R296" s="687"/>
      <c r="S296" s="688"/>
      <c r="T296" s="688"/>
      <c r="U296" s="688"/>
      <c r="V296" s="688"/>
      <c r="W296" s="688"/>
      <c r="X296" s="688"/>
      <c r="Y296" s="688"/>
    </row>
    <row r="297" spans="1:25" s="592" customFormat="1">
      <c r="A297" s="665">
        <v>4213</v>
      </c>
      <c r="B297" s="699"/>
      <c r="C297" s="667"/>
      <c r="D297" s="668"/>
      <c r="E297" s="669"/>
      <c r="F297" s="735"/>
      <c r="G297" s="670"/>
      <c r="H297" s="669"/>
      <c r="I297" s="671"/>
      <c r="J297" s="682"/>
      <c r="K297" s="669"/>
      <c r="L297" s="683"/>
      <c r="M297" s="684"/>
      <c r="N297" s="685"/>
      <c r="O297" s="686"/>
      <c r="P297" s="685"/>
      <c r="Q297" s="686"/>
      <c r="R297" s="687"/>
      <c r="S297" s="688"/>
      <c r="T297" s="688"/>
      <c r="U297" s="688"/>
      <c r="V297" s="688"/>
      <c r="W297" s="688"/>
      <c r="X297" s="688"/>
      <c r="Y297" s="688"/>
    </row>
    <row r="298" spans="1:25" s="592" customFormat="1" ht="16.5" customHeight="1">
      <c r="A298" s="657">
        <v>422</v>
      </c>
      <c r="B298" s="3521"/>
      <c r="C298" s="3521"/>
      <c r="D298" s="3521"/>
      <c r="E298" s="3521"/>
      <c r="F298" s="3521"/>
      <c r="G298" s="3521"/>
      <c r="H298" s="3521"/>
      <c r="I298" s="3521"/>
      <c r="J298" s="658"/>
      <c r="K298" s="659"/>
      <c r="L298" s="660"/>
      <c r="M298" s="661"/>
      <c r="N298" s="659"/>
      <c r="O298" s="662"/>
      <c r="P298" s="659"/>
      <c r="Q298" s="662"/>
      <c r="R298" s="729"/>
      <c r="S298" s="664"/>
      <c r="T298" s="664"/>
      <c r="U298" s="664"/>
      <c r="V298" s="664"/>
      <c r="W298" s="664"/>
      <c r="X298" s="664"/>
      <c r="Y298" s="664"/>
    </row>
    <row r="299" spans="1:25" s="592" customFormat="1">
      <c r="A299" s="665">
        <v>4221</v>
      </c>
      <c r="B299" s="699"/>
      <c r="C299" s="667"/>
      <c r="D299" s="668"/>
      <c r="E299" s="669"/>
      <c r="F299" s="735"/>
      <c r="G299" s="670"/>
      <c r="H299" s="669"/>
      <c r="I299" s="671"/>
      <c r="J299" s="682"/>
      <c r="K299" s="669"/>
      <c r="L299" s="683"/>
      <c r="M299" s="684"/>
      <c r="N299" s="685"/>
      <c r="O299" s="686"/>
      <c r="P299" s="685"/>
      <c r="Q299" s="686"/>
      <c r="R299" s="687"/>
      <c r="S299" s="688"/>
      <c r="T299" s="688"/>
      <c r="U299" s="688"/>
      <c r="V299" s="688"/>
      <c r="W299" s="688"/>
      <c r="X299" s="688"/>
      <c r="Y299" s="688"/>
    </row>
    <row r="300" spans="1:25" s="592" customFormat="1">
      <c r="A300" s="665">
        <v>4222</v>
      </c>
      <c r="B300" s="699"/>
      <c r="C300" s="667"/>
      <c r="D300" s="668"/>
      <c r="E300" s="669"/>
      <c r="F300" s="735"/>
      <c r="G300" s="670"/>
      <c r="H300" s="669"/>
      <c r="I300" s="671"/>
      <c r="J300" s="682"/>
      <c r="K300" s="669"/>
      <c r="L300" s="683"/>
      <c r="M300" s="684"/>
      <c r="N300" s="685"/>
      <c r="O300" s="686"/>
      <c r="P300" s="685"/>
      <c r="Q300" s="686"/>
      <c r="R300" s="687"/>
      <c r="S300" s="688"/>
      <c r="T300" s="688"/>
      <c r="U300" s="688"/>
      <c r="V300" s="688"/>
      <c r="W300" s="688"/>
      <c r="X300" s="688"/>
      <c r="Y300" s="688"/>
    </row>
    <row r="301" spans="1:25" s="592" customFormat="1">
      <c r="A301" s="738" t="s">
        <v>233</v>
      </c>
      <c r="B301" s="699"/>
      <c r="C301" s="667"/>
      <c r="D301" s="668"/>
      <c r="E301" s="669"/>
      <c r="F301" s="735"/>
      <c r="G301" s="670"/>
      <c r="H301" s="669"/>
      <c r="I301" s="671"/>
      <c r="J301" s="682"/>
      <c r="K301" s="669"/>
      <c r="L301" s="683"/>
      <c r="M301" s="684"/>
      <c r="N301" s="685"/>
      <c r="O301" s="686"/>
      <c r="P301" s="685"/>
      <c r="Q301" s="686"/>
      <c r="R301" s="687"/>
      <c r="S301" s="688"/>
      <c r="T301" s="688"/>
      <c r="U301" s="688"/>
      <c r="V301" s="688"/>
      <c r="W301" s="688"/>
      <c r="X301" s="688"/>
      <c r="Y301" s="688"/>
    </row>
    <row r="302" spans="1:25" s="592" customFormat="1" ht="15.75" customHeight="1">
      <c r="A302" s="3523" t="s">
        <v>842</v>
      </c>
      <c r="B302" s="3523"/>
      <c r="C302" s="3523"/>
      <c r="D302" s="3523"/>
      <c r="E302" s="3523"/>
      <c r="F302" s="3523"/>
      <c r="G302" s="3523"/>
      <c r="H302" s="3523"/>
      <c r="I302" s="3523"/>
      <c r="J302" s="627"/>
      <c r="K302" s="627"/>
      <c r="L302" s="628"/>
      <c r="M302" s="629"/>
      <c r="N302" s="630"/>
      <c r="O302" s="631"/>
      <c r="P302" s="630"/>
      <c r="Q302" s="631"/>
      <c r="R302" s="632" t="e">
        <f>+'[15]Compil Costing PPA 3 millions'!F17</f>
        <v>#VALUE!</v>
      </c>
      <c r="S302" s="633"/>
      <c r="T302" s="633"/>
      <c r="U302" s="633"/>
      <c r="V302" s="629"/>
      <c r="W302" s="629"/>
      <c r="X302" s="629"/>
      <c r="Y302" s="629"/>
    </row>
    <row r="303" spans="1:25" s="592" customFormat="1" ht="16.5" customHeight="1">
      <c r="A303" s="657">
        <v>431</v>
      </c>
      <c r="B303" s="3521"/>
      <c r="C303" s="3521"/>
      <c r="D303" s="3521"/>
      <c r="E303" s="3521"/>
      <c r="F303" s="3521"/>
      <c r="G303" s="3521"/>
      <c r="H303" s="3521"/>
      <c r="I303" s="3521"/>
      <c r="J303" s="658"/>
      <c r="K303" s="659"/>
      <c r="L303" s="660"/>
      <c r="M303" s="661"/>
      <c r="N303" s="659"/>
      <c r="O303" s="662"/>
      <c r="P303" s="659"/>
      <c r="Q303" s="662"/>
      <c r="R303" s="729"/>
      <c r="S303" s="664"/>
      <c r="T303" s="664"/>
      <c r="U303" s="664"/>
      <c r="V303" s="664"/>
      <c r="W303" s="664"/>
      <c r="X303" s="664"/>
      <c r="Y303" s="664"/>
    </row>
    <row r="304" spans="1:25" s="592" customFormat="1">
      <c r="A304" s="665">
        <v>4311</v>
      </c>
      <c r="B304" s="699"/>
      <c r="C304" s="667"/>
      <c r="D304" s="668"/>
      <c r="E304" s="669"/>
      <c r="F304" s="735"/>
      <c r="G304" s="670"/>
      <c r="H304" s="669"/>
      <c r="I304" s="671"/>
      <c r="J304" s="682"/>
      <c r="K304" s="669"/>
      <c r="L304" s="683"/>
      <c r="M304" s="684"/>
      <c r="N304" s="685"/>
      <c r="O304" s="686"/>
      <c r="P304" s="685"/>
      <c r="Q304" s="686"/>
      <c r="R304" s="687"/>
      <c r="S304" s="688"/>
      <c r="T304" s="688"/>
      <c r="U304" s="688"/>
      <c r="V304" s="688"/>
      <c r="W304" s="688"/>
      <c r="X304" s="688"/>
      <c r="Y304" s="688"/>
    </row>
    <row r="305" spans="1:1024" s="592" customFormat="1">
      <c r="A305" s="665">
        <v>4312</v>
      </c>
      <c r="B305" s="699"/>
      <c r="C305" s="667"/>
      <c r="D305" s="668"/>
      <c r="E305" s="669"/>
      <c r="F305" s="735"/>
      <c r="G305" s="670"/>
      <c r="H305" s="669"/>
      <c r="I305" s="671"/>
      <c r="J305" s="682"/>
      <c r="K305" s="669"/>
      <c r="L305" s="683"/>
      <c r="M305" s="684"/>
      <c r="N305" s="685"/>
      <c r="O305" s="686"/>
      <c r="P305" s="685"/>
      <c r="Q305" s="686"/>
      <c r="R305" s="687"/>
      <c r="S305" s="688"/>
      <c r="T305" s="688"/>
      <c r="U305" s="688"/>
      <c r="V305" s="688"/>
      <c r="W305" s="688"/>
      <c r="X305" s="688"/>
      <c r="Y305" s="688"/>
    </row>
    <row r="306" spans="1:1024" s="592" customFormat="1">
      <c r="A306" s="665">
        <v>4313</v>
      </c>
      <c r="B306" s="699"/>
      <c r="C306" s="667"/>
      <c r="D306" s="668"/>
      <c r="E306" s="669"/>
      <c r="F306" s="735"/>
      <c r="G306" s="670"/>
      <c r="H306" s="669"/>
      <c r="I306" s="671"/>
      <c r="J306" s="682"/>
      <c r="K306" s="669"/>
      <c r="L306" s="683"/>
      <c r="M306" s="684"/>
      <c r="N306" s="685"/>
      <c r="O306" s="686"/>
      <c r="P306" s="685"/>
      <c r="Q306" s="686"/>
      <c r="R306" s="687"/>
      <c r="S306" s="688"/>
      <c r="T306" s="688"/>
      <c r="U306" s="688"/>
      <c r="V306" s="688"/>
      <c r="W306" s="688"/>
      <c r="X306" s="688"/>
      <c r="Y306" s="688"/>
    </row>
    <row r="307" spans="1:1024" s="592" customFormat="1" ht="16.5" customHeight="1">
      <c r="A307" s="657">
        <v>432</v>
      </c>
      <c r="B307" s="3521"/>
      <c r="C307" s="3521"/>
      <c r="D307" s="3521"/>
      <c r="E307" s="3521"/>
      <c r="F307" s="3521"/>
      <c r="G307" s="3521"/>
      <c r="H307" s="3521"/>
      <c r="I307" s="3521"/>
      <c r="J307" s="658"/>
      <c r="K307" s="659"/>
      <c r="L307" s="660"/>
      <c r="M307" s="661"/>
      <c r="N307" s="659"/>
      <c r="O307" s="662"/>
      <c r="P307" s="659"/>
      <c r="Q307" s="662"/>
      <c r="R307" s="729"/>
      <c r="S307" s="664"/>
      <c r="T307" s="664"/>
      <c r="U307" s="664"/>
      <c r="V307" s="664"/>
      <c r="W307" s="664"/>
      <c r="X307" s="664"/>
      <c r="Y307" s="664"/>
    </row>
    <row r="308" spans="1:1024" s="592" customFormat="1">
      <c r="A308" s="665">
        <v>4321</v>
      </c>
      <c r="B308" s="699"/>
      <c r="C308" s="667"/>
      <c r="D308" s="668"/>
      <c r="E308" s="669"/>
      <c r="F308" s="735"/>
      <c r="G308" s="670"/>
      <c r="H308" s="669"/>
      <c r="I308" s="671"/>
      <c r="J308" s="682"/>
      <c r="K308" s="669"/>
      <c r="L308" s="683"/>
      <c r="M308" s="684"/>
      <c r="N308" s="685"/>
      <c r="O308" s="686"/>
      <c r="P308" s="685"/>
      <c r="Q308" s="686"/>
      <c r="R308" s="687"/>
      <c r="S308" s="688"/>
      <c r="T308" s="688"/>
      <c r="U308" s="688"/>
      <c r="V308" s="688"/>
      <c r="W308" s="688"/>
      <c r="X308" s="688"/>
      <c r="Y308" s="688"/>
    </row>
    <row r="309" spans="1:1024" s="592" customFormat="1">
      <c r="A309" s="665">
        <v>4322</v>
      </c>
      <c r="B309" s="699"/>
      <c r="C309" s="667"/>
      <c r="D309" s="668"/>
      <c r="E309" s="669"/>
      <c r="F309" s="735"/>
      <c r="G309" s="670"/>
      <c r="H309" s="669"/>
      <c r="I309" s="671"/>
      <c r="J309" s="682"/>
      <c r="K309" s="669"/>
      <c r="L309" s="683"/>
      <c r="M309" s="684"/>
      <c r="N309" s="685"/>
      <c r="O309" s="686"/>
      <c r="P309" s="685"/>
      <c r="Q309" s="686"/>
      <c r="R309" s="687"/>
      <c r="S309" s="688"/>
      <c r="T309" s="688"/>
      <c r="U309" s="688"/>
      <c r="V309" s="688"/>
      <c r="W309" s="688"/>
      <c r="X309" s="688"/>
      <c r="Y309" s="688"/>
    </row>
    <row r="310" spans="1:1024" s="592" customFormat="1">
      <c r="A310" s="738" t="s">
        <v>233</v>
      </c>
      <c r="B310" s="699"/>
      <c r="C310" s="667"/>
      <c r="D310" s="668"/>
      <c r="E310" s="669"/>
      <c r="F310" s="735"/>
      <c r="G310" s="670"/>
      <c r="H310" s="669"/>
      <c r="I310" s="671"/>
      <c r="J310" s="682"/>
      <c r="K310" s="669"/>
      <c r="L310" s="683"/>
      <c r="M310" s="684"/>
      <c r="N310" s="685"/>
      <c r="O310" s="686"/>
      <c r="P310" s="685"/>
      <c r="Q310" s="686"/>
      <c r="R310" s="687"/>
      <c r="S310" s="688"/>
      <c r="T310" s="688"/>
      <c r="U310" s="688"/>
      <c r="V310" s="688"/>
      <c r="W310" s="688"/>
      <c r="X310" s="688"/>
      <c r="Y310" s="688"/>
    </row>
    <row r="311" spans="1:1024" s="626" customFormat="1" ht="33.75" customHeight="1">
      <c r="A311" s="3520" t="s">
        <v>843</v>
      </c>
      <c r="B311" s="3520"/>
      <c r="C311" s="3520"/>
      <c r="D311" s="3520"/>
      <c r="E311" s="3520"/>
      <c r="F311" s="3520"/>
      <c r="G311" s="3520"/>
      <c r="H311" s="3520"/>
      <c r="I311" s="3520"/>
      <c r="J311" s="619"/>
      <c r="K311" s="619"/>
      <c r="L311" s="620"/>
      <c r="M311" s="621"/>
      <c r="N311" s="622"/>
      <c r="O311" s="623"/>
      <c r="P311" s="622"/>
      <c r="Q311" s="623"/>
      <c r="R311" s="624"/>
      <c r="S311" s="625"/>
      <c r="T311" s="625"/>
      <c r="U311" s="625"/>
      <c r="V311" s="625"/>
      <c r="W311" s="625"/>
      <c r="X311" s="625"/>
      <c r="Y311" s="625"/>
      <c r="AMJ311" s="592"/>
    </row>
    <row r="312" spans="1:1024" s="592" customFormat="1" ht="30" customHeight="1">
      <c r="A312" s="3523" t="s">
        <v>844</v>
      </c>
      <c r="B312" s="3523"/>
      <c r="C312" s="3523"/>
      <c r="D312" s="3523"/>
      <c r="E312" s="3523"/>
      <c r="F312" s="3523"/>
      <c r="G312" s="3523"/>
      <c r="H312" s="3523"/>
      <c r="I312" s="3523"/>
      <c r="J312" s="627"/>
      <c r="K312" s="627"/>
      <c r="L312" s="628"/>
      <c r="M312" s="629"/>
      <c r="N312" s="630"/>
      <c r="O312" s="631"/>
      <c r="P312" s="630"/>
      <c r="Q312" s="631"/>
      <c r="R312" s="632"/>
      <c r="S312" s="633"/>
      <c r="T312" s="633"/>
      <c r="U312" s="633"/>
      <c r="V312" s="629"/>
      <c r="W312" s="629"/>
      <c r="X312" s="629"/>
      <c r="Y312" s="629"/>
    </row>
    <row r="313" spans="1:1024" s="592" customFormat="1" ht="16.5" customHeight="1">
      <c r="A313" s="657">
        <v>511</v>
      </c>
      <c r="B313" s="3521"/>
      <c r="C313" s="3521"/>
      <c r="D313" s="3521"/>
      <c r="E313" s="3521"/>
      <c r="F313" s="3521"/>
      <c r="G313" s="3521"/>
      <c r="H313" s="3521"/>
      <c r="I313" s="3521"/>
      <c r="J313" s="658"/>
      <c r="K313" s="659"/>
      <c r="L313" s="660"/>
      <c r="M313" s="661"/>
      <c r="N313" s="659"/>
      <c r="O313" s="662"/>
      <c r="P313" s="659"/>
      <c r="Q313" s="662"/>
      <c r="R313" s="729"/>
      <c r="S313" s="664"/>
      <c r="T313" s="664"/>
      <c r="U313" s="664"/>
      <c r="V313" s="664"/>
      <c r="W313" s="664"/>
      <c r="X313" s="664"/>
      <c r="Y313" s="664"/>
    </row>
    <row r="314" spans="1:1024" s="592" customFormat="1">
      <c r="A314" s="698" t="s">
        <v>233</v>
      </c>
      <c r="B314" s="699"/>
      <c r="C314" s="667"/>
      <c r="D314" s="668"/>
      <c r="E314" s="669"/>
      <c r="F314" s="735"/>
      <c r="G314" s="670"/>
      <c r="H314" s="669"/>
      <c r="I314" s="671"/>
      <c r="J314" s="682"/>
      <c r="K314" s="669"/>
      <c r="L314" s="683"/>
      <c r="M314" s="684"/>
      <c r="N314" s="685"/>
      <c r="O314" s="686"/>
      <c r="P314" s="685"/>
      <c r="Q314" s="686"/>
      <c r="R314" s="687"/>
      <c r="S314" s="688"/>
      <c r="T314" s="688"/>
      <c r="U314" s="688"/>
      <c r="V314" s="688"/>
      <c r="W314" s="688"/>
      <c r="X314" s="688"/>
      <c r="Y314" s="688"/>
    </row>
    <row r="315" spans="1:1024" s="626" customFormat="1" ht="33.75" customHeight="1">
      <c r="A315" s="3526" t="s">
        <v>281</v>
      </c>
      <c r="B315" s="3526"/>
      <c r="C315" s="3526"/>
      <c r="D315" s="3526"/>
      <c r="E315" s="3526"/>
      <c r="F315" s="3526"/>
      <c r="G315" s="3526"/>
      <c r="H315" s="3526"/>
      <c r="I315" s="3526"/>
      <c r="J315" s="741"/>
      <c r="K315" s="741"/>
      <c r="L315" s="742"/>
      <c r="M315" s="743"/>
      <c r="N315" s="743"/>
      <c r="O315" s="744"/>
      <c r="P315" s="743"/>
      <c r="Q315" s="744"/>
      <c r="R315" s="745" t="e">
        <f>+R316+R325+R334</f>
        <v>#VALUE!</v>
      </c>
      <c r="S315" s="625"/>
      <c r="T315" s="625"/>
      <c r="U315" s="625"/>
      <c r="V315" s="625"/>
      <c r="W315" s="625"/>
      <c r="X315" s="625"/>
      <c r="Y315" s="625"/>
      <c r="AMJ315" s="592"/>
    </row>
    <row r="316" spans="1:1024" ht="33" customHeight="1">
      <c r="A316" s="3523" t="s">
        <v>282</v>
      </c>
      <c r="B316" s="3523"/>
      <c r="C316" s="3523"/>
      <c r="D316" s="3523"/>
      <c r="E316" s="3523"/>
      <c r="F316" s="3523"/>
      <c r="G316" s="3523"/>
      <c r="H316" s="3523"/>
      <c r="I316" s="3523"/>
      <c r="J316" s="627"/>
      <c r="K316" s="627"/>
      <c r="L316" s="628"/>
      <c r="M316" s="629"/>
      <c r="N316" s="630"/>
      <c r="O316" s="631"/>
      <c r="P316" s="630"/>
      <c r="Q316" s="631"/>
      <c r="R316" s="632"/>
      <c r="S316" s="633"/>
      <c r="T316" s="633"/>
      <c r="U316" s="633"/>
      <c r="V316" s="629"/>
      <c r="W316" s="629"/>
      <c r="X316" s="629"/>
      <c r="Y316" s="629"/>
    </row>
    <row r="317" spans="1:1024" ht="16.5" customHeight="1">
      <c r="A317" s="657">
        <v>611</v>
      </c>
      <c r="B317" s="3521"/>
      <c r="C317" s="3521"/>
      <c r="D317" s="3521"/>
      <c r="E317" s="3521"/>
      <c r="F317" s="3521"/>
      <c r="G317" s="3521"/>
      <c r="H317" s="3521"/>
      <c r="I317" s="3521"/>
      <c r="J317" s="658"/>
      <c r="K317" s="659"/>
      <c r="L317" s="660"/>
      <c r="M317" s="661"/>
      <c r="N317" s="659"/>
      <c r="O317" s="662"/>
      <c r="P317" s="659"/>
      <c r="Q317" s="662"/>
      <c r="R317" s="729"/>
      <c r="S317" s="664"/>
      <c r="T317" s="664"/>
      <c r="U317" s="664"/>
      <c r="V317" s="664"/>
      <c r="W317" s="664"/>
      <c r="X317" s="664"/>
      <c r="Y317" s="664"/>
    </row>
    <row r="318" spans="1:1024">
      <c r="A318" s="665">
        <v>6111</v>
      </c>
      <c r="B318" s="699"/>
      <c r="C318" s="667"/>
      <c r="D318" s="668"/>
      <c r="E318" s="669"/>
      <c r="F318" s="735"/>
      <c r="G318" s="670"/>
      <c r="H318" s="669"/>
      <c r="I318" s="671"/>
      <c r="J318" s="682"/>
      <c r="K318" s="669"/>
      <c r="L318" s="683"/>
      <c r="M318" s="684"/>
      <c r="N318" s="685"/>
      <c r="O318" s="686"/>
      <c r="P318" s="685"/>
      <c r="Q318" s="686"/>
      <c r="R318" s="687"/>
      <c r="S318" s="688"/>
      <c r="T318" s="688"/>
      <c r="U318" s="688"/>
      <c r="V318" s="688"/>
      <c r="W318" s="688"/>
      <c r="X318" s="688"/>
      <c r="Y318" s="688"/>
    </row>
    <row r="319" spans="1:1024">
      <c r="A319" s="665">
        <v>6112</v>
      </c>
      <c r="B319" s="699"/>
      <c r="C319" s="667"/>
      <c r="D319" s="668"/>
      <c r="E319" s="669"/>
      <c r="F319" s="735"/>
      <c r="G319" s="670"/>
      <c r="H319" s="669"/>
      <c r="I319" s="671"/>
      <c r="J319" s="682"/>
      <c r="K319" s="669"/>
      <c r="L319" s="683"/>
      <c r="M319" s="684"/>
      <c r="N319" s="685"/>
      <c r="O319" s="686"/>
      <c r="P319" s="685"/>
      <c r="Q319" s="686"/>
      <c r="R319" s="687"/>
      <c r="S319" s="688"/>
      <c r="T319" s="688"/>
      <c r="U319" s="688"/>
      <c r="V319" s="688"/>
      <c r="W319" s="688"/>
      <c r="X319" s="688"/>
      <c r="Y319" s="688"/>
    </row>
    <row r="320" spans="1:1024">
      <c r="A320" s="665">
        <v>6113</v>
      </c>
      <c r="B320" s="699"/>
      <c r="C320" s="667"/>
      <c r="D320" s="668"/>
      <c r="E320" s="669"/>
      <c r="F320" s="735"/>
      <c r="G320" s="670"/>
      <c r="H320" s="669"/>
      <c r="I320" s="671"/>
      <c r="J320" s="682"/>
      <c r="K320" s="669"/>
      <c r="L320" s="683"/>
      <c r="M320" s="684"/>
      <c r="N320" s="685"/>
      <c r="O320" s="686"/>
      <c r="P320" s="685"/>
      <c r="Q320" s="686"/>
      <c r="R320" s="687"/>
      <c r="S320" s="688"/>
      <c r="T320" s="688"/>
      <c r="U320" s="688"/>
      <c r="V320" s="688"/>
      <c r="W320" s="688"/>
      <c r="X320" s="688"/>
      <c r="Y320" s="688"/>
    </row>
    <row r="321" spans="1:25" ht="16.5" customHeight="1">
      <c r="A321" s="657">
        <v>612</v>
      </c>
      <c r="B321" s="3521"/>
      <c r="C321" s="3521"/>
      <c r="D321" s="3521"/>
      <c r="E321" s="3521"/>
      <c r="F321" s="3521"/>
      <c r="G321" s="3521"/>
      <c r="H321" s="3521"/>
      <c r="I321" s="3521"/>
      <c r="J321" s="658"/>
      <c r="K321" s="659"/>
      <c r="L321" s="660"/>
      <c r="M321" s="661"/>
      <c r="N321" s="659"/>
      <c r="O321" s="662"/>
      <c r="P321" s="659"/>
      <c r="Q321" s="662"/>
      <c r="R321" s="729"/>
      <c r="S321" s="664"/>
      <c r="T321" s="664"/>
      <c r="U321" s="664"/>
      <c r="V321" s="664"/>
      <c r="W321" s="664"/>
      <c r="X321" s="664"/>
      <c r="Y321" s="664"/>
    </row>
    <row r="322" spans="1:25">
      <c r="A322" s="665">
        <v>6121</v>
      </c>
      <c r="B322" s="699"/>
      <c r="C322" s="667"/>
      <c r="D322" s="668"/>
      <c r="E322" s="669"/>
      <c r="F322" s="735"/>
      <c r="G322" s="670"/>
      <c r="H322" s="669"/>
      <c r="I322" s="671"/>
      <c r="J322" s="682"/>
      <c r="K322" s="669"/>
      <c r="L322" s="683"/>
      <c r="M322" s="684"/>
      <c r="N322" s="685"/>
      <c r="O322" s="686"/>
      <c r="P322" s="685"/>
      <c r="Q322" s="686"/>
      <c r="R322" s="687"/>
      <c r="S322" s="688"/>
      <c r="T322" s="688"/>
      <c r="U322" s="688"/>
      <c r="V322" s="688"/>
      <c r="W322" s="688"/>
      <c r="X322" s="688"/>
      <c r="Y322" s="688"/>
    </row>
    <row r="323" spans="1:25">
      <c r="A323" s="665">
        <v>6122</v>
      </c>
      <c r="B323" s="699"/>
      <c r="C323" s="667"/>
      <c r="D323" s="668"/>
      <c r="E323" s="669"/>
      <c r="F323" s="735"/>
      <c r="G323" s="670"/>
      <c r="H323" s="669"/>
      <c r="I323" s="671"/>
      <c r="J323" s="682"/>
      <c r="K323" s="669"/>
      <c r="L323" s="683"/>
      <c r="M323" s="684"/>
      <c r="N323" s="685"/>
      <c r="O323" s="686"/>
      <c r="P323" s="685"/>
      <c r="Q323" s="686"/>
      <c r="R323" s="687"/>
      <c r="S323" s="688"/>
      <c r="T323" s="688"/>
      <c r="U323" s="688"/>
      <c r="V323" s="688"/>
      <c r="W323" s="688"/>
      <c r="X323" s="688"/>
      <c r="Y323" s="688"/>
    </row>
    <row r="324" spans="1:25">
      <c r="A324" s="738" t="s">
        <v>233</v>
      </c>
      <c r="B324" s="699"/>
      <c r="C324" s="667"/>
      <c r="D324" s="668"/>
      <c r="E324" s="669"/>
      <c r="F324" s="735"/>
      <c r="G324" s="670"/>
      <c r="H324" s="669"/>
      <c r="I324" s="671"/>
      <c r="J324" s="682"/>
      <c r="K324" s="669"/>
      <c r="L324" s="683"/>
      <c r="M324" s="684"/>
      <c r="N324" s="685"/>
      <c r="O324" s="686"/>
      <c r="P324" s="685"/>
      <c r="Q324" s="686"/>
      <c r="R324" s="687"/>
      <c r="S324" s="688"/>
      <c r="T324" s="688"/>
      <c r="U324" s="688"/>
      <c r="V324" s="688"/>
      <c r="W324" s="688"/>
      <c r="X324" s="688"/>
      <c r="Y324" s="688"/>
    </row>
    <row r="325" spans="1:25" ht="38.25" customHeight="1">
      <c r="A325" s="3523" t="s">
        <v>283</v>
      </c>
      <c r="B325" s="3523"/>
      <c r="C325" s="3523"/>
      <c r="D325" s="3523"/>
      <c r="E325" s="3523"/>
      <c r="F325" s="3523"/>
      <c r="G325" s="3523"/>
      <c r="H325" s="3523"/>
      <c r="I325" s="3523"/>
      <c r="J325" s="627"/>
      <c r="K325" s="627"/>
      <c r="L325" s="628"/>
      <c r="M325" s="629"/>
      <c r="N325" s="630"/>
      <c r="O325" s="631"/>
      <c r="P325" s="630"/>
      <c r="Q325" s="631"/>
      <c r="R325" s="632"/>
      <c r="S325" s="633"/>
      <c r="T325" s="633"/>
      <c r="U325" s="633"/>
      <c r="V325" s="629"/>
      <c r="W325" s="629"/>
      <c r="X325" s="629"/>
      <c r="Y325" s="629"/>
    </row>
    <row r="326" spans="1:25" ht="16.5" customHeight="1">
      <c r="A326" s="657">
        <v>621</v>
      </c>
      <c r="B326" s="3521"/>
      <c r="C326" s="3521"/>
      <c r="D326" s="3521"/>
      <c r="E326" s="3521"/>
      <c r="F326" s="3521"/>
      <c r="G326" s="3521"/>
      <c r="H326" s="3521"/>
      <c r="I326" s="3521"/>
      <c r="J326" s="658"/>
      <c r="K326" s="659"/>
      <c r="L326" s="660"/>
      <c r="M326" s="661"/>
      <c r="N326" s="659"/>
      <c r="O326" s="662"/>
      <c r="P326" s="659"/>
      <c r="Q326" s="662"/>
      <c r="R326" s="729"/>
      <c r="S326" s="664"/>
      <c r="T326" s="664"/>
      <c r="U326" s="664"/>
      <c r="V326" s="664"/>
      <c r="W326" s="664"/>
      <c r="X326" s="664"/>
      <c r="Y326" s="664"/>
    </row>
    <row r="327" spans="1:25">
      <c r="A327" s="665">
        <v>6211</v>
      </c>
      <c r="B327" s="699"/>
      <c r="C327" s="667"/>
      <c r="D327" s="668"/>
      <c r="E327" s="669"/>
      <c r="F327" s="735"/>
      <c r="G327" s="670"/>
      <c r="H327" s="669"/>
      <c r="I327" s="671"/>
      <c r="J327" s="682"/>
      <c r="K327" s="669"/>
      <c r="L327" s="683"/>
      <c r="M327" s="684"/>
      <c r="N327" s="685"/>
      <c r="O327" s="686"/>
      <c r="P327" s="685"/>
      <c r="Q327" s="686"/>
      <c r="R327" s="687"/>
      <c r="S327" s="688"/>
      <c r="T327" s="688"/>
      <c r="U327" s="688"/>
      <c r="V327" s="688"/>
      <c r="W327" s="688"/>
      <c r="X327" s="688"/>
      <c r="Y327" s="688"/>
    </row>
    <row r="328" spans="1:25">
      <c r="A328" s="665">
        <v>6212</v>
      </c>
      <c r="B328" s="699"/>
      <c r="C328" s="667"/>
      <c r="D328" s="668"/>
      <c r="E328" s="669"/>
      <c r="F328" s="735"/>
      <c r="G328" s="670"/>
      <c r="H328" s="669"/>
      <c r="I328" s="671"/>
      <c r="J328" s="682"/>
      <c r="K328" s="669"/>
      <c r="L328" s="683"/>
      <c r="M328" s="684"/>
      <c r="N328" s="685"/>
      <c r="O328" s="686"/>
      <c r="P328" s="685"/>
      <c r="Q328" s="686"/>
      <c r="R328" s="687"/>
      <c r="S328" s="688"/>
      <c r="T328" s="688"/>
      <c r="U328" s="688"/>
      <c r="V328" s="688"/>
      <c r="W328" s="688"/>
      <c r="X328" s="688"/>
      <c r="Y328" s="688"/>
    </row>
    <row r="329" spans="1:25">
      <c r="A329" s="665">
        <v>6213</v>
      </c>
      <c r="B329" s="699"/>
      <c r="C329" s="667"/>
      <c r="D329" s="668"/>
      <c r="E329" s="669"/>
      <c r="F329" s="735"/>
      <c r="G329" s="670"/>
      <c r="H329" s="669"/>
      <c r="I329" s="671"/>
      <c r="J329" s="682"/>
      <c r="K329" s="669"/>
      <c r="L329" s="683"/>
      <c r="M329" s="684"/>
      <c r="N329" s="685"/>
      <c r="O329" s="686"/>
      <c r="P329" s="685"/>
      <c r="Q329" s="686"/>
      <c r="R329" s="687"/>
      <c r="S329" s="688"/>
      <c r="T329" s="688"/>
      <c r="U329" s="688"/>
      <c r="V329" s="688"/>
      <c r="W329" s="688"/>
      <c r="X329" s="688"/>
      <c r="Y329" s="688"/>
    </row>
    <row r="330" spans="1:25" ht="16.5" customHeight="1">
      <c r="A330" s="657">
        <v>622</v>
      </c>
      <c r="B330" s="3521"/>
      <c r="C330" s="3521"/>
      <c r="D330" s="3521"/>
      <c r="E330" s="3521"/>
      <c r="F330" s="3521"/>
      <c r="G330" s="3521"/>
      <c r="H330" s="3521"/>
      <c r="I330" s="3521"/>
      <c r="J330" s="658"/>
      <c r="K330" s="659"/>
      <c r="L330" s="660"/>
      <c r="M330" s="661"/>
      <c r="N330" s="659"/>
      <c r="O330" s="662"/>
      <c r="P330" s="659"/>
      <c r="Q330" s="662"/>
      <c r="R330" s="729"/>
      <c r="S330" s="664"/>
      <c r="T330" s="664"/>
      <c r="U330" s="664"/>
      <c r="V330" s="664"/>
      <c r="W330" s="664"/>
      <c r="X330" s="664"/>
      <c r="Y330" s="664"/>
    </row>
    <row r="331" spans="1:25">
      <c r="A331" s="665">
        <v>6221</v>
      </c>
      <c r="B331" s="699"/>
      <c r="C331" s="667"/>
      <c r="D331" s="668"/>
      <c r="E331" s="669"/>
      <c r="F331" s="735"/>
      <c r="G331" s="670"/>
      <c r="H331" s="669"/>
      <c r="I331" s="671"/>
      <c r="J331" s="682"/>
      <c r="K331" s="669"/>
      <c r="L331" s="683"/>
      <c r="M331" s="684"/>
      <c r="N331" s="685"/>
      <c r="O331" s="686"/>
      <c r="P331" s="685"/>
      <c r="Q331" s="686"/>
      <c r="R331" s="687"/>
      <c r="S331" s="688"/>
      <c r="T331" s="688"/>
      <c r="U331" s="688"/>
      <c r="V331" s="688"/>
      <c r="W331" s="688"/>
      <c r="X331" s="688"/>
      <c r="Y331" s="688"/>
    </row>
    <row r="332" spans="1:25">
      <c r="A332" s="665">
        <v>6222</v>
      </c>
      <c r="B332" s="699"/>
      <c r="C332" s="667"/>
      <c r="D332" s="668"/>
      <c r="E332" s="669"/>
      <c r="F332" s="735"/>
      <c r="G332" s="670"/>
      <c r="H332" s="669"/>
      <c r="I332" s="671"/>
      <c r="J332" s="682"/>
      <c r="K332" s="669"/>
      <c r="L332" s="683"/>
      <c r="M332" s="684"/>
      <c r="N332" s="685"/>
      <c r="O332" s="686"/>
      <c r="P332" s="685"/>
      <c r="Q332" s="686"/>
      <c r="R332" s="687"/>
      <c r="S332" s="688"/>
      <c r="T332" s="688"/>
      <c r="U332" s="688"/>
      <c r="V332" s="688"/>
      <c r="W332" s="688"/>
      <c r="X332" s="688"/>
      <c r="Y332" s="688"/>
    </row>
    <row r="333" spans="1:25">
      <c r="A333" s="738" t="s">
        <v>233</v>
      </c>
      <c r="B333" s="699"/>
      <c r="C333" s="667"/>
      <c r="D333" s="668"/>
      <c r="E333" s="669"/>
      <c r="F333" s="735"/>
      <c r="G333" s="670"/>
      <c r="H333" s="669"/>
      <c r="I333" s="671"/>
      <c r="J333" s="682"/>
      <c r="K333" s="669"/>
      <c r="L333" s="683"/>
      <c r="M333" s="684"/>
      <c r="N333" s="685"/>
      <c r="O333" s="686"/>
      <c r="P333" s="685"/>
      <c r="Q333" s="686"/>
      <c r="R333" s="687"/>
      <c r="S333" s="688"/>
      <c r="T333" s="688"/>
      <c r="U333" s="688"/>
      <c r="V333" s="688"/>
      <c r="W333" s="688"/>
      <c r="X333" s="688"/>
      <c r="Y333" s="688"/>
    </row>
    <row r="334" spans="1:25" ht="38.25" customHeight="1">
      <c r="A334" s="3523" t="s">
        <v>284</v>
      </c>
      <c r="B334" s="3523"/>
      <c r="C334" s="3523"/>
      <c r="D334" s="3523"/>
      <c r="E334" s="3523"/>
      <c r="F334" s="3523"/>
      <c r="G334" s="3523"/>
      <c r="H334" s="3523"/>
      <c r="I334" s="3523"/>
      <c r="J334" s="627"/>
      <c r="K334" s="627"/>
      <c r="L334" s="628"/>
      <c r="M334" s="629"/>
      <c r="N334" s="630"/>
      <c r="O334" s="631"/>
      <c r="P334" s="630"/>
      <c r="Q334" s="631"/>
      <c r="R334" s="632" t="e">
        <f>+'[15]Compil Costing PPA 3 millions'!F20</f>
        <v>#VALUE!</v>
      </c>
      <c r="S334" s="633"/>
      <c r="T334" s="633"/>
      <c r="U334" s="633"/>
      <c r="V334" s="629"/>
      <c r="W334" s="629"/>
      <c r="X334" s="629"/>
      <c r="Y334" s="629"/>
    </row>
    <row r="335" spans="1:25" ht="16.5" customHeight="1">
      <c r="A335" s="657">
        <v>631</v>
      </c>
      <c r="B335" s="3521"/>
      <c r="C335" s="3521"/>
      <c r="D335" s="3521"/>
      <c r="E335" s="3521"/>
      <c r="F335" s="3521"/>
      <c r="G335" s="3521"/>
      <c r="H335" s="3521"/>
      <c r="I335" s="3521"/>
      <c r="J335" s="658"/>
      <c r="K335" s="659"/>
      <c r="L335" s="660"/>
      <c r="M335" s="661"/>
      <c r="N335" s="659"/>
      <c r="O335" s="662"/>
      <c r="P335" s="659"/>
      <c r="Q335" s="662"/>
      <c r="R335" s="729"/>
      <c r="S335" s="664"/>
      <c r="T335" s="664"/>
      <c r="U335" s="664"/>
      <c r="V335" s="664"/>
      <c r="W335" s="664"/>
      <c r="X335" s="664"/>
      <c r="Y335" s="664"/>
    </row>
    <row r="336" spans="1:25">
      <c r="A336" s="665">
        <v>6311</v>
      </c>
      <c r="B336" s="699"/>
      <c r="C336" s="667"/>
      <c r="D336" s="668"/>
      <c r="E336" s="669"/>
      <c r="F336" s="735"/>
      <c r="G336" s="670"/>
      <c r="H336" s="669"/>
      <c r="I336" s="671"/>
      <c r="J336" s="682"/>
      <c r="K336" s="669"/>
      <c r="L336" s="683"/>
      <c r="M336" s="684"/>
      <c r="N336" s="685"/>
      <c r="O336" s="686"/>
      <c r="P336" s="685"/>
      <c r="Q336" s="686"/>
      <c r="R336" s="687"/>
      <c r="S336" s="688"/>
      <c r="T336" s="688"/>
      <c r="U336" s="688"/>
      <c r="V336" s="688"/>
      <c r="W336" s="688"/>
      <c r="X336" s="688"/>
      <c r="Y336" s="688"/>
    </row>
    <row r="337" spans="1:25">
      <c r="A337" s="665">
        <v>6312</v>
      </c>
      <c r="B337" s="699"/>
      <c r="C337" s="667"/>
      <c r="D337" s="668"/>
      <c r="E337" s="669"/>
      <c r="F337" s="735"/>
      <c r="G337" s="670"/>
      <c r="H337" s="669"/>
      <c r="I337" s="671"/>
      <c r="J337" s="682"/>
      <c r="K337" s="669"/>
      <c r="L337" s="683"/>
      <c r="M337" s="684"/>
      <c r="N337" s="685"/>
      <c r="O337" s="686"/>
      <c r="P337" s="685"/>
      <c r="Q337" s="686"/>
      <c r="R337" s="687"/>
      <c r="S337" s="688"/>
      <c r="T337" s="688"/>
      <c r="U337" s="688"/>
      <c r="V337" s="688"/>
      <c r="W337" s="688"/>
      <c r="X337" s="688"/>
      <c r="Y337" s="688"/>
    </row>
    <row r="338" spans="1:25">
      <c r="A338" s="665">
        <v>6313</v>
      </c>
      <c r="B338" s="699"/>
      <c r="C338" s="667"/>
      <c r="D338" s="668"/>
      <c r="E338" s="669"/>
      <c r="F338" s="735"/>
      <c r="G338" s="670"/>
      <c r="H338" s="669"/>
      <c r="I338" s="671"/>
      <c r="J338" s="682"/>
      <c r="K338" s="669"/>
      <c r="L338" s="683"/>
      <c r="M338" s="684"/>
      <c r="N338" s="685"/>
      <c r="O338" s="686"/>
      <c r="P338" s="685"/>
      <c r="Q338" s="686"/>
      <c r="R338" s="687"/>
      <c r="S338" s="688"/>
      <c r="T338" s="688"/>
      <c r="U338" s="688"/>
      <c r="V338" s="688"/>
      <c r="W338" s="688"/>
      <c r="X338" s="688"/>
      <c r="Y338" s="688"/>
    </row>
    <row r="339" spans="1:25" ht="16.5" customHeight="1">
      <c r="A339" s="657">
        <v>632</v>
      </c>
      <c r="B339" s="3521"/>
      <c r="C339" s="3521"/>
      <c r="D339" s="3521"/>
      <c r="E339" s="3521"/>
      <c r="F339" s="3521"/>
      <c r="G339" s="3521"/>
      <c r="H339" s="3521"/>
      <c r="I339" s="3521"/>
      <c r="J339" s="658"/>
      <c r="K339" s="659"/>
      <c r="L339" s="660"/>
      <c r="M339" s="661"/>
      <c r="N339" s="659"/>
      <c r="O339" s="662"/>
      <c r="P339" s="659"/>
      <c r="Q339" s="662"/>
      <c r="R339" s="729"/>
      <c r="S339" s="664"/>
      <c r="T339" s="664"/>
      <c r="U339" s="664"/>
      <c r="V339" s="664"/>
      <c r="W339" s="664"/>
      <c r="X339" s="664"/>
      <c r="Y339" s="664"/>
    </row>
    <row r="340" spans="1:25">
      <c r="A340" s="665">
        <v>6321</v>
      </c>
      <c r="B340" s="699"/>
      <c r="C340" s="667"/>
      <c r="D340" s="668"/>
      <c r="E340" s="669"/>
      <c r="F340" s="735"/>
      <c r="G340" s="670"/>
      <c r="H340" s="669"/>
      <c r="I340" s="671"/>
      <c r="J340" s="682"/>
      <c r="K340" s="669"/>
      <c r="L340" s="683"/>
      <c r="M340" s="684"/>
      <c r="N340" s="685"/>
      <c r="O340" s="686"/>
      <c r="P340" s="685"/>
      <c r="Q340" s="686"/>
      <c r="R340" s="687"/>
      <c r="S340" s="688"/>
      <c r="T340" s="688"/>
      <c r="U340" s="688"/>
      <c r="V340" s="688"/>
      <c r="W340" s="688"/>
      <c r="X340" s="688"/>
      <c r="Y340" s="688"/>
    </row>
    <row r="341" spans="1:25">
      <c r="A341" s="665">
        <v>6322</v>
      </c>
      <c r="B341" s="699"/>
      <c r="C341" s="667"/>
      <c r="D341" s="668"/>
      <c r="E341" s="669"/>
      <c r="F341" s="735"/>
      <c r="G341" s="670"/>
      <c r="H341" s="669"/>
      <c r="I341" s="671"/>
      <c r="J341" s="682"/>
      <c r="K341" s="669"/>
      <c r="L341" s="683"/>
      <c r="M341" s="684"/>
      <c r="N341" s="685"/>
      <c r="O341" s="686"/>
      <c r="P341" s="685"/>
      <c r="Q341" s="686"/>
      <c r="R341" s="687"/>
      <c r="S341" s="688"/>
      <c r="T341" s="688"/>
      <c r="U341" s="688"/>
      <c r="V341" s="688"/>
      <c r="W341" s="688"/>
      <c r="X341" s="688"/>
      <c r="Y341" s="688"/>
    </row>
    <row r="342" spans="1:25">
      <c r="A342" s="738" t="s">
        <v>233</v>
      </c>
      <c r="B342" s="699"/>
      <c r="C342" s="667"/>
      <c r="D342" s="668"/>
      <c r="E342" s="669"/>
      <c r="F342" s="735"/>
      <c r="G342" s="670"/>
      <c r="H342" s="669"/>
      <c r="I342" s="671"/>
      <c r="J342" s="682"/>
      <c r="K342" s="669"/>
      <c r="L342" s="683"/>
      <c r="M342" s="684"/>
      <c r="N342" s="685"/>
      <c r="O342" s="686"/>
      <c r="P342" s="685"/>
      <c r="Q342" s="686"/>
      <c r="R342" s="687"/>
      <c r="S342" s="688"/>
      <c r="T342" s="688"/>
      <c r="U342" s="688"/>
      <c r="V342" s="688"/>
      <c r="W342" s="688"/>
      <c r="X342" s="688"/>
      <c r="Y342" s="688"/>
    </row>
    <row r="343" spans="1:25">
      <c r="P343" s="756" t="s">
        <v>41</v>
      </c>
      <c r="Q343" s="758">
        <f>+Q7+Q235+Q264+Q283+Q311+Q315</f>
        <v>0</v>
      </c>
      <c r="R343" s="759" t="e">
        <f>+R7+R235+R264+R283+R311+R315</f>
        <v>#VALUE!</v>
      </c>
    </row>
  </sheetData>
  <mergeCells count="64">
    <mergeCell ref="B275:I275"/>
    <mergeCell ref="A245:I245"/>
    <mergeCell ref="B246:I246"/>
    <mergeCell ref="B339:I339"/>
    <mergeCell ref="A312:I312"/>
    <mergeCell ref="B313:I313"/>
    <mergeCell ref="A315:I315"/>
    <mergeCell ref="A316:I316"/>
    <mergeCell ref="B317:I317"/>
    <mergeCell ref="B321:I321"/>
    <mergeCell ref="A325:I325"/>
    <mergeCell ref="B326:I326"/>
    <mergeCell ref="B330:I330"/>
    <mergeCell ref="A334:I334"/>
    <mergeCell ref="B335:I335"/>
    <mergeCell ref="A311:I311"/>
    <mergeCell ref="B260:I260"/>
    <mergeCell ref="B307:I307"/>
    <mergeCell ref="A265:I265"/>
    <mergeCell ref="B266:I266"/>
    <mergeCell ref="B270:I270"/>
    <mergeCell ref="A274:I274"/>
    <mergeCell ref="A293:I293"/>
    <mergeCell ref="B294:I294"/>
    <mergeCell ref="B298:I298"/>
    <mergeCell ref="A302:I302"/>
    <mergeCell ref="B303:I303"/>
    <mergeCell ref="B279:I279"/>
    <mergeCell ref="A283:I283"/>
    <mergeCell ref="A284:I284"/>
    <mergeCell ref="B285:I285"/>
    <mergeCell ref="B289:I289"/>
    <mergeCell ref="A264:I264"/>
    <mergeCell ref="B241:I241"/>
    <mergeCell ref="N5:N6"/>
    <mergeCell ref="O5:O6"/>
    <mergeCell ref="A235:I235"/>
    <mergeCell ref="B237:I237"/>
    <mergeCell ref="A7:I7"/>
    <mergeCell ref="B96:I96"/>
    <mergeCell ref="B167:I167"/>
    <mergeCell ref="A95:I95"/>
    <mergeCell ref="A8:I8"/>
    <mergeCell ref="B9:I9"/>
    <mergeCell ref="A236:I236"/>
    <mergeCell ref="B251:I251"/>
    <mergeCell ref="A255:I255"/>
    <mergeCell ref="B256:I256"/>
    <mergeCell ref="A2:V2"/>
    <mergeCell ref="A5:A6"/>
    <mergeCell ref="B5:B6"/>
    <mergeCell ref="C5:C6"/>
    <mergeCell ref="D5:D6"/>
    <mergeCell ref="E5:E6"/>
    <mergeCell ref="F5:G5"/>
    <mergeCell ref="H5:H6"/>
    <mergeCell ref="I5:J5"/>
    <mergeCell ref="K5:K6"/>
    <mergeCell ref="L5:L6"/>
    <mergeCell ref="M5:M6"/>
    <mergeCell ref="R5:R6"/>
    <mergeCell ref="S5:Y5"/>
    <mergeCell ref="P5:P6"/>
    <mergeCell ref="Q5:Q6"/>
  </mergeCells>
  <conditionalFormatting sqref="F165:G165">
    <cfRule type="timePeriod" dxfId="11" priority="3" timePeriod="lastWeek">
      <formula>AND(TODAY()-ROUNDDOWN(F165,0)&gt;=(WEEKDAY(TODAY())),TODAY()-ROUNDDOWN(F165,0)&lt;(WEEKDAY(TODAY())+7))</formula>
    </cfRule>
    <cfRule type="timePeriod" dxfId="10" priority="4" timePeriod="lastWeek">
      <formula>AND(TODAY()-ROUNDDOWN(F165,0)&gt;=(WEEKDAY(TODAY())),TODAY()-ROUNDDOWN(F165,0)&lt;(WEEKDAY(TODAY())+7))</formula>
    </cfRule>
  </conditionalFormatting>
  <conditionalFormatting sqref="F164:G164">
    <cfRule type="timePeriod" dxfId="9" priority="1" timePeriod="lastWeek">
      <formula>AND(TODAY()-ROUNDDOWN(F164,0)&gt;=(WEEKDAY(TODAY())),TODAY()-ROUNDDOWN(F164,0)&lt;(WEEKDAY(TODAY())+7))</formula>
    </cfRule>
    <cfRule type="timePeriod" dxfId="8" priority="2" timePeriod="lastWeek">
      <formula>AND(TODAY()-ROUNDDOWN(F164,0)&gt;=(WEEKDAY(TODAY())),TODAY()-ROUNDDOWN(F164,0)&lt;(WEEKDAY(TODAY())+7))</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C000"/>
  </sheetPr>
  <dimension ref="A1:Z71"/>
  <sheetViews>
    <sheetView topLeftCell="C33" workbookViewId="0">
      <selection activeCell="A46" sqref="A46:XFD46"/>
    </sheetView>
  </sheetViews>
  <sheetFormatPr baseColWidth="10" defaultColWidth="11.42578125" defaultRowHeight="15.75"/>
  <cols>
    <col min="1" max="1" width="7.28515625" style="336" customWidth="1"/>
    <col min="2" max="2" width="41.42578125" style="337" customWidth="1"/>
    <col min="3" max="3" width="34.85546875" style="337" customWidth="1"/>
    <col min="4" max="5" width="13.140625" style="336" customWidth="1"/>
    <col min="6" max="6" width="11.28515625" style="339" customWidth="1"/>
    <col min="7" max="7" width="12" style="340" customWidth="1"/>
    <col min="8" max="8" width="15.28515625" style="340" customWidth="1"/>
    <col min="9" max="9" width="14.7109375" style="341" customWidth="1"/>
    <col min="10" max="10" width="18.7109375" style="341" customWidth="1"/>
    <col min="11" max="11" width="16.140625" style="341" customWidth="1"/>
    <col min="12" max="12" width="13.85546875" style="342" customWidth="1"/>
    <col min="13" max="13" width="13.85546875" style="280" customWidth="1"/>
    <col min="14" max="14" width="13.85546875" style="341" customWidth="1"/>
    <col min="15" max="15" width="15.85546875" style="577" customWidth="1"/>
    <col min="16" max="16" width="14" style="341" customWidth="1"/>
    <col min="17" max="17" width="17.28515625" style="577" customWidth="1"/>
    <col min="18" max="18" width="17" style="344" bestFit="1" customWidth="1"/>
    <col min="19" max="19" width="10.42578125" style="315" customWidth="1"/>
    <col min="20" max="20" width="14.5703125" style="315" customWidth="1"/>
    <col min="21" max="21" width="10.42578125" style="315" customWidth="1"/>
    <col min="22" max="22" width="16" style="315" customWidth="1"/>
    <col min="23" max="23" width="13.42578125" style="577" bestFit="1" customWidth="1"/>
    <col min="24" max="24" width="13" style="577" customWidth="1"/>
    <col min="25" max="26" width="13.5703125" style="577" customWidth="1"/>
    <col min="27" max="16384" width="11.42578125" style="280"/>
  </cols>
  <sheetData>
    <row r="1" spans="1:26" s="238" customFormat="1">
      <c r="A1" s="234"/>
      <c r="B1" s="235"/>
      <c r="C1" s="235"/>
      <c r="D1" s="234"/>
      <c r="E1" s="234"/>
      <c r="F1" s="237"/>
      <c r="G1" s="237"/>
      <c r="H1" s="237"/>
      <c r="I1" s="237"/>
      <c r="J1" s="237"/>
      <c r="K1" s="237"/>
      <c r="L1" s="237"/>
      <c r="N1" s="237"/>
      <c r="O1" s="240"/>
      <c r="P1" s="237"/>
      <c r="Q1" s="240"/>
      <c r="R1" s="241"/>
      <c r="S1" s="239"/>
      <c r="T1" s="239"/>
      <c r="U1" s="239"/>
      <c r="V1" s="239"/>
      <c r="W1" s="239"/>
      <c r="X1" s="240"/>
      <c r="Y1" s="239"/>
      <c r="Z1" s="239"/>
    </row>
    <row r="2" spans="1:26" s="238" customFormat="1" ht="15.75" customHeight="1">
      <c r="A2" s="3443" t="s">
        <v>202</v>
      </c>
      <c r="B2" s="3443"/>
      <c r="C2" s="3443"/>
      <c r="D2" s="3443"/>
      <c r="E2" s="3443"/>
      <c r="F2" s="3443"/>
      <c r="G2" s="3443"/>
      <c r="H2" s="3443"/>
      <c r="I2" s="3443"/>
      <c r="J2" s="3443"/>
      <c r="K2" s="3443"/>
      <c r="L2" s="3443"/>
      <c r="M2" s="3443"/>
      <c r="N2" s="3443"/>
      <c r="O2" s="3443"/>
      <c r="P2" s="3443"/>
      <c r="Q2" s="3443"/>
      <c r="R2" s="3443"/>
      <c r="S2" s="3443"/>
      <c r="T2" s="3443"/>
      <c r="U2" s="3443"/>
      <c r="V2" s="3443"/>
      <c r="X2" s="240"/>
    </row>
    <row r="3" spans="1:26" s="249" customFormat="1" ht="15.75" customHeight="1">
      <c r="A3" s="244"/>
      <c r="B3" s="244"/>
      <c r="C3" s="244"/>
      <c r="D3" s="245"/>
      <c r="E3" s="245"/>
      <c r="F3" s="245"/>
      <c r="G3" s="245"/>
      <c r="H3" s="245"/>
      <c r="I3" s="245"/>
      <c r="J3" s="245"/>
      <c r="K3" s="245"/>
      <c r="L3" s="245"/>
      <c r="M3" s="244"/>
      <c r="N3" s="245"/>
      <c r="O3" s="247"/>
      <c r="P3" s="245"/>
      <c r="Q3" s="247"/>
      <c r="R3" s="248"/>
      <c r="S3" s="244"/>
      <c r="T3" s="244"/>
      <c r="U3" s="244"/>
      <c r="V3" s="244"/>
      <c r="X3" s="240"/>
    </row>
    <row r="4" spans="1:26" s="255" customFormat="1" ht="15">
      <c r="A4" s="251"/>
      <c r="B4" s="252"/>
      <c r="C4" s="252"/>
      <c r="D4" s="251"/>
      <c r="E4" s="251"/>
      <c r="F4" s="254"/>
      <c r="G4" s="254"/>
      <c r="H4" s="254"/>
      <c r="I4" s="254"/>
      <c r="J4" s="254"/>
      <c r="K4" s="254"/>
      <c r="L4" s="254"/>
      <c r="N4" s="254"/>
      <c r="O4" s="257"/>
      <c r="P4" s="254"/>
      <c r="Q4" s="257"/>
      <c r="R4" s="258"/>
      <c r="S4" s="256"/>
      <c r="T4" s="256"/>
      <c r="U4" s="256"/>
      <c r="V4" s="256"/>
      <c r="W4" s="256"/>
      <c r="X4" s="257"/>
      <c r="Y4" s="256"/>
      <c r="Z4" s="256"/>
    </row>
    <row r="5" spans="1:26" s="238" customFormat="1" ht="34.5" customHeight="1">
      <c r="A5" s="3466" t="s">
        <v>203</v>
      </c>
      <c r="B5" s="3462" t="s">
        <v>204</v>
      </c>
      <c r="C5" s="3462" t="s">
        <v>205</v>
      </c>
      <c r="D5" s="3527" t="s">
        <v>206</v>
      </c>
      <c r="E5" s="3528" t="s">
        <v>207</v>
      </c>
      <c r="F5" s="3468" t="s">
        <v>208</v>
      </c>
      <c r="G5" s="3468"/>
      <c r="H5" s="3468" t="s">
        <v>209</v>
      </c>
      <c r="I5" s="3469" t="s">
        <v>210</v>
      </c>
      <c r="J5" s="3469"/>
      <c r="K5" s="3529" t="s">
        <v>211</v>
      </c>
      <c r="L5" s="3462" t="s">
        <v>212</v>
      </c>
      <c r="M5" s="3463" t="s">
        <v>213</v>
      </c>
      <c r="N5" s="3527" t="s">
        <v>214</v>
      </c>
      <c r="O5" s="3465" t="s">
        <v>215</v>
      </c>
      <c r="P5" s="3462" t="s">
        <v>216</v>
      </c>
      <c r="Q5" s="3465" t="s">
        <v>286</v>
      </c>
      <c r="R5" s="3471" t="s">
        <v>287</v>
      </c>
      <c r="S5" s="3531" t="s">
        <v>219</v>
      </c>
      <c r="T5" s="3532"/>
      <c r="U5" s="3532"/>
      <c r="V5" s="3532"/>
      <c r="W5" s="3532"/>
      <c r="X5" s="3532"/>
      <c r="Y5" s="3532"/>
      <c r="Z5" s="3532"/>
    </row>
    <row r="6" spans="1:26" s="237" customFormat="1" ht="60" customHeight="1">
      <c r="A6" s="3466"/>
      <c r="B6" s="3462"/>
      <c r="C6" s="3462"/>
      <c r="D6" s="3442"/>
      <c r="E6" s="3446"/>
      <c r="F6" s="260" t="s">
        <v>220</v>
      </c>
      <c r="G6" s="261" t="s">
        <v>221</v>
      </c>
      <c r="H6" s="3468"/>
      <c r="I6" s="262" t="s">
        <v>222</v>
      </c>
      <c r="J6" s="262" t="s">
        <v>288</v>
      </c>
      <c r="K6" s="3450"/>
      <c r="L6" s="3462"/>
      <c r="M6" s="3463"/>
      <c r="N6" s="3442"/>
      <c r="O6" s="3465"/>
      <c r="P6" s="3462"/>
      <c r="Q6" s="3465"/>
      <c r="R6" s="3471"/>
      <c r="S6" s="263" t="s">
        <v>224</v>
      </c>
      <c r="T6" s="263" t="s">
        <v>225</v>
      </c>
      <c r="U6" s="263" t="s">
        <v>226</v>
      </c>
      <c r="V6" s="263" t="s">
        <v>227</v>
      </c>
      <c r="W6" s="263" t="s">
        <v>228</v>
      </c>
      <c r="X6" s="263" t="s">
        <v>229</v>
      </c>
      <c r="Y6" s="263" t="s">
        <v>230</v>
      </c>
      <c r="Z6" s="263" t="s">
        <v>551</v>
      </c>
    </row>
    <row r="7" spans="1:26" s="272" customFormat="1" ht="33.75" hidden="1" customHeight="1">
      <c r="A7" s="3458" t="s">
        <v>231</v>
      </c>
      <c r="B7" s="3458"/>
      <c r="C7" s="3458"/>
      <c r="D7" s="3458"/>
      <c r="E7" s="3458"/>
      <c r="F7" s="3458"/>
      <c r="G7" s="3458"/>
      <c r="H7" s="3458"/>
      <c r="I7" s="3458"/>
      <c r="J7" s="265"/>
      <c r="K7" s="265"/>
      <c r="L7" s="265"/>
      <c r="M7" s="266"/>
      <c r="N7" s="265"/>
      <c r="O7" s="268"/>
      <c r="P7" s="265"/>
      <c r="Q7" s="268"/>
      <c r="R7" s="269">
        <f>+'[16]Compil Costing PPA 3 millions'!F5</f>
        <v>449500</v>
      </c>
      <c r="S7" s="270"/>
      <c r="T7" s="270"/>
      <c r="U7" s="270"/>
      <c r="V7" s="270"/>
      <c r="W7" s="270"/>
      <c r="X7" s="541"/>
      <c r="Y7" s="270"/>
      <c r="Z7" s="270"/>
    </row>
    <row r="8" spans="1:26" ht="37.5" hidden="1" customHeight="1">
      <c r="A8" s="3457" t="s">
        <v>232</v>
      </c>
      <c r="B8" s="3457"/>
      <c r="C8" s="3457"/>
      <c r="D8" s="3457"/>
      <c r="E8" s="3457"/>
      <c r="F8" s="3457"/>
      <c r="G8" s="3457"/>
      <c r="H8" s="3457"/>
      <c r="I8" s="3457"/>
      <c r="J8" s="273"/>
      <c r="K8" s="273"/>
      <c r="L8" s="273"/>
      <c r="M8" s="274"/>
      <c r="N8" s="273"/>
      <c r="O8" s="276"/>
      <c r="P8" s="273"/>
      <c r="Q8" s="276"/>
      <c r="R8" s="277"/>
      <c r="S8" s="278"/>
      <c r="T8" s="278"/>
      <c r="U8" s="278"/>
      <c r="V8" s="274"/>
      <c r="W8" s="274"/>
      <c r="X8" s="542"/>
      <c r="Y8" s="274"/>
      <c r="Z8" s="274"/>
    </row>
    <row r="9" spans="1:26" ht="15.75" customHeight="1">
      <c r="A9" s="3457" t="s">
        <v>274</v>
      </c>
      <c r="B9" s="3457"/>
      <c r="C9" s="3457"/>
      <c r="D9" s="3457"/>
      <c r="E9" s="3457"/>
      <c r="F9" s="3457"/>
      <c r="G9" s="3457"/>
      <c r="H9" s="3457"/>
      <c r="I9" s="3457"/>
      <c r="J9" s="273"/>
      <c r="K9" s="273"/>
      <c r="L9" s="273"/>
      <c r="M9" s="274"/>
      <c r="N9" s="273"/>
      <c r="O9" s="276"/>
      <c r="P9" s="273"/>
      <c r="Q9" s="276">
        <f>+Q10+Q20+Q30+Q49+Q57+Q64</f>
        <v>100000.07666666666</v>
      </c>
      <c r="R9" s="277">
        <f>+'[16]Compil Costing PPA 3 millions'!F12</f>
        <v>100000</v>
      </c>
      <c r="S9" s="278"/>
      <c r="T9" s="278"/>
      <c r="U9" s="278"/>
      <c r="V9" s="274"/>
      <c r="W9" s="274"/>
      <c r="X9" s="542"/>
      <c r="Y9" s="274"/>
      <c r="Z9" s="274"/>
    </row>
    <row r="10" spans="1:26" s="550" customFormat="1" ht="16.5" customHeight="1">
      <c r="A10" s="281">
        <v>321</v>
      </c>
      <c r="B10" s="3461" t="s">
        <v>552</v>
      </c>
      <c r="C10" s="3461"/>
      <c r="D10" s="3461"/>
      <c r="E10" s="3461"/>
      <c r="F10" s="3461"/>
      <c r="G10" s="3461"/>
      <c r="H10" s="3461"/>
      <c r="I10" s="3461"/>
      <c r="J10" s="543"/>
      <c r="K10" s="543"/>
      <c r="L10" s="544"/>
      <c r="M10" s="545"/>
      <c r="N10" s="543"/>
      <c r="O10" s="546"/>
      <c r="P10" s="543"/>
      <c r="Q10" s="546">
        <f>Q12+Q19</f>
        <v>22794.666666666668</v>
      </c>
      <c r="R10" s="547"/>
      <c r="S10" s="548"/>
      <c r="T10" s="548"/>
      <c r="U10" s="548"/>
      <c r="V10" s="548"/>
      <c r="W10" s="549"/>
      <c r="X10" s="362"/>
      <c r="Y10" s="549"/>
      <c r="Z10" s="549"/>
    </row>
    <row r="11" spans="1:26" ht="47.25">
      <c r="A11" s="290">
        <v>3211</v>
      </c>
      <c r="B11" s="291" t="s">
        <v>553</v>
      </c>
      <c r="C11" s="291" t="s">
        <v>554</v>
      </c>
      <c r="D11" s="551"/>
      <c r="E11" s="551">
        <v>30</v>
      </c>
      <c r="F11" s="552">
        <v>43159</v>
      </c>
      <c r="G11" s="552">
        <f>+F11+E11</f>
        <v>43189</v>
      </c>
      <c r="H11" s="551" t="s">
        <v>555</v>
      </c>
      <c r="I11" s="294" t="s">
        <v>177</v>
      </c>
      <c r="J11" s="294"/>
      <c r="K11" s="294"/>
      <c r="L11" s="295"/>
      <c r="M11" s="296"/>
      <c r="N11" s="294"/>
      <c r="O11" s="355"/>
      <c r="P11" s="294"/>
      <c r="Q11" s="355"/>
      <c r="R11" s="299"/>
      <c r="S11" s="298"/>
      <c r="T11" s="298"/>
      <c r="U11" s="298"/>
      <c r="V11" s="298"/>
      <c r="W11" s="355"/>
      <c r="X11" s="355"/>
      <c r="Y11" s="355"/>
      <c r="Z11" s="355"/>
    </row>
    <row r="12" spans="1:26" ht="94.5">
      <c r="A12" s="290">
        <v>3212</v>
      </c>
      <c r="B12" s="291" t="s">
        <v>556</v>
      </c>
      <c r="C12" s="553" t="s">
        <v>557</v>
      </c>
      <c r="D12" s="551"/>
      <c r="E12" s="551">
        <v>60</v>
      </c>
      <c r="F12" s="552">
        <v>43194</v>
      </c>
      <c r="G12" s="552">
        <v>43262</v>
      </c>
      <c r="H12" s="551" t="s">
        <v>555</v>
      </c>
      <c r="I12" s="294" t="s">
        <v>177</v>
      </c>
      <c r="J12" s="307" t="s">
        <v>558</v>
      </c>
      <c r="K12" s="554" t="s">
        <v>268</v>
      </c>
      <c r="L12" s="295"/>
      <c r="M12" s="296"/>
      <c r="N12" s="294"/>
      <c r="O12" s="487">
        <f>+SUM(O13:O17)</f>
        <v>6666.666666666667</v>
      </c>
      <c r="P12" s="294">
        <v>1</v>
      </c>
      <c r="Q12" s="555">
        <f>+SUM(Q13:Q17)</f>
        <v>6666.666666666667</v>
      </c>
      <c r="R12" s="518"/>
      <c r="S12" s="493"/>
      <c r="T12" s="493"/>
      <c r="U12" s="493"/>
      <c r="V12" s="555">
        <f>Q12</f>
        <v>6666.666666666667</v>
      </c>
      <c r="W12" s="487"/>
      <c r="X12" s="487"/>
      <c r="Y12" s="487"/>
      <c r="Z12" s="487"/>
    </row>
    <row r="13" spans="1:26" hidden="1">
      <c r="A13" s="290">
        <v>3212</v>
      </c>
      <c r="B13" s="291" t="s">
        <v>556</v>
      </c>
      <c r="C13" s="553" t="s">
        <v>559</v>
      </c>
      <c r="D13" s="307" t="s">
        <v>514</v>
      </c>
      <c r="E13" s="307">
        <v>45</v>
      </c>
      <c r="F13" s="552">
        <v>43194</v>
      </c>
      <c r="G13" s="552">
        <f>+E13+F13</f>
        <v>43239</v>
      </c>
      <c r="H13" s="551" t="s">
        <v>555</v>
      </c>
      <c r="I13" s="294" t="s">
        <v>169</v>
      </c>
      <c r="J13" s="307" t="s">
        <v>177</v>
      </c>
      <c r="K13" s="294" t="s">
        <v>302</v>
      </c>
      <c r="L13" s="295">
        <v>23173</v>
      </c>
      <c r="M13" s="296"/>
      <c r="N13" s="294"/>
      <c r="O13" s="355">
        <v>202.6</v>
      </c>
      <c r="P13" s="294">
        <v>1</v>
      </c>
      <c r="Q13" s="355">
        <f t="shared" ref="Q13:Q18" si="0">O13*P13</f>
        <v>202.6</v>
      </c>
      <c r="R13" s="299"/>
      <c r="S13" s="298"/>
      <c r="T13" s="298"/>
      <c r="U13" s="298"/>
      <c r="V13" s="298"/>
      <c r="W13" s="355"/>
      <c r="X13" s="355"/>
      <c r="Y13" s="355"/>
      <c r="Z13" s="355"/>
    </row>
    <row r="14" spans="1:26" hidden="1">
      <c r="A14" s="290">
        <v>3212</v>
      </c>
      <c r="B14" s="291" t="s">
        <v>556</v>
      </c>
      <c r="C14" s="553" t="s">
        <v>560</v>
      </c>
      <c r="D14" s="551"/>
      <c r="E14" s="307">
        <f>10</f>
        <v>10</v>
      </c>
      <c r="F14" s="552">
        <v>43252</v>
      </c>
      <c r="G14" s="552">
        <f>+F14+E14</f>
        <v>43262</v>
      </c>
      <c r="H14" s="551" t="s">
        <v>555</v>
      </c>
      <c r="I14" s="294" t="s">
        <v>177</v>
      </c>
      <c r="J14" s="307"/>
      <c r="K14" s="294" t="s">
        <v>561</v>
      </c>
      <c r="L14" s="295"/>
      <c r="M14" s="296"/>
      <c r="N14" s="294"/>
      <c r="O14" s="556">
        <v>4064</v>
      </c>
      <c r="P14" s="294">
        <v>1</v>
      </c>
      <c r="Q14" s="355">
        <f t="shared" si="0"/>
        <v>4064</v>
      </c>
      <c r="R14" s="299"/>
      <c r="S14" s="298"/>
      <c r="T14" s="298"/>
      <c r="U14" s="298"/>
      <c r="V14" s="298"/>
      <c r="W14" s="355"/>
      <c r="X14" s="355"/>
      <c r="Y14" s="355"/>
      <c r="Z14" s="355"/>
    </row>
    <row r="15" spans="1:26" hidden="1">
      <c r="A15" s="290">
        <v>3212</v>
      </c>
      <c r="B15" s="291" t="s">
        <v>556</v>
      </c>
      <c r="C15" s="553" t="s">
        <v>562</v>
      </c>
      <c r="D15" s="551"/>
      <c r="E15" s="307">
        <f>10</f>
        <v>10</v>
      </c>
      <c r="F15" s="552">
        <v>43252</v>
      </c>
      <c r="G15" s="552">
        <f>+F15+E15</f>
        <v>43262</v>
      </c>
      <c r="H15" s="551" t="s">
        <v>555</v>
      </c>
      <c r="I15" s="294" t="s">
        <v>177</v>
      </c>
      <c r="J15" s="307"/>
      <c r="K15" s="294" t="s">
        <v>563</v>
      </c>
      <c r="L15" s="295"/>
      <c r="M15" s="296"/>
      <c r="N15" s="294"/>
      <c r="O15" s="355">
        <v>1640</v>
      </c>
      <c r="P15" s="294">
        <v>1</v>
      </c>
      <c r="Q15" s="355">
        <f t="shared" si="0"/>
        <v>1640</v>
      </c>
      <c r="R15" s="299"/>
      <c r="S15" s="298"/>
      <c r="T15" s="298"/>
      <c r="U15" s="298"/>
      <c r="V15" s="298"/>
      <c r="W15" s="355"/>
      <c r="X15" s="355"/>
      <c r="Y15" s="355"/>
      <c r="Z15" s="355"/>
    </row>
    <row r="16" spans="1:26" ht="31.5" hidden="1">
      <c r="A16" s="290">
        <v>3212</v>
      </c>
      <c r="B16" s="291" t="s">
        <v>556</v>
      </c>
      <c r="C16" s="553" t="s">
        <v>564</v>
      </c>
      <c r="D16" s="551"/>
      <c r="E16" s="307">
        <f>10</f>
        <v>10</v>
      </c>
      <c r="F16" s="552">
        <v>43252</v>
      </c>
      <c r="G16" s="552">
        <f>+F16+E16</f>
        <v>43262</v>
      </c>
      <c r="H16" s="551" t="s">
        <v>555</v>
      </c>
      <c r="I16" s="294" t="s">
        <v>177</v>
      </c>
      <c r="J16" s="307"/>
      <c r="K16" s="294" t="s">
        <v>565</v>
      </c>
      <c r="L16" s="295"/>
      <c r="M16" s="296"/>
      <c r="N16" s="294"/>
      <c r="O16" s="355">
        <v>426.73333333333335</v>
      </c>
      <c r="P16" s="294">
        <v>1</v>
      </c>
      <c r="Q16" s="355">
        <f t="shared" si="0"/>
        <v>426.73333333333335</v>
      </c>
      <c r="R16" s="299"/>
      <c r="S16" s="298"/>
      <c r="T16" s="298"/>
      <c r="U16" s="298"/>
      <c r="V16" s="298"/>
      <c r="W16" s="355"/>
      <c r="X16" s="355"/>
      <c r="Y16" s="355"/>
      <c r="Z16" s="355"/>
    </row>
    <row r="17" spans="1:26" hidden="1">
      <c r="A17" s="290">
        <v>3212</v>
      </c>
      <c r="B17" s="291" t="s">
        <v>556</v>
      </c>
      <c r="C17" s="553" t="s">
        <v>566</v>
      </c>
      <c r="D17" s="551"/>
      <c r="E17" s="307">
        <f>10</f>
        <v>10</v>
      </c>
      <c r="F17" s="552">
        <v>43252</v>
      </c>
      <c r="G17" s="552">
        <f>+F17+E17</f>
        <v>43262</v>
      </c>
      <c r="H17" s="551" t="s">
        <v>555</v>
      </c>
      <c r="I17" s="294" t="s">
        <v>169</v>
      </c>
      <c r="J17" s="307" t="s">
        <v>177</v>
      </c>
      <c r="K17" s="294" t="s">
        <v>486</v>
      </c>
      <c r="L17" s="295"/>
      <c r="M17" s="296"/>
      <c r="N17" s="294"/>
      <c r="O17" s="355">
        <v>333.33333333333331</v>
      </c>
      <c r="P17" s="294">
        <v>1</v>
      </c>
      <c r="Q17" s="355">
        <f t="shared" si="0"/>
        <v>333.33333333333331</v>
      </c>
      <c r="R17" s="299"/>
      <c r="S17" s="298"/>
      <c r="T17" s="298"/>
      <c r="U17" s="298"/>
      <c r="V17" s="298"/>
      <c r="W17" s="355"/>
      <c r="X17" s="355"/>
      <c r="Y17" s="355"/>
      <c r="Z17" s="355"/>
    </row>
    <row r="18" spans="1:26" ht="47.25">
      <c r="A18" s="290">
        <v>3213</v>
      </c>
      <c r="B18" s="291" t="s">
        <v>567</v>
      </c>
      <c r="C18" s="291" t="s">
        <v>568</v>
      </c>
      <c r="D18" s="551"/>
      <c r="E18" s="307">
        <v>10</v>
      </c>
      <c r="F18" s="552">
        <v>43269</v>
      </c>
      <c r="G18" s="552">
        <f>+E18+F18</f>
        <v>43279</v>
      </c>
      <c r="H18" s="551" t="s">
        <v>555</v>
      </c>
      <c r="I18" s="557" t="s">
        <v>569</v>
      </c>
      <c r="J18" s="294" t="s">
        <v>177</v>
      </c>
      <c r="K18" s="294"/>
      <c r="L18" s="295"/>
      <c r="M18" s="296"/>
      <c r="N18" s="294"/>
      <c r="O18" s="355"/>
      <c r="P18" s="294"/>
      <c r="Q18" s="558">
        <f t="shared" si="0"/>
        <v>0</v>
      </c>
      <c r="R18" s="299"/>
      <c r="S18" s="298"/>
      <c r="T18" s="298"/>
      <c r="U18" s="298"/>
      <c r="V18" s="298"/>
      <c r="W18" s="355"/>
      <c r="X18" s="355"/>
      <c r="Y18" s="355"/>
      <c r="Z18" s="355"/>
    </row>
    <row r="19" spans="1:26">
      <c r="A19" s="559">
        <v>3214</v>
      </c>
      <c r="B19" s="291" t="s">
        <v>570</v>
      </c>
      <c r="C19" s="291" t="s">
        <v>571</v>
      </c>
      <c r="D19" s="551"/>
      <c r="E19" s="307"/>
      <c r="F19" s="552">
        <v>43282</v>
      </c>
      <c r="G19" s="552"/>
      <c r="H19" s="551" t="s">
        <v>555</v>
      </c>
      <c r="I19" s="557" t="s">
        <v>169</v>
      </c>
      <c r="J19" s="294" t="s">
        <v>177</v>
      </c>
      <c r="K19" s="294" t="s">
        <v>302</v>
      </c>
      <c r="L19" s="295"/>
      <c r="M19" s="296"/>
      <c r="N19" s="294"/>
      <c r="O19" s="487">
        <v>0.63</v>
      </c>
      <c r="P19" s="294">
        <v>25600</v>
      </c>
      <c r="Q19" s="555">
        <f>+O19*P19</f>
        <v>16128</v>
      </c>
      <c r="R19" s="518"/>
      <c r="S19" s="493"/>
      <c r="T19" s="493"/>
      <c r="U19" s="493"/>
      <c r="V19" s="493"/>
      <c r="W19" s="555">
        <f>+Q19</f>
        <v>16128</v>
      </c>
      <c r="X19" s="487"/>
      <c r="Y19" s="487"/>
      <c r="Z19" s="487"/>
    </row>
    <row r="20" spans="1:26">
      <c r="A20" s="281">
        <v>322</v>
      </c>
      <c r="B20" s="3461" t="s">
        <v>572</v>
      </c>
      <c r="C20" s="3461"/>
      <c r="D20" s="3461"/>
      <c r="E20" s="3461"/>
      <c r="F20" s="3461"/>
      <c r="G20" s="3461"/>
      <c r="H20" s="3461"/>
      <c r="I20" s="3461"/>
      <c r="J20" s="283"/>
      <c r="K20" s="283"/>
      <c r="L20" s="282"/>
      <c r="M20" s="284"/>
      <c r="N20" s="283"/>
      <c r="O20" s="361"/>
      <c r="P20" s="283"/>
      <c r="Q20" s="546">
        <f>+Q22+Q29</f>
        <v>7667</v>
      </c>
      <c r="R20" s="287"/>
      <c r="S20" s="288"/>
      <c r="T20" s="288"/>
      <c r="U20" s="288"/>
      <c r="V20" s="288"/>
      <c r="W20" s="362"/>
      <c r="X20" s="362"/>
      <c r="Y20" s="362"/>
      <c r="Z20" s="362"/>
    </row>
    <row r="21" spans="1:26">
      <c r="A21" s="560">
        <v>3221</v>
      </c>
      <c r="B21" s="337" t="s">
        <v>573</v>
      </c>
      <c r="C21" s="327" t="s">
        <v>574</v>
      </c>
      <c r="D21" s="551"/>
      <c r="E21" s="551">
        <v>30</v>
      </c>
      <c r="F21" s="552">
        <v>43159</v>
      </c>
      <c r="G21" s="552">
        <f>+F21+E21</f>
        <v>43189</v>
      </c>
      <c r="H21" s="551" t="s">
        <v>555</v>
      </c>
      <c r="I21" s="294" t="s">
        <v>177</v>
      </c>
      <c r="J21" s="294"/>
      <c r="K21" s="294"/>
      <c r="L21" s="295"/>
      <c r="M21" s="296"/>
      <c r="N21" s="294"/>
      <c r="O21" s="355"/>
      <c r="P21" s="294"/>
      <c r="Q21" s="355"/>
      <c r="R21" s="299"/>
      <c r="S21" s="298"/>
      <c r="T21" s="298"/>
      <c r="U21" s="298"/>
      <c r="V21" s="298"/>
      <c r="W21" s="355"/>
      <c r="X21" s="355"/>
      <c r="Y21" s="355"/>
      <c r="Z21" s="355"/>
    </row>
    <row r="22" spans="1:26" ht="57" customHeight="1">
      <c r="A22" s="290">
        <v>3222</v>
      </c>
      <c r="B22" s="561" t="s">
        <v>575</v>
      </c>
      <c r="C22" s="562" t="s">
        <v>576</v>
      </c>
      <c r="D22" s="551"/>
      <c r="E22" s="307">
        <f>10+5</f>
        <v>15</v>
      </c>
      <c r="F22" s="552">
        <v>43313</v>
      </c>
      <c r="G22" s="552">
        <f>+E22+F22</f>
        <v>43328</v>
      </c>
      <c r="H22" s="551" t="s">
        <v>555</v>
      </c>
      <c r="I22" s="307" t="s">
        <v>577</v>
      </c>
      <c r="J22" s="307" t="s">
        <v>578</v>
      </c>
      <c r="K22" s="554" t="s">
        <v>268</v>
      </c>
      <c r="L22" s="295"/>
      <c r="M22" s="296"/>
      <c r="N22" s="294"/>
      <c r="O22" s="487">
        <v>6667</v>
      </c>
      <c r="P22" s="294">
        <v>1</v>
      </c>
      <c r="Q22" s="555">
        <f>O22*P22</f>
        <v>6667</v>
      </c>
      <c r="R22" s="518"/>
      <c r="S22" s="493"/>
      <c r="T22" s="493"/>
      <c r="U22" s="493"/>
      <c r="V22" s="493"/>
      <c r="W22" s="357"/>
      <c r="X22" s="555">
        <v>6667</v>
      </c>
      <c r="Y22" s="487"/>
      <c r="Z22" s="487"/>
    </row>
    <row r="23" spans="1:26" ht="31.5" hidden="1">
      <c r="A23" s="290">
        <v>3222</v>
      </c>
      <c r="B23" s="561" t="s">
        <v>575</v>
      </c>
      <c r="C23" s="562" t="s">
        <v>579</v>
      </c>
      <c r="D23" s="307" t="s">
        <v>514</v>
      </c>
      <c r="E23" s="307">
        <v>45</v>
      </c>
      <c r="F23" s="552">
        <v>43194</v>
      </c>
      <c r="G23" s="552">
        <f>+F23+E23</f>
        <v>43239</v>
      </c>
      <c r="H23" s="551" t="s">
        <v>555</v>
      </c>
      <c r="I23" s="307" t="s">
        <v>169</v>
      </c>
      <c r="J23" s="307"/>
      <c r="K23" s="294" t="s">
        <v>302</v>
      </c>
      <c r="L23" s="295">
        <v>23173</v>
      </c>
      <c r="M23" s="296"/>
      <c r="N23" s="294"/>
      <c r="O23" s="355">
        <f>O13</f>
        <v>202.6</v>
      </c>
      <c r="P23" s="294">
        <f>1</f>
        <v>1</v>
      </c>
      <c r="Q23" s="355">
        <f>+O23*P23</f>
        <v>202.6</v>
      </c>
      <c r="R23" s="299"/>
      <c r="S23" s="298"/>
      <c r="T23" s="298"/>
      <c r="U23" s="298"/>
      <c r="V23" s="298"/>
      <c r="W23" s="355"/>
      <c r="X23" s="355"/>
      <c r="Y23" s="355"/>
      <c r="Z23" s="355"/>
    </row>
    <row r="24" spans="1:26" ht="31.5" hidden="1">
      <c r="A24" s="290">
        <v>3222</v>
      </c>
      <c r="B24" s="561" t="s">
        <v>575</v>
      </c>
      <c r="C24" s="553" t="s">
        <v>560</v>
      </c>
      <c r="D24" s="551"/>
      <c r="E24" s="307">
        <v>10</v>
      </c>
      <c r="F24" s="552">
        <v>43313</v>
      </c>
      <c r="G24" s="552">
        <f>+F24+E24</f>
        <v>43323</v>
      </c>
      <c r="H24" s="551" t="s">
        <v>555</v>
      </c>
      <c r="I24" s="307" t="s">
        <v>177</v>
      </c>
      <c r="J24" s="307"/>
      <c r="K24" s="294" t="s">
        <v>561</v>
      </c>
      <c r="L24" s="295"/>
      <c r="M24" s="296"/>
      <c r="N24" s="294"/>
      <c r="O24" s="355">
        <f>O14</f>
        <v>4064</v>
      </c>
      <c r="P24" s="294">
        <f>1</f>
        <v>1</v>
      </c>
      <c r="Q24" s="355">
        <f>+O24*P24</f>
        <v>4064</v>
      </c>
      <c r="R24" s="299"/>
      <c r="S24" s="298"/>
      <c r="T24" s="298"/>
      <c r="U24" s="298"/>
      <c r="V24" s="298"/>
      <c r="W24" s="355"/>
      <c r="X24" s="355"/>
      <c r="Y24" s="355"/>
      <c r="Z24" s="355"/>
    </row>
    <row r="25" spans="1:26" ht="31.5" hidden="1">
      <c r="A25" s="290">
        <v>3222</v>
      </c>
      <c r="B25" s="561" t="s">
        <v>575</v>
      </c>
      <c r="C25" s="553" t="s">
        <v>562</v>
      </c>
      <c r="D25" s="551"/>
      <c r="E25" s="307">
        <f>10</f>
        <v>10</v>
      </c>
      <c r="F25" s="552">
        <v>43313</v>
      </c>
      <c r="G25" s="552">
        <f>+F25+E25</f>
        <v>43323</v>
      </c>
      <c r="H25" s="551" t="s">
        <v>555</v>
      </c>
      <c r="I25" s="307" t="s">
        <v>177</v>
      </c>
      <c r="J25" s="307"/>
      <c r="K25" s="294" t="s">
        <v>563</v>
      </c>
      <c r="L25" s="295"/>
      <c r="M25" s="296"/>
      <c r="N25" s="294"/>
      <c r="O25" s="355">
        <f>O15</f>
        <v>1640</v>
      </c>
      <c r="P25" s="294">
        <f>1</f>
        <v>1</v>
      </c>
      <c r="Q25" s="355">
        <f>+O25*P25</f>
        <v>1640</v>
      </c>
      <c r="R25" s="299"/>
      <c r="S25" s="298"/>
      <c r="T25" s="298"/>
      <c r="U25" s="298"/>
      <c r="V25" s="298"/>
      <c r="W25" s="355"/>
      <c r="X25" s="355"/>
      <c r="Y25" s="355"/>
      <c r="Z25" s="355"/>
    </row>
    <row r="26" spans="1:26" ht="31.5" hidden="1">
      <c r="A26" s="290">
        <v>3222</v>
      </c>
      <c r="B26" s="561" t="s">
        <v>575</v>
      </c>
      <c r="C26" s="553" t="s">
        <v>564</v>
      </c>
      <c r="D26" s="551"/>
      <c r="E26" s="307">
        <f>10</f>
        <v>10</v>
      </c>
      <c r="F26" s="552">
        <v>43313</v>
      </c>
      <c r="G26" s="552">
        <f>+F26+E26</f>
        <v>43323</v>
      </c>
      <c r="H26" s="551" t="s">
        <v>555</v>
      </c>
      <c r="I26" s="307" t="s">
        <v>177</v>
      </c>
      <c r="J26" s="307"/>
      <c r="K26" s="294" t="s">
        <v>565</v>
      </c>
      <c r="L26" s="295"/>
      <c r="M26" s="296"/>
      <c r="N26" s="294"/>
      <c r="O26" s="355">
        <f>O16</f>
        <v>426.73333333333335</v>
      </c>
      <c r="P26" s="294">
        <f>1</f>
        <v>1</v>
      </c>
      <c r="Q26" s="355">
        <f>+O26*P26</f>
        <v>426.73333333333335</v>
      </c>
      <c r="R26" s="299"/>
      <c r="S26" s="298"/>
      <c r="T26" s="298"/>
      <c r="U26" s="298"/>
      <c r="V26" s="298"/>
      <c r="W26" s="355"/>
      <c r="X26" s="355"/>
      <c r="Y26" s="355"/>
      <c r="Z26" s="355"/>
    </row>
    <row r="27" spans="1:26" ht="31.5" hidden="1">
      <c r="A27" s="290">
        <v>3222</v>
      </c>
      <c r="B27" s="561" t="s">
        <v>575</v>
      </c>
      <c r="C27" s="553" t="s">
        <v>566</v>
      </c>
      <c r="D27" s="551"/>
      <c r="E27" s="307">
        <f>10</f>
        <v>10</v>
      </c>
      <c r="F27" s="552">
        <v>43313</v>
      </c>
      <c r="G27" s="552">
        <f>+F27+E27</f>
        <v>43323</v>
      </c>
      <c r="H27" s="551" t="s">
        <v>555</v>
      </c>
      <c r="I27" s="307" t="s">
        <v>169</v>
      </c>
      <c r="J27" s="307" t="s">
        <v>177</v>
      </c>
      <c r="K27" s="294" t="s">
        <v>486</v>
      </c>
      <c r="L27" s="295"/>
      <c r="M27" s="296"/>
      <c r="N27" s="294"/>
      <c r="O27" s="355">
        <f>O17</f>
        <v>333.33333333333331</v>
      </c>
      <c r="P27" s="294">
        <f>1</f>
        <v>1</v>
      </c>
      <c r="Q27" s="355">
        <f>+O27*P27</f>
        <v>333.33333333333331</v>
      </c>
      <c r="R27" s="299"/>
      <c r="S27" s="298"/>
      <c r="T27" s="298"/>
      <c r="U27" s="298"/>
      <c r="V27" s="298"/>
      <c r="W27" s="355"/>
      <c r="X27" s="355"/>
      <c r="Y27" s="355"/>
      <c r="Z27" s="355"/>
    </row>
    <row r="28" spans="1:26" ht="94.5">
      <c r="A28" s="290">
        <v>3224</v>
      </c>
      <c r="B28" s="291" t="s">
        <v>580</v>
      </c>
      <c r="C28" s="327" t="s">
        <v>581</v>
      </c>
      <c r="D28" s="551"/>
      <c r="E28" s="307">
        <v>45</v>
      </c>
      <c r="F28" s="552">
        <v>43332</v>
      </c>
      <c r="G28" s="552">
        <f>+E28+F28</f>
        <v>43377</v>
      </c>
      <c r="H28" s="551" t="s">
        <v>555</v>
      </c>
      <c r="I28" s="307" t="s">
        <v>582</v>
      </c>
      <c r="J28" s="552" t="s">
        <v>177</v>
      </c>
      <c r="K28" s="552"/>
      <c r="L28" s="295"/>
      <c r="M28" s="296"/>
      <c r="N28" s="294"/>
      <c r="O28" s="487"/>
      <c r="P28" s="294"/>
      <c r="Q28" s="487"/>
      <c r="R28" s="518"/>
      <c r="S28" s="493"/>
      <c r="T28" s="493"/>
      <c r="U28" s="493"/>
      <c r="V28" s="493"/>
      <c r="W28" s="487"/>
      <c r="X28" s="487"/>
      <c r="Y28" s="487"/>
      <c r="Z28" s="487"/>
    </row>
    <row r="29" spans="1:26">
      <c r="A29" s="560">
        <v>3222</v>
      </c>
      <c r="B29" s="291" t="s">
        <v>583</v>
      </c>
      <c r="C29" s="327" t="s">
        <v>584</v>
      </c>
      <c r="D29" s="330"/>
      <c r="E29" s="551">
        <v>5</v>
      </c>
      <c r="F29" s="552">
        <v>43381</v>
      </c>
      <c r="G29" s="552">
        <f>+F29+E29</f>
        <v>43386</v>
      </c>
      <c r="H29" s="551" t="s">
        <v>555</v>
      </c>
      <c r="I29" s="307" t="s">
        <v>169</v>
      </c>
      <c r="J29" s="294" t="s">
        <v>177</v>
      </c>
      <c r="K29" s="294"/>
      <c r="L29" s="295"/>
      <c r="M29" s="296"/>
      <c r="N29" s="294"/>
      <c r="O29" s="487">
        <v>1000</v>
      </c>
      <c r="P29" s="294">
        <v>1</v>
      </c>
      <c r="Q29" s="555">
        <f>+O29*P29</f>
        <v>1000</v>
      </c>
      <c r="R29" s="518"/>
      <c r="S29" s="493"/>
      <c r="T29" s="493"/>
      <c r="U29" s="493"/>
      <c r="V29" s="493"/>
      <c r="W29" s="487"/>
      <c r="X29" s="563"/>
      <c r="Y29" s="487"/>
      <c r="Z29" s="555">
        <v>1000</v>
      </c>
    </row>
    <row r="30" spans="1:26" ht="16.5" customHeight="1">
      <c r="A30" s="281">
        <v>323</v>
      </c>
      <c r="B30" s="3461" t="s">
        <v>585</v>
      </c>
      <c r="C30" s="3461"/>
      <c r="D30" s="3461"/>
      <c r="E30" s="3461"/>
      <c r="F30" s="3461"/>
      <c r="G30" s="3461"/>
      <c r="H30" s="3461"/>
      <c r="I30" s="3461"/>
      <c r="J30" s="283"/>
      <c r="K30" s="283"/>
      <c r="L30" s="282"/>
      <c r="M30" s="284"/>
      <c r="N30" s="283"/>
      <c r="O30" s="361"/>
      <c r="P30" s="283"/>
      <c r="Q30" s="546">
        <f>+Q32+Q39+Q43+Q38</f>
        <v>14314.743333333334</v>
      </c>
      <c r="R30" s="287"/>
      <c r="S30" s="288"/>
      <c r="T30" s="288"/>
      <c r="U30" s="288"/>
      <c r="V30" s="288"/>
      <c r="W30" s="362"/>
      <c r="X30" s="362"/>
      <c r="Y30" s="362"/>
      <c r="Z30" s="362"/>
    </row>
    <row r="31" spans="1:26" ht="31.5">
      <c r="A31" s="564">
        <v>3231</v>
      </c>
      <c r="B31" s="291" t="s">
        <v>586</v>
      </c>
      <c r="C31" s="291" t="s">
        <v>587</v>
      </c>
      <c r="D31" s="551"/>
      <c r="E31" s="307">
        <v>30</v>
      </c>
      <c r="F31" s="552">
        <v>43159</v>
      </c>
      <c r="G31" s="552">
        <f>+F31+E31</f>
        <v>43189</v>
      </c>
      <c r="H31" s="551"/>
      <c r="I31" s="294" t="s">
        <v>177</v>
      </c>
      <c r="J31" s="294"/>
      <c r="K31" s="294"/>
      <c r="L31" s="295"/>
      <c r="M31" s="296"/>
      <c r="N31" s="294"/>
      <c r="O31" s="355"/>
      <c r="P31" s="294"/>
      <c r="Q31" s="355"/>
      <c r="R31" s="299"/>
      <c r="S31" s="298"/>
      <c r="T31" s="298"/>
      <c r="U31" s="298"/>
      <c r="V31" s="298"/>
      <c r="W31" s="355"/>
      <c r="X31" s="355"/>
      <c r="Y31" s="355"/>
      <c r="Z31" s="355"/>
    </row>
    <row r="32" spans="1:26" ht="66" customHeight="1">
      <c r="A32" s="564">
        <v>3232</v>
      </c>
      <c r="B32" s="291" t="s">
        <v>588</v>
      </c>
      <c r="C32" s="553" t="s">
        <v>589</v>
      </c>
      <c r="D32" s="551"/>
      <c r="E32" s="307">
        <v>11</v>
      </c>
      <c r="F32" s="552">
        <v>43287</v>
      </c>
      <c r="G32" s="552">
        <f t="shared" ref="G32:G37" si="1">+F32+E32</f>
        <v>43298</v>
      </c>
      <c r="H32" s="551"/>
      <c r="I32" s="294" t="s">
        <v>177</v>
      </c>
      <c r="J32" s="307" t="s">
        <v>590</v>
      </c>
      <c r="K32" s="294"/>
      <c r="L32" s="295"/>
      <c r="M32" s="296"/>
      <c r="N32" s="294"/>
      <c r="O32" s="487">
        <v>5293</v>
      </c>
      <c r="P32" s="294">
        <v>1</v>
      </c>
      <c r="Q32" s="555">
        <f t="shared" ref="Q32:Q37" si="2">+O32*P32</f>
        <v>5293</v>
      </c>
      <c r="R32" s="518"/>
      <c r="S32" s="493"/>
      <c r="T32" s="493"/>
      <c r="U32" s="493"/>
      <c r="V32" s="493"/>
      <c r="W32" s="565">
        <f>+Q32</f>
        <v>5293</v>
      </c>
      <c r="X32" s="566"/>
      <c r="Y32" s="487"/>
      <c r="Z32" s="487"/>
    </row>
    <row r="33" spans="1:26" ht="31.5">
      <c r="A33" s="564">
        <v>3232</v>
      </c>
      <c r="B33" s="291" t="s">
        <v>588</v>
      </c>
      <c r="C33" s="553" t="s">
        <v>579</v>
      </c>
      <c r="E33" s="307">
        <v>45</v>
      </c>
      <c r="F33" s="552">
        <v>43194</v>
      </c>
      <c r="G33" s="552">
        <f>+F33+E33</f>
        <v>43239</v>
      </c>
      <c r="H33" s="551"/>
      <c r="I33" s="294" t="s">
        <v>169</v>
      </c>
      <c r="J33" s="294" t="s">
        <v>177</v>
      </c>
      <c r="K33" s="294" t="s">
        <v>302</v>
      </c>
      <c r="L33" s="295"/>
      <c r="M33" s="296"/>
      <c r="N33" s="294"/>
      <c r="O33" s="355">
        <f>'[4]BUDGET CAPITALISATION'!$D$29</f>
        <v>79.5</v>
      </c>
      <c r="P33" s="294">
        <v>1</v>
      </c>
      <c r="Q33" s="355">
        <f>+O33*P33</f>
        <v>79.5</v>
      </c>
      <c r="R33" s="299"/>
      <c r="S33" s="298"/>
      <c r="T33" s="298"/>
      <c r="U33" s="298"/>
      <c r="V33" s="298"/>
      <c r="W33" s="355"/>
      <c r="X33" s="355"/>
      <c r="Y33" s="355"/>
      <c r="Z33" s="355"/>
    </row>
    <row r="34" spans="1:26" ht="31.5">
      <c r="A34" s="564">
        <v>3232</v>
      </c>
      <c r="B34" s="291" t="s">
        <v>588</v>
      </c>
      <c r="C34" s="553" t="s">
        <v>560</v>
      </c>
      <c r="D34" s="551"/>
      <c r="E34" s="307">
        <v>6</v>
      </c>
      <c r="F34" s="552">
        <v>43287</v>
      </c>
      <c r="G34" s="552">
        <f t="shared" si="1"/>
        <v>43293</v>
      </c>
      <c r="H34" s="551"/>
      <c r="I34" s="294" t="s">
        <v>177</v>
      </c>
      <c r="J34" s="307"/>
      <c r="K34" s="294" t="s">
        <v>561</v>
      </c>
      <c r="L34" s="295"/>
      <c r="M34" s="296"/>
      <c r="N34" s="294"/>
      <c r="O34" s="355">
        <f>'[4]BUDGET CAPITALISATION'!$D$26</f>
        <v>2400</v>
      </c>
      <c r="P34" s="294">
        <v>1</v>
      </c>
      <c r="Q34" s="355">
        <f t="shared" si="2"/>
        <v>2400</v>
      </c>
      <c r="R34" s="299"/>
      <c r="S34" s="298"/>
      <c r="T34" s="298"/>
      <c r="U34" s="298"/>
      <c r="V34" s="298"/>
      <c r="W34" s="355"/>
      <c r="X34" s="355"/>
      <c r="Y34" s="355"/>
      <c r="Z34" s="355"/>
    </row>
    <row r="35" spans="1:26" ht="36" customHeight="1">
      <c r="A35" s="564">
        <v>3232</v>
      </c>
      <c r="B35" s="291" t="s">
        <v>588</v>
      </c>
      <c r="C35" s="553" t="s">
        <v>562</v>
      </c>
      <c r="D35" s="551"/>
      <c r="E35" s="307">
        <v>6</v>
      </c>
      <c r="F35" s="552">
        <v>43287</v>
      </c>
      <c r="G35" s="552">
        <f t="shared" si="1"/>
        <v>43293</v>
      </c>
      <c r="H35" s="551"/>
      <c r="I35" s="294" t="s">
        <v>177</v>
      </c>
      <c r="J35" s="307"/>
      <c r="K35" s="294" t="s">
        <v>563</v>
      </c>
      <c r="L35" s="295"/>
      <c r="M35" s="296"/>
      <c r="N35" s="294"/>
      <c r="O35" s="355">
        <f>'[4]BUDGET CAPITALISATION'!$D$27</f>
        <v>1973.3333333333333</v>
      </c>
      <c r="P35" s="294">
        <v>1</v>
      </c>
      <c r="Q35" s="355">
        <f t="shared" si="2"/>
        <v>1973.3333333333333</v>
      </c>
      <c r="R35" s="299"/>
      <c r="S35" s="298"/>
      <c r="T35" s="298"/>
      <c r="U35" s="298"/>
      <c r="V35" s="298"/>
      <c r="W35" s="355"/>
      <c r="X35" s="355"/>
      <c r="Y35" s="355"/>
      <c r="Z35" s="355"/>
    </row>
    <row r="36" spans="1:26" ht="36" customHeight="1">
      <c r="A36" s="564">
        <v>3232</v>
      </c>
      <c r="B36" s="291" t="s">
        <v>588</v>
      </c>
      <c r="C36" s="553" t="s">
        <v>564</v>
      </c>
      <c r="D36" s="551"/>
      <c r="E36" s="307">
        <v>6</v>
      </c>
      <c r="F36" s="552">
        <v>43287</v>
      </c>
      <c r="G36" s="552">
        <f t="shared" si="1"/>
        <v>43293</v>
      </c>
      <c r="H36" s="551"/>
      <c r="I36" s="294" t="s">
        <v>177</v>
      </c>
      <c r="J36" s="307"/>
      <c r="K36" s="294" t="s">
        <v>565</v>
      </c>
      <c r="L36" s="295"/>
      <c r="M36" s="296"/>
      <c r="N36" s="294"/>
      <c r="O36" s="355">
        <f>'[4]BUDGET CAPITALISATION'!$D$28</f>
        <v>340.13333333333333</v>
      </c>
      <c r="P36" s="294">
        <v>1</v>
      </c>
      <c r="Q36" s="355">
        <f t="shared" si="2"/>
        <v>340.13333333333333</v>
      </c>
      <c r="R36" s="299"/>
      <c r="S36" s="298"/>
      <c r="T36" s="298"/>
      <c r="U36" s="298"/>
      <c r="V36" s="298"/>
      <c r="W36" s="355"/>
      <c r="X36" s="355"/>
      <c r="Y36" s="355"/>
      <c r="Z36" s="355"/>
    </row>
    <row r="37" spans="1:26" ht="36" customHeight="1">
      <c r="A37" s="564">
        <v>3232</v>
      </c>
      <c r="B37" s="291" t="s">
        <v>588</v>
      </c>
      <c r="C37" s="553" t="s">
        <v>566</v>
      </c>
      <c r="D37" s="551"/>
      <c r="E37" s="307">
        <v>6</v>
      </c>
      <c r="F37" s="552">
        <v>43287</v>
      </c>
      <c r="G37" s="552">
        <f t="shared" si="1"/>
        <v>43293</v>
      </c>
      <c r="H37" s="551"/>
      <c r="I37" s="294" t="s">
        <v>169</v>
      </c>
      <c r="J37" s="307" t="s">
        <v>177</v>
      </c>
      <c r="K37" s="294" t="s">
        <v>486</v>
      </c>
      <c r="L37" s="295"/>
      <c r="M37" s="296"/>
      <c r="N37" s="294"/>
      <c r="O37" s="355">
        <f>'[4]BUDGET CAPITALISATION'!$D$30</f>
        <v>500</v>
      </c>
      <c r="P37" s="294">
        <v>1</v>
      </c>
      <c r="Q37" s="355">
        <f t="shared" si="2"/>
        <v>500</v>
      </c>
      <c r="R37" s="299"/>
      <c r="S37" s="298"/>
      <c r="T37" s="298"/>
      <c r="U37" s="298"/>
      <c r="V37" s="298"/>
      <c r="W37" s="355"/>
      <c r="X37" s="355"/>
      <c r="Y37" s="355"/>
      <c r="Z37" s="355"/>
    </row>
    <row r="38" spans="1:26" ht="31.5">
      <c r="A38" s="564">
        <v>3232</v>
      </c>
      <c r="B38" s="291" t="s">
        <v>588</v>
      </c>
      <c r="C38" s="553" t="s">
        <v>591</v>
      </c>
      <c r="D38" s="336" t="s">
        <v>514</v>
      </c>
      <c r="E38" s="307">
        <v>45</v>
      </c>
      <c r="F38" s="552">
        <v>43298</v>
      </c>
      <c r="G38" s="552">
        <f t="shared" ref="G38:G48" si="3">+F38+E38</f>
        <v>43343</v>
      </c>
      <c r="H38" s="551"/>
      <c r="I38" s="294" t="s">
        <v>169</v>
      </c>
      <c r="J38" s="294" t="s">
        <v>177</v>
      </c>
      <c r="K38" s="294"/>
      <c r="L38" s="295"/>
      <c r="M38" s="296"/>
      <c r="N38" s="294"/>
      <c r="O38" s="355">
        <v>377.33</v>
      </c>
      <c r="P38" s="294">
        <v>1</v>
      </c>
      <c r="Q38" s="558">
        <f t="shared" ref="Q38:Q48" si="4">+O38*P38</f>
        <v>377.33</v>
      </c>
      <c r="R38" s="299"/>
      <c r="S38" s="298"/>
      <c r="T38" s="298"/>
      <c r="U38" s="298"/>
      <c r="V38" s="298"/>
      <c r="W38" s="355"/>
      <c r="X38" s="558">
        <f>+Q38</f>
        <v>377.33</v>
      </c>
      <c r="Y38" s="355"/>
      <c r="Z38" s="355"/>
    </row>
    <row r="39" spans="1:26" ht="15.75" customHeight="1">
      <c r="A39" s="564">
        <v>3233</v>
      </c>
      <c r="B39" s="567" t="s">
        <v>458</v>
      </c>
      <c r="C39" s="291" t="s">
        <v>592</v>
      </c>
      <c r="D39" s="551"/>
      <c r="E39" s="551">
        <v>14</v>
      </c>
      <c r="F39" s="552">
        <v>43346</v>
      </c>
      <c r="G39" s="552">
        <f t="shared" si="3"/>
        <v>43360</v>
      </c>
      <c r="H39" s="551"/>
      <c r="I39" s="294" t="s">
        <v>177</v>
      </c>
      <c r="J39" s="294"/>
      <c r="K39" s="294"/>
      <c r="L39" s="295"/>
      <c r="M39" s="296"/>
      <c r="N39" s="294"/>
      <c r="O39" s="487">
        <f>+SUM(O40:O42)</f>
        <v>4410.4133333333339</v>
      </c>
      <c r="P39" s="294">
        <v>1</v>
      </c>
      <c r="Q39" s="555">
        <f t="shared" si="4"/>
        <v>4410.4133333333339</v>
      </c>
      <c r="R39" s="518"/>
      <c r="S39" s="493"/>
      <c r="T39" s="493"/>
      <c r="U39" s="493"/>
      <c r="V39" s="493"/>
      <c r="W39" s="487"/>
      <c r="X39" s="487"/>
      <c r="Y39" s="487">
        <f>O39</f>
        <v>4410.4133333333339</v>
      </c>
      <c r="Z39" s="555"/>
    </row>
    <row r="40" spans="1:26" ht="15.75" customHeight="1">
      <c r="A40" s="564">
        <v>3233</v>
      </c>
      <c r="B40" s="567" t="s">
        <v>458</v>
      </c>
      <c r="C40" s="553" t="s">
        <v>560</v>
      </c>
      <c r="D40" s="551"/>
      <c r="E40" s="551">
        <v>9</v>
      </c>
      <c r="F40" s="552">
        <v>43346</v>
      </c>
      <c r="G40" s="552">
        <f t="shared" si="3"/>
        <v>43355</v>
      </c>
      <c r="H40" s="551"/>
      <c r="I40" s="294"/>
      <c r="J40" s="294"/>
      <c r="K40" s="294" t="s">
        <v>561</v>
      </c>
      <c r="L40" s="295"/>
      <c r="M40" s="296"/>
      <c r="N40" s="294"/>
      <c r="O40" s="487">
        <f>'[4]BUDGET TESTING'!$D$35</f>
        <v>2546</v>
      </c>
      <c r="P40" s="294">
        <v>1</v>
      </c>
      <c r="Q40" s="355">
        <f t="shared" si="4"/>
        <v>2546</v>
      </c>
      <c r="R40" s="299"/>
      <c r="S40" s="298"/>
      <c r="T40" s="298"/>
      <c r="U40" s="298"/>
      <c r="V40" s="298"/>
      <c r="W40" s="355"/>
      <c r="X40" s="355"/>
      <c r="Y40" s="355"/>
      <c r="Z40" s="355"/>
    </row>
    <row r="41" spans="1:26" ht="15.75" customHeight="1">
      <c r="A41" s="564">
        <v>3233</v>
      </c>
      <c r="B41" s="567" t="s">
        <v>458</v>
      </c>
      <c r="C41" s="553" t="s">
        <v>562</v>
      </c>
      <c r="D41" s="551"/>
      <c r="E41" s="551">
        <v>9</v>
      </c>
      <c r="F41" s="552">
        <v>43346</v>
      </c>
      <c r="G41" s="552">
        <f t="shared" si="3"/>
        <v>43355</v>
      </c>
      <c r="H41" s="551"/>
      <c r="I41" s="294"/>
      <c r="J41" s="294"/>
      <c r="K41" s="294" t="s">
        <v>563</v>
      </c>
      <c r="L41" s="295"/>
      <c r="M41" s="296"/>
      <c r="N41" s="294"/>
      <c r="O41" s="487">
        <f>'[4]BUDGET TESTING'!$D$36</f>
        <v>1306.6666666666667</v>
      </c>
      <c r="P41" s="294">
        <v>1</v>
      </c>
      <c r="Q41" s="355">
        <f t="shared" si="4"/>
        <v>1306.6666666666667</v>
      </c>
      <c r="R41" s="299"/>
      <c r="S41" s="298"/>
      <c r="T41" s="298"/>
      <c r="U41" s="298"/>
      <c r="V41" s="298"/>
      <c r="W41" s="355"/>
      <c r="X41" s="355"/>
      <c r="Y41" s="355"/>
      <c r="Z41" s="355"/>
    </row>
    <row r="42" spans="1:26" ht="15.75" customHeight="1">
      <c r="A42" s="564">
        <v>3233</v>
      </c>
      <c r="B42" s="567" t="s">
        <v>458</v>
      </c>
      <c r="C42" s="553" t="s">
        <v>564</v>
      </c>
      <c r="D42" s="551"/>
      <c r="E42" s="551">
        <v>9</v>
      </c>
      <c r="F42" s="552">
        <v>43346</v>
      </c>
      <c r="G42" s="552">
        <f t="shared" si="3"/>
        <v>43355</v>
      </c>
      <c r="H42" s="551"/>
      <c r="I42" s="294"/>
      <c r="J42" s="294"/>
      <c r="K42" s="294" t="s">
        <v>565</v>
      </c>
      <c r="L42" s="295"/>
      <c r="M42" s="296"/>
      <c r="N42" s="294"/>
      <c r="O42" s="487">
        <f>'[4]BUDGET TESTING'!$D$37</f>
        <v>557.74666666666667</v>
      </c>
      <c r="P42" s="294">
        <v>1</v>
      </c>
      <c r="Q42" s="355">
        <f t="shared" si="4"/>
        <v>557.74666666666667</v>
      </c>
      <c r="R42" s="299"/>
      <c r="S42" s="298"/>
      <c r="T42" s="298"/>
      <c r="U42" s="298"/>
      <c r="V42" s="298"/>
      <c r="W42" s="355"/>
      <c r="X42" s="355"/>
      <c r="Y42" s="355"/>
      <c r="Z42" s="355"/>
    </row>
    <row r="43" spans="1:26" ht="47.25">
      <c r="A43" s="564">
        <v>3234</v>
      </c>
      <c r="B43" s="291" t="s">
        <v>593</v>
      </c>
      <c r="C43" s="553" t="s">
        <v>594</v>
      </c>
      <c r="D43" s="307"/>
      <c r="E43" s="307">
        <f>4+5</f>
        <v>9</v>
      </c>
      <c r="F43" s="552">
        <v>43367</v>
      </c>
      <c r="G43" s="552">
        <f t="shared" si="3"/>
        <v>43376</v>
      </c>
      <c r="H43" s="551"/>
      <c r="I43" s="294" t="s">
        <v>177</v>
      </c>
      <c r="J43" s="307" t="s">
        <v>595</v>
      </c>
      <c r="K43" s="294"/>
      <c r="L43" s="295"/>
      <c r="M43" s="296"/>
      <c r="N43" s="294"/>
      <c r="O43" s="487">
        <v>4234</v>
      </c>
      <c r="P43" s="294">
        <v>1</v>
      </c>
      <c r="Q43" s="555">
        <f t="shared" si="4"/>
        <v>4234</v>
      </c>
      <c r="R43" s="518"/>
      <c r="S43" s="493"/>
      <c r="T43" s="493"/>
      <c r="U43" s="493"/>
      <c r="V43" s="493"/>
      <c r="W43" s="487"/>
      <c r="X43" s="487"/>
      <c r="Y43" s="555">
        <v>4234</v>
      </c>
      <c r="Z43" s="555"/>
    </row>
    <row r="44" spans="1:26" ht="31.5">
      <c r="A44" s="564">
        <v>3234</v>
      </c>
      <c r="B44" s="291" t="s">
        <v>593</v>
      </c>
      <c r="C44" s="553" t="s">
        <v>579</v>
      </c>
      <c r="D44" s="307" t="s">
        <v>514</v>
      </c>
      <c r="E44" s="307">
        <v>45</v>
      </c>
      <c r="F44" s="552">
        <v>43194</v>
      </c>
      <c r="G44" s="552">
        <f t="shared" si="3"/>
        <v>43239</v>
      </c>
      <c r="H44" s="551"/>
      <c r="I44" s="294" t="s">
        <v>169</v>
      </c>
      <c r="J44" s="307"/>
      <c r="K44" s="294" t="s">
        <v>302</v>
      </c>
      <c r="L44" s="295"/>
      <c r="M44" s="296"/>
      <c r="N44" s="294"/>
      <c r="O44" s="355">
        <f>[4]FINALISATION!$D$27</f>
        <v>57.333333333333336</v>
      </c>
      <c r="P44" s="294">
        <v>1</v>
      </c>
      <c r="Q44" s="355">
        <f t="shared" si="4"/>
        <v>57.333333333333336</v>
      </c>
      <c r="R44" s="299"/>
      <c r="S44" s="298"/>
      <c r="T44" s="298"/>
      <c r="U44" s="298"/>
      <c r="V44" s="298"/>
      <c r="W44" s="355"/>
      <c r="X44" s="355"/>
      <c r="Y44" s="355"/>
      <c r="Z44" s="355"/>
    </row>
    <row r="45" spans="1:26" ht="31.5">
      <c r="A45" s="564">
        <v>3234</v>
      </c>
      <c r="B45" s="291" t="s">
        <v>593</v>
      </c>
      <c r="C45" s="553" t="s">
        <v>560</v>
      </c>
      <c r="D45" s="551"/>
      <c r="E45" s="307">
        <v>4</v>
      </c>
      <c r="F45" s="552">
        <v>43367</v>
      </c>
      <c r="G45" s="552">
        <f t="shared" si="3"/>
        <v>43371</v>
      </c>
      <c r="H45" s="551"/>
      <c r="I45" s="294" t="s">
        <v>177</v>
      </c>
      <c r="J45" s="307"/>
      <c r="K45" s="294" t="s">
        <v>596</v>
      </c>
      <c r="L45" s="295"/>
      <c r="M45" s="296"/>
      <c r="N45" s="294"/>
      <c r="O45" s="355">
        <f>[4]FINALISATION!$D$24</f>
        <v>2150</v>
      </c>
      <c r="P45" s="294">
        <v>1</v>
      </c>
      <c r="Q45" s="355">
        <f t="shared" si="4"/>
        <v>2150</v>
      </c>
      <c r="R45" s="299"/>
      <c r="S45" s="298"/>
      <c r="T45" s="298"/>
      <c r="U45" s="298"/>
      <c r="V45" s="298"/>
      <c r="W45" s="355"/>
      <c r="X45" s="355"/>
      <c r="Y45" s="355"/>
      <c r="Z45" s="355"/>
    </row>
    <row r="46" spans="1:26" ht="31.5">
      <c r="A46" s="564">
        <v>3234</v>
      </c>
      <c r="B46" s="291" t="s">
        <v>593</v>
      </c>
      <c r="C46" s="553" t="s">
        <v>562</v>
      </c>
      <c r="D46" s="551"/>
      <c r="E46" s="307">
        <v>4</v>
      </c>
      <c r="F46" s="552">
        <v>43367</v>
      </c>
      <c r="G46" s="552">
        <f t="shared" si="3"/>
        <v>43371</v>
      </c>
      <c r="H46" s="551"/>
      <c r="I46" s="294" t="s">
        <v>177</v>
      </c>
      <c r="J46" s="307"/>
      <c r="K46" s="294" t="s">
        <v>565</v>
      </c>
      <c r="L46" s="295"/>
      <c r="M46" s="296"/>
      <c r="N46" s="294"/>
      <c r="O46" s="355">
        <f>[4]FINALISATION!$D$26</f>
        <v>0</v>
      </c>
      <c r="P46" s="294">
        <v>1</v>
      </c>
      <c r="Q46" s="355">
        <f t="shared" si="4"/>
        <v>0</v>
      </c>
      <c r="R46" s="299"/>
      <c r="S46" s="298"/>
      <c r="T46" s="298"/>
      <c r="U46" s="298"/>
      <c r="V46" s="298"/>
      <c r="W46" s="355"/>
      <c r="X46" s="355"/>
      <c r="Y46" s="355"/>
      <c r="Z46" s="355"/>
    </row>
    <row r="47" spans="1:26" ht="31.5">
      <c r="A47" s="564">
        <v>3234</v>
      </c>
      <c r="B47" s="291" t="s">
        <v>593</v>
      </c>
      <c r="C47" s="553" t="s">
        <v>564</v>
      </c>
      <c r="D47" s="551"/>
      <c r="E47" s="307">
        <v>4</v>
      </c>
      <c r="F47" s="552">
        <v>43367</v>
      </c>
      <c r="G47" s="552">
        <f t="shared" si="3"/>
        <v>43371</v>
      </c>
      <c r="H47" s="551"/>
      <c r="I47" s="294" t="s">
        <v>177</v>
      </c>
      <c r="J47" s="307"/>
      <c r="K47" s="294" t="s">
        <v>597</v>
      </c>
      <c r="L47" s="295"/>
      <c r="M47" s="296"/>
      <c r="N47" s="294"/>
      <c r="O47" s="355">
        <f>[4]FINALISATION!$D$25</f>
        <v>1893.3333333333333</v>
      </c>
      <c r="P47" s="294">
        <v>1</v>
      </c>
      <c r="Q47" s="355">
        <f t="shared" si="4"/>
        <v>1893.3333333333333</v>
      </c>
      <c r="R47" s="299"/>
      <c r="S47" s="298"/>
      <c r="T47" s="298"/>
      <c r="U47" s="298"/>
      <c r="V47" s="298"/>
      <c r="W47" s="355"/>
      <c r="X47" s="355"/>
      <c r="Y47" s="355"/>
      <c r="Z47" s="355"/>
    </row>
    <row r="48" spans="1:26" ht="31.5">
      <c r="A48" s="564">
        <v>3234</v>
      </c>
      <c r="B48" s="291" t="s">
        <v>593</v>
      </c>
      <c r="C48" s="553" t="s">
        <v>566</v>
      </c>
      <c r="D48" s="551"/>
      <c r="E48" s="307">
        <v>4</v>
      </c>
      <c r="F48" s="552">
        <v>43367</v>
      </c>
      <c r="G48" s="552">
        <f t="shared" si="3"/>
        <v>43371</v>
      </c>
      <c r="H48" s="551"/>
      <c r="I48" s="294" t="s">
        <v>169</v>
      </c>
      <c r="J48" s="307"/>
      <c r="K48" s="294" t="s">
        <v>486</v>
      </c>
      <c r="L48" s="295"/>
      <c r="M48" s="296"/>
      <c r="N48" s="294"/>
      <c r="O48" s="355">
        <f>[4]FINALISATION!$D$28</f>
        <v>133.33333333333334</v>
      </c>
      <c r="P48" s="294">
        <v>1</v>
      </c>
      <c r="Q48" s="355">
        <f t="shared" si="4"/>
        <v>133.33333333333334</v>
      </c>
      <c r="R48" s="299"/>
      <c r="S48" s="298"/>
      <c r="T48" s="298"/>
      <c r="U48" s="298"/>
      <c r="V48" s="298"/>
      <c r="W48" s="355"/>
      <c r="X48" s="355"/>
      <c r="Y48" s="355"/>
      <c r="Z48" s="355"/>
    </row>
    <row r="49" spans="1:26" ht="16.5" customHeight="1">
      <c r="A49" s="281">
        <v>324</v>
      </c>
      <c r="B49" s="3461" t="s">
        <v>598</v>
      </c>
      <c r="C49" s="3461"/>
      <c r="D49" s="3461"/>
      <c r="E49" s="3461"/>
      <c r="F49" s="3461"/>
      <c r="G49" s="3461"/>
      <c r="H49" s="3461"/>
      <c r="I49" s="3461"/>
      <c r="J49" s="283"/>
      <c r="K49" s="283"/>
      <c r="L49" s="282"/>
      <c r="M49" s="284"/>
      <c r="N49" s="283"/>
      <c r="O49" s="361"/>
      <c r="P49" s="283"/>
      <c r="Q49" s="546">
        <f>+Q50+Q56</f>
        <v>11980.666666666666</v>
      </c>
      <c r="R49" s="287"/>
      <c r="S49" s="288"/>
      <c r="T49" s="288"/>
      <c r="U49" s="288"/>
      <c r="V49" s="288"/>
      <c r="W49" s="362"/>
      <c r="X49" s="362"/>
      <c r="Y49" s="362"/>
      <c r="Z49" s="362"/>
    </row>
    <row r="50" spans="1:26" ht="63">
      <c r="A50" s="568">
        <v>3241</v>
      </c>
      <c r="B50" s="291" t="s">
        <v>599</v>
      </c>
      <c r="C50" s="553" t="s">
        <v>600</v>
      </c>
      <c r="D50" s="551"/>
      <c r="E50" s="307">
        <v>10</v>
      </c>
      <c r="F50" s="552">
        <v>43332</v>
      </c>
      <c r="G50" s="552">
        <f>+F50+E50</f>
        <v>43342</v>
      </c>
      <c r="H50" s="551"/>
      <c r="I50" s="294" t="s">
        <v>177</v>
      </c>
      <c r="J50" s="294" t="s">
        <v>601</v>
      </c>
      <c r="K50" s="294"/>
      <c r="L50" s="295"/>
      <c r="M50" s="296"/>
      <c r="N50" s="294"/>
      <c r="O50" s="487">
        <f>[5]Feuil1!$E$35</f>
        <v>9680.6666666666661</v>
      </c>
      <c r="P50" s="294">
        <v>1</v>
      </c>
      <c r="Q50" s="555">
        <f t="shared" ref="Q50:Q55" si="5">+O50*P50</f>
        <v>9680.6666666666661</v>
      </c>
      <c r="R50" s="518"/>
      <c r="S50" s="493"/>
      <c r="T50" s="493"/>
      <c r="U50" s="493"/>
      <c r="V50" s="280"/>
      <c r="W50" s="487"/>
      <c r="X50" s="487">
        <v>9680.67</v>
      </c>
      <c r="Y50" s="487"/>
      <c r="Z50" s="487"/>
    </row>
    <row r="51" spans="1:26" ht="31.5" hidden="1">
      <c r="A51" s="568"/>
      <c r="B51" s="291" t="s">
        <v>599</v>
      </c>
      <c r="C51" s="553" t="s">
        <v>579</v>
      </c>
      <c r="D51" s="336" t="s">
        <v>514</v>
      </c>
      <c r="E51" s="307">
        <v>45</v>
      </c>
      <c r="F51" s="552">
        <v>43194</v>
      </c>
      <c r="G51" s="552">
        <f t="shared" ref="G51:G56" si="6">+E51+F51</f>
        <v>43239</v>
      </c>
      <c r="H51" s="551"/>
      <c r="I51" s="294"/>
      <c r="J51" s="294"/>
      <c r="K51" s="294" t="s">
        <v>302</v>
      </c>
      <c r="L51" s="295"/>
      <c r="M51" s="296"/>
      <c r="N51" s="294"/>
      <c r="O51" s="355">
        <f>[5]Feuil1!$E$34</f>
        <v>157.33333333333334</v>
      </c>
      <c r="P51" s="569">
        <v>1</v>
      </c>
      <c r="Q51" s="488">
        <f t="shared" si="5"/>
        <v>157.33333333333334</v>
      </c>
      <c r="R51" s="299"/>
      <c r="S51" s="298"/>
      <c r="T51" s="298"/>
      <c r="U51" s="298"/>
      <c r="V51" s="298"/>
      <c r="W51" s="355"/>
      <c r="X51" s="355"/>
      <c r="Y51" s="355"/>
      <c r="Z51" s="355"/>
    </row>
    <row r="52" spans="1:26" ht="31.5" hidden="1">
      <c r="A52" s="568"/>
      <c r="B52" s="291" t="s">
        <v>599</v>
      </c>
      <c r="C52" s="553" t="s">
        <v>560</v>
      </c>
      <c r="D52" s="551"/>
      <c r="E52" s="307">
        <v>5</v>
      </c>
      <c r="F52" s="552">
        <v>43332</v>
      </c>
      <c r="G52" s="552">
        <f t="shared" si="6"/>
        <v>43337</v>
      </c>
      <c r="H52" s="551"/>
      <c r="I52" s="294"/>
      <c r="J52" s="294"/>
      <c r="K52" s="294" t="s">
        <v>596</v>
      </c>
      <c r="L52" s="295"/>
      <c r="M52" s="296"/>
      <c r="N52" s="294"/>
      <c r="O52" s="355">
        <f>[5]Feuil1!$E$30</f>
        <v>3870</v>
      </c>
      <c r="P52" s="569">
        <v>1</v>
      </c>
      <c r="Q52" s="488">
        <f t="shared" si="5"/>
        <v>3870</v>
      </c>
      <c r="R52" s="299"/>
      <c r="S52" s="298"/>
      <c r="T52" s="298"/>
      <c r="U52" s="298"/>
      <c r="V52" s="298"/>
      <c r="W52" s="355"/>
      <c r="X52" s="355"/>
      <c r="Y52" s="355"/>
      <c r="Z52" s="355"/>
    </row>
    <row r="53" spans="1:26" ht="31.5" hidden="1">
      <c r="A53" s="568"/>
      <c r="B53" s="291" t="s">
        <v>599</v>
      </c>
      <c r="C53" s="553" t="s">
        <v>562</v>
      </c>
      <c r="D53" s="551"/>
      <c r="E53" s="307">
        <v>5</v>
      </c>
      <c r="F53" s="552">
        <v>43332</v>
      </c>
      <c r="G53" s="552">
        <f t="shared" si="6"/>
        <v>43337</v>
      </c>
      <c r="H53" s="551"/>
      <c r="I53" s="294"/>
      <c r="J53" s="294"/>
      <c r="K53" s="294" t="s">
        <v>565</v>
      </c>
      <c r="L53" s="295"/>
      <c r="M53" s="296"/>
      <c r="N53" s="294"/>
      <c r="O53" s="355">
        <f>[5]Feuil1!$E$32</f>
        <v>1580</v>
      </c>
      <c r="P53" s="569">
        <v>1</v>
      </c>
      <c r="Q53" s="488">
        <f t="shared" si="5"/>
        <v>1580</v>
      </c>
      <c r="R53" s="299"/>
      <c r="S53" s="298"/>
      <c r="T53" s="298"/>
      <c r="U53" s="298"/>
      <c r="V53" s="298"/>
      <c r="W53" s="355"/>
      <c r="X53" s="355"/>
      <c r="Y53" s="355"/>
      <c r="Z53" s="355"/>
    </row>
    <row r="54" spans="1:26" ht="31.5" hidden="1">
      <c r="A54" s="568"/>
      <c r="B54" s="291" t="s">
        <v>599</v>
      </c>
      <c r="C54" s="553" t="s">
        <v>564</v>
      </c>
      <c r="D54" s="551"/>
      <c r="E54" s="307">
        <v>5</v>
      </c>
      <c r="F54" s="552">
        <v>43332</v>
      </c>
      <c r="G54" s="552">
        <f t="shared" si="6"/>
        <v>43337</v>
      </c>
      <c r="H54" s="551"/>
      <c r="I54" s="294"/>
      <c r="J54" s="294"/>
      <c r="K54" s="294" t="s">
        <v>597</v>
      </c>
      <c r="L54" s="295"/>
      <c r="M54" s="296"/>
      <c r="N54" s="294"/>
      <c r="O54" s="355">
        <f>[5]Feuil1!$E$31</f>
        <v>3840</v>
      </c>
      <c r="P54" s="569">
        <v>1</v>
      </c>
      <c r="Q54" s="488">
        <f t="shared" si="5"/>
        <v>3840</v>
      </c>
      <c r="R54" s="299"/>
      <c r="S54" s="298"/>
      <c r="T54" s="298"/>
      <c r="U54" s="298"/>
      <c r="V54" s="298"/>
      <c r="W54" s="355"/>
      <c r="X54" s="355"/>
      <c r="Y54" s="355"/>
      <c r="Z54" s="355"/>
    </row>
    <row r="55" spans="1:26" ht="31.5" hidden="1">
      <c r="A55" s="568"/>
      <c r="B55" s="291" t="s">
        <v>599</v>
      </c>
      <c r="C55" s="553" t="s">
        <v>566</v>
      </c>
      <c r="D55" s="551"/>
      <c r="E55" s="307">
        <v>5</v>
      </c>
      <c r="F55" s="552">
        <v>43332</v>
      </c>
      <c r="G55" s="552">
        <f t="shared" si="6"/>
        <v>43337</v>
      </c>
      <c r="H55" s="551"/>
      <c r="I55" s="294"/>
      <c r="J55" s="294"/>
      <c r="K55" s="294" t="s">
        <v>486</v>
      </c>
      <c r="L55" s="295"/>
      <c r="M55" s="296"/>
      <c r="N55" s="294"/>
      <c r="O55" s="355">
        <f>[5]Feuil1!$E$33</f>
        <v>233.33333333333334</v>
      </c>
      <c r="P55" s="569">
        <v>1</v>
      </c>
      <c r="Q55" s="488">
        <f t="shared" si="5"/>
        <v>233.33333333333334</v>
      </c>
      <c r="R55" s="299"/>
      <c r="S55" s="298"/>
      <c r="T55" s="298"/>
      <c r="U55" s="298"/>
      <c r="V55" s="298"/>
      <c r="W55" s="355"/>
      <c r="X55" s="355"/>
      <c r="Y55" s="355"/>
      <c r="Z55" s="355"/>
    </row>
    <row r="56" spans="1:26" ht="47.25">
      <c r="A56" s="564">
        <v>3242</v>
      </c>
      <c r="B56" s="291" t="s">
        <v>602</v>
      </c>
      <c r="C56" s="553" t="s">
        <v>603</v>
      </c>
      <c r="D56" s="551"/>
      <c r="E56" s="307">
        <v>3</v>
      </c>
      <c r="F56" s="552">
        <v>43339</v>
      </c>
      <c r="G56" s="552">
        <f t="shared" si="6"/>
        <v>43342</v>
      </c>
      <c r="H56" s="551"/>
      <c r="I56" s="307" t="s">
        <v>177</v>
      </c>
      <c r="J56" s="307" t="s">
        <v>604</v>
      </c>
      <c r="K56" s="570"/>
      <c r="L56" s="295"/>
      <c r="M56" s="296"/>
      <c r="N56" s="294"/>
      <c r="O56" s="487">
        <v>2300</v>
      </c>
      <c r="P56" s="294">
        <v>1</v>
      </c>
      <c r="Q56" s="555">
        <f>O56*P56</f>
        <v>2300</v>
      </c>
      <c r="R56" s="518"/>
      <c r="S56" s="493"/>
      <c r="T56" s="493"/>
      <c r="U56" s="493"/>
      <c r="V56" s="493"/>
      <c r="W56" s="555"/>
      <c r="X56" s="555">
        <v>2300</v>
      </c>
      <c r="Y56" s="280"/>
      <c r="Z56" s="487"/>
    </row>
    <row r="57" spans="1:26" s="550" customFormat="1" ht="16.5" customHeight="1">
      <c r="A57" s="281">
        <v>325</v>
      </c>
      <c r="B57" s="3461" t="s">
        <v>605</v>
      </c>
      <c r="C57" s="3461"/>
      <c r="D57" s="3461"/>
      <c r="E57" s="3461"/>
      <c r="F57" s="3461"/>
      <c r="G57" s="3461"/>
      <c r="H57" s="3461"/>
      <c r="I57" s="3461"/>
      <c r="J57" s="543"/>
      <c r="K57" s="543"/>
      <c r="L57" s="544"/>
      <c r="M57" s="545"/>
      <c r="N57" s="543"/>
      <c r="O57" s="546"/>
      <c r="P57" s="543"/>
      <c r="Q57" s="546">
        <f>+Q58</f>
        <v>13243</v>
      </c>
      <c r="R57" s="547"/>
      <c r="S57" s="548"/>
      <c r="T57" s="548"/>
      <c r="U57" s="548"/>
      <c r="V57" s="548"/>
      <c r="W57" s="549"/>
      <c r="X57" s="362"/>
      <c r="Y57" s="549"/>
      <c r="Z57" s="549"/>
    </row>
    <row r="58" spans="1:26" ht="63">
      <c r="A58" s="301">
        <v>3251</v>
      </c>
      <c r="B58" s="291" t="s">
        <v>606</v>
      </c>
      <c r="C58" s="562" t="s">
        <v>607</v>
      </c>
      <c r="D58" s="551"/>
      <c r="E58" s="551"/>
      <c r="F58" s="551"/>
      <c r="G58" s="551"/>
      <c r="H58" s="551"/>
      <c r="I58" s="294" t="s">
        <v>177</v>
      </c>
      <c r="J58" s="294" t="s">
        <v>170</v>
      </c>
      <c r="K58" s="294"/>
      <c r="L58" s="295"/>
      <c r="M58" s="296"/>
      <c r="N58" s="294"/>
      <c r="O58" s="487">
        <v>13243</v>
      </c>
      <c r="P58" s="294">
        <v>1</v>
      </c>
      <c r="Q58" s="555">
        <f t="shared" ref="Q58:Q63" si="7">+O58*P58</f>
        <v>13243</v>
      </c>
      <c r="R58" s="518"/>
      <c r="S58" s="493"/>
      <c r="T58" s="493"/>
      <c r="U58" s="493"/>
      <c r="V58" s="493"/>
      <c r="W58" s="555">
        <v>13243</v>
      </c>
      <c r="X58" s="487"/>
      <c r="Y58" s="280"/>
      <c r="Z58" s="555"/>
    </row>
    <row r="59" spans="1:26">
      <c r="A59" s="301">
        <v>3251</v>
      </c>
      <c r="B59" s="291" t="s">
        <v>606</v>
      </c>
      <c r="C59" s="553" t="s">
        <v>579</v>
      </c>
      <c r="D59" s="307" t="s">
        <v>514</v>
      </c>
      <c r="E59" s="307">
        <v>45</v>
      </c>
      <c r="F59" s="571">
        <v>43194</v>
      </c>
      <c r="G59" s="571">
        <f>+F59+E59</f>
        <v>43239</v>
      </c>
      <c r="H59" s="551"/>
      <c r="I59" s="294"/>
      <c r="J59" s="294"/>
      <c r="K59" s="294" t="s">
        <v>302</v>
      </c>
      <c r="L59" s="295"/>
      <c r="M59" s="296"/>
      <c r="N59" s="294"/>
      <c r="O59" s="572">
        <f>[6]Feuil3!$H$11</f>
        <v>155.66666666666666</v>
      </c>
      <c r="P59" s="294">
        <v>1</v>
      </c>
      <c r="Q59" s="355">
        <f t="shared" si="7"/>
        <v>155.66666666666666</v>
      </c>
      <c r="R59" s="299"/>
      <c r="S59" s="298"/>
      <c r="T59" s="298"/>
      <c r="U59" s="298"/>
      <c r="V59" s="298"/>
      <c r="W59" s="355"/>
      <c r="X59" s="355"/>
      <c r="Y59" s="355"/>
      <c r="Z59" s="355"/>
    </row>
    <row r="60" spans="1:26">
      <c r="A60" s="301">
        <v>3251</v>
      </c>
      <c r="B60" s="291" t="s">
        <v>606</v>
      </c>
      <c r="C60" s="553" t="s">
        <v>560</v>
      </c>
      <c r="D60" s="551"/>
      <c r="E60" s="307">
        <v>10</v>
      </c>
      <c r="F60" s="571">
        <v>43299</v>
      </c>
      <c r="G60" s="571">
        <f>+E60+F60</f>
        <v>43309</v>
      </c>
      <c r="H60" s="551"/>
      <c r="I60" s="294"/>
      <c r="J60" s="294"/>
      <c r="K60" s="294" t="s">
        <v>596</v>
      </c>
      <c r="L60" s="295"/>
      <c r="M60" s="296"/>
      <c r="N60" s="294"/>
      <c r="O60" s="355">
        <f>[6]Feuil3!$H$8</f>
        <v>6048</v>
      </c>
      <c r="P60" s="294">
        <v>1</v>
      </c>
      <c r="Q60" s="355">
        <f t="shared" si="7"/>
        <v>6048</v>
      </c>
      <c r="R60" s="299"/>
      <c r="S60" s="298"/>
      <c r="T60" s="298"/>
      <c r="U60" s="298"/>
      <c r="V60" s="298"/>
      <c r="W60" s="355"/>
      <c r="X60" s="355"/>
      <c r="Y60" s="355"/>
      <c r="Z60" s="355"/>
    </row>
    <row r="61" spans="1:26">
      <c r="A61" s="301">
        <v>3251</v>
      </c>
      <c r="B61" s="291" t="s">
        <v>606</v>
      </c>
      <c r="C61" s="553" t="s">
        <v>562</v>
      </c>
      <c r="D61" s="551"/>
      <c r="E61" s="307">
        <v>10</v>
      </c>
      <c r="F61" s="571">
        <v>43299</v>
      </c>
      <c r="G61" s="571">
        <f>+E61+F61</f>
        <v>43309</v>
      </c>
      <c r="H61" s="551"/>
      <c r="I61" s="294"/>
      <c r="J61" s="294"/>
      <c r="K61" s="294" t="s">
        <v>565</v>
      </c>
      <c r="L61" s="295"/>
      <c r="M61" s="296"/>
      <c r="N61" s="294"/>
      <c r="O61" s="355">
        <f>[6]Feuil3!$H$10</f>
        <v>546</v>
      </c>
      <c r="P61" s="294">
        <v>1</v>
      </c>
      <c r="Q61" s="355">
        <f t="shared" si="7"/>
        <v>546</v>
      </c>
      <c r="R61" s="299"/>
      <c r="S61" s="298"/>
      <c r="T61" s="298"/>
      <c r="U61" s="298"/>
      <c r="V61" s="298"/>
      <c r="W61" s="355"/>
      <c r="X61" s="355"/>
      <c r="Y61" s="355"/>
      <c r="Z61" s="355"/>
    </row>
    <row r="62" spans="1:26" ht="31.5">
      <c r="A62" s="301">
        <v>3251</v>
      </c>
      <c r="B62" s="291" t="s">
        <v>606</v>
      </c>
      <c r="C62" s="553" t="s">
        <v>564</v>
      </c>
      <c r="D62" s="551"/>
      <c r="E62" s="307">
        <v>10</v>
      </c>
      <c r="F62" s="571">
        <v>43299</v>
      </c>
      <c r="G62" s="571">
        <f>+E62+F62</f>
        <v>43309</v>
      </c>
      <c r="H62" s="551"/>
      <c r="I62" s="294"/>
      <c r="J62" s="294"/>
      <c r="K62" s="294" t="s">
        <v>597</v>
      </c>
      <c r="L62" s="295"/>
      <c r="M62" s="296"/>
      <c r="N62" s="294"/>
      <c r="O62" s="355">
        <f>[6]Feuil3!$H$9</f>
        <v>6160</v>
      </c>
      <c r="P62" s="294">
        <v>1</v>
      </c>
      <c r="Q62" s="355">
        <f t="shared" si="7"/>
        <v>6160</v>
      </c>
      <c r="R62" s="299"/>
      <c r="S62" s="298"/>
      <c r="T62" s="298"/>
      <c r="U62" s="298"/>
      <c r="V62" s="298"/>
      <c r="W62" s="355"/>
      <c r="X62" s="355"/>
      <c r="Y62" s="355"/>
      <c r="Z62" s="355"/>
    </row>
    <row r="63" spans="1:26">
      <c r="A63" s="301">
        <v>3251</v>
      </c>
      <c r="B63" s="291" t="s">
        <v>606</v>
      </c>
      <c r="C63" s="553" t="s">
        <v>566</v>
      </c>
      <c r="D63" s="551"/>
      <c r="E63" s="307">
        <v>10</v>
      </c>
      <c r="F63" s="571">
        <v>43299</v>
      </c>
      <c r="G63" s="571">
        <f>+E63+F63</f>
        <v>43309</v>
      </c>
      <c r="H63" s="551"/>
      <c r="I63" s="294"/>
      <c r="J63" s="294"/>
      <c r="K63" s="294" t="s">
        <v>486</v>
      </c>
      <c r="L63" s="295"/>
      <c r="M63" s="296"/>
      <c r="N63" s="294"/>
      <c r="O63" s="355">
        <f>[6]Feuil3!$H$12</f>
        <v>333.33333333333331</v>
      </c>
      <c r="P63" s="294">
        <v>1</v>
      </c>
      <c r="Q63" s="355">
        <f t="shared" si="7"/>
        <v>333.33333333333331</v>
      </c>
      <c r="R63" s="299"/>
      <c r="S63" s="298"/>
      <c r="T63" s="298"/>
      <c r="U63" s="298"/>
      <c r="V63" s="298"/>
      <c r="W63" s="355"/>
      <c r="X63" s="355"/>
      <c r="Y63" s="355"/>
      <c r="Z63" s="355"/>
    </row>
    <row r="64" spans="1:26" ht="16.5" customHeight="1">
      <c r="A64" s="281">
        <v>326</v>
      </c>
      <c r="B64" s="3461" t="s">
        <v>608</v>
      </c>
      <c r="C64" s="3461"/>
      <c r="D64" s="3461"/>
      <c r="E64" s="3461"/>
      <c r="F64" s="3461"/>
      <c r="G64" s="3461"/>
      <c r="H64" s="3461"/>
      <c r="I64" s="3461"/>
      <c r="J64" s="283"/>
      <c r="K64" s="283"/>
      <c r="L64" s="282"/>
      <c r="M64" s="284"/>
      <c r="N64" s="283"/>
      <c r="O64" s="361"/>
      <c r="P64" s="283"/>
      <c r="Q64" s="546">
        <f>+Q65+Q66</f>
        <v>30000</v>
      </c>
      <c r="R64" s="287"/>
      <c r="S64" s="288"/>
      <c r="T64" s="288"/>
      <c r="U64" s="288"/>
      <c r="V64" s="288"/>
      <c r="W64" s="362"/>
      <c r="X64" s="362"/>
      <c r="Y64" s="362"/>
      <c r="Z64" s="362"/>
    </row>
    <row r="65" spans="1:26" ht="31.5">
      <c r="A65" s="307">
        <v>3261</v>
      </c>
      <c r="B65" s="291" t="s">
        <v>609</v>
      </c>
      <c r="C65" s="573" t="s">
        <v>610</v>
      </c>
      <c r="D65" s="307" t="s">
        <v>246</v>
      </c>
      <c r="E65" s="557">
        <f>70+30</f>
        <v>100</v>
      </c>
      <c r="F65" s="571">
        <v>43192</v>
      </c>
      <c r="G65" s="571">
        <f>+E65+F65</f>
        <v>43292</v>
      </c>
      <c r="H65" s="551"/>
      <c r="I65" s="307" t="s">
        <v>611</v>
      </c>
      <c r="J65" s="294"/>
      <c r="K65" s="294"/>
      <c r="L65" s="295"/>
      <c r="M65" s="296"/>
      <c r="N65" s="294"/>
      <c r="O65" s="487">
        <v>10000</v>
      </c>
      <c r="P65" s="294">
        <v>1</v>
      </c>
      <c r="Q65" s="555">
        <v>10000</v>
      </c>
      <c r="R65" s="518"/>
      <c r="S65" s="493"/>
      <c r="T65" s="555"/>
      <c r="U65" s="493"/>
      <c r="V65" s="493"/>
      <c r="W65" s="487">
        <f>Q65/2</f>
        <v>5000</v>
      </c>
      <c r="X65" s="574"/>
      <c r="Y65" s="487"/>
      <c r="Z65" s="487">
        <f>Q65/2</f>
        <v>5000</v>
      </c>
    </row>
    <row r="66" spans="1:26" ht="47.25">
      <c r="A66" s="301">
        <v>3262</v>
      </c>
      <c r="B66" s="291" t="s">
        <v>612</v>
      </c>
      <c r="C66" s="575" t="s">
        <v>610</v>
      </c>
      <c r="D66" s="307" t="s">
        <v>246</v>
      </c>
      <c r="E66" s="307">
        <f>70+30</f>
        <v>100</v>
      </c>
      <c r="F66" s="571">
        <v>43192</v>
      </c>
      <c r="G66" s="571">
        <f>+E66+F66</f>
        <v>43292</v>
      </c>
      <c r="H66" s="551"/>
      <c r="I66" s="307" t="s">
        <v>611</v>
      </c>
      <c r="J66" s="294"/>
      <c r="K66" s="294"/>
      <c r="L66" s="295"/>
      <c r="M66" s="296"/>
      <c r="N66" s="294"/>
      <c r="O66" s="487">
        <v>20000</v>
      </c>
      <c r="P66" s="294">
        <v>1</v>
      </c>
      <c r="Q66" s="555">
        <f>+O66*P66</f>
        <v>20000</v>
      </c>
      <c r="R66" s="518"/>
      <c r="S66" s="493"/>
      <c r="T66" s="555"/>
      <c r="U66" s="493"/>
      <c r="V66" s="493"/>
      <c r="W66" s="487">
        <v>10000</v>
      </c>
      <c r="X66" s="487"/>
      <c r="Y66" s="487"/>
      <c r="Z66" s="487">
        <v>10000</v>
      </c>
    </row>
    <row r="67" spans="1:26">
      <c r="O67" s="3530" t="s">
        <v>41</v>
      </c>
      <c r="P67" s="3530"/>
      <c r="Q67" s="576"/>
    </row>
    <row r="71" spans="1:26">
      <c r="T71" s="578"/>
    </row>
  </sheetData>
  <mergeCells count="28">
    <mergeCell ref="B57:I57"/>
    <mergeCell ref="B64:I64"/>
    <mergeCell ref="O67:P67"/>
    <mergeCell ref="R5:R6"/>
    <mergeCell ref="S5:Z5"/>
    <mergeCell ref="A7:I7"/>
    <mergeCell ref="A8:I8"/>
    <mergeCell ref="A9:I9"/>
    <mergeCell ref="B10:I10"/>
    <mergeCell ref="L5:L6"/>
    <mergeCell ref="M5:M6"/>
    <mergeCell ref="N5:N6"/>
    <mergeCell ref="O5:O6"/>
    <mergeCell ref="P5:P6"/>
    <mergeCell ref="Q5:Q6"/>
    <mergeCell ref="B20:I20"/>
    <mergeCell ref="B30:I30"/>
    <mergeCell ref="B49:I49"/>
    <mergeCell ref="A2:V2"/>
    <mergeCell ref="A5:A6"/>
    <mergeCell ref="B5:B6"/>
    <mergeCell ref="C5:C6"/>
    <mergeCell ref="D5:D6"/>
    <mergeCell ref="E5:E6"/>
    <mergeCell ref="F5:G5"/>
    <mergeCell ref="H5:H6"/>
    <mergeCell ref="I5:J5"/>
    <mergeCell ref="K5:K6"/>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C000"/>
  </sheetPr>
  <dimension ref="A1:AF171"/>
  <sheetViews>
    <sheetView topLeftCell="K1" workbookViewId="0">
      <selection activeCell="X43" sqref="X43:Z43"/>
    </sheetView>
  </sheetViews>
  <sheetFormatPr baseColWidth="10" defaultColWidth="11.42578125" defaultRowHeight="15.75"/>
  <cols>
    <col min="1" max="1" width="7.28515625" style="336" customWidth="1"/>
    <col min="2" max="2" width="41.42578125" style="337" customWidth="1"/>
    <col min="3" max="3" width="34.85546875" style="337" customWidth="1"/>
    <col min="4" max="4" width="9.5703125" style="337" customWidth="1"/>
    <col min="5" max="5" width="13.140625" style="338" customWidth="1"/>
    <col min="6" max="6" width="11.7109375" style="339" bestFit="1" customWidth="1"/>
    <col min="7" max="7" width="11.5703125" style="340" bestFit="1" customWidth="1"/>
    <col min="8" max="8" width="18.42578125" style="340" customWidth="1"/>
    <col min="9" max="9" width="14" style="341" customWidth="1"/>
    <col min="10" max="10" width="13.85546875" style="342" customWidth="1"/>
    <col min="11" max="11" width="23" style="341" customWidth="1"/>
    <col min="12" max="12" width="13.85546875" style="342" customWidth="1"/>
    <col min="13" max="13" width="13.85546875" style="280" customWidth="1"/>
    <col min="14" max="14" width="13.85546875" style="341" customWidth="1"/>
    <col min="15" max="15" width="14" style="343" customWidth="1"/>
    <col min="16" max="16" width="14" style="342" customWidth="1"/>
    <col min="17" max="17" width="14.7109375" style="315" bestFit="1" customWidth="1"/>
    <col min="18" max="18" width="17" style="344" customWidth="1"/>
    <col min="19" max="20" width="10.42578125" style="315" customWidth="1"/>
    <col min="21" max="21" width="13.28515625" style="315" customWidth="1"/>
    <col min="22" max="23" width="13.5703125" style="315" customWidth="1"/>
    <col min="24" max="24" width="13.7109375" style="315" customWidth="1"/>
    <col min="25" max="25" width="14.7109375" style="315" customWidth="1"/>
    <col min="26" max="26" width="15.42578125" style="280" customWidth="1"/>
    <col min="27" max="27" width="15.28515625" style="280" customWidth="1"/>
    <col min="28" max="29" width="11.5703125" style="280" bestFit="1" customWidth="1"/>
    <col min="30" max="30" width="12.42578125" style="280" bestFit="1" customWidth="1"/>
    <col min="31" max="32" width="11.5703125" style="280" bestFit="1" customWidth="1"/>
    <col min="33" max="16384" width="11.42578125" style="280"/>
  </cols>
  <sheetData>
    <row r="1" spans="1:32" s="238" customFormat="1">
      <c r="A1" s="234"/>
      <c r="B1" s="235"/>
      <c r="C1" s="235"/>
      <c r="D1" s="235"/>
      <c r="E1" s="236"/>
      <c r="F1" s="237"/>
      <c r="G1" s="237"/>
      <c r="H1" s="237"/>
      <c r="I1" s="237"/>
      <c r="J1" s="237"/>
      <c r="K1" s="237"/>
      <c r="L1" s="237"/>
      <c r="N1" s="237"/>
      <c r="O1" s="239"/>
      <c r="P1" s="237"/>
      <c r="Q1" s="240"/>
      <c r="R1" s="241"/>
      <c r="S1" s="239"/>
      <c r="T1" s="239"/>
      <c r="U1" s="239"/>
      <c r="V1" s="239"/>
      <c r="W1" s="239"/>
      <c r="X1" s="239"/>
      <c r="Y1" s="239"/>
    </row>
    <row r="2" spans="1:32" s="238" customFormat="1" ht="15.75" customHeight="1">
      <c r="A2" s="3533" t="s">
        <v>202</v>
      </c>
      <c r="B2" s="3533"/>
      <c r="C2" s="3533"/>
      <c r="D2" s="3533"/>
      <c r="E2" s="3533"/>
      <c r="F2" s="3533"/>
      <c r="G2" s="3533"/>
      <c r="H2" s="3533"/>
      <c r="I2" s="3533"/>
      <c r="J2" s="3533"/>
      <c r="K2" s="3533"/>
      <c r="L2" s="3533"/>
      <c r="M2" s="3533"/>
      <c r="N2" s="3533"/>
      <c r="O2" s="3533"/>
      <c r="P2" s="3533"/>
      <c r="Q2" s="3533"/>
      <c r="R2" s="3533"/>
      <c r="S2" s="3533"/>
      <c r="T2" s="3533"/>
      <c r="U2" s="3533"/>
      <c r="V2" s="3533"/>
    </row>
    <row r="3" spans="1:32" s="249" customFormat="1" ht="15.75" customHeight="1">
      <c r="A3" s="234"/>
      <c r="B3" s="762"/>
      <c r="C3" s="762"/>
      <c r="D3" s="762"/>
      <c r="E3" s="234"/>
      <c r="F3" s="762"/>
      <c r="G3" s="762"/>
      <c r="H3" s="762"/>
      <c r="I3" s="234"/>
      <c r="J3" s="234"/>
      <c r="K3" s="234"/>
      <c r="L3" s="234"/>
      <c r="M3" s="762"/>
      <c r="N3" s="234"/>
      <c r="O3" s="763"/>
      <c r="P3" s="234"/>
      <c r="Q3" s="764"/>
      <c r="R3" s="765"/>
      <c r="S3" s="762"/>
      <c r="T3" s="762"/>
      <c r="U3" s="762"/>
      <c r="V3" s="762"/>
    </row>
    <row r="4" spans="1:32" s="238" customFormat="1">
      <c r="A4" s="234"/>
      <c r="B4" s="235"/>
      <c r="C4" s="235"/>
      <c r="D4" s="235"/>
      <c r="E4" s="236"/>
      <c r="F4" s="237"/>
      <c r="G4" s="237"/>
      <c r="H4" s="237"/>
      <c r="I4" s="237"/>
      <c r="J4" s="237"/>
      <c r="K4" s="237"/>
      <c r="L4" s="237"/>
      <c r="N4" s="237"/>
      <c r="O4" s="239"/>
      <c r="P4" s="237"/>
      <c r="Q4" s="240"/>
      <c r="R4" s="241"/>
      <c r="S4" s="239"/>
      <c r="T4" s="239"/>
      <c r="U4" s="239"/>
      <c r="V4" s="239"/>
      <c r="W4" s="239"/>
      <c r="X4" s="239"/>
      <c r="Y4" s="239"/>
    </row>
    <row r="5" spans="1:32" s="238" customFormat="1" ht="34.5" customHeight="1">
      <c r="A5" s="3534" t="s">
        <v>203</v>
      </c>
      <c r="B5" s="3503" t="s">
        <v>204</v>
      </c>
      <c r="C5" s="3503" t="s">
        <v>205</v>
      </c>
      <c r="D5" s="3499" t="s">
        <v>206</v>
      </c>
      <c r="E5" s="3500" t="s">
        <v>207</v>
      </c>
      <c r="F5" s="3536" t="s">
        <v>208</v>
      </c>
      <c r="G5" s="3537"/>
      <c r="H5" s="3538" t="s">
        <v>209</v>
      </c>
      <c r="I5" s="3540" t="s">
        <v>210</v>
      </c>
      <c r="J5" s="3541"/>
      <c r="K5" s="3503" t="s">
        <v>211</v>
      </c>
      <c r="L5" s="3503" t="s">
        <v>212</v>
      </c>
      <c r="M5" s="3499" t="s">
        <v>213</v>
      </c>
      <c r="N5" s="3499" t="s">
        <v>214</v>
      </c>
      <c r="O5" s="3497" t="s">
        <v>215</v>
      </c>
      <c r="P5" s="3503" t="s">
        <v>216</v>
      </c>
      <c r="Q5" s="3497" t="s">
        <v>286</v>
      </c>
      <c r="R5" s="3542" t="s">
        <v>287</v>
      </c>
      <c r="S5" s="3544" t="s">
        <v>219</v>
      </c>
      <c r="T5" s="3545"/>
      <c r="U5" s="3545"/>
      <c r="V5" s="3545"/>
      <c r="W5" s="3545"/>
      <c r="X5" s="3545"/>
      <c r="Y5" s="3546"/>
      <c r="Z5" s="766"/>
      <c r="AA5" s="766"/>
      <c r="AB5" s="766"/>
      <c r="AC5" s="766"/>
      <c r="AD5" s="766"/>
      <c r="AE5" s="766"/>
      <c r="AF5" s="767"/>
    </row>
    <row r="6" spans="1:32" s="237" customFormat="1" ht="60" customHeight="1">
      <c r="A6" s="3535"/>
      <c r="B6" s="3450"/>
      <c r="C6" s="3450"/>
      <c r="D6" s="3442"/>
      <c r="E6" s="3446"/>
      <c r="F6" s="768" t="s">
        <v>220</v>
      </c>
      <c r="G6" s="769" t="s">
        <v>221</v>
      </c>
      <c r="H6" s="3539"/>
      <c r="I6" s="770" t="s">
        <v>222</v>
      </c>
      <c r="J6" s="770" t="s">
        <v>288</v>
      </c>
      <c r="K6" s="3450"/>
      <c r="L6" s="3450"/>
      <c r="M6" s="3442"/>
      <c r="N6" s="3442"/>
      <c r="O6" s="3498"/>
      <c r="P6" s="3450"/>
      <c r="Q6" s="3498"/>
      <c r="R6" s="3543"/>
      <c r="S6" s="767" t="s">
        <v>224</v>
      </c>
      <c r="T6" s="767" t="s">
        <v>225</v>
      </c>
      <c r="U6" s="767" t="s">
        <v>226</v>
      </c>
      <c r="V6" s="767" t="s">
        <v>227</v>
      </c>
      <c r="W6" s="767" t="s">
        <v>228</v>
      </c>
      <c r="X6" s="767" t="s">
        <v>229</v>
      </c>
      <c r="Y6" s="771" t="s">
        <v>230</v>
      </c>
      <c r="Z6" s="767" t="s">
        <v>289</v>
      </c>
      <c r="AA6" s="767" t="s">
        <v>290</v>
      </c>
      <c r="AB6" s="767" t="s">
        <v>291</v>
      </c>
      <c r="AC6" s="772">
        <v>43466</v>
      </c>
      <c r="AD6" s="772">
        <v>43497</v>
      </c>
      <c r="AE6" s="772">
        <v>43525</v>
      </c>
      <c r="AF6" s="772">
        <v>43556</v>
      </c>
    </row>
    <row r="7" spans="1:32" ht="33.75" hidden="1" customHeight="1">
      <c r="A7" s="3547" t="s">
        <v>231</v>
      </c>
      <c r="B7" s="3548"/>
      <c r="C7" s="3548"/>
      <c r="D7" s="3548"/>
      <c r="E7" s="3548"/>
      <c r="F7" s="3548"/>
      <c r="G7" s="3548"/>
      <c r="H7" s="3548"/>
      <c r="I7" s="3549"/>
      <c r="J7" s="773"/>
      <c r="K7" s="773"/>
      <c r="L7" s="773"/>
      <c r="M7" s="774"/>
      <c r="N7" s="773"/>
      <c r="O7" s="775"/>
      <c r="P7" s="773"/>
      <c r="Q7" s="776"/>
      <c r="R7" s="777">
        <f>+'[17]Compil Costing PPA 3 millions'!F5</f>
        <v>449500</v>
      </c>
      <c r="S7" s="778"/>
      <c r="T7" s="778"/>
      <c r="U7" s="778"/>
      <c r="V7" s="778"/>
      <c r="W7" s="778"/>
      <c r="X7" s="778"/>
      <c r="Y7" s="779"/>
      <c r="Z7" s="780"/>
      <c r="AA7" s="780"/>
      <c r="AB7" s="780"/>
      <c r="AC7" s="780"/>
      <c r="AD7" s="780"/>
      <c r="AE7" s="780"/>
      <c r="AF7" s="780"/>
    </row>
    <row r="8" spans="1:32" ht="37.5" hidden="1" customHeight="1">
      <c r="A8" s="3553" t="s">
        <v>232</v>
      </c>
      <c r="B8" s="3554"/>
      <c r="C8" s="3554"/>
      <c r="D8" s="3554"/>
      <c r="E8" s="3554"/>
      <c r="F8" s="3554"/>
      <c r="G8" s="3554"/>
      <c r="H8" s="3554"/>
      <c r="I8" s="3555"/>
      <c r="J8" s="781"/>
      <c r="K8" s="781"/>
      <c r="L8" s="781"/>
      <c r="M8" s="782"/>
      <c r="N8" s="781"/>
      <c r="O8" s="783"/>
      <c r="P8" s="781"/>
      <c r="Q8" s="784"/>
      <c r="R8" s="785"/>
      <c r="S8" s="786"/>
      <c r="T8" s="786"/>
      <c r="U8" s="786"/>
      <c r="V8" s="782"/>
      <c r="W8" s="782"/>
      <c r="X8" s="782"/>
      <c r="Y8" s="787"/>
      <c r="Z8" s="780"/>
      <c r="AA8" s="780"/>
      <c r="AB8" s="780"/>
      <c r="AC8" s="780"/>
      <c r="AD8" s="780"/>
      <c r="AE8" s="780"/>
      <c r="AF8" s="780"/>
    </row>
    <row r="9" spans="1:32" ht="16.5" hidden="1" customHeight="1">
      <c r="A9" s="634">
        <v>111</v>
      </c>
      <c r="B9" s="3550"/>
      <c r="C9" s="3551"/>
      <c r="D9" s="3551"/>
      <c r="E9" s="3551"/>
      <c r="F9" s="3551"/>
      <c r="G9" s="3551"/>
      <c r="H9" s="3551"/>
      <c r="I9" s="3552"/>
      <c r="J9" s="635"/>
      <c r="K9" s="636"/>
      <c r="L9" s="635"/>
      <c r="M9" s="637"/>
      <c r="N9" s="636"/>
      <c r="O9" s="788"/>
      <c r="P9" s="635"/>
      <c r="Q9" s="789"/>
      <c r="R9" s="790"/>
      <c r="S9" s="640"/>
      <c r="T9" s="640"/>
      <c r="U9" s="640"/>
      <c r="V9" s="640"/>
      <c r="W9" s="640"/>
      <c r="X9" s="640"/>
      <c r="Y9" s="791"/>
      <c r="Z9" s="780"/>
      <c r="AA9" s="780"/>
      <c r="AB9" s="780"/>
      <c r="AC9" s="780"/>
      <c r="AD9" s="780"/>
      <c r="AE9" s="780"/>
      <c r="AF9" s="780"/>
    </row>
    <row r="10" spans="1:32" ht="16.5" hidden="1" customHeight="1">
      <c r="A10" s="792">
        <v>1111</v>
      </c>
      <c r="B10" s="793"/>
      <c r="C10" s="793"/>
      <c r="D10" s="793"/>
      <c r="E10" s="794"/>
      <c r="F10" s="795"/>
      <c r="G10" s="795"/>
      <c r="H10" s="795"/>
      <c r="I10" s="796"/>
      <c r="J10" s="797"/>
      <c r="K10" s="796"/>
      <c r="L10" s="797"/>
      <c r="M10" s="780"/>
      <c r="N10" s="796"/>
      <c r="O10" s="798"/>
      <c r="P10" s="797"/>
      <c r="Q10" s="799"/>
      <c r="R10" s="800"/>
      <c r="S10" s="799"/>
      <c r="T10" s="799"/>
      <c r="U10" s="799"/>
      <c r="V10" s="799"/>
      <c r="W10" s="799"/>
      <c r="X10" s="799"/>
      <c r="Y10" s="801"/>
      <c r="Z10" s="780"/>
      <c r="AA10" s="780"/>
      <c r="AB10" s="780"/>
      <c r="AC10" s="780"/>
      <c r="AD10" s="780"/>
      <c r="AE10" s="780"/>
      <c r="AF10" s="780"/>
    </row>
    <row r="11" spans="1:32" ht="16.5" hidden="1" customHeight="1">
      <c r="A11" s="792">
        <v>1112</v>
      </c>
      <c r="B11" s="793"/>
      <c r="C11" s="793"/>
      <c r="D11" s="793"/>
      <c r="E11" s="794"/>
      <c r="F11" s="795"/>
      <c r="G11" s="795"/>
      <c r="H11" s="795"/>
      <c r="I11" s="796"/>
      <c r="J11" s="797"/>
      <c r="K11" s="796"/>
      <c r="L11" s="797"/>
      <c r="M11" s="780"/>
      <c r="N11" s="796"/>
      <c r="O11" s="798"/>
      <c r="P11" s="797"/>
      <c r="Q11" s="799"/>
      <c r="R11" s="800"/>
      <c r="S11" s="799"/>
      <c r="T11" s="799"/>
      <c r="U11" s="799"/>
      <c r="V11" s="799"/>
      <c r="W11" s="799"/>
      <c r="X11" s="799"/>
      <c r="Y11" s="801"/>
      <c r="Z11" s="780"/>
      <c r="AA11" s="780"/>
      <c r="AB11" s="780"/>
      <c r="AC11" s="780"/>
      <c r="AD11" s="780"/>
      <c r="AE11" s="780"/>
      <c r="AF11" s="780"/>
    </row>
    <row r="12" spans="1:32" ht="16.5" hidden="1" customHeight="1">
      <c r="A12" s="792">
        <v>1113</v>
      </c>
      <c r="B12" s="793"/>
      <c r="C12" s="793"/>
      <c r="D12" s="793"/>
      <c r="E12" s="794"/>
      <c r="F12" s="795"/>
      <c r="G12" s="795"/>
      <c r="H12" s="795"/>
      <c r="I12" s="796"/>
      <c r="J12" s="797"/>
      <c r="K12" s="796"/>
      <c r="L12" s="797"/>
      <c r="M12" s="780"/>
      <c r="N12" s="796"/>
      <c r="O12" s="798"/>
      <c r="P12" s="797"/>
      <c r="Q12" s="799"/>
      <c r="R12" s="800"/>
      <c r="S12" s="799"/>
      <c r="T12" s="799"/>
      <c r="U12" s="799"/>
      <c r="V12" s="799"/>
      <c r="W12" s="799"/>
      <c r="X12" s="799"/>
      <c r="Y12" s="801"/>
      <c r="Z12" s="780"/>
      <c r="AA12" s="780"/>
      <c r="AB12" s="780"/>
      <c r="AC12" s="780"/>
      <c r="AD12" s="780"/>
      <c r="AE12" s="780"/>
      <c r="AF12" s="780"/>
    </row>
    <row r="13" spans="1:32" ht="16.5" hidden="1" customHeight="1">
      <c r="A13" s="634">
        <v>112</v>
      </c>
      <c r="B13" s="3550"/>
      <c r="C13" s="3551"/>
      <c r="D13" s="3551"/>
      <c r="E13" s="3551"/>
      <c r="F13" s="3551"/>
      <c r="G13" s="3551"/>
      <c r="H13" s="3551"/>
      <c r="I13" s="3552"/>
      <c r="J13" s="635"/>
      <c r="K13" s="636"/>
      <c r="L13" s="635"/>
      <c r="M13" s="637"/>
      <c r="N13" s="636"/>
      <c r="O13" s="788"/>
      <c r="P13" s="635"/>
      <c r="Q13" s="789"/>
      <c r="R13" s="790"/>
      <c r="S13" s="640"/>
      <c r="T13" s="640"/>
      <c r="U13" s="640"/>
      <c r="V13" s="640"/>
      <c r="W13" s="640"/>
      <c r="X13" s="640"/>
      <c r="Y13" s="791"/>
      <c r="Z13" s="780"/>
      <c r="AA13" s="780"/>
      <c r="AB13" s="780"/>
      <c r="AC13" s="780"/>
      <c r="AD13" s="780"/>
      <c r="AE13" s="780"/>
      <c r="AF13" s="780"/>
    </row>
    <row r="14" spans="1:32" ht="15.75" hidden="1" customHeight="1">
      <c r="A14" s="792">
        <v>1121</v>
      </c>
      <c r="B14" s="793"/>
      <c r="C14" s="793"/>
      <c r="D14" s="793"/>
      <c r="E14" s="794"/>
      <c r="F14" s="795"/>
      <c r="G14" s="795"/>
      <c r="H14" s="795"/>
      <c r="I14" s="796"/>
      <c r="J14" s="797"/>
      <c r="K14" s="796"/>
      <c r="L14" s="797"/>
      <c r="M14" s="780"/>
      <c r="N14" s="796"/>
      <c r="O14" s="798"/>
      <c r="P14" s="797"/>
      <c r="Q14" s="799"/>
      <c r="R14" s="800"/>
      <c r="S14" s="799"/>
      <c r="T14" s="799"/>
      <c r="U14" s="799"/>
      <c r="V14" s="799"/>
      <c r="W14" s="799"/>
      <c r="X14" s="799"/>
      <c r="Y14" s="801"/>
      <c r="Z14" s="780"/>
      <c r="AA14" s="780"/>
      <c r="AB14" s="780"/>
      <c r="AC14" s="780"/>
      <c r="AD14" s="780"/>
      <c r="AE14" s="780"/>
      <c r="AF14" s="780"/>
    </row>
    <row r="15" spans="1:32" ht="15.75" hidden="1" customHeight="1">
      <c r="A15" s="792">
        <v>1122</v>
      </c>
      <c r="B15" s="793"/>
      <c r="C15" s="793"/>
      <c r="D15" s="793"/>
      <c r="E15" s="794"/>
      <c r="F15" s="795"/>
      <c r="G15" s="795"/>
      <c r="H15" s="795"/>
      <c r="I15" s="796"/>
      <c r="J15" s="797"/>
      <c r="K15" s="796"/>
      <c r="L15" s="797"/>
      <c r="M15" s="780"/>
      <c r="N15" s="796"/>
      <c r="O15" s="798"/>
      <c r="P15" s="797"/>
      <c r="Q15" s="799"/>
      <c r="R15" s="800"/>
      <c r="S15" s="799"/>
      <c r="T15" s="799"/>
      <c r="U15" s="799"/>
      <c r="V15" s="799"/>
      <c r="W15" s="799"/>
      <c r="X15" s="799"/>
      <c r="Y15" s="801"/>
      <c r="Z15" s="780"/>
      <c r="AA15" s="780"/>
      <c r="AB15" s="780"/>
      <c r="AC15" s="780"/>
      <c r="AD15" s="780"/>
      <c r="AE15" s="780"/>
      <c r="AF15" s="780"/>
    </row>
    <row r="16" spans="1:32" ht="15.75" hidden="1" customHeight="1">
      <c r="A16" s="792" t="s">
        <v>233</v>
      </c>
      <c r="B16" s="793"/>
      <c r="C16" s="793"/>
      <c r="D16" s="793"/>
      <c r="E16" s="794"/>
      <c r="F16" s="795"/>
      <c r="G16" s="795"/>
      <c r="H16" s="795"/>
      <c r="I16" s="796"/>
      <c r="J16" s="797"/>
      <c r="K16" s="796"/>
      <c r="L16" s="797"/>
      <c r="M16" s="780"/>
      <c r="N16" s="796"/>
      <c r="O16" s="798"/>
      <c r="P16" s="797"/>
      <c r="Q16" s="799"/>
      <c r="R16" s="800"/>
      <c r="S16" s="799"/>
      <c r="T16" s="799"/>
      <c r="U16" s="799"/>
      <c r="V16" s="799"/>
      <c r="W16" s="799"/>
      <c r="X16" s="799"/>
      <c r="Y16" s="801"/>
      <c r="Z16" s="780"/>
      <c r="AA16" s="780"/>
      <c r="AB16" s="780"/>
      <c r="AC16" s="780"/>
      <c r="AD16" s="780"/>
      <c r="AE16" s="780"/>
      <c r="AF16" s="780"/>
    </row>
    <row r="17" spans="1:32" ht="37.5" hidden="1" customHeight="1">
      <c r="A17" s="3553" t="s">
        <v>234</v>
      </c>
      <c r="B17" s="3554"/>
      <c r="C17" s="3554"/>
      <c r="D17" s="3554"/>
      <c r="E17" s="3554"/>
      <c r="F17" s="3554"/>
      <c r="G17" s="3554"/>
      <c r="H17" s="3554"/>
      <c r="I17" s="3555"/>
      <c r="J17" s="781"/>
      <c r="K17" s="781"/>
      <c r="L17" s="781"/>
      <c r="M17" s="782"/>
      <c r="N17" s="781"/>
      <c r="O17" s="783"/>
      <c r="P17" s="781"/>
      <c r="Q17" s="784"/>
      <c r="R17" s="785"/>
      <c r="S17" s="786"/>
      <c r="T17" s="786"/>
      <c r="U17" s="786"/>
      <c r="V17" s="782"/>
      <c r="W17" s="782"/>
      <c r="X17" s="782"/>
      <c r="Y17" s="787"/>
      <c r="Z17" s="780"/>
      <c r="AA17" s="780"/>
      <c r="AB17" s="780"/>
      <c r="AC17" s="780"/>
      <c r="AD17" s="780"/>
      <c r="AE17" s="780"/>
      <c r="AF17" s="780"/>
    </row>
    <row r="18" spans="1:32" ht="16.5" hidden="1" customHeight="1">
      <c r="A18" s="634">
        <v>121</v>
      </c>
      <c r="B18" s="3550"/>
      <c r="C18" s="3551"/>
      <c r="D18" s="3551"/>
      <c r="E18" s="3551"/>
      <c r="F18" s="3551"/>
      <c r="G18" s="3551"/>
      <c r="H18" s="3551"/>
      <c r="I18" s="3552"/>
      <c r="J18" s="635"/>
      <c r="K18" s="636"/>
      <c r="L18" s="635"/>
      <c r="M18" s="637"/>
      <c r="N18" s="636"/>
      <c r="O18" s="788"/>
      <c r="P18" s="635"/>
      <c r="Q18" s="789"/>
      <c r="R18" s="790"/>
      <c r="S18" s="640"/>
      <c r="T18" s="640"/>
      <c r="U18" s="640"/>
      <c r="V18" s="640"/>
      <c r="W18" s="640"/>
      <c r="X18" s="640"/>
      <c r="Y18" s="791"/>
      <c r="Z18" s="780"/>
      <c r="AA18" s="780"/>
      <c r="AB18" s="780"/>
      <c r="AC18" s="780"/>
      <c r="AD18" s="780"/>
      <c r="AE18" s="780"/>
      <c r="AF18" s="780"/>
    </row>
    <row r="19" spans="1:32" ht="16.5" hidden="1" customHeight="1">
      <c r="A19" s="792">
        <v>1211</v>
      </c>
      <c r="B19" s="793"/>
      <c r="C19" s="793"/>
      <c r="D19" s="793"/>
      <c r="E19" s="794"/>
      <c r="F19" s="795"/>
      <c r="G19" s="795"/>
      <c r="H19" s="795"/>
      <c r="I19" s="796"/>
      <c r="J19" s="797"/>
      <c r="K19" s="796"/>
      <c r="L19" s="797"/>
      <c r="M19" s="780"/>
      <c r="N19" s="796"/>
      <c r="O19" s="798"/>
      <c r="P19" s="797"/>
      <c r="Q19" s="799"/>
      <c r="R19" s="800"/>
      <c r="S19" s="799"/>
      <c r="T19" s="799"/>
      <c r="U19" s="799"/>
      <c r="V19" s="799"/>
      <c r="W19" s="799"/>
      <c r="X19" s="799"/>
      <c r="Y19" s="801"/>
      <c r="Z19" s="780"/>
      <c r="AA19" s="780"/>
      <c r="AB19" s="780"/>
      <c r="AC19" s="780"/>
      <c r="AD19" s="780"/>
      <c r="AE19" s="780"/>
      <c r="AF19" s="780"/>
    </row>
    <row r="20" spans="1:32" ht="16.5" hidden="1" customHeight="1">
      <c r="A20" s="792">
        <v>1212</v>
      </c>
      <c r="B20" s="793"/>
      <c r="C20" s="793"/>
      <c r="D20" s="793"/>
      <c r="E20" s="794"/>
      <c r="F20" s="795"/>
      <c r="G20" s="795"/>
      <c r="H20" s="795"/>
      <c r="I20" s="796"/>
      <c r="J20" s="797"/>
      <c r="K20" s="796"/>
      <c r="L20" s="797"/>
      <c r="M20" s="780"/>
      <c r="N20" s="796"/>
      <c r="O20" s="798"/>
      <c r="P20" s="797"/>
      <c r="Q20" s="799"/>
      <c r="R20" s="800"/>
      <c r="S20" s="799"/>
      <c r="T20" s="799"/>
      <c r="U20" s="799"/>
      <c r="V20" s="799"/>
      <c r="W20" s="799"/>
      <c r="X20" s="799"/>
      <c r="Y20" s="801"/>
      <c r="Z20" s="780"/>
      <c r="AA20" s="780"/>
      <c r="AB20" s="780"/>
      <c r="AC20" s="780"/>
      <c r="AD20" s="780"/>
      <c r="AE20" s="780"/>
      <c r="AF20" s="780"/>
    </row>
    <row r="21" spans="1:32" ht="16.5" hidden="1" customHeight="1">
      <c r="A21" s="792">
        <v>1213</v>
      </c>
      <c r="B21" s="793"/>
      <c r="C21" s="793"/>
      <c r="D21" s="793"/>
      <c r="E21" s="794"/>
      <c r="F21" s="795"/>
      <c r="G21" s="795"/>
      <c r="H21" s="795"/>
      <c r="I21" s="796"/>
      <c r="J21" s="797"/>
      <c r="K21" s="796"/>
      <c r="L21" s="797"/>
      <c r="M21" s="780"/>
      <c r="N21" s="796"/>
      <c r="O21" s="798"/>
      <c r="P21" s="797"/>
      <c r="Q21" s="799"/>
      <c r="R21" s="800"/>
      <c r="S21" s="799"/>
      <c r="T21" s="799"/>
      <c r="U21" s="799"/>
      <c r="V21" s="799"/>
      <c r="W21" s="799"/>
      <c r="X21" s="799"/>
      <c r="Y21" s="801"/>
      <c r="Z21" s="780"/>
      <c r="AA21" s="780"/>
      <c r="AB21" s="780"/>
      <c r="AC21" s="780"/>
      <c r="AD21" s="780"/>
      <c r="AE21" s="780"/>
      <c r="AF21" s="780"/>
    </row>
    <row r="22" spans="1:32" ht="16.5" hidden="1" customHeight="1">
      <c r="A22" s="634">
        <v>122</v>
      </c>
      <c r="B22" s="3550"/>
      <c r="C22" s="3551"/>
      <c r="D22" s="3551"/>
      <c r="E22" s="3551"/>
      <c r="F22" s="3551"/>
      <c r="G22" s="3551"/>
      <c r="H22" s="3551"/>
      <c r="I22" s="3552"/>
      <c r="J22" s="635"/>
      <c r="K22" s="636"/>
      <c r="L22" s="635"/>
      <c r="M22" s="637"/>
      <c r="N22" s="636"/>
      <c r="O22" s="788"/>
      <c r="P22" s="635"/>
      <c r="Q22" s="789"/>
      <c r="R22" s="790"/>
      <c r="S22" s="640"/>
      <c r="T22" s="640"/>
      <c r="U22" s="640"/>
      <c r="V22" s="640"/>
      <c r="W22" s="640"/>
      <c r="X22" s="640"/>
      <c r="Y22" s="791"/>
      <c r="Z22" s="780"/>
      <c r="AA22" s="780"/>
      <c r="AB22" s="780"/>
      <c r="AC22" s="780"/>
      <c r="AD22" s="780"/>
      <c r="AE22" s="780"/>
      <c r="AF22" s="780"/>
    </row>
    <row r="23" spans="1:32" ht="16.5" hidden="1" customHeight="1">
      <c r="A23" s="792">
        <v>1221</v>
      </c>
      <c r="B23" s="793"/>
      <c r="C23" s="793"/>
      <c r="D23" s="793"/>
      <c r="E23" s="794"/>
      <c r="F23" s="795"/>
      <c r="G23" s="795"/>
      <c r="H23" s="795"/>
      <c r="I23" s="796"/>
      <c r="J23" s="797"/>
      <c r="K23" s="796"/>
      <c r="L23" s="797"/>
      <c r="M23" s="780"/>
      <c r="N23" s="796"/>
      <c r="O23" s="798"/>
      <c r="P23" s="797"/>
      <c r="Q23" s="799"/>
      <c r="R23" s="800"/>
      <c r="S23" s="799"/>
      <c r="T23" s="799"/>
      <c r="U23" s="799"/>
      <c r="V23" s="799"/>
      <c r="W23" s="799"/>
      <c r="X23" s="799"/>
      <c r="Y23" s="801"/>
      <c r="Z23" s="780"/>
      <c r="AA23" s="780"/>
      <c r="AB23" s="780"/>
      <c r="AC23" s="780"/>
      <c r="AD23" s="780"/>
      <c r="AE23" s="780"/>
      <c r="AF23" s="780"/>
    </row>
    <row r="24" spans="1:32" ht="16.5" hidden="1" customHeight="1">
      <c r="A24" s="792">
        <v>1222</v>
      </c>
      <c r="B24" s="793"/>
      <c r="C24" s="793"/>
      <c r="D24" s="793"/>
      <c r="E24" s="794"/>
      <c r="F24" s="795"/>
      <c r="G24" s="795"/>
      <c r="H24" s="795"/>
      <c r="I24" s="796"/>
      <c r="J24" s="797"/>
      <c r="K24" s="796"/>
      <c r="L24" s="797"/>
      <c r="M24" s="780"/>
      <c r="N24" s="796"/>
      <c r="O24" s="798"/>
      <c r="P24" s="797"/>
      <c r="Q24" s="799"/>
      <c r="R24" s="800"/>
      <c r="S24" s="799"/>
      <c r="T24" s="799"/>
      <c r="U24" s="799"/>
      <c r="V24" s="799"/>
      <c r="W24" s="799"/>
      <c r="X24" s="799"/>
      <c r="Y24" s="801"/>
      <c r="Z24" s="780"/>
      <c r="AA24" s="780"/>
      <c r="AB24" s="780"/>
      <c r="AC24" s="780"/>
      <c r="AD24" s="780"/>
      <c r="AE24" s="780"/>
      <c r="AF24" s="780"/>
    </row>
    <row r="25" spans="1:32" ht="15.75" hidden="1" customHeight="1">
      <c r="A25" s="792" t="s">
        <v>233</v>
      </c>
      <c r="B25" s="793"/>
      <c r="C25" s="793"/>
      <c r="D25" s="793"/>
      <c r="E25" s="794"/>
      <c r="F25" s="795"/>
      <c r="G25" s="795"/>
      <c r="H25" s="795"/>
      <c r="I25" s="796"/>
      <c r="J25" s="797"/>
      <c r="K25" s="796"/>
      <c r="L25" s="797"/>
      <c r="M25" s="780"/>
      <c r="N25" s="796"/>
      <c r="O25" s="798"/>
      <c r="P25" s="797"/>
      <c r="Q25" s="799"/>
      <c r="R25" s="800"/>
      <c r="S25" s="799"/>
      <c r="T25" s="799"/>
      <c r="U25" s="799"/>
      <c r="V25" s="799"/>
      <c r="W25" s="799"/>
      <c r="X25" s="799"/>
      <c r="Y25" s="801"/>
      <c r="Z25" s="780"/>
      <c r="AA25" s="780"/>
      <c r="AB25" s="780"/>
      <c r="AC25" s="780"/>
      <c r="AD25" s="780"/>
      <c r="AE25" s="780"/>
      <c r="AF25" s="780"/>
    </row>
    <row r="26" spans="1:32" ht="33.75" hidden="1" customHeight="1">
      <c r="A26" s="3547" t="s">
        <v>235</v>
      </c>
      <c r="B26" s="3548"/>
      <c r="C26" s="3548"/>
      <c r="D26" s="3548"/>
      <c r="E26" s="3548"/>
      <c r="F26" s="3548"/>
      <c r="G26" s="3548"/>
      <c r="H26" s="3548"/>
      <c r="I26" s="3549"/>
      <c r="J26" s="773"/>
      <c r="K26" s="773"/>
      <c r="L26" s="773"/>
      <c r="M26" s="774"/>
      <c r="N26" s="773"/>
      <c r="O26" s="775"/>
      <c r="P26" s="773"/>
      <c r="Q26" s="776"/>
      <c r="R26" s="777">
        <f>+R27+R36+R83</f>
        <v>688782.12</v>
      </c>
      <c r="S26" s="778"/>
      <c r="T26" s="778"/>
      <c r="U26" s="778"/>
      <c r="V26" s="778"/>
      <c r="W26" s="778"/>
      <c r="X26" s="778"/>
      <c r="Y26" s="779"/>
      <c r="Z26" s="780"/>
      <c r="AA26" s="780"/>
      <c r="AB26" s="780"/>
      <c r="AC26" s="780"/>
      <c r="AD26" s="780"/>
      <c r="AE26" s="780"/>
      <c r="AF26" s="780"/>
    </row>
    <row r="27" spans="1:32" ht="37.5" hidden="1" customHeight="1">
      <c r="A27" s="3553" t="s">
        <v>236</v>
      </c>
      <c r="B27" s="3554"/>
      <c r="C27" s="3554"/>
      <c r="D27" s="3554"/>
      <c r="E27" s="3554"/>
      <c r="F27" s="3554"/>
      <c r="G27" s="3554"/>
      <c r="H27" s="3554"/>
      <c r="I27" s="3555"/>
      <c r="J27" s="781"/>
      <c r="K27" s="781"/>
      <c r="L27" s="781"/>
      <c r="M27" s="782"/>
      <c r="N27" s="781"/>
      <c r="O27" s="783"/>
      <c r="P27" s="781"/>
      <c r="Q27" s="784"/>
      <c r="R27" s="785">
        <f>+'[17]Compil Costing PPA 3 millions'!F7</f>
        <v>300354.12</v>
      </c>
      <c r="S27" s="786"/>
      <c r="T27" s="786"/>
      <c r="U27" s="786"/>
      <c r="V27" s="782"/>
      <c r="W27" s="782"/>
      <c r="X27" s="782"/>
      <c r="Y27" s="787"/>
      <c r="Z27" s="780"/>
      <c r="AA27" s="780"/>
      <c r="AB27" s="780"/>
      <c r="AC27" s="780"/>
      <c r="AD27" s="780"/>
      <c r="AE27" s="780"/>
      <c r="AF27" s="780"/>
    </row>
    <row r="28" spans="1:32" ht="16.5" hidden="1" customHeight="1">
      <c r="A28" s="634">
        <v>211</v>
      </c>
      <c r="B28" s="3550"/>
      <c r="C28" s="3551"/>
      <c r="D28" s="3551"/>
      <c r="E28" s="3551"/>
      <c r="F28" s="3551"/>
      <c r="G28" s="3551"/>
      <c r="H28" s="3551"/>
      <c r="I28" s="3552"/>
      <c r="J28" s="635"/>
      <c r="K28" s="636"/>
      <c r="L28" s="635"/>
      <c r="M28" s="637"/>
      <c r="N28" s="636"/>
      <c r="O28" s="788"/>
      <c r="P28" s="635"/>
      <c r="Q28" s="789"/>
      <c r="R28" s="790"/>
      <c r="S28" s="640"/>
      <c r="T28" s="640"/>
      <c r="U28" s="640"/>
      <c r="V28" s="640"/>
      <c r="W28" s="640"/>
      <c r="X28" s="640"/>
      <c r="Y28" s="791"/>
      <c r="Z28" s="780"/>
      <c r="AA28" s="780"/>
      <c r="AB28" s="780"/>
      <c r="AC28" s="780"/>
      <c r="AD28" s="780"/>
      <c r="AE28" s="780"/>
      <c r="AF28" s="780"/>
    </row>
    <row r="29" spans="1:32" ht="15.75" hidden="1" customHeight="1">
      <c r="A29" s="792">
        <v>2111</v>
      </c>
      <c r="B29" s="802"/>
      <c r="C29" s="802"/>
      <c r="D29" s="802"/>
      <c r="E29" s="803"/>
      <c r="F29" s="804"/>
      <c r="G29" s="795"/>
      <c r="H29" s="795"/>
      <c r="I29" s="796"/>
      <c r="J29" s="797"/>
      <c r="K29" s="796"/>
      <c r="L29" s="797"/>
      <c r="M29" s="780"/>
      <c r="N29" s="796"/>
      <c r="O29" s="798"/>
      <c r="P29" s="797"/>
      <c r="Q29" s="799"/>
      <c r="R29" s="800"/>
      <c r="S29" s="799"/>
      <c r="T29" s="799"/>
      <c r="U29" s="799"/>
      <c r="V29" s="799"/>
      <c r="W29" s="799"/>
      <c r="X29" s="799"/>
      <c r="Y29" s="801"/>
      <c r="Z29" s="780"/>
      <c r="AA29" s="780"/>
      <c r="AB29" s="780"/>
      <c r="AC29" s="780"/>
      <c r="AD29" s="780"/>
      <c r="AE29" s="780"/>
      <c r="AF29" s="780"/>
    </row>
    <row r="30" spans="1:32" ht="15.75" hidden="1" customHeight="1">
      <c r="A30" s="792">
        <v>2112</v>
      </c>
      <c r="B30" s="802"/>
      <c r="C30" s="802"/>
      <c r="D30" s="802"/>
      <c r="E30" s="803"/>
      <c r="F30" s="804"/>
      <c r="G30" s="795"/>
      <c r="H30" s="795"/>
      <c r="I30" s="796"/>
      <c r="J30" s="797"/>
      <c r="K30" s="796"/>
      <c r="L30" s="797"/>
      <c r="M30" s="780"/>
      <c r="N30" s="796"/>
      <c r="O30" s="798"/>
      <c r="P30" s="797"/>
      <c r="Q30" s="799"/>
      <c r="R30" s="800"/>
      <c r="S30" s="799"/>
      <c r="T30" s="799"/>
      <c r="U30" s="799"/>
      <c r="V30" s="799"/>
      <c r="W30" s="799"/>
      <c r="X30" s="799"/>
      <c r="Y30" s="801"/>
      <c r="Z30" s="780"/>
      <c r="AA30" s="780"/>
      <c r="AB30" s="780"/>
      <c r="AC30" s="780"/>
      <c r="AD30" s="780"/>
      <c r="AE30" s="780"/>
      <c r="AF30" s="780"/>
    </row>
    <row r="31" spans="1:32" ht="15.75" hidden="1" customHeight="1">
      <c r="A31" s="792">
        <v>2113</v>
      </c>
      <c r="B31" s="802"/>
      <c r="C31" s="802"/>
      <c r="D31" s="802"/>
      <c r="E31" s="803"/>
      <c r="F31" s="804"/>
      <c r="G31" s="795"/>
      <c r="H31" s="795"/>
      <c r="I31" s="796"/>
      <c r="J31" s="797"/>
      <c r="K31" s="796"/>
      <c r="L31" s="797"/>
      <c r="M31" s="780"/>
      <c r="N31" s="796"/>
      <c r="O31" s="798"/>
      <c r="P31" s="797"/>
      <c r="Q31" s="799"/>
      <c r="R31" s="800"/>
      <c r="S31" s="799"/>
      <c r="T31" s="799"/>
      <c r="U31" s="799"/>
      <c r="V31" s="799"/>
      <c r="W31" s="799"/>
      <c r="X31" s="799"/>
      <c r="Y31" s="801"/>
      <c r="Z31" s="780"/>
      <c r="AA31" s="780"/>
      <c r="AB31" s="780"/>
      <c r="AC31" s="780"/>
      <c r="AD31" s="780"/>
      <c r="AE31" s="780"/>
      <c r="AF31" s="780"/>
    </row>
    <row r="32" spans="1:32" ht="16.5" hidden="1" customHeight="1">
      <c r="A32" s="634">
        <v>212</v>
      </c>
      <c r="B32" s="3550"/>
      <c r="C32" s="3551"/>
      <c r="D32" s="3551"/>
      <c r="E32" s="3551"/>
      <c r="F32" s="3551"/>
      <c r="G32" s="3551"/>
      <c r="H32" s="3551"/>
      <c r="I32" s="3552"/>
      <c r="J32" s="635"/>
      <c r="K32" s="636"/>
      <c r="L32" s="635"/>
      <c r="M32" s="637"/>
      <c r="N32" s="636"/>
      <c r="O32" s="788"/>
      <c r="P32" s="635"/>
      <c r="Q32" s="789"/>
      <c r="R32" s="790"/>
      <c r="S32" s="640"/>
      <c r="T32" s="640"/>
      <c r="U32" s="640"/>
      <c r="V32" s="640"/>
      <c r="W32" s="640"/>
      <c r="X32" s="640"/>
      <c r="Y32" s="791"/>
      <c r="Z32" s="780"/>
      <c r="AA32" s="780"/>
      <c r="AB32" s="780"/>
      <c r="AC32" s="780"/>
      <c r="AD32" s="780"/>
      <c r="AE32" s="780"/>
      <c r="AF32" s="780"/>
    </row>
    <row r="33" spans="1:32" ht="15.75" hidden="1" customHeight="1">
      <c r="A33" s="792">
        <v>2121</v>
      </c>
      <c r="B33" s="802"/>
      <c r="C33" s="802"/>
      <c r="D33" s="802"/>
      <c r="E33" s="803"/>
      <c r="F33" s="804"/>
      <c r="G33" s="795"/>
      <c r="H33" s="795"/>
      <c r="I33" s="796"/>
      <c r="J33" s="797"/>
      <c r="K33" s="796"/>
      <c r="L33" s="797"/>
      <c r="M33" s="780"/>
      <c r="N33" s="796"/>
      <c r="O33" s="798"/>
      <c r="P33" s="797"/>
      <c r="Q33" s="799"/>
      <c r="R33" s="800"/>
      <c r="S33" s="799"/>
      <c r="T33" s="799"/>
      <c r="U33" s="799"/>
      <c r="V33" s="799"/>
      <c r="W33" s="799"/>
      <c r="X33" s="799"/>
      <c r="Y33" s="801"/>
      <c r="Z33" s="780"/>
      <c r="AA33" s="780"/>
      <c r="AB33" s="780"/>
      <c r="AC33" s="780"/>
      <c r="AD33" s="780"/>
      <c r="AE33" s="780"/>
      <c r="AF33" s="780"/>
    </row>
    <row r="34" spans="1:32" ht="15.75" hidden="1" customHeight="1">
      <c r="A34" s="792">
        <v>2122</v>
      </c>
      <c r="B34" s="802"/>
      <c r="C34" s="802"/>
      <c r="D34" s="802"/>
      <c r="E34" s="803"/>
      <c r="F34" s="804"/>
      <c r="G34" s="795"/>
      <c r="H34" s="795"/>
      <c r="I34" s="796"/>
      <c r="J34" s="797"/>
      <c r="K34" s="796"/>
      <c r="L34" s="797"/>
      <c r="M34" s="780"/>
      <c r="N34" s="796"/>
      <c r="O34" s="798"/>
      <c r="P34" s="797"/>
      <c r="Q34" s="799"/>
      <c r="R34" s="800"/>
      <c r="S34" s="799"/>
      <c r="T34" s="799"/>
      <c r="U34" s="799"/>
      <c r="V34" s="799"/>
      <c r="W34" s="799"/>
      <c r="X34" s="799"/>
      <c r="Y34" s="801"/>
      <c r="Z34" s="780"/>
      <c r="AA34" s="780"/>
      <c r="AB34" s="780"/>
      <c r="AC34" s="780"/>
      <c r="AD34" s="780"/>
      <c r="AE34" s="780"/>
      <c r="AF34" s="780"/>
    </row>
    <row r="35" spans="1:32" ht="15.75" hidden="1" customHeight="1">
      <c r="A35" s="792" t="s">
        <v>233</v>
      </c>
      <c r="B35" s="805"/>
      <c r="C35" s="793"/>
      <c r="D35" s="793"/>
      <c r="E35" s="794"/>
      <c r="F35" s="804"/>
      <c r="G35" s="795"/>
      <c r="H35" s="795"/>
      <c r="I35" s="796"/>
      <c r="J35" s="797"/>
      <c r="K35" s="796"/>
      <c r="L35" s="797"/>
      <c r="M35" s="780"/>
      <c r="N35" s="796"/>
      <c r="O35" s="798"/>
      <c r="P35" s="797"/>
      <c r="Q35" s="799"/>
      <c r="R35" s="800"/>
      <c r="S35" s="799"/>
      <c r="T35" s="799"/>
      <c r="U35" s="799"/>
      <c r="V35" s="799"/>
      <c r="W35" s="799"/>
      <c r="X35" s="799"/>
      <c r="Y35" s="801"/>
      <c r="Z35" s="780"/>
      <c r="AA35" s="780"/>
      <c r="AB35" s="780"/>
      <c r="AC35" s="780"/>
      <c r="AD35" s="780"/>
      <c r="AE35" s="780"/>
      <c r="AF35" s="780"/>
    </row>
    <row r="36" spans="1:32" ht="37.5" hidden="1" customHeight="1">
      <c r="A36" s="3553" t="s">
        <v>237</v>
      </c>
      <c r="B36" s="3554"/>
      <c r="C36" s="3554"/>
      <c r="D36" s="3554"/>
      <c r="E36" s="3554"/>
      <c r="F36" s="3554"/>
      <c r="G36" s="3554"/>
      <c r="H36" s="3554"/>
      <c r="I36" s="3555"/>
      <c r="J36" s="781"/>
      <c r="K36" s="781"/>
      <c r="L36" s="781"/>
      <c r="M36" s="782"/>
      <c r="N36" s="781"/>
      <c r="O36" s="783"/>
      <c r="P36" s="781"/>
      <c r="Q36" s="784"/>
      <c r="R36" s="785">
        <f>+'[17]Compil Costing PPA 3 millions'!F8</f>
        <v>300000</v>
      </c>
      <c r="S36" s="786"/>
      <c r="T36" s="786"/>
      <c r="U36" s="786"/>
      <c r="V36" s="782"/>
      <c r="W36" s="782"/>
      <c r="X36" s="782"/>
      <c r="Y36" s="787"/>
      <c r="Z36" s="780"/>
      <c r="AA36" s="780"/>
      <c r="AB36" s="780"/>
      <c r="AC36" s="780"/>
      <c r="AD36" s="780"/>
      <c r="AE36" s="780"/>
      <c r="AF36" s="780"/>
    </row>
    <row r="37" spans="1:32" ht="16.5" customHeight="1">
      <c r="A37" s="634">
        <v>221</v>
      </c>
      <c r="B37" s="806" t="s">
        <v>238</v>
      </c>
      <c r="C37" s="806"/>
      <c r="D37" s="806"/>
      <c r="E37" s="806"/>
      <c r="F37" s="806"/>
      <c r="G37" s="806"/>
      <c r="H37" s="806"/>
      <c r="I37" s="806"/>
      <c r="J37" s="635"/>
      <c r="K37" s="636"/>
      <c r="L37" s="635"/>
      <c r="M37" s="637"/>
      <c r="N37" s="636"/>
      <c r="O37" s="788"/>
      <c r="P37" s="635"/>
      <c r="Q37" s="807">
        <f>SUM(Q38:Q82)</f>
        <v>300000</v>
      </c>
      <c r="R37" s="790"/>
      <c r="S37" s="640"/>
      <c r="T37" s="640"/>
      <c r="U37" s="640"/>
      <c r="V37" s="640"/>
      <c r="W37" s="640"/>
      <c r="X37" s="640"/>
      <c r="Y37" s="791"/>
      <c r="Z37" s="780"/>
      <c r="AA37" s="780"/>
      <c r="AB37" s="780"/>
      <c r="AC37" s="780"/>
      <c r="AD37" s="780"/>
      <c r="AE37" s="780"/>
      <c r="AF37" s="780"/>
    </row>
    <row r="38" spans="1:32" ht="31.5">
      <c r="A38" s="792">
        <v>2211</v>
      </c>
      <c r="B38" s="808" t="s">
        <v>845</v>
      </c>
      <c r="C38" s="809" t="s">
        <v>846</v>
      </c>
      <c r="D38" s="794"/>
      <c r="E38" s="792">
        <v>15</v>
      </c>
      <c r="F38" s="804">
        <v>43199</v>
      </c>
      <c r="G38" s="795">
        <f>+F38+E38</f>
        <v>43214</v>
      </c>
      <c r="H38" s="795" t="s">
        <v>368</v>
      </c>
      <c r="I38" s="796" t="s">
        <v>169</v>
      </c>
      <c r="J38" s="794" t="s">
        <v>174</v>
      </c>
      <c r="K38" s="809" t="s">
        <v>847</v>
      </c>
      <c r="L38" s="797">
        <v>23173</v>
      </c>
      <c r="M38" s="780"/>
      <c r="N38" s="796" t="s">
        <v>366</v>
      </c>
      <c r="O38" s="796">
        <v>80</v>
      </c>
      <c r="P38" s="796">
        <v>3</v>
      </c>
      <c r="Q38" s="796">
        <f>+P38*O38</f>
        <v>240</v>
      </c>
      <c r="R38" s="800"/>
      <c r="S38" s="799"/>
      <c r="T38" s="796">
        <v>240</v>
      </c>
      <c r="U38" s="799"/>
      <c r="V38" s="799"/>
      <c r="W38" s="799"/>
      <c r="X38" s="799"/>
      <c r="Y38" s="801"/>
      <c r="Z38" s="780"/>
      <c r="AA38" s="780"/>
      <c r="AB38" s="780"/>
      <c r="AC38" s="780"/>
      <c r="AD38" s="780"/>
      <c r="AE38" s="780"/>
      <c r="AF38" s="780"/>
    </row>
    <row r="39" spans="1:32" ht="31.5">
      <c r="A39" s="792">
        <f>A38</f>
        <v>2211</v>
      </c>
      <c r="B39" s="808" t="s">
        <v>845</v>
      </c>
      <c r="C39" s="810" t="s">
        <v>848</v>
      </c>
      <c r="D39" s="794" t="s">
        <v>849</v>
      </c>
      <c r="E39" s="792">
        <v>150</v>
      </c>
      <c r="F39" s="795">
        <f>+G38</f>
        <v>43214</v>
      </c>
      <c r="G39" s="804">
        <f>+G38+E39</f>
        <v>43364</v>
      </c>
      <c r="H39" s="795" t="s">
        <v>368</v>
      </c>
      <c r="I39" s="796" t="s">
        <v>174</v>
      </c>
      <c r="J39" s="794" t="s">
        <v>169</v>
      </c>
      <c r="K39" s="811" t="s">
        <v>365</v>
      </c>
      <c r="L39" s="797">
        <v>2313</v>
      </c>
      <c r="M39" s="780"/>
      <c r="N39" s="796" t="s">
        <v>366</v>
      </c>
      <c r="O39" s="796">
        <v>27000</v>
      </c>
      <c r="P39" s="796">
        <v>1</v>
      </c>
      <c r="Q39" s="796">
        <f>+O39*P39</f>
        <v>27000</v>
      </c>
      <c r="R39" s="800"/>
      <c r="S39" s="799"/>
      <c r="T39" s="799"/>
      <c r="U39" s="799"/>
      <c r="V39" s="799"/>
      <c r="X39" s="796">
        <f>+Q39*0.2</f>
        <v>5400</v>
      </c>
      <c r="Y39" s="812">
        <f>+X39</f>
        <v>5400</v>
      </c>
      <c r="Z39" s="796">
        <f>+Q39*0.3</f>
        <v>8100</v>
      </c>
      <c r="AA39" s="796">
        <f>Z39</f>
        <v>8100</v>
      </c>
      <c r="AB39" s="780"/>
      <c r="AC39" s="780"/>
      <c r="AD39" s="780"/>
      <c r="AE39" s="780"/>
      <c r="AF39" s="780"/>
    </row>
    <row r="40" spans="1:32" ht="31.5">
      <c r="A40" s="792">
        <f>+A39+1</f>
        <v>2212</v>
      </c>
      <c r="B40" s="808" t="s">
        <v>850</v>
      </c>
      <c r="C40" s="809" t="s">
        <v>846</v>
      </c>
      <c r="D40" s="794"/>
      <c r="E40" s="792">
        <v>20</v>
      </c>
      <c r="F40" s="804">
        <v>43226</v>
      </c>
      <c r="G40" s="795">
        <v>43246</v>
      </c>
      <c r="H40" s="795" t="s">
        <v>368</v>
      </c>
      <c r="I40" s="796" t="s">
        <v>169</v>
      </c>
      <c r="J40" s="794" t="s">
        <v>174</v>
      </c>
      <c r="K40" s="809" t="s">
        <v>847</v>
      </c>
      <c r="L40" s="797">
        <v>23173</v>
      </c>
      <c r="M40" s="780"/>
      <c r="N40" s="796" t="s">
        <v>366</v>
      </c>
      <c r="O40" s="796">
        <v>80</v>
      </c>
      <c r="P40" s="796">
        <v>3</v>
      </c>
      <c r="Q40" s="796">
        <f t="shared" ref="Q40:Q46" si="0">O40*P40</f>
        <v>240</v>
      </c>
      <c r="R40" s="800"/>
      <c r="S40" s="799"/>
      <c r="T40" s="799"/>
      <c r="U40" s="799"/>
      <c r="V40" s="796">
        <v>240</v>
      </c>
      <c r="W40" s="799"/>
      <c r="X40" s="799"/>
      <c r="Y40" s="801"/>
      <c r="Z40" s="780"/>
      <c r="AA40" s="780"/>
      <c r="AB40" s="780"/>
      <c r="AC40" s="780"/>
      <c r="AD40" s="780"/>
      <c r="AE40" s="780"/>
      <c r="AF40" s="780"/>
    </row>
    <row r="41" spans="1:32">
      <c r="A41" s="792">
        <v>2212</v>
      </c>
      <c r="B41" s="808" t="s">
        <v>851</v>
      </c>
      <c r="C41" s="810" t="s">
        <v>852</v>
      </c>
      <c r="D41" s="794" t="s">
        <v>849</v>
      </c>
      <c r="E41" s="792">
        <v>95</v>
      </c>
      <c r="F41" s="804">
        <v>43249</v>
      </c>
      <c r="G41" s="795">
        <v>43341</v>
      </c>
      <c r="H41" s="795" t="s">
        <v>368</v>
      </c>
      <c r="I41" s="796" t="s">
        <v>174</v>
      </c>
      <c r="J41" s="797" t="s">
        <v>169</v>
      </c>
      <c r="K41" s="813" t="s">
        <v>365</v>
      </c>
      <c r="L41" s="797">
        <v>2313</v>
      </c>
      <c r="M41" s="780"/>
      <c r="N41" s="796" t="s">
        <v>366</v>
      </c>
      <c r="O41" s="798">
        <v>5000</v>
      </c>
      <c r="P41" s="797">
        <v>1</v>
      </c>
      <c r="Q41" s="799">
        <f t="shared" si="0"/>
        <v>5000</v>
      </c>
      <c r="R41" s="800"/>
      <c r="S41" s="799"/>
      <c r="T41" s="799"/>
      <c r="U41" s="799"/>
      <c r="V41" s="796">
        <f>Q41*10/100</f>
        <v>500</v>
      </c>
      <c r="W41" s="799"/>
      <c r="X41" s="799">
        <f>Q41*40/100</f>
        <v>2000</v>
      </c>
      <c r="Y41" s="801">
        <f>Q41*50/100</f>
        <v>2500</v>
      </c>
      <c r="Z41" s="780"/>
      <c r="AA41" s="780"/>
      <c r="AB41" s="780"/>
      <c r="AC41" s="780"/>
      <c r="AD41" s="780"/>
      <c r="AE41" s="780"/>
      <c r="AF41" s="780"/>
    </row>
    <row r="42" spans="1:32" ht="31.5">
      <c r="A42" s="792">
        <f>+A41+1</f>
        <v>2213</v>
      </c>
      <c r="B42" s="808" t="s">
        <v>853</v>
      </c>
      <c r="C42" s="809" t="s">
        <v>846</v>
      </c>
      <c r="D42" s="794"/>
      <c r="E42" s="792">
        <v>20</v>
      </c>
      <c r="F42" s="804">
        <v>43288</v>
      </c>
      <c r="G42" s="795">
        <v>43308</v>
      </c>
      <c r="H42" s="795" t="s">
        <v>368</v>
      </c>
      <c r="I42" s="796" t="s">
        <v>169</v>
      </c>
      <c r="J42" s="797" t="s">
        <v>174</v>
      </c>
      <c r="K42" s="809" t="s">
        <v>847</v>
      </c>
      <c r="L42" s="797">
        <v>23173</v>
      </c>
      <c r="M42" s="780"/>
      <c r="N42" s="796" t="s">
        <v>366</v>
      </c>
      <c r="O42" s="798">
        <v>80</v>
      </c>
      <c r="P42" s="797">
        <v>3</v>
      </c>
      <c r="Q42" s="799">
        <f t="shared" si="0"/>
        <v>240</v>
      </c>
      <c r="R42" s="800"/>
      <c r="S42" s="799"/>
      <c r="T42" s="799"/>
      <c r="U42" s="799"/>
      <c r="V42" s="799"/>
      <c r="W42" s="799"/>
      <c r="X42" s="799">
        <v>240</v>
      </c>
      <c r="Y42" s="801"/>
      <c r="Z42" s="780"/>
      <c r="AA42" s="780"/>
      <c r="AB42" s="780"/>
      <c r="AC42" s="780"/>
      <c r="AD42" s="780"/>
      <c r="AE42" s="780"/>
      <c r="AF42" s="780"/>
    </row>
    <row r="43" spans="1:32">
      <c r="A43" s="792">
        <v>2213</v>
      </c>
      <c r="B43" s="808" t="s">
        <v>854</v>
      </c>
      <c r="C43" s="809" t="s">
        <v>367</v>
      </c>
      <c r="D43" s="794" t="s">
        <v>849</v>
      </c>
      <c r="E43" s="792">
        <v>95</v>
      </c>
      <c r="F43" s="804">
        <v>43309</v>
      </c>
      <c r="G43" s="795">
        <v>43403</v>
      </c>
      <c r="H43" s="795" t="s">
        <v>368</v>
      </c>
      <c r="I43" s="796" t="s">
        <v>174</v>
      </c>
      <c r="J43" s="797" t="s">
        <v>169</v>
      </c>
      <c r="K43" s="813" t="s">
        <v>365</v>
      </c>
      <c r="L43" s="797">
        <v>2313</v>
      </c>
      <c r="M43" s="780"/>
      <c r="N43" s="796" t="s">
        <v>366</v>
      </c>
      <c r="O43" s="798">
        <v>6000</v>
      </c>
      <c r="P43" s="797">
        <v>1</v>
      </c>
      <c r="Q43" s="799">
        <f t="shared" si="0"/>
        <v>6000</v>
      </c>
      <c r="R43" s="800"/>
      <c r="S43" s="799"/>
      <c r="T43" s="799"/>
      <c r="U43" s="799"/>
      <c r="V43" s="799"/>
      <c r="W43" s="799"/>
      <c r="X43" s="799">
        <f>Q43*10/100</f>
        <v>600</v>
      </c>
      <c r="Y43" s="801">
        <f>Q43*40/100</f>
        <v>2400</v>
      </c>
      <c r="Z43" s="814">
        <f>Q43*50/100</f>
        <v>3000</v>
      </c>
      <c r="AA43" s="780"/>
      <c r="AB43" s="780"/>
      <c r="AC43" s="780"/>
      <c r="AD43" s="780"/>
      <c r="AE43" s="780"/>
      <c r="AF43" s="780"/>
    </row>
    <row r="44" spans="1:32" ht="63">
      <c r="A44" s="792">
        <f>+A43+1</f>
        <v>2214</v>
      </c>
      <c r="B44" s="808" t="s">
        <v>855</v>
      </c>
      <c r="C44" s="809" t="s">
        <v>856</v>
      </c>
      <c r="D44" s="809"/>
      <c r="E44" s="792">
        <v>5</v>
      </c>
      <c r="F44" s="815">
        <v>43318</v>
      </c>
      <c r="G44" s="816">
        <v>43321</v>
      </c>
      <c r="H44" s="795" t="s">
        <v>368</v>
      </c>
      <c r="I44" s="796" t="s">
        <v>174</v>
      </c>
      <c r="J44" s="796" t="s">
        <v>169</v>
      </c>
      <c r="K44" s="809" t="s">
        <v>486</v>
      </c>
      <c r="L44" s="797">
        <v>23173</v>
      </c>
      <c r="M44" s="780"/>
      <c r="N44" s="796" t="s">
        <v>366</v>
      </c>
      <c r="O44" s="817">
        <v>343</v>
      </c>
      <c r="P44" s="797">
        <v>1</v>
      </c>
      <c r="Q44" s="796">
        <f t="shared" si="0"/>
        <v>343</v>
      </c>
      <c r="R44" s="800"/>
      <c r="S44" s="799"/>
      <c r="T44" s="799"/>
      <c r="U44" s="799"/>
      <c r="V44" s="799"/>
      <c r="W44" s="799"/>
      <c r="X44" s="817">
        <v>343</v>
      </c>
      <c r="Y44" s="801"/>
      <c r="Z44" s="780"/>
      <c r="AA44" s="780"/>
      <c r="AB44" s="780"/>
      <c r="AC44" s="780"/>
      <c r="AD44" s="780"/>
      <c r="AE44" s="780"/>
      <c r="AF44" s="780"/>
    </row>
    <row r="45" spans="1:32" ht="63">
      <c r="A45" s="792">
        <f>A44</f>
        <v>2214</v>
      </c>
      <c r="B45" s="808" t="s">
        <v>855</v>
      </c>
      <c r="C45" s="809" t="s">
        <v>856</v>
      </c>
      <c r="D45" s="809"/>
      <c r="E45" s="792">
        <v>5</v>
      </c>
      <c r="F45" s="815">
        <v>43318</v>
      </c>
      <c r="G45" s="816">
        <v>43321</v>
      </c>
      <c r="H45" s="795" t="s">
        <v>368</v>
      </c>
      <c r="I45" s="796" t="s">
        <v>169</v>
      </c>
      <c r="J45" s="796" t="s">
        <v>174</v>
      </c>
      <c r="K45" s="818" t="s">
        <v>857</v>
      </c>
      <c r="L45" s="295">
        <v>23174</v>
      </c>
      <c r="M45" s="296"/>
      <c r="N45" s="294"/>
      <c r="O45" s="819">
        <v>3657</v>
      </c>
      <c r="P45" s="295">
        <v>1</v>
      </c>
      <c r="Q45" s="294">
        <f t="shared" si="0"/>
        <v>3657</v>
      </c>
      <c r="R45" s="299"/>
      <c r="S45" s="298"/>
      <c r="T45" s="298"/>
      <c r="U45" s="298"/>
      <c r="V45" s="298"/>
      <c r="W45" s="298"/>
      <c r="X45" s="819">
        <v>3657</v>
      </c>
      <c r="Y45" s="801"/>
      <c r="Z45" s="296"/>
      <c r="AA45" s="296"/>
      <c r="AB45" s="296"/>
      <c r="AC45" s="296"/>
      <c r="AD45" s="296"/>
      <c r="AE45" s="296"/>
      <c r="AF45" s="296"/>
    </row>
    <row r="46" spans="1:32">
      <c r="A46" s="307">
        <f>+A44+1</f>
        <v>2215</v>
      </c>
      <c r="B46" s="820" t="s">
        <v>858</v>
      </c>
      <c r="C46" s="327" t="s">
        <v>859</v>
      </c>
      <c r="D46" s="307" t="s">
        <v>514</v>
      </c>
      <c r="E46" s="292">
        <v>20</v>
      </c>
      <c r="F46" s="306">
        <v>43288</v>
      </c>
      <c r="G46" s="293">
        <v>43308</v>
      </c>
      <c r="H46" s="293" t="s">
        <v>368</v>
      </c>
      <c r="I46" s="294" t="s">
        <v>174</v>
      </c>
      <c r="J46" s="295" t="s">
        <v>169</v>
      </c>
      <c r="K46" s="821" t="s">
        <v>860</v>
      </c>
      <c r="L46" s="295">
        <v>23173</v>
      </c>
      <c r="M46" s="296"/>
      <c r="N46" s="294"/>
      <c r="O46" s="297">
        <v>80</v>
      </c>
      <c r="P46" s="295">
        <v>3</v>
      </c>
      <c r="Q46" s="298">
        <f t="shared" si="0"/>
        <v>240</v>
      </c>
      <c r="R46" s="299"/>
      <c r="S46" s="298"/>
      <c r="T46" s="298"/>
      <c r="U46" s="298"/>
      <c r="V46" s="298"/>
      <c r="W46" s="298"/>
      <c r="X46" s="298">
        <v>240</v>
      </c>
      <c r="Y46" s="801"/>
      <c r="Z46" s="296"/>
      <c r="AA46" s="296"/>
      <c r="AB46" s="296"/>
      <c r="AC46" s="296"/>
      <c r="AD46" s="296"/>
      <c r="AE46" s="296"/>
      <c r="AF46" s="296"/>
    </row>
    <row r="47" spans="1:32" ht="33.75" customHeight="1">
      <c r="A47" s="281">
        <v>222</v>
      </c>
      <c r="B47" s="822" t="s">
        <v>861</v>
      </c>
      <c r="C47" s="523"/>
      <c r="D47" s="523"/>
      <c r="E47" s="523"/>
      <c r="F47" s="523"/>
      <c r="G47" s="523"/>
      <c r="H47" s="523"/>
      <c r="I47" s="523"/>
      <c r="J47" s="523"/>
      <c r="K47" s="523"/>
      <c r="L47" s="523"/>
      <c r="M47" s="523"/>
      <c r="N47" s="523"/>
      <c r="O47" s="523"/>
      <c r="P47" s="523"/>
      <c r="Q47" s="523"/>
      <c r="R47" s="523"/>
      <c r="S47" s="523"/>
      <c r="T47" s="523"/>
      <c r="U47" s="523"/>
      <c r="V47" s="523"/>
      <c r="W47" s="523"/>
      <c r="X47" s="523"/>
      <c r="Y47" s="823"/>
      <c r="Z47" s="296"/>
      <c r="AA47" s="296"/>
      <c r="AB47" s="296"/>
      <c r="AC47" s="296"/>
      <c r="AD47" s="296"/>
      <c r="AE47" s="296"/>
      <c r="AF47" s="296"/>
    </row>
    <row r="48" spans="1:32" ht="45" customHeight="1">
      <c r="A48" s="307">
        <v>2221</v>
      </c>
      <c r="B48" s="291" t="s">
        <v>862</v>
      </c>
      <c r="C48" s="327" t="s">
        <v>846</v>
      </c>
      <c r="D48" s="327"/>
      <c r="E48" s="292">
        <v>20</v>
      </c>
      <c r="F48" s="306">
        <v>43199</v>
      </c>
      <c r="G48" s="293">
        <v>43219</v>
      </c>
      <c r="H48" s="293" t="s">
        <v>368</v>
      </c>
      <c r="I48" s="294" t="s">
        <v>169</v>
      </c>
      <c r="J48" s="294" t="s">
        <v>174</v>
      </c>
      <c r="K48" s="327" t="s">
        <v>847</v>
      </c>
      <c r="L48" s="295">
        <v>23173</v>
      </c>
      <c r="M48" s="296"/>
      <c r="N48" s="294"/>
      <c r="O48" s="297">
        <v>80</v>
      </c>
      <c r="P48" s="295">
        <v>3</v>
      </c>
      <c r="Q48" s="298">
        <f t="shared" ref="Q48:Q58" si="1">O48*P48</f>
        <v>240</v>
      </c>
      <c r="R48" s="299"/>
      <c r="S48" s="298"/>
      <c r="T48" s="298">
        <v>240</v>
      </c>
      <c r="U48" s="298"/>
      <c r="V48" s="298"/>
      <c r="W48" s="298"/>
      <c r="X48" s="298"/>
      <c r="Y48" s="801"/>
      <c r="Z48" s="296"/>
      <c r="AA48" s="296"/>
      <c r="AB48" s="296"/>
      <c r="AC48" s="296"/>
      <c r="AD48" s="296"/>
      <c r="AE48" s="296"/>
      <c r="AF48" s="296"/>
    </row>
    <row r="49" spans="1:32" ht="72" customHeight="1">
      <c r="A49" s="307">
        <f>A48</f>
        <v>2221</v>
      </c>
      <c r="B49" s="291" t="s">
        <v>862</v>
      </c>
      <c r="C49" s="327" t="s">
        <v>863</v>
      </c>
      <c r="D49" s="327"/>
      <c r="E49" s="292">
        <f>56+365</f>
        <v>421</v>
      </c>
      <c r="F49" s="306">
        <v>43181</v>
      </c>
      <c r="G49" s="293">
        <v>43581</v>
      </c>
      <c r="H49" s="293" t="s">
        <v>368</v>
      </c>
      <c r="I49" s="294" t="s">
        <v>174</v>
      </c>
      <c r="J49" s="294" t="s">
        <v>169</v>
      </c>
      <c r="K49" s="327" t="s">
        <v>864</v>
      </c>
      <c r="L49" s="307">
        <v>23171</v>
      </c>
      <c r="M49" s="296"/>
      <c r="N49" s="294"/>
      <c r="O49" s="297">
        <v>250</v>
      </c>
      <c r="P49" s="295">
        <v>12</v>
      </c>
      <c r="Q49" s="298">
        <f t="shared" si="1"/>
        <v>3000</v>
      </c>
      <c r="R49" s="299"/>
      <c r="S49" s="298"/>
      <c r="T49" s="298"/>
      <c r="U49" s="298">
        <v>250</v>
      </c>
      <c r="V49" s="298">
        <v>250</v>
      </c>
      <c r="W49" s="298">
        <v>250</v>
      </c>
      <c r="X49" s="298">
        <v>250</v>
      </c>
      <c r="Y49" s="298">
        <v>250</v>
      </c>
      <c r="Z49" s="298">
        <v>250</v>
      </c>
      <c r="AA49" s="298">
        <v>250</v>
      </c>
      <c r="AB49" s="298">
        <v>250</v>
      </c>
      <c r="AC49" s="298">
        <v>250</v>
      </c>
      <c r="AD49" s="298">
        <v>250</v>
      </c>
      <c r="AE49" s="298">
        <v>250</v>
      </c>
      <c r="AF49" s="298">
        <v>250</v>
      </c>
    </row>
    <row r="50" spans="1:32" ht="47.25">
      <c r="A50" s="307">
        <v>2222</v>
      </c>
      <c r="B50" s="291" t="s">
        <v>865</v>
      </c>
      <c r="C50" s="327" t="s">
        <v>846</v>
      </c>
      <c r="D50" s="327"/>
      <c r="E50" s="292">
        <v>20</v>
      </c>
      <c r="F50" s="306">
        <v>43199</v>
      </c>
      <c r="G50" s="293">
        <v>43219</v>
      </c>
      <c r="H50" s="293" t="s">
        <v>368</v>
      </c>
      <c r="I50" s="294" t="s">
        <v>169</v>
      </c>
      <c r="J50" s="294" t="s">
        <v>174</v>
      </c>
      <c r="K50" s="327" t="s">
        <v>847</v>
      </c>
      <c r="L50" s="295">
        <v>23173</v>
      </c>
      <c r="M50" s="296"/>
      <c r="N50" s="294"/>
      <c r="O50" s="297">
        <v>80</v>
      </c>
      <c r="P50" s="295">
        <v>3</v>
      </c>
      <c r="Q50" s="298">
        <f t="shared" si="1"/>
        <v>240</v>
      </c>
      <c r="R50" s="299"/>
      <c r="S50" s="298"/>
      <c r="T50" s="298">
        <v>240</v>
      </c>
      <c r="U50" s="298"/>
      <c r="V50" s="298"/>
      <c r="W50" s="298"/>
      <c r="X50" s="298"/>
      <c r="Y50" s="801"/>
      <c r="Z50" s="296"/>
      <c r="AA50" s="296"/>
      <c r="AB50" s="296"/>
      <c r="AC50" s="296"/>
      <c r="AD50" s="296"/>
      <c r="AE50" s="296"/>
      <c r="AF50" s="296"/>
    </row>
    <row r="51" spans="1:32" ht="63">
      <c r="A51" s="307">
        <f>A50</f>
        <v>2222</v>
      </c>
      <c r="B51" s="291" t="s">
        <v>865</v>
      </c>
      <c r="C51" s="327" t="s">
        <v>866</v>
      </c>
      <c r="D51" s="327"/>
      <c r="E51" s="292">
        <f>56+365</f>
        <v>421</v>
      </c>
      <c r="F51" s="306">
        <v>43181</v>
      </c>
      <c r="G51" s="293">
        <v>43581</v>
      </c>
      <c r="H51" s="293" t="s">
        <v>368</v>
      </c>
      <c r="I51" s="294" t="s">
        <v>174</v>
      </c>
      <c r="J51" s="294" t="s">
        <v>169</v>
      </c>
      <c r="K51" s="327" t="s">
        <v>864</v>
      </c>
      <c r="L51" s="307">
        <v>23171</v>
      </c>
      <c r="M51" s="296"/>
      <c r="N51" s="294"/>
      <c r="O51" s="297">
        <v>250</v>
      </c>
      <c r="P51" s="295">
        <v>12</v>
      </c>
      <c r="Q51" s="298">
        <f t="shared" si="1"/>
        <v>3000</v>
      </c>
      <c r="R51" s="299"/>
      <c r="S51" s="298"/>
      <c r="T51" s="298"/>
      <c r="U51" s="298">
        <v>250</v>
      </c>
      <c r="V51" s="298">
        <v>250</v>
      </c>
      <c r="W51" s="298">
        <v>250</v>
      </c>
      <c r="X51" s="298">
        <v>250</v>
      </c>
      <c r="Y51" s="298">
        <v>250</v>
      </c>
      <c r="Z51" s="298">
        <v>250</v>
      </c>
      <c r="AA51" s="298">
        <v>250</v>
      </c>
      <c r="AB51" s="298">
        <v>250</v>
      </c>
      <c r="AC51" s="298">
        <v>250</v>
      </c>
      <c r="AD51" s="298">
        <v>250</v>
      </c>
      <c r="AE51" s="298">
        <v>250</v>
      </c>
      <c r="AF51" s="298">
        <v>250</v>
      </c>
    </row>
    <row r="52" spans="1:32" ht="31.5">
      <c r="A52" s="307">
        <v>2223</v>
      </c>
      <c r="B52" s="824" t="s">
        <v>99</v>
      </c>
      <c r="C52" s="327" t="s">
        <v>846</v>
      </c>
      <c r="D52" s="327"/>
      <c r="E52" s="294">
        <v>20</v>
      </c>
      <c r="F52" s="306">
        <v>43196</v>
      </c>
      <c r="G52" s="293">
        <v>43215</v>
      </c>
      <c r="H52" s="293" t="s">
        <v>368</v>
      </c>
      <c r="I52" s="294" t="s">
        <v>867</v>
      </c>
      <c r="J52" s="294" t="s">
        <v>169</v>
      </c>
      <c r="K52" s="327" t="s">
        <v>847</v>
      </c>
      <c r="L52" s="295">
        <v>23173</v>
      </c>
      <c r="M52" s="296"/>
      <c r="N52" s="294"/>
      <c r="O52" s="297">
        <v>80</v>
      </c>
      <c r="P52" s="295">
        <v>3</v>
      </c>
      <c r="Q52" s="298">
        <f t="shared" si="1"/>
        <v>240</v>
      </c>
      <c r="R52" s="299"/>
      <c r="S52" s="298"/>
      <c r="T52" s="298">
        <v>240</v>
      </c>
      <c r="U52" s="298"/>
      <c r="V52" s="298"/>
      <c r="W52" s="298"/>
      <c r="X52" s="298"/>
      <c r="Y52" s="801"/>
      <c r="Z52" s="296"/>
      <c r="AA52" s="296"/>
      <c r="AB52" s="296"/>
      <c r="AC52" s="296"/>
      <c r="AD52" s="296"/>
      <c r="AE52" s="296"/>
      <c r="AF52" s="296"/>
    </row>
    <row r="53" spans="1:32" ht="31.5">
      <c r="A53" s="307">
        <f>A52</f>
        <v>2223</v>
      </c>
      <c r="B53" s="824" t="s">
        <v>99</v>
      </c>
      <c r="C53" s="327" t="s">
        <v>868</v>
      </c>
      <c r="D53" s="327"/>
      <c r="E53" s="294">
        <v>2</v>
      </c>
      <c r="F53" s="306">
        <v>43279</v>
      </c>
      <c r="G53" s="293">
        <f>+F53+E53</f>
        <v>43281</v>
      </c>
      <c r="H53" s="293" t="s">
        <v>869</v>
      </c>
      <c r="I53" s="294" t="s">
        <v>174</v>
      </c>
      <c r="J53" s="293" t="s">
        <v>169</v>
      </c>
      <c r="K53" s="821" t="s">
        <v>365</v>
      </c>
      <c r="L53" s="295">
        <v>2313</v>
      </c>
      <c r="M53" s="296"/>
      <c r="N53" s="294"/>
      <c r="O53" s="297">
        <v>2711.4</v>
      </c>
      <c r="P53" s="295">
        <v>1</v>
      </c>
      <c r="Q53" s="298">
        <f t="shared" si="1"/>
        <v>2711.4</v>
      </c>
      <c r="R53" s="299"/>
      <c r="S53" s="298"/>
      <c r="T53" s="298"/>
      <c r="U53" s="298"/>
      <c r="V53" s="298"/>
      <c r="W53" s="297">
        <v>2711.4</v>
      </c>
      <c r="X53" s="298"/>
      <c r="Y53" s="801"/>
      <c r="Z53" s="296"/>
      <c r="AA53" s="296"/>
      <c r="AB53" s="296"/>
      <c r="AC53" s="296"/>
      <c r="AD53" s="296"/>
      <c r="AE53" s="296"/>
      <c r="AF53" s="296"/>
    </row>
    <row r="54" spans="1:32" ht="31.5">
      <c r="A54" s="307">
        <f>A52</f>
        <v>2223</v>
      </c>
      <c r="B54" s="824" t="s">
        <v>99</v>
      </c>
      <c r="C54" s="327" t="s">
        <v>868</v>
      </c>
      <c r="D54" s="327"/>
      <c r="E54" s="294">
        <v>2</v>
      </c>
      <c r="F54" s="306">
        <v>43279</v>
      </c>
      <c r="G54" s="293">
        <f>+F54+E54</f>
        <v>43281</v>
      </c>
      <c r="H54" s="293" t="s">
        <v>869</v>
      </c>
      <c r="I54" s="293" t="s">
        <v>169</v>
      </c>
      <c r="J54" s="294" t="s">
        <v>174</v>
      </c>
      <c r="K54" s="327" t="s">
        <v>486</v>
      </c>
      <c r="L54" s="295">
        <v>23173</v>
      </c>
      <c r="M54" s="296"/>
      <c r="N54" s="294"/>
      <c r="O54" s="297">
        <v>257.33</v>
      </c>
      <c r="P54" s="295">
        <v>1</v>
      </c>
      <c r="Q54" s="298">
        <f t="shared" si="1"/>
        <v>257.33</v>
      </c>
      <c r="R54" s="299"/>
      <c r="S54" s="298"/>
      <c r="T54" s="298"/>
      <c r="U54" s="298"/>
      <c r="V54" s="298"/>
      <c r="W54" s="297">
        <v>257.33</v>
      </c>
      <c r="X54" s="298"/>
      <c r="Y54" s="801"/>
      <c r="Z54" s="296"/>
      <c r="AA54" s="296"/>
      <c r="AB54" s="296"/>
      <c r="AC54" s="296"/>
      <c r="AD54" s="296"/>
      <c r="AE54" s="296"/>
      <c r="AF54" s="296"/>
    </row>
    <row r="55" spans="1:32" ht="47.25">
      <c r="A55" s="307">
        <f>A52</f>
        <v>2223</v>
      </c>
      <c r="B55" s="824" t="s">
        <v>99</v>
      </c>
      <c r="C55" s="327" t="s">
        <v>868</v>
      </c>
      <c r="D55" s="327"/>
      <c r="E55" s="294">
        <v>2</v>
      </c>
      <c r="F55" s="306">
        <v>43279</v>
      </c>
      <c r="G55" s="293">
        <f>+F55+E55</f>
        <v>43281</v>
      </c>
      <c r="H55" s="293" t="s">
        <v>869</v>
      </c>
      <c r="I55" s="293" t="s">
        <v>169</v>
      </c>
      <c r="J55" s="294" t="s">
        <v>174</v>
      </c>
      <c r="K55" s="818" t="s">
        <v>857</v>
      </c>
      <c r="L55" s="295">
        <v>23174</v>
      </c>
      <c r="M55" s="296"/>
      <c r="N55" s="294"/>
      <c r="O55" s="297">
        <v>5531.27</v>
      </c>
      <c r="P55" s="295">
        <v>1</v>
      </c>
      <c r="Q55" s="298">
        <f t="shared" si="1"/>
        <v>5531.27</v>
      </c>
      <c r="R55" s="299"/>
      <c r="S55" s="298"/>
      <c r="T55" s="298"/>
      <c r="U55" s="298"/>
      <c r="V55" s="298"/>
      <c r="W55" s="297">
        <v>5531.27</v>
      </c>
      <c r="X55" s="298"/>
      <c r="Y55" s="801"/>
      <c r="Z55" s="296"/>
      <c r="AA55" s="296"/>
      <c r="AB55" s="296"/>
      <c r="AC55" s="296"/>
      <c r="AD55" s="296"/>
      <c r="AE55" s="296"/>
      <c r="AF55" s="296"/>
    </row>
    <row r="56" spans="1:32" ht="31.5">
      <c r="A56" s="307">
        <v>2224</v>
      </c>
      <c r="B56" s="824" t="s">
        <v>99</v>
      </c>
      <c r="C56" s="327" t="s">
        <v>870</v>
      </c>
      <c r="D56" s="327"/>
      <c r="E56" s="294">
        <v>2</v>
      </c>
      <c r="F56" s="306">
        <v>43500</v>
      </c>
      <c r="G56" s="293">
        <f>+F56+E56</f>
        <v>43502</v>
      </c>
      <c r="H56" s="293" t="s">
        <v>871</v>
      </c>
      <c r="I56" s="294" t="s">
        <v>174</v>
      </c>
      <c r="J56" s="293" t="s">
        <v>169</v>
      </c>
      <c r="K56" s="821" t="s">
        <v>365</v>
      </c>
      <c r="L56" s="295">
        <v>2313</v>
      </c>
      <c r="M56" s="296"/>
      <c r="N56" s="294"/>
      <c r="O56" s="297">
        <v>2711.4</v>
      </c>
      <c r="P56" s="295">
        <v>1</v>
      </c>
      <c r="Q56" s="298">
        <f t="shared" si="1"/>
        <v>2711.4</v>
      </c>
      <c r="R56" s="299"/>
      <c r="S56" s="298"/>
      <c r="T56" s="298"/>
      <c r="U56" s="298"/>
      <c r="V56" s="298"/>
      <c r="W56" s="298"/>
      <c r="X56" s="298"/>
      <c r="Y56" s="801"/>
      <c r="Z56" s="296"/>
      <c r="AA56" s="296"/>
      <c r="AB56" s="296"/>
      <c r="AC56" s="296"/>
      <c r="AD56" s="298">
        <v>2711.4</v>
      </c>
      <c r="AE56" s="296"/>
      <c r="AF56" s="296"/>
    </row>
    <row r="57" spans="1:32" ht="31.5">
      <c r="A57" s="307">
        <v>2224</v>
      </c>
      <c r="B57" s="824" t="s">
        <v>99</v>
      </c>
      <c r="C57" s="327" t="s">
        <v>870</v>
      </c>
      <c r="D57" s="327"/>
      <c r="E57" s="294">
        <v>2</v>
      </c>
      <c r="F57" s="306">
        <v>43500</v>
      </c>
      <c r="G57" s="293">
        <v>43502</v>
      </c>
      <c r="H57" s="293" t="s">
        <v>871</v>
      </c>
      <c r="I57" s="293" t="s">
        <v>169</v>
      </c>
      <c r="J57" s="294" t="s">
        <v>174</v>
      </c>
      <c r="K57" s="327" t="s">
        <v>486</v>
      </c>
      <c r="L57" s="295">
        <v>23173</v>
      </c>
      <c r="M57" s="296"/>
      <c r="N57" s="294"/>
      <c r="O57" s="297">
        <v>431.33</v>
      </c>
      <c r="P57" s="295">
        <v>1</v>
      </c>
      <c r="Q57" s="298">
        <f t="shared" si="1"/>
        <v>431.33</v>
      </c>
      <c r="R57" s="299"/>
      <c r="S57" s="298"/>
      <c r="T57" s="298"/>
      <c r="U57" s="298"/>
      <c r="V57" s="298"/>
      <c r="W57" s="298"/>
      <c r="X57" s="298"/>
      <c r="Y57" s="801"/>
      <c r="Z57" s="296"/>
      <c r="AA57" s="296"/>
      <c r="AB57" s="296"/>
      <c r="AC57" s="296"/>
      <c r="AD57" s="298">
        <v>431.33</v>
      </c>
      <c r="AE57" s="296"/>
      <c r="AF57" s="296"/>
    </row>
    <row r="58" spans="1:32" ht="47.25">
      <c r="A58" s="307">
        <v>2224</v>
      </c>
      <c r="B58" s="824" t="s">
        <v>99</v>
      </c>
      <c r="C58" s="327" t="s">
        <v>870</v>
      </c>
      <c r="D58" s="327"/>
      <c r="E58" s="294">
        <v>2</v>
      </c>
      <c r="F58" s="306">
        <v>43500</v>
      </c>
      <c r="G58" s="293">
        <v>43502</v>
      </c>
      <c r="H58" s="293" t="s">
        <v>871</v>
      </c>
      <c r="I58" s="293" t="s">
        <v>169</v>
      </c>
      <c r="J58" s="294" t="s">
        <v>174</v>
      </c>
      <c r="K58" s="818" t="s">
        <v>857</v>
      </c>
      <c r="L58" s="295">
        <v>23174</v>
      </c>
      <c r="M58" s="296"/>
      <c r="N58" s="294"/>
      <c r="O58" s="297">
        <v>6557.27</v>
      </c>
      <c r="P58" s="295">
        <v>1</v>
      </c>
      <c r="Q58" s="298">
        <f t="shared" si="1"/>
        <v>6557.27</v>
      </c>
      <c r="R58" s="299"/>
      <c r="S58" s="298"/>
      <c r="T58" s="298"/>
      <c r="U58" s="298"/>
      <c r="V58" s="298"/>
      <c r="W58" s="298"/>
      <c r="X58" s="298"/>
      <c r="Y58" s="801"/>
      <c r="Z58" s="296"/>
      <c r="AA58" s="296"/>
      <c r="AB58" s="296"/>
      <c r="AC58" s="296"/>
      <c r="AD58" s="298">
        <v>6557.27</v>
      </c>
      <c r="AE58" s="296"/>
      <c r="AF58" s="296"/>
    </row>
    <row r="59" spans="1:32" ht="38.25" customHeight="1">
      <c r="A59" s="281">
        <v>223</v>
      </c>
      <c r="B59" s="822" t="s">
        <v>872</v>
      </c>
      <c r="C59" s="523"/>
      <c r="D59" s="523"/>
      <c r="E59" s="523"/>
      <c r="F59" s="523"/>
      <c r="G59" s="523"/>
      <c r="H59" s="523"/>
      <c r="I59" s="523"/>
      <c r="J59" s="523"/>
      <c r="K59" s="523"/>
      <c r="L59" s="523"/>
      <c r="M59" s="523"/>
      <c r="N59" s="523"/>
      <c r="O59" s="523"/>
      <c r="P59" s="523"/>
      <c r="Q59" s="523"/>
      <c r="R59" s="523"/>
      <c r="S59" s="523"/>
      <c r="T59" s="523"/>
      <c r="U59" s="523"/>
      <c r="V59" s="523"/>
      <c r="W59" s="523"/>
      <c r="X59" s="523"/>
      <c r="Y59" s="823"/>
      <c r="Z59" s="296"/>
      <c r="AA59" s="296"/>
      <c r="AB59" s="296"/>
      <c r="AC59" s="296"/>
      <c r="AD59" s="296"/>
      <c r="AE59" s="296"/>
      <c r="AF59" s="296"/>
    </row>
    <row r="60" spans="1:32" ht="21.75" customHeight="1">
      <c r="A60" s="825">
        <v>2231</v>
      </c>
      <c r="B60" s="826" t="s">
        <v>873</v>
      </c>
      <c r="C60" s="827"/>
      <c r="D60" s="827"/>
      <c r="E60" s="827"/>
      <c r="F60" s="827"/>
      <c r="G60" s="827"/>
      <c r="H60" s="827"/>
      <c r="I60" s="827"/>
      <c r="J60" s="295"/>
      <c r="K60" s="294"/>
      <c r="L60" s="295"/>
      <c r="M60" s="296"/>
      <c r="N60" s="294"/>
      <c r="O60" s="297"/>
      <c r="P60" s="295"/>
      <c r="Q60" s="298"/>
      <c r="R60" s="299"/>
      <c r="S60" s="298"/>
      <c r="T60" s="298"/>
      <c r="U60" s="298"/>
      <c r="V60" s="298"/>
      <c r="W60" s="298"/>
      <c r="X60" s="298"/>
      <c r="Y60" s="801"/>
      <c r="Z60" s="296"/>
      <c r="AA60" s="296"/>
      <c r="AB60" s="296"/>
      <c r="AC60" s="296"/>
      <c r="AD60" s="296"/>
      <c r="AE60" s="296"/>
      <c r="AF60" s="296"/>
    </row>
    <row r="61" spans="1:32" s="833" customFormat="1" ht="31.5">
      <c r="A61" s="828">
        <v>22311</v>
      </c>
      <c r="B61" s="820" t="s">
        <v>874</v>
      </c>
      <c r="C61" s="327" t="s">
        <v>846</v>
      </c>
      <c r="D61" s="292" t="s">
        <v>849</v>
      </c>
      <c r="E61" s="294">
        <v>20</v>
      </c>
      <c r="F61" s="829">
        <v>43196</v>
      </c>
      <c r="G61" s="829">
        <v>43215</v>
      </c>
      <c r="H61" s="294" t="s">
        <v>368</v>
      </c>
      <c r="I61" s="294" t="s">
        <v>169</v>
      </c>
      <c r="J61" s="294" t="s">
        <v>174</v>
      </c>
      <c r="K61" s="327" t="s">
        <v>847</v>
      </c>
      <c r="L61" s="295">
        <v>23173</v>
      </c>
      <c r="M61" s="830"/>
      <c r="N61" s="569"/>
      <c r="O61" s="294">
        <v>80</v>
      </c>
      <c r="P61" s="294">
        <v>3</v>
      </c>
      <c r="Q61" s="294">
        <f>O61*P61</f>
        <v>240</v>
      </c>
      <c r="R61" s="831"/>
      <c r="S61" s="494"/>
      <c r="T61" s="294">
        <v>240</v>
      </c>
      <c r="U61" s="494"/>
      <c r="V61" s="494"/>
      <c r="W61" s="494"/>
      <c r="X61" s="494"/>
      <c r="Y61" s="832"/>
      <c r="Z61" s="830"/>
      <c r="AA61" s="830"/>
      <c r="AB61" s="830"/>
      <c r="AC61" s="830"/>
      <c r="AD61" s="830"/>
      <c r="AE61" s="830"/>
      <c r="AF61" s="830"/>
    </row>
    <row r="62" spans="1:32" ht="31.5">
      <c r="A62" s="828">
        <v>22311</v>
      </c>
      <c r="B62" s="820" t="s">
        <v>874</v>
      </c>
      <c r="C62" s="327" t="s">
        <v>875</v>
      </c>
      <c r="D62" s="294" t="s">
        <v>849</v>
      </c>
      <c r="E62" s="294">
        <v>30</v>
      </c>
      <c r="F62" s="306">
        <v>43205</v>
      </c>
      <c r="G62" s="293">
        <v>43235</v>
      </c>
      <c r="H62" s="293" t="s">
        <v>368</v>
      </c>
      <c r="I62" s="294" t="s">
        <v>174</v>
      </c>
      <c r="J62" s="294" t="s">
        <v>169</v>
      </c>
      <c r="K62" s="294" t="s">
        <v>365</v>
      </c>
      <c r="L62" s="294">
        <v>2313</v>
      </c>
      <c r="M62" s="296"/>
      <c r="N62" s="294"/>
      <c r="O62" s="294">
        <v>5000</v>
      </c>
      <c r="P62" s="294">
        <v>1</v>
      </c>
      <c r="Q62" s="294">
        <f>O62*P62</f>
        <v>5000</v>
      </c>
      <c r="R62" s="299"/>
      <c r="S62" s="298"/>
      <c r="T62" s="294">
        <f>Q62*10/100</f>
        <v>500</v>
      </c>
      <c r="U62" s="294">
        <f>Q62*90/100</f>
        <v>4500</v>
      </c>
      <c r="V62" s="298"/>
      <c r="W62" s="298"/>
      <c r="X62" s="298"/>
      <c r="Y62" s="801"/>
      <c r="Z62" s="296"/>
      <c r="AA62" s="296"/>
      <c r="AB62" s="296"/>
      <c r="AC62" s="296"/>
      <c r="AD62" s="296"/>
      <c r="AE62" s="296"/>
      <c r="AF62" s="296"/>
    </row>
    <row r="63" spans="1:32" ht="21.75" customHeight="1">
      <c r="A63" s="825">
        <v>2232</v>
      </c>
      <c r="B63" s="826" t="s">
        <v>876</v>
      </c>
      <c r="C63" s="827"/>
      <c r="D63" s="827"/>
      <c r="E63" s="827"/>
      <c r="F63" s="827"/>
      <c r="G63" s="827"/>
      <c r="H63" s="827"/>
      <c r="I63" s="827"/>
      <c r="J63" s="295"/>
      <c r="K63" s="294"/>
      <c r="L63" s="295"/>
      <c r="M63" s="296"/>
      <c r="N63" s="294"/>
      <c r="O63" s="297"/>
      <c r="P63" s="295"/>
      <c r="Q63" s="298"/>
      <c r="R63" s="299"/>
      <c r="S63" s="298"/>
      <c r="T63" s="298"/>
      <c r="U63" s="298"/>
      <c r="V63" s="298"/>
      <c r="W63" s="298"/>
      <c r="X63" s="298"/>
      <c r="Y63" s="801"/>
      <c r="Z63" s="296"/>
      <c r="AA63" s="296"/>
      <c r="AB63" s="296"/>
      <c r="AC63" s="296"/>
      <c r="AD63" s="296"/>
      <c r="AE63" s="296"/>
      <c r="AF63" s="296"/>
    </row>
    <row r="64" spans="1:32" ht="31.5">
      <c r="A64" s="307">
        <v>22321</v>
      </c>
      <c r="B64" s="834" t="s">
        <v>877</v>
      </c>
      <c r="C64" s="327" t="s">
        <v>878</v>
      </c>
      <c r="D64" s="327"/>
      <c r="E64" s="329">
        <v>66</v>
      </c>
      <c r="F64" s="306">
        <v>43195</v>
      </c>
      <c r="G64" s="293">
        <f>F64+E64</f>
        <v>43261</v>
      </c>
      <c r="H64" s="293" t="s">
        <v>368</v>
      </c>
      <c r="I64" s="294" t="s">
        <v>169</v>
      </c>
      <c r="J64" s="294" t="s">
        <v>174</v>
      </c>
      <c r="K64" s="307" t="s">
        <v>879</v>
      </c>
      <c r="L64" s="295">
        <v>2463</v>
      </c>
      <c r="M64" s="296"/>
      <c r="N64" s="294"/>
      <c r="O64" s="297">
        <v>1500</v>
      </c>
      <c r="P64" s="295">
        <v>4</v>
      </c>
      <c r="Q64" s="298">
        <f>O64*P64</f>
        <v>6000</v>
      </c>
      <c r="R64" s="299"/>
      <c r="S64" s="298"/>
      <c r="T64" s="298"/>
      <c r="U64" s="298"/>
      <c r="V64" s="298">
        <v>6000</v>
      </c>
      <c r="W64" s="298"/>
      <c r="X64" s="298"/>
      <c r="Y64" s="801"/>
      <c r="Z64" s="296"/>
      <c r="AA64" s="296"/>
      <c r="AB64" s="296"/>
      <c r="AC64" s="296"/>
      <c r="AD64" s="296"/>
      <c r="AE64" s="296"/>
      <c r="AF64" s="296"/>
    </row>
    <row r="65" spans="1:32" ht="31.5">
      <c r="A65" s="307">
        <v>22322</v>
      </c>
      <c r="B65" s="291" t="s">
        <v>880</v>
      </c>
      <c r="C65" s="327" t="s">
        <v>881</v>
      </c>
      <c r="D65" s="327"/>
      <c r="E65" s="329">
        <v>77</v>
      </c>
      <c r="F65" s="306">
        <v>43196</v>
      </c>
      <c r="G65" s="293">
        <f>F65+E65</f>
        <v>43273</v>
      </c>
      <c r="H65" s="293" t="s">
        <v>368</v>
      </c>
      <c r="I65" s="294" t="s">
        <v>169</v>
      </c>
      <c r="J65" s="294" t="s">
        <v>174</v>
      </c>
      <c r="K65" s="307" t="s">
        <v>320</v>
      </c>
      <c r="L65" s="295">
        <v>23173</v>
      </c>
      <c r="M65" s="296"/>
      <c r="N65" s="294"/>
      <c r="O65" s="297">
        <v>2000</v>
      </c>
      <c r="P65" s="295">
        <v>1</v>
      </c>
      <c r="Q65" s="298">
        <f>O65*P65</f>
        <v>2000</v>
      </c>
      <c r="R65" s="299"/>
      <c r="S65" s="298"/>
      <c r="T65" s="298"/>
      <c r="U65" s="298"/>
      <c r="V65" s="298">
        <v>2000</v>
      </c>
      <c r="W65" s="298"/>
      <c r="X65" s="298"/>
      <c r="Y65" s="801"/>
      <c r="Z65" s="296"/>
      <c r="AA65" s="296"/>
      <c r="AB65" s="296"/>
      <c r="AC65" s="296"/>
      <c r="AD65" s="296"/>
      <c r="AE65" s="296"/>
      <c r="AF65" s="296"/>
    </row>
    <row r="66" spans="1:32" ht="31.5">
      <c r="A66" s="307">
        <v>22323</v>
      </c>
      <c r="B66" s="834" t="s">
        <v>882</v>
      </c>
      <c r="C66" s="327" t="s">
        <v>883</v>
      </c>
      <c r="D66" s="327"/>
      <c r="E66" s="329">
        <v>125</v>
      </c>
      <c r="F66" s="306">
        <v>43196</v>
      </c>
      <c r="G66" s="293">
        <f>F66+E66</f>
        <v>43321</v>
      </c>
      <c r="H66" s="293" t="s">
        <v>368</v>
      </c>
      <c r="I66" s="294" t="s">
        <v>169</v>
      </c>
      <c r="J66" s="294" t="s">
        <v>884</v>
      </c>
      <c r="K66" s="307" t="s">
        <v>879</v>
      </c>
      <c r="L66" s="295">
        <v>2463</v>
      </c>
      <c r="M66" s="296"/>
      <c r="N66" s="294"/>
      <c r="O66" s="297">
        <v>19200</v>
      </c>
      <c r="P66" s="295">
        <v>1</v>
      </c>
      <c r="Q66" s="298">
        <f>O66*P66</f>
        <v>19200</v>
      </c>
      <c r="R66" s="299"/>
      <c r="S66" s="298"/>
      <c r="T66" s="298"/>
      <c r="U66" s="298"/>
      <c r="V66" s="298"/>
      <c r="W66" s="298"/>
      <c r="X66" s="298">
        <v>19200</v>
      </c>
      <c r="Y66" s="298"/>
    </row>
    <row r="67" spans="1:32" ht="21.75" customHeight="1">
      <c r="A67" s="825">
        <v>2233</v>
      </c>
      <c r="B67" s="826" t="s">
        <v>885</v>
      </c>
      <c r="C67" s="827"/>
      <c r="D67" s="827"/>
      <c r="E67" s="827"/>
      <c r="F67" s="827"/>
      <c r="G67" s="827"/>
      <c r="H67" s="827"/>
      <c r="I67" s="827"/>
      <c r="J67" s="295"/>
      <c r="K67" s="294"/>
      <c r="L67" s="295"/>
      <c r="M67" s="296"/>
      <c r="N67" s="294"/>
      <c r="O67" s="297"/>
      <c r="P67" s="295"/>
      <c r="Q67" s="298"/>
      <c r="R67" s="299"/>
      <c r="S67" s="298"/>
      <c r="T67" s="298"/>
      <c r="U67" s="298"/>
      <c r="V67" s="298"/>
      <c r="W67" s="298"/>
      <c r="X67" s="298"/>
      <c r="Y67" s="801"/>
      <c r="Z67" s="296"/>
      <c r="AA67" s="296"/>
      <c r="AB67" s="296"/>
      <c r="AC67" s="296"/>
      <c r="AD67" s="296"/>
      <c r="AE67" s="296"/>
      <c r="AF67" s="296"/>
    </row>
    <row r="68" spans="1:32" ht="31.5">
      <c r="A68" s="307">
        <v>22331</v>
      </c>
      <c r="B68" s="291" t="s">
        <v>886</v>
      </c>
      <c r="C68" s="291" t="s">
        <v>887</v>
      </c>
      <c r="E68" s="294">
        <v>1</v>
      </c>
      <c r="F68" s="306">
        <v>43235</v>
      </c>
      <c r="G68" s="293">
        <v>43235</v>
      </c>
      <c r="H68" s="293" t="s">
        <v>368</v>
      </c>
      <c r="I68" s="294" t="s">
        <v>867</v>
      </c>
      <c r="J68" s="294" t="s">
        <v>169</v>
      </c>
      <c r="K68" s="307" t="s">
        <v>320</v>
      </c>
      <c r="L68" s="295">
        <v>23173</v>
      </c>
      <c r="O68" s="343">
        <v>3000</v>
      </c>
      <c r="P68" s="342">
        <v>1</v>
      </c>
      <c r="Q68" s="298">
        <f t="shared" ref="Q68:Q77" si="2">O68*P68</f>
        <v>3000</v>
      </c>
      <c r="U68" s="298">
        <v>3000</v>
      </c>
      <c r="Z68" s="296"/>
      <c r="AA68" s="296"/>
      <c r="AB68" s="296"/>
      <c r="AC68" s="296"/>
      <c r="AD68" s="296"/>
      <c r="AE68" s="296"/>
      <c r="AF68" s="296"/>
    </row>
    <row r="69" spans="1:32" ht="31.5">
      <c r="A69" s="307">
        <v>22331</v>
      </c>
      <c r="B69" s="291" t="s">
        <v>886</v>
      </c>
      <c r="C69" s="291" t="s">
        <v>887</v>
      </c>
      <c r="D69" s="327"/>
      <c r="E69" s="294">
        <v>1</v>
      </c>
      <c r="F69" s="306">
        <v>43235</v>
      </c>
      <c r="G69" s="293">
        <v>43235</v>
      </c>
      <c r="H69" s="293" t="s">
        <v>368</v>
      </c>
      <c r="I69" s="294" t="s">
        <v>169</v>
      </c>
      <c r="J69" s="294" t="s">
        <v>867</v>
      </c>
      <c r="K69" s="307" t="s">
        <v>888</v>
      </c>
      <c r="L69" s="295">
        <v>23174</v>
      </c>
      <c r="M69" s="296"/>
      <c r="N69" s="294"/>
      <c r="O69" s="297">
        <v>9000</v>
      </c>
      <c r="P69" s="342">
        <v>1</v>
      </c>
      <c r="Q69" s="298">
        <f t="shared" si="2"/>
        <v>9000</v>
      </c>
      <c r="R69" s="299"/>
      <c r="S69" s="298"/>
      <c r="T69" s="298"/>
      <c r="U69" s="298">
        <v>9000</v>
      </c>
      <c r="V69" s="298"/>
      <c r="W69" s="298"/>
      <c r="X69" s="298"/>
      <c r="Y69" s="801"/>
      <c r="Z69" s="296"/>
      <c r="AA69" s="296"/>
      <c r="AB69" s="296"/>
      <c r="AC69" s="296"/>
      <c r="AD69" s="296"/>
      <c r="AE69" s="296"/>
      <c r="AF69" s="296"/>
    </row>
    <row r="70" spans="1:32" ht="47.25">
      <c r="A70" s="307">
        <v>22332</v>
      </c>
      <c r="B70" s="291" t="s">
        <v>889</v>
      </c>
      <c r="C70" s="327" t="s">
        <v>846</v>
      </c>
      <c r="D70" s="294"/>
      <c r="E70" s="294">
        <v>20</v>
      </c>
      <c r="F70" s="306">
        <v>43235</v>
      </c>
      <c r="G70" s="293">
        <v>43256</v>
      </c>
      <c r="H70" s="293" t="s">
        <v>368</v>
      </c>
      <c r="I70" s="294" t="s">
        <v>867</v>
      </c>
      <c r="J70" s="294" t="s">
        <v>169</v>
      </c>
      <c r="K70" s="327" t="s">
        <v>847</v>
      </c>
      <c r="L70" s="295">
        <v>23173</v>
      </c>
      <c r="M70" s="296"/>
      <c r="N70" s="294"/>
      <c r="O70" s="297">
        <v>80</v>
      </c>
      <c r="P70" s="295">
        <v>3</v>
      </c>
      <c r="Q70" s="298">
        <f t="shared" si="2"/>
        <v>240</v>
      </c>
      <c r="R70" s="299"/>
      <c r="S70" s="298"/>
      <c r="T70" s="298"/>
      <c r="U70" s="298">
        <v>240</v>
      </c>
      <c r="V70" s="298"/>
      <c r="W70" s="298"/>
      <c r="X70" s="298"/>
      <c r="Y70" s="801"/>
      <c r="Z70" s="296"/>
      <c r="AA70" s="296"/>
      <c r="AB70" s="296"/>
      <c r="AC70" s="296"/>
      <c r="AD70" s="296"/>
      <c r="AE70" s="296"/>
      <c r="AF70" s="296"/>
    </row>
    <row r="71" spans="1:32" ht="47.25">
      <c r="A71" s="307">
        <v>22332</v>
      </c>
      <c r="B71" s="291" t="s">
        <v>889</v>
      </c>
      <c r="C71" s="291" t="s">
        <v>890</v>
      </c>
      <c r="D71" s="327"/>
      <c r="E71" s="294">
        <v>66</v>
      </c>
      <c r="F71" s="306">
        <v>43257</v>
      </c>
      <c r="G71" s="293">
        <v>43278</v>
      </c>
      <c r="H71" s="293" t="s">
        <v>368</v>
      </c>
      <c r="I71" s="294" t="s">
        <v>867</v>
      </c>
      <c r="J71" s="294" t="s">
        <v>169</v>
      </c>
      <c r="K71" s="294" t="s">
        <v>302</v>
      </c>
      <c r="L71" s="295">
        <v>23173</v>
      </c>
      <c r="M71" s="296"/>
      <c r="N71" s="294"/>
      <c r="O71" s="297">
        <v>8000</v>
      </c>
      <c r="P71" s="295">
        <v>2</v>
      </c>
      <c r="Q71" s="298">
        <f t="shared" si="2"/>
        <v>16000</v>
      </c>
      <c r="R71" s="299"/>
      <c r="S71" s="298"/>
      <c r="T71" s="298"/>
      <c r="U71" s="298"/>
      <c r="V71" s="298">
        <v>16000</v>
      </c>
      <c r="W71" s="298"/>
      <c r="X71" s="298"/>
      <c r="Y71" s="801"/>
      <c r="Z71" s="296"/>
      <c r="AA71" s="296"/>
      <c r="AB71" s="296"/>
      <c r="AC71" s="296"/>
      <c r="AD71" s="296"/>
      <c r="AE71" s="296"/>
      <c r="AF71" s="296"/>
    </row>
    <row r="72" spans="1:32" ht="31.5">
      <c r="A72" s="307">
        <v>22333</v>
      </c>
      <c r="B72" s="291" t="s">
        <v>891</v>
      </c>
      <c r="C72" s="291" t="s">
        <v>892</v>
      </c>
      <c r="D72" s="327"/>
      <c r="E72" s="294">
        <v>6</v>
      </c>
      <c r="F72" s="306">
        <v>43241</v>
      </c>
      <c r="G72" s="293">
        <v>43246</v>
      </c>
      <c r="H72" s="293" t="s">
        <v>368</v>
      </c>
      <c r="I72" s="294" t="s">
        <v>867</v>
      </c>
      <c r="J72" s="294" t="s">
        <v>169</v>
      </c>
      <c r="K72" s="327" t="s">
        <v>486</v>
      </c>
      <c r="L72" s="295">
        <v>23173</v>
      </c>
      <c r="M72" s="296"/>
      <c r="N72" s="294"/>
      <c r="O72" s="297">
        <v>1081</v>
      </c>
      <c r="P72" s="295">
        <v>4</v>
      </c>
      <c r="Q72" s="298">
        <f t="shared" si="2"/>
        <v>4324</v>
      </c>
      <c r="R72" s="299"/>
      <c r="S72" s="298"/>
      <c r="T72" s="298"/>
      <c r="U72" s="298"/>
      <c r="V72" s="298">
        <v>4324</v>
      </c>
      <c r="W72" s="298"/>
      <c r="X72" s="298"/>
      <c r="Y72" s="801"/>
      <c r="Z72" s="296"/>
      <c r="AA72" s="296"/>
      <c r="AB72" s="296"/>
      <c r="AC72" s="296"/>
      <c r="AD72" s="296"/>
      <c r="AE72" s="296"/>
      <c r="AF72" s="296"/>
    </row>
    <row r="73" spans="1:32" ht="31.5">
      <c r="A73" s="307">
        <v>22333</v>
      </c>
      <c r="B73" s="291" t="s">
        <v>891</v>
      </c>
      <c r="C73" s="291" t="s">
        <v>892</v>
      </c>
      <c r="D73" s="327"/>
      <c r="E73" s="294">
        <v>6</v>
      </c>
      <c r="F73" s="306">
        <v>43241</v>
      </c>
      <c r="G73" s="293">
        <v>43246</v>
      </c>
      <c r="H73" s="293" t="s">
        <v>368</v>
      </c>
      <c r="I73" s="294" t="s">
        <v>169</v>
      </c>
      <c r="J73" s="294" t="s">
        <v>867</v>
      </c>
      <c r="K73" s="307" t="s">
        <v>888</v>
      </c>
      <c r="L73" s="295">
        <v>23174</v>
      </c>
      <c r="M73" s="296"/>
      <c r="N73" s="294"/>
      <c r="O73" s="297">
        <v>8659</v>
      </c>
      <c r="P73" s="295">
        <v>4</v>
      </c>
      <c r="Q73" s="298">
        <f t="shared" si="2"/>
        <v>34636</v>
      </c>
      <c r="R73" s="299"/>
      <c r="S73" s="298"/>
      <c r="T73" s="298"/>
      <c r="U73" s="298"/>
      <c r="V73" s="298">
        <v>34636</v>
      </c>
      <c r="W73" s="298"/>
      <c r="X73" s="298"/>
      <c r="Y73" s="801"/>
      <c r="Z73" s="296"/>
      <c r="AA73" s="296"/>
      <c r="AB73" s="296"/>
      <c r="AC73" s="296"/>
      <c r="AD73" s="296"/>
      <c r="AE73" s="296"/>
      <c r="AF73" s="296"/>
    </row>
    <row r="74" spans="1:32" ht="31.5">
      <c r="A74" s="307">
        <f>A73+1</f>
        <v>22334</v>
      </c>
      <c r="B74" s="291" t="s">
        <v>893</v>
      </c>
      <c r="C74" s="327" t="s">
        <v>894</v>
      </c>
      <c r="D74" s="327"/>
      <c r="E74" s="294">
        <v>2</v>
      </c>
      <c r="F74" s="306">
        <v>43283</v>
      </c>
      <c r="G74" s="293">
        <v>43284</v>
      </c>
      <c r="H74" s="293" t="s">
        <v>895</v>
      </c>
      <c r="I74" s="294" t="s">
        <v>169</v>
      </c>
      <c r="J74" s="294" t="s">
        <v>867</v>
      </c>
      <c r="K74" s="327" t="s">
        <v>896</v>
      </c>
      <c r="L74" s="295">
        <v>23173</v>
      </c>
      <c r="M74" s="296"/>
      <c r="N74" s="294"/>
      <c r="O74" s="297">
        <v>1000</v>
      </c>
      <c r="P74" s="295">
        <v>1</v>
      </c>
      <c r="Q74" s="298">
        <f t="shared" si="2"/>
        <v>1000</v>
      </c>
      <c r="R74" s="299"/>
      <c r="S74" s="298"/>
      <c r="T74" s="298"/>
      <c r="U74" s="298"/>
      <c r="V74" s="298"/>
      <c r="W74" s="298">
        <v>1000</v>
      </c>
      <c r="X74" s="298"/>
      <c r="Y74" s="801"/>
      <c r="Z74" s="296"/>
      <c r="AA74" s="296"/>
      <c r="AB74" s="296"/>
      <c r="AC74" s="296"/>
      <c r="AD74" s="296"/>
      <c r="AE74" s="296"/>
      <c r="AF74" s="296"/>
    </row>
    <row r="75" spans="1:32" ht="43.5" customHeight="1">
      <c r="A75" s="307">
        <f>A74+1</f>
        <v>22335</v>
      </c>
      <c r="B75" s="291" t="s">
        <v>100</v>
      </c>
      <c r="C75" s="327" t="s">
        <v>897</v>
      </c>
      <c r="D75" s="327"/>
      <c r="E75" s="294">
        <v>2</v>
      </c>
      <c r="F75" s="306">
        <v>43318</v>
      </c>
      <c r="G75" s="293">
        <v>43321</v>
      </c>
      <c r="H75" s="293" t="s">
        <v>895</v>
      </c>
      <c r="I75" s="294" t="s">
        <v>867</v>
      </c>
      <c r="J75" s="294" t="s">
        <v>169</v>
      </c>
      <c r="K75" s="307" t="s">
        <v>888</v>
      </c>
      <c r="L75" s="295">
        <v>23174</v>
      </c>
      <c r="M75" s="296"/>
      <c r="N75" s="294"/>
      <c r="O75" s="297">
        <v>1000</v>
      </c>
      <c r="P75" s="295">
        <v>20</v>
      </c>
      <c r="Q75" s="298">
        <f t="shared" si="2"/>
        <v>20000</v>
      </c>
      <c r="R75" s="299"/>
      <c r="S75" s="298"/>
      <c r="T75" s="298"/>
      <c r="U75" s="298"/>
      <c r="V75" s="298"/>
      <c r="W75" s="298"/>
      <c r="X75" s="298">
        <v>20000</v>
      </c>
      <c r="Y75" s="801"/>
      <c r="Z75" s="296"/>
      <c r="AA75" s="296"/>
      <c r="AB75" s="296"/>
      <c r="AC75" s="296"/>
      <c r="AD75" s="296"/>
      <c r="AE75" s="296"/>
      <c r="AF75" s="296"/>
    </row>
    <row r="76" spans="1:32" ht="31.5">
      <c r="A76" s="307">
        <f>A75+1</f>
        <v>22336</v>
      </c>
      <c r="B76" s="291" t="s">
        <v>898</v>
      </c>
      <c r="C76" s="327" t="s">
        <v>894</v>
      </c>
      <c r="D76" s="327"/>
      <c r="E76" s="294">
        <v>2</v>
      </c>
      <c r="F76" s="293" t="s">
        <v>899</v>
      </c>
      <c r="G76" s="293" t="s">
        <v>900</v>
      </c>
      <c r="H76" s="293" t="s">
        <v>895</v>
      </c>
      <c r="I76" s="294" t="s">
        <v>169</v>
      </c>
      <c r="J76" s="294" t="s">
        <v>867</v>
      </c>
      <c r="K76" s="327" t="s">
        <v>896</v>
      </c>
      <c r="L76" s="295">
        <v>23173</v>
      </c>
      <c r="M76" s="296"/>
      <c r="N76" s="294"/>
      <c r="O76" s="297">
        <v>1000</v>
      </c>
      <c r="P76" s="295">
        <v>1</v>
      </c>
      <c r="Q76" s="298">
        <f t="shared" si="2"/>
        <v>1000</v>
      </c>
      <c r="R76" s="299"/>
      <c r="S76" s="298"/>
      <c r="T76" s="298"/>
      <c r="U76" s="298"/>
      <c r="V76" s="298"/>
      <c r="W76" s="298"/>
      <c r="X76" s="298">
        <v>1000</v>
      </c>
      <c r="Y76" s="801"/>
      <c r="Z76" s="296"/>
      <c r="AA76" s="296"/>
      <c r="AB76" s="296"/>
      <c r="AC76" s="296"/>
      <c r="AD76" s="296"/>
      <c r="AE76" s="296"/>
      <c r="AF76" s="296"/>
    </row>
    <row r="77" spans="1:32" ht="42.75" customHeight="1">
      <c r="A77" s="307">
        <f>A76+1</f>
        <v>22337</v>
      </c>
      <c r="B77" s="291" t="s">
        <v>102</v>
      </c>
      <c r="C77" s="327" t="s">
        <v>901</v>
      </c>
      <c r="D77" s="327"/>
      <c r="E77" s="329">
        <v>30</v>
      </c>
      <c r="F77" s="293" t="s">
        <v>902</v>
      </c>
      <c r="G77" s="293">
        <v>43359</v>
      </c>
      <c r="H77" s="293" t="s">
        <v>895</v>
      </c>
      <c r="I77" s="294" t="s">
        <v>867</v>
      </c>
      <c r="J77" s="294" t="s">
        <v>169</v>
      </c>
      <c r="K77" s="307" t="s">
        <v>888</v>
      </c>
      <c r="L77" s="295">
        <v>23174</v>
      </c>
      <c r="M77" s="296"/>
      <c r="N77" s="294"/>
      <c r="O77" s="297">
        <v>440</v>
      </c>
      <c r="P77" s="295">
        <v>200</v>
      </c>
      <c r="Q77" s="298">
        <f t="shared" si="2"/>
        <v>88000</v>
      </c>
      <c r="R77" s="299"/>
      <c r="S77" s="298"/>
      <c r="T77" s="298"/>
      <c r="U77" s="298"/>
      <c r="V77" s="298"/>
      <c r="W77" s="298"/>
      <c r="X77" s="298"/>
      <c r="Y77" s="801">
        <v>88000</v>
      </c>
      <c r="Z77" s="296"/>
      <c r="AA77" s="296"/>
      <c r="AB77" s="296"/>
      <c r="AC77" s="296"/>
      <c r="AD77" s="296"/>
      <c r="AE77" s="296"/>
      <c r="AF77" s="296"/>
    </row>
    <row r="78" spans="1:32" ht="21.75" customHeight="1">
      <c r="A78" s="825">
        <v>2233</v>
      </c>
      <c r="B78" s="826" t="s">
        <v>903</v>
      </c>
      <c r="C78" s="827"/>
      <c r="D78" s="827"/>
      <c r="E78" s="827"/>
      <c r="F78" s="827"/>
      <c r="G78" s="827"/>
      <c r="H78" s="827"/>
      <c r="I78" s="827"/>
      <c r="J78" s="295"/>
      <c r="K78" s="294"/>
      <c r="L78" s="295"/>
      <c r="M78" s="296"/>
      <c r="N78" s="294"/>
      <c r="O78" s="297"/>
      <c r="P78" s="295"/>
      <c r="Q78" s="298"/>
      <c r="R78" s="299"/>
      <c r="S78" s="298"/>
      <c r="T78" s="298"/>
      <c r="U78" s="298"/>
      <c r="V78" s="298"/>
      <c r="W78" s="298"/>
      <c r="X78" s="298"/>
      <c r="Y78" s="801"/>
      <c r="Z78" s="296"/>
      <c r="AA78" s="296"/>
      <c r="AB78" s="296"/>
      <c r="AC78" s="296"/>
      <c r="AD78" s="296"/>
      <c r="AE78" s="296"/>
      <c r="AF78" s="296"/>
    </row>
    <row r="79" spans="1:32" ht="31.5">
      <c r="A79" s="307">
        <v>22331</v>
      </c>
      <c r="B79" s="820" t="s">
        <v>904</v>
      </c>
      <c r="C79" s="327" t="s">
        <v>846</v>
      </c>
      <c r="D79" s="327"/>
      <c r="E79" s="292">
        <v>45</v>
      </c>
      <c r="F79" s="306">
        <v>43200</v>
      </c>
      <c r="G79" s="293">
        <v>43245</v>
      </c>
      <c r="H79" s="293" t="s">
        <v>368</v>
      </c>
      <c r="I79" s="294" t="s">
        <v>174</v>
      </c>
      <c r="J79" s="294" t="s">
        <v>169</v>
      </c>
      <c r="K79" s="327" t="s">
        <v>847</v>
      </c>
      <c r="L79" s="295">
        <v>23173</v>
      </c>
      <c r="M79" s="296"/>
      <c r="N79" s="294"/>
      <c r="O79" s="294">
        <v>80</v>
      </c>
      <c r="P79" s="294">
        <v>3</v>
      </c>
      <c r="Q79" s="294">
        <f>O79*P79</f>
        <v>240</v>
      </c>
      <c r="R79" s="299"/>
      <c r="S79" s="298"/>
      <c r="T79" s="298"/>
      <c r="U79" s="298"/>
      <c r="V79" s="294">
        <v>240</v>
      </c>
      <c r="W79" s="298"/>
      <c r="X79" s="298"/>
      <c r="Y79" s="801"/>
      <c r="Z79" s="296"/>
      <c r="AA79" s="296"/>
      <c r="AB79" s="296"/>
      <c r="AC79" s="296"/>
      <c r="AD79" s="296"/>
      <c r="AE79" s="296"/>
      <c r="AF79" s="296"/>
    </row>
    <row r="80" spans="1:32">
      <c r="A80" s="551">
        <v>224</v>
      </c>
      <c r="B80" s="3556" t="s">
        <v>905</v>
      </c>
      <c r="C80" s="3557"/>
      <c r="D80" s="3557"/>
      <c r="E80" s="3557"/>
      <c r="F80" s="3557"/>
      <c r="G80" s="3557"/>
      <c r="H80" s="3557"/>
      <c r="I80" s="3558"/>
      <c r="J80" s="295"/>
      <c r="K80" s="294"/>
      <c r="L80" s="295"/>
      <c r="M80" s="296"/>
      <c r="N80" s="294"/>
      <c r="O80" s="297"/>
      <c r="P80" s="295"/>
      <c r="Q80" s="298"/>
      <c r="R80" s="299"/>
      <c r="S80" s="298"/>
      <c r="T80" s="298"/>
      <c r="U80" s="298"/>
      <c r="V80" s="298"/>
      <c r="W80" s="298"/>
      <c r="X80" s="298"/>
      <c r="Y80" s="801"/>
      <c r="Z80" s="296"/>
      <c r="AA80" s="296"/>
      <c r="AB80" s="296"/>
      <c r="AC80" s="296"/>
      <c r="AD80" s="296"/>
      <c r="AE80" s="296"/>
      <c r="AF80" s="296"/>
    </row>
    <row r="81" spans="1:32" ht="31.5">
      <c r="A81" s="307">
        <v>2241</v>
      </c>
      <c r="B81" s="291" t="s">
        <v>906</v>
      </c>
      <c r="C81" s="327" t="s">
        <v>907</v>
      </c>
      <c r="D81" s="327"/>
      <c r="E81" s="329">
        <v>20</v>
      </c>
      <c r="F81" s="306">
        <v>43212</v>
      </c>
      <c r="G81" s="293">
        <v>43231</v>
      </c>
      <c r="H81" s="293" t="s">
        <v>368</v>
      </c>
      <c r="I81" s="294" t="s">
        <v>169</v>
      </c>
      <c r="J81" s="294" t="s">
        <v>174</v>
      </c>
      <c r="K81" s="327" t="s">
        <v>847</v>
      </c>
      <c r="L81" s="295">
        <v>23173</v>
      </c>
      <c r="M81" s="296"/>
      <c r="N81" s="294"/>
      <c r="O81" s="297">
        <v>80</v>
      </c>
      <c r="P81" s="295">
        <v>3</v>
      </c>
      <c r="Q81" s="298">
        <f>O81*P81</f>
        <v>240</v>
      </c>
      <c r="R81" s="299"/>
      <c r="S81" s="298"/>
      <c r="T81" s="298"/>
      <c r="U81" s="298">
        <v>240</v>
      </c>
      <c r="W81" s="298"/>
      <c r="X81" s="298"/>
      <c r="Y81" s="801"/>
      <c r="Z81" s="296"/>
      <c r="AA81" s="296"/>
      <c r="AB81" s="296"/>
      <c r="AC81" s="296"/>
      <c r="AD81" s="296"/>
      <c r="AE81" s="296"/>
      <c r="AF81" s="296"/>
    </row>
    <row r="82" spans="1:32" ht="63">
      <c r="A82" s="307">
        <v>2241</v>
      </c>
      <c r="B82" s="291" t="s">
        <v>906</v>
      </c>
      <c r="C82" s="327" t="s">
        <v>908</v>
      </c>
      <c r="D82" s="327"/>
      <c r="E82" s="329">
        <v>115</v>
      </c>
      <c r="F82" s="306">
        <v>43232</v>
      </c>
      <c r="G82" s="293">
        <v>43346</v>
      </c>
      <c r="H82" s="293" t="s">
        <v>368</v>
      </c>
      <c r="I82" s="294" t="s">
        <v>174</v>
      </c>
      <c r="J82" s="294" t="s">
        <v>169</v>
      </c>
      <c r="K82" s="294" t="s">
        <v>365</v>
      </c>
      <c r="L82" s="307">
        <v>2313</v>
      </c>
      <c r="M82" s="296"/>
      <c r="N82" s="294"/>
      <c r="O82" s="297">
        <v>22000</v>
      </c>
      <c r="P82" s="295">
        <v>1</v>
      </c>
      <c r="Q82" s="298">
        <f>O82*P82</f>
        <v>22000</v>
      </c>
      <c r="R82" s="299"/>
      <c r="S82" s="298"/>
      <c r="T82" s="298"/>
      <c r="U82" s="298"/>
      <c r="V82" s="298"/>
      <c r="W82" s="298"/>
      <c r="X82" s="298">
        <f>Q82*50/100</f>
        <v>11000</v>
      </c>
      <c r="Y82" s="801">
        <f>X82</f>
        <v>11000</v>
      </c>
      <c r="Z82" s="296"/>
      <c r="AA82" s="296"/>
      <c r="AB82" s="296"/>
      <c r="AC82" s="296"/>
      <c r="AD82" s="296"/>
      <c r="AE82" s="296"/>
      <c r="AF82" s="296"/>
    </row>
    <row r="83" spans="1:32" ht="37.5" customHeight="1">
      <c r="A83" s="3553" t="s">
        <v>240</v>
      </c>
      <c r="B83" s="3554"/>
      <c r="C83" s="3554"/>
      <c r="D83" s="3554"/>
      <c r="E83" s="3554"/>
      <c r="F83" s="3554"/>
      <c r="G83" s="3554"/>
      <c r="H83" s="3554"/>
      <c r="I83" s="3555"/>
      <c r="J83" s="273"/>
      <c r="K83" s="273"/>
      <c r="L83" s="273"/>
      <c r="M83" s="274"/>
      <c r="N83" s="273"/>
      <c r="O83" s="275"/>
      <c r="P83" s="273"/>
      <c r="Q83" s="276"/>
      <c r="R83" s="277">
        <f>+'[17]Compil Costing PPA 3 millions'!F9</f>
        <v>88428</v>
      </c>
      <c r="S83" s="278"/>
      <c r="T83" s="278"/>
      <c r="U83" s="278"/>
      <c r="V83" s="274"/>
      <c r="W83" s="274"/>
      <c r="X83" s="274"/>
      <c r="Y83" s="274"/>
    </row>
    <row r="84" spans="1:32" ht="16.5" customHeight="1">
      <c r="A84" s="281">
        <v>231</v>
      </c>
      <c r="B84" s="3550"/>
      <c r="C84" s="3551"/>
      <c r="D84" s="3551"/>
      <c r="E84" s="3551"/>
      <c r="F84" s="3551"/>
      <c r="G84" s="3551"/>
      <c r="H84" s="3551"/>
      <c r="I84" s="3552"/>
      <c r="J84" s="282"/>
      <c r="K84" s="283"/>
      <c r="L84" s="282"/>
      <c r="M84" s="284"/>
      <c r="N84" s="283"/>
      <c r="O84" s="285"/>
      <c r="P84" s="282"/>
      <c r="Q84" s="286"/>
      <c r="R84" s="287"/>
      <c r="S84" s="288"/>
      <c r="T84" s="288"/>
      <c r="U84" s="288"/>
      <c r="V84" s="288"/>
      <c r="W84" s="288"/>
      <c r="X84" s="288"/>
      <c r="Y84" s="288"/>
    </row>
    <row r="85" spans="1:32">
      <c r="A85" s="307">
        <v>2311</v>
      </c>
      <c r="B85" s="330"/>
      <c r="C85" s="330"/>
      <c r="D85" s="330"/>
      <c r="E85" s="329"/>
      <c r="F85" s="306"/>
      <c r="G85" s="293"/>
      <c r="H85" s="293"/>
      <c r="I85" s="294"/>
      <c r="J85" s="295"/>
      <c r="K85" s="294"/>
      <c r="L85" s="295"/>
      <c r="M85" s="296"/>
      <c r="N85" s="294"/>
      <c r="O85" s="297"/>
      <c r="P85" s="295"/>
      <c r="Q85" s="298"/>
      <c r="R85" s="299"/>
      <c r="S85" s="298"/>
      <c r="T85" s="298"/>
      <c r="U85" s="298"/>
      <c r="V85" s="298"/>
      <c r="W85" s="298"/>
      <c r="X85" s="298"/>
      <c r="Y85" s="298"/>
    </row>
    <row r="86" spans="1:32">
      <c r="A86" s="307">
        <v>2312</v>
      </c>
      <c r="B86" s="330"/>
      <c r="C86" s="330"/>
      <c r="D86" s="330"/>
      <c r="E86" s="329"/>
      <c r="F86" s="306"/>
      <c r="G86" s="293"/>
      <c r="H86" s="293"/>
      <c r="I86" s="294"/>
      <c r="J86" s="295"/>
      <c r="K86" s="294"/>
      <c r="L86" s="295"/>
      <c r="M86" s="296"/>
      <c r="N86" s="294"/>
      <c r="O86" s="297"/>
      <c r="P86" s="295"/>
      <c r="Q86" s="298"/>
      <c r="R86" s="299"/>
      <c r="S86" s="298"/>
      <c r="T86" s="298"/>
      <c r="U86" s="298"/>
      <c r="V86" s="298"/>
      <c r="W86" s="298"/>
      <c r="X86" s="298"/>
      <c r="Y86" s="298"/>
    </row>
    <row r="87" spans="1:32">
      <c r="A87" s="307">
        <v>2313</v>
      </c>
      <c r="B87" s="330"/>
      <c r="C87" s="330"/>
      <c r="D87" s="330"/>
      <c r="E87" s="329"/>
      <c r="F87" s="306"/>
      <c r="G87" s="293"/>
      <c r="H87" s="293"/>
      <c r="I87" s="294"/>
      <c r="J87" s="295"/>
      <c r="K87" s="294"/>
      <c r="L87" s="295"/>
      <c r="M87" s="296"/>
      <c r="N87" s="294"/>
      <c r="O87" s="297"/>
      <c r="P87" s="295"/>
      <c r="Q87" s="298"/>
      <c r="R87" s="299"/>
      <c r="S87" s="298"/>
      <c r="T87" s="298"/>
      <c r="U87" s="298"/>
      <c r="V87" s="298"/>
      <c r="W87" s="298"/>
      <c r="X87" s="298"/>
      <c r="Y87" s="298"/>
    </row>
    <row r="88" spans="1:32" ht="16.5" customHeight="1">
      <c r="A88" s="281">
        <v>232</v>
      </c>
      <c r="B88" s="3550"/>
      <c r="C88" s="3551"/>
      <c r="D88" s="3551"/>
      <c r="E88" s="3551"/>
      <c r="F88" s="3551"/>
      <c r="G88" s="3551"/>
      <c r="H88" s="3551"/>
      <c r="I88" s="3552"/>
      <c r="J88" s="282"/>
      <c r="K88" s="283"/>
      <c r="L88" s="282"/>
      <c r="M88" s="284"/>
      <c r="N88" s="283"/>
      <c r="O88" s="285"/>
      <c r="P88" s="282"/>
      <c r="Q88" s="286"/>
      <c r="R88" s="287"/>
      <c r="S88" s="288"/>
      <c r="T88" s="288"/>
      <c r="U88" s="288"/>
      <c r="V88" s="288"/>
      <c r="W88" s="288"/>
      <c r="X88" s="288"/>
      <c r="Y88" s="288"/>
    </row>
    <row r="89" spans="1:32">
      <c r="A89" s="307">
        <v>2321</v>
      </c>
      <c r="B89" s="330"/>
      <c r="C89" s="330"/>
      <c r="D89" s="330"/>
      <c r="E89" s="329"/>
      <c r="F89" s="306"/>
      <c r="G89" s="293"/>
      <c r="H89" s="293"/>
      <c r="I89" s="294"/>
      <c r="J89" s="295"/>
      <c r="K89" s="294"/>
      <c r="L89" s="295"/>
      <c r="M89" s="296"/>
      <c r="N89" s="294"/>
      <c r="O89" s="297"/>
      <c r="P89" s="295"/>
      <c r="Q89" s="298"/>
      <c r="R89" s="299"/>
      <c r="S89" s="298"/>
      <c r="T89" s="298"/>
      <c r="U89" s="298"/>
      <c r="V89" s="298"/>
      <c r="W89" s="298"/>
      <c r="X89" s="298"/>
      <c r="Y89" s="298"/>
    </row>
    <row r="90" spans="1:32">
      <c r="A90" s="307">
        <v>2322</v>
      </c>
      <c r="B90" s="330"/>
      <c r="C90" s="330"/>
      <c r="D90" s="330"/>
      <c r="E90" s="329"/>
      <c r="F90" s="306"/>
      <c r="G90" s="293"/>
      <c r="H90" s="293"/>
      <c r="I90" s="294"/>
      <c r="J90" s="295"/>
      <c r="K90" s="294"/>
      <c r="L90" s="295"/>
      <c r="M90" s="296"/>
      <c r="N90" s="294"/>
      <c r="O90" s="297"/>
      <c r="P90" s="295"/>
      <c r="Q90" s="298"/>
      <c r="R90" s="299"/>
      <c r="S90" s="298"/>
      <c r="T90" s="298"/>
      <c r="U90" s="298"/>
      <c r="V90" s="298"/>
      <c r="W90" s="298"/>
      <c r="X90" s="298"/>
      <c r="Y90" s="298"/>
    </row>
    <row r="91" spans="1:32">
      <c r="A91" s="307" t="s">
        <v>233</v>
      </c>
      <c r="B91" s="330"/>
      <c r="C91" s="330"/>
      <c r="D91" s="330"/>
      <c r="E91" s="329"/>
      <c r="F91" s="306"/>
      <c r="G91" s="293"/>
      <c r="H91" s="293"/>
      <c r="I91" s="294"/>
      <c r="J91" s="295"/>
      <c r="K91" s="294"/>
      <c r="L91" s="295"/>
      <c r="M91" s="296"/>
      <c r="N91" s="294"/>
      <c r="O91" s="297"/>
      <c r="P91" s="295"/>
      <c r="Q91" s="298"/>
      <c r="R91" s="299"/>
      <c r="S91" s="298"/>
      <c r="T91" s="298"/>
      <c r="U91" s="298"/>
      <c r="V91" s="298"/>
      <c r="W91" s="298"/>
      <c r="X91" s="298"/>
      <c r="Y91" s="298"/>
    </row>
    <row r="92" spans="1:32" ht="33.75" customHeight="1">
      <c r="A92" s="3547" t="s">
        <v>241</v>
      </c>
      <c r="B92" s="3548"/>
      <c r="C92" s="3548"/>
      <c r="D92" s="3548"/>
      <c r="E92" s="3548"/>
      <c r="F92" s="3548"/>
      <c r="G92" s="3548"/>
      <c r="H92" s="3548"/>
      <c r="I92" s="3549"/>
      <c r="J92" s="835"/>
      <c r="K92" s="835"/>
      <c r="L92" s="835"/>
      <c r="M92" s="836"/>
      <c r="N92" s="835"/>
      <c r="O92" s="837"/>
      <c r="P92" s="835"/>
      <c r="Q92" s="838"/>
      <c r="R92" s="839">
        <f>+R93+R102</f>
        <v>129240.07333333333</v>
      </c>
      <c r="S92" s="840"/>
      <c r="T92" s="840"/>
      <c r="U92" s="840"/>
      <c r="V92" s="840"/>
      <c r="W92" s="840"/>
      <c r="X92" s="840"/>
      <c r="Y92" s="840"/>
    </row>
    <row r="93" spans="1:32" ht="37.5" customHeight="1">
      <c r="A93" s="3553" t="s">
        <v>242</v>
      </c>
      <c r="B93" s="3554"/>
      <c r="C93" s="3554"/>
      <c r="D93" s="3554"/>
      <c r="E93" s="3554"/>
      <c r="F93" s="3554"/>
      <c r="G93" s="3554"/>
      <c r="H93" s="3554"/>
      <c r="I93" s="3555"/>
      <c r="J93" s="273"/>
      <c r="K93" s="273"/>
      <c r="L93" s="273"/>
      <c r="M93" s="274"/>
      <c r="N93" s="273"/>
      <c r="O93" s="275"/>
      <c r="P93" s="273"/>
      <c r="Q93" s="276"/>
      <c r="R93" s="277">
        <f>+'[17]Compil Costing PPA 3 millions'!F11</f>
        <v>29240.073333333334</v>
      </c>
      <c r="S93" s="278"/>
      <c r="T93" s="278"/>
      <c r="U93" s="278"/>
      <c r="V93" s="274"/>
      <c r="W93" s="274"/>
      <c r="X93" s="274"/>
      <c r="Y93" s="274"/>
    </row>
    <row r="94" spans="1:32" ht="16.5" customHeight="1">
      <c r="A94" s="281">
        <v>311</v>
      </c>
      <c r="B94" s="3550"/>
      <c r="C94" s="3551"/>
      <c r="D94" s="3551"/>
      <c r="E94" s="3551"/>
      <c r="F94" s="3551"/>
      <c r="G94" s="3551"/>
      <c r="H94" s="3551"/>
      <c r="I94" s="3552"/>
      <c r="J94" s="282"/>
      <c r="K94" s="283"/>
      <c r="L94" s="282"/>
      <c r="M94" s="284"/>
      <c r="N94" s="283"/>
      <c r="O94" s="285"/>
      <c r="P94" s="282"/>
      <c r="Q94" s="286"/>
      <c r="R94" s="287"/>
      <c r="S94" s="288"/>
      <c r="T94" s="288"/>
      <c r="U94" s="288"/>
      <c r="V94" s="288"/>
      <c r="W94" s="288"/>
      <c r="X94" s="288"/>
      <c r="Y94" s="288"/>
    </row>
    <row r="95" spans="1:32">
      <c r="A95" s="307">
        <v>3111</v>
      </c>
      <c r="B95" s="330"/>
      <c r="C95" s="330"/>
      <c r="D95" s="330"/>
      <c r="E95" s="329"/>
      <c r="F95" s="306"/>
      <c r="G95" s="293"/>
      <c r="H95" s="293"/>
      <c r="I95" s="294"/>
      <c r="J95" s="295"/>
      <c r="K95" s="294"/>
      <c r="L95" s="295"/>
      <c r="M95" s="296"/>
      <c r="N95" s="294"/>
      <c r="O95" s="297"/>
      <c r="P95" s="295"/>
      <c r="Q95" s="298"/>
      <c r="R95" s="299"/>
      <c r="S95" s="298"/>
      <c r="T95" s="298"/>
      <c r="U95" s="298"/>
      <c r="V95" s="298"/>
      <c r="W95" s="298"/>
      <c r="X95" s="298"/>
      <c r="Y95" s="298"/>
    </row>
    <row r="96" spans="1:32">
      <c r="A96" s="307">
        <v>3112</v>
      </c>
      <c r="B96" s="330"/>
      <c r="C96" s="330"/>
      <c r="D96" s="330"/>
      <c r="E96" s="329"/>
      <c r="F96" s="306"/>
      <c r="G96" s="293"/>
      <c r="H96" s="293"/>
      <c r="I96" s="294"/>
      <c r="J96" s="295"/>
      <c r="K96" s="294"/>
      <c r="L96" s="295"/>
      <c r="M96" s="296"/>
      <c r="N96" s="294"/>
      <c r="O96" s="297"/>
      <c r="P96" s="295"/>
      <c r="Q96" s="298"/>
      <c r="R96" s="299"/>
      <c r="S96" s="298"/>
      <c r="T96" s="298"/>
      <c r="U96" s="298"/>
      <c r="V96" s="298"/>
      <c r="W96" s="298"/>
      <c r="X96" s="298"/>
      <c r="Y96" s="298"/>
    </row>
    <row r="97" spans="1:25">
      <c r="A97" s="307">
        <v>3113</v>
      </c>
      <c r="B97" s="330"/>
      <c r="C97" s="330"/>
      <c r="D97" s="330"/>
      <c r="E97" s="329"/>
      <c r="F97" s="306"/>
      <c r="G97" s="293"/>
      <c r="H97" s="293"/>
      <c r="I97" s="294"/>
      <c r="J97" s="295"/>
      <c r="K97" s="294"/>
      <c r="L97" s="295"/>
      <c r="M97" s="296"/>
      <c r="N97" s="294"/>
      <c r="O97" s="297"/>
      <c r="P97" s="295"/>
      <c r="Q97" s="298"/>
      <c r="R97" s="299"/>
      <c r="S97" s="298"/>
      <c r="T97" s="298"/>
      <c r="U97" s="298"/>
      <c r="V97" s="298"/>
      <c r="W97" s="298"/>
      <c r="X97" s="298"/>
      <c r="Y97" s="298"/>
    </row>
    <row r="98" spans="1:25" ht="16.5" customHeight="1">
      <c r="A98" s="281">
        <v>312</v>
      </c>
      <c r="B98" s="3550"/>
      <c r="C98" s="3551"/>
      <c r="D98" s="3551"/>
      <c r="E98" s="3551"/>
      <c r="F98" s="3551"/>
      <c r="G98" s="3551"/>
      <c r="H98" s="3551"/>
      <c r="I98" s="3552"/>
      <c r="J98" s="282"/>
      <c r="K98" s="283"/>
      <c r="L98" s="282"/>
      <c r="M98" s="284"/>
      <c r="N98" s="283"/>
      <c r="O98" s="285"/>
      <c r="P98" s="282"/>
      <c r="Q98" s="286"/>
      <c r="R98" s="287"/>
      <c r="S98" s="288"/>
      <c r="T98" s="288"/>
      <c r="U98" s="288"/>
      <c r="V98" s="288"/>
      <c r="W98" s="288"/>
      <c r="X98" s="288"/>
      <c r="Y98" s="288"/>
    </row>
    <row r="99" spans="1:25">
      <c r="A99" s="307">
        <v>3121</v>
      </c>
      <c r="B99" s="330"/>
      <c r="C99" s="330"/>
      <c r="D99" s="330"/>
      <c r="E99" s="329"/>
      <c r="F99" s="306"/>
      <c r="G99" s="293"/>
      <c r="H99" s="293"/>
      <c r="I99" s="294"/>
      <c r="J99" s="295"/>
      <c r="K99" s="294"/>
      <c r="L99" s="295"/>
      <c r="M99" s="296"/>
      <c r="N99" s="294"/>
      <c r="O99" s="297"/>
      <c r="P99" s="295"/>
      <c r="Q99" s="298"/>
      <c r="R99" s="299"/>
      <c r="S99" s="298"/>
      <c r="T99" s="298"/>
      <c r="U99" s="298"/>
      <c r="V99" s="298"/>
      <c r="W99" s="298"/>
      <c r="X99" s="298"/>
      <c r="Y99" s="298"/>
    </row>
    <row r="100" spans="1:25">
      <c r="A100" s="307">
        <v>3122</v>
      </c>
      <c r="B100" s="330"/>
      <c r="C100" s="330"/>
      <c r="D100" s="330"/>
      <c r="E100" s="329"/>
      <c r="F100" s="306"/>
      <c r="G100" s="293"/>
      <c r="H100" s="293"/>
      <c r="I100" s="294"/>
      <c r="J100" s="295"/>
      <c r="K100" s="294"/>
      <c r="L100" s="295"/>
      <c r="M100" s="296"/>
      <c r="N100" s="294"/>
      <c r="O100" s="297"/>
      <c r="P100" s="295"/>
      <c r="Q100" s="298"/>
      <c r="R100" s="299"/>
      <c r="S100" s="298"/>
      <c r="T100" s="298"/>
      <c r="U100" s="298"/>
      <c r="V100" s="298"/>
      <c r="W100" s="298"/>
      <c r="X100" s="298"/>
      <c r="Y100" s="298"/>
    </row>
    <row r="101" spans="1:25">
      <c r="A101" s="307" t="s">
        <v>233</v>
      </c>
      <c r="B101" s="326"/>
      <c r="C101" s="291"/>
      <c r="D101" s="291"/>
      <c r="E101" s="292"/>
      <c r="F101" s="306"/>
      <c r="G101" s="293"/>
      <c r="H101" s="293"/>
      <c r="I101" s="294"/>
      <c r="J101" s="295"/>
      <c r="K101" s="294"/>
      <c r="L101" s="295"/>
      <c r="M101" s="296"/>
      <c r="N101" s="294"/>
      <c r="O101" s="297"/>
      <c r="P101" s="295"/>
      <c r="Q101" s="298"/>
      <c r="R101" s="299"/>
      <c r="S101" s="298"/>
      <c r="T101" s="298"/>
      <c r="U101" s="298"/>
      <c r="V101" s="298"/>
      <c r="W101" s="298"/>
      <c r="X101" s="298"/>
      <c r="Y101" s="298"/>
    </row>
    <row r="102" spans="1:25" ht="15.75" customHeight="1">
      <c r="A102" s="3553" t="s">
        <v>274</v>
      </c>
      <c r="B102" s="3554"/>
      <c r="C102" s="3554"/>
      <c r="D102" s="3554"/>
      <c r="E102" s="3554"/>
      <c r="F102" s="3554"/>
      <c r="G102" s="3554"/>
      <c r="H102" s="3554"/>
      <c r="I102" s="3555"/>
      <c r="J102" s="273"/>
      <c r="K102" s="273"/>
      <c r="L102" s="273"/>
      <c r="M102" s="274"/>
      <c r="N102" s="273"/>
      <c r="O102" s="275"/>
      <c r="P102" s="273"/>
      <c r="Q102" s="276"/>
      <c r="R102" s="277">
        <f>+'[17]Compil Costing PPA 3 millions'!F12</f>
        <v>100000</v>
      </c>
      <c r="S102" s="278"/>
      <c r="T102" s="278"/>
      <c r="U102" s="278"/>
      <c r="V102" s="274"/>
      <c r="W102" s="274"/>
      <c r="X102" s="274"/>
      <c r="Y102" s="274"/>
    </row>
    <row r="103" spans="1:25" ht="16.5" customHeight="1">
      <c r="A103" s="281">
        <v>321</v>
      </c>
      <c r="B103" s="3550"/>
      <c r="C103" s="3551"/>
      <c r="D103" s="3551"/>
      <c r="E103" s="3551"/>
      <c r="F103" s="3551"/>
      <c r="G103" s="3551"/>
      <c r="H103" s="3551"/>
      <c r="I103" s="3552"/>
      <c r="J103" s="282"/>
      <c r="K103" s="283"/>
      <c r="L103" s="282"/>
      <c r="M103" s="284"/>
      <c r="N103" s="283"/>
      <c r="O103" s="285"/>
      <c r="P103" s="282"/>
      <c r="Q103" s="286"/>
      <c r="R103" s="287"/>
      <c r="S103" s="288"/>
      <c r="T103" s="288"/>
      <c r="U103" s="288"/>
      <c r="V103" s="288"/>
      <c r="W103" s="288"/>
      <c r="X103" s="288"/>
      <c r="Y103" s="288"/>
    </row>
    <row r="104" spans="1:25" ht="15.75" customHeight="1">
      <c r="A104" s="307">
        <v>3211</v>
      </c>
      <c r="B104" s="330"/>
      <c r="C104" s="330"/>
      <c r="D104" s="330"/>
      <c r="E104" s="329"/>
      <c r="F104" s="331"/>
      <c r="G104" s="331"/>
      <c r="H104" s="331"/>
      <c r="I104" s="294"/>
      <c r="J104" s="295"/>
      <c r="K104" s="294"/>
      <c r="L104" s="295"/>
      <c r="M104" s="296"/>
      <c r="N104" s="294"/>
      <c r="O104" s="297"/>
      <c r="P104" s="295"/>
      <c r="Q104" s="298"/>
      <c r="R104" s="299"/>
      <c r="S104" s="298"/>
      <c r="T104" s="298"/>
      <c r="U104" s="298"/>
      <c r="V104" s="298"/>
      <c r="W104" s="298"/>
      <c r="X104" s="298"/>
      <c r="Y104" s="298"/>
    </row>
    <row r="105" spans="1:25" ht="15.75" customHeight="1">
      <c r="A105" s="307">
        <v>3212</v>
      </c>
      <c r="B105" s="330"/>
      <c r="C105" s="330"/>
      <c r="D105" s="330"/>
      <c r="E105" s="329"/>
      <c r="F105" s="331"/>
      <c r="G105" s="331"/>
      <c r="H105" s="331"/>
      <c r="I105" s="294"/>
      <c r="J105" s="295"/>
      <c r="K105" s="294"/>
      <c r="L105" s="295"/>
      <c r="M105" s="296"/>
      <c r="N105" s="294"/>
      <c r="O105" s="297"/>
      <c r="P105" s="295"/>
      <c r="Q105" s="298"/>
      <c r="R105" s="299"/>
      <c r="S105" s="298"/>
      <c r="T105" s="298"/>
      <c r="U105" s="298"/>
      <c r="V105" s="298"/>
      <c r="W105" s="298"/>
      <c r="X105" s="298"/>
      <c r="Y105" s="298"/>
    </row>
    <row r="106" spans="1:25" ht="15.75" customHeight="1">
      <c r="A106" s="307">
        <v>3213</v>
      </c>
      <c r="B106" s="330"/>
      <c r="C106" s="330"/>
      <c r="D106" s="330"/>
      <c r="E106" s="329"/>
      <c r="F106" s="331"/>
      <c r="G106" s="331"/>
      <c r="H106" s="331"/>
      <c r="I106" s="294"/>
      <c r="J106" s="295"/>
      <c r="K106" s="294"/>
      <c r="L106" s="295"/>
      <c r="M106" s="296"/>
      <c r="N106" s="294"/>
      <c r="O106" s="297"/>
      <c r="P106" s="295"/>
      <c r="Q106" s="298"/>
      <c r="R106" s="299"/>
      <c r="S106" s="298"/>
      <c r="T106" s="298"/>
      <c r="U106" s="298"/>
      <c r="V106" s="298"/>
      <c r="W106" s="298"/>
      <c r="X106" s="298"/>
      <c r="Y106" s="298"/>
    </row>
    <row r="107" spans="1:25" ht="16.5" customHeight="1">
      <c r="A107" s="281">
        <v>322</v>
      </c>
      <c r="B107" s="3550"/>
      <c r="C107" s="3551"/>
      <c r="D107" s="3551"/>
      <c r="E107" s="3551"/>
      <c r="F107" s="3551"/>
      <c r="G107" s="3551"/>
      <c r="H107" s="3551"/>
      <c r="I107" s="3552"/>
      <c r="J107" s="282"/>
      <c r="K107" s="283"/>
      <c r="L107" s="282"/>
      <c r="M107" s="284"/>
      <c r="N107" s="283"/>
      <c r="O107" s="285"/>
      <c r="P107" s="282"/>
      <c r="Q107" s="286"/>
      <c r="R107" s="287"/>
      <c r="S107" s="288"/>
      <c r="T107" s="288"/>
      <c r="U107" s="288"/>
      <c r="V107" s="288"/>
      <c r="W107" s="288"/>
      <c r="X107" s="288"/>
      <c r="Y107" s="288"/>
    </row>
    <row r="108" spans="1:25">
      <c r="A108" s="307">
        <v>3221</v>
      </c>
      <c r="B108" s="330"/>
      <c r="C108" s="330"/>
      <c r="D108" s="330"/>
      <c r="E108" s="329"/>
      <c r="F108" s="306"/>
      <c r="G108" s="293"/>
      <c r="H108" s="293"/>
      <c r="I108" s="294"/>
      <c r="J108" s="295"/>
      <c r="K108" s="294"/>
      <c r="L108" s="295"/>
      <c r="M108" s="296"/>
      <c r="N108" s="294"/>
      <c r="O108" s="297"/>
      <c r="P108" s="295"/>
      <c r="Q108" s="298"/>
      <c r="R108" s="299"/>
      <c r="S108" s="298"/>
      <c r="T108" s="298"/>
      <c r="U108" s="298"/>
      <c r="V108" s="298"/>
      <c r="W108" s="298"/>
      <c r="X108" s="298"/>
      <c r="Y108" s="298"/>
    </row>
    <row r="109" spans="1:25">
      <c r="A109" s="307">
        <v>3222</v>
      </c>
      <c r="B109" s="330"/>
      <c r="C109" s="330"/>
      <c r="D109" s="330"/>
      <c r="E109" s="329"/>
      <c r="F109" s="306"/>
      <c r="G109" s="293"/>
      <c r="H109" s="293"/>
      <c r="I109" s="294"/>
      <c r="J109" s="295"/>
      <c r="K109" s="294"/>
      <c r="L109" s="295"/>
      <c r="M109" s="296"/>
      <c r="N109" s="294"/>
      <c r="O109" s="297"/>
      <c r="P109" s="295"/>
      <c r="Q109" s="298"/>
      <c r="R109" s="299"/>
      <c r="S109" s="298"/>
      <c r="T109" s="298"/>
      <c r="U109" s="298"/>
      <c r="V109" s="298"/>
      <c r="W109" s="298"/>
      <c r="X109" s="298"/>
      <c r="Y109" s="298"/>
    </row>
    <row r="110" spans="1:25" ht="15.75" customHeight="1">
      <c r="A110" s="307" t="s">
        <v>233</v>
      </c>
      <c r="B110" s="330"/>
      <c r="C110" s="330"/>
      <c r="D110" s="330"/>
      <c r="E110" s="329"/>
      <c r="F110" s="331"/>
      <c r="G110" s="331"/>
      <c r="H110" s="331"/>
      <c r="I110" s="294"/>
      <c r="J110" s="295"/>
      <c r="K110" s="294"/>
      <c r="L110" s="295"/>
      <c r="M110" s="296"/>
      <c r="N110" s="294"/>
      <c r="O110" s="297"/>
      <c r="P110" s="295"/>
      <c r="Q110" s="298"/>
      <c r="R110" s="299"/>
      <c r="S110" s="298"/>
      <c r="T110" s="298"/>
      <c r="U110" s="298"/>
      <c r="V110" s="298"/>
      <c r="W110" s="298"/>
      <c r="X110" s="298"/>
      <c r="Y110" s="298"/>
    </row>
    <row r="111" spans="1:25" ht="33.75" customHeight="1">
      <c r="A111" s="3547" t="s">
        <v>275</v>
      </c>
      <c r="B111" s="3548"/>
      <c r="C111" s="3548"/>
      <c r="D111" s="3548"/>
      <c r="E111" s="3548"/>
      <c r="F111" s="3548"/>
      <c r="G111" s="3548"/>
      <c r="H111" s="3548"/>
      <c r="I111" s="3549"/>
      <c r="J111" s="835"/>
      <c r="K111" s="835"/>
      <c r="L111" s="835"/>
      <c r="M111" s="836"/>
      <c r="N111" s="835"/>
      <c r="O111" s="837"/>
      <c r="P111" s="835"/>
      <c r="Q111" s="838"/>
      <c r="R111" s="839">
        <f>+R112+R121+R130</f>
        <v>1602730.3695833336</v>
      </c>
      <c r="S111" s="840"/>
      <c r="T111" s="840"/>
      <c r="U111" s="840"/>
      <c r="V111" s="840"/>
      <c r="W111" s="840"/>
      <c r="X111" s="840"/>
      <c r="Y111" s="840"/>
    </row>
    <row r="112" spans="1:25" ht="15.75" customHeight="1">
      <c r="A112" s="3553" t="s">
        <v>276</v>
      </c>
      <c r="B112" s="3554"/>
      <c r="C112" s="3554"/>
      <c r="D112" s="3554"/>
      <c r="E112" s="3554"/>
      <c r="F112" s="3554"/>
      <c r="G112" s="3554"/>
      <c r="H112" s="3554"/>
      <c r="I112" s="3555"/>
      <c r="J112" s="273"/>
      <c r="K112" s="273"/>
      <c r="L112" s="273"/>
      <c r="M112" s="274"/>
      <c r="N112" s="273"/>
      <c r="O112" s="275"/>
      <c r="P112" s="273"/>
      <c r="Q112" s="276"/>
      <c r="R112" s="277">
        <f>+'[17]Compil Costing PPA 3 millions'!F15</f>
        <v>356290.70624999999</v>
      </c>
      <c r="S112" s="278"/>
      <c r="T112" s="278"/>
      <c r="U112" s="278"/>
      <c r="V112" s="274"/>
      <c r="W112" s="274"/>
      <c r="X112" s="274"/>
      <c r="Y112" s="274"/>
    </row>
    <row r="113" spans="1:25" ht="16.5" customHeight="1">
      <c r="A113" s="281">
        <v>411</v>
      </c>
      <c r="B113" s="3550"/>
      <c r="C113" s="3551"/>
      <c r="D113" s="3551"/>
      <c r="E113" s="3551"/>
      <c r="F113" s="3551"/>
      <c r="G113" s="3551"/>
      <c r="H113" s="3551"/>
      <c r="I113" s="3552"/>
      <c r="J113" s="282"/>
      <c r="K113" s="283"/>
      <c r="L113" s="282"/>
      <c r="M113" s="284"/>
      <c r="N113" s="283"/>
      <c r="O113" s="285"/>
      <c r="P113" s="282"/>
      <c r="Q113" s="286"/>
      <c r="R113" s="287"/>
      <c r="S113" s="288"/>
      <c r="T113" s="288"/>
      <c r="U113" s="288"/>
      <c r="V113" s="288"/>
      <c r="W113" s="288"/>
      <c r="X113" s="288"/>
      <c r="Y113" s="288"/>
    </row>
    <row r="114" spans="1:25">
      <c r="A114" s="307">
        <v>4111</v>
      </c>
      <c r="B114" s="330"/>
      <c r="C114" s="330"/>
      <c r="D114" s="330"/>
      <c r="E114" s="329"/>
      <c r="F114" s="306"/>
      <c r="G114" s="293"/>
      <c r="H114" s="293"/>
      <c r="I114" s="294"/>
      <c r="J114" s="295"/>
      <c r="K114" s="294"/>
      <c r="L114" s="295"/>
      <c r="M114" s="296"/>
      <c r="N114" s="294"/>
      <c r="O114" s="297"/>
      <c r="P114" s="295"/>
      <c r="Q114" s="298"/>
      <c r="R114" s="299"/>
      <c r="S114" s="298"/>
      <c r="T114" s="298"/>
      <c r="U114" s="298"/>
      <c r="V114" s="298"/>
      <c r="W114" s="298"/>
      <c r="X114" s="298"/>
      <c r="Y114" s="298"/>
    </row>
    <row r="115" spans="1:25">
      <c r="A115" s="307">
        <v>4112</v>
      </c>
      <c r="B115" s="330"/>
      <c r="C115" s="330"/>
      <c r="D115" s="330"/>
      <c r="E115" s="329"/>
      <c r="F115" s="306"/>
      <c r="G115" s="293"/>
      <c r="H115" s="293"/>
      <c r="I115" s="294"/>
      <c r="J115" s="295"/>
      <c r="K115" s="294"/>
      <c r="L115" s="295"/>
      <c r="M115" s="296"/>
      <c r="N115" s="294"/>
      <c r="O115" s="297"/>
      <c r="P115" s="295"/>
      <c r="Q115" s="298"/>
      <c r="R115" s="299"/>
      <c r="S115" s="298"/>
      <c r="T115" s="298"/>
      <c r="U115" s="298"/>
      <c r="V115" s="298"/>
      <c r="W115" s="298"/>
      <c r="X115" s="298"/>
      <c r="Y115" s="298"/>
    </row>
    <row r="116" spans="1:25">
      <c r="A116" s="307">
        <v>4113</v>
      </c>
      <c r="B116" s="330"/>
      <c r="C116" s="330"/>
      <c r="D116" s="330"/>
      <c r="E116" s="329"/>
      <c r="F116" s="306"/>
      <c r="G116" s="293"/>
      <c r="H116" s="293"/>
      <c r="I116" s="294"/>
      <c r="J116" s="295"/>
      <c r="K116" s="294"/>
      <c r="L116" s="295"/>
      <c r="M116" s="296"/>
      <c r="N116" s="294"/>
      <c r="O116" s="297"/>
      <c r="P116" s="295"/>
      <c r="Q116" s="298"/>
      <c r="R116" s="299"/>
      <c r="S116" s="298"/>
      <c r="T116" s="298"/>
      <c r="U116" s="298"/>
      <c r="V116" s="298"/>
      <c r="W116" s="298"/>
      <c r="X116" s="298"/>
      <c r="Y116" s="298"/>
    </row>
    <row r="117" spans="1:25" ht="16.5" customHeight="1">
      <c r="A117" s="281">
        <v>412</v>
      </c>
      <c r="B117" s="3550"/>
      <c r="C117" s="3551"/>
      <c r="D117" s="3551"/>
      <c r="E117" s="3551"/>
      <c r="F117" s="3551"/>
      <c r="G117" s="3551"/>
      <c r="H117" s="3551"/>
      <c r="I117" s="3552"/>
      <c r="J117" s="282"/>
      <c r="K117" s="283"/>
      <c r="L117" s="282"/>
      <c r="M117" s="284"/>
      <c r="N117" s="283"/>
      <c r="O117" s="285"/>
      <c r="P117" s="282"/>
      <c r="Q117" s="286"/>
      <c r="R117" s="287"/>
      <c r="S117" s="288"/>
      <c r="T117" s="288"/>
      <c r="U117" s="288"/>
      <c r="V117" s="288"/>
      <c r="W117" s="288"/>
      <c r="X117" s="288"/>
      <c r="Y117" s="288"/>
    </row>
    <row r="118" spans="1:25">
      <c r="A118" s="307">
        <v>4121</v>
      </c>
      <c r="B118" s="330"/>
      <c r="C118" s="330"/>
      <c r="D118" s="330"/>
      <c r="E118" s="329"/>
      <c r="F118" s="306"/>
      <c r="G118" s="293"/>
      <c r="H118" s="293"/>
      <c r="I118" s="294"/>
      <c r="J118" s="295"/>
      <c r="K118" s="294"/>
      <c r="L118" s="295"/>
      <c r="M118" s="296"/>
      <c r="N118" s="294"/>
      <c r="O118" s="297"/>
      <c r="P118" s="295"/>
      <c r="Q118" s="298"/>
      <c r="R118" s="299"/>
      <c r="S118" s="298"/>
      <c r="T118" s="298"/>
      <c r="U118" s="298"/>
      <c r="V118" s="298"/>
      <c r="W118" s="298"/>
      <c r="X118" s="298"/>
      <c r="Y118" s="298"/>
    </row>
    <row r="119" spans="1:25">
      <c r="A119" s="307">
        <v>4122</v>
      </c>
      <c r="B119" s="330"/>
      <c r="C119" s="330"/>
      <c r="D119" s="330"/>
      <c r="E119" s="329"/>
      <c r="F119" s="306"/>
      <c r="G119" s="293"/>
      <c r="H119" s="293"/>
      <c r="I119" s="294"/>
      <c r="J119" s="295"/>
      <c r="K119" s="294"/>
      <c r="L119" s="295"/>
      <c r="M119" s="296"/>
      <c r="N119" s="294"/>
      <c r="O119" s="297"/>
      <c r="P119" s="295"/>
      <c r="Q119" s="298"/>
      <c r="R119" s="299"/>
      <c r="S119" s="298"/>
      <c r="T119" s="298"/>
      <c r="U119" s="298"/>
      <c r="V119" s="298"/>
      <c r="W119" s="298"/>
      <c r="X119" s="298"/>
      <c r="Y119" s="298"/>
    </row>
    <row r="120" spans="1:25" ht="15.75" customHeight="1">
      <c r="A120" s="307" t="s">
        <v>233</v>
      </c>
      <c r="B120" s="330"/>
      <c r="C120" s="330"/>
      <c r="D120" s="330"/>
      <c r="E120" s="329"/>
      <c r="F120" s="331"/>
      <c r="G120" s="331"/>
      <c r="H120" s="331"/>
      <c r="I120" s="294"/>
      <c r="J120" s="295"/>
      <c r="K120" s="294"/>
      <c r="L120" s="295"/>
      <c r="M120" s="296"/>
      <c r="N120" s="294"/>
      <c r="O120" s="297"/>
      <c r="P120" s="295"/>
      <c r="Q120" s="298"/>
      <c r="R120" s="299"/>
      <c r="S120" s="298"/>
      <c r="T120" s="298"/>
      <c r="U120" s="298"/>
      <c r="V120" s="298"/>
      <c r="W120" s="298"/>
      <c r="X120" s="298"/>
      <c r="Y120" s="298"/>
    </row>
    <row r="121" spans="1:25" ht="15.75" customHeight="1">
      <c r="A121" s="3553" t="s">
        <v>277</v>
      </c>
      <c r="B121" s="3554"/>
      <c r="C121" s="3554"/>
      <c r="D121" s="3554"/>
      <c r="E121" s="3554"/>
      <c r="F121" s="3554"/>
      <c r="G121" s="3554"/>
      <c r="H121" s="3554"/>
      <c r="I121" s="3555"/>
      <c r="J121" s="273"/>
      <c r="K121" s="273"/>
      <c r="L121" s="273"/>
      <c r="M121" s="274"/>
      <c r="N121" s="273"/>
      <c r="O121" s="275"/>
      <c r="P121" s="273"/>
      <c r="Q121" s="276"/>
      <c r="R121" s="277">
        <f>+'[17]Compil Costing PPA 3 millions'!F16+'[17]Compil Costing PPA 3 millions'!F18+'[17]Compil Costing PPA 3 millions'!F19</f>
        <v>1137594.3333333335</v>
      </c>
      <c r="S121" s="278"/>
      <c r="T121" s="278"/>
      <c r="U121" s="278"/>
      <c r="V121" s="274"/>
      <c r="W121" s="274"/>
      <c r="X121" s="274"/>
      <c r="Y121" s="274"/>
    </row>
    <row r="122" spans="1:25" ht="16.5" customHeight="1">
      <c r="A122" s="281">
        <v>421</v>
      </c>
      <c r="B122" s="3550"/>
      <c r="C122" s="3551"/>
      <c r="D122" s="3551"/>
      <c r="E122" s="3551"/>
      <c r="F122" s="3551"/>
      <c r="G122" s="3551"/>
      <c r="H122" s="3551"/>
      <c r="I122" s="3552"/>
      <c r="J122" s="282"/>
      <c r="K122" s="283"/>
      <c r="L122" s="282"/>
      <c r="M122" s="284"/>
      <c r="N122" s="283"/>
      <c r="O122" s="285"/>
      <c r="P122" s="282"/>
      <c r="Q122" s="286"/>
      <c r="R122" s="287"/>
      <c r="S122" s="288"/>
      <c r="T122" s="288"/>
      <c r="U122" s="288"/>
      <c r="V122" s="288"/>
      <c r="W122" s="288"/>
      <c r="X122" s="288"/>
      <c r="Y122" s="288"/>
    </row>
    <row r="123" spans="1:25">
      <c r="A123" s="307">
        <v>4211</v>
      </c>
      <c r="B123" s="291"/>
      <c r="C123" s="291"/>
      <c r="D123" s="291"/>
      <c r="E123" s="292"/>
      <c r="F123" s="306"/>
      <c r="G123" s="293"/>
      <c r="H123" s="293"/>
      <c r="I123" s="294"/>
      <c r="J123" s="295"/>
      <c r="K123" s="294"/>
      <c r="L123" s="295"/>
      <c r="M123" s="296"/>
      <c r="N123" s="294"/>
      <c r="O123" s="297"/>
      <c r="P123" s="295"/>
      <c r="Q123" s="298"/>
      <c r="R123" s="299"/>
      <c r="S123" s="298"/>
      <c r="T123" s="298"/>
      <c r="U123" s="298"/>
      <c r="V123" s="298"/>
      <c r="W123" s="298"/>
      <c r="X123" s="298"/>
      <c r="Y123" s="298"/>
    </row>
    <row r="124" spans="1:25">
      <c r="A124" s="307">
        <v>4212</v>
      </c>
      <c r="B124" s="291"/>
      <c r="C124" s="291"/>
      <c r="D124" s="291"/>
      <c r="E124" s="292"/>
      <c r="F124" s="306"/>
      <c r="G124" s="293"/>
      <c r="H124" s="293"/>
      <c r="I124" s="294"/>
      <c r="J124" s="295"/>
      <c r="K124" s="294"/>
      <c r="L124" s="295"/>
      <c r="M124" s="296"/>
      <c r="N124" s="294"/>
      <c r="O124" s="297"/>
      <c r="P124" s="295"/>
      <c r="Q124" s="298"/>
      <c r="R124" s="299"/>
      <c r="S124" s="298"/>
      <c r="T124" s="298"/>
      <c r="U124" s="298"/>
      <c r="V124" s="298"/>
      <c r="W124" s="298"/>
      <c r="X124" s="298"/>
      <c r="Y124" s="298"/>
    </row>
    <row r="125" spans="1:25">
      <c r="A125" s="307">
        <v>4213</v>
      </c>
      <c r="B125" s="291"/>
      <c r="C125" s="291"/>
      <c r="D125" s="291"/>
      <c r="E125" s="292"/>
      <c r="F125" s="306"/>
      <c r="G125" s="293"/>
      <c r="H125" s="293"/>
      <c r="I125" s="294"/>
      <c r="J125" s="295"/>
      <c r="K125" s="294"/>
      <c r="L125" s="295"/>
      <c r="M125" s="296"/>
      <c r="N125" s="294"/>
      <c r="O125" s="297"/>
      <c r="P125" s="295"/>
      <c r="Q125" s="298"/>
      <c r="R125" s="299"/>
      <c r="S125" s="298"/>
      <c r="T125" s="298"/>
      <c r="U125" s="298"/>
      <c r="V125" s="298"/>
      <c r="W125" s="298"/>
      <c r="X125" s="298"/>
      <c r="Y125" s="298"/>
    </row>
    <row r="126" spans="1:25" ht="16.5" customHeight="1">
      <c r="A126" s="281">
        <v>422</v>
      </c>
      <c r="B126" s="3550"/>
      <c r="C126" s="3551"/>
      <c r="D126" s="3551"/>
      <c r="E126" s="3551"/>
      <c r="F126" s="3551"/>
      <c r="G126" s="3551"/>
      <c r="H126" s="3551"/>
      <c r="I126" s="3552"/>
      <c r="J126" s="282"/>
      <c r="K126" s="283"/>
      <c r="L126" s="282"/>
      <c r="M126" s="284"/>
      <c r="N126" s="283"/>
      <c r="O126" s="285"/>
      <c r="P126" s="282"/>
      <c r="Q126" s="286"/>
      <c r="R126" s="287"/>
      <c r="S126" s="288"/>
      <c r="T126" s="288"/>
      <c r="U126" s="288"/>
      <c r="V126" s="288"/>
      <c r="W126" s="288"/>
      <c r="X126" s="288"/>
      <c r="Y126" s="288"/>
    </row>
    <row r="127" spans="1:25">
      <c r="A127" s="307">
        <v>4221</v>
      </c>
      <c r="B127" s="291"/>
      <c r="C127" s="291"/>
      <c r="D127" s="291"/>
      <c r="E127" s="292"/>
      <c r="F127" s="306"/>
      <c r="G127" s="293"/>
      <c r="H127" s="293"/>
      <c r="I127" s="294"/>
      <c r="J127" s="295"/>
      <c r="K127" s="294"/>
      <c r="L127" s="295"/>
      <c r="M127" s="296"/>
      <c r="N127" s="294"/>
      <c r="O127" s="297"/>
      <c r="P127" s="295"/>
      <c r="Q127" s="298"/>
      <c r="R127" s="299"/>
      <c r="S127" s="298"/>
      <c r="T127" s="298"/>
      <c r="U127" s="298"/>
      <c r="V127" s="298"/>
      <c r="W127" s="298"/>
      <c r="X127" s="298"/>
      <c r="Y127" s="298"/>
    </row>
    <row r="128" spans="1:25">
      <c r="A128" s="307">
        <v>4222</v>
      </c>
      <c r="B128" s="291"/>
      <c r="C128" s="291"/>
      <c r="D128" s="291"/>
      <c r="E128" s="292"/>
      <c r="F128" s="306"/>
      <c r="G128" s="293"/>
      <c r="H128" s="293"/>
      <c r="I128" s="294"/>
      <c r="J128" s="295"/>
      <c r="K128" s="294"/>
      <c r="L128" s="295"/>
      <c r="M128" s="296"/>
      <c r="N128" s="294"/>
      <c r="O128" s="297"/>
      <c r="P128" s="295"/>
      <c r="Q128" s="298"/>
      <c r="R128" s="299"/>
      <c r="S128" s="298"/>
      <c r="T128" s="298"/>
      <c r="U128" s="298"/>
      <c r="V128" s="298"/>
      <c r="W128" s="298"/>
      <c r="X128" s="298"/>
      <c r="Y128" s="298"/>
    </row>
    <row r="129" spans="1:25">
      <c r="A129" s="307" t="s">
        <v>233</v>
      </c>
      <c r="B129" s="291"/>
      <c r="C129" s="291"/>
      <c r="D129" s="291"/>
      <c r="E129" s="292"/>
      <c r="F129" s="306"/>
      <c r="G129" s="293"/>
      <c r="H129" s="293"/>
      <c r="I129" s="294"/>
      <c r="J129" s="295"/>
      <c r="K129" s="294"/>
      <c r="L129" s="295"/>
      <c r="M129" s="296"/>
      <c r="N129" s="294"/>
      <c r="O129" s="297"/>
      <c r="P129" s="295"/>
      <c r="Q129" s="298"/>
      <c r="R129" s="299"/>
      <c r="S129" s="298"/>
      <c r="T129" s="298"/>
      <c r="U129" s="298"/>
      <c r="V129" s="298"/>
      <c r="W129" s="298"/>
      <c r="X129" s="298"/>
      <c r="Y129" s="298"/>
    </row>
    <row r="130" spans="1:25" ht="15.75" customHeight="1">
      <c r="A130" s="3553" t="s">
        <v>278</v>
      </c>
      <c r="B130" s="3554"/>
      <c r="C130" s="3554"/>
      <c r="D130" s="3554"/>
      <c r="E130" s="3554"/>
      <c r="F130" s="3554"/>
      <c r="G130" s="3554"/>
      <c r="H130" s="3554"/>
      <c r="I130" s="3555"/>
      <c r="J130" s="273"/>
      <c r="K130" s="273"/>
      <c r="L130" s="273"/>
      <c r="M130" s="274"/>
      <c r="N130" s="273"/>
      <c r="O130" s="275"/>
      <c r="P130" s="273"/>
      <c r="Q130" s="276"/>
      <c r="R130" s="277">
        <f>+'[17]Compil Costing PPA 3 millions'!F17</f>
        <v>108845.33</v>
      </c>
      <c r="S130" s="278"/>
      <c r="T130" s="278"/>
      <c r="U130" s="278"/>
      <c r="V130" s="274"/>
      <c r="W130" s="274"/>
      <c r="X130" s="274"/>
      <c r="Y130" s="274"/>
    </row>
    <row r="131" spans="1:25" ht="16.5" customHeight="1">
      <c r="A131" s="281">
        <v>431</v>
      </c>
      <c r="B131" s="3550"/>
      <c r="C131" s="3551"/>
      <c r="D131" s="3551"/>
      <c r="E131" s="3551"/>
      <c r="F131" s="3551"/>
      <c r="G131" s="3551"/>
      <c r="H131" s="3551"/>
      <c r="I131" s="3552"/>
      <c r="J131" s="282"/>
      <c r="K131" s="283"/>
      <c r="L131" s="282"/>
      <c r="M131" s="284"/>
      <c r="N131" s="283"/>
      <c r="O131" s="285"/>
      <c r="P131" s="282"/>
      <c r="Q131" s="286"/>
      <c r="R131" s="287"/>
      <c r="S131" s="288"/>
      <c r="T131" s="288"/>
      <c r="U131" s="288"/>
      <c r="V131" s="288"/>
      <c r="W131" s="288"/>
      <c r="X131" s="288"/>
      <c r="Y131" s="288"/>
    </row>
    <row r="132" spans="1:25">
      <c r="A132" s="307">
        <v>4311</v>
      </c>
      <c r="B132" s="291"/>
      <c r="C132" s="291"/>
      <c r="D132" s="291"/>
      <c r="E132" s="292"/>
      <c r="F132" s="306"/>
      <c r="G132" s="293"/>
      <c r="H132" s="293"/>
      <c r="I132" s="294"/>
      <c r="J132" s="295"/>
      <c r="K132" s="294"/>
      <c r="L132" s="295"/>
      <c r="M132" s="296"/>
      <c r="N132" s="294"/>
      <c r="O132" s="297"/>
      <c r="P132" s="295"/>
      <c r="Q132" s="298"/>
      <c r="R132" s="299"/>
      <c r="S132" s="298"/>
      <c r="T132" s="298"/>
      <c r="U132" s="298"/>
      <c r="V132" s="298"/>
      <c r="W132" s="298"/>
      <c r="X132" s="298"/>
      <c r="Y132" s="298"/>
    </row>
    <row r="133" spans="1:25">
      <c r="A133" s="307">
        <v>4312</v>
      </c>
      <c r="B133" s="291"/>
      <c r="C133" s="291"/>
      <c r="D133" s="291"/>
      <c r="E133" s="292"/>
      <c r="F133" s="306"/>
      <c r="G133" s="293"/>
      <c r="H133" s="293"/>
      <c r="I133" s="294"/>
      <c r="J133" s="295"/>
      <c r="K133" s="294"/>
      <c r="L133" s="295"/>
      <c r="M133" s="296"/>
      <c r="N133" s="294"/>
      <c r="O133" s="297"/>
      <c r="P133" s="295"/>
      <c r="Q133" s="298"/>
      <c r="R133" s="299"/>
      <c r="S133" s="298"/>
      <c r="T133" s="298"/>
      <c r="U133" s="298"/>
      <c r="V133" s="298"/>
      <c r="W133" s="298"/>
      <c r="X133" s="298"/>
      <c r="Y133" s="298"/>
    </row>
    <row r="134" spans="1:25">
      <c r="A134" s="307">
        <v>4313</v>
      </c>
      <c r="B134" s="291"/>
      <c r="C134" s="291"/>
      <c r="D134" s="291"/>
      <c r="E134" s="292"/>
      <c r="F134" s="306"/>
      <c r="G134" s="293"/>
      <c r="H134" s="293"/>
      <c r="I134" s="294"/>
      <c r="J134" s="295"/>
      <c r="K134" s="294"/>
      <c r="L134" s="295"/>
      <c r="M134" s="296"/>
      <c r="N134" s="294"/>
      <c r="O134" s="297"/>
      <c r="P134" s="295"/>
      <c r="Q134" s="298"/>
      <c r="R134" s="299"/>
      <c r="S134" s="298"/>
      <c r="T134" s="298"/>
      <c r="U134" s="298"/>
      <c r="V134" s="298"/>
      <c r="W134" s="298"/>
      <c r="X134" s="298"/>
      <c r="Y134" s="298"/>
    </row>
    <row r="135" spans="1:25" ht="16.5" customHeight="1">
      <c r="A135" s="281">
        <v>432</v>
      </c>
      <c r="B135" s="3550"/>
      <c r="C135" s="3551"/>
      <c r="D135" s="3551"/>
      <c r="E135" s="3551"/>
      <c r="F135" s="3551"/>
      <c r="G135" s="3551"/>
      <c r="H135" s="3551"/>
      <c r="I135" s="3552"/>
      <c r="J135" s="282"/>
      <c r="K135" s="283"/>
      <c r="L135" s="282"/>
      <c r="M135" s="284"/>
      <c r="N135" s="283"/>
      <c r="O135" s="285"/>
      <c r="P135" s="282"/>
      <c r="Q135" s="286"/>
      <c r="R135" s="287"/>
      <c r="S135" s="288"/>
      <c r="T135" s="288"/>
      <c r="U135" s="288"/>
      <c r="V135" s="288"/>
      <c r="W135" s="288"/>
      <c r="X135" s="288"/>
      <c r="Y135" s="288"/>
    </row>
    <row r="136" spans="1:25">
      <c r="A136" s="307">
        <v>4321</v>
      </c>
      <c r="B136" s="291"/>
      <c r="C136" s="291"/>
      <c r="D136" s="291"/>
      <c r="E136" s="292"/>
      <c r="F136" s="306"/>
      <c r="G136" s="293"/>
      <c r="H136" s="293"/>
      <c r="I136" s="294"/>
      <c r="J136" s="295"/>
      <c r="K136" s="294"/>
      <c r="L136" s="295"/>
      <c r="M136" s="296"/>
      <c r="N136" s="294"/>
      <c r="O136" s="297"/>
      <c r="P136" s="295"/>
      <c r="Q136" s="298"/>
      <c r="R136" s="299"/>
      <c r="S136" s="298"/>
      <c r="T136" s="298"/>
      <c r="U136" s="298"/>
      <c r="V136" s="298"/>
      <c r="W136" s="298"/>
      <c r="X136" s="298"/>
      <c r="Y136" s="298"/>
    </row>
    <row r="137" spans="1:25">
      <c r="A137" s="307">
        <v>4322</v>
      </c>
      <c r="B137" s="291"/>
      <c r="C137" s="291"/>
      <c r="D137" s="291"/>
      <c r="E137" s="292"/>
      <c r="F137" s="306"/>
      <c r="G137" s="293"/>
      <c r="H137" s="293"/>
      <c r="I137" s="294"/>
      <c r="J137" s="295"/>
      <c r="K137" s="294"/>
      <c r="L137" s="295"/>
      <c r="M137" s="296"/>
      <c r="N137" s="294"/>
      <c r="O137" s="297"/>
      <c r="P137" s="295"/>
      <c r="Q137" s="298"/>
      <c r="R137" s="299"/>
      <c r="S137" s="298"/>
      <c r="T137" s="298"/>
      <c r="U137" s="298"/>
      <c r="V137" s="298"/>
      <c r="W137" s="298"/>
      <c r="X137" s="298"/>
      <c r="Y137" s="298"/>
    </row>
    <row r="138" spans="1:25">
      <c r="A138" s="307" t="s">
        <v>233</v>
      </c>
      <c r="B138" s="291"/>
      <c r="C138" s="291"/>
      <c r="D138" s="291"/>
      <c r="E138" s="292"/>
      <c r="F138" s="306"/>
      <c r="G138" s="293"/>
      <c r="H138" s="293"/>
      <c r="I138" s="294"/>
      <c r="J138" s="295"/>
      <c r="K138" s="294"/>
      <c r="L138" s="295"/>
      <c r="M138" s="296"/>
      <c r="N138" s="294"/>
      <c r="O138" s="297"/>
      <c r="P138" s="295"/>
      <c r="Q138" s="298"/>
      <c r="R138" s="299"/>
      <c r="S138" s="298"/>
      <c r="T138" s="298"/>
      <c r="U138" s="298"/>
      <c r="V138" s="298"/>
      <c r="W138" s="298"/>
      <c r="X138" s="298"/>
      <c r="Y138" s="298"/>
    </row>
    <row r="139" spans="1:25" ht="33.75" customHeight="1">
      <c r="A139" s="3547" t="s">
        <v>279</v>
      </c>
      <c r="B139" s="3548"/>
      <c r="C139" s="3548"/>
      <c r="D139" s="3548"/>
      <c r="E139" s="3548"/>
      <c r="F139" s="3548"/>
      <c r="G139" s="3548"/>
      <c r="H139" s="3548"/>
      <c r="I139" s="3549"/>
      <c r="J139" s="835"/>
      <c r="K139" s="835"/>
      <c r="L139" s="835"/>
      <c r="M139" s="836"/>
      <c r="N139" s="835"/>
      <c r="O139" s="837"/>
      <c r="P139" s="835"/>
      <c r="Q139" s="838"/>
      <c r="R139" s="839"/>
      <c r="S139" s="840"/>
      <c r="T139" s="840"/>
      <c r="U139" s="840"/>
      <c r="V139" s="840"/>
      <c r="W139" s="840"/>
      <c r="X139" s="840"/>
      <c r="Y139" s="840"/>
    </row>
    <row r="140" spans="1:25" ht="30" customHeight="1">
      <c r="A140" s="3553" t="s">
        <v>280</v>
      </c>
      <c r="B140" s="3554"/>
      <c r="C140" s="3554"/>
      <c r="D140" s="3554"/>
      <c r="E140" s="3554"/>
      <c r="F140" s="3554"/>
      <c r="G140" s="3554"/>
      <c r="H140" s="3554"/>
      <c r="I140" s="3555"/>
      <c r="J140" s="273"/>
      <c r="K140" s="273"/>
      <c r="L140" s="273"/>
      <c r="M140" s="274"/>
      <c r="N140" s="273"/>
      <c r="O140" s="275"/>
      <c r="P140" s="273"/>
      <c r="Q140" s="276"/>
      <c r="R140" s="277"/>
      <c r="S140" s="278"/>
      <c r="T140" s="278"/>
      <c r="U140" s="278"/>
      <c r="V140" s="274"/>
      <c r="W140" s="274"/>
      <c r="X140" s="274"/>
      <c r="Y140" s="274"/>
    </row>
    <row r="141" spans="1:25" ht="16.5" customHeight="1">
      <c r="A141" s="281">
        <v>511</v>
      </c>
      <c r="B141" s="3550"/>
      <c r="C141" s="3551"/>
      <c r="D141" s="3551"/>
      <c r="E141" s="3551"/>
      <c r="F141" s="3551"/>
      <c r="G141" s="3551"/>
      <c r="H141" s="3551"/>
      <c r="I141" s="3552"/>
      <c r="J141" s="282"/>
      <c r="K141" s="283"/>
      <c r="L141" s="282"/>
      <c r="M141" s="284"/>
      <c r="N141" s="283"/>
      <c r="O141" s="285"/>
      <c r="P141" s="282"/>
      <c r="Q141" s="286"/>
      <c r="R141" s="287"/>
      <c r="S141" s="288"/>
      <c r="T141" s="288"/>
      <c r="U141" s="288"/>
      <c r="V141" s="288"/>
      <c r="W141" s="288"/>
      <c r="X141" s="288"/>
      <c r="Y141" s="288"/>
    </row>
    <row r="142" spans="1:25">
      <c r="A142" s="307" t="s">
        <v>233</v>
      </c>
      <c r="B142" s="291"/>
      <c r="C142" s="291"/>
      <c r="D142" s="291"/>
      <c r="E142" s="292"/>
      <c r="F142" s="306"/>
      <c r="G142" s="293"/>
      <c r="H142" s="293"/>
      <c r="I142" s="294"/>
      <c r="J142" s="295"/>
      <c r="K142" s="294"/>
      <c r="L142" s="295"/>
      <c r="M142" s="296"/>
      <c r="N142" s="294"/>
      <c r="O142" s="297"/>
      <c r="P142" s="295"/>
      <c r="Q142" s="298"/>
      <c r="R142" s="299"/>
      <c r="S142" s="298"/>
      <c r="T142" s="298"/>
      <c r="U142" s="298"/>
      <c r="V142" s="298"/>
      <c r="W142" s="298"/>
      <c r="X142" s="298"/>
      <c r="Y142" s="298"/>
    </row>
    <row r="143" spans="1:25" ht="33.75" customHeight="1">
      <c r="A143" s="3548" t="s">
        <v>281</v>
      </c>
      <c r="B143" s="3548"/>
      <c r="C143" s="3548"/>
      <c r="D143" s="3548"/>
      <c r="E143" s="3548"/>
      <c r="F143" s="3548"/>
      <c r="G143" s="3548"/>
      <c r="H143" s="3548"/>
      <c r="I143" s="3549"/>
      <c r="J143" s="841"/>
      <c r="K143" s="841"/>
      <c r="L143" s="841"/>
      <c r="M143" s="841"/>
      <c r="N143" s="841"/>
      <c r="O143" s="842"/>
      <c r="P143" s="841"/>
      <c r="Q143" s="842"/>
      <c r="R143" s="843">
        <f>+R144+R153+R162</f>
        <v>129747.66</v>
      </c>
      <c r="S143" s="840"/>
      <c r="T143" s="840"/>
      <c r="U143" s="840"/>
      <c r="V143" s="840"/>
      <c r="W143" s="840"/>
      <c r="X143" s="840"/>
      <c r="Y143" s="840"/>
    </row>
    <row r="144" spans="1:25" ht="33" customHeight="1">
      <c r="A144" s="3553" t="s">
        <v>282</v>
      </c>
      <c r="B144" s="3554"/>
      <c r="C144" s="3554"/>
      <c r="D144" s="3554"/>
      <c r="E144" s="3554"/>
      <c r="F144" s="3554"/>
      <c r="G144" s="3554"/>
      <c r="H144" s="3554"/>
      <c r="I144" s="3555"/>
      <c r="J144" s="273"/>
      <c r="K144" s="273"/>
      <c r="L144" s="273"/>
      <c r="M144" s="274"/>
      <c r="N144" s="273"/>
      <c r="O144" s="275"/>
      <c r="P144" s="273"/>
      <c r="Q144" s="276"/>
      <c r="R144" s="277"/>
      <c r="S144" s="278"/>
      <c r="T144" s="278"/>
      <c r="U144" s="278"/>
      <c r="V144" s="274"/>
      <c r="W144" s="274"/>
      <c r="X144" s="274"/>
      <c r="Y144" s="274"/>
    </row>
    <row r="145" spans="1:25" ht="16.5" customHeight="1">
      <c r="A145" s="281">
        <v>611</v>
      </c>
      <c r="B145" s="3550"/>
      <c r="C145" s="3551"/>
      <c r="D145" s="3551"/>
      <c r="E145" s="3551"/>
      <c r="F145" s="3551"/>
      <c r="G145" s="3551"/>
      <c r="H145" s="3551"/>
      <c r="I145" s="3552"/>
      <c r="J145" s="282"/>
      <c r="K145" s="283"/>
      <c r="L145" s="282"/>
      <c r="M145" s="284"/>
      <c r="N145" s="283"/>
      <c r="O145" s="285"/>
      <c r="P145" s="282"/>
      <c r="Q145" s="286"/>
      <c r="R145" s="287"/>
      <c r="S145" s="288"/>
      <c r="T145" s="288"/>
      <c r="U145" s="288"/>
      <c r="V145" s="288"/>
      <c r="W145" s="288"/>
      <c r="X145" s="288"/>
      <c r="Y145" s="288"/>
    </row>
    <row r="146" spans="1:25">
      <c r="A146" s="307">
        <v>6111</v>
      </c>
      <c r="B146" s="291"/>
      <c r="C146" s="291"/>
      <c r="D146" s="291"/>
      <c r="E146" s="292"/>
      <c r="F146" s="306"/>
      <c r="G146" s="293"/>
      <c r="H146" s="293"/>
      <c r="I146" s="294"/>
      <c r="J146" s="295"/>
      <c r="K146" s="294"/>
      <c r="L146" s="295"/>
      <c r="M146" s="296"/>
      <c r="N146" s="294"/>
      <c r="O146" s="297"/>
      <c r="P146" s="295"/>
      <c r="Q146" s="298"/>
      <c r="R146" s="299"/>
      <c r="S146" s="298"/>
      <c r="T146" s="298"/>
      <c r="U146" s="298"/>
      <c r="V146" s="298"/>
      <c r="W146" s="298"/>
      <c r="X146" s="298"/>
      <c r="Y146" s="298"/>
    </row>
    <row r="147" spans="1:25">
      <c r="A147" s="307">
        <v>6112</v>
      </c>
      <c r="B147" s="291"/>
      <c r="C147" s="291"/>
      <c r="D147" s="291"/>
      <c r="E147" s="292"/>
      <c r="F147" s="306"/>
      <c r="G147" s="293"/>
      <c r="H147" s="293"/>
      <c r="I147" s="294"/>
      <c r="J147" s="295"/>
      <c r="K147" s="294"/>
      <c r="L147" s="295"/>
      <c r="M147" s="296"/>
      <c r="N147" s="294"/>
      <c r="O147" s="297"/>
      <c r="P147" s="295"/>
      <c r="Q147" s="298"/>
      <c r="R147" s="299"/>
      <c r="S147" s="298"/>
      <c r="T147" s="298"/>
      <c r="U147" s="298"/>
      <c r="V147" s="298"/>
      <c r="W147" s="298"/>
      <c r="X147" s="298"/>
      <c r="Y147" s="298"/>
    </row>
    <row r="148" spans="1:25">
      <c r="A148" s="307">
        <v>6113</v>
      </c>
      <c r="B148" s="291"/>
      <c r="C148" s="291"/>
      <c r="D148" s="291"/>
      <c r="E148" s="292"/>
      <c r="F148" s="306"/>
      <c r="G148" s="293"/>
      <c r="H148" s="293"/>
      <c r="I148" s="294"/>
      <c r="J148" s="295"/>
      <c r="K148" s="294"/>
      <c r="L148" s="295"/>
      <c r="M148" s="296"/>
      <c r="N148" s="294"/>
      <c r="O148" s="297"/>
      <c r="P148" s="295"/>
      <c r="Q148" s="298"/>
      <c r="R148" s="299"/>
      <c r="S148" s="298"/>
      <c r="T148" s="298"/>
      <c r="U148" s="298"/>
      <c r="V148" s="298"/>
      <c r="W148" s="298"/>
      <c r="X148" s="298"/>
      <c r="Y148" s="298"/>
    </row>
    <row r="149" spans="1:25" ht="16.5" customHeight="1">
      <c r="A149" s="281">
        <v>612</v>
      </c>
      <c r="B149" s="3550"/>
      <c r="C149" s="3551"/>
      <c r="D149" s="3551"/>
      <c r="E149" s="3551"/>
      <c r="F149" s="3551"/>
      <c r="G149" s="3551"/>
      <c r="H149" s="3551"/>
      <c r="I149" s="3552"/>
      <c r="J149" s="282"/>
      <c r="K149" s="283"/>
      <c r="L149" s="282"/>
      <c r="M149" s="284"/>
      <c r="N149" s="283"/>
      <c r="O149" s="285"/>
      <c r="P149" s="282"/>
      <c r="Q149" s="286"/>
      <c r="R149" s="287"/>
      <c r="S149" s="288"/>
      <c r="T149" s="288"/>
      <c r="U149" s="288"/>
      <c r="V149" s="288"/>
      <c r="W149" s="288"/>
      <c r="X149" s="288"/>
      <c r="Y149" s="288"/>
    </row>
    <row r="150" spans="1:25">
      <c r="A150" s="307">
        <v>6121</v>
      </c>
      <c r="B150" s="291"/>
      <c r="C150" s="291"/>
      <c r="D150" s="291"/>
      <c r="E150" s="292"/>
      <c r="F150" s="306"/>
      <c r="G150" s="293"/>
      <c r="H150" s="293"/>
      <c r="I150" s="294"/>
      <c r="J150" s="295"/>
      <c r="K150" s="294"/>
      <c r="L150" s="295"/>
      <c r="M150" s="296"/>
      <c r="N150" s="294"/>
      <c r="O150" s="297"/>
      <c r="P150" s="295"/>
      <c r="Q150" s="298"/>
      <c r="R150" s="299"/>
      <c r="S150" s="298"/>
      <c r="T150" s="298"/>
      <c r="U150" s="298"/>
      <c r="V150" s="298"/>
      <c r="W150" s="298"/>
      <c r="X150" s="298"/>
      <c r="Y150" s="298"/>
    </row>
    <row r="151" spans="1:25">
      <c r="A151" s="307">
        <v>6122</v>
      </c>
      <c r="B151" s="291"/>
      <c r="C151" s="291"/>
      <c r="D151" s="291"/>
      <c r="E151" s="292"/>
      <c r="F151" s="306"/>
      <c r="G151" s="293"/>
      <c r="H151" s="293"/>
      <c r="I151" s="294"/>
      <c r="J151" s="295"/>
      <c r="K151" s="294"/>
      <c r="L151" s="295"/>
      <c r="M151" s="296"/>
      <c r="N151" s="294"/>
      <c r="O151" s="297"/>
      <c r="P151" s="295"/>
      <c r="Q151" s="298"/>
      <c r="R151" s="299"/>
      <c r="S151" s="298"/>
      <c r="T151" s="298"/>
      <c r="U151" s="298"/>
      <c r="V151" s="298"/>
      <c r="W151" s="298"/>
      <c r="X151" s="298"/>
      <c r="Y151" s="298"/>
    </row>
    <row r="152" spans="1:25">
      <c r="A152" s="307" t="s">
        <v>233</v>
      </c>
      <c r="B152" s="291"/>
      <c r="C152" s="291"/>
      <c r="D152" s="291"/>
      <c r="E152" s="292"/>
      <c r="F152" s="306"/>
      <c r="G152" s="293"/>
      <c r="H152" s="293"/>
      <c r="I152" s="294"/>
      <c r="J152" s="295"/>
      <c r="K152" s="294"/>
      <c r="L152" s="295"/>
      <c r="M152" s="296"/>
      <c r="N152" s="294"/>
      <c r="O152" s="297"/>
      <c r="P152" s="295"/>
      <c r="Q152" s="298"/>
      <c r="R152" s="299"/>
      <c r="S152" s="298"/>
      <c r="T152" s="298"/>
      <c r="U152" s="298"/>
      <c r="V152" s="298"/>
      <c r="W152" s="298"/>
      <c r="X152" s="298"/>
      <c r="Y152" s="298"/>
    </row>
    <row r="153" spans="1:25" ht="38.25" customHeight="1">
      <c r="A153" s="3553" t="s">
        <v>283</v>
      </c>
      <c r="B153" s="3554"/>
      <c r="C153" s="3554"/>
      <c r="D153" s="3554"/>
      <c r="E153" s="3554"/>
      <c r="F153" s="3554"/>
      <c r="G153" s="3554"/>
      <c r="H153" s="3554"/>
      <c r="I153" s="3555"/>
      <c r="J153" s="273"/>
      <c r="K153" s="273"/>
      <c r="L153" s="273"/>
      <c r="M153" s="274"/>
      <c r="N153" s="273"/>
      <c r="O153" s="275"/>
      <c r="P153" s="273"/>
      <c r="Q153" s="276"/>
      <c r="R153" s="277"/>
      <c r="S153" s="278"/>
      <c r="T153" s="278"/>
      <c r="U153" s="278"/>
      <c r="V153" s="274"/>
      <c r="W153" s="274"/>
      <c r="X153" s="274"/>
      <c r="Y153" s="274"/>
    </row>
    <row r="154" spans="1:25" ht="16.5" customHeight="1">
      <c r="A154" s="281">
        <v>621</v>
      </c>
      <c r="B154" s="3550"/>
      <c r="C154" s="3551"/>
      <c r="D154" s="3551"/>
      <c r="E154" s="3551"/>
      <c r="F154" s="3551"/>
      <c r="G154" s="3551"/>
      <c r="H154" s="3551"/>
      <c r="I154" s="3552"/>
      <c r="J154" s="282"/>
      <c r="K154" s="283"/>
      <c r="L154" s="282"/>
      <c r="M154" s="284"/>
      <c r="N154" s="283"/>
      <c r="O154" s="285"/>
      <c r="P154" s="282"/>
      <c r="Q154" s="286"/>
      <c r="R154" s="287"/>
      <c r="S154" s="288"/>
      <c r="T154" s="288"/>
      <c r="U154" s="288"/>
      <c r="V154" s="288"/>
      <c r="W154" s="288"/>
      <c r="X154" s="288"/>
      <c r="Y154" s="288"/>
    </row>
    <row r="155" spans="1:25">
      <c r="A155" s="307">
        <v>6211</v>
      </c>
      <c r="B155" s="291"/>
      <c r="C155" s="291"/>
      <c r="D155" s="291"/>
      <c r="E155" s="292"/>
      <c r="F155" s="306"/>
      <c r="G155" s="293"/>
      <c r="H155" s="293"/>
      <c r="I155" s="294"/>
      <c r="J155" s="295"/>
      <c r="K155" s="294"/>
      <c r="L155" s="295"/>
      <c r="M155" s="296"/>
      <c r="N155" s="294"/>
      <c r="O155" s="297"/>
      <c r="P155" s="295"/>
      <c r="Q155" s="298"/>
      <c r="R155" s="299"/>
      <c r="S155" s="298"/>
      <c r="T155" s="298"/>
      <c r="U155" s="298"/>
      <c r="V155" s="298"/>
      <c r="W155" s="298"/>
      <c r="X155" s="298"/>
      <c r="Y155" s="298"/>
    </row>
    <row r="156" spans="1:25">
      <c r="A156" s="307">
        <v>6212</v>
      </c>
      <c r="B156" s="291"/>
      <c r="C156" s="291"/>
      <c r="D156" s="291"/>
      <c r="E156" s="292"/>
      <c r="F156" s="306"/>
      <c r="G156" s="293"/>
      <c r="H156" s="293"/>
      <c r="I156" s="294"/>
      <c r="J156" s="295"/>
      <c r="K156" s="294"/>
      <c r="L156" s="295"/>
      <c r="M156" s="296"/>
      <c r="N156" s="294"/>
      <c r="O156" s="297"/>
      <c r="P156" s="295"/>
      <c r="Q156" s="298"/>
      <c r="R156" s="299"/>
      <c r="S156" s="298"/>
      <c r="T156" s="298"/>
      <c r="U156" s="298"/>
      <c r="V156" s="298"/>
      <c r="W156" s="298"/>
      <c r="X156" s="298"/>
      <c r="Y156" s="298"/>
    </row>
    <row r="157" spans="1:25">
      <c r="A157" s="307">
        <v>6213</v>
      </c>
      <c r="B157" s="291"/>
      <c r="C157" s="291"/>
      <c r="D157" s="291"/>
      <c r="E157" s="292"/>
      <c r="F157" s="306"/>
      <c r="G157" s="293"/>
      <c r="H157" s="293"/>
      <c r="I157" s="294"/>
      <c r="J157" s="295"/>
      <c r="K157" s="294"/>
      <c r="L157" s="295"/>
      <c r="M157" s="296"/>
      <c r="N157" s="294"/>
      <c r="O157" s="297"/>
      <c r="P157" s="295"/>
      <c r="Q157" s="298"/>
      <c r="R157" s="299"/>
      <c r="S157" s="298"/>
      <c r="T157" s="298"/>
      <c r="U157" s="298"/>
      <c r="V157" s="298"/>
      <c r="W157" s="298"/>
      <c r="X157" s="298"/>
      <c r="Y157" s="298"/>
    </row>
    <row r="158" spans="1:25" ht="16.5" customHeight="1">
      <c r="A158" s="281">
        <v>622</v>
      </c>
      <c r="B158" s="3550"/>
      <c r="C158" s="3551"/>
      <c r="D158" s="3551"/>
      <c r="E158" s="3551"/>
      <c r="F158" s="3551"/>
      <c r="G158" s="3551"/>
      <c r="H158" s="3551"/>
      <c r="I158" s="3552"/>
      <c r="J158" s="282"/>
      <c r="K158" s="283"/>
      <c r="L158" s="282"/>
      <c r="M158" s="284"/>
      <c r="N158" s="283"/>
      <c r="O158" s="285"/>
      <c r="P158" s="282"/>
      <c r="Q158" s="286"/>
      <c r="R158" s="287"/>
      <c r="S158" s="288"/>
      <c r="T158" s="288"/>
      <c r="U158" s="288"/>
      <c r="V158" s="288"/>
      <c r="W158" s="288"/>
      <c r="X158" s="288"/>
      <c r="Y158" s="288"/>
    </row>
    <row r="159" spans="1:25">
      <c r="A159" s="307">
        <v>6221</v>
      </c>
      <c r="B159" s="291"/>
      <c r="C159" s="291"/>
      <c r="D159" s="291"/>
      <c r="E159" s="292"/>
      <c r="F159" s="306"/>
      <c r="G159" s="293"/>
      <c r="H159" s="293"/>
      <c r="I159" s="294"/>
      <c r="J159" s="295"/>
      <c r="K159" s="294"/>
      <c r="L159" s="295"/>
      <c r="M159" s="296"/>
      <c r="N159" s="294"/>
      <c r="O159" s="297"/>
      <c r="P159" s="295"/>
      <c r="Q159" s="298"/>
      <c r="R159" s="299"/>
      <c r="S159" s="298"/>
      <c r="T159" s="298"/>
      <c r="U159" s="298"/>
      <c r="V159" s="298"/>
      <c r="W159" s="298"/>
      <c r="X159" s="298"/>
      <c r="Y159" s="298"/>
    </row>
    <row r="160" spans="1:25">
      <c r="A160" s="307">
        <v>6222</v>
      </c>
      <c r="B160" s="291"/>
      <c r="C160" s="291"/>
      <c r="D160" s="291"/>
      <c r="E160" s="292"/>
      <c r="F160" s="306"/>
      <c r="G160" s="293"/>
      <c r="H160" s="293"/>
      <c r="I160" s="294"/>
      <c r="J160" s="295"/>
      <c r="K160" s="294"/>
      <c r="L160" s="295"/>
      <c r="M160" s="296"/>
      <c r="N160" s="294"/>
      <c r="O160" s="297"/>
      <c r="P160" s="295"/>
      <c r="Q160" s="298"/>
      <c r="R160" s="299"/>
      <c r="S160" s="298"/>
      <c r="T160" s="298"/>
      <c r="U160" s="298"/>
      <c r="V160" s="298"/>
      <c r="W160" s="298"/>
      <c r="X160" s="298"/>
      <c r="Y160" s="298"/>
    </row>
    <row r="161" spans="1:25">
      <c r="A161" s="307" t="s">
        <v>233</v>
      </c>
      <c r="B161" s="291"/>
      <c r="C161" s="291"/>
      <c r="D161" s="291"/>
      <c r="E161" s="292"/>
      <c r="F161" s="306"/>
      <c r="G161" s="293"/>
      <c r="H161" s="293"/>
      <c r="I161" s="294"/>
      <c r="J161" s="295"/>
      <c r="K161" s="294"/>
      <c r="L161" s="295"/>
      <c r="M161" s="296"/>
      <c r="N161" s="294"/>
      <c r="O161" s="297"/>
      <c r="P161" s="295"/>
      <c r="Q161" s="298"/>
      <c r="R161" s="299"/>
      <c r="S161" s="298"/>
      <c r="T161" s="298"/>
      <c r="U161" s="298"/>
      <c r="V161" s="298"/>
      <c r="W161" s="298"/>
      <c r="X161" s="298"/>
      <c r="Y161" s="298"/>
    </row>
    <row r="162" spans="1:25" ht="38.25" customHeight="1">
      <c r="A162" s="3553" t="s">
        <v>284</v>
      </c>
      <c r="B162" s="3554"/>
      <c r="C162" s="3554"/>
      <c r="D162" s="3554"/>
      <c r="E162" s="3554"/>
      <c r="F162" s="3554"/>
      <c r="G162" s="3554"/>
      <c r="H162" s="3554"/>
      <c r="I162" s="3555"/>
      <c r="J162" s="273"/>
      <c r="K162" s="273"/>
      <c r="L162" s="273"/>
      <c r="M162" s="274"/>
      <c r="N162" s="273"/>
      <c r="O162" s="275"/>
      <c r="P162" s="273"/>
      <c r="Q162" s="276"/>
      <c r="R162" s="277">
        <f>+'[17]Compil Costing PPA 3 millions'!F20</f>
        <v>129747.66</v>
      </c>
      <c r="S162" s="278"/>
      <c r="T162" s="278"/>
      <c r="U162" s="278"/>
      <c r="V162" s="274"/>
      <c r="W162" s="274"/>
      <c r="X162" s="274"/>
      <c r="Y162" s="274"/>
    </row>
    <row r="163" spans="1:25" ht="16.5" customHeight="1">
      <c r="A163" s="281">
        <v>631</v>
      </c>
      <c r="B163" s="3550"/>
      <c r="C163" s="3551"/>
      <c r="D163" s="3551"/>
      <c r="E163" s="3551"/>
      <c r="F163" s="3551"/>
      <c r="G163" s="3551"/>
      <c r="H163" s="3551"/>
      <c r="I163" s="3552"/>
      <c r="J163" s="282"/>
      <c r="K163" s="283"/>
      <c r="L163" s="282"/>
      <c r="M163" s="284"/>
      <c r="N163" s="283"/>
      <c r="O163" s="285"/>
      <c r="P163" s="282"/>
      <c r="Q163" s="286"/>
      <c r="R163" s="287"/>
      <c r="S163" s="288"/>
      <c r="T163" s="288"/>
      <c r="U163" s="288"/>
      <c r="V163" s="288"/>
      <c r="W163" s="288"/>
      <c r="X163" s="288"/>
      <c r="Y163" s="288"/>
    </row>
    <row r="164" spans="1:25">
      <c r="A164" s="307">
        <v>6311</v>
      </c>
      <c r="B164" s="291"/>
      <c r="C164" s="291"/>
      <c r="D164" s="291"/>
      <c r="E164" s="292"/>
      <c r="F164" s="306"/>
      <c r="G164" s="293"/>
      <c r="H164" s="293"/>
      <c r="I164" s="294"/>
      <c r="J164" s="295"/>
      <c r="K164" s="294"/>
      <c r="L164" s="295"/>
      <c r="M164" s="296"/>
      <c r="N164" s="294"/>
      <c r="O164" s="297"/>
      <c r="P164" s="295"/>
      <c r="Q164" s="298"/>
      <c r="R164" s="299"/>
      <c r="S164" s="298"/>
      <c r="T164" s="298"/>
      <c r="U164" s="298"/>
      <c r="V164" s="298"/>
      <c r="W164" s="298"/>
      <c r="X164" s="298"/>
      <c r="Y164" s="298"/>
    </row>
    <row r="165" spans="1:25">
      <c r="A165" s="307">
        <v>6312</v>
      </c>
      <c r="B165" s="291"/>
      <c r="C165" s="291"/>
      <c r="D165" s="291"/>
      <c r="E165" s="292"/>
      <c r="F165" s="306"/>
      <c r="G165" s="293"/>
      <c r="H165" s="293"/>
      <c r="I165" s="294"/>
      <c r="J165" s="295"/>
      <c r="K165" s="294"/>
      <c r="L165" s="295"/>
      <c r="M165" s="296"/>
      <c r="N165" s="294"/>
      <c r="O165" s="297"/>
      <c r="P165" s="295"/>
      <c r="Q165" s="298"/>
      <c r="R165" s="299"/>
      <c r="S165" s="298"/>
      <c r="T165" s="298"/>
      <c r="U165" s="298"/>
      <c r="V165" s="298"/>
      <c r="W165" s="298"/>
      <c r="X165" s="298"/>
      <c r="Y165" s="298"/>
    </row>
    <row r="166" spans="1:25">
      <c r="A166" s="307">
        <v>6313</v>
      </c>
      <c r="B166" s="291"/>
      <c r="C166" s="291"/>
      <c r="D166" s="291"/>
      <c r="E166" s="292"/>
      <c r="F166" s="306"/>
      <c r="G166" s="293"/>
      <c r="H166" s="293"/>
      <c r="I166" s="294"/>
      <c r="J166" s="295"/>
      <c r="K166" s="294"/>
      <c r="L166" s="295"/>
      <c r="M166" s="296"/>
      <c r="N166" s="294"/>
      <c r="O166" s="297"/>
      <c r="P166" s="295"/>
      <c r="Q166" s="298"/>
      <c r="R166" s="299"/>
      <c r="S166" s="298"/>
      <c r="T166" s="298"/>
      <c r="U166" s="298"/>
      <c r="V166" s="298"/>
      <c r="W166" s="298"/>
      <c r="X166" s="298"/>
      <c r="Y166" s="298"/>
    </row>
    <row r="167" spans="1:25" ht="16.5" customHeight="1">
      <c r="A167" s="281">
        <v>632</v>
      </c>
      <c r="B167" s="3550"/>
      <c r="C167" s="3551"/>
      <c r="D167" s="3551"/>
      <c r="E167" s="3551"/>
      <c r="F167" s="3551"/>
      <c r="G167" s="3551"/>
      <c r="H167" s="3551"/>
      <c r="I167" s="3552"/>
      <c r="J167" s="282"/>
      <c r="K167" s="283"/>
      <c r="L167" s="282"/>
      <c r="M167" s="284"/>
      <c r="N167" s="283"/>
      <c r="O167" s="285"/>
      <c r="P167" s="282"/>
      <c r="Q167" s="286"/>
      <c r="R167" s="287"/>
      <c r="S167" s="288"/>
      <c r="T167" s="288"/>
      <c r="U167" s="288"/>
      <c r="V167" s="288"/>
      <c r="W167" s="288"/>
      <c r="X167" s="288"/>
      <c r="Y167" s="288"/>
    </row>
    <row r="168" spans="1:25">
      <c r="A168" s="307">
        <v>6321</v>
      </c>
      <c r="B168" s="291"/>
      <c r="C168" s="291"/>
      <c r="D168" s="291"/>
      <c r="E168" s="292"/>
      <c r="F168" s="306"/>
      <c r="G168" s="293"/>
      <c r="H168" s="293"/>
      <c r="I168" s="294"/>
      <c r="J168" s="295"/>
      <c r="K168" s="294"/>
      <c r="L168" s="295"/>
      <c r="M168" s="296"/>
      <c r="N168" s="294"/>
      <c r="O168" s="297"/>
      <c r="P168" s="295"/>
      <c r="Q168" s="298"/>
      <c r="R168" s="299"/>
      <c r="S168" s="298"/>
      <c r="T168" s="298"/>
      <c r="U168" s="298"/>
      <c r="V168" s="298"/>
      <c r="W168" s="298"/>
      <c r="X168" s="298"/>
      <c r="Y168" s="298"/>
    </row>
    <row r="169" spans="1:25">
      <c r="A169" s="307">
        <v>6322</v>
      </c>
      <c r="B169" s="291"/>
      <c r="C169" s="291"/>
      <c r="D169" s="291"/>
      <c r="E169" s="292"/>
      <c r="F169" s="306"/>
      <c r="G169" s="293"/>
      <c r="H169" s="293"/>
      <c r="I169" s="294"/>
      <c r="J169" s="295"/>
      <c r="K169" s="294"/>
      <c r="L169" s="295"/>
      <c r="M169" s="296"/>
      <c r="N169" s="294"/>
      <c r="O169" s="297"/>
      <c r="P169" s="295"/>
      <c r="Q169" s="298"/>
      <c r="R169" s="299"/>
      <c r="S169" s="298"/>
      <c r="T169" s="298"/>
      <c r="U169" s="298"/>
      <c r="V169" s="298"/>
      <c r="W169" s="298"/>
      <c r="X169" s="298"/>
      <c r="Y169" s="298"/>
    </row>
    <row r="170" spans="1:25">
      <c r="A170" s="307" t="s">
        <v>233</v>
      </c>
      <c r="B170" s="291"/>
      <c r="C170" s="291"/>
      <c r="D170" s="291"/>
      <c r="E170" s="292"/>
      <c r="F170" s="306"/>
      <c r="G170" s="293"/>
      <c r="H170" s="293"/>
      <c r="I170" s="294"/>
      <c r="J170" s="295"/>
      <c r="K170" s="294"/>
      <c r="L170" s="295"/>
      <c r="M170" s="296"/>
      <c r="N170" s="294"/>
      <c r="O170" s="297"/>
      <c r="P170" s="295"/>
      <c r="Q170" s="298"/>
      <c r="R170" s="299"/>
      <c r="S170" s="298"/>
      <c r="T170" s="298"/>
      <c r="U170" s="298"/>
      <c r="V170" s="298"/>
      <c r="W170" s="298"/>
      <c r="X170" s="298"/>
      <c r="Y170" s="298"/>
    </row>
    <row r="171" spans="1:25">
      <c r="H171" s="336"/>
      <c r="P171" s="342" t="s">
        <v>285</v>
      </c>
      <c r="Q171" s="315">
        <f>+Q7+Q26+Q92+Q111+Q139+Q143</f>
        <v>0</v>
      </c>
      <c r="R171" s="344">
        <f>+R7+R26+R92+R111+R139+R143</f>
        <v>3000000.2229166673</v>
      </c>
    </row>
  </sheetData>
  <mergeCells count="64">
    <mergeCell ref="B103:I103"/>
    <mergeCell ref="B32:I32"/>
    <mergeCell ref="A36:I36"/>
    <mergeCell ref="B167:I167"/>
    <mergeCell ref="A140:I140"/>
    <mergeCell ref="B141:I141"/>
    <mergeCell ref="A143:I143"/>
    <mergeCell ref="A144:I144"/>
    <mergeCell ref="B145:I145"/>
    <mergeCell ref="B149:I149"/>
    <mergeCell ref="A153:I153"/>
    <mergeCell ref="B154:I154"/>
    <mergeCell ref="B158:I158"/>
    <mergeCell ref="A162:I162"/>
    <mergeCell ref="B163:I163"/>
    <mergeCell ref="A139:I139"/>
    <mergeCell ref="B88:I88"/>
    <mergeCell ref="B135:I135"/>
    <mergeCell ref="A93:I93"/>
    <mergeCell ref="B94:I94"/>
    <mergeCell ref="B98:I98"/>
    <mergeCell ref="A102:I102"/>
    <mergeCell ref="A121:I121"/>
    <mergeCell ref="B122:I122"/>
    <mergeCell ref="B126:I126"/>
    <mergeCell ref="A130:I130"/>
    <mergeCell ref="B131:I131"/>
    <mergeCell ref="B107:I107"/>
    <mergeCell ref="A111:I111"/>
    <mergeCell ref="A112:I112"/>
    <mergeCell ref="B113:I113"/>
    <mergeCell ref="B117:I117"/>
    <mergeCell ref="A92:I92"/>
    <mergeCell ref="B28:I28"/>
    <mergeCell ref="N5:N6"/>
    <mergeCell ref="O5:O6"/>
    <mergeCell ref="B22:I22"/>
    <mergeCell ref="A27:I27"/>
    <mergeCell ref="A7:I7"/>
    <mergeCell ref="A17:I17"/>
    <mergeCell ref="B18:I18"/>
    <mergeCell ref="B13:I13"/>
    <mergeCell ref="A8:I8"/>
    <mergeCell ref="B9:I9"/>
    <mergeCell ref="A26:I26"/>
    <mergeCell ref="B80:I80"/>
    <mergeCell ref="A83:I83"/>
    <mergeCell ref="B84:I84"/>
    <mergeCell ref="A2:V2"/>
    <mergeCell ref="A5:A6"/>
    <mergeCell ref="B5:B6"/>
    <mergeCell ref="C5:C6"/>
    <mergeCell ref="D5:D6"/>
    <mergeCell ref="E5:E6"/>
    <mergeCell ref="F5:G5"/>
    <mergeCell ref="H5:H6"/>
    <mergeCell ref="I5:J5"/>
    <mergeCell ref="K5:K6"/>
    <mergeCell ref="L5:L6"/>
    <mergeCell ref="M5:M6"/>
    <mergeCell ref="R5:R6"/>
    <mergeCell ref="S5:Y5"/>
    <mergeCell ref="P5:P6"/>
    <mergeCell ref="Q5:Q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C000"/>
  </sheetPr>
  <dimension ref="A1:Y161"/>
  <sheetViews>
    <sheetView zoomScale="55" zoomScaleNormal="55" workbookViewId="0">
      <selection activeCell="R57" sqref="R57"/>
    </sheetView>
  </sheetViews>
  <sheetFormatPr baseColWidth="10" defaultRowHeight="15.75"/>
  <cols>
    <col min="1" max="1" width="10.7109375" style="224" customWidth="1"/>
    <col min="2" max="2" width="29.7109375" style="198" customWidth="1"/>
    <col min="3" max="3" width="48.85546875" style="198" customWidth="1"/>
    <col min="4" max="4" width="10.85546875" style="198" customWidth="1"/>
    <col min="5" max="5" width="13.28515625" style="225" customWidth="1"/>
    <col min="6" max="6" width="11.5703125" style="226" customWidth="1"/>
    <col min="7" max="7" width="12.85546875" style="227" bestFit="1" customWidth="1"/>
    <col min="8" max="8" width="15.42578125" style="227" customWidth="1"/>
    <col min="9" max="9" width="14.140625" style="228" customWidth="1"/>
    <col min="10" max="10" width="14" style="229" customWidth="1"/>
    <col min="11" max="11" width="16.28515625" style="228" customWidth="1"/>
    <col min="12" max="12" width="11.42578125" style="229" customWidth="1"/>
    <col min="13" max="13" width="11.42578125" style="162" customWidth="1"/>
    <col min="14" max="14" width="14" style="228" customWidth="1"/>
    <col min="15" max="15" width="14.140625" style="230" customWidth="1"/>
    <col min="16" max="16" width="14.140625" style="229" customWidth="1"/>
    <col min="17" max="17" width="18.85546875" style="231" bestFit="1" customWidth="1"/>
    <col min="18" max="18" width="30.28515625" style="232" bestFit="1" customWidth="1"/>
    <col min="19" max="19" width="9.28515625" style="231" bestFit="1" customWidth="1"/>
    <col min="20" max="20" width="9" style="231" bestFit="1" customWidth="1"/>
    <col min="21" max="23" width="13.85546875" style="231" bestFit="1" customWidth="1"/>
    <col min="24" max="24" width="15.140625" style="231" bestFit="1" customWidth="1"/>
    <col min="25" max="25" width="14.42578125" style="231" bestFit="1" customWidth="1"/>
    <col min="26" max="256" width="11.42578125" style="162"/>
    <col min="257" max="257" width="7.28515625" style="162" customWidth="1"/>
    <col min="258" max="258" width="29.7109375" style="162" customWidth="1"/>
    <col min="259" max="259" width="48.85546875" style="162" customWidth="1"/>
    <col min="260" max="260" width="10.85546875" style="162" customWidth="1"/>
    <col min="261" max="261" width="13.28515625" style="162" customWidth="1"/>
    <col min="262" max="262" width="11.5703125" style="162" customWidth="1"/>
    <col min="263" max="263" width="12.28515625" style="162" customWidth="1"/>
    <col min="264" max="264" width="15.42578125" style="162" customWidth="1"/>
    <col min="265" max="265" width="14.140625" style="162" customWidth="1"/>
    <col min="266" max="266" width="14" style="162" customWidth="1"/>
    <col min="267" max="267" width="16.28515625" style="162" customWidth="1"/>
    <col min="268" max="269" width="0" style="162" hidden="1" customWidth="1"/>
    <col min="270" max="270" width="14" style="162" customWidth="1"/>
    <col min="271" max="272" width="14.140625" style="162" customWidth="1"/>
    <col min="273" max="273" width="14.28515625" style="162" customWidth="1"/>
    <col min="274" max="274" width="17.140625" style="162" customWidth="1"/>
    <col min="275" max="276" width="10.42578125" style="162" customWidth="1"/>
    <col min="277" max="277" width="13.28515625" style="162" customWidth="1"/>
    <col min="278" max="278" width="13.7109375" style="162" customWidth="1"/>
    <col min="279" max="279" width="12.7109375" style="162" customWidth="1"/>
    <col min="280" max="280" width="14.5703125" style="162" customWidth="1"/>
    <col min="281" max="281" width="10.42578125" style="162" customWidth="1"/>
    <col min="282" max="512" width="11.42578125" style="162"/>
    <col min="513" max="513" width="7.28515625" style="162" customWidth="1"/>
    <col min="514" max="514" width="29.7109375" style="162" customWidth="1"/>
    <col min="515" max="515" width="48.85546875" style="162" customWidth="1"/>
    <col min="516" max="516" width="10.85546875" style="162" customWidth="1"/>
    <col min="517" max="517" width="13.28515625" style="162" customWidth="1"/>
    <col min="518" max="518" width="11.5703125" style="162" customWidth="1"/>
    <col min="519" max="519" width="12.28515625" style="162" customWidth="1"/>
    <col min="520" max="520" width="15.42578125" style="162" customWidth="1"/>
    <col min="521" max="521" width="14.140625" style="162" customWidth="1"/>
    <col min="522" max="522" width="14" style="162" customWidth="1"/>
    <col min="523" max="523" width="16.28515625" style="162" customWidth="1"/>
    <col min="524" max="525" width="0" style="162" hidden="1" customWidth="1"/>
    <col min="526" max="526" width="14" style="162" customWidth="1"/>
    <col min="527" max="528" width="14.140625" style="162" customWidth="1"/>
    <col min="529" max="529" width="14.28515625" style="162" customWidth="1"/>
    <col min="530" max="530" width="17.140625" style="162" customWidth="1"/>
    <col min="531" max="532" width="10.42578125" style="162" customWidth="1"/>
    <col min="533" max="533" width="13.28515625" style="162" customWidth="1"/>
    <col min="534" max="534" width="13.7109375" style="162" customWidth="1"/>
    <col min="535" max="535" width="12.7109375" style="162" customWidth="1"/>
    <col min="536" max="536" width="14.5703125" style="162" customWidth="1"/>
    <col min="537" max="537" width="10.42578125" style="162" customWidth="1"/>
    <col min="538" max="768" width="11.42578125" style="162"/>
    <col min="769" max="769" width="7.28515625" style="162" customWidth="1"/>
    <col min="770" max="770" width="29.7109375" style="162" customWidth="1"/>
    <col min="771" max="771" width="48.85546875" style="162" customWidth="1"/>
    <col min="772" max="772" width="10.85546875" style="162" customWidth="1"/>
    <col min="773" max="773" width="13.28515625" style="162" customWidth="1"/>
    <col min="774" max="774" width="11.5703125" style="162" customWidth="1"/>
    <col min="775" max="775" width="12.28515625" style="162" customWidth="1"/>
    <col min="776" max="776" width="15.42578125" style="162" customWidth="1"/>
    <col min="777" max="777" width="14.140625" style="162" customWidth="1"/>
    <col min="778" max="778" width="14" style="162" customWidth="1"/>
    <col min="779" max="779" width="16.28515625" style="162" customWidth="1"/>
    <col min="780" max="781" width="0" style="162" hidden="1" customWidth="1"/>
    <col min="782" max="782" width="14" style="162" customWidth="1"/>
    <col min="783" max="784" width="14.140625" style="162" customWidth="1"/>
    <col min="785" max="785" width="14.28515625" style="162" customWidth="1"/>
    <col min="786" max="786" width="17.140625" style="162" customWidth="1"/>
    <col min="787" max="788" width="10.42578125" style="162" customWidth="1"/>
    <col min="789" max="789" width="13.28515625" style="162" customWidth="1"/>
    <col min="790" max="790" width="13.7109375" style="162" customWidth="1"/>
    <col min="791" max="791" width="12.7109375" style="162" customWidth="1"/>
    <col min="792" max="792" width="14.5703125" style="162" customWidth="1"/>
    <col min="793" max="793" width="10.42578125" style="162" customWidth="1"/>
    <col min="794" max="1024" width="11.42578125" style="162"/>
    <col min="1025" max="1025" width="7.28515625" style="162" customWidth="1"/>
    <col min="1026" max="1026" width="29.7109375" style="162" customWidth="1"/>
    <col min="1027" max="1027" width="48.85546875" style="162" customWidth="1"/>
    <col min="1028" max="1028" width="10.85546875" style="162" customWidth="1"/>
    <col min="1029" max="1029" width="13.28515625" style="162" customWidth="1"/>
    <col min="1030" max="1030" width="11.5703125" style="162" customWidth="1"/>
    <col min="1031" max="1031" width="12.28515625" style="162" customWidth="1"/>
    <col min="1032" max="1032" width="15.42578125" style="162" customWidth="1"/>
    <col min="1033" max="1033" width="14.140625" style="162" customWidth="1"/>
    <col min="1034" max="1034" width="14" style="162" customWidth="1"/>
    <col min="1035" max="1035" width="16.28515625" style="162" customWidth="1"/>
    <col min="1036" max="1037" width="0" style="162" hidden="1" customWidth="1"/>
    <col min="1038" max="1038" width="14" style="162" customWidth="1"/>
    <col min="1039" max="1040" width="14.140625" style="162" customWidth="1"/>
    <col min="1041" max="1041" width="14.28515625" style="162" customWidth="1"/>
    <col min="1042" max="1042" width="17.140625" style="162" customWidth="1"/>
    <col min="1043" max="1044" width="10.42578125" style="162" customWidth="1"/>
    <col min="1045" max="1045" width="13.28515625" style="162" customWidth="1"/>
    <col min="1046" max="1046" width="13.7109375" style="162" customWidth="1"/>
    <col min="1047" max="1047" width="12.7109375" style="162" customWidth="1"/>
    <col min="1048" max="1048" width="14.5703125" style="162" customWidth="1"/>
    <col min="1049" max="1049" width="10.42578125" style="162" customWidth="1"/>
    <col min="1050" max="1280" width="11.42578125" style="162"/>
    <col min="1281" max="1281" width="7.28515625" style="162" customWidth="1"/>
    <col min="1282" max="1282" width="29.7109375" style="162" customWidth="1"/>
    <col min="1283" max="1283" width="48.85546875" style="162" customWidth="1"/>
    <col min="1284" max="1284" width="10.85546875" style="162" customWidth="1"/>
    <col min="1285" max="1285" width="13.28515625" style="162" customWidth="1"/>
    <col min="1286" max="1286" width="11.5703125" style="162" customWidth="1"/>
    <col min="1287" max="1287" width="12.28515625" style="162" customWidth="1"/>
    <col min="1288" max="1288" width="15.42578125" style="162" customWidth="1"/>
    <col min="1289" max="1289" width="14.140625" style="162" customWidth="1"/>
    <col min="1290" max="1290" width="14" style="162" customWidth="1"/>
    <col min="1291" max="1291" width="16.28515625" style="162" customWidth="1"/>
    <col min="1292" max="1293" width="0" style="162" hidden="1" customWidth="1"/>
    <col min="1294" max="1294" width="14" style="162" customWidth="1"/>
    <col min="1295" max="1296" width="14.140625" style="162" customWidth="1"/>
    <col min="1297" max="1297" width="14.28515625" style="162" customWidth="1"/>
    <col min="1298" max="1298" width="17.140625" style="162" customWidth="1"/>
    <col min="1299" max="1300" width="10.42578125" style="162" customWidth="1"/>
    <col min="1301" max="1301" width="13.28515625" style="162" customWidth="1"/>
    <col min="1302" max="1302" width="13.7109375" style="162" customWidth="1"/>
    <col min="1303" max="1303" width="12.7109375" style="162" customWidth="1"/>
    <col min="1304" max="1304" width="14.5703125" style="162" customWidth="1"/>
    <col min="1305" max="1305" width="10.42578125" style="162" customWidth="1"/>
    <col min="1306" max="1536" width="11.42578125" style="162"/>
    <col min="1537" max="1537" width="7.28515625" style="162" customWidth="1"/>
    <col min="1538" max="1538" width="29.7109375" style="162" customWidth="1"/>
    <col min="1539" max="1539" width="48.85546875" style="162" customWidth="1"/>
    <col min="1540" max="1540" width="10.85546875" style="162" customWidth="1"/>
    <col min="1541" max="1541" width="13.28515625" style="162" customWidth="1"/>
    <col min="1542" max="1542" width="11.5703125" style="162" customWidth="1"/>
    <col min="1543" max="1543" width="12.28515625" style="162" customWidth="1"/>
    <col min="1544" max="1544" width="15.42578125" style="162" customWidth="1"/>
    <col min="1545" max="1545" width="14.140625" style="162" customWidth="1"/>
    <col min="1546" max="1546" width="14" style="162" customWidth="1"/>
    <col min="1547" max="1547" width="16.28515625" style="162" customWidth="1"/>
    <col min="1548" max="1549" width="0" style="162" hidden="1" customWidth="1"/>
    <col min="1550" max="1550" width="14" style="162" customWidth="1"/>
    <col min="1551" max="1552" width="14.140625" style="162" customWidth="1"/>
    <col min="1553" max="1553" width="14.28515625" style="162" customWidth="1"/>
    <col min="1554" max="1554" width="17.140625" style="162" customWidth="1"/>
    <col min="1555" max="1556" width="10.42578125" style="162" customWidth="1"/>
    <col min="1557" max="1557" width="13.28515625" style="162" customWidth="1"/>
    <col min="1558" max="1558" width="13.7109375" style="162" customWidth="1"/>
    <col min="1559" max="1559" width="12.7109375" style="162" customWidth="1"/>
    <col min="1560" max="1560" width="14.5703125" style="162" customWidth="1"/>
    <col min="1561" max="1561" width="10.42578125" style="162" customWidth="1"/>
    <col min="1562" max="1792" width="11.42578125" style="162"/>
    <col min="1793" max="1793" width="7.28515625" style="162" customWidth="1"/>
    <col min="1794" max="1794" width="29.7109375" style="162" customWidth="1"/>
    <col min="1795" max="1795" width="48.85546875" style="162" customWidth="1"/>
    <col min="1796" max="1796" width="10.85546875" style="162" customWidth="1"/>
    <col min="1797" max="1797" width="13.28515625" style="162" customWidth="1"/>
    <col min="1798" max="1798" width="11.5703125" style="162" customWidth="1"/>
    <col min="1799" max="1799" width="12.28515625" style="162" customWidth="1"/>
    <col min="1800" max="1800" width="15.42578125" style="162" customWidth="1"/>
    <col min="1801" max="1801" width="14.140625" style="162" customWidth="1"/>
    <col min="1802" max="1802" width="14" style="162" customWidth="1"/>
    <col min="1803" max="1803" width="16.28515625" style="162" customWidth="1"/>
    <col min="1804" max="1805" width="0" style="162" hidden="1" customWidth="1"/>
    <col min="1806" max="1806" width="14" style="162" customWidth="1"/>
    <col min="1807" max="1808" width="14.140625" style="162" customWidth="1"/>
    <col min="1809" max="1809" width="14.28515625" style="162" customWidth="1"/>
    <col min="1810" max="1810" width="17.140625" style="162" customWidth="1"/>
    <col min="1811" max="1812" width="10.42578125" style="162" customWidth="1"/>
    <col min="1813" max="1813" width="13.28515625" style="162" customWidth="1"/>
    <col min="1814" max="1814" width="13.7109375" style="162" customWidth="1"/>
    <col min="1815" max="1815" width="12.7109375" style="162" customWidth="1"/>
    <col min="1816" max="1816" width="14.5703125" style="162" customWidth="1"/>
    <col min="1817" max="1817" width="10.42578125" style="162" customWidth="1"/>
    <col min="1818" max="2048" width="11.42578125" style="162"/>
    <col min="2049" max="2049" width="7.28515625" style="162" customWidth="1"/>
    <col min="2050" max="2050" width="29.7109375" style="162" customWidth="1"/>
    <col min="2051" max="2051" width="48.85546875" style="162" customWidth="1"/>
    <col min="2052" max="2052" width="10.85546875" style="162" customWidth="1"/>
    <col min="2053" max="2053" width="13.28515625" style="162" customWidth="1"/>
    <col min="2054" max="2054" width="11.5703125" style="162" customWidth="1"/>
    <col min="2055" max="2055" width="12.28515625" style="162" customWidth="1"/>
    <col min="2056" max="2056" width="15.42578125" style="162" customWidth="1"/>
    <col min="2057" max="2057" width="14.140625" style="162" customWidth="1"/>
    <col min="2058" max="2058" width="14" style="162" customWidth="1"/>
    <col min="2059" max="2059" width="16.28515625" style="162" customWidth="1"/>
    <col min="2060" max="2061" width="0" style="162" hidden="1" customWidth="1"/>
    <col min="2062" max="2062" width="14" style="162" customWidth="1"/>
    <col min="2063" max="2064" width="14.140625" style="162" customWidth="1"/>
    <col min="2065" max="2065" width="14.28515625" style="162" customWidth="1"/>
    <col min="2066" max="2066" width="17.140625" style="162" customWidth="1"/>
    <col min="2067" max="2068" width="10.42578125" style="162" customWidth="1"/>
    <col min="2069" max="2069" width="13.28515625" style="162" customWidth="1"/>
    <col min="2070" max="2070" width="13.7109375" style="162" customWidth="1"/>
    <col min="2071" max="2071" width="12.7109375" style="162" customWidth="1"/>
    <col min="2072" max="2072" width="14.5703125" style="162" customWidth="1"/>
    <col min="2073" max="2073" width="10.42578125" style="162" customWidth="1"/>
    <col min="2074" max="2304" width="11.42578125" style="162"/>
    <col min="2305" max="2305" width="7.28515625" style="162" customWidth="1"/>
    <col min="2306" max="2306" width="29.7109375" style="162" customWidth="1"/>
    <col min="2307" max="2307" width="48.85546875" style="162" customWidth="1"/>
    <col min="2308" max="2308" width="10.85546875" style="162" customWidth="1"/>
    <col min="2309" max="2309" width="13.28515625" style="162" customWidth="1"/>
    <col min="2310" max="2310" width="11.5703125" style="162" customWidth="1"/>
    <col min="2311" max="2311" width="12.28515625" style="162" customWidth="1"/>
    <col min="2312" max="2312" width="15.42578125" style="162" customWidth="1"/>
    <col min="2313" max="2313" width="14.140625" style="162" customWidth="1"/>
    <col min="2314" max="2314" width="14" style="162" customWidth="1"/>
    <col min="2315" max="2315" width="16.28515625" style="162" customWidth="1"/>
    <col min="2316" max="2317" width="0" style="162" hidden="1" customWidth="1"/>
    <col min="2318" max="2318" width="14" style="162" customWidth="1"/>
    <col min="2319" max="2320" width="14.140625" style="162" customWidth="1"/>
    <col min="2321" max="2321" width="14.28515625" style="162" customWidth="1"/>
    <col min="2322" max="2322" width="17.140625" style="162" customWidth="1"/>
    <col min="2323" max="2324" width="10.42578125" style="162" customWidth="1"/>
    <col min="2325" max="2325" width="13.28515625" style="162" customWidth="1"/>
    <col min="2326" max="2326" width="13.7109375" style="162" customWidth="1"/>
    <col min="2327" max="2327" width="12.7109375" style="162" customWidth="1"/>
    <col min="2328" max="2328" width="14.5703125" style="162" customWidth="1"/>
    <col min="2329" max="2329" width="10.42578125" style="162" customWidth="1"/>
    <col min="2330" max="2560" width="11.42578125" style="162"/>
    <col min="2561" max="2561" width="7.28515625" style="162" customWidth="1"/>
    <col min="2562" max="2562" width="29.7109375" style="162" customWidth="1"/>
    <col min="2563" max="2563" width="48.85546875" style="162" customWidth="1"/>
    <col min="2564" max="2564" width="10.85546875" style="162" customWidth="1"/>
    <col min="2565" max="2565" width="13.28515625" style="162" customWidth="1"/>
    <col min="2566" max="2566" width="11.5703125" style="162" customWidth="1"/>
    <col min="2567" max="2567" width="12.28515625" style="162" customWidth="1"/>
    <col min="2568" max="2568" width="15.42578125" style="162" customWidth="1"/>
    <col min="2569" max="2569" width="14.140625" style="162" customWidth="1"/>
    <col min="2570" max="2570" width="14" style="162" customWidth="1"/>
    <col min="2571" max="2571" width="16.28515625" style="162" customWidth="1"/>
    <col min="2572" max="2573" width="0" style="162" hidden="1" customWidth="1"/>
    <col min="2574" max="2574" width="14" style="162" customWidth="1"/>
    <col min="2575" max="2576" width="14.140625" style="162" customWidth="1"/>
    <col min="2577" max="2577" width="14.28515625" style="162" customWidth="1"/>
    <col min="2578" max="2578" width="17.140625" style="162" customWidth="1"/>
    <col min="2579" max="2580" width="10.42578125" style="162" customWidth="1"/>
    <col min="2581" max="2581" width="13.28515625" style="162" customWidth="1"/>
    <col min="2582" max="2582" width="13.7109375" style="162" customWidth="1"/>
    <col min="2583" max="2583" width="12.7109375" style="162" customWidth="1"/>
    <col min="2584" max="2584" width="14.5703125" style="162" customWidth="1"/>
    <col min="2585" max="2585" width="10.42578125" style="162" customWidth="1"/>
    <col min="2586" max="2816" width="11.42578125" style="162"/>
    <col min="2817" max="2817" width="7.28515625" style="162" customWidth="1"/>
    <col min="2818" max="2818" width="29.7109375" style="162" customWidth="1"/>
    <col min="2819" max="2819" width="48.85546875" style="162" customWidth="1"/>
    <col min="2820" max="2820" width="10.85546875" style="162" customWidth="1"/>
    <col min="2821" max="2821" width="13.28515625" style="162" customWidth="1"/>
    <col min="2822" max="2822" width="11.5703125" style="162" customWidth="1"/>
    <col min="2823" max="2823" width="12.28515625" style="162" customWidth="1"/>
    <col min="2824" max="2824" width="15.42578125" style="162" customWidth="1"/>
    <col min="2825" max="2825" width="14.140625" style="162" customWidth="1"/>
    <col min="2826" max="2826" width="14" style="162" customWidth="1"/>
    <col min="2827" max="2827" width="16.28515625" style="162" customWidth="1"/>
    <col min="2828" max="2829" width="0" style="162" hidden="1" customWidth="1"/>
    <col min="2830" max="2830" width="14" style="162" customWidth="1"/>
    <col min="2831" max="2832" width="14.140625" style="162" customWidth="1"/>
    <col min="2833" max="2833" width="14.28515625" style="162" customWidth="1"/>
    <col min="2834" max="2834" width="17.140625" style="162" customWidth="1"/>
    <col min="2835" max="2836" width="10.42578125" style="162" customWidth="1"/>
    <col min="2837" max="2837" width="13.28515625" style="162" customWidth="1"/>
    <col min="2838" max="2838" width="13.7109375" style="162" customWidth="1"/>
    <col min="2839" max="2839" width="12.7109375" style="162" customWidth="1"/>
    <col min="2840" max="2840" width="14.5703125" style="162" customWidth="1"/>
    <col min="2841" max="2841" width="10.42578125" style="162" customWidth="1"/>
    <col min="2842" max="3072" width="11.42578125" style="162"/>
    <col min="3073" max="3073" width="7.28515625" style="162" customWidth="1"/>
    <col min="3074" max="3074" width="29.7109375" style="162" customWidth="1"/>
    <col min="3075" max="3075" width="48.85546875" style="162" customWidth="1"/>
    <col min="3076" max="3076" width="10.85546875" style="162" customWidth="1"/>
    <col min="3077" max="3077" width="13.28515625" style="162" customWidth="1"/>
    <col min="3078" max="3078" width="11.5703125" style="162" customWidth="1"/>
    <col min="3079" max="3079" width="12.28515625" style="162" customWidth="1"/>
    <col min="3080" max="3080" width="15.42578125" style="162" customWidth="1"/>
    <col min="3081" max="3081" width="14.140625" style="162" customWidth="1"/>
    <col min="3082" max="3082" width="14" style="162" customWidth="1"/>
    <col min="3083" max="3083" width="16.28515625" style="162" customWidth="1"/>
    <col min="3084" max="3085" width="0" style="162" hidden="1" customWidth="1"/>
    <col min="3086" max="3086" width="14" style="162" customWidth="1"/>
    <col min="3087" max="3088" width="14.140625" style="162" customWidth="1"/>
    <col min="3089" max="3089" width="14.28515625" style="162" customWidth="1"/>
    <col min="3090" max="3090" width="17.140625" style="162" customWidth="1"/>
    <col min="3091" max="3092" width="10.42578125" style="162" customWidth="1"/>
    <col min="3093" max="3093" width="13.28515625" style="162" customWidth="1"/>
    <col min="3094" max="3094" width="13.7109375" style="162" customWidth="1"/>
    <col min="3095" max="3095" width="12.7109375" style="162" customWidth="1"/>
    <col min="3096" max="3096" width="14.5703125" style="162" customWidth="1"/>
    <col min="3097" max="3097" width="10.42578125" style="162" customWidth="1"/>
    <col min="3098" max="3328" width="11.42578125" style="162"/>
    <col min="3329" max="3329" width="7.28515625" style="162" customWidth="1"/>
    <col min="3330" max="3330" width="29.7109375" style="162" customWidth="1"/>
    <col min="3331" max="3331" width="48.85546875" style="162" customWidth="1"/>
    <col min="3332" max="3332" width="10.85546875" style="162" customWidth="1"/>
    <col min="3333" max="3333" width="13.28515625" style="162" customWidth="1"/>
    <col min="3334" max="3334" width="11.5703125" style="162" customWidth="1"/>
    <col min="3335" max="3335" width="12.28515625" style="162" customWidth="1"/>
    <col min="3336" max="3336" width="15.42578125" style="162" customWidth="1"/>
    <col min="3337" max="3337" width="14.140625" style="162" customWidth="1"/>
    <col min="3338" max="3338" width="14" style="162" customWidth="1"/>
    <col min="3339" max="3339" width="16.28515625" style="162" customWidth="1"/>
    <col min="3340" max="3341" width="0" style="162" hidden="1" customWidth="1"/>
    <col min="3342" max="3342" width="14" style="162" customWidth="1"/>
    <col min="3343" max="3344" width="14.140625" style="162" customWidth="1"/>
    <col min="3345" max="3345" width="14.28515625" style="162" customWidth="1"/>
    <col min="3346" max="3346" width="17.140625" style="162" customWidth="1"/>
    <col min="3347" max="3348" width="10.42578125" style="162" customWidth="1"/>
    <col min="3349" max="3349" width="13.28515625" style="162" customWidth="1"/>
    <col min="3350" max="3350" width="13.7109375" style="162" customWidth="1"/>
    <col min="3351" max="3351" width="12.7109375" style="162" customWidth="1"/>
    <col min="3352" max="3352" width="14.5703125" style="162" customWidth="1"/>
    <col min="3353" max="3353" width="10.42578125" style="162" customWidth="1"/>
    <col min="3354" max="3584" width="11.42578125" style="162"/>
    <col min="3585" max="3585" width="7.28515625" style="162" customWidth="1"/>
    <col min="3586" max="3586" width="29.7109375" style="162" customWidth="1"/>
    <col min="3587" max="3587" width="48.85546875" style="162" customWidth="1"/>
    <col min="3588" max="3588" width="10.85546875" style="162" customWidth="1"/>
    <col min="3589" max="3589" width="13.28515625" style="162" customWidth="1"/>
    <col min="3590" max="3590" width="11.5703125" style="162" customWidth="1"/>
    <col min="3591" max="3591" width="12.28515625" style="162" customWidth="1"/>
    <col min="3592" max="3592" width="15.42578125" style="162" customWidth="1"/>
    <col min="3593" max="3593" width="14.140625" style="162" customWidth="1"/>
    <col min="3594" max="3594" width="14" style="162" customWidth="1"/>
    <col min="3595" max="3595" width="16.28515625" style="162" customWidth="1"/>
    <col min="3596" max="3597" width="0" style="162" hidden="1" customWidth="1"/>
    <col min="3598" max="3598" width="14" style="162" customWidth="1"/>
    <col min="3599" max="3600" width="14.140625" style="162" customWidth="1"/>
    <col min="3601" max="3601" width="14.28515625" style="162" customWidth="1"/>
    <col min="3602" max="3602" width="17.140625" style="162" customWidth="1"/>
    <col min="3603" max="3604" width="10.42578125" style="162" customWidth="1"/>
    <col min="3605" max="3605" width="13.28515625" style="162" customWidth="1"/>
    <col min="3606" max="3606" width="13.7109375" style="162" customWidth="1"/>
    <col min="3607" max="3607" width="12.7109375" style="162" customWidth="1"/>
    <col min="3608" max="3608" width="14.5703125" style="162" customWidth="1"/>
    <col min="3609" max="3609" width="10.42578125" style="162" customWidth="1"/>
    <col min="3610" max="3840" width="11.42578125" style="162"/>
    <col min="3841" max="3841" width="7.28515625" style="162" customWidth="1"/>
    <col min="3842" max="3842" width="29.7109375" style="162" customWidth="1"/>
    <col min="3843" max="3843" width="48.85546875" style="162" customWidth="1"/>
    <col min="3844" max="3844" width="10.85546875" style="162" customWidth="1"/>
    <col min="3845" max="3845" width="13.28515625" style="162" customWidth="1"/>
    <col min="3846" max="3846" width="11.5703125" style="162" customWidth="1"/>
    <col min="3847" max="3847" width="12.28515625" style="162" customWidth="1"/>
    <col min="3848" max="3848" width="15.42578125" style="162" customWidth="1"/>
    <col min="3849" max="3849" width="14.140625" style="162" customWidth="1"/>
    <col min="3850" max="3850" width="14" style="162" customWidth="1"/>
    <col min="3851" max="3851" width="16.28515625" style="162" customWidth="1"/>
    <col min="3852" max="3853" width="0" style="162" hidden="1" customWidth="1"/>
    <col min="3854" max="3854" width="14" style="162" customWidth="1"/>
    <col min="3855" max="3856" width="14.140625" style="162" customWidth="1"/>
    <col min="3857" max="3857" width="14.28515625" style="162" customWidth="1"/>
    <col min="3858" max="3858" width="17.140625" style="162" customWidth="1"/>
    <col min="3859" max="3860" width="10.42578125" style="162" customWidth="1"/>
    <col min="3861" max="3861" width="13.28515625" style="162" customWidth="1"/>
    <col min="3862" max="3862" width="13.7109375" style="162" customWidth="1"/>
    <col min="3863" max="3863" width="12.7109375" style="162" customWidth="1"/>
    <col min="3864" max="3864" width="14.5703125" style="162" customWidth="1"/>
    <col min="3865" max="3865" width="10.42578125" style="162" customWidth="1"/>
    <col min="3866" max="4096" width="11.42578125" style="162"/>
    <col min="4097" max="4097" width="7.28515625" style="162" customWidth="1"/>
    <col min="4098" max="4098" width="29.7109375" style="162" customWidth="1"/>
    <col min="4099" max="4099" width="48.85546875" style="162" customWidth="1"/>
    <col min="4100" max="4100" width="10.85546875" style="162" customWidth="1"/>
    <col min="4101" max="4101" width="13.28515625" style="162" customWidth="1"/>
    <col min="4102" max="4102" width="11.5703125" style="162" customWidth="1"/>
    <col min="4103" max="4103" width="12.28515625" style="162" customWidth="1"/>
    <col min="4104" max="4104" width="15.42578125" style="162" customWidth="1"/>
    <col min="4105" max="4105" width="14.140625" style="162" customWidth="1"/>
    <col min="4106" max="4106" width="14" style="162" customWidth="1"/>
    <col min="4107" max="4107" width="16.28515625" style="162" customWidth="1"/>
    <col min="4108" max="4109" width="0" style="162" hidden="1" customWidth="1"/>
    <col min="4110" max="4110" width="14" style="162" customWidth="1"/>
    <col min="4111" max="4112" width="14.140625" style="162" customWidth="1"/>
    <col min="4113" max="4113" width="14.28515625" style="162" customWidth="1"/>
    <col min="4114" max="4114" width="17.140625" style="162" customWidth="1"/>
    <col min="4115" max="4116" width="10.42578125" style="162" customWidth="1"/>
    <col min="4117" max="4117" width="13.28515625" style="162" customWidth="1"/>
    <col min="4118" max="4118" width="13.7109375" style="162" customWidth="1"/>
    <col min="4119" max="4119" width="12.7109375" style="162" customWidth="1"/>
    <col min="4120" max="4120" width="14.5703125" style="162" customWidth="1"/>
    <col min="4121" max="4121" width="10.42578125" style="162" customWidth="1"/>
    <col min="4122" max="4352" width="11.42578125" style="162"/>
    <col min="4353" max="4353" width="7.28515625" style="162" customWidth="1"/>
    <col min="4354" max="4354" width="29.7109375" style="162" customWidth="1"/>
    <col min="4355" max="4355" width="48.85546875" style="162" customWidth="1"/>
    <col min="4356" max="4356" width="10.85546875" style="162" customWidth="1"/>
    <col min="4357" max="4357" width="13.28515625" style="162" customWidth="1"/>
    <col min="4358" max="4358" width="11.5703125" style="162" customWidth="1"/>
    <col min="4359" max="4359" width="12.28515625" style="162" customWidth="1"/>
    <col min="4360" max="4360" width="15.42578125" style="162" customWidth="1"/>
    <col min="4361" max="4361" width="14.140625" style="162" customWidth="1"/>
    <col min="4362" max="4362" width="14" style="162" customWidth="1"/>
    <col min="4363" max="4363" width="16.28515625" style="162" customWidth="1"/>
    <col min="4364" max="4365" width="0" style="162" hidden="1" customWidth="1"/>
    <col min="4366" max="4366" width="14" style="162" customWidth="1"/>
    <col min="4367" max="4368" width="14.140625" style="162" customWidth="1"/>
    <col min="4369" max="4369" width="14.28515625" style="162" customWidth="1"/>
    <col min="4370" max="4370" width="17.140625" style="162" customWidth="1"/>
    <col min="4371" max="4372" width="10.42578125" style="162" customWidth="1"/>
    <col min="4373" max="4373" width="13.28515625" style="162" customWidth="1"/>
    <col min="4374" max="4374" width="13.7109375" style="162" customWidth="1"/>
    <col min="4375" max="4375" width="12.7109375" style="162" customWidth="1"/>
    <col min="4376" max="4376" width="14.5703125" style="162" customWidth="1"/>
    <col min="4377" max="4377" width="10.42578125" style="162" customWidth="1"/>
    <col min="4378" max="4608" width="11.42578125" style="162"/>
    <col min="4609" max="4609" width="7.28515625" style="162" customWidth="1"/>
    <col min="4610" max="4610" width="29.7109375" style="162" customWidth="1"/>
    <col min="4611" max="4611" width="48.85546875" style="162" customWidth="1"/>
    <col min="4612" max="4612" width="10.85546875" style="162" customWidth="1"/>
    <col min="4613" max="4613" width="13.28515625" style="162" customWidth="1"/>
    <col min="4614" max="4614" width="11.5703125" style="162" customWidth="1"/>
    <col min="4615" max="4615" width="12.28515625" style="162" customWidth="1"/>
    <col min="4616" max="4616" width="15.42578125" style="162" customWidth="1"/>
    <col min="4617" max="4617" width="14.140625" style="162" customWidth="1"/>
    <col min="4618" max="4618" width="14" style="162" customWidth="1"/>
    <col min="4619" max="4619" width="16.28515625" style="162" customWidth="1"/>
    <col min="4620" max="4621" width="0" style="162" hidden="1" customWidth="1"/>
    <col min="4622" max="4622" width="14" style="162" customWidth="1"/>
    <col min="4623" max="4624" width="14.140625" style="162" customWidth="1"/>
    <col min="4625" max="4625" width="14.28515625" style="162" customWidth="1"/>
    <col min="4626" max="4626" width="17.140625" style="162" customWidth="1"/>
    <col min="4627" max="4628" width="10.42578125" style="162" customWidth="1"/>
    <col min="4629" max="4629" width="13.28515625" style="162" customWidth="1"/>
    <col min="4630" max="4630" width="13.7109375" style="162" customWidth="1"/>
    <col min="4631" max="4631" width="12.7109375" style="162" customWidth="1"/>
    <col min="4632" max="4632" width="14.5703125" style="162" customWidth="1"/>
    <col min="4633" max="4633" width="10.42578125" style="162" customWidth="1"/>
    <col min="4634" max="4864" width="11.42578125" style="162"/>
    <col min="4865" max="4865" width="7.28515625" style="162" customWidth="1"/>
    <col min="4866" max="4866" width="29.7109375" style="162" customWidth="1"/>
    <col min="4867" max="4867" width="48.85546875" style="162" customWidth="1"/>
    <col min="4868" max="4868" width="10.85546875" style="162" customWidth="1"/>
    <col min="4869" max="4869" width="13.28515625" style="162" customWidth="1"/>
    <col min="4870" max="4870" width="11.5703125" style="162" customWidth="1"/>
    <col min="4871" max="4871" width="12.28515625" style="162" customWidth="1"/>
    <col min="4872" max="4872" width="15.42578125" style="162" customWidth="1"/>
    <col min="4873" max="4873" width="14.140625" style="162" customWidth="1"/>
    <col min="4874" max="4874" width="14" style="162" customWidth="1"/>
    <col min="4875" max="4875" width="16.28515625" style="162" customWidth="1"/>
    <col min="4876" max="4877" width="0" style="162" hidden="1" customWidth="1"/>
    <col min="4878" max="4878" width="14" style="162" customWidth="1"/>
    <col min="4879" max="4880" width="14.140625" style="162" customWidth="1"/>
    <col min="4881" max="4881" width="14.28515625" style="162" customWidth="1"/>
    <col min="4882" max="4882" width="17.140625" style="162" customWidth="1"/>
    <col min="4883" max="4884" width="10.42578125" style="162" customWidth="1"/>
    <col min="4885" max="4885" width="13.28515625" style="162" customWidth="1"/>
    <col min="4886" max="4886" width="13.7109375" style="162" customWidth="1"/>
    <col min="4887" max="4887" width="12.7109375" style="162" customWidth="1"/>
    <col min="4888" max="4888" width="14.5703125" style="162" customWidth="1"/>
    <col min="4889" max="4889" width="10.42578125" style="162" customWidth="1"/>
    <col min="4890" max="5120" width="11.42578125" style="162"/>
    <col min="5121" max="5121" width="7.28515625" style="162" customWidth="1"/>
    <col min="5122" max="5122" width="29.7109375" style="162" customWidth="1"/>
    <col min="5123" max="5123" width="48.85546875" style="162" customWidth="1"/>
    <col min="5124" max="5124" width="10.85546875" style="162" customWidth="1"/>
    <col min="5125" max="5125" width="13.28515625" style="162" customWidth="1"/>
    <col min="5126" max="5126" width="11.5703125" style="162" customWidth="1"/>
    <col min="5127" max="5127" width="12.28515625" style="162" customWidth="1"/>
    <col min="5128" max="5128" width="15.42578125" style="162" customWidth="1"/>
    <col min="5129" max="5129" width="14.140625" style="162" customWidth="1"/>
    <col min="5130" max="5130" width="14" style="162" customWidth="1"/>
    <col min="5131" max="5131" width="16.28515625" style="162" customWidth="1"/>
    <col min="5132" max="5133" width="0" style="162" hidden="1" customWidth="1"/>
    <col min="5134" max="5134" width="14" style="162" customWidth="1"/>
    <col min="5135" max="5136" width="14.140625" style="162" customWidth="1"/>
    <col min="5137" max="5137" width="14.28515625" style="162" customWidth="1"/>
    <col min="5138" max="5138" width="17.140625" style="162" customWidth="1"/>
    <col min="5139" max="5140" width="10.42578125" style="162" customWidth="1"/>
    <col min="5141" max="5141" width="13.28515625" style="162" customWidth="1"/>
    <col min="5142" max="5142" width="13.7109375" style="162" customWidth="1"/>
    <col min="5143" max="5143" width="12.7109375" style="162" customWidth="1"/>
    <col min="5144" max="5144" width="14.5703125" style="162" customWidth="1"/>
    <col min="5145" max="5145" width="10.42578125" style="162" customWidth="1"/>
    <col min="5146" max="5376" width="11.42578125" style="162"/>
    <col min="5377" max="5377" width="7.28515625" style="162" customWidth="1"/>
    <col min="5378" max="5378" width="29.7109375" style="162" customWidth="1"/>
    <col min="5379" max="5379" width="48.85546875" style="162" customWidth="1"/>
    <col min="5380" max="5380" width="10.85546875" style="162" customWidth="1"/>
    <col min="5381" max="5381" width="13.28515625" style="162" customWidth="1"/>
    <col min="5382" max="5382" width="11.5703125" style="162" customWidth="1"/>
    <col min="5383" max="5383" width="12.28515625" style="162" customWidth="1"/>
    <col min="5384" max="5384" width="15.42578125" style="162" customWidth="1"/>
    <col min="5385" max="5385" width="14.140625" style="162" customWidth="1"/>
    <col min="5386" max="5386" width="14" style="162" customWidth="1"/>
    <col min="5387" max="5387" width="16.28515625" style="162" customWidth="1"/>
    <col min="5388" max="5389" width="0" style="162" hidden="1" customWidth="1"/>
    <col min="5390" max="5390" width="14" style="162" customWidth="1"/>
    <col min="5391" max="5392" width="14.140625" style="162" customWidth="1"/>
    <col min="5393" max="5393" width="14.28515625" style="162" customWidth="1"/>
    <col min="5394" max="5394" width="17.140625" style="162" customWidth="1"/>
    <col min="5395" max="5396" width="10.42578125" style="162" customWidth="1"/>
    <col min="5397" max="5397" width="13.28515625" style="162" customWidth="1"/>
    <col min="5398" max="5398" width="13.7109375" style="162" customWidth="1"/>
    <col min="5399" max="5399" width="12.7109375" style="162" customWidth="1"/>
    <col min="5400" max="5400" width="14.5703125" style="162" customWidth="1"/>
    <col min="5401" max="5401" width="10.42578125" style="162" customWidth="1"/>
    <col min="5402" max="5632" width="11.42578125" style="162"/>
    <col min="5633" max="5633" width="7.28515625" style="162" customWidth="1"/>
    <col min="5634" max="5634" width="29.7109375" style="162" customWidth="1"/>
    <col min="5635" max="5635" width="48.85546875" style="162" customWidth="1"/>
    <col min="5636" max="5636" width="10.85546875" style="162" customWidth="1"/>
    <col min="5637" max="5637" width="13.28515625" style="162" customWidth="1"/>
    <col min="5638" max="5638" width="11.5703125" style="162" customWidth="1"/>
    <col min="5639" max="5639" width="12.28515625" style="162" customWidth="1"/>
    <col min="5640" max="5640" width="15.42578125" style="162" customWidth="1"/>
    <col min="5641" max="5641" width="14.140625" style="162" customWidth="1"/>
    <col min="5642" max="5642" width="14" style="162" customWidth="1"/>
    <col min="5643" max="5643" width="16.28515625" style="162" customWidth="1"/>
    <col min="5644" max="5645" width="0" style="162" hidden="1" customWidth="1"/>
    <col min="5646" max="5646" width="14" style="162" customWidth="1"/>
    <col min="5647" max="5648" width="14.140625" style="162" customWidth="1"/>
    <col min="5649" max="5649" width="14.28515625" style="162" customWidth="1"/>
    <col min="5650" max="5650" width="17.140625" style="162" customWidth="1"/>
    <col min="5651" max="5652" width="10.42578125" style="162" customWidth="1"/>
    <col min="5653" max="5653" width="13.28515625" style="162" customWidth="1"/>
    <col min="5654" max="5654" width="13.7109375" style="162" customWidth="1"/>
    <col min="5655" max="5655" width="12.7109375" style="162" customWidth="1"/>
    <col min="5656" max="5656" width="14.5703125" style="162" customWidth="1"/>
    <col min="5657" max="5657" width="10.42578125" style="162" customWidth="1"/>
    <col min="5658" max="5888" width="11.42578125" style="162"/>
    <col min="5889" max="5889" width="7.28515625" style="162" customWidth="1"/>
    <col min="5890" max="5890" width="29.7109375" style="162" customWidth="1"/>
    <col min="5891" max="5891" width="48.85546875" style="162" customWidth="1"/>
    <col min="5892" max="5892" width="10.85546875" style="162" customWidth="1"/>
    <col min="5893" max="5893" width="13.28515625" style="162" customWidth="1"/>
    <col min="5894" max="5894" width="11.5703125" style="162" customWidth="1"/>
    <col min="5895" max="5895" width="12.28515625" style="162" customWidth="1"/>
    <col min="5896" max="5896" width="15.42578125" style="162" customWidth="1"/>
    <col min="5897" max="5897" width="14.140625" style="162" customWidth="1"/>
    <col min="5898" max="5898" width="14" style="162" customWidth="1"/>
    <col min="5899" max="5899" width="16.28515625" style="162" customWidth="1"/>
    <col min="5900" max="5901" width="0" style="162" hidden="1" customWidth="1"/>
    <col min="5902" max="5902" width="14" style="162" customWidth="1"/>
    <col min="5903" max="5904" width="14.140625" style="162" customWidth="1"/>
    <col min="5905" max="5905" width="14.28515625" style="162" customWidth="1"/>
    <col min="5906" max="5906" width="17.140625" style="162" customWidth="1"/>
    <col min="5907" max="5908" width="10.42578125" style="162" customWidth="1"/>
    <col min="5909" max="5909" width="13.28515625" style="162" customWidth="1"/>
    <col min="5910" max="5910" width="13.7109375" style="162" customWidth="1"/>
    <col min="5911" max="5911" width="12.7109375" style="162" customWidth="1"/>
    <col min="5912" max="5912" width="14.5703125" style="162" customWidth="1"/>
    <col min="5913" max="5913" width="10.42578125" style="162" customWidth="1"/>
    <col min="5914" max="6144" width="11.42578125" style="162"/>
    <col min="6145" max="6145" width="7.28515625" style="162" customWidth="1"/>
    <col min="6146" max="6146" width="29.7109375" style="162" customWidth="1"/>
    <col min="6147" max="6147" width="48.85546875" style="162" customWidth="1"/>
    <col min="6148" max="6148" width="10.85546875" style="162" customWidth="1"/>
    <col min="6149" max="6149" width="13.28515625" style="162" customWidth="1"/>
    <col min="6150" max="6150" width="11.5703125" style="162" customWidth="1"/>
    <col min="6151" max="6151" width="12.28515625" style="162" customWidth="1"/>
    <col min="6152" max="6152" width="15.42578125" style="162" customWidth="1"/>
    <col min="6153" max="6153" width="14.140625" style="162" customWidth="1"/>
    <col min="6154" max="6154" width="14" style="162" customWidth="1"/>
    <col min="6155" max="6155" width="16.28515625" style="162" customWidth="1"/>
    <col min="6156" max="6157" width="0" style="162" hidden="1" customWidth="1"/>
    <col min="6158" max="6158" width="14" style="162" customWidth="1"/>
    <col min="6159" max="6160" width="14.140625" style="162" customWidth="1"/>
    <col min="6161" max="6161" width="14.28515625" style="162" customWidth="1"/>
    <col min="6162" max="6162" width="17.140625" style="162" customWidth="1"/>
    <col min="6163" max="6164" width="10.42578125" style="162" customWidth="1"/>
    <col min="6165" max="6165" width="13.28515625" style="162" customWidth="1"/>
    <col min="6166" max="6166" width="13.7109375" style="162" customWidth="1"/>
    <col min="6167" max="6167" width="12.7109375" style="162" customWidth="1"/>
    <col min="6168" max="6168" width="14.5703125" style="162" customWidth="1"/>
    <col min="6169" max="6169" width="10.42578125" style="162" customWidth="1"/>
    <col min="6170" max="6400" width="11.42578125" style="162"/>
    <col min="6401" max="6401" width="7.28515625" style="162" customWidth="1"/>
    <col min="6402" max="6402" width="29.7109375" style="162" customWidth="1"/>
    <col min="6403" max="6403" width="48.85546875" style="162" customWidth="1"/>
    <col min="6404" max="6404" width="10.85546875" style="162" customWidth="1"/>
    <col min="6405" max="6405" width="13.28515625" style="162" customWidth="1"/>
    <col min="6406" max="6406" width="11.5703125" style="162" customWidth="1"/>
    <col min="6407" max="6407" width="12.28515625" style="162" customWidth="1"/>
    <col min="6408" max="6408" width="15.42578125" style="162" customWidth="1"/>
    <col min="6409" max="6409" width="14.140625" style="162" customWidth="1"/>
    <col min="6410" max="6410" width="14" style="162" customWidth="1"/>
    <col min="6411" max="6411" width="16.28515625" style="162" customWidth="1"/>
    <col min="6412" max="6413" width="0" style="162" hidden="1" customWidth="1"/>
    <col min="6414" max="6414" width="14" style="162" customWidth="1"/>
    <col min="6415" max="6416" width="14.140625" style="162" customWidth="1"/>
    <col min="6417" max="6417" width="14.28515625" style="162" customWidth="1"/>
    <col min="6418" max="6418" width="17.140625" style="162" customWidth="1"/>
    <col min="6419" max="6420" width="10.42578125" style="162" customWidth="1"/>
    <col min="6421" max="6421" width="13.28515625" style="162" customWidth="1"/>
    <col min="6422" max="6422" width="13.7109375" style="162" customWidth="1"/>
    <col min="6423" max="6423" width="12.7109375" style="162" customWidth="1"/>
    <col min="6424" max="6424" width="14.5703125" style="162" customWidth="1"/>
    <col min="6425" max="6425" width="10.42578125" style="162" customWidth="1"/>
    <col min="6426" max="6656" width="11.42578125" style="162"/>
    <col min="6657" max="6657" width="7.28515625" style="162" customWidth="1"/>
    <col min="6658" max="6658" width="29.7109375" style="162" customWidth="1"/>
    <col min="6659" max="6659" width="48.85546875" style="162" customWidth="1"/>
    <col min="6660" max="6660" width="10.85546875" style="162" customWidth="1"/>
    <col min="6661" max="6661" width="13.28515625" style="162" customWidth="1"/>
    <col min="6662" max="6662" width="11.5703125" style="162" customWidth="1"/>
    <col min="6663" max="6663" width="12.28515625" style="162" customWidth="1"/>
    <col min="6664" max="6664" width="15.42578125" style="162" customWidth="1"/>
    <col min="6665" max="6665" width="14.140625" style="162" customWidth="1"/>
    <col min="6666" max="6666" width="14" style="162" customWidth="1"/>
    <col min="6667" max="6667" width="16.28515625" style="162" customWidth="1"/>
    <col min="6668" max="6669" width="0" style="162" hidden="1" customWidth="1"/>
    <col min="6670" max="6670" width="14" style="162" customWidth="1"/>
    <col min="6671" max="6672" width="14.140625" style="162" customWidth="1"/>
    <col min="6673" max="6673" width="14.28515625" style="162" customWidth="1"/>
    <col min="6674" max="6674" width="17.140625" style="162" customWidth="1"/>
    <col min="6675" max="6676" width="10.42578125" style="162" customWidth="1"/>
    <col min="6677" max="6677" width="13.28515625" style="162" customWidth="1"/>
    <col min="6678" max="6678" width="13.7109375" style="162" customWidth="1"/>
    <col min="6679" max="6679" width="12.7109375" style="162" customWidth="1"/>
    <col min="6680" max="6680" width="14.5703125" style="162" customWidth="1"/>
    <col min="6681" max="6681" width="10.42578125" style="162" customWidth="1"/>
    <col min="6682" max="6912" width="11.42578125" style="162"/>
    <col min="6913" max="6913" width="7.28515625" style="162" customWidth="1"/>
    <col min="6914" max="6914" width="29.7109375" style="162" customWidth="1"/>
    <col min="6915" max="6915" width="48.85546875" style="162" customWidth="1"/>
    <col min="6916" max="6916" width="10.85546875" style="162" customWidth="1"/>
    <col min="6917" max="6917" width="13.28515625" style="162" customWidth="1"/>
    <col min="6918" max="6918" width="11.5703125" style="162" customWidth="1"/>
    <col min="6919" max="6919" width="12.28515625" style="162" customWidth="1"/>
    <col min="6920" max="6920" width="15.42578125" style="162" customWidth="1"/>
    <col min="6921" max="6921" width="14.140625" style="162" customWidth="1"/>
    <col min="6922" max="6922" width="14" style="162" customWidth="1"/>
    <col min="6923" max="6923" width="16.28515625" style="162" customWidth="1"/>
    <col min="6924" max="6925" width="0" style="162" hidden="1" customWidth="1"/>
    <col min="6926" max="6926" width="14" style="162" customWidth="1"/>
    <col min="6927" max="6928" width="14.140625" style="162" customWidth="1"/>
    <col min="6929" max="6929" width="14.28515625" style="162" customWidth="1"/>
    <col min="6930" max="6930" width="17.140625" style="162" customWidth="1"/>
    <col min="6931" max="6932" width="10.42578125" style="162" customWidth="1"/>
    <col min="6933" max="6933" width="13.28515625" style="162" customWidth="1"/>
    <col min="6934" max="6934" width="13.7109375" style="162" customWidth="1"/>
    <col min="6935" max="6935" width="12.7109375" style="162" customWidth="1"/>
    <col min="6936" max="6936" width="14.5703125" style="162" customWidth="1"/>
    <col min="6937" max="6937" width="10.42578125" style="162" customWidth="1"/>
    <col min="6938" max="7168" width="11.42578125" style="162"/>
    <col min="7169" max="7169" width="7.28515625" style="162" customWidth="1"/>
    <col min="7170" max="7170" width="29.7109375" style="162" customWidth="1"/>
    <col min="7171" max="7171" width="48.85546875" style="162" customWidth="1"/>
    <col min="7172" max="7172" width="10.85546875" style="162" customWidth="1"/>
    <col min="7173" max="7173" width="13.28515625" style="162" customWidth="1"/>
    <col min="7174" max="7174" width="11.5703125" style="162" customWidth="1"/>
    <col min="7175" max="7175" width="12.28515625" style="162" customWidth="1"/>
    <col min="7176" max="7176" width="15.42578125" style="162" customWidth="1"/>
    <col min="7177" max="7177" width="14.140625" style="162" customWidth="1"/>
    <col min="7178" max="7178" width="14" style="162" customWidth="1"/>
    <col min="7179" max="7179" width="16.28515625" style="162" customWidth="1"/>
    <col min="7180" max="7181" width="0" style="162" hidden="1" customWidth="1"/>
    <col min="7182" max="7182" width="14" style="162" customWidth="1"/>
    <col min="7183" max="7184" width="14.140625" style="162" customWidth="1"/>
    <col min="7185" max="7185" width="14.28515625" style="162" customWidth="1"/>
    <col min="7186" max="7186" width="17.140625" style="162" customWidth="1"/>
    <col min="7187" max="7188" width="10.42578125" style="162" customWidth="1"/>
    <col min="7189" max="7189" width="13.28515625" style="162" customWidth="1"/>
    <col min="7190" max="7190" width="13.7109375" style="162" customWidth="1"/>
    <col min="7191" max="7191" width="12.7109375" style="162" customWidth="1"/>
    <col min="7192" max="7192" width="14.5703125" style="162" customWidth="1"/>
    <col min="7193" max="7193" width="10.42578125" style="162" customWidth="1"/>
    <col min="7194" max="7424" width="11.42578125" style="162"/>
    <col min="7425" max="7425" width="7.28515625" style="162" customWidth="1"/>
    <col min="7426" max="7426" width="29.7109375" style="162" customWidth="1"/>
    <col min="7427" max="7427" width="48.85546875" style="162" customWidth="1"/>
    <col min="7428" max="7428" width="10.85546875" style="162" customWidth="1"/>
    <col min="7429" max="7429" width="13.28515625" style="162" customWidth="1"/>
    <col min="7430" max="7430" width="11.5703125" style="162" customWidth="1"/>
    <col min="7431" max="7431" width="12.28515625" style="162" customWidth="1"/>
    <col min="7432" max="7432" width="15.42578125" style="162" customWidth="1"/>
    <col min="7433" max="7433" width="14.140625" style="162" customWidth="1"/>
    <col min="7434" max="7434" width="14" style="162" customWidth="1"/>
    <col min="7435" max="7435" width="16.28515625" style="162" customWidth="1"/>
    <col min="7436" max="7437" width="0" style="162" hidden="1" customWidth="1"/>
    <col min="7438" max="7438" width="14" style="162" customWidth="1"/>
    <col min="7439" max="7440" width="14.140625" style="162" customWidth="1"/>
    <col min="7441" max="7441" width="14.28515625" style="162" customWidth="1"/>
    <col min="7442" max="7442" width="17.140625" style="162" customWidth="1"/>
    <col min="7443" max="7444" width="10.42578125" style="162" customWidth="1"/>
    <col min="7445" max="7445" width="13.28515625" style="162" customWidth="1"/>
    <col min="7446" max="7446" width="13.7109375" style="162" customWidth="1"/>
    <col min="7447" max="7447" width="12.7109375" style="162" customWidth="1"/>
    <col min="7448" max="7448" width="14.5703125" style="162" customWidth="1"/>
    <col min="7449" max="7449" width="10.42578125" style="162" customWidth="1"/>
    <col min="7450" max="7680" width="11.42578125" style="162"/>
    <col min="7681" max="7681" width="7.28515625" style="162" customWidth="1"/>
    <col min="7682" max="7682" width="29.7109375" style="162" customWidth="1"/>
    <col min="7683" max="7683" width="48.85546875" style="162" customWidth="1"/>
    <col min="7684" max="7684" width="10.85546875" style="162" customWidth="1"/>
    <col min="7685" max="7685" width="13.28515625" style="162" customWidth="1"/>
    <col min="7686" max="7686" width="11.5703125" style="162" customWidth="1"/>
    <col min="7687" max="7687" width="12.28515625" style="162" customWidth="1"/>
    <col min="7688" max="7688" width="15.42578125" style="162" customWidth="1"/>
    <col min="7689" max="7689" width="14.140625" style="162" customWidth="1"/>
    <col min="7690" max="7690" width="14" style="162" customWidth="1"/>
    <col min="7691" max="7691" width="16.28515625" style="162" customWidth="1"/>
    <col min="7692" max="7693" width="0" style="162" hidden="1" customWidth="1"/>
    <col min="7694" max="7694" width="14" style="162" customWidth="1"/>
    <col min="7695" max="7696" width="14.140625" style="162" customWidth="1"/>
    <col min="7697" max="7697" width="14.28515625" style="162" customWidth="1"/>
    <col min="7698" max="7698" width="17.140625" style="162" customWidth="1"/>
    <col min="7699" max="7700" width="10.42578125" style="162" customWidth="1"/>
    <col min="7701" max="7701" width="13.28515625" style="162" customWidth="1"/>
    <col min="7702" max="7702" width="13.7109375" style="162" customWidth="1"/>
    <col min="7703" max="7703" width="12.7109375" style="162" customWidth="1"/>
    <col min="7704" max="7704" width="14.5703125" style="162" customWidth="1"/>
    <col min="7705" max="7705" width="10.42578125" style="162" customWidth="1"/>
    <col min="7706" max="7936" width="11.42578125" style="162"/>
    <col min="7937" max="7937" width="7.28515625" style="162" customWidth="1"/>
    <col min="7938" max="7938" width="29.7109375" style="162" customWidth="1"/>
    <col min="7939" max="7939" width="48.85546875" style="162" customWidth="1"/>
    <col min="7940" max="7940" width="10.85546875" style="162" customWidth="1"/>
    <col min="7941" max="7941" width="13.28515625" style="162" customWidth="1"/>
    <col min="7942" max="7942" width="11.5703125" style="162" customWidth="1"/>
    <col min="7943" max="7943" width="12.28515625" style="162" customWidth="1"/>
    <col min="7944" max="7944" width="15.42578125" style="162" customWidth="1"/>
    <col min="7945" max="7945" width="14.140625" style="162" customWidth="1"/>
    <col min="7946" max="7946" width="14" style="162" customWidth="1"/>
    <col min="7947" max="7947" width="16.28515625" style="162" customWidth="1"/>
    <col min="7948" max="7949" width="0" style="162" hidden="1" customWidth="1"/>
    <col min="7950" max="7950" width="14" style="162" customWidth="1"/>
    <col min="7951" max="7952" width="14.140625" style="162" customWidth="1"/>
    <col min="7953" max="7953" width="14.28515625" style="162" customWidth="1"/>
    <col min="7954" max="7954" width="17.140625" style="162" customWidth="1"/>
    <col min="7955" max="7956" width="10.42578125" style="162" customWidth="1"/>
    <col min="7957" max="7957" width="13.28515625" style="162" customWidth="1"/>
    <col min="7958" max="7958" width="13.7109375" style="162" customWidth="1"/>
    <col min="7959" max="7959" width="12.7109375" style="162" customWidth="1"/>
    <col min="7960" max="7960" width="14.5703125" style="162" customWidth="1"/>
    <col min="7961" max="7961" width="10.42578125" style="162" customWidth="1"/>
    <col min="7962" max="8192" width="11.42578125" style="162"/>
    <col min="8193" max="8193" width="7.28515625" style="162" customWidth="1"/>
    <col min="8194" max="8194" width="29.7109375" style="162" customWidth="1"/>
    <col min="8195" max="8195" width="48.85546875" style="162" customWidth="1"/>
    <col min="8196" max="8196" width="10.85546875" style="162" customWidth="1"/>
    <col min="8197" max="8197" width="13.28515625" style="162" customWidth="1"/>
    <col min="8198" max="8198" width="11.5703125" style="162" customWidth="1"/>
    <col min="8199" max="8199" width="12.28515625" style="162" customWidth="1"/>
    <col min="8200" max="8200" width="15.42578125" style="162" customWidth="1"/>
    <col min="8201" max="8201" width="14.140625" style="162" customWidth="1"/>
    <col min="8202" max="8202" width="14" style="162" customWidth="1"/>
    <col min="8203" max="8203" width="16.28515625" style="162" customWidth="1"/>
    <col min="8204" max="8205" width="0" style="162" hidden="1" customWidth="1"/>
    <col min="8206" max="8206" width="14" style="162" customWidth="1"/>
    <col min="8207" max="8208" width="14.140625" style="162" customWidth="1"/>
    <col min="8209" max="8209" width="14.28515625" style="162" customWidth="1"/>
    <col min="8210" max="8210" width="17.140625" style="162" customWidth="1"/>
    <col min="8211" max="8212" width="10.42578125" style="162" customWidth="1"/>
    <col min="8213" max="8213" width="13.28515625" style="162" customWidth="1"/>
    <col min="8214" max="8214" width="13.7109375" style="162" customWidth="1"/>
    <col min="8215" max="8215" width="12.7109375" style="162" customWidth="1"/>
    <col min="8216" max="8216" width="14.5703125" style="162" customWidth="1"/>
    <col min="8217" max="8217" width="10.42578125" style="162" customWidth="1"/>
    <col min="8218" max="8448" width="11.42578125" style="162"/>
    <col min="8449" max="8449" width="7.28515625" style="162" customWidth="1"/>
    <col min="8450" max="8450" width="29.7109375" style="162" customWidth="1"/>
    <col min="8451" max="8451" width="48.85546875" style="162" customWidth="1"/>
    <col min="8452" max="8452" width="10.85546875" style="162" customWidth="1"/>
    <col min="8453" max="8453" width="13.28515625" style="162" customWidth="1"/>
    <col min="8454" max="8454" width="11.5703125" style="162" customWidth="1"/>
    <col min="8455" max="8455" width="12.28515625" style="162" customWidth="1"/>
    <col min="8456" max="8456" width="15.42578125" style="162" customWidth="1"/>
    <col min="8457" max="8457" width="14.140625" style="162" customWidth="1"/>
    <col min="8458" max="8458" width="14" style="162" customWidth="1"/>
    <col min="8459" max="8459" width="16.28515625" style="162" customWidth="1"/>
    <col min="8460" max="8461" width="0" style="162" hidden="1" customWidth="1"/>
    <col min="8462" max="8462" width="14" style="162" customWidth="1"/>
    <col min="8463" max="8464" width="14.140625" style="162" customWidth="1"/>
    <col min="8465" max="8465" width="14.28515625" style="162" customWidth="1"/>
    <col min="8466" max="8466" width="17.140625" style="162" customWidth="1"/>
    <col min="8467" max="8468" width="10.42578125" style="162" customWidth="1"/>
    <col min="8469" max="8469" width="13.28515625" style="162" customWidth="1"/>
    <col min="8470" max="8470" width="13.7109375" style="162" customWidth="1"/>
    <col min="8471" max="8471" width="12.7109375" style="162" customWidth="1"/>
    <col min="8472" max="8472" width="14.5703125" style="162" customWidth="1"/>
    <col min="8473" max="8473" width="10.42578125" style="162" customWidth="1"/>
    <col min="8474" max="8704" width="11.42578125" style="162"/>
    <col min="8705" max="8705" width="7.28515625" style="162" customWidth="1"/>
    <col min="8706" max="8706" width="29.7109375" style="162" customWidth="1"/>
    <col min="8707" max="8707" width="48.85546875" style="162" customWidth="1"/>
    <col min="8708" max="8708" width="10.85546875" style="162" customWidth="1"/>
    <col min="8709" max="8709" width="13.28515625" style="162" customWidth="1"/>
    <col min="8710" max="8710" width="11.5703125" style="162" customWidth="1"/>
    <col min="8711" max="8711" width="12.28515625" style="162" customWidth="1"/>
    <col min="8712" max="8712" width="15.42578125" style="162" customWidth="1"/>
    <col min="8713" max="8713" width="14.140625" style="162" customWidth="1"/>
    <col min="8714" max="8714" width="14" style="162" customWidth="1"/>
    <col min="8715" max="8715" width="16.28515625" style="162" customWidth="1"/>
    <col min="8716" max="8717" width="0" style="162" hidden="1" customWidth="1"/>
    <col min="8718" max="8718" width="14" style="162" customWidth="1"/>
    <col min="8719" max="8720" width="14.140625" style="162" customWidth="1"/>
    <col min="8721" max="8721" width="14.28515625" style="162" customWidth="1"/>
    <col min="8722" max="8722" width="17.140625" style="162" customWidth="1"/>
    <col min="8723" max="8724" width="10.42578125" style="162" customWidth="1"/>
    <col min="8725" max="8725" width="13.28515625" style="162" customWidth="1"/>
    <col min="8726" max="8726" width="13.7109375" style="162" customWidth="1"/>
    <col min="8727" max="8727" width="12.7109375" style="162" customWidth="1"/>
    <col min="8728" max="8728" width="14.5703125" style="162" customWidth="1"/>
    <col min="8729" max="8729" width="10.42578125" style="162" customWidth="1"/>
    <col min="8730" max="8960" width="11.42578125" style="162"/>
    <col min="8961" max="8961" width="7.28515625" style="162" customWidth="1"/>
    <col min="8962" max="8962" width="29.7109375" style="162" customWidth="1"/>
    <col min="8963" max="8963" width="48.85546875" style="162" customWidth="1"/>
    <col min="8964" max="8964" width="10.85546875" style="162" customWidth="1"/>
    <col min="8965" max="8965" width="13.28515625" style="162" customWidth="1"/>
    <col min="8966" max="8966" width="11.5703125" style="162" customWidth="1"/>
    <col min="8967" max="8967" width="12.28515625" style="162" customWidth="1"/>
    <col min="8968" max="8968" width="15.42578125" style="162" customWidth="1"/>
    <col min="8969" max="8969" width="14.140625" style="162" customWidth="1"/>
    <col min="8970" max="8970" width="14" style="162" customWidth="1"/>
    <col min="8971" max="8971" width="16.28515625" style="162" customWidth="1"/>
    <col min="8972" max="8973" width="0" style="162" hidden="1" customWidth="1"/>
    <col min="8974" max="8974" width="14" style="162" customWidth="1"/>
    <col min="8975" max="8976" width="14.140625" style="162" customWidth="1"/>
    <col min="8977" max="8977" width="14.28515625" style="162" customWidth="1"/>
    <col min="8978" max="8978" width="17.140625" style="162" customWidth="1"/>
    <col min="8979" max="8980" width="10.42578125" style="162" customWidth="1"/>
    <col min="8981" max="8981" width="13.28515625" style="162" customWidth="1"/>
    <col min="8982" max="8982" width="13.7109375" style="162" customWidth="1"/>
    <col min="8983" max="8983" width="12.7109375" style="162" customWidth="1"/>
    <col min="8984" max="8984" width="14.5703125" style="162" customWidth="1"/>
    <col min="8985" max="8985" width="10.42578125" style="162" customWidth="1"/>
    <col min="8986" max="9216" width="11.42578125" style="162"/>
    <col min="9217" max="9217" width="7.28515625" style="162" customWidth="1"/>
    <col min="9218" max="9218" width="29.7109375" style="162" customWidth="1"/>
    <col min="9219" max="9219" width="48.85546875" style="162" customWidth="1"/>
    <col min="9220" max="9220" width="10.85546875" style="162" customWidth="1"/>
    <col min="9221" max="9221" width="13.28515625" style="162" customWidth="1"/>
    <col min="9222" max="9222" width="11.5703125" style="162" customWidth="1"/>
    <col min="9223" max="9223" width="12.28515625" style="162" customWidth="1"/>
    <col min="9224" max="9224" width="15.42578125" style="162" customWidth="1"/>
    <col min="9225" max="9225" width="14.140625" style="162" customWidth="1"/>
    <col min="9226" max="9226" width="14" style="162" customWidth="1"/>
    <col min="9227" max="9227" width="16.28515625" style="162" customWidth="1"/>
    <col min="9228" max="9229" width="0" style="162" hidden="1" customWidth="1"/>
    <col min="9230" max="9230" width="14" style="162" customWidth="1"/>
    <col min="9231" max="9232" width="14.140625" style="162" customWidth="1"/>
    <col min="9233" max="9233" width="14.28515625" style="162" customWidth="1"/>
    <col min="9234" max="9234" width="17.140625" style="162" customWidth="1"/>
    <col min="9235" max="9236" width="10.42578125" style="162" customWidth="1"/>
    <col min="9237" max="9237" width="13.28515625" style="162" customWidth="1"/>
    <col min="9238" max="9238" width="13.7109375" style="162" customWidth="1"/>
    <col min="9239" max="9239" width="12.7109375" style="162" customWidth="1"/>
    <col min="9240" max="9240" width="14.5703125" style="162" customWidth="1"/>
    <col min="9241" max="9241" width="10.42578125" style="162" customWidth="1"/>
    <col min="9242" max="9472" width="11.42578125" style="162"/>
    <col min="9473" max="9473" width="7.28515625" style="162" customWidth="1"/>
    <col min="9474" max="9474" width="29.7109375" style="162" customWidth="1"/>
    <col min="9475" max="9475" width="48.85546875" style="162" customWidth="1"/>
    <col min="9476" max="9476" width="10.85546875" style="162" customWidth="1"/>
    <col min="9477" max="9477" width="13.28515625" style="162" customWidth="1"/>
    <col min="9478" max="9478" width="11.5703125" style="162" customWidth="1"/>
    <col min="9479" max="9479" width="12.28515625" style="162" customWidth="1"/>
    <col min="9480" max="9480" width="15.42578125" style="162" customWidth="1"/>
    <col min="9481" max="9481" width="14.140625" style="162" customWidth="1"/>
    <col min="9482" max="9482" width="14" style="162" customWidth="1"/>
    <col min="9483" max="9483" width="16.28515625" style="162" customWidth="1"/>
    <col min="9484" max="9485" width="0" style="162" hidden="1" customWidth="1"/>
    <col min="9486" max="9486" width="14" style="162" customWidth="1"/>
    <col min="9487" max="9488" width="14.140625" style="162" customWidth="1"/>
    <col min="9489" max="9489" width="14.28515625" style="162" customWidth="1"/>
    <col min="9490" max="9490" width="17.140625" style="162" customWidth="1"/>
    <col min="9491" max="9492" width="10.42578125" style="162" customWidth="1"/>
    <col min="9493" max="9493" width="13.28515625" style="162" customWidth="1"/>
    <col min="9494" max="9494" width="13.7109375" style="162" customWidth="1"/>
    <col min="9495" max="9495" width="12.7109375" style="162" customWidth="1"/>
    <col min="9496" max="9496" width="14.5703125" style="162" customWidth="1"/>
    <col min="9497" max="9497" width="10.42578125" style="162" customWidth="1"/>
    <col min="9498" max="9728" width="11.42578125" style="162"/>
    <col min="9729" max="9729" width="7.28515625" style="162" customWidth="1"/>
    <col min="9730" max="9730" width="29.7109375" style="162" customWidth="1"/>
    <col min="9731" max="9731" width="48.85546875" style="162" customWidth="1"/>
    <col min="9732" max="9732" width="10.85546875" style="162" customWidth="1"/>
    <col min="9733" max="9733" width="13.28515625" style="162" customWidth="1"/>
    <col min="9734" max="9734" width="11.5703125" style="162" customWidth="1"/>
    <col min="9735" max="9735" width="12.28515625" style="162" customWidth="1"/>
    <col min="9736" max="9736" width="15.42578125" style="162" customWidth="1"/>
    <col min="9737" max="9737" width="14.140625" style="162" customWidth="1"/>
    <col min="9738" max="9738" width="14" style="162" customWidth="1"/>
    <col min="9739" max="9739" width="16.28515625" style="162" customWidth="1"/>
    <col min="9740" max="9741" width="0" style="162" hidden="1" customWidth="1"/>
    <col min="9742" max="9742" width="14" style="162" customWidth="1"/>
    <col min="9743" max="9744" width="14.140625" style="162" customWidth="1"/>
    <col min="9745" max="9745" width="14.28515625" style="162" customWidth="1"/>
    <col min="9746" max="9746" width="17.140625" style="162" customWidth="1"/>
    <col min="9747" max="9748" width="10.42578125" style="162" customWidth="1"/>
    <col min="9749" max="9749" width="13.28515625" style="162" customWidth="1"/>
    <col min="9750" max="9750" width="13.7109375" style="162" customWidth="1"/>
    <col min="9751" max="9751" width="12.7109375" style="162" customWidth="1"/>
    <col min="9752" max="9752" width="14.5703125" style="162" customWidth="1"/>
    <col min="9753" max="9753" width="10.42578125" style="162" customWidth="1"/>
    <col min="9754" max="9984" width="11.42578125" style="162"/>
    <col min="9985" max="9985" width="7.28515625" style="162" customWidth="1"/>
    <col min="9986" max="9986" width="29.7109375" style="162" customWidth="1"/>
    <col min="9987" max="9987" width="48.85546875" style="162" customWidth="1"/>
    <col min="9988" max="9988" width="10.85546875" style="162" customWidth="1"/>
    <col min="9989" max="9989" width="13.28515625" style="162" customWidth="1"/>
    <col min="9990" max="9990" width="11.5703125" style="162" customWidth="1"/>
    <col min="9991" max="9991" width="12.28515625" style="162" customWidth="1"/>
    <col min="9992" max="9992" width="15.42578125" style="162" customWidth="1"/>
    <col min="9993" max="9993" width="14.140625" style="162" customWidth="1"/>
    <col min="9994" max="9994" width="14" style="162" customWidth="1"/>
    <col min="9995" max="9995" width="16.28515625" style="162" customWidth="1"/>
    <col min="9996" max="9997" width="0" style="162" hidden="1" customWidth="1"/>
    <col min="9998" max="9998" width="14" style="162" customWidth="1"/>
    <col min="9999" max="10000" width="14.140625" style="162" customWidth="1"/>
    <col min="10001" max="10001" width="14.28515625" style="162" customWidth="1"/>
    <col min="10002" max="10002" width="17.140625" style="162" customWidth="1"/>
    <col min="10003" max="10004" width="10.42578125" style="162" customWidth="1"/>
    <col min="10005" max="10005" width="13.28515625" style="162" customWidth="1"/>
    <col min="10006" max="10006" width="13.7109375" style="162" customWidth="1"/>
    <col min="10007" max="10007" width="12.7109375" style="162" customWidth="1"/>
    <col min="10008" max="10008" width="14.5703125" style="162" customWidth="1"/>
    <col min="10009" max="10009" width="10.42578125" style="162" customWidth="1"/>
    <col min="10010" max="10240" width="11.42578125" style="162"/>
    <col min="10241" max="10241" width="7.28515625" style="162" customWidth="1"/>
    <col min="10242" max="10242" width="29.7109375" style="162" customWidth="1"/>
    <col min="10243" max="10243" width="48.85546875" style="162" customWidth="1"/>
    <col min="10244" max="10244" width="10.85546875" style="162" customWidth="1"/>
    <col min="10245" max="10245" width="13.28515625" style="162" customWidth="1"/>
    <col min="10246" max="10246" width="11.5703125" style="162" customWidth="1"/>
    <col min="10247" max="10247" width="12.28515625" style="162" customWidth="1"/>
    <col min="10248" max="10248" width="15.42578125" style="162" customWidth="1"/>
    <col min="10249" max="10249" width="14.140625" style="162" customWidth="1"/>
    <col min="10250" max="10250" width="14" style="162" customWidth="1"/>
    <col min="10251" max="10251" width="16.28515625" style="162" customWidth="1"/>
    <col min="10252" max="10253" width="0" style="162" hidden="1" customWidth="1"/>
    <col min="10254" max="10254" width="14" style="162" customWidth="1"/>
    <col min="10255" max="10256" width="14.140625" style="162" customWidth="1"/>
    <col min="10257" max="10257" width="14.28515625" style="162" customWidth="1"/>
    <col min="10258" max="10258" width="17.140625" style="162" customWidth="1"/>
    <col min="10259" max="10260" width="10.42578125" style="162" customWidth="1"/>
    <col min="10261" max="10261" width="13.28515625" style="162" customWidth="1"/>
    <col min="10262" max="10262" width="13.7109375" style="162" customWidth="1"/>
    <col min="10263" max="10263" width="12.7109375" style="162" customWidth="1"/>
    <col min="10264" max="10264" width="14.5703125" style="162" customWidth="1"/>
    <col min="10265" max="10265" width="10.42578125" style="162" customWidth="1"/>
    <col min="10266" max="10496" width="11.42578125" style="162"/>
    <col min="10497" max="10497" width="7.28515625" style="162" customWidth="1"/>
    <col min="10498" max="10498" width="29.7109375" style="162" customWidth="1"/>
    <col min="10499" max="10499" width="48.85546875" style="162" customWidth="1"/>
    <col min="10500" max="10500" width="10.85546875" style="162" customWidth="1"/>
    <col min="10501" max="10501" width="13.28515625" style="162" customWidth="1"/>
    <col min="10502" max="10502" width="11.5703125" style="162" customWidth="1"/>
    <col min="10503" max="10503" width="12.28515625" style="162" customWidth="1"/>
    <col min="10504" max="10504" width="15.42578125" style="162" customWidth="1"/>
    <col min="10505" max="10505" width="14.140625" style="162" customWidth="1"/>
    <col min="10506" max="10506" width="14" style="162" customWidth="1"/>
    <col min="10507" max="10507" width="16.28515625" style="162" customWidth="1"/>
    <col min="10508" max="10509" width="0" style="162" hidden="1" customWidth="1"/>
    <col min="10510" max="10510" width="14" style="162" customWidth="1"/>
    <col min="10511" max="10512" width="14.140625" style="162" customWidth="1"/>
    <col min="10513" max="10513" width="14.28515625" style="162" customWidth="1"/>
    <col min="10514" max="10514" width="17.140625" style="162" customWidth="1"/>
    <col min="10515" max="10516" width="10.42578125" style="162" customWidth="1"/>
    <col min="10517" max="10517" width="13.28515625" style="162" customWidth="1"/>
    <col min="10518" max="10518" width="13.7109375" style="162" customWidth="1"/>
    <col min="10519" max="10519" width="12.7109375" style="162" customWidth="1"/>
    <col min="10520" max="10520" width="14.5703125" style="162" customWidth="1"/>
    <col min="10521" max="10521" width="10.42578125" style="162" customWidth="1"/>
    <col min="10522" max="10752" width="11.42578125" style="162"/>
    <col min="10753" max="10753" width="7.28515625" style="162" customWidth="1"/>
    <col min="10754" max="10754" width="29.7109375" style="162" customWidth="1"/>
    <col min="10755" max="10755" width="48.85546875" style="162" customWidth="1"/>
    <col min="10756" max="10756" width="10.85546875" style="162" customWidth="1"/>
    <col min="10757" max="10757" width="13.28515625" style="162" customWidth="1"/>
    <col min="10758" max="10758" width="11.5703125" style="162" customWidth="1"/>
    <col min="10759" max="10759" width="12.28515625" style="162" customWidth="1"/>
    <col min="10760" max="10760" width="15.42578125" style="162" customWidth="1"/>
    <col min="10761" max="10761" width="14.140625" style="162" customWidth="1"/>
    <col min="10762" max="10762" width="14" style="162" customWidth="1"/>
    <col min="10763" max="10763" width="16.28515625" style="162" customWidth="1"/>
    <col min="10764" max="10765" width="0" style="162" hidden="1" customWidth="1"/>
    <col min="10766" max="10766" width="14" style="162" customWidth="1"/>
    <col min="10767" max="10768" width="14.140625" style="162" customWidth="1"/>
    <col min="10769" max="10769" width="14.28515625" style="162" customWidth="1"/>
    <col min="10770" max="10770" width="17.140625" style="162" customWidth="1"/>
    <col min="10771" max="10772" width="10.42578125" style="162" customWidth="1"/>
    <col min="10773" max="10773" width="13.28515625" style="162" customWidth="1"/>
    <col min="10774" max="10774" width="13.7109375" style="162" customWidth="1"/>
    <col min="10775" max="10775" width="12.7109375" style="162" customWidth="1"/>
    <col min="10776" max="10776" width="14.5703125" style="162" customWidth="1"/>
    <col min="10777" max="10777" width="10.42578125" style="162" customWidth="1"/>
    <col min="10778" max="11008" width="11.42578125" style="162"/>
    <col min="11009" max="11009" width="7.28515625" style="162" customWidth="1"/>
    <col min="11010" max="11010" width="29.7109375" style="162" customWidth="1"/>
    <col min="11011" max="11011" width="48.85546875" style="162" customWidth="1"/>
    <col min="11012" max="11012" width="10.85546875" style="162" customWidth="1"/>
    <col min="11013" max="11013" width="13.28515625" style="162" customWidth="1"/>
    <col min="11014" max="11014" width="11.5703125" style="162" customWidth="1"/>
    <col min="11015" max="11015" width="12.28515625" style="162" customWidth="1"/>
    <col min="11016" max="11016" width="15.42578125" style="162" customWidth="1"/>
    <col min="11017" max="11017" width="14.140625" style="162" customWidth="1"/>
    <col min="11018" max="11018" width="14" style="162" customWidth="1"/>
    <col min="11019" max="11019" width="16.28515625" style="162" customWidth="1"/>
    <col min="11020" max="11021" width="0" style="162" hidden="1" customWidth="1"/>
    <col min="11022" max="11022" width="14" style="162" customWidth="1"/>
    <col min="11023" max="11024" width="14.140625" style="162" customWidth="1"/>
    <col min="11025" max="11025" width="14.28515625" style="162" customWidth="1"/>
    <col min="11026" max="11026" width="17.140625" style="162" customWidth="1"/>
    <col min="11027" max="11028" width="10.42578125" style="162" customWidth="1"/>
    <col min="11029" max="11029" width="13.28515625" style="162" customWidth="1"/>
    <col min="11030" max="11030" width="13.7109375" style="162" customWidth="1"/>
    <col min="11031" max="11031" width="12.7109375" style="162" customWidth="1"/>
    <col min="11032" max="11032" width="14.5703125" style="162" customWidth="1"/>
    <col min="11033" max="11033" width="10.42578125" style="162" customWidth="1"/>
    <col min="11034" max="11264" width="11.42578125" style="162"/>
    <col min="11265" max="11265" width="7.28515625" style="162" customWidth="1"/>
    <col min="11266" max="11266" width="29.7109375" style="162" customWidth="1"/>
    <col min="11267" max="11267" width="48.85546875" style="162" customWidth="1"/>
    <col min="11268" max="11268" width="10.85546875" style="162" customWidth="1"/>
    <col min="11269" max="11269" width="13.28515625" style="162" customWidth="1"/>
    <col min="11270" max="11270" width="11.5703125" style="162" customWidth="1"/>
    <col min="11271" max="11271" width="12.28515625" style="162" customWidth="1"/>
    <col min="11272" max="11272" width="15.42578125" style="162" customWidth="1"/>
    <col min="11273" max="11273" width="14.140625" style="162" customWidth="1"/>
    <col min="11274" max="11274" width="14" style="162" customWidth="1"/>
    <col min="11275" max="11275" width="16.28515625" style="162" customWidth="1"/>
    <col min="11276" max="11277" width="0" style="162" hidden="1" customWidth="1"/>
    <col min="11278" max="11278" width="14" style="162" customWidth="1"/>
    <col min="11279" max="11280" width="14.140625" style="162" customWidth="1"/>
    <col min="11281" max="11281" width="14.28515625" style="162" customWidth="1"/>
    <col min="11282" max="11282" width="17.140625" style="162" customWidth="1"/>
    <col min="11283" max="11284" width="10.42578125" style="162" customWidth="1"/>
    <col min="11285" max="11285" width="13.28515625" style="162" customWidth="1"/>
    <col min="11286" max="11286" width="13.7109375" style="162" customWidth="1"/>
    <col min="11287" max="11287" width="12.7109375" style="162" customWidth="1"/>
    <col min="11288" max="11288" width="14.5703125" style="162" customWidth="1"/>
    <col min="11289" max="11289" width="10.42578125" style="162" customWidth="1"/>
    <col min="11290" max="11520" width="11.42578125" style="162"/>
    <col min="11521" max="11521" width="7.28515625" style="162" customWidth="1"/>
    <col min="11522" max="11522" width="29.7109375" style="162" customWidth="1"/>
    <col min="11523" max="11523" width="48.85546875" style="162" customWidth="1"/>
    <col min="11524" max="11524" width="10.85546875" style="162" customWidth="1"/>
    <col min="11525" max="11525" width="13.28515625" style="162" customWidth="1"/>
    <col min="11526" max="11526" width="11.5703125" style="162" customWidth="1"/>
    <col min="11527" max="11527" width="12.28515625" style="162" customWidth="1"/>
    <col min="11528" max="11528" width="15.42578125" style="162" customWidth="1"/>
    <col min="11529" max="11529" width="14.140625" style="162" customWidth="1"/>
    <col min="11530" max="11530" width="14" style="162" customWidth="1"/>
    <col min="11531" max="11531" width="16.28515625" style="162" customWidth="1"/>
    <col min="11532" max="11533" width="0" style="162" hidden="1" customWidth="1"/>
    <col min="11534" max="11534" width="14" style="162" customWidth="1"/>
    <col min="11535" max="11536" width="14.140625" style="162" customWidth="1"/>
    <col min="11537" max="11537" width="14.28515625" style="162" customWidth="1"/>
    <col min="11538" max="11538" width="17.140625" style="162" customWidth="1"/>
    <col min="11539" max="11540" width="10.42578125" style="162" customWidth="1"/>
    <col min="11541" max="11541" width="13.28515625" style="162" customWidth="1"/>
    <col min="11542" max="11542" width="13.7109375" style="162" customWidth="1"/>
    <col min="11543" max="11543" width="12.7109375" style="162" customWidth="1"/>
    <col min="11544" max="11544" width="14.5703125" style="162" customWidth="1"/>
    <col min="11545" max="11545" width="10.42578125" style="162" customWidth="1"/>
    <col min="11546" max="11776" width="11.42578125" style="162"/>
    <col min="11777" max="11777" width="7.28515625" style="162" customWidth="1"/>
    <col min="11778" max="11778" width="29.7109375" style="162" customWidth="1"/>
    <col min="11779" max="11779" width="48.85546875" style="162" customWidth="1"/>
    <col min="11780" max="11780" width="10.85546875" style="162" customWidth="1"/>
    <col min="11781" max="11781" width="13.28515625" style="162" customWidth="1"/>
    <col min="11782" max="11782" width="11.5703125" style="162" customWidth="1"/>
    <col min="11783" max="11783" width="12.28515625" style="162" customWidth="1"/>
    <col min="11784" max="11784" width="15.42578125" style="162" customWidth="1"/>
    <col min="11785" max="11785" width="14.140625" style="162" customWidth="1"/>
    <col min="11786" max="11786" width="14" style="162" customWidth="1"/>
    <col min="11787" max="11787" width="16.28515625" style="162" customWidth="1"/>
    <col min="11788" max="11789" width="0" style="162" hidden="1" customWidth="1"/>
    <col min="11790" max="11790" width="14" style="162" customWidth="1"/>
    <col min="11791" max="11792" width="14.140625" style="162" customWidth="1"/>
    <col min="11793" max="11793" width="14.28515625" style="162" customWidth="1"/>
    <col min="11794" max="11794" width="17.140625" style="162" customWidth="1"/>
    <col min="11795" max="11796" width="10.42578125" style="162" customWidth="1"/>
    <col min="11797" max="11797" width="13.28515625" style="162" customWidth="1"/>
    <col min="11798" max="11798" width="13.7109375" style="162" customWidth="1"/>
    <col min="11799" max="11799" width="12.7109375" style="162" customWidth="1"/>
    <col min="11800" max="11800" width="14.5703125" style="162" customWidth="1"/>
    <col min="11801" max="11801" width="10.42578125" style="162" customWidth="1"/>
    <col min="11802" max="12032" width="11.42578125" style="162"/>
    <col min="12033" max="12033" width="7.28515625" style="162" customWidth="1"/>
    <col min="12034" max="12034" width="29.7109375" style="162" customWidth="1"/>
    <col min="12035" max="12035" width="48.85546875" style="162" customWidth="1"/>
    <col min="12036" max="12036" width="10.85546875" style="162" customWidth="1"/>
    <col min="12037" max="12037" width="13.28515625" style="162" customWidth="1"/>
    <col min="12038" max="12038" width="11.5703125" style="162" customWidth="1"/>
    <col min="12039" max="12039" width="12.28515625" style="162" customWidth="1"/>
    <col min="12040" max="12040" width="15.42578125" style="162" customWidth="1"/>
    <col min="12041" max="12041" width="14.140625" style="162" customWidth="1"/>
    <col min="12042" max="12042" width="14" style="162" customWidth="1"/>
    <col min="12043" max="12043" width="16.28515625" style="162" customWidth="1"/>
    <col min="12044" max="12045" width="0" style="162" hidden="1" customWidth="1"/>
    <col min="12046" max="12046" width="14" style="162" customWidth="1"/>
    <col min="12047" max="12048" width="14.140625" style="162" customWidth="1"/>
    <col min="12049" max="12049" width="14.28515625" style="162" customWidth="1"/>
    <col min="12050" max="12050" width="17.140625" style="162" customWidth="1"/>
    <col min="12051" max="12052" width="10.42578125" style="162" customWidth="1"/>
    <col min="12053" max="12053" width="13.28515625" style="162" customWidth="1"/>
    <col min="12054" max="12054" width="13.7109375" style="162" customWidth="1"/>
    <col min="12055" max="12055" width="12.7109375" style="162" customWidth="1"/>
    <col min="12056" max="12056" width="14.5703125" style="162" customWidth="1"/>
    <col min="12057" max="12057" width="10.42578125" style="162" customWidth="1"/>
    <col min="12058" max="12288" width="11.42578125" style="162"/>
    <col min="12289" max="12289" width="7.28515625" style="162" customWidth="1"/>
    <col min="12290" max="12290" width="29.7109375" style="162" customWidth="1"/>
    <col min="12291" max="12291" width="48.85546875" style="162" customWidth="1"/>
    <col min="12292" max="12292" width="10.85546875" style="162" customWidth="1"/>
    <col min="12293" max="12293" width="13.28515625" style="162" customWidth="1"/>
    <col min="12294" max="12294" width="11.5703125" style="162" customWidth="1"/>
    <col min="12295" max="12295" width="12.28515625" style="162" customWidth="1"/>
    <col min="12296" max="12296" width="15.42578125" style="162" customWidth="1"/>
    <col min="12297" max="12297" width="14.140625" style="162" customWidth="1"/>
    <col min="12298" max="12298" width="14" style="162" customWidth="1"/>
    <col min="12299" max="12299" width="16.28515625" style="162" customWidth="1"/>
    <col min="12300" max="12301" width="0" style="162" hidden="1" customWidth="1"/>
    <col min="12302" max="12302" width="14" style="162" customWidth="1"/>
    <col min="12303" max="12304" width="14.140625" style="162" customWidth="1"/>
    <col min="12305" max="12305" width="14.28515625" style="162" customWidth="1"/>
    <col min="12306" max="12306" width="17.140625" style="162" customWidth="1"/>
    <col min="12307" max="12308" width="10.42578125" style="162" customWidth="1"/>
    <col min="12309" max="12309" width="13.28515625" style="162" customWidth="1"/>
    <col min="12310" max="12310" width="13.7109375" style="162" customWidth="1"/>
    <col min="12311" max="12311" width="12.7109375" style="162" customWidth="1"/>
    <col min="12312" max="12312" width="14.5703125" style="162" customWidth="1"/>
    <col min="12313" max="12313" width="10.42578125" style="162" customWidth="1"/>
    <col min="12314" max="12544" width="11.42578125" style="162"/>
    <col min="12545" max="12545" width="7.28515625" style="162" customWidth="1"/>
    <col min="12546" max="12546" width="29.7109375" style="162" customWidth="1"/>
    <col min="12547" max="12547" width="48.85546875" style="162" customWidth="1"/>
    <col min="12548" max="12548" width="10.85546875" style="162" customWidth="1"/>
    <col min="12549" max="12549" width="13.28515625" style="162" customWidth="1"/>
    <col min="12550" max="12550" width="11.5703125" style="162" customWidth="1"/>
    <col min="12551" max="12551" width="12.28515625" style="162" customWidth="1"/>
    <col min="12552" max="12552" width="15.42578125" style="162" customWidth="1"/>
    <col min="12553" max="12553" width="14.140625" style="162" customWidth="1"/>
    <col min="12554" max="12554" width="14" style="162" customWidth="1"/>
    <col min="12555" max="12555" width="16.28515625" style="162" customWidth="1"/>
    <col min="12556" max="12557" width="0" style="162" hidden="1" customWidth="1"/>
    <col min="12558" max="12558" width="14" style="162" customWidth="1"/>
    <col min="12559" max="12560" width="14.140625" style="162" customWidth="1"/>
    <col min="12561" max="12561" width="14.28515625" style="162" customWidth="1"/>
    <col min="12562" max="12562" width="17.140625" style="162" customWidth="1"/>
    <col min="12563" max="12564" width="10.42578125" style="162" customWidth="1"/>
    <col min="12565" max="12565" width="13.28515625" style="162" customWidth="1"/>
    <col min="12566" max="12566" width="13.7109375" style="162" customWidth="1"/>
    <col min="12567" max="12567" width="12.7109375" style="162" customWidth="1"/>
    <col min="12568" max="12568" width="14.5703125" style="162" customWidth="1"/>
    <col min="12569" max="12569" width="10.42578125" style="162" customWidth="1"/>
    <col min="12570" max="12800" width="11.42578125" style="162"/>
    <col min="12801" max="12801" width="7.28515625" style="162" customWidth="1"/>
    <col min="12802" max="12802" width="29.7109375" style="162" customWidth="1"/>
    <col min="12803" max="12803" width="48.85546875" style="162" customWidth="1"/>
    <col min="12804" max="12804" width="10.85546875" style="162" customWidth="1"/>
    <col min="12805" max="12805" width="13.28515625" style="162" customWidth="1"/>
    <col min="12806" max="12806" width="11.5703125" style="162" customWidth="1"/>
    <col min="12807" max="12807" width="12.28515625" style="162" customWidth="1"/>
    <col min="12808" max="12808" width="15.42578125" style="162" customWidth="1"/>
    <col min="12809" max="12809" width="14.140625" style="162" customWidth="1"/>
    <col min="12810" max="12810" width="14" style="162" customWidth="1"/>
    <col min="12811" max="12811" width="16.28515625" style="162" customWidth="1"/>
    <col min="12812" max="12813" width="0" style="162" hidden="1" customWidth="1"/>
    <col min="12814" max="12814" width="14" style="162" customWidth="1"/>
    <col min="12815" max="12816" width="14.140625" style="162" customWidth="1"/>
    <col min="12817" max="12817" width="14.28515625" style="162" customWidth="1"/>
    <col min="12818" max="12818" width="17.140625" style="162" customWidth="1"/>
    <col min="12819" max="12820" width="10.42578125" style="162" customWidth="1"/>
    <col min="12821" max="12821" width="13.28515625" style="162" customWidth="1"/>
    <col min="12822" max="12822" width="13.7109375" style="162" customWidth="1"/>
    <col min="12823" max="12823" width="12.7109375" style="162" customWidth="1"/>
    <col min="12824" max="12824" width="14.5703125" style="162" customWidth="1"/>
    <col min="12825" max="12825" width="10.42578125" style="162" customWidth="1"/>
    <col min="12826" max="13056" width="11.42578125" style="162"/>
    <col min="13057" max="13057" width="7.28515625" style="162" customWidth="1"/>
    <col min="13058" max="13058" width="29.7109375" style="162" customWidth="1"/>
    <col min="13059" max="13059" width="48.85546875" style="162" customWidth="1"/>
    <col min="13060" max="13060" width="10.85546875" style="162" customWidth="1"/>
    <col min="13061" max="13061" width="13.28515625" style="162" customWidth="1"/>
    <col min="13062" max="13062" width="11.5703125" style="162" customWidth="1"/>
    <col min="13063" max="13063" width="12.28515625" style="162" customWidth="1"/>
    <col min="13064" max="13064" width="15.42578125" style="162" customWidth="1"/>
    <col min="13065" max="13065" width="14.140625" style="162" customWidth="1"/>
    <col min="13066" max="13066" width="14" style="162" customWidth="1"/>
    <col min="13067" max="13067" width="16.28515625" style="162" customWidth="1"/>
    <col min="13068" max="13069" width="0" style="162" hidden="1" customWidth="1"/>
    <col min="13070" max="13070" width="14" style="162" customWidth="1"/>
    <col min="13071" max="13072" width="14.140625" style="162" customWidth="1"/>
    <col min="13073" max="13073" width="14.28515625" style="162" customWidth="1"/>
    <col min="13074" max="13074" width="17.140625" style="162" customWidth="1"/>
    <col min="13075" max="13076" width="10.42578125" style="162" customWidth="1"/>
    <col min="13077" max="13077" width="13.28515625" style="162" customWidth="1"/>
    <col min="13078" max="13078" width="13.7109375" style="162" customWidth="1"/>
    <col min="13079" max="13079" width="12.7109375" style="162" customWidth="1"/>
    <col min="13080" max="13080" width="14.5703125" style="162" customWidth="1"/>
    <col min="13081" max="13081" width="10.42578125" style="162" customWidth="1"/>
    <col min="13082" max="13312" width="11.42578125" style="162"/>
    <col min="13313" max="13313" width="7.28515625" style="162" customWidth="1"/>
    <col min="13314" max="13314" width="29.7109375" style="162" customWidth="1"/>
    <col min="13315" max="13315" width="48.85546875" style="162" customWidth="1"/>
    <col min="13316" max="13316" width="10.85546875" style="162" customWidth="1"/>
    <col min="13317" max="13317" width="13.28515625" style="162" customWidth="1"/>
    <col min="13318" max="13318" width="11.5703125" style="162" customWidth="1"/>
    <col min="13319" max="13319" width="12.28515625" style="162" customWidth="1"/>
    <col min="13320" max="13320" width="15.42578125" style="162" customWidth="1"/>
    <col min="13321" max="13321" width="14.140625" style="162" customWidth="1"/>
    <col min="13322" max="13322" width="14" style="162" customWidth="1"/>
    <col min="13323" max="13323" width="16.28515625" style="162" customWidth="1"/>
    <col min="13324" max="13325" width="0" style="162" hidden="1" customWidth="1"/>
    <col min="13326" max="13326" width="14" style="162" customWidth="1"/>
    <col min="13327" max="13328" width="14.140625" style="162" customWidth="1"/>
    <col min="13329" max="13329" width="14.28515625" style="162" customWidth="1"/>
    <col min="13330" max="13330" width="17.140625" style="162" customWidth="1"/>
    <col min="13331" max="13332" width="10.42578125" style="162" customWidth="1"/>
    <col min="13333" max="13333" width="13.28515625" style="162" customWidth="1"/>
    <col min="13334" max="13334" width="13.7109375" style="162" customWidth="1"/>
    <col min="13335" max="13335" width="12.7109375" style="162" customWidth="1"/>
    <col min="13336" max="13336" width="14.5703125" style="162" customWidth="1"/>
    <col min="13337" max="13337" width="10.42578125" style="162" customWidth="1"/>
    <col min="13338" max="13568" width="11.42578125" style="162"/>
    <col min="13569" max="13569" width="7.28515625" style="162" customWidth="1"/>
    <col min="13570" max="13570" width="29.7109375" style="162" customWidth="1"/>
    <col min="13571" max="13571" width="48.85546875" style="162" customWidth="1"/>
    <col min="13572" max="13572" width="10.85546875" style="162" customWidth="1"/>
    <col min="13573" max="13573" width="13.28515625" style="162" customWidth="1"/>
    <col min="13574" max="13574" width="11.5703125" style="162" customWidth="1"/>
    <col min="13575" max="13575" width="12.28515625" style="162" customWidth="1"/>
    <col min="13576" max="13576" width="15.42578125" style="162" customWidth="1"/>
    <col min="13577" max="13577" width="14.140625" style="162" customWidth="1"/>
    <col min="13578" max="13578" width="14" style="162" customWidth="1"/>
    <col min="13579" max="13579" width="16.28515625" style="162" customWidth="1"/>
    <col min="13580" max="13581" width="0" style="162" hidden="1" customWidth="1"/>
    <col min="13582" max="13582" width="14" style="162" customWidth="1"/>
    <col min="13583" max="13584" width="14.140625" style="162" customWidth="1"/>
    <col min="13585" max="13585" width="14.28515625" style="162" customWidth="1"/>
    <col min="13586" max="13586" width="17.140625" style="162" customWidth="1"/>
    <col min="13587" max="13588" width="10.42578125" style="162" customWidth="1"/>
    <col min="13589" max="13589" width="13.28515625" style="162" customWidth="1"/>
    <col min="13590" max="13590" width="13.7109375" style="162" customWidth="1"/>
    <col min="13591" max="13591" width="12.7109375" style="162" customWidth="1"/>
    <col min="13592" max="13592" width="14.5703125" style="162" customWidth="1"/>
    <col min="13593" max="13593" width="10.42578125" style="162" customWidth="1"/>
    <col min="13594" max="13824" width="11.42578125" style="162"/>
    <col min="13825" max="13825" width="7.28515625" style="162" customWidth="1"/>
    <col min="13826" max="13826" width="29.7109375" style="162" customWidth="1"/>
    <col min="13827" max="13827" width="48.85546875" style="162" customWidth="1"/>
    <col min="13828" max="13828" width="10.85546875" style="162" customWidth="1"/>
    <col min="13829" max="13829" width="13.28515625" style="162" customWidth="1"/>
    <col min="13830" max="13830" width="11.5703125" style="162" customWidth="1"/>
    <col min="13831" max="13831" width="12.28515625" style="162" customWidth="1"/>
    <col min="13832" max="13832" width="15.42578125" style="162" customWidth="1"/>
    <col min="13833" max="13833" width="14.140625" style="162" customWidth="1"/>
    <col min="13834" max="13834" width="14" style="162" customWidth="1"/>
    <col min="13835" max="13835" width="16.28515625" style="162" customWidth="1"/>
    <col min="13836" max="13837" width="0" style="162" hidden="1" customWidth="1"/>
    <col min="13838" max="13838" width="14" style="162" customWidth="1"/>
    <col min="13839" max="13840" width="14.140625" style="162" customWidth="1"/>
    <col min="13841" max="13841" width="14.28515625" style="162" customWidth="1"/>
    <col min="13842" max="13842" width="17.140625" style="162" customWidth="1"/>
    <col min="13843" max="13844" width="10.42578125" style="162" customWidth="1"/>
    <col min="13845" max="13845" width="13.28515625" style="162" customWidth="1"/>
    <col min="13846" max="13846" width="13.7109375" style="162" customWidth="1"/>
    <col min="13847" max="13847" width="12.7109375" style="162" customWidth="1"/>
    <col min="13848" max="13848" width="14.5703125" style="162" customWidth="1"/>
    <col min="13849" max="13849" width="10.42578125" style="162" customWidth="1"/>
    <col min="13850" max="14080" width="11.42578125" style="162"/>
    <col min="14081" max="14081" width="7.28515625" style="162" customWidth="1"/>
    <col min="14082" max="14082" width="29.7109375" style="162" customWidth="1"/>
    <col min="14083" max="14083" width="48.85546875" style="162" customWidth="1"/>
    <col min="14084" max="14084" width="10.85546875" style="162" customWidth="1"/>
    <col min="14085" max="14085" width="13.28515625" style="162" customWidth="1"/>
    <col min="14086" max="14086" width="11.5703125" style="162" customWidth="1"/>
    <col min="14087" max="14087" width="12.28515625" style="162" customWidth="1"/>
    <col min="14088" max="14088" width="15.42578125" style="162" customWidth="1"/>
    <col min="14089" max="14089" width="14.140625" style="162" customWidth="1"/>
    <col min="14090" max="14090" width="14" style="162" customWidth="1"/>
    <col min="14091" max="14091" width="16.28515625" style="162" customWidth="1"/>
    <col min="14092" max="14093" width="0" style="162" hidden="1" customWidth="1"/>
    <col min="14094" max="14094" width="14" style="162" customWidth="1"/>
    <col min="14095" max="14096" width="14.140625" style="162" customWidth="1"/>
    <col min="14097" max="14097" width="14.28515625" style="162" customWidth="1"/>
    <col min="14098" max="14098" width="17.140625" style="162" customWidth="1"/>
    <col min="14099" max="14100" width="10.42578125" style="162" customWidth="1"/>
    <col min="14101" max="14101" width="13.28515625" style="162" customWidth="1"/>
    <col min="14102" max="14102" width="13.7109375" style="162" customWidth="1"/>
    <col min="14103" max="14103" width="12.7109375" style="162" customWidth="1"/>
    <col min="14104" max="14104" width="14.5703125" style="162" customWidth="1"/>
    <col min="14105" max="14105" width="10.42578125" style="162" customWidth="1"/>
    <col min="14106" max="14336" width="11.42578125" style="162"/>
    <col min="14337" max="14337" width="7.28515625" style="162" customWidth="1"/>
    <col min="14338" max="14338" width="29.7109375" style="162" customWidth="1"/>
    <col min="14339" max="14339" width="48.85546875" style="162" customWidth="1"/>
    <col min="14340" max="14340" width="10.85546875" style="162" customWidth="1"/>
    <col min="14341" max="14341" width="13.28515625" style="162" customWidth="1"/>
    <col min="14342" max="14342" width="11.5703125" style="162" customWidth="1"/>
    <col min="14343" max="14343" width="12.28515625" style="162" customWidth="1"/>
    <col min="14344" max="14344" width="15.42578125" style="162" customWidth="1"/>
    <col min="14345" max="14345" width="14.140625" style="162" customWidth="1"/>
    <col min="14346" max="14346" width="14" style="162" customWidth="1"/>
    <col min="14347" max="14347" width="16.28515625" style="162" customWidth="1"/>
    <col min="14348" max="14349" width="0" style="162" hidden="1" customWidth="1"/>
    <col min="14350" max="14350" width="14" style="162" customWidth="1"/>
    <col min="14351" max="14352" width="14.140625" style="162" customWidth="1"/>
    <col min="14353" max="14353" width="14.28515625" style="162" customWidth="1"/>
    <col min="14354" max="14354" width="17.140625" style="162" customWidth="1"/>
    <col min="14355" max="14356" width="10.42578125" style="162" customWidth="1"/>
    <col min="14357" max="14357" width="13.28515625" style="162" customWidth="1"/>
    <col min="14358" max="14358" width="13.7109375" style="162" customWidth="1"/>
    <col min="14359" max="14359" width="12.7109375" style="162" customWidth="1"/>
    <col min="14360" max="14360" width="14.5703125" style="162" customWidth="1"/>
    <col min="14361" max="14361" width="10.42578125" style="162" customWidth="1"/>
    <col min="14362" max="14592" width="11.42578125" style="162"/>
    <col min="14593" max="14593" width="7.28515625" style="162" customWidth="1"/>
    <col min="14594" max="14594" width="29.7109375" style="162" customWidth="1"/>
    <col min="14595" max="14595" width="48.85546875" style="162" customWidth="1"/>
    <col min="14596" max="14596" width="10.85546875" style="162" customWidth="1"/>
    <col min="14597" max="14597" width="13.28515625" style="162" customWidth="1"/>
    <col min="14598" max="14598" width="11.5703125" style="162" customWidth="1"/>
    <col min="14599" max="14599" width="12.28515625" style="162" customWidth="1"/>
    <col min="14600" max="14600" width="15.42578125" style="162" customWidth="1"/>
    <col min="14601" max="14601" width="14.140625" style="162" customWidth="1"/>
    <col min="14602" max="14602" width="14" style="162" customWidth="1"/>
    <col min="14603" max="14603" width="16.28515625" style="162" customWidth="1"/>
    <col min="14604" max="14605" width="0" style="162" hidden="1" customWidth="1"/>
    <col min="14606" max="14606" width="14" style="162" customWidth="1"/>
    <col min="14607" max="14608" width="14.140625" style="162" customWidth="1"/>
    <col min="14609" max="14609" width="14.28515625" style="162" customWidth="1"/>
    <col min="14610" max="14610" width="17.140625" style="162" customWidth="1"/>
    <col min="14611" max="14612" width="10.42578125" style="162" customWidth="1"/>
    <col min="14613" max="14613" width="13.28515625" style="162" customWidth="1"/>
    <col min="14614" max="14614" width="13.7109375" style="162" customWidth="1"/>
    <col min="14615" max="14615" width="12.7109375" style="162" customWidth="1"/>
    <col min="14616" max="14616" width="14.5703125" style="162" customWidth="1"/>
    <col min="14617" max="14617" width="10.42578125" style="162" customWidth="1"/>
    <col min="14618" max="14848" width="11.42578125" style="162"/>
    <col min="14849" max="14849" width="7.28515625" style="162" customWidth="1"/>
    <col min="14850" max="14850" width="29.7109375" style="162" customWidth="1"/>
    <col min="14851" max="14851" width="48.85546875" style="162" customWidth="1"/>
    <col min="14852" max="14852" width="10.85546875" style="162" customWidth="1"/>
    <col min="14853" max="14853" width="13.28515625" style="162" customWidth="1"/>
    <col min="14854" max="14854" width="11.5703125" style="162" customWidth="1"/>
    <col min="14855" max="14855" width="12.28515625" style="162" customWidth="1"/>
    <col min="14856" max="14856" width="15.42578125" style="162" customWidth="1"/>
    <col min="14857" max="14857" width="14.140625" style="162" customWidth="1"/>
    <col min="14858" max="14858" width="14" style="162" customWidth="1"/>
    <col min="14859" max="14859" width="16.28515625" style="162" customWidth="1"/>
    <col min="14860" max="14861" width="0" style="162" hidden="1" customWidth="1"/>
    <col min="14862" max="14862" width="14" style="162" customWidth="1"/>
    <col min="14863" max="14864" width="14.140625" style="162" customWidth="1"/>
    <col min="14865" max="14865" width="14.28515625" style="162" customWidth="1"/>
    <col min="14866" max="14866" width="17.140625" style="162" customWidth="1"/>
    <col min="14867" max="14868" width="10.42578125" style="162" customWidth="1"/>
    <col min="14869" max="14869" width="13.28515625" style="162" customWidth="1"/>
    <col min="14870" max="14870" width="13.7109375" style="162" customWidth="1"/>
    <col min="14871" max="14871" width="12.7109375" style="162" customWidth="1"/>
    <col min="14872" max="14872" width="14.5703125" style="162" customWidth="1"/>
    <col min="14873" max="14873" width="10.42578125" style="162" customWidth="1"/>
    <col min="14874" max="15104" width="11.42578125" style="162"/>
    <col min="15105" max="15105" width="7.28515625" style="162" customWidth="1"/>
    <col min="15106" max="15106" width="29.7109375" style="162" customWidth="1"/>
    <col min="15107" max="15107" width="48.85546875" style="162" customWidth="1"/>
    <col min="15108" max="15108" width="10.85546875" style="162" customWidth="1"/>
    <col min="15109" max="15109" width="13.28515625" style="162" customWidth="1"/>
    <col min="15110" max="15110" width="11.5703125" style="162" customWidth="1"/>
    <col min="15111" max="15111" width="12.28515625" style="162" customWidth="1"/>
    <col min="15112" max="15112" width="15.42578125" style="162" customWidth="1"/>
    <col min="15113" max="15113" width="14.140625" style="162" customWidth="1"/>
    <col min="15114" max="15114" width="14" style="162" customWidth="1"/>
    <col min="15115" max="15115" width="16.28515625" style="162" customWidth="1"/>
    <col min="15116" max="15117" width="0" style="162" hidden="1" customWidth="1"/>
    <col min="15118" max="15118" width="14" style="162" customWidth="1"/>
    <col min="15119" max="15120" width="14.140625" style="162" customWidth="1"/>
    <col min="15121" max="15121" width="14.28515625" style="162" customWidth="1"/>
    <col min="15122" max="15122" width="17.140625" style="162" customWidth="1"/>
    <col min="15123" max="15124" width="10.42578125" style="162" customWidth="1"/>
    <col min="15125" max="15125" width="13.28515625" style="162" customWidth="1"/>
    <col min="15126" max="15126" width="13.7109375" style="162" customWidth="1"/>
    <col min="15127" max="15127" width="12.7109375" style="162" customWidth="1"/>
    <col min="15128" max="15128" width="14.5703125" style="162" customWidth="1"/>
    <col min="15129" max="15129" width="10.42578125" style="162" customWidth="1"/>
    <col min="15130" max="15360" width="11.42578125" style="162"/>
    <col min="15361" max="15361" width="7.28515625" style="162" customWidth="1"/>
    <col min="15362" max="15362" width="29.7109375" style="162" customWidth="1"/>
    <col min="15363" max="15363" width="48.85546875" style="162" customWidth="1"/>
    <col min="15364" max="15364" width="10.85546875" style="162" customWidth="1"/>
    <col min="15365" max="15365" width="13.28515625" style="162" customWidth="1"/>
    <col min="15366" max="15366" width="11.5703125" style="162" customWidth="1"/>
    <col min="15367" max="15367" width="12.28515625" style="162" customWidth="1"/>
    <col min="15368" max="15368" width="15.42578125" style="162" customWidth="1"/>
    <col min="15369" max="15369" width="14.140625" style="162" customWidth="1"/>
    <col min="15370" max="15370" width="14" style="162" customWidth="1"/>
    <col min="15371" max="15371" width="16.28515625" style="162" customWidth="1"/>
    <col min="15372" max="15373" width="0" style="162" hidden="1" customWidth="1"/>
    <col min="15374" max="15374" width="14" style="162" customWidth="1"/>
    <col min="15375" max="15376" width="14.140625" style="162" customWidth="1"/>
    <col min="15377" max="15377" width="14.28515625" style="162" customWidth="1"/>
    <col min="15378" max="15378" width="17.140625" style="162" customWidth="1"/>
    <col min="15379" max="15380" width="10.42578125" style="162" customWidth="1"/>
    <col min="15381" max="15381" width="13.28515625" style="162" customWidth="1"/>
    <col min="15382" max="15382" width="13.7109375" style="162" customWidth="1"/>
    <col min="15383" max="15383" width="12.7109375" style="162" customWidth="1"/>
    <col min="15384" max="15384" width="14.5703125" style="162" customWidth="1"/>
    <col min="15385" max="15385" width="10.42578125" style="162" customWidth="1"/>
    <col min="15386" max="15616" width="11.42578125" style="162"/>
    <col min="15617" max="15617" width="7.28515625" style="162" customWidth="1"/>
    <col min="15618" max="15618" width="29.7109375" style="162" customWidth="1"/>
    <col min="15619" max="15619" width="48.85546875" style="162" customWidth="1"/>
    <col min="15620" max="15620" width="10.85546875" style="162" customWidth="1"/>
    <col min="15621" max="15621" width="13.28515625" style="162" customWidth="1"/>
    <col min="15622" max="15622" width="11.5703125" style="162" customWidth="1"/>
    <col min="15623" max="15623" width="12.28515625" style="162" customWidth="1"/>
    <col min="15624" max="15624" width="15.42578125" style="162" customWidth="1"/>
    <col min="15625" max="15625" width="14.140625" style="162" customWidth="1"/>
    <col min="15626" max="15626" width="14" style="162" customWidth="1"/>
    <col min="15627" max="15627" width="16.28515625" style="162" customWidth="1"/>
    <col min="15628" max="15629" width="0" style="162" hidden="1" customWidth="1"/>
    <col min="15630" max="15630" width="14" style="162" customWidth="1"/>
    <col min="15631" max="15632" width="14.140625" style="162" customWidth="1"/>
    <col min="15633" max="15633" width="14.28515625" style="162" customWidth="1"/>
    <col min="15634" max="15634" width="17.140625" style="162" customWidth="1"/>
    <col min="15635" max="15636" width="10.42578125" style="162" customWidth="1"/>
    <col min="15637" max="15637" width="13.28515625" style="162" customWidth="1"/>
    <col min="15638" max="15638" width="13.7109375" style="162" customWidth="1"/>
    <col min="15639" max="15639" width="12.7109375" style="162" customWidth="1"/>
    <col min="15640" max="15640" width="14.5703125" style="162" customWidth="1"/>
    <col min="15641" max="15641" width="10.42578125" style="162" customWidth="1"/>
    <col min="15642" max="15872" width="11.42578125" style="162"/>
    <col min="15873" max="15873" width="7.28515625" style="162" customWidth="1"/>
    <col min="15874" max="15874" width="29.7109375" style="162" customWidth="1"/>
    <col min="15875" max="15875" width="48.85546875" style="162" customWidth="1"/>
    <col min="15876" max="15876" width="10.85546875" style="162" customWidth="1"/>
    <col min="15877" max="15877" width="13.28515625" style="162" customWidth="1"/>
    <col min="15878" max="15878" width="11.5703125" style="162" customWidth="1"/>
    <col min="15879" max="15879" width="12.28515625" style="162" customWidth="1"/>
    <col min="15880" max="15880" width="15.42578125" style="162" customWidth="1"/>
    <col min="15881" max="15881" width="14.140625" style="162" customWidth="1"/>
    <col min="15882" max="15882" width="14" style="162" customWidth="1"/>
    <col min="15883" max="15883" width="16.28515625" style="162" customWidth="1"/>
    <col min="15884" max="15885" width="0" style="162" hidden="1" customWidth="1"/>
    <col min="15886" max="15886" width="14" style="162" customWidth="1"/>
    <col min="15887" max="15888" width="14.140625" style="162" customWidth="1"/>
    <col min="15889" max="15889" width="14.28515625" style="162" customWidth="1"/>
    <col min="15890" max="15890" width="17.140625" style="162" customWidth="1"/>
    <col min="15891" max="15892" width="10.42578125" style="162" customWidth="1"/>
    <col min="15893" max="15893" width="13.28515625" style="162" customWidth="1"/>
    <col min="15894" max="15894" width="13.7109375" style="162" customWidth="1"/>
    <col min="15895" max="15895" width="12.7109375" style="162" customWidth="1"/>
    <col min="15896" max="15896" width="14.5703125" style="162" customWidth="1"/>
    <col min="15897" max="15897" width="10.42578125" style="162" customWidth="1"/>
    <col min="15898" max="16128" width="11.42578125" style="162"/>
    <col min="16129" max="16129" width="7.28515625" style="162" customWidth="1"/>
    <col min="16130" max="16130" width="29.7109375" style="162" customWidth="1"/>
    <col min="16131" max="16131" width="48.85546875" style="162" customWidth="1"/>
    <col min="16132" max="16132" width="10.85546875" style="162" customWidth="1"/>
    <col min="16133" max="16133" width="13.28515625" style="162" customWidth="1"/>
    <col min="16134" max="16134" width="11.5703125" style="162" customWidth="1"/>
    <col min="16135" max="16135" width="12.28515625" style="162" customWidth="1"/>
    <col min="16136" max="16136" width="15.42578125" style="162" customWidth="1"/>
    <col min="16137" max="16137" width="14.140625" style="162" customWidth="1"/>
    <col min="16138" max="16138" width="14" style="162" customWidth="1"/>
    <col min="16139" max="16139" width="16.28515625" style="162" customWidth="1"/>
    <col min="16140" max="16141" width="0" style="162" hidden="1" customWidth="1"/>
    <col min="16142" max="16142" width="14" style="162" customWidth="1"/>
    <col min="16143" max="16144" width="14.140625" style="162" customWidth="1"/>
    <col min="16145" max="16145" width="14.28515625" style="162" customWidth="1"/>
    <col min="16146" max="16146" width="17.140625" style="162" customWidth="1"/>
    <col min="16147" max="16148" width="10.42578125" style="162" customWidth="1"/>
    <col min="16149" max="16149" width="13.28515625" style="162" customWidth="1"/>
    <col min="16150" max="16150" width="13.7109375" style="162" customWidth="1"/>
    <col min="16151" max="16151" width="12.7109375" style="162" customWidth="1"/>
    <col min="16152" max="16152" width="14.5703125" style="162" customWidth="1"/>
    <col min="16153" max="16153" width="10.42578125" style="162" customWidth="1"/>
    <col min="16154" max="16384" width="11.42578125" style="162"/>
  </cols>
  <sheetData>
    <row r="1" spans="1:25" s="126" customFormat="1">
      <c r="A1" s="122"/>
      <c r="B1" s="123"/>
      <c r="C1" s="123"/>
      <c r="D1" s="123"/>
      <c r="E1" s="124"/>
      <c r="F1" s="125"/>
      <c r="G1" s="125"/>
      <c r="H1" s="125"/>
      <c r="I1" s="125"/>
      <c r="J1" s="125"/>
      <c r="K1" s="125"/>
      <c r="L1" s="125"/>
      <c r="N1" s="125"/>
      <c r="O1" s="127"/>
      <c r="P1" s="125"/>
      <c r="Q1" s="128"/>
      <c r="R1" s="129"/>
      <c r="S1" s="127"/>
      <c r="T1" s="127"/>
      <c r="U1" s="127"/>
      <c r="V1" s="127"/>
      <c r="W1" s="127"/>
      <c r="X1" s="127"/>
      <c r="Y1" s="127"/>
    </row>
    <row r="2" spans="1:25" s="126" customFormat="1" ht="15.75" customHeight="1">
      <c r="A2" s="3567" t="s">
        <v>202</v>
      </c>
      <c r="B2" s="3567"/>
      <c r="C2" s="3567"/>
      <c r="D2" s="3567"/>
      <c r="E2" s="3567"/>
      <c r="F2" s="3567"/>
      <c r="G2" s="3567"/>
      <c r="H2" s="3567"/>
      <c r="I2" s="3567"/>
      <c r="J2" s="3567"/>
      <c r="K2" s="3567"/>
      <c r="L2" s="3567"/>
      <c r="M2" s="3567"/>
      <c r="N2" s="3567"/>
      <c r="O2" s="3567"/>
      <c r="P2" s="3567"/>
      <c r="Q2" s="3567"/>
      <c r="R2" s="3567"/>
      <c r="S2" s="3567"/>
      <c r="T2" s="3567"/>
      <c r="U2" s="3567"/>
      <c r="V2" s="3567"/>
    </row>
    <row r="3" spans="1:25" s="135" customFormat="1" ht="15.75" customHeight="1">
      <c r="A3" s="130"/>
      <c r="B3" s="130"/>
      <c r="C3" s="130"/>
      <c r="D3" s="130"/>
      <c r="E3" s="131"/>
      <c r="F3" s="130"/>
      <c r="G3" s="130"/>
      <c r="H3" s="130"/>
      <c r="I3" s="131"/>
      <c r="J3" s="131"/>
      <c r="K3" s="131"/>
      <c r="L3" s="131"/>
      <c r="M3" s="130"/>
      <c r="N3" s="131"/>
      <c r="O3" s="132"/>
      <c r="P3" s="131"/>
      <c r="Q3" s="133"/>
      <c r="R3" s="134"/>
      <c r="S3" s="130"/>
      <c r="T3" s="130"/>
      <c r="U3" s="130"/>
      <c r="V3" s="130"/>
    </row>
    <row r="4" spans="1:25" s="140" customFormat="1" ht="15">
      <c r="A4" s="136"/>
      <c r="B4" s="137"/>
      <c r="C4" s="137"/>
      <c r="D4" s="137"/>
      <c r="E4" s="138"/>
      <c r="F4" s="139"/>
      <c r="G4" s="139"/>
      <c r="H4" s="139"/>
      <c r="I4" s="139"/>
      <c r="J4" s="139"/>
      <c r="K4" s="139"/>
      <c r="L4" s="139"/>
      <c r="N4" s="139"/>
      <c r="O4" s="141"/>
      <c r="P4" s="139"/>
      <c r="Q4" s="142"/>
      <c r="R4" s="143"/>
      <c r="S4" s="141"/>
      <c r="T4" s="141"/>
      <c r="U4" s="141"/>
      <c r="V4" s="141"/>
      <c r="W4" s="141"/>
      <c r="X4" s="141"/>
      <c r="Y4" s="141"/>
    </row>
    <row r="5" spans="1:25" s="126" customFormat="1" ht="34.5" customHeight="1">
      <c r="A5" s="3568" t="s">
        <v>203</v>
      </c>
      <c r="B5" s="3569" t="s">
        <v>204</v>
      </c>
      <c r="C5" s="3569" t="s">
        <v>205</v>
      </c>
      <c r="D5" s="3565" t="s">
        <v>206</v>
      </c>
      <c r="E5" s="3570" t="s">
        <v>207</v>
      </c>
      <c r="F5" s="3571" t="s">
        <v>208</v>
      </c>
      <c r="G5" s="3571"/>
      <c r="H5" s="3571" t="s">
        <v>209</v>
      </c>
      <c r="I5" s="3572" t="s">
        <v>210</v>
      </c>
      <c r="J5" s="3572"/>
      <c r="K5" s="3569" t="s">
        <v>211</v>
      </c>
      <c r="L5" s="3569" t="s">
        <v>212</v>
      </c>
      <c r="M5" s="3565" t="s">
        <v>213</v>
      </c>
      <c r="N5" s="3565" t="s">
        <v>214</v>
      </c>
      <c r="O5" s="3566" t="s">
        <v>215</v>
      </c>
      <c r="P5" s="3569" t="s">
        <v>216</v>
      </c>
      <c r="Q5" s="3566" t="s">
        <v>217</v>
      </c>
      <c r="R5" s="3573" t="s">
        <v>218</v>
      </c>
      <c r="S5" s="3574" t="s">
        <v>219</v>
      </c>
      <c r="T5" s="3574"/>
      <c r="U5" s="3574"/>
      <c r="V5" s="3574"/>
      <c r="W5" s="3574"/>
      <c r="X5" s="3574"/>
      <c r="Y5" s="3574"/>
    </row>
    <row r="6" spans="1:25" s="125" customFormat="1" ht="60" customHeight="1">
      <c r="A6" s="3568"/>
      <c r="B6" s="3569"/>
      <c r="C6" s="3569"/>
      <c r="D6" s="3565"/>
      <c r="E6" s="3570"/>
      <c r="F6" s="144" t="s">
        <v>220</v>
      </c>
      <c r="G6" s="145" t="s">
        <v>221</v>
      </c>
      <c r="H6" s="3571"/>
      <c r="I6" s="146" t="s">
        <v>222</v>
      </c>
      <c r="J6" s="146" t="s">
        <v>223</v>
      </c>
      <c r="K6" s="3569"/>
      <c r="L6" s="3569"/>
      <c r="M6" s="3565"/>
      <c r="N6" s="3565"/>
      <c r="O6" s="3566"/>
      <c r="P6" s="3569"/>
      <c r="Q6" s="3566"/>
      <c r="R6" s="3573"/>
      <c r="S6" s="147" t="s">
        <v>224</v>
      </c>
      <c r="T6" s="147" t="s">
        <v>225</v>
      </c>
      <c r="U6" s="147" t="s">
        <v>226</v>
      </c>
      <c r="V6" s="147" t="s">
        <v>227</v>
      </c>
      <c r="W6" s="147" t="s">
        <v>228</v>
      </c>
      <c r="X6" s="147" t="s">
        <v>229</v>
      </c>
      <c r="Y6" s="147" t="s">
        <v>230</v>
      </c>
    </row>
    <row r="7" spans="1:25" s="155" customFormat="1" ht="33.75" hidden="1" customHeight="1">
      <c r="A7" s="148" t="s">
        <v>231</v>
      </c>
      <c r="B7" s="148"/>
      <c r="C7" s="148"/>
      <c r="D7" s="148"/>
      <c r="E7" s="148"/>
      <c r="F7" s="148"/>
      <c r="G7" s="148"/>
      <c r="H7" s="148"/>
      <c r="I7" s="148"/>
      <c r="J7" s="149"/>
      <c r="K7" s="149"/>
      <c r="L7" s="149"/>
      <c r="M7" s="150"/>
      <c r="N7" s="149"/>
      <c r="O7" s="151"/>
      <c r="P7" s="149"/>
      <c r="Q7" s="152"/>
      <c r="R7" s="153">
        <f>+'[3]Compil Costing PPA 3 millions'!F5</f>
        <v>449500</v>
      </c>
      <c r="S7" s="154"/>
      <c r="T7" s="154"/>
      <c r="U7" s="154"/>
      <c r="V7" s="154"/>
      <c r="W7" s="154"/>
      <c r="X7" s="154"/>
      <c r="Y7" s="154"/>
    </row>
    <row r="8" spans="1:25" ht="37.5" hidden="1" customHeight="1">
      <c r="A8" s="3561" t="s">
        <v>232</v>
      </c>
      <c r="B8" s="3561"/>
      <c r="C8" s="3561"/>
      <c r="D8" s="3561"/>
      <c r="E8" s="3561"/>
      <c r="F8" s="3561"/>
      <c r="G8" s="3561"/>
      <c r="H8" s="3561"/>
      <c r="I8" s="3561"/>
      <c r="J8" s="156"/>
      <c r="K8" s="156"/>
      <c r="L8" s="156"/>
      <c r="M8" s="157"/>
      <c r="N8" s="156"/>
      <c r="O8" s="158"/>
      <c r="P8" s="156"/>
      <c r="Q8" s="159"/>
      <c r="R8" s="160"/>
      <c r="S8" s="161"/>
      <c r="T8" s="161"/>
      <c r="U8" s="161"/>
      <c r="V8" s="157"/>
      <c r="W8" s="157"/>
      <c r="X8" s="157"/>
      <c r="Y8" s="157"/>
    </row>
    <row r="9" spans="1:25" ht="16.5" hidden="1" customHeight="1">
      <c r="A9" s="163">
        <v>111</v>
      </c>
      <c r="B9" s="3559"/>
      <c r="C9" s="3559"/>
      <c r="D9" s="3559"/>
      <c r="E9" s="3559"/>
      <c r="F9" s="3559"/>
      <c r="G9" s="3559"/>
      <c r="H9" s="3559"/>
      <c r="I9" s="3559"/>
      <c r="J9" s="164"/>
      <c r="K9" s="165"/>
      <c r="L9" s="164"/>
      <c r="M9" s="166"/>
      <c r="N9" s="165"/>
      <c r="O9" s="167"/>
      <c r="P9" s="164"/>
      <c r="Q9" s="168"/>
      <c r="R9" s="169"/>
      <c r="S9" s="170"/>
      <c r="T9" s="170"/>
      <c r="U9" s="170"/>
      <c r="V9" s="170"/>
      <c r="W9" s="170"/>
      <c r="X9" s="170"/>
      <c r="Y9" s="170"/>
    </row>
    <row r="10" spans="1:25" ht="16.5" hidden="1" customHeight="1">
      <c r="A10" s="171">
        <v>1111</v>
      </c>
      <c r="B10" s="172"/>
      <c r="C10" s="172"/>
      <c r="D10" s="172"/>
      <c r="E10" s="173"/>
      <c r="F10" s="174"/>
      <c r="G10" s="174"/>
      <c r="H10" s="174"/>
      <c r="I10" s="175"/>
      <c r="J10" s="176"/>
      <c r="K10" s="175"/>
      <c r="L10" s="176"/>
      <c r="M10" s="177"/>
      <c r="N10" s="175"/>
      <c r="O10" s="178"/>
      <c r="P10" s="176"/>
      <c r="Q10" s="179"/>
      <c r="R10" s="180"/>
      <c r="S10" s="179"/>
      <c r="T10" s="179"/>
      <c r="U10" s="179"/>
      <c r="V10" s="179"/>
      <c r="W10" s="179"/>
      <c r="X10" s="179"/>
      <c r="Y10" s="179"/>
    </row>
    <row r="11" spans="1:25" ht="16.5" hidden="1" customHeight="1">
      <c r="A11" s="171">
        <v>1112</v>
      </c>
      <c r="B11" s="172"/>
      <c r="C11" s="172"/>
      <c r="D11" s="172"/>
      <c r="E11" s="173"/>
      <c r="F11" s="174"/>
      <c r="G11" s="174"/>
      <c r="H11" s="174"/>
      <c r="I11" s="175"/>
      <c r="J11" s="176"/>
      <c r="K11" s="175"/>
      <c r="L11" s="176"/>
      <c r="M11" s="177"/>
      <c r="N11" s="175"/>
      <c r="O11" s="178"/>
      <c r="P11" s="176"/>
      <c r="Q11" s="179"/>
      <c r="R11" s="180"/>
      <c r="S11" s="179"/>
      <c r="T11" s="179"/>
      <c r="U11" s="179"/>
      <c r="V11" s="179"/>
      <c r="W11" s="179"/>
      <c r="X11" s="179"/>
      <c r="Y11" s="179"/>
    </row>
    <row r="12" spans="1:25" ht="16.5" hidden="1" customHeight="1">
      <c r="A12" s="171">
        <v>1113</v>
      </c>
      <c r="B12" s="172"/>
      <c r="C12" s="172"/>
      <c r="D12" s="172"/>
      <c r="E12" s="173"/>
      <c r="F12" s="174"/>
      <c r="G12" s="174"/>
      <c r="H12" s="174"/>
      <c r="I12" s="175"/>
      <c r="J12" s="176"/>
      <c r="K12" s="175"/>
      <c r="L12" s="176"/>
      <c r="M12" s="177"/>
      <c r="N12" s="175"/>
      <c r="O12" s="178"/>
      <c r="P12" s="176"/>
      <c r="Q12" s="179"/>
      <c r="R12" s="180"/>
      <c r="S12" s="179"/>
      <c r="T12" s="179"/>
      <c r="U12" s="179"/>
      <c r="V12" s="179"/>
      <c r="W12" s="179"/>
      <c r="X12" s="179"/>
      <c r="Y12" s="179"/>
    </row>
    <row r="13" spans="1:25" ht="16.5" hidden="1" customHeight="1">
      <c r="A13" s="163">
        <v>112</v>
      </c>
      <c r="B13" s="3559"/>
      <c r="C13" s="3559"/>
      <c r="D13" s="3559"/>
      <c r="E13" s="3559"/>
      <c r="F13" s="3559"/>
      <c r="G13" s="3559"/>
      <c r="H13" s="3559"/>
      <c r="I13" s="3559"/>
      <c r="J13" s="164"/>
      <c r="K13" s="165"/>
      <c r="L13" s="164"/>
      <c r="M13" s="166"/>
      <c r="N13" s="165"/>
      <c r="O13" s="167"/>
      <c r="P13" s="164"/>
      <c r="Q13" s="168"/>
      <c r="R13" s="169"/>
      <c r="S13" s="170"/>
      <c r="T13" s="170"/>
      <c r="U13" s="170"/>
      <c r="V13" s="170"/>
      <c r="W13" s="170"/>
      <c r="X13" s="170"/>
      <c r="Y13" s="170"/>
    </row>
    <row r="14" spans="1:25" hidden="1">
      <c r="A14" s="171">
        <v>1121</v>
      </c>
      <c r="B14" s="172"/>
      <c r="C14" s="172"/>
      <c r="D14" s="172"/>
      <c r="E14" s="173"/>
      <c r="F14" s="174"/>
      <c r="G14" s="174"/>
      <c r="H14" s="174"/>
      <c r="I14" s="175"/>
      <c r="J14" s="176"/>
      <c r="K14" s="175"/>
      <c r="L14" s="176"/>
      <c r="M14" s="177"/>
      <c r="N14" s="175"/>
      <c r="O14" s="178"/>
      <c r="P14" s="176"/>
      <c r="Q14" s="179"/>
      <c r="R14" s="180"/>
      <c r="S14" s="179"/>
      <c r="T14" s="179"/>
      <c r="U14" s="179"/>
      <c r="V14" s="179"/>
      <c r="W14" s="179"/>
      <c r="X14" s="179"/>
      <c r="Y14" s="179"/>
    </row>
    <row r="15" spans="1:25" hidden="1">
      <c r="A15" s="171">
        <v>1122</v>
      </c>
      <c r="B15" s="172"/>
      <c r="C15" s="172"/>
      <c r="D15" s="172"/>
      <c r="E15" s="173"/>
      <c r="F15" s="174"/>
      <c r="G15" s="174"/>
      <c r="H15" s="174"/>
      <c r="I15" s="175"/>
      <c r="J15" s="176"/>
      <c r="K15" s="175"/>
      <c r="L15" s="176"/>
      <c r="M15" s="177"/>
      <c r="N15" s="175"/>
      <c r="O15" s="178"/>
      <c r="P15" s="176"/>
      <c r="Q15" s="179"/>
      <c r="R15" s="180"/>
      <c r="S15" s="179"/>
      <c r="T15" s="179"/>
      <c r="U15" s="179"/>
      <c r="V15" s="179"/>
      <c r="W15" s="179"/>
      <c r="X15" s="179"/>
      <c r="Y15" s="179"/>
    </row>
    <row r="16" spans="1:25" hidden="1">
      <c r="A16" s="181" t="s">
        <v>233</v>
      </c>
      <c r="B16" s="172"/>
      <c r="C16" s="172"/>
      <c r="D16" s="172"/>
      <c r="E16" s="173"/>
      <c r="F16" s="174"/>
      <c r="G16" s="174"/>
      <c r="H16" s="174"/>
      <c r="I16" s="175"/>
      <c r="J16" s="176"/>
      <c r="K16" s="175"/>
      <c r="L16" s="176"/>
      <c r="M16" s="177"/>
      <c r="N16" s="175"/>
      <c r="O16" s="178"/>
      <c r="P16" s="176"/>
      <c r="Q16" s="179"/>
      <c r="R16" s="180"/>
      <c r="S16" s="179"/>
      <c r="T16" s="179"/>
      <c r="U16" s="179"/>
      <c r="V16" s="179"/>
      <c r="W16" s="179"/>
      <c r="X16" s="179"/>
      <c r="Y16" s="179"/>
    </row>
    <row r="17" spans="1:25" ht="37.5" hidden="1" customHeight="1">
      <c r="A17" s="3561" t="s">
        <v>234</v>
      </c>
      <c r="B17" s="3561"/>
      <c r="C17" s="3561"/>
      <c r="D17" s="3561"/>
      <c r="E17" s="3561"/>
      <c r="F17" s="3561"/>
      <c r="G17" s="3561"/>
      <c r="H17" s="3561"/>
      <c r="I17" s="3561"/>
      <c r="J17" s="156"/>
      <c r="K17" s="156"/>
      <c r="L17" s="156"/>
      <c r="M17" s="157"/>
      <c r="N17" s="156"/>
      <c r="O17" s="158"/>
      <c r="P17" s="156"/>
      <c r="Q17" s="159"/>
      <c r="R17" s="160"/>
      <c r="S17" s="161"/>
      <c r="T17" s="161"/>
      <c r="U17" s="161"/>
      <c r="V17" s="157"/>
      <c r="W17" s="157"/>
      <c r="X17" s="157"/>
      <c r="Y17" s="157"/>
    </row>
    <row r="18" spans="1:25" ht="16.5" hidden="1" customHeight="1">
      <c r="A18" s="163">
        <v>121</v>
      </c>
      <c r="B18" s="3559"/>
      <c r="C18" s="3559"/>
      <c r="D18" s="3559"/>
      <c r="E18" s="3559"/>
      <c r="F18" s="3559"/>
      <c r="G18" s="3559"/>
      <c r="H18" s="3559"/>
      <c r="I18" s="3559"/>
      <c r="J18" s="164"/>
      <c r="K18" s="165"/>
      <c r="L18" s="164"/>
      <c r="M18" s="166"/>
      <c r="N18" s="165"/>
      <c r="O18" s="167"/>
      <c r="P18" s="164"/>
      <c r="Q18" s="168"/>
      <c r="R18" s="169"/>
      <c r="S18" s="170"/>
      <c r="T18" s="170"/>
      <c r="U18" s="170"/>
      <c r="V18" s="170"/>
      <c r="W18" s="170"/>
      <c r="X18" s="170"/>
      <c r="Y18" s="170"/>
    </row>
    <row r="19" spans="1:25" ht="16.5" hidden="1" customHeight="1">
      <c r="A19" s="171">
        <v>1211</v>
      </c>
      <c r="B19" s="172"/>
      <c r="C19" s="172"/>
      <c r="D19" s="172"/>
      <c r="E19" s="173"/>
      <c r="F19" s="174"/>
      <c r="G19" s="174"/>
      <c r="H19" s="174"/>
      <c r="I19" s="175"/>
      <c r="J19" s="176"/>
      <c r="K19" s="175"/>
      <c r="L19" s="176"/>
      <c r="M19" s="177"/>
      <c r="N19" s="175"/>
      <c r="O19" s="178"/>
      <c r="P19" s="176"/>
      <c r="Q19" s="179"/>
      <c r="R19" s="180"/>
      <c r="S19" s="179"/>
      <c r="T19" s="179"/>
      <c r="U19" s="179"/>
      <c r="V19" s="179"/>
      <c r="W19" s="179"/>
      <c r="X19" s="179"/>
      <c r="Y19" s="179"/>
    </row>
    <row r="20" spans="1:25" ht="16.5" hidden="1" customHeight="1">
      <c r="A20" s="171">
        <v>1212</v>
      </c>
      <c r="B20" s="172"/>
      <c r="C20" s="172"/>
      <c r="D20" s="172"/>
      <c r="E20" s="173"/>
      <c r="F20" s="174"/>
      <c r="G20" s="174"/>
      <c r="H20" s="174"/>
      <c r="I20" s="175"/>
      <c r="J20" s="176"/>
      <c r="K20" s="175"/>
      <c r="L20" s="176"/>
      <c r="M20" s="177"/>
      <c r="N20" s="175"/>
      <c r="O20" s="178"/>
      <c r="P20" s="176"/>
      <c r="Q20" s="179"/>
      <c r="R20" s="180"/>
      <c r="S20" s="179"/>
      <c r="T20" s="179"/>
      <c r="U20" s="179"/>
      <c r="V20" s="179"/>
      <c r="W20" s="179"/>
      <c r="X20" s="179"/>
      <c r="Y20" s="179"/>
    </row>
    <row r="21" spans="1:25" ht="16.5" hidden="1" customHeight="1">
      <c r="A21" s="171">
        <v>1213</v>
      </c>
      <c r="B21" s="172"/>
      <c r="C21" s="172"/>
      <c r="D21" s="172"/>
      <c r="E21" s="173"/>
      <c r="F21" s="174"/>
      <c r="G21" s="174"/>
      <c r="H21" s="174"/>
      <c r="I21" s="175"/>
      <c r="J21" s="176"/>
      <c r="K21" s="175"/>
      <c r="L21" s="176"/>
      <c r="M21" s="177"/>
      <c r="N21" s="175"/>
      <c r="O21" s="178"/>
      <c r="P21" s="176"/>
      <c r="Q21" s="179"/>
      <c r="R21" s="180"/>
      <c r="S21" s="179"/>
      <c r="T21" s="179"/>
      <c r="U21" s="179"/>
      <c r="V21" s="179"/>
      <c r="W21" s="179"/>
      <c r="X21" s="179"/>
      <c r="Y21" s="179"/>
    </row>
    <row r="22" spans="1:25" ht="16.5" hidden="1" customHeight="1">
      <c r="A22" s="163">
        <v>122</v>
      </c>
      <c r="B22" s="3559"/>
      <c r="C22" s="3559"/>
      <c r="D22" s="3559"/>
      <c r="E22" s="3559"/>
      <c r="F22" s="3559"/>
      <c r="G22" s="3559"/>
      <c r="H22" s="3559"/>
      <c r="I22" s="3559"/>
      <c r="J22" s="164"/>
      <c r="K22" s="165"/>
      <c r="L22" s="164"/>
      <c r="M22" s="166"/>
      <c r="N22" s="165"/>
      <c r="O22" s="167"/>
      <c r="P22" s="164"/>
      <c r="Q22" s="168"/>
      <c r="R22" s="169"/>
      <c r="S22" s="170"/>
      <c r="T22" s="170"/>
      <c r="U22" s="170"/>
      <c r="V22" s="170"/>
      <c r="W22" s="170"/>
      <c r="X22" s="170"/>
      <c r="Y22" s="170"/>
    </row>
    <row r="23" spans="1:25" ht="16.5" hidden="1" customHeight="1">
      <c r="A23" s="171">
        <v>1221</v>
      </c>
      <c r="B23" s="172"/>
      <c r="C23" s="172"/>
      <c r="D23" s="172"/>
      <c r="E23" s="173"/>
      <c r="F23" s="174"/>
      <c r="G23" s="174"/>
      <c r="H23" s="174"/>
      <c r="I23" s="175"/>
      <c r="J23" s="176"/>
      <c r="K23" s="175"/>
      <c r="L23" s="176"/>
      <c r="M23" s="177"/>
      <c r="N23" s="175"/>
      <c r="O23" s="178"/>
      <c r="P23" s="176"/>
      <c r="Q23" s="179"/>
      <c r="R23" s="180"/>
      <c r="S23" s="179"/>
      <c r="T23" s="179"/>
      <c r="U23" s="179"/>
      <c r="V23" s="179"/>
      <c r="W23" s="179"/>
      <c r="X23" s="179"/>
      <c r="Y23" s="179"/>
    </row>
    <row r="24" spans="1:25" ht="16.5" hidden="1" customHeight="1">
      <c r="A24" s="171">
        <v>1222</v>
      </c>
      <c r="B24" s="172"/>
      <c r="C24" s="172"/>
      <c r="D24" s="172"/>
      <c r="E24" s="173"/>
      <c r="F24" s="174"/>
      <c r="G24" s="174"/>
      <c r="H24" s="174"/>
      <c r="I24" s="175"/>
      <c r="J24" s="176"/>
      <c r="K24" s="175"/>
      <c r="L24" s="176"/>
      <c r="M24" s="177"/>
      <c r="N24" s="175"/>
      <c r="O24" s="178"/>
      <c r="P24" s="176"/>
      <c r="Q24" s="179"/>
      <c r="R24" s="180"/>
      <c r="S24" s="179"/>
      <c r="T24" s="179"/>
      <c r="U24" s="179"/>
      <c r="V24" s="179"/>
      <c r="W24" s="179"/>
      <c r="X24" s="179"/>
      <c r="Y24" s="179"/>
    </row>
    <row r="25" spans="1:25" hidden="1">
      <c r="A25" s="181" t="s">
        <v>233</v>
      </c>
      <c r="B25" s="172"/>
      <c r="C25" s="172"/>
      <c r="D25" s="172"/>
      <c r="E25" s="173"/>
      <c r="F25" s="174"/>
      <c r="G25" s="174"/>
      <c r="H25" s="174"/>
      <c r="I25" s="175"/>
      <c r="J25" s="176"/>
      <c r="K25" s="175"/>
      <c r="L25" s="176"/>
      <c r="M25" s="177"/>
      <c r="N25" s="175"/>
      <c r="O25" s="178"/>
      <c r="P25" s="176"/>
      <c r="Q25" s="179"/>
      <c r="R25" s="180"/>
      <c r="S25" s="179"/>
      <c r="T25" s="179"/>
      <c r="U25" s="179"/>
      <c r="V25" s="179"/>
      <c r="W25" s="179"/>
      <c r="X25" s="179"/>
      <c r="Y25" s="179"/>
    </row>
    <row r="26" spans="1:25" s="155" customFormat="1" ht="33.75" hidden="1" customHeight="1">
      <c r="A26" s="3563" t="s">
        <v>235</v>
      </c>
      <c r="B26" s="3563"/>
      <c r="C26" s="3563"/>
      <c r="D26" s="3563"/>
      <c r="E26" s="3563"/>
      <c r="F26" s="3563"/>
      <c r="G26" s="3563"/>
      <c r="H26" s="3563"/>
      <c r="I26" s="3563"/>
      <c r="J26" s="149"/>
      <c r="K26" s="149"/>
      <c r="L26" s="149"/>
      <c r="M26" s="150"/>
      <c r="N26" s="149"/>
      <c r="O26" s="151"/>
      <c r="P26" s="149"/>
      <c r="Q26" s="152"/>
      <c r="R26" s="153">
        <f>+R27+R36+R46</f>
        <v>688782.12</v>
      </c>
      <c r="S26" s="154"/>
      <c r="T26" s="154"/>
      <c r="U26" s="154"/>
      <c r="V26" s="154"/>
      <c r="W26" s="154"/>
      <c r="X26" s="154"/>
      <c r="Y26" s="154"/>
    </row>
    <row r="27" spans="1:25" ht="37.5" hidden="1" customHeight="1">
      <c r="A27" s="3561" t="s">
        <v>236</v>
      </c>
      <c r="B27" s="3561"/>
      <c r="C27" s="3561"/>
      <c r="D27" s="3561"/>
      <c r="E27" s="3561"/>
      <c r="F27" s="3561"/>
      <c r="G27" s="3561"/>
      <c r="H27" s="3561"/>
      <c r="I27" s="3561"/>
      <c r="J27" s="156"/>
      <c r="K27" s="156"/>
      <c r="L27" s="156"/>
      <c r="M27" s="157"/>
      <c r="N27" s="156"/>
      <c r="O27" s="158"/>
      <c r="P27" s="156"/>
      <c r="Q27" s="159"/>
      <c r="R27" s="160">
        <f>+'[3]Compil Costing PPA 3 millions'!F7</f>
        <v>300354.12</v>
      </c>
      <c r="S27" s="161"/>
      <c r="T27" s="161"/>
      <c r="U27" s="161"/>
      <c r="V27" s="157"/>
      <c r="W27" s="157"/>
      <c r="X27" s="157"/>
      <c r="Y27" s="157"/>
    </row>
    <row r="28" spans="1:25" ht="16.5" hidden="1" customHeight="1">
      <c r="A28" s="163">
        <v>211</v>
      </c>
      <c r="B28" s="3559"/>
      <c r="C28" s="3559"/>
      <c r="D28" s="3559"/>
      <c r="E28" s="3559"/>
      <c r="F28" s="3559"/>
      <c r="G28" s="3559"/>
      <c r="H28" s="3559"/>
      <c r="I28" s="3559"/>
      <c r="J28" s="164"/>
      <c r="K28" s="165"/>
      <c r="L28" s="164"/>
      <c r="M28" s="166"/>
      <c r="N28" s="165"/>
      <c r="O28" s="167"/>
      <c r="P28" s="164"/>
      <c r="Q28" s="168"/>
      <c r="R28" s="169"/>
      <c r="S28" s="170"/>
      <c r="T28" s="170"/>
      <c r="U28" s="170"/>
      <c r="V28" s="170"/>
      <c r="W28" s="170"/>
      <c r="X28" s="170"/>
      <c r="Y28" s="170"/>
    </row>
    <row r="29" spans="1:25" hidden="1">
      <c r="A29" s="182">
        <v>2111</v>
      </c>
      <c r="B29" s="183"/>
      <c r="C29" s="183"/>
      <c r="D29" s="183"/>
      <c r="E29" s="184"/>
      <c r="F29" s="185"/>
      <c r="G29" s="174"/>
      <c r="H29" s="174"/>
      <c r="I29" s="175"/>
      <c r="J29" s="176"/>
      <c r="K29" s="175"/>
      <c r="L29" s="176"/>
      <c r="M29" s="177"/>
      <c r="N29" s="175"/>
      <c r="O29" s="178"/>
      <c r="P29" s="176"/>
      <c r="Q29" s="179"/>
      <c r="R29" s="180"/>
      <c r="S29" s="179"/>
      <c r="T29" s="179"/>
      <c r="U29" s="179"/>
      <c r="V29" s="179"/>
      <c r="W29" s="179"/>
      <c r="X29" s="179"/>
      <c r="Y29" s="179"/>
    </row>
    <row r="30" spans="1:25" hidden="1">
      <c r="A30" s="182">
        <v>2112</v>
      </c>
      <c r="B30" s="183"/>
      <c r="C30" s="183"/>
      <c r="D30" s="183"/>
      <c r="E30" s="184"/>
      <c r="F30" s="185"/>
      <c r="G30" s="174"/>
      <c r="H30" s="174"/>
      <c r="I30" s="175"/>
      <c r="J30" s="176"/>
      <c r="K30" s="175"/>
      <c r="L30" s="176"/>
      <c r="M30" s="177"/>
      <c r="N30" s="175"/>
      <c r="O30" s="178"/>
      <c r="P30" s="176"/>
      <c r="Q30" s="179"/>
      <c r="R30" s="180"/>
      <c r="S30" s="179"/>
      <c r="T30" s="179"/>
      <c r="U30" s="179"/>
      <c r="V30" s="179"/>
      <c r="W30" s="179"/>
      <c r="X30" s="179"/>
      <c r="Y30" s="179"/>
    </row>
    <row r="31" spans="1:25" hidden="1">
      <c r="A31" s="182">
        <v>2113</v>
      </c>
      <c r="B31" s="183"/>
      <c r="C31" s="183"/>
      <c r="D31" s="183"/>
      <c r="E31" s="184"/>
      <c r="F31" s="185"/>
      <c r="G31" s="174"/>
      <c r="H31" s="174"/>
      <c r="I31" s="175"/>
      <c r="J31" s="176"/>
      <c r="K31" s="175"/>
      <c r="L31" s="176"/>
      <c r="M31" s="177"/>
      <c r="N31" s="175"/>
      <c r="O31" s="178"/>
      <c r="P31" s="176"/>
      <c r="Q31" s="179"/>
      <c r="R31" s="180"/>
      <c r="S31" s="179"/>
      <c r="T31" s="179"/>
      <c r="U31" s="179"/>
      <c r="V31" s="179"/>
      <c r="W31" s="179"/>
      <c r="X31" s="179"/>
      <c r="Y31" s="179"/>
    </row>
    <row r="32" spans="1:25" ht="16.5" hidden="1" customHeight="1">
      <c r="A32" s="163">
        <v>212</v>
      </c>
      <c r="B32" s="3559"/>
      <c r="C32" s="3559"/>
      <c r="D32" s="3559"/>
      <c r="E32" s="3559"/>
      <c r="F32" s="3559"/>
      <c r="G32" s="3559"/>
      <c r="H32" s="3559"/>
      <c r="I32" s="3559"/>
      <c r="J32" s="164"/>
      <c r="K32" s="165"/>
      <c r="L32" s="164"/>
      <c r="M32" s="166"/>
      <c r="N32" s="165"/>
      <c r="O32" s="167"/>
      <c r="P32" s="164"/>
      <c r="Q32" s="168"/>
      <c r="R32" s="169"/>
      <c r="S32" s="170"/>
      <c r="T32" s="170"/>
      <c r="U32" s="170"/>
      <c r="V32" s="170"/>
      <c r="W32" s="170"/>
      <c r="X32" s="170"/>
      <c r="Y32" s="170"/>
    </row>
    <row r="33" spans="1:25" hidden="1">
      <c r="A33" s="182">
        <v>2121</v>
      </c>
      <c r="B33" s="183"/>
      <c r="C33" s="183"/>
      <c r="D33" s="183"/>
      <c r="E33" s="184"/>
      <c r="F33" s="185"/>
      <c r="G33" s="174"/>
      <c r="H33" s="174"/>
      <c r="I33" s="175"/>
      <c r="J33" s="176"/>
      <c r="K33" s="175"/>
      <c r="L33" s="176"/>
      <c r="M33" s="177"/>
      <c r="N33" s="175"/>
      <c r="O33" s="178"/>
      <c r="P33" s="176"/>
      <c r="Q33" s="179"/>
      <c r="R33" s="180"/>
      <c r="S33" s="179"/>
      <c r="T33" s="179"/>
      <c r="U33" s="179"/>
      <c r="V33" s="179"/>
      <c r="W33" s="179"/>
      <c r="X33" s="179"/>
      <c r="Y33" s="179"/>
    </row>
    <row r="34" spans="1:25" hidden="1">
      <c r="A34" s="182">
        <v>2122</v>
      </c>
      <c r="B34" s="183"/>
      <c r="C34" s="183"/>
      <c r="D34" s="183"/>
      <c r="E34" s="184"/>
      <c r="F34" s="185"/>
      <c r="G34" s="174"/>
      <c r="H34" s="174"/>
      <c r="I34" s="175"/>
      <c r="J34" s="176"/>
      <c r="K34" s="175"/>
      <c r="L34" s="176"/>
      <c r="M34" s="177"/>
      <c r="N34" s="175"/>
      <c r="O34" s="178"/>
      <c r="P34" s="176"/>
      <c r="Q34" s="179"/>
      <c r="R34" s="180"/>
      <c r="S34" s="179"/>
      <c r="T34" s="179"/>
      <c r="U34" s="179"/>
      <c r="V34" s="179"/>
      <c r="W34" s="179"/>
      <c r="X34" s="179"/>
      <c r="Y34" s="179"/>
    </row>
    <row r="35" spans="1:25" hidden="1">
      <c r="A35" s="186" t="s">
        <v>233</v>
      </c>
      <c r="B35" s="187"/>
      <c r="C35" s="172"/>
      <c r="D35" s="172"/>
      <c r="E35" s="173"/>
      <c r="F35" s="185"/>
      <c r="G35" s="174"/>
      <c r="H35" s="174"/>
      <c r="I35" s="175"/>
      <c r="J35" s="176"/>
      <c r="K35" s="175"/>
      <c r="L35" s="176"/>
      <c r="M35" s="177"/>
      <c r="N35" s="175"/>
      <c r="O35" s="178"/>
      <c r="P35" s="176"/>
      <c r="Q35" s="179"/>
      <c r="R35" s="180"/>
      <c r="S35" s="179"/>
      <c r="T35" s="179"/>
      <c r="U35" s="179"/>
      <c r="V35" s="179"/>
      <c r="W35" s="179"/>
      <c r="X35" s="179"/>
      <c r="Y35" s="179"/>
    </row>
    <row r="36" spans="1:25" ht="37.5" hidden="1" customHeight="1">
      <c r="A36" s="3561" t="s">
        <v>237</v>
      </c>
      <c r="B36" s="3561"/>
      <c r="C36" s="3561"/>
      <c r="D36" s="3561"/>
      <c r="E36" s="3561"/>
      <c r="F36" s="3561"/>
      <c r="G36" s="3561"/>
      <c r="H36" s="3561"/>
      <c r="I36" s="3561"/>
      <c r="J36" s="156"/>
      <c r="K36" s="156"/>
      <c r="L36" s="156"/>
      <c r="M36" s="157"/>
      <c r="N36" s="156"/>
      <c r="O36" s="158"/>
      <c r="P36" s="156"/>
      <c r="Q36" s="159"/>
      <c r="R36" s="160">
        <f>+'[3]Compil Costing PPA 3 millions'!F8</f>
        <v>300000</v>
      </c>
      <c r="S36" s="161"/>
      <c r="T36" s="161"/>
      <c r="U36" s="161"/>
      <c r="V36" s="157"/>
      <c r="W36" s="157"/>
      <c r="X36" s="157"/>
      <c r="Y36" s="157"/>
    </row>
    <row r="37" spans="1:25" ht="16.5" hidden="1" customHeight="1">
      <c r="A37" s="163">
        <v>221</v>
      </c>
      <c r="B37" s="3562" t="s">
        <v>238</v>
      </c>
      <c r="C37" s="3562"/>
      <c r="D37" s="3562"/>
      <c r="E37" s="3562"/>
      <c r="F37" s="3562"/>
      <c r="G37" s="3562"/>
      <c r="H37" s="3562"/>
      <c r="I37" s="3562"/>
      <c r="J37" s="164"/>
      <c r="K37" s="165"/>
      <c r="L37" s="164"/>
      <c r="M37" s="166"/>
      <c r="N37" s="165"/>
      <c r="O37" s="167"/>
      <c r="P37" s="164"/>
      <c r="Q37" s="168"/>
      <c r="R37" s="169"/>
      <c r="S37" s="170"/>
      <c r="T37" s="170"/>
      <c r="U37" s="170"/>
      <c r="V37" s="170"/>
      <c r="W37" s="170"/>
      <c r="X37" s="170"/>
      <c r="Y37" s="170"/>
    </row>
    <row r="38" spans="1:25" hidden="1">
      <c r="A38" s="182">
        <v>2211</v>
      </c>
      <c r="B38" s="172"/>
      <c r="C38" s="188"/>
      <c r="D38" s="188"/>
      <c r="E38" s="173"/>
      <c r="F38" s="185"/>
      <c r="G38" s="174"/>
      <c r="H38" s="174"/>
      <c r="I38" s="175"/>
      <c r="J38" s="176"/>
      <c r="K38" s="189"/>
      <c r="L38" s="176"/>
      <c r="M38" s="177"/>
      <c r="N38" s="175"/>
      <c r="O38" s="178"/>
      <c r="P38" s="176"/>
      <c r="Q38" s="179"/>
      <c r="R38" s="180"/>
      <c r="S38" s="179"/>
      <c r="T38" s="179"/>
      <c r="U38" s="179"/>
      <c r="V38" s="179"/>
      <c r="W38" s="179"/>
      <c r="X38" s="179"/>
      <c r="Y38" s="179"/>
    </row>
    <row r="39" spans="1:25" hidden="1">
      <c r="A39" s="182">
        <v>2211</v>
      </c>
      <c r="B39" s="172"/>
      <c r="C39" s="188"/>
      <c r="D39" s="188"/>
      <c r="E39" s="173"/>
      <c r="F39" s="174"/>
      <c r="G39" s="185"/>
      <c r="H39" s="174"/>
      <c r="I39" s="175"/>
      <c r="J39" s="176"/>
      <c r="K39" s="189"/>
      <c r="L39" s="176"/>
      <c r="M39" s="177"/>
      <c r="N39" s="175"/>
      <c r="O39" s="178"/>
      <c r="P39" s="176"/>
      <c r="Q39" s="179"/>
      <c r="R39" s="180"/>
      <c r="S39" s="179"/>
      <c r="T39" s="179"/>
      <c r="U39" s="179"/>
      <c r="V39" s="179"/>
      <c r="W39" s="179"/>
      <c r="X39" s="179"/>
      <c r="Y39" s="179"/>
    </row>
    <row r="40" spans="1:25" hidden="1">
      <c r="A40" s="171">
        <v>2212</v>
      </c>
      <c r="B40" s="188"/>
      <c r="C40" s="188"/>
      <c r="D40" s="188"/>
      <c r="E40" s="184"/>
      <c r="F40" s="185"/>
      <c r="G40" s="174"/>
      <c r="H40" s="174"/>
      <c r="I40" s="175"/>
      <c r="J40" s="176"/>
      <c r="K40" s="175"/>
      <c r="L40" s="176"/>
      <c r="M40" s="177"/>
      <c r="N40" s="175"/>
      <c r="O40" s="178"/>
      <c r="P40" s="176"/>
      <c r="Q40" s="179"/>
      <c r="R40" s="180"/>
      <c r="S40" s="179"/>
      <c r="T40" s="179"/>
      <c r="U40" s="179"/>
      <c r="V40" s="179"/>
      <c r="W40" s="179"/>
      <c r="X40" s="179"/>
      <c r="Y40" s="179"/>
    </row>
    <row r="41" spans="1:25" hidden="1">
      <c r="A41" s="171">
        <v>2213</v>
      </c>
      <c r="B41" s="188"/>
      <c r="C41" s="188"/>
      <c r="D41" s="188"/>
      <c r="E41" s="173"/>
      <c r="F41" s="185"/>
      <c r="G41" s="174"/>
      <c r="H41" s="174"/>
      <c r="I41" s="175"/>
      <c r="J41" s="176"/>
      <c r="K41" s="175"/>
      <c r="L41" s="176"/>
      <c r="M41" s="177"/>
      <c r="N41" s="175"/>
      <c r="O41" s="178"/>
      <c r="P41" s="176"/>
      <c r="Q41" s="179"/>
      <c r="R41" s="180"/>
      <c r="S41" s="179"/>
      <c r="T41" s="179"/>
      <c r="U41" s="179"/>
      <c r="V41" s="179"/>
      <c r="W41" s="179"/>
      <c r="X41" s="179"/>
      <c r="Y41" s="179"/>
    </row>
    <row r="42" spans="1:25" ht="20.25" hidden="1" customHeight="1">
      <c r="A42" s="163">
        <v>222</v>
      </c>
      <c r="B42" s="3562" t="s">
        <v>239</v>
      </c>
      <c r="C42" s="3562"/>
      <c r="D42" s="3562"/>
      <c r="E42" s="3562"/>
      <c r="F42" s="3562"/>
      <c r="G42" s="3562"/>
      <c r="H42" s="3562"/>
      <c r="I42" s="3562"/>
      <c r="J42" s="164"/>
      <c r="K42" s="165"/>
      <c r="L42" s="164"/>
      <c r="M42" s="166"/>
      <c r="N42" s="165"/>
      <c r="O42" s="167"/>
      <c r="P42" s="164"/>
      <c r="Q42" s="168"/>
      <c r="R42" s="169"/>
      <c r="S42" s="170"/>
      <c r="T42" s="170"/>
      <c r="U42" s="170"/>
      <c r="V42" s="170"/>
      <c r="W42" s="170"/>
      <c r="X42" s="170"/>
      <c r="Y42" s="170"/>
    </row>
    <row r="43" spans="1:25" hidden="1">
      <c r="A43" s="171">
        <v>2221</v>
      </c>
      <c r="B43" s="183"/>
      <c r="C43" s="183"/>
      <c r="D43" s="183"/>
      <c r="E43" s="184"/>
      <c r="F43" s="185"/>
      <c r="G43" s="174"/>
      <c r="H43" s="174"/>
      <c r="I43" s="175"/>
      <c r="J43" s="176"/>
      <c r="K43" s="175"/>
      <c r="L43" s="176"/>
      <c r="M43" s="177"/>
      <c r="N43" s="175"/>
      <c r="O43" s="178"/>
      <c r="P43" s="176"/>
      <c r="Q43" s="179"/>
      <c r="R43" s="180"/>
      <c r="S43" s="179"/>
      <c r="T43" s="179"/>
      <c r="U43" s="179"/>
      <c r="V43" s="179"/>
      <c r="W43" s="179"/>
      <c r="X43" s="179"/>
      <c r="Y43" s="179"/>
    </row>
    <row r="44" spans="1:25" hidden="1">
      <c r="A44" s="171">
        <v>2222</v>
      </c>
      <c r="B44" s="183"/>
      <c r="C44" s="183"/>
      <c r="D44" s="183"/>
      <c r="E44" s="184"/>
      <c r="F44" s="185"/>
      <c r="G44" s="174"/>
      <c r="H44" s="174"/>
      <c r="I44" s="175"/>
      <c r="J44" s="176"/>
      <c r="K44" s="175"/>
      <c r="L44" s="176"/>
      <c r="M44" s="177"/>
      <c r="N44" s="175"/>
      <c r="O44" s="178"/>
      <c r="P44" s="176"/>
      <c r="Q44" s="179"/>
      <c r="R44" s="180"/>
      <c r="S44" s="179"/>
      <c r="T44" s="179"/>
      <c r="U44" s="179"/>
      <c r="V44" s="179"/>
      <c r="W44" s="179"/>
      <c r="X44" s="179"/>
      <c r="Y44" s="179"/>
    </row>
    <row r="45" spans="1:25" hidden="1">
      <c r="A45" s="186" t="s">
        <v>233</v>
      </c>
      <c r="B45" s="183"/>
      <c r="C45" s="183"/>
      <c r="D45" s="183"/>
      <c r="E45" s="184"/>
      <c r="F45" s="185"/>
      <c r="G45" s="174"/>
      <c r="H45" s="174"/>
      <c r="I45" s="175"/>
      <c r="J45" s="176"/>
      <c r="K45" s="175"/>
      <c r="L45" s="176"/>
      <c r="M45" s="177"/>
      <c r="N45" s="175"/>
      <c r="O45" s="178"/>
      <c r="P45" s="176"/>
      <c r="Q45" s="179"/>
      <c r="R45" s="180"/>
      <c r="S45" s="179"/>
      <c r="T45" s="179"/>
      <c r="U45" s="179"/>
      <c r="V45" s="179"/>
      <c r="W45" s="179"/>
      <c r="X45" s="179"/>
      <c r="Y45" s="179"/>
    </row>
    <row r="46" spans="1:25" ht="37.5" hidden="1" customHeight="1">
      <c r="A46" s="3561" t="s">
        <v>240</v>
      </c>
      <c r="B46" s="3561"/>
      <c r="C46" s="3561"/>
      <c r="D46" s="3561"/>
      <c r="E46" s="3561"/>
      <c r="F46" s="3561"/>
      <c r="G46" s="3561"/>
      <c r="H46" s="3561"/>
      <c r="I46" s="3561"/>
      <c r="J46" s="156"/>
      <c r="K46" s="156"/>
      <c r="L46" s="156"/>
      <c r="M46" s="157"/>
      <c r="N46" s="156"/>
      <c r="O46" s="158"/>
      <c r="P46" s="156"/>
      <c r="Q46" s="159"/>
      <c r="R46" s="160">
        <f>+'[3]Compil Costing PPA 3 millions'!F9</f>
        <v>88428</v>
      </c>
      <c r="S46" s="161"/>
      <c r="T46" s="161"/>
      <c r="U46" s="161"/>
      <c r="V46" s="157"/>
      <c r="W46" s="157"/>
      <c r="X46" s="157"/>
      <c r="Y46" s="157"/>
    </row>
    <row r="47" spans="1:25" ht="16.5" hidden="1" customHeight="1">
      <c r="A47" s="163">
        <v>231</v>
      </c>
      <c r="B47" s="3559"/>
      <c r="C47" s="3559"/>
      <c r="D47" s="3559"/>
      <c r="E47" s="3559"/>
      <c r="F47" s="3559"/>
      <c r="G47" s="3559"/>
      <c r="H47" s="3559"/>
      <c r="I47" s="3559"/>
      <c r="J47" s="164"/>
      <c r="K47" s="165"/>
      <c r="L47" s="164"/>
      <c r="M47" s="166"/>
      <c r="N47" s="165"/>
      <c r="O47" s="167"/>
      <c r="P47" s="164"/>
      <c r="Q47" s="168"/>
      <c r="R47" s="169"/>
      <c r="S47" s="170"/>
      <c r="T47" s="170"/>
      <c r="U47" s="170"/>
      <c r="V47" s="170"/>
      <c r="W47" s="170"/>
      <c r="X47" s="170"/>
      <c r="Y47" s="170"/>
    </row>
    <row r="48" spans="1:25" hidden="1">
      <c r="A48" s="171">
        <v>2311</v>
      </c>
      <c r="B48" s="183"/>
      <c r="C48" s="183"/>
      <c r="D48" s="183"/>
      <c r="E48" s="184"/>
      <c r="F48" s="185"/>
      <c r="G48" s="174"/>
      <c r="H48" s="174"/>
      <c r="I48" s="175"/>
      <c r="J48" s="176"/>
      <c r="K48" s="175"/>
      <c r="L48" s="176"/>
      <c r="M48" s="177"/>
      <c r="N48" s="175"/>
      <c r="O48" s="178"/>
      <c r="P48" s="176"/>
      <c r="Q48" s="179"/>
      <c r="R48" s="180"/>
      <c r="S48" s="179"/>
      <c r="T48" s="179"/>
      <c r="U48" s="179"/>
      <c r="V48" s="179"/>
      <c r="W48" s="179"/>
      <c r="X48" s="179"/>
      <c r="Y48" s="179"/>
    </row>
    <row r="49" spans="1:25" hidden="1">
      <c r="A49" s="171">
        <v>2312</v>
      </c>
      <c r="B49" s="183"/>
      <c r="C49" s="183"/>
      <c r="D49" s="183"/>
      <c r="E49" s="184"/>
      <c r="F49" s="185"/>
      <c r="G49" s="174"/>
      <c r="H49" s="174"/>
      <c r="I49" s="175"/>
      <c r="J49" s="176"/>
      <c r="K49" s="175"/>
      <c r="L49" s="176"/>
      <c r="M49" s="177"/>
      <c r="N49" s="175"/>
      <c r="O49" s="178"/>
      <c r="P49" s="176"/>
      <c r="Q49" s="179"/>
      <c r="R49" s="180"/>
      <c r="S49" s="179"/>
      <c r="T49" s="179"/>
      <c r="U49" s="179"/>
      <c r="V49" s="179"/>
      <c r="W49" s="179"/>
      <c r="X49" s="179"/>
      <c r="Y49" s="179"/>
    </row>
    <row r="50" spans="1:25" hidden="1">
      <c r="A50" s="171">
        <v>2313</v>
      </c>
      <c r="B50" s="183"/>
      <c r="C50" s="183"/>
      <c r="D50" s="183"/>
      <c r="E50" s="184"/>
      <c r="F50" s="185"/>
      <c r="G50" s="174"/>
      <c r="H50" s="174"/>
      <c r="I50" s="175"/>
      <c r="J50" s="176"/>
      <c r="K50" s="175"/>
      <c r="L50" s="176"/>
      <c r="M50" s="177"/>
      <c r="N50" s="175"/>
      <c r="O50" s="178"/>
      <c r="P50" s="176"/>
      <c r="Q50" s="179"/>
      <c r="R50" s="180"/>
      <c r="S50" s="179"/>
      <c r="T50" s="179"/>
      <c r="U50" s="179"/>
      <c r="V50" s="179"/>
      <c r="W50" s="179"/>
      <c r="X50" s="179"/>
      <c r="Y50" s="179"/>
    </row>
    <row r="51" spans="1:25" ht="16.5" hidden="1" customHeight="1">
      <c r="A51" s="163">
        <v>232</v>
      </c>
      <c r="B51" s="3559"/>
      <c r="C51" s="3559"/>
      <c r="D51" s="3559"/>
      <c r="E51" s="3559"/>
      <c r="F51" s="3559"/>
      <c r="G51" s="3559"/>
      <c r="H51" s="3559"/>
      <c r="I51" s="3559"/>
      <c r="J51" s="164"/>
      <c r="K51" s="165"/>
      <c r="L51" s="164"/>
      <c r="M51" s="166"/>
      <c r="N51" s="165"/>
      <c r="O51" s="167"/>
      <c r="P51" s="164"/>
      <c r="Q51" s="168"/>
      <c r="R51" s="169"/>
      <c r="S51" s="170"/>
      <c r="T51" s="170"/>
      <c r="U51" s="170"/>
      <c r="V51" s="170"/>
      <c r="W51" s="170"/>
      <c r="X51" s="170"/>
      <c r="Y51" s="170"/>
    </row>
    <row r="52" spans="1:25" hidden="1">
      <c r="A52" s="171">
        <v>2321</v>
      </c>
      <c r="B52" s="183"/>
      <c r="C52" s="183"/>
      <c r="D52" s="183"/>
      <c r="E52" s="184"/>
      <c r="F52" s="185"/>
      <c r="G52" s="174"/>
      <c r="H52" s="174"/>
      <c r="I52" s="175"/>
      <c r="J52" s="176"/>
      <c r="K52" s="175"/>
      <c r="L52" s="176"/>
      <c r="M52" s="177"/>
      <c r="N52" s="175"/>
      <c r="O52" s="178"/>
      <c r="P52" s="176"/>
      <c r="Q52" s="179"/>
      <c r="R52" s="180"/>
      <c r="S52" s="179"/>
      <c r="T52" s="179"/>
      <c r="U52" s="179"/>
      <c r="V52" s="179"/>
      <c r="W52" s="179"/>
      <c r="X52" s="179"/>
      <c r="Y52" s="179"/>
    </row>
    <row r="53" spans="1:25" hidden="1">
      <c r="A53" s="171">
        <v>2322</v>
      </c>
      <c r="B53" s="183"/>
      <c r="C53" s="183"/>
      <c r="D53" s="183"/>
      <c r="E53" s="184"/>
      <c r="F53" s="185"/>
      <c r="G53" s="174"/>
      <c r="H53" s="174"/>
      <c r="I53" s="175"/>
      <c r="J53" s="176"/>
      <c r="K53" s="175"/>
      <c r="L53" s="176"/>
      <c r="M53" s="177"/>
      <c r="N53" s="175"/>
      <c r="O53" s="178"/>
      <c r="P53" s="176"/>
      <c r="Q53" s="179"/>
      <c r="R53" s="180"/>
      <c r="S53" s="179"/>
      <c r="T53" s="179"/>
      <c r="U53" s="179"/>
      <c r="V53" s="179"/>
      <c r="W53" s="179"/>
      <c r="X53" s="179"/>
      <c r="Y53" s="179"/>
    </row>
    <row r="54" spans="1:25" hidden="1">
      <c r="A54" s="186" t="s">
        <v>233</v>
      </c>
      <c r="B54" s="183"/>
      <c r="C54" s="183"/>
      <c r="D54" s="183"/>
      <c r="E54" s="184"/>
      <c r="F54" s="185"/>
      <c r="G54" s="174"/>
      <c r="H54" s="174"/>
      <c r="I54" s="175"/>
      <c r="J54" s="176"/>
      <c r="K54" s="175"/>
      <c r="L54" s="176"/>
      <c r="M54" s="177"/>
      <c r="N54" s="175"/>
      <c r="O54" s="178"/>
      <c r="P54" s="176"/>
      <c r="Q54" s="179"/>
      <c r="R54" s="180"/>
      <c r="S54" s="179"/>
      <c r="T54" s="179"/>
      <c r="U54" s="179"/>
      <c r="V54" s="179"/>
      <c r="W54" s="179"/>
      <c r="X54" s="179"/>
      <c r="Y54" s="179"/>
    </row>
    <row r="55" spans="1:25" s="155" customFormat="1" ht="33.75" customHeight="1">
      <c r="A55" s="3563" t="s">
        <v>241</v>
      </c>
      <c r="B55" s="3563"/>
      <c r="C55" s="3563"/>
      <c r="D55" s="3563"/>
      <c r="E55" s="3563"/>
      <c r="F55" s="3563"/>
      <c r="G55" s="3563"/>
      <c r="H55" s="3563"/>
      <c r="I55" s="3563"/>
      <c r="J55" s="149"/>
      <c r="K55" s="149"/>
      <c r="L55" s="149"/>
      <c r="M55" s="150"/>
      <c r="N55" s="149"/>
      <c r="O55" s="151"/>
      <c r="P55" s="149"/>
      <c r="Q55" s="152"/>
      <c r="R55" s="153">
        <f>+R56+R92</f>
        <v>129240.07333333333</v>
      </c>
      <c r="S55" s="154"/>
      <c r="T55" s="154"/>
      <c r="U55" s="154"/>
      <c r="V55" s="154"/>
      <c r="W55" s="154"/>
      <c r="X55" s="154"/>
      <c r="Y55" s="154"/>
    </row>
    <row r="56" spans="1:25" ht="37.5" customHeight="1">
      <c r="A56" s="3561" t="s">
        <v>242</v>
      </c>
      <c r="B56" s="3561"/>
      <c r="C56" s="3561"/>
      <c r="D56" s="3561"/>
      <c r="E56" s="3561"/>
      <c r="F56" s="3561"/>
      <c r="G56" s="3561"/>
      <c r="H56" s="3561"/>
      <c r="I56" s="3561"/>
      <c r="J56" s="156"/>
      <c r="K56" s="156"/>
      <c r="L56" s="156"/>
      <c r="M56" s="157"/>
      <c r="N56" s="156"/>
      <c r="O56" s="158"/>
      <c r="P56" s="156"/>
      <c r="Q56" s="159">
        <f>SUM(Q58:Q91)</f>
        <v>29720.666666666668</v>
      </c>
      <c r="R56" s="160">
        <f>+'[3]Compil Costing PPA 3 millions'!F11</f>
        <v>29240.073333333334</v>
      </c>
      <c r="S56" s="161"/>
      <c r="T56" s="161"/>
      <c r="U56" s="161"/>
      <c r="V56" s="157"/>
      <c r="W56" s="157"/>
      <c r="X56" s="157"/>
      <c r="Y56" s="157"/>
    </row>
    <row r="57" spans="1:25" ht="30.6" customHeight="1">
      <c r="A57" s="163">
        <v>311</v>
      </c>
      <c r="B57" s="190" t="s">
        <v>243</v>
      </c>
      <c r="C57" s="190"/>
      <c r="D57" s="166"/>
      <c r="E57" s="166"/>
      <c r="F57" s="166"/>
      <c r="G57" s="166"/>
      <c r="H57" s="166"/>
      <c r="I57" s="166"/>
      <c r="J57" s="164"/>
      <c r="K57" s="165"/>
      <c r="L57" s="164"/>
      <c r="M57" s="166"/>
      <c r="N57" s="165"/>
      <c r="O57" s="167"/>
      <c r="P57" s="164"/>
      <c r="Q57" s="168"/>
      <c r="R57" s="169"/>
      <c r="S57" s="170"/>
      <c r="T57" s="170"/>
      <c r="U57" s="170"/>
      <c r="V57" s="170"/>
      <c r="W57" s="170"/>
      <c r="X57" s="170"/>
      <c r="Y57" s="170"/>
    </row>
    <row r="58" spans="1:25" ht="57" customHeight="1">
      <c r="A58" s="191">
        <v>3111</v>
      </c>
      <c r="B58" s="192" t="s">
        <v>244</v>
      </c>
      <c r="C58" s="192" t="s">
        <v>245</v>
      </c>
      <c r="D58" s="193" t="s">
        <v>246</v>
      </c>
      <c r="E58" s="194">
        <f>70+55</f>
        <v>125</v>
      </c>
      <c r="F58" s="174">
        <v>43193</v>
      </c>
      <c r="G58" s="174">
        <f>+F58+E58</f>
        <v>43318</v>
      </c>
      <c r="H58" s="186" t="s">
        <v>247</v>
      </c>
      <c r="I58" s="175" t="s">
        <v>176</v>
      </c>
      <c r="J58" s="175" t="s">
        <v>169</v>
      </c>
      <c r="K58" s="186" t="s">
        <v>248</v>
      </c>
      <c r="L58" s="176">
        <v>2313</v>
      </c>
      <c r="M58" s="177"/>
      <c r="N58" s="175">
        <v>2313</v>
      </c>
      <c r="O58" s="195">
        <v>10643</v>
      </c>
      <c r="P58" s="196">
        <v>1</v>
      </c>
      <c r="Q58" s="519">
        <f>O58*P58</f>
        <v>10643</v>
      </c>
      <c r="R58" s="180"/>
      <c r="S58" s="179"/>
      <c r="T58" s="179"/>
      <c r="U58" s="179"/>
      <c r="V58" s="179"/>
      <c r="W58" s="179"/>
      <c r="X58" s="179">
        <f>Q58</f>
        <v>10643</v>
      </c>
      <c r="Y58" s="179"/>
    </row>
    <row r="59" spans="1:25" ht="45" customHeight="1">
      <c r="A59" s="191">
        <v>3112</v>
      </c>
      <c r="B59" s="192" t="s">
        <v>249</v>
      </c>
      <c r="C59" s="197" t="s">
        <v>250</v>
      </c>
      <c r="E59" s="184">
        <v>10</v>
      </c>
      <c r="F59" s="174">
        <f>G64</f>
        <v>43238</v>
      </c>
      <c r="G59" s="174">
        <f t="shared" ref="G59:G91" si="0">F59+E59</f>
        <v>43248</v>
      </c>
      <c r="H59" s="186" t="s">
        <v>247</v>
      </c>
      <c r="I59" s="175" t="s">
        <v>176</v>
      </c>
      <c r="J59" s="175" t="s">
        <v>169</v>
      </c>
      <c r="K59" s="175" t="s">
        <v>251</v>
      </c>
      <c r="L59" s="176">
        <v>2315</v>
      </c>
      <c r="M59" s="177"/>
      <c r="N59" s="175">
        <v>23174</v>
      </c>
      <c r="O59" s="199"/>
      <c r="P59" s="200"/>
      <c r="Q59" s="233"/>
      <c r="R59" s="201"/>
      <c r="S59" s="179"/>
      <c r="T59" s="179"/>
      <c r="U59" s="179">
        <f t="shared" ref="U59:U67" si="1">Q59</f>
        <v>0</v>
      </c>
      <c r="V59" s="179"/>
      <c r="W59" s="179"/>
      <c r="X59" s="179"/>
      <c r="Y59" s="179"/>
    </row>
    <row r="60" spans="1:25" ht="57" customHeight="1">
      <c r="A60" s="202">
        <v>3112</v>
      </c>
      <c r="B60" s="203" t="s">
        <v>249</v>
      </c>
      <c r="C60" s="204" t="s">
        <v>250</v>
      </c>
      <c r="D60" s="193"/>
      <c r="E60" s="184">
        <v>10</v>
      </c>
      <c r="F60" s="174">
        <v>43238</v>
      </c>
      <c r="G60" s="174">
        <f t="shared" si="0"/>
        <v>43248</v>
      </c>
      <c r="H60" s="186" t="s">
        <v>247</v>
      </c>
      <c r="I60" s="175" t="s">
        <v>169</v>
      </c>
      <c r="J60" s="175" t="s">
        <v>176</v>
      </c>
      <c r="K60" s="205" t="s">
        <v>252</v>
      </c>
      <c r="L60" s="176"/>
      <c r="M60" s="177"/>
      <c r="N60" s="175">
        <v>23174</v>
      </c>
      <c r="O60" s="206">
        <f>36000/3000</f>
        <v>12</v>
      </c>
      <c r="P60" s="207">
        <f>15*7</f>
        <v>105</v>
      </c>
      <c r="Q60" s="206">
        <f>O60*P60</f>
        <v>1260</v>
      </c>
      <c r="R60" s="180"/>
      <c r="S60" s="179"/>
      <c r="T60" s="179"/>
      <c r="U60" s="179">
        <f t="shared" si="1"/>
        <v>1260</v>
      </c>
      <c r="V60" s="179"/>
      <c r="W60" s="179"/>
      <c r="X60" s="179"/>
      <c r="Y60" s="179"/>
    </row>
    <row r="61" spans="1:25" ht="57" customHeight="1">
      <c r="A61" s="202">
        <v>3112</v>
      </c>
      <c r="B61" s="203" t="s">
        <v>249</v>
      </c>
      <c r="C61" s="204" t="s">
        <v>250</v>
      </c>
      <c r="D61" s="193"/>
      <c r="E61" s="184">
        <v>10</v>
      </c>
      <c r="F61" s="174">
        <v>43238</v>
      </c>
      <c r="G61" s="174">
        <f t="shared" si="0"/>
        <v>43248</v>
      </c>
      <c r="H61" s="186" t="s">
        <v>247</v>
      </c>
      <c r="I61" s="175" t="s">
        <v>169</v>
      </c>
      <c r="J61" s="175" t="s">
        <v>176</v>
      </c>
      <c r="K61" s="205" t="s">
        <v>253</v>
      </c>
      <c r="L61" s="176"/>
      <c r="M61" s="177"/>
      <c r="N61" s="175">
        <v>23174</v>
      </c>
      <c r="O61" s="208">
        <f>40000/3000</f>
        <v>13.333333333333334</v>
      </c>
      <c r="P61" s="175">
        <f>15*7</f>
        <v>105</v>
      </c>
      <c r="Q61" s="208">
        <f t="shared" ref="Q61:Q67" si="2">O61*P61</f>
        <v>1400</v>
      </c>
      <c r="R61" s="180"/>
      <c r="S61" s="179"/>
      <c r="T61" s="179"/>
      <c r="U61" s="179">
        <f t="shared" si="1"/>
        <v>1400</v>
      </c>
      <c r="V61" s="179"/>
      <c r="W61" s="179"/>
      <c r="X61" s="179"/>
      <c r="Y61" s="179"/>
    </row>
    <row r="62" spans="1:25" ht="57" customHeight="1">
      <c r="A62" s="202">
        <v>3112</v>
      </c>
      <c r="B62" s="203" t="s">
        <v>249</v>
      </c>
      <c r="C62" s="204" t="s">
        <v>250</v>
      </c>
      <c r="D62" s="193"/>
      <c r="E62" s="184">
        <v>10</v>
      </c>
      <c r="F62" s="174">
        <v>43238</v>
      </c>
      <c r="G62" s="174">
        <f t="shared" si="0"/>
        <v>43248</v>
      </c>
      <c r="H62" s="186" t="s">
        <v>247</v>
      </c>
      <c r="I62" s="175" t="s">
        <v>169</v>
      </c>
      <c r="J62" s="175" t="s">
        <v>176</v>
      </c>
      <c r="K62" s="188" t="s">
        <v>254</v>
      </c>
      <c r="L62" s="176"/>
      <c r="M62" s="177"/>
      <c r="N62" s="175">
        <v>23174</v>
      </c>
      <c r="O62" s="209">
        <f>30000/3000</f>
        <v>10</v>
      </c>
      <c r="P62" s="210">
        <v>15</v>
      </c>
      <c r="Q62" s="208">
        <f t="shared" si="2"/>
        <v>150</v>
      </c>
      <c r="R62" s="180"/>
      <c r="S62" s="179"/>
      <c r="T62" s="179"/>
      <c r="U62" s="179">
        <f t="shared" si="1"/>
        <v>150</v>
      </c>
      <c r="V62" s="179"/>
      <c r="W62" s="179"/>
      <c r="X62" s="179"/>
      <c r="Y62" s="179"/>
    </row>
    <row r="63" spans="1:25" ht="57" customHeight="1">
      <c r="A63" s="202">
        <v>3112</v>
      </c>
      <c r="B63" s="203" t="s">
        <v>249</v>
      </c>
      <c r="C63" s="204" t="s">
        <v>250</v>
      </c>
      <c r="D63" s="193"/>
      <c r="E63" s="184">
        <v>10</v>
      </c>
      <c r="F63" s="174">
        <v>43238</v>
      </c>
      <c r="G63" s="174">
        <f t="shared" si="0"/>
        <v>43248</v>
      </c>
      <c r="H63" s="186" t="s">
        <v>247</v>
      </c>
      <c r="I63" s="175" t="s">
        <v>169</v>
      </c>
      <c r="J63" s="175" t="s">
        <v>176</v>
      </c>
      <c r="K63" s="211" t="s">
        <v>255</v>
      </c>
      <c r="L63" s="176"/>
      <c r="M63" s="177"/>
      <c r="N63" s="175">
        <v>23174</v>
      </c>
      <c r="O63" s="209">
        <f>(0.15*4000*2)/3000</f>
        <v>0.4</v>
      </c>
      <c r="P63" s="210">
        <v>170</v>
      </c>
      <c r="Q63" s="208">
        <f t="shared" si="2"/>
        <v>68</v>
      </c>
      <c r="R63" s="180"/>
      <c r="S63" s="179"/>
      <c r="T63" s="179"/>
      <c r="U63" s="179">
        <f t="shared" si="1"/>
        <v>68</v>
      </c>
      <c r="V63" s="179"/>
      <c r="W63" s="179"/>
      <c r="X63" s="179"/>
      <c r="Y63" s="179"/>
    </row>
    <row r="64" spans="1:25" ht="57" customHeight="1">
      <c r="A64" s="202">
        <v>3112</v>
      </c>
      <c r="B64" s="203" t="s">
        <v>249</v>
      </c>
      <c r="C64" s="204" t="s">
        <v>250</v>
      </c>
      <c r="D64" s="193"/>
      <c r="E64" s="184">
        <v>45</v>
      </c>
      <c r="F64" s="174">
        <v>43193</v>
      </c>
      <c r="G64" s="174">
        <f t="shared" si="0"/>
        <v>43238</v>
      </c>
      <c r="H64" s="186" t="s">
        <v>247</v>
      </c>
      <c r="I64" s="175" t="s">
        <v>169</v>
      </c>
      <c r="J64" s="175" t="s">
        <v>176</v>
      </c>
      <c r="K64" s="212" t="s">
        <v>256</v>
      </c>
      <c r="L64" s="176"/>
      <c r="M64" s="177"/>
      <c r="N64" s="175">
        <v>23173</v>
      </c>
      <c r="O64" s="209">
        <f>765000/3000</f>
        <v>255</v>
      </c>
      <c r="P64" s="210">
        <v>1</v>
      </c>
      <c r="Q64" s="208">
        <f t="shared" si="2"/>
        <v>255</v>
      </c>
      <c r="R64" s="180"/>
      <c r="S64" s="179"/>
      <c r="T64" s="179"/>
      <c r="U64" s="179">
        <f t="shared" si="1"/>
        <v>255</v>
      </c>
      <c r="V64" s="179"/>
      <c r="W64" s="179"/>
      <c r="X64" s="179"/>
      <c r="Y64" s="179"/>
    </row>
    <row r="65" spans="1:25" ht="57" customHeight="1">
      <c r="A65" s="202">
        <v>3112</v>
      </c>
      <c r="B65" s="203" t="s">
        <v>249</v>
      </c>
      <c r="C65" s="204" t="s">
        <v>250</v>
      </c>
      <c r="D65" s="193"/>
      <c r="E65" s="184">
        <v>10</v>
      </c>
      <c r="F65" s="174">
        <v>43238</v>
      </c>
      <c r="G65" s="174">
        <f t="shared" si="0"/>
        <v>43248</v>
      </c>
      <c r="H65" s="186" t="s">
        <v>247</v>
      </c>
      <c r="I65" s="175" t="s">
        <v>169</v>
      </c>
      <c r="J65" s="175" t="s">
        <v>176</v>
      </c>
      <c r="K65" s="213" t="s">
        <v>257</v>
      </c>
      <c r="L65" s="176"/>
      <c r="M65" s="177"/>
      <c r="N65" s="175">
        <v>23172</v>
      </c>
      <c r="O65" s="209">
        <f>200000/3000</f>
        <v>66.666666666666671</v>
      </c>
      <c r="P65" s="210">
        <v>5</v>
      </c>
      <c r="Q65" s="208">
        <f t="shared" si="2"/>
        <v>333.33333333333337</v>
      </c>
      <c r="R65" s="180"/>
      <c r="S65" s="179"/>
      <c r="T65" s="179"/>
      <c r="U65" s="179">
        <f t="shared" si="1"/>
        <v>333.33333333333337</v>
      </c>
      <c r="V65" s="179"/>
      <c r="W65" s="179"/>
      <c r="X65" s="179"/>
      <c r="Y65" s="179"/>
    </row>
    <row r="66" spans="1:25" ht="57" customHeight="1">
      <c r="A66" s="202">
        <v>3112</v>
      </c>
      <c r="B66" s="203" t="s">
        <v>249</v>
      </c>
      <c r="C66" s="204" t="s">
        <v>250</v>
      </c>
      <c r="D66" s="193"/>
      <c r="E66" s="184">
        <v>45</v>
      </c>
      <c r="F66" s="174">
        <v>43193</v>
      </c>
      <c r="G66" s="174">
        <f t="shared" si="0"/>
        <v>43238</v>
      </c>
      <c r="H66" s="186" t="s">
        <v>247</v>
      </c>
      <c r="I66" s="175" t="s">
        <v>169</v>
      </c>
      <c r="J66" s="175" t="s">
        <v>176</v>
      </c>
      <c r="K66" s="214" t="s">
        <v>258</v>
      </c>
      <c r="L66" s="176"/>
      <c r="M66" s="177"/>
      <c r="N66" s="175">
        <v>23173</v>
      </c>
      <c r="O66" s="215">
        <f>1850000/3000</f>
        <v>616.66666666666663</v>
      </c>
      <c r="P66" s="210">
        <v>1</v>
      </c>
      <c r="Q66" s="208">
        <f t="shared" si="2"/>
        <v>616.66666666666663</v>
      </c>
      <c r="R66" s="180"/>
      <c r="S66" s="179"/>
      <c r="T66" s="179"/>
      <c r="U66" s="179">
        <f t="shared" si="1"/>
        <v>616.66666666666663</v>
      </c>
      <c r="V66" s="179"/>
      <c r="W66" s="179"/>
      <c r="X66" s="179"/>
      <c r="Y66" s="179"/>
    </row>
    <row r="67" spans="1:25" ht="57" customHeight="1">
      <c r="A67" s="202">
        <v>3112</v>
      </c>
      <c r="B67" s="203" t="s">
        <v>249</v>
      </c>
      <c r="C67" s="204" t="s">
        <v>250</v>
      </c>
      <c r="D67" s="193"/>
      <c r="E67" s="184">
        <v>45</v>
      </c>
      <c r="F67" s="174">
        <v>43193</v>
      </c>
      <c r="G67" s="174">
        <f t="shared" si="0"/>
        <v>43238</v>
      </c>
      <c r="H67" s="186" t="s">
        <v>247</v>
      </c>
      <c r="I67" s="175" t="s">
        <v>169</v>
      </c>
      <c r="J67" s="175" t="s">
        <v>176</v>
      </c>
      <c r="K67" s="216" t="s">
        <v>259</v>
      </c>
      <c r="L67" s="176"/>
      <c r="M67" s="177"/>
      <c r="N67" s="175">
        <v>23173</v>
      </c>
      <c r="O67" s="215">
        <f>6000000/3000</f>
        <v>2000</v>
      </c>
      <c r="P67" s="210">
        <v>1</v>
      </c>
      <c r="Q67" s="208">
        <f t="shared" si="2"/>
        <v>2000</v>
      </c>
      <c r="R67" s="180"/>
      <c r="S67" s="179"/>
      <c r="T67" s="179"/>
      <c r="U67" s="179">
        <f t="shared" si="1"/>
        <v>2000</v>
      </c>
      <c r="V67" s="179"/>
      <c r="W67" s="179"/>
      <c r="X67" s="179"/>
      <c r="Y67" s="179"/>
    </row>
    <row r="68" spans="1:25" ht="57" customHeight="1">
      <c r="A68" s="191">
        <v>3113</v>
      </c>
      <c r="B68" s="192" t="s">
        <v>260</v>
      </c>
      <c r="C68" s="197" t="s">
        <v>261</v>
      </c>
      <c r="D68" s="193"/>
      <c r="E68" s="184">
        <v>15</v>
      </c>
      <c r="F68" s="174">
        <v>43248</v>
      </c>
      <c r="G68" s="174">
        <f t="shared" si="0"/>
        <v>43263</v>
      </c>
      <c r="H68" s="186" t="s">
        <v>247</v>
      </c>
      <c r="I68" s="175" t="s">
        <v>176</v>
      </c>
      <c r="J68" s="175" t="s">
        <v>169</v>
      </c>
      <c r="K68" s="175" t="s">
        <v>262</v>
      </c>
      <c r="L68" s="176">
        <v>23174</v>
      </c>
      <c r="M68" s="177"/>
      <c r="N68" s="175">
        <v>23174</v>
      </c>
      <c r="O68" s="208"/>
      <c r="P68" s="175"/>
      <c r="Q68" s="208"/>
      <c r="R68" s="180"/>
      <c r="S68" s="179"/>
      <c r="T68" s="179"/>
      <c r="U68" s="179"/>
      <c r="V68" s="179">
        <f>Q68</f>
        <v>0</v>
      </c>
      <c r="W68" s="179"/>
      <c r="X68" s="179"/>
      <c r="Y68" s="179"/>
    </row>
    <row r="69" spans="1:25" ht="57" customHeight="1">
      <c r="A69" s="202">
        <v>3113</v>
      </c>
      <c r="B69" s="203" t="s">
        <v>260</v>
      </c>
      <c r="C69" s="204" t="s">
        <v>261</v>
      </c>
      <c r="D69" s="193"/>
      <c r="E69" s="184">
        <v>15</v>
      </c>
      <c r="F69" s="174">
        <v>43248</v>
      </c>
      <c r="G69" s="174">
        <f t="shared" si="0"/>
        <v>43263</v>
      </c>
      <c r="H69" s="186" t="s">
        <v>247</v>
      </c>
      <c r="I69" s="175" t="s">
        <v>169</v>
      </c>
      <c r="J69" s="175" t="s">
        <v>176</v>
      </c>
      <c r="K69" s="205" t="s">
        <v>252</v>
      </c>
      <c r="L69" s="176"/>
      <c r="M69" s="177"/>
      <c r="N69" s="175">
        <v>23174</v>
      </c>
      <c r="O69" s="217">
        <f>36000/3000</f>
        <v>12</v>
      </c>
      <c r="P69" s="175">
        <f>12*9</f>
        <v>108</v>
      </c>
      <c r="Q69" s="217">
        <f>O69*P69</f>
        <v>1296</v>
      </c>
      <c r="R69" s="180"/>
      <c r="S69" s="179"/>
      <c r="T69" s="179"/>
      <c r="U69" s="179"/>
      <c r="V69" s="179">
        <f t="shared" ref="V69:V78" si="3">Q69</f>
        <v>1296</v>
      </c>
      <c r="W69" s="179"/>
      <c r="X69" s="179"/>
      <c r="Y69" s="179"/>
    </row>
    <row r="70" spans="1:25" ht="57" customHeight="1">
      <c r="A70" s="202">
        <v>3113</v>
      </c>
      <c r="B70" s="203" t="s">
        <v>260</v>
      </c>
      <c r="C70" s="204" t="s">
        <v>261</v>
      </c>
      <c r="D70" s="193"/>
      <c r="E70" s="184">
        <v>15</v>
      </c>
      <c r="F70" s="174">
        <v>43248</v>
      </c>
      <c r="G70" s="174">
        <f t="shared" si="0"/>
        <v>43263</v>
      </c>
      <c r="H70" s="186" t="s">
        <v>247</v>
      </c>
      <c r="I70" s="175" t="s">
        <v>169</v>
      </c>
      <c r="J70" s="175" t="s">
        <v>176</v>
      </c>
      <c r="K70" s="205" t="s">
        <v>253</v>
      </c>
      <c r="L70" s="176"/>
      <c r="M70" s="177"/>
      <c r="N70" s="175">
        <v>23174</v>
      </c>
      <c r="O70" s="208">
        <f>40000/3000</f>
        <v>13.333333333333334</v>
      </c>
      <c r="P70" s="175">
        <f>12*8</f>
        <v>96</v>
      </c>
      <c r="Q70" s="208">
        <f>O70*P70</f>
        <v>1280</v>
      </c>
      <c r="R70" s="180"/>
      <c r="S70" s="179"/>
      <c r="T70" s="179"/>
      <c r="U70" s="179"/>
      <c r="V70" s="179">
        <f t="shared" si="3"/>
        <v>1280</v>
      </c>
      <c r="W70" s="179"/>
      <c r="X70" s="179"/>
      <c r="Y70" s="179"/>
    </row>
    <row r="71" spans="1:25" ht="57" customHeight="1">
      <c r="A71" s="202">
        <v>3113</v>
      </c>
      <c r="B71" s="203" t="s">
        <v>260</v>
      </c>
      <c r="C71" s="204" t="s">
        <v>261</v>
      </c>
      <c r="D71" s="193"/>
      <c r="E71" s="184">
        <v>15</v>
      </c>
      <c r="F71" s="174">
        <v>43248</v>
      </c>
      <c r="G71" s="174">
        <f t="shared" si="0"/>
        <v>43263</v>
      </c>
      <c r="H71" s="186" t="s">
        <v>247</v>
      </c>
      <c r="I71" s="175" t="s">
        <v>169</v>
      </c>
      <c r="J71" s="175" t="s">
        <v>176</v>
      </c>
      <c r="K71" s="188" t="s">
        <v>263</v>
      </c>
      <c r="L71" s="176"/>
      <c r="M71" s="177"/>
      <c r="N71" s="175">
        <v>23174</v>
      </c>
      <c r="O71" s="209">
        <f>175000/3000</f>
        <v>58.333333333333336</v>
      </c>
      <c r="P71" s="210">
        <v>4</v>
      </c>
      <c r="Q71" s="208">
        <f>O71*P71</f>
        <v>233.33333333333334</v>
      </c>
      <c r="R71" s="180"/>
      <c r="S71" s="179"/>
      <c r="T71" s="179"/>
      <c r="U71" s="179"/>
      <c r="V71" s="179">
        <f t="shared" si="3"/>
        <v>233.33333333333334</v>
      </c>
      <c r="W71" s="179"/>
      <c r="X71" s="179"/>
      <c r="Y71" s="179"/>
    </row>
    <row r="72" spans="1:25" ht="57" customHeight="1">
      <c r="A72" s="202">
        <v>3113</v>
      </c>
      <c r="B72" s="203" t="s">
        <v>260</v>
      </c>
      <c r="C72" s="204" t="s">
        <v>261</v>
      </c>
      <c r="D72" s="193"/>
      <c r="E72" s="184">
        <v>15</v>
      </c>
      <c r="F72" s="174">
        <v>43248</v>
      </c>
      <c r="G72" s="174">
        <f t="shared" si="0"/>
        <v>43263</v>
      </c>
      <c r="H72" s="186" t="s">
        <v>247</v>
      </c>
      <c r="I72" s="175" t="s">
        <v>169</v>
      </c>
      <c r="J72" s="175" t="s">
        <v>176</v>
      </c>
      <c r="K72" s="188" t="s">
        <v>264</v>
      </c>
      <c r="L72" s="176"/>
      <c r="M72" s="177"/>
      <c r="N72" s="175">
        <v>23174</v>
      </c>
      <c r="O72" s="218">
        <f>109000/3000</f>
        <v>36.333333333333336</v>
      </c>
      <c r="P72" s="210">
        <v>4</v>
      </c>
      <c r="Q72" s="208">
        <f>O72*P72</f>
        <v>145.33333333333334</v>
      </c>
      <c r="R72" s="180"/>
      <c r="S72" s="179"/>
      <c r="T72" s="179"/>
      <c r="U72" s="179"/>
      <c r="V72" s="179">
        <f t="shared" si="3"/>
        <v>145.33333333333334</v>
      </c>
      <c r="W72" s="179"/>
      <c r="X72" s="179"/>
      <c r="Y72" s="179"/>
    </row>
    <row r="73" spans="1:25" ht="57" customHeight="1">
      <c r="A73" s="202">
        <v>3113</v>
      </c>
      <c r="B73" s="203" t="s">
        <v>260</v>
      </c>
      <c r="C73" s="204" t="s">
        <v>261</v>
      </c>
      <c r="D73" s="193"/>
      <c r="E73" s="184">
        <v>15</v>
      </c>
      <c r="F73" s="174">
        <v>43248</v>
      </c>
      <c r="G73" s="174">
        <f t="shared" si="0"/>
        <v>43263</v>
      </c>
      <c r="H73" s="186" t="s">
        <v>247</v>
      </c>
      <c r="I73" s="175" t="s">
        <v>169</v>
      </c>
      <c r="J73" s="175" t="s">
        <v>176</v>
      </c>
      <c r="K73" s="188" t="s">
        <v>265</v>
      </c>
      <c r="L73" s="176"/>
      <c r="M73" s="177"/>
      <c r="N73" s="175">
        <v>23174</v>
      </c>
      <c r="O73" s="218">
        <f>215000/3000</f>
        <v>71.666666666666671</v>
      </c>
      <c r="P73" s="210">
        <v>4</v>
      </c>
      <c r="Q73" s="208">
        <f>O73*P73</f>
        <v>286.66666666666669</v>
      </c>
      <c r="R73" s="180"/>
      <c r="S73" s="179"/>
      <c r="T73" s="179"/>
      <c r="U73" s="179"/>
      <c r="V73" s="179">
        <f t="shared" si="3"/>
        <v>286.66666666666669</v>
      </c>
      <c r="W73" s="179"/>
      <c r="X73" s="179"/>
      <c r="Y73" s="179"/>
    </row>
    <row r="74" spans="1:25" ht="57" customHeight="1">
      <c r="A74" s="191">
        <v>3114</v>
      </c>
      <c r="B74" s="192" t="s">
        <v>266</v>
      </c>
      <c r="C74" s="197" t="s">
        <v>267</v>
      </c>
      <c r="D74" s="193"/>
      <c r="E74" s="184">
        <v>15</v>
      </c>
      <c r="F74" s="174">
        <v>43269</v>
      </c>
      <c r="G74" s="174">
        <f t="shared" si="0"/>
        <v>43284</v>
      </c>
      <c r="H74" s="186" t="s">
        <v>247</v>
      </c>
      <c r="I74" s="175" t="s">
        <v>176</v>
      </c>
      <c r="J74" s="175" t="s">
        <v>169</v>
      </c>
      <c r="K74" s="175" t="s">
        <v>268</v>
      </c>
      <c r="L74" s="176">
        <v>2315</v>
      </c>
      <c r="M74" s="177"/>
      <c r="N74" s="175">
        <v>23174</v>
      </c>
      <c r="O74" s="208"/>
      <c r="P74" s="175"/>
      <c r="Q74" s="208"/>
      <c r="R74" s="180"/>
      <c r="S74" s="179"/>
      <c r="T74" s="179"/>
      <c r="U74" s="179"/>
      <c r="V74" s="179">
        <f>Q74</f>
        <v>0</v>
      </c>
      <c r="W74" s="179"/>
      <c r="X74" s="179"/>
      <c r="Y74" s="179"/>
    </row>
    <row r="75" spans="1:25" ht="57" customHeight="1">
      <c r="A75" s="202">
        <v>3114</v>
      </c>
      <c r="B75" s="203" t="s">
        <v>266</v>
      </c>
      <c r="C75" s="204" t="s">
        <v>267</v>
      </c>
      <c r="D75" s="193"/>
      <c r="E75" s="184">
        <v>15</v>
      </c>
      <c r="F75" s="174">
        <v>43269</v>
      </c>
      <c r="G75" s="174">
        <f t="shared" si="0"/>
        <v>43284</v>
      </c>
      <c r="H75" s="186" t="s">
        <v>247</v>
      </c>
      <c r="I75" s="175" t="s">
        <v>169</v>
      </c>
      <c r="J75" s="175" t="s">
        <v>176</v>
      </c>
      <c r="K75" s="205" t="s">
        <v>252</v>
      </c>
      <c r="L75" s="176"/>
      <c r="M75" s="177"/>
      <c r="N75" s="175">
        <v>23174</v>
      </c>
      <c r="O75" s="217">
        <f>36000/3000</f>
        <v>12</v>
      </c>
      <c r="P75" s="175">
        <f>20*8</f>
        <v>160</v>
      </c>
      <c r="Q75" s="217">
        <f t="shared" ref="Q75:Q80" si="4">O75*P75</f>
        <v>1920</v>
      </c>
      <c r="R75" s="180"/>
      <c r="S75" s="179"/>
      <c r="T75" s="179"/>
      <c r="U75" s="179"/>
      <c r="V75" s="179">
        <f t="shared" si="3"/>
        <v>1920</v>
      </c>
      <c r="W75" s="179"/>
      <c r="X75" s="179"/>
      <c r="Y75" s="179"/>
    </row>
    <row r="76" spans="1:25" ht="57" customHeight="1">
      <c r="A76" s="202">
        <v>3114</v>
      </c>
      <c r="B76" s="203" t="s">
        <v>266</v>
      </c>
      <c r="C76" s="204" t="s">
        <v>267</v>
      </c>
      <c r="D76" s="193"/>
      <c r="E76" s="184">
        <v>15</v>
      </c>
      <c r="F76" s="174">
        <v>43269</v>
      </c>
      <c r="G76" s="174">
        <f t="shared" si="0"/>
        <v>43284</v>
      </c>
      <c r="H76" s="186" t="s">
        <v>247</v>
      </c>
      <c r="I76" s="175" t="s">
        <v>169</v>
      </c>
      <c r="J76" s="175" t="s">
        <v>176</v>
      </c>
      <c r="K76" s="205" t="s">
        <v>253</v>
      </c>
      <c r="L76" s="176"/>
      <c r="M76" s="177"/>
      <c r="N76" s="175">
        <v>23174</v>
      </c>
      <c r="O76" s="208">
        <f>40000/3000</f>
        <v>13.333333333333334</v>
      </c>
      <c r="P76" s="175">
        <f>20*7</f>
        <v>140</v>
      </c>
      <c r="Q76" s="208">
        <f t="shared" si="4"/>
        <v>1866.6666666666667</v>
      </c>
      <c r="R76" s="180"/>
      <c r="S76" s="179"/>
      <c r="T76" s="179"/>
      <c r="U76" s="179"/>
      <c r="V76" s="179">
        <f t="shared" si="3"/>
        <v>1866.6666666666667</v>
      </c>
      <c r="W76" s="179"/>
      <c r="X76" s="179"/>
      <c r="Y76" s="179"/>
    </row>
    <row r="77" spans="1:25" ht="57" customHeight="1">
      <c r="A77" s="202">
        <v>3114</v>
      </c>
      <c r="B77" s="203" t="s">
        <v>266</v>
      </c>
      <c r="C77" s="204" t="s">
        <v>267</v>
      </c>
      <c r="D77" s="193"/>
      <c r="E77" s="184">
        <v>15</v>
      </c>
      <c r="F77" s="174">
        <v>43269</v>
      </c>
      <c r="G77" s="174">
        <f t="shared" si="0"/>
        <v>43284</v>
      </c>
      <c r="H77" s="186" t="s">
        <v>247</v>
      </c>
      <c r="I77" s="175" t="s">
        <v>169</v>
      </c>
      <c r="J77" s="175" t="s">
        <v>176</v>
      </c>
      <c r="K77" s="188" t="s">
        <v>254</v>
      </c>
      <c r="L77" s="176"/>
      <c r="M77" s="177"/>
      <c r="N77" s="175">
        <v>23174</v>
      </c>
      <c r="O77" s="209">
        <f>30000/3000</f>
        <v>10</v>
      </c>
      <c r="P77" s="210">
        <v>20</v>
      </c>
      <c r="Q77" s="208">
        <f t="shared" si="4"/>
        <v>200</v>
      </c>
      <c r="R77" s="180"/>
      <c r="S77" s="179"/>
      <c r="T77" s="179"/>
      <c r="U77" s="179"/>
      <c r="V77" s="179">
        <f>Q77</f>
        <v>200</v>
      </c>
      <c r="W77" s="179"/>
      <c r="X77" s="179"/>
      <c r="Y77" s="179"/>
    </row>
    <row r="78" spans="1:25" ht="57" customHeight="1">
      <c r="A78" s="202">
        <v>3114</v>
      </c>
      <c r="B78" s="203" t="s">
        <v>266</v>
      </c>
      <c r="C78" s="204" t="s">
        <v>267</v>
      </c>
      <c r="D78" s="193"/>
      <c r="E78" s="184">
        <v>15</v>
      </c>
      <c r="F78" s="174">
        <v>43269</v>
      </c>
      <c r="G78" s="174">
        <f t="shared" si="0"/>
        <v>43284</v>
      </c>
      <c r="H78" s="186" t="s">
        <v>247</v>
      </c>
      <c r="I78" s="175" t="s">
        <v>169</v>
      </c>
      <c r="J78" s="175" t="s">
        <v>176</v>
      </c>
      <c r="K78" s="211" t="s">
        <v>255</v>
      </c>
      <c r="L78" s="176"/>
      <c r="M78" s="177"/>
      <c r="N78" s="175">
        <v>23174</v>
      </c>
      <c r="O78" s="209">
        <f>(0.15*4000*2)/3000</f>
        <v>0.4</v>
      </c>
      <c r="P78" s="210">
        <v>170</v>
      </c>
      <c r="Q78" s="208">
        <f t="shared" si="4"/>
        <v>68</v>
      </c>
      <c r="R78" s="180"/>
      <c r="S78" s="179"/>
      <c r="T78" s="179"/>
      <c r="U78" s="179"/>
      <c r="V78" s="179">
        <f t="shared" si="3"/>
        <v>68</v>
      </c>
      <c r="W78" s="179"/>
      <c r="X78" s="179"/>
      <c r="Y78" s="179"/>
    </row>
    <row r="79" spans="1:25" ht="57" customHeight="1">
      <c r="A79" s="202">
        <v>3114</v>
      </c>
      <c r="B79" s="203" t="s">
        <v>266</v>
      </c>
      <c r="C79" s="204" t="s">
        <v>267</v>
      </c>
      <c r="D79" s="193"/>
      <c r="E79" s="184">
        <v>45</v>
      </c>
      <c r="F79" s="174">
        <v>43193</v>
      </c>
      <c r="G79" s="174">
        <f t="shared" si="0"/>
        <v>43238</v>
      </c>
      <c r="H79" s="186" t="s">
        <v>247</v>
      </c>
      <c r="I79" s="175" t="s">
        <v>169</v>
      </c>
      <c r="J79" s="175" t="s">
        <v>176</v>
      </c>
      <c r="K79" s="212" t="s">
        <v>256</v>
      </c>
      <c r="L79" s="176"/>
      <c r="M79" s="177"/>
      <c r="N79" s="175">
        <v>23173</v>
      </c>
      <c r="O79" s="209">
        <f>45000/3000</f>
        <v>15</v>
      </c>
      <c r="P79" s="210">
        <v>1</v>
      </c>
      <c r="Q79" s="208">
        <f t="shared" si="4"/>
        <v>15</v>
      </c>
      <c r="R79" s="180"/>
      <c r="S79" s="179"/>
      <c r="T79" s="179"/>
      <c r="U79" s="179">
        <f>Q79</f>
        <v>15</v>
      </c>
      <c r="V79" s="162"/>
      <c r="W79" s="179"/>
      <c r="X79" s="179"/>
      <c r="Y79" s="179"/>
    </row>
    <row r="80" spans="1:25" ht="57" customHeight="1">
      <c r="A80" s="202">
        <v>3114</v>
      </c>
      <c r="B80" s="203" t="s">
        <v>266</v>
      </c>
      <c r="C80" s="204" t="s">
        <v>267</v>
      </c>
      <c r="D80" s="193"/>
      <c r="E80" s="184">
        <v>15</v>
      </c>
      <c r="F80" s="174">
        <v>43269</v>
      </c>
      <c r="G80" s="174">
        <f t="shared" si="0"/>
        <v>43284</v>
      </c>
      <c r="H80" s="186" t="s">
        <v>247</v>
      </c>
      <c r="I80" s="175" t="s">
        <v>169</v>
      </c>
      <c r="J80" s="175" t="s">
        <v>176</v>
      </c>
      <c r="K80" s="213" t="s">
        <v>257</v>
      </c>
      <c r="L80" s="176"/>
      <c r="M80" s="177"/>
      <c r="N80" s="175">
        <v>23172</v>
      </c>
      <c r="O80" s="209">
        <f>200000/3000</f>
        <v>66.666666666666671</v>
      </c>
      <c r="P80" s="210">
        <v>6</v>
      </c>
      <c r="Q80" s="208">
        <f t="shared" si="4"/>
        <v>400</v>
      </c>
      <c r="R80" s="180"/>
      <c r="S80" s="179"/>
      <c r="T80" s="179"/>
      <c r="U80" s="179"/>
      <c r="V80" s="179">
        <f>Q80</f>
        <v>400</v>
      </c>
      <c r="W80" s="179"/>
      <c r="X80" s="179"/>
      <c r="Y80" s="179"/>
    </row>
    <row r="81" spans="1:25" ht="57" customHeight="1">
      <c r="A81" s="191">
        <v>3115</v>
      </c>
      <c r="B81" s="192" t="s">
        <v>269</v>
      </c>
      <c r="C81" s="197" t="s">
        <v>270</v>
      </c>
      <c r="D81" s="193"/>
      <c r="E81" s="184">
        <v>15</v>
      </c>
      <c r="F81" s="174">
        <v>43290</v>
      </c>
      <c r="G81" s="174">
        <f t="shared" si="0"/>
        <v>43305</v>
      </c>
      <c r="H81" s="186" t="s">
        <v>247</v>
      </c>
      <c r="I81" s="175" t="s">
        <v>176</v>
      </c>
      <c r="J81" s="175" t="s">
        <v>169</v>
      </c>
      <c r="K81" s="175" t="s">
        <v>268</v>
      </c>
      <c r="L81" s="176">
        <v>2315</v>
      </c>
      <c r="M81" s="177"/>
      <c r="N81" s="175"/>
      <c r="O81" s="208"/>
      <c r="P81" s="175"/>
      <c r="Q81" s="208"/>
      <c r="R81" s="180"/>
      <c r="S81" s="179"/>
      <c r="T81" s="179"/>
      <c r="U81" s="179"/>
      <c r="V81" s="179"/>
      <c r="W81" s="179">
        <f>Q81</f>
        <v>0</v>
      </c>
      <c r="X81" s="179"/>
      <c r="Y81" s="179"/>
    </row>
    <row r="82" spans="1:25" ht="57" customHeight="1">
      <c r="A82" s="202">
        <v>3115</v>
      </c>
      <c r="B82" s="203" t="s">
        <v>269</v>
      </c>
      <c r="C82" s="204" t="s">
        <v>270</v>
      </c>
      <c r="D82" s="193"/>
      <c r="E82" s="184">
        <v>15</v>
      </c>
      <c r="F82" s="174">
        <v>43290</v>
      </c>
      <c r="G82" s="174">
        <f t="shared" si="0"/>
        <v>43305</v>
      </c>
      <c r="H82" s="186" t="s">
        <v>247</v>
      </c>
      <c r="I82" s="175" t="s">
        <v>169</v>
      </c>
      <c r="J82" s="175" t="s">
        <v>176</v>
      </c>
      <c r="K82" s="205" t="s">
        <v>252</v>
      </c>
      <c r="L82" s="176"/>
      <c r="M82" s="177"/>
      <c r="N82" s="175">
        <v>23174</v>
      </c>
      <c r="O82" s="217">
        <f>36000/3000</f>
        <v>12</v>
      </c>
      <c r="P82" s="175">
        <f>20*9</f>
        <v>180</v>
      </c>
      <c r="Q82" s="217">
        <f t="shared" ref="Q82:Q87" si="5">O82*P82</f>
        <v>2160</v>
      </c>
      <c r="R82" s="180"/>
      <c r="S82" s="179"/>
      <c r="T82" s="179"/>
      <c r="U82" s="179"/>
      <c r="V82" s="179"/>
      <c r="W82" s="179">
        <f t="shared" ref="W82:W87" si="6">Q82</f>
        <v>2160</v>
      </c>
      <c r="X82" s="179"/>
      <c r="Y82" s="179"/>
    </row>
    <row r="83" spans="1:25" ht="57" customHeight="1">
      <c r="A83" s="202">
        <v>3115</v>
      </c>
      <c r="B83" s="203" t="s">
        <v>269</v>
      </c>
      <c r="C83" s="204" t="s">
        <v>270</v>
      </c>
      <c r="D83" s="193"/>
      <c r="E83" s="184">
        <v>15</v>
      </c>
      <c r="F83" s="174">
        <v>43290</v>
      </c>
      <c r="G83" s="174">
        <f t="shared" si="0"/>
        <v>43305</v>
      </c>
      <c r="H83" s="186" t="s">
        <v>247</v>
      </c>
      <c r="I83" s="175" t="s">
        <v>169</v>
      </c>
      <c r="J83" s="175" t="s">
        <v>176</v>
      </c>
      <c r="K83" s="205" t="s">
        <v>253</v>
      </c>
      <c r="L83" s="176"/>
      <c r="M83" s="177"/>
      <c r="N83" s="175">
        <v>23174</v>
      </c>
      <c r="O83" s="208">
        <f>40000/3000</f>
        <v>13.333333333333334</v>
      </c>
      <c r="P83" s="175">
        <f>20*8</f>
        <v>160</v>
      </c>
      <c r="Q83" s="208">
        <f t="shared" si="5"/>
        <v>2133.3333333333335</v>
      </c>
      <c r="R83" s="180"/>
      <c r="S83" s="179"/>
      <c r="T83" s="179"/>
      <c r="U83" s="179"/>
      <c r="V83" s="179"/>
      <c r="W83" s="179">
        <f t="shared" si="6"/>
        <v>2133.3333333333335</v>
      </c>
      <c r="X83" s="179"/>
      <c r="Y83" s="179"/>
    </row>
    <row r="84" spans="1:25" ht="57" customHeight="1">
      <c r="A84" s="202">
        <v>3115</v>
      </c>
      <c r="B84" s="203" t="s">
        <v>269</v>
      </c>
      <c r="C84" s="204" t="s">
        <v>270</v>
      </c>
      <c r="D84" s="193"/>
      <c r="E84" s="184">
        <v>15</v>
      </c>
      <c r="F84" s="174">
        <v>43290</v>
      </c>
      <c r="G84" s="174">
        <f t="shared" si="0"/>
        <v>43305</v>
      </c>
      <c r="H84" s="186" t="s">
        <v>247</v>
      </c>
      <c r="I84" s="175" t="s">
        <v>169</v>
      </c>
      <c r="J84" s="175" t="s">
        <v>176</v>
      </c>
      <c r="K84" s="188" t="s">
        <v>254</v>
      </c>
      <c r="L84" s="176"/>
      <c r="M84" s="177"/>
      <c r="N84" s="175">
        <v>23174</v>
      </c>
      <c r="O84" s="209">
        <f>30000/3000</f>
        <v>10</v>
      </c>
      <c r="P84" s="210">
        <v>20</v>
      </c>
      <c r="Q84" s="208">
        <f t="shared" si="5"/>
        <v>200</v>
      </c>
      <c r="R84" s="180"/>
      <c r="S84" s="179"/>
      <c r="T84" s="179"/>
      <c r="U84" s="179"/>
      <c r="V84" s="179"/>
      <c r="W84" s="179">
        <f t="shared" si="6"/>
        <v>200</v>
      </c>
      <c r="X84" s="179"/>
      <c r="Y84" s="179"/>
    </row>
    <row r="85" spans="1:25" ht="57" customHeight="1">
      <c r="A85" s="202">
        <v>3115</v>
      </c>
      <c r="B85" s="203" t="s">
        <v>269</v>
      </c>
      <c r="C85" s="204" t="s">
        <v>270</v>
      </c>
      <c r="D85" s="193"/>
      <c r="E85" s="184">
        <v>15</v>
      </c>
      <c r="F85" s="174">
        <v>43290</v>
      </c>
      <c r="G85" s="174">
        <f t="shared" si="0"/>
        <v>43305</v>
      </c>
      <c r="H85" s="186" t="s">
        <v>247</v>
      </c>
      <c r="I85" s="175" t="s">
        <v>169</v>
      </c>
      <c r="J85" s="175" t="s">
        <v>176</v>
      </c>
      <c r="K85" s="211" t="s">
        <v>255</v>
      </c>
      <c r="L85" s="176"/>
      <c r="M85" s="177"/>
      <c r="N85" s="175">
        <v>23174</v>
      </c>
      <c r="O85" s="209">
        <f>(0.15*4000*2)/3000</f>
        <v>0.4</v>
      </c>
      <c r="P85" s="210">
        <v>170</v>
      </c>
      <c r="Q85" s="208">
        <f t="shared" si="5"/>
        <v>68</v>
      </c>
      <c r="R85" s="180"/>
      <c r="S85" s="179"/>
      <c r="T85" s="179"/>
      <c r="U85" s="179"/>
      <c r="V85" s="179"/>
      <c r="W85" s="179">
        <f t="shared" si="6"/>
        <v>68</v>
      </c>
      <c r="X85" s="179"/>
      <c r="Y85" s="179"/>
    </row>
    <row r="86" spans="1:25" ht="57" customHeight="1">
      <c r="A86" s="202">
        <v>3115</v>
      </c>
      <c r="B86" s="203" t="s">
        <v>269</v>
      </c>
      <c r="C86" s="204" t="s">
        <v>270</v>
      </c>
      <c r="D86" s="193"/>
      <c r="E86" s="184">
        <v>45</v>
      </c>
      <c r="F86" s="174">
        <v>43193</v>
      </c>
      <c r="G86" s="174">
        <f t="shared" si="0"/>
        <v>43238</v>
      </c>
      <c r="H86" s="186" t="s">
        <v>247</v>
      </c>
      <c r="I86" s="175" t="s">
        <v>169</v>
      </c>
      <c r="J86" s="175" t="s">
        <v>176</v>
      </c>
      <c r="K86" s="212" t="s">
        <v>256</v>
      </c>
      <c r="L86" s="176"/>
      <c r="M86" s="177"/>
      <c r="N86" s="175">
        <v>23173</v>
      </c>
      <c r="O86" s="209">
        <f>217000/3000</f>
        <v>72.333333333333329</v>
      </c>
      <c r="P86" s="210">
        <v>1</v>
      </c>
      <c r="Q86" s="208">
        <f t="shared" si="5"/>
        <v>72.333333333333329</v>
      </c>
      <c r="R86" s="180"/>
      <c r="S86" s="179"/>
      <c r="T86" s="179"/>
      <c r="U86" s="179">
        <f>Q86</f>
        <v>72.333333333333329</v>
      </c>
      <c r="V86" s="179"/>
      <c r="W86" s="162"/>
      <c r="X86" s="179"/>
      <c r="Y86" s="179"/>
    </row>
    <row r="87" spans="1:25" ht="57" customHeight="1">
      <c r="A87" s="202">
        <v>3115</v>
      </c>
      <c r="B87" s="203" t="s">
        <v>269</v>
      </c>
      <c r="C87" s="204" t="s">
        <v>270</v>
      </c>
      <c r="D87" s="193"/>
      <c r="E87" s="184">
        <v>15</v>
      </c>
      <c r="F87" s="174">
        <v>43290</v>
      </c>
      <c r="G87" s="174">
        <f t="shared" si="0"/>
        <v>43305</v>
      </c>
      <c r="H87" s="186" t="s">
        <v>247</v>
      </c>
      <c r="I87" s="175" t="s">
        <v>169</v>
      </c>
      <c r="J87" s="175" t="s">
        <v>176</v>
      </c>
      <c r="K87" s="213" t="s">
        <v>257</v>
      </c>
      <c r="L87" s="176"/>
      <c r="M87" s="177"/>
      <c r="N87" s="175">
        <v>23172</v>
      </c>
      <c r="O87" s="209">
        <f>200000/3000</f>
        <v>66.666666666666671</v>
      </c>
      <c r="P87" s="210">
        <v>7</v>
      </c>
      <c r="Q87" s="208">
        <f t="shared" si="5"/>
        <v>466.66666666666669</v>
      </c>
      <c r="R87" s="180"/>
      <c r="S87" s="179"/>
      <c r="T87" s="179"/>
      <c r="U87" s="179"/>
      <c r="V87" s="179"/>
      <c r="W87" s="179">
        <f t="shared" si="6"/>
        <v>466.66666666666669</v>
      </c>
      <c r="X87" s="179"/>
      <c r="Y87" s="179"/>
    </row>
    <row r="88" spans="1:25" ht="57" customHeight="1">
      <c r="A88" s="191">
        <v>3116</v>
      </c>
      <c r="B88" s="192" t="s">
        <v>271</v>
      </c>
      <c r="C88" s="197" t="s">
        <v>272</v>
      </c>
      <c r="D88" s="193"/>
      <c r="E88" s="184">
        <v>15</v>
      </c>
      <c r="F88" s="185">
        <v>43311</v>
      </c>
      <c r="G88" s="174">
        <f t="shared" si="0"/>
        <v>43326</v>
      </c>
      <c r="H88" s="186" t="s">
        <v>247</v>
      </c>
      <c r="I88" s="175" t="s">
        <v>176</v>
      </c>
      <c r="J88" s="175" t="s">
        <v>169</v>
      </c>
      <c r="K88" s="175" t="s">
        <v>268</v>
      </c>
      <c r="L88" s="176">
        <v>2315</v>
      </c>
      <c r="M88" s="177"/>
      <c r="N88" s="175">
        <v>23173</v>
      </c>
      <c r="O88" s="208"/>
      <c r="P88" s="175"/>
      <c r="Q88" s="208"/>
      <c r="R88" s="180"/>
      <c r="S88" s="179"/>
      <c r="T88" s="179"/>
      <c r="U88" s="179"/>
      <c r="V88" s="179"/>
      <c r="W88" s="179"/>
      <c r="X88" s="179">
        <f>Q88</f>
        <v>0</v>
      </c>
      <c r="Y88" s="179"/>
    </row>
    <row r="89" spans="1:25" ht="57" customHeight="1">
      <c r="A89" s="202">
        <v>3116</v>
      </c>
      <c r="B89" s="203" t="s">
        <v>271</v>
      </c>
      <c r="C89" s="204" t="s">
        <v>272</v>
      </c>
      <c r="D89" s="193"/>
      <c r="E89" s="184">
        <v>15</v>
      </c>
      <c r="F89" s="185">
        <v>43311</v>
      </c>
      <c r="G89" s="174">
        <f t="shared" si="0"/>
        <v>43326</v>
      </c>
      <c r="H89" s="186" t="s">
        <v>247</v>
      </c>
      <c r="I89" s="175" t="s">
        <v>169</v>
      </c>
      <c r="J89" s="175" t="s">
        <v>176</v>
      </c>
      <c r="K89" s="211" t="s">
        <v>273</v>
      </c>
      <c r="L89" s="176"/>
      <c r="M89" s="177"/>
      <c r="N89" s="175">
        <v>23173</v>
      </c>
      <c r="O89" s="209">
        <f>(0.15*4000*2)/3000</f>
        <v>0.4</v>
      </c>
      <c r="P89" s="210">
        <v>170</v>
      </c>
      <c r="Q89" s="208">
        <f>O89*P89</f>
        <v>68</v>
      </c>
      <c r="R89" s="180"/>
      <c r="S89" s="179"/>
      <c r="T89" s="179"/>
      <c r="U89" s="179"/>
      <c r="V89" s="179"/>
      <c r="W89" s="179"/>
      <c r="X89" s="179">
        <f>Q89</f>
        <v>68</v>
      </c>
      <c r="Y89" s="179"/>
    </row>
    <row r="90" spans="1:25" ht="57" customHeight="1">
      <c r="A90" s="202">
        <v>3116</v>
      </c>
      <c r="B90" s="203" t="s">
        <v>271</v>
      </c>
      <c r="C90" s="204" t="s">
        <v>272</v>
      </c>
      <c r="D90" s="193"/>
      <c r="E90" s="184">
        <v>45</v>
      </c>
      <c r="F90" s="174">
        <v>43193</v>
      </c>
      <c r="G90" s="174">
        <f t="shared" si="0"/>
        <v>43238</v>
      </c>
      <c r="H90" s="186" t="s">
        <v>247</v>
      </c>
      <c r="I90" s="175" t="s">
        <v>169</v>
      </c>
      <c r="J90" s="175" t="s">
        <v>176</v>
      </c>
      <c r="K90" s="212" t="s">
        <v>256</v>
      </c>
      <c r="L90" s="176"/>
      <c r="M90" s="177"/>
      <c r="N90" s="175">
        <v>23173</v>
      </c>
      <c r="O90" s="209">
        <f>146000/3000</f>
        <v>48.666666666666664</v>
      </c>
      <c r="P90" s="210">
        <v>1</v>
      </c>
      <c r="Q90" s="208">
        <f>O90*P90</f>
        <v>48.666666666666664</v>
      </c>
      <c r="R90" s="180"/>
      <c r="S90" s="179"/>
      <c r="T90" s="179"/>
      <c r="U90" s="179">
        <f>Q90</f>
        <v>48.666666666666664</v>
      </c>
      <c r="V90" s="179"/>
      <c r="W90" s="179"/>
      <c r="X90" s="162"/>
      <c r="Y90" s="179"/>
    </row>
    <row r="91" spans="1:25" ht="57" customHeight="1">
      <c r="A91" s="202">
        <v>3116</v>
      </c>
      <c r="B91" s="203" t="s">
        <v>271</v>
      </c>
      <c r="C91" s="204" t="s">
        <v>272</v>
      </c>
      <c r="D91" s="193"/>
      <c r="E91" s="184">
        <v>15</v>
      </c>
      <c r="F91" s="185">
        <v>43311</v>
      </c>
      <c r="G91" s="174">
        <f t="shared" si="0"/>
        <v>43326</v>
      </c>
      <c r="H91" s="186" t="s">
        <v>247</v>
      </c>
      <c r="I91" s="175" t="s">
        <v>169</v>
      </c>
      <c r="J91" s="175" t="s">
        <v>176</v>
      </c>
      <c r="K91" s="213" t="s">
        <v>257</v>
      </c>
      <c r="L91" s="176"/>
      <c r="M91" s="177"/>
      <c r="N91" s="175">
        <v>23172</v>
      </c>
      <c r="O91" s="209">
        <f>200000/3000</f>
        <v>66.666666666666671</v>
      </c>
      <c r="P91" s="210">
        <v>1</v>
      </c>
      <c r="Q91" s="208">
        <f>O91*P91</f>
        <v>66.666666666666671</v>
      </c>
      <c r="R91" s="180"/>
      <c r="S91" s="179"/>
      <c r="T91" s="179"/>
      <c r="U91" s="179"/>
      <c r="V91" s="179"/>
      <c r="W91" s="179"/>
      <c r="X91" s="179">
        <f>Q91</f>
        <v>66.666666666666671</v>
      </c>
      <c r="Y91" s="179"/>
    </row>
    <row r="92" spans="1:25" ht="15.75" hidden="1" customHeight="1">
      <c r="A92" s="3561" t="s">
        <v>274</v>
      </c>
      <c r="B92" s="3564"/>
      <c r="C92" s="3564"/>
      <c r="D92" s="3561"/>
      <c r="E92" s="3561"/>
      <c r="F92" s="3561"/>
      <c r="G92" s="3561"/>
      <c r="H92" s="3561"/>
      <c r="I92" s="3561"/>
      <c r="J92" s="156"/>
      <c r="K92" s="156"/>
      <c r="L92" s="156"/>
      <c r="M92" s="157"/>
      <c r="N92" s="156"/>
      <c r="O92" s="158"/>
      <c r="P92" s="156"/>
      <c r="Q92" s="159"/>
      <c r="R92" s="160">
        <f>+'[3]Compil Costing PPA 3 millions'!F12</f>
        <v>100000</v>
      </c>
      <c r="S92" s="161"/>
      <c r="T92" s="161"/>
      <c r="U92" s="161"/>
      <c r="V92" s="157"/>
      <c r="W92" s="157"/>
      <c r="X92" s="157"/>
      <c r="Y92" s="157"/>
    </row>
    <row r="93" spans="1:25" ht="16.5" hidden="1" customHeight="1">
      <c r="A93" s="163">
        <v>321</v>
      </c>
      <c r="B93" s="3559"/>
      <c r="C93" s="3559"/>
      <c r="D93" s="3559"/>
      <c r="E93" s="3559"/>
      <c r="F93" s="3559"/>
      <c r="G93" s="3559"/>
      <c r="H93" s="3559"/>
      <c r="I93" s="3559"/>
      <c r="J93" s="164"/>
      <c r="K93" s="165"/>
      <c r="L93" s="164"/>
      <c r="M93" s="166"/>
      <c r="N93" s="165"/>
      <c r="O93" s="167"/>
      <c r="P93" s="164"/>
      <c r="Q93" s="168"/>
      <c r="R93" s="169"/>
      <c r="S93" s="170"/>
      <c r="T93" s="170"/>
      <c r="U93" s="170"/>
      <c r="V93" s="170"/>
      <c r="W93" s="170"/>
      <c r="X93" s="170"/>
      <c r="Y93" s="170"/>
    </row>
    <row r="94" spans="1:25" ht="15.75" hidden="1" customHeight="1">
      <c r="A94" s="171">
        <v>3211</v>
      </c>
      <c r="B94" s="183"/>
      <c r="C94" s="183"/>
      <c r="D94" s="183"/>
      <c r="E94" s="184"/>
      <c r="F94" s="219"/>
      <c r="G94" s="219"/>
      <c r="H94" s="219"/>
      <c r="I94" s="175"/>
      <c r="J94" s="176"/>
      <c r="K94" s="175"/>
      <c r="L94" s="176"/>
      <c r="M94" s="177"/>
      <c r="N94" s="175"/>
      <c r="O94" s="178"/>
      <c r="P94" s="176"/>
      <c r="Q94" s="179"/>
      <c r="R94" s="180"/>
      <c r="S94" s="179"/>
      <c r="T94" s="179"/>
      <c r="U94" s="179"/>
      <c r="V94" s="179"/>
      <c r="W94" s="179"/>
      <c r="X94" s="179"/>
      <c r="Y94" s="179"/>
    </row>
    <row r="95" spans="1:25" ht="15.75" hidden="1" customHeight="1">
      <c r="A95" s="171">
        <v>3212</v>
      </c>
      <c r="B95" s="183"/>
      <c r="C95" s="183"/>
      <c r="D95" s="183"/>
      <c r="E95" s="184"/>
      <c r="F95" s="219"/>
      <c r="G95" s="219"/>
      <c r="H95" s="219"/>
      <c r="I95" s="175"/>
      <c r="J95" s="176"/>
      <c r="K95" s="175"/>
      <c r="L95" s="176"/>
      <c r="M95" s="177"/>
      <c r="N95" s="175"/>
      <c r="O95" s="178"/>
      <c r="P95" s="176"/>
      <c r="Q95" s="179"/>
      <c r="R95" s="180"/>
      <c r="S95" s="179"/>
      <c r="T95" s="179"/>
      <c r="U95" s="179"/>
      <c r="V95" s="179"/>
      <c r="W95" s="179"/>
      <c r="X95" s="179"/>
      <c r="Y95" s="179"/>
    </row>
    <row r="96" spans="1:25" ht="15.75" hidden="1" customHeight="1">
      <c r="A96" s="171">
        <v>3213</v>
      </c>
      <c r="B96" s="183"/>
      <c r="C96" s="183"/>
      <c r="D96" s="183"/>
      <c r="E96" s="184"/>
      <c r="F96" s="219"/>
      <c r="G96" s="219"/>
      <c r="H96" s="219"/>
      <c r="I96" s="175"/>
      <c r="J96" s="176"/>
      <c r="K96" s="175"/>
      <c r="L96" s="176"/>
      <c r="M96" s="177"/>
      <c r="N96" s="175"/>
      <c r="O96" s="178"/>
      <c r="P96" s="176"/>
      <c r="Q96" s="179"/>
      <c r="R96" s="180"/>
      <c r="S96" s="179"/>
      <c r="T96" s="179"/>
      <c r="U96" s="179"/>
      <c r="V96" s="179"/>
      <c r="W96" s="179"/>
      <c r="X96" s="179"/>
      <c r="Y96" s="179"/>
    </row>
    <row r="97" spans="1:25" ht="16.5" hidden="1" customHeight="1">
      <c r="A97" s="163">
        <v>322</v>
      </c>
      <c r="B97" s="3559"/>
      <c r="C97" s="3559"/>
      <c r="D97" s="3559"/>
      <c r="E97" s="3559"/>
      <c r="F97" s="3559"/>
      <c r="G97" s="3559"/>
      <c r="H97" s="3559"/>
      <c r="I97" s="3559"/>
      <c r="J97" s="164"/>
      <c r="K97" s="165"/>
      <c r="L97" s="164"/>
      <c r="M97" s="166"/>
      <c r="N97" s="165"/>
      <c r="O97" s="167"/>
      <c r="P97" s="164"/>
      <c r="Q97" s="168"/>
      <c r="R97" s="169"/>
      <c r="S97" s="170"/>
      <c r="T97" s="170"/>
      <c r="U97" s="170"/>
      <c r="V97" s="170"/>
      <c r="W97" s="170"/>
      <c r="X97" s="170"/>
      <c r="Y97" s="170"/>
    </row>
    <row r="98" spans="1:25" hidden="1">
      <c r="A98" s="171">
        <v>3221</v>
      </c>
      <c r="B98" s="183"/>
      <c r="C98" s="183"/>
      <c r="D98" s="183"/>
      <c r="E98" s="184"/>
      <c r="F98" s="185"/>
      <c r="G98" s="174"/>
      <c r="H98" s="174"/>
      <c r="I98" s="175"/>
      <c r="J98" s="176"/>
      <c r="K98" s="175"/>
      <c r="L98" s="176"/>
      <c r="M98" s="177"/>
      <c r="N98" s="175"/>
      <c r="O98" s="178"/>
      <c r="P98" s="176"/>
      <c r="Q98" s="179"/>
      <c r="R98" s="180"/>
      <c r="S98" s="179"/>
      <c r="T98" s="179"/>
      <c r="U98" s="179"/>
      <c r="V98" s="179"/>
      <c r="W98" s="179"/>
      <c r="X98" s="179"/>
      <c r="Y98" s="179"/>
    </row>
    <row r="99" spans="1:25" hidden="1">
      <c r="A99" s="171">
        <v>3222</v>
      </c>
      <c r="B99" s="183"/>
      <c r="C99" s="183"/>
      <c r="D99" s="183"/>
      <c r="E99" s="184"/>
      <c r="F99" s="185"/>
      <c r="G99" s="174"/>
      <c r="H99" s="174"/>
      <c r="I99" s="175"/>
      <c r="J99" s="176"/>
      <c r="K99" s="175"/>
      <c r="L99" s="176"/>
      <c r="M99" s="177"/>
      <c r="N99" s="175"/>
      <c r="O99" s="178"/>
      <c r="P99" s="176"/>
      <c r="Q99" s="179"/>
      <c r="R99" s="180"/>
      <c r="S99" s="179"/>
      <c r="T99" s="179"/>
      <c r="U99" s="179"/>
      <c r="V99" s="179"/>
      <c r="W99" s="179"/>
      <c r="X99" s="179"/>
      <c r="Y99" s="179"/>
    </row>
    <row r="100" spans="1:25" ht="15.75" hidden="1" customHeight="1">
      <c r="A100" s="181" t="s">
        <v>233</v>
      </c>
      <c r="B100" s="183"/>
      <c r="C100" s="183"/>
      <c r="D100" s="183"/>
      <c r="E100" s="184"/>
      <c r="F100" s="219"/>
      <c r="G100" s="219"/>
      <c r="H100" s="219"/>
      <c r="I100" s="175"/>
      <c r="J100" s="176"/>
      <c r="K100" s="175"/>
      <c r="L100" s="176"/>
      <c r="M100" s="177"/>
      <c r="N100" s="175"/>
      <c r="O100" s="178"/>
      <c r="P100" s="176"/>
      <c r="Q100" s="179"/>
      <c r="R100" s="180"/>
      <c r="S100" s="179"/>
      <c r="T100" s="179"/>
      <c r="U100" s="179"/>
      <c r="V100" s="179"/>
      <c r="W100" s="179"/>
      <c r="X100" s="179"/>
      <c r="Y100" s="179"/>
    </row>
    <row r="101" spans="1:25" s="155" customFormat="1" ht="33.75" hidden="1" customHeight="1">
      <c r="A101" s="3563" t="s">
        <v>275</v>
      </c>
      <c r="B101" s="3563"/>
      <c r="C101" s="3563"/>
      <c r="D101" s="3563"/>
      <c r="E101" s="3563"/>
      <c r="F101" s="3563"/>
      <c r="G101" s="3563"/>
      <c r="H101" s="3563"/>
      <c r="I101" s="3563"/>
      <c r="J101" s="149"/>
      <c r="K101" s="149"/>
      <c r="L101" s="149"/>
      <c r="M101" s="150"/>
      <c r="N101" s="149"/>
      <c r="O101" s="151"/>
      <c r="P101" s="149"/>
      <c r="Q101" s="152"/>
      <c r="R101" s="153">
        <f>+R102+R111+R120</f>
        <v>1602730.3695833336</v>
      </c>
      <c r="S101" s="154"/>
      <c r="T101" s="154"/>
      <c r="U101" s="154"/>
      <c r="V101" s="154"/>
      <c r="W101" s="154"/>
      <c r="X101" s="154"/>
      <c r="Y101" s="154"/>
    </row>
    <row r="102" spans="1:25" ht="15.75" hidden="1" customHeight="1">
      <c r="A102" s="3561" t="s">
        <v>276</v>
      </c>
      <c r="B102" s="3561"/>
      <c r="C102" s="3561"/>
      <c r="D102" s="3561"/>
      <c r="E102" s="3561"/>
      <c r="F102" s="3561"/>
      <c r="G102" s="3561"/>
      <c r="H102" s="3561"/>
      <c r="I102" s="3561"/>
      <c r="J102" s="156"/>
      <c r="K102" s="156"/>
      <c r="L102" s="156"/>
      <c r="M102" s="157"/>
      <c r="N102" s="156"/>
      <c r="O102" s="158"/>
      <c r="P102" s="156"/>
      <c r="Q102" s="159"/>
      <c r="R102" s="160">
        <f>+'[3]Compil Costing PPA 3 millions'!F15</f>
        <v>356290.70624999999</v>
      </c>
      <c r="S102" s="161"/>
      <c r="T102" s="161"/>
      <c r="U102" s="161"/>
      <c r="V102" s="157"/>
      <c r="W102" s="157"/>
      <c r="X102" s="157"/>
      <c r="Y102" s="157"/>
    </row>
    <row r="103" spans="1:25" ht="16.5" hidden="1" customHeight="1">
      <c r="A103" s="163">
        <v>411</v>
      </c>
      <c r="B103" s="3559"/>
      <c r="C103" s="3559"/>
      <c r="D103" s="3559"/>
      <c r="E103" s="3559"/>
      <c r="F103" s="3559"/>
      <c r="G103" s="3559"/>
      <c r="H103" s="3559"/>
      <c r="I103" s="3559"/>
      <c r="J103" s="164"/>
      <c r="K103" s="165"/>
      <c r="L103" s="164"/>
      <c r="M103" s="166"/>
      <c r="N103" s="165"/>
      <c r="O103" s="167"/>
      <c r="P103" s="164"/>
      <c r="Q103" s="168"/>
      <c r="R103" s="169"/>
      <c r="S103" s="170"/>
      <c r="T103" s="170"/>
      <c r="U103" s="170"/>
      <c r="V103" s="170"/>
      <c r="W103" s="170"/>
      <c r="X103" s="170"/>
      <c r="Y103" s="170"/>
    </row>
    <row r="104" spans="1:25" hidden="1">
      <c r="A104" s="171">
        <v>4111</v>
      </c>
      <c r="B104" s="183"/>
      <c r="C104" s="183"/>
      <c r="D104" s="183"/>
      <c r="E104" s="184"/>
      <c r="F104" s="185"/>
      <c r="G104" s="174"/>
      <c r="H104" s="174"/>
      <c r="I104" s="175"/>
      <c r="J104" s="176"/>
      <c r="K104" s="175"/>
      <c r="L104" s="176"/>
      <c r="M104" s="177"/>
      <c r="N104" s="175"/>
      <c r="O104" s="178"/>
      <c r="P104" s="176"/>
      <c r="Q104" s="179"/>
      <c r="R104" s="180"/>
      <c r="S104" s="179"/>
      <c r="T104" s="179"/>
      <c r="U104" s="179"/>
      <c r="V104" s="179"/>
      <c r="W104" s="179"/>
      <c r="X104" s="179"/>
      <c r="Y104" s="179"/>
    </row>
    <row r="105" spans="1:25" hidden="1">
      <c r="A105" s="171">
        <v>4112</v>
      </c>
      <c r="B105" s="183"/>
      <c r="C105" s="183"/>
      <c r="D105" s="183"/>
      <c r="E105" s="184"/>
      <c r="F105" s="185"/>
      <c r="G105" s="174"/>
      <c r="H105" s="174"/>
      <c r="I105" s="175"/>
      <c r="J105" s="176"/>
      <c r="K105" s="175"/>
      <c r="L105" s="176"/>
      <c r="M105" s="177"/>
      <c r="N105" s="175"/>
      <c r="O105" s="178"/>
      <c r="P105" s="176"/>
      <c r="Q105" s="179"/>
      <c r="R105" s="180"/>
      <c r="S105" s="179"/>
      <c r="T105" s="179"/>
      <c r="U105" s="179"/>
      <c r="V105" s="179"/>
      <c r="W105" s="179"/>
      <c r="X105" s="179"/>
      <c r="Y105" s="179"/>
    </row>
    <row r="106" spans="1:25" hidden="1">
      <c r="A106" s="171">
        <v>4113</v>
      </c>
      <c r="B106" s="183"/>
      <c r="C106" s="183"/>
      <c r="D106" s="183"/>
      <c r="E106" s="184"/>
      <c r="F106" s="185"/>
      <c r="G106" s="174"/>
      <c r="H106" s="174"/>
      <c r="I106" s="175"/>
      <c r="J106" s="176"/>
      <c r="K106" s="175"/>
      <c r="L106" s="176"/>
      <c r="M106" s="177"/>
      <c r="N106" s="175"/>
      <c r="O106" s="178"/>
      <c r="P106" s="176"/>
      <c r="Q106" s="179"/>
      <c r="R106" s="180"/>
      <c r="S106" s="179"/>
      <c r="T106" s="179"/>
      <c r="U106" s="179"/>
      <c r="V106" s="179"/>
      <c r="W106" s="179"/>
      <c r="X106" s="179"/>
      <c r="Y106" s="179"/>
    </row>
    <row r="107" spans="1:25" ht="16.5" hidden="1" customHeight="1">
      <c r="A107" s="163">
        <v>412</v>
      </c>
      <c r="B107" s="3559"/>
      <c r="C107" s="3559"/>
      <c r="D107" s="3559"/>
      <c r="E107" s="3559"/>
      <c r="F107" s="3559"/>
      <c r="G107" s="3559"/>
      <c r="H107" s="3559"/>
      <c r="I107" s="3559"/>
      <c r="J107" s="164"/>
      <c r="K107" s="165"/>
      <c r="L107" s="164"/>
      <c r="M107" s="166"/>
      <c r="N107" s="165"/>
      <c r="O107" s="167"/>
      <c r="P107" s="164"/>
      <c r="Q107" s="168"/>
      <c r="R107" s="169"/>
      <c r="S107" s="170"/>
      <c r="T107" s="170"/>
      <c r="U107" s="170"/>
      <c r="V107" s="170"/>
      <c r="W107" s="170"/>
      <c r="X107" s="170"/>
      <c r="Y107" s="170"/>
    </row>
    <row r="108" spans="1:25" hidden="1">
      <c r="A108" s="171">
        <v>4121</v>
      </c>
      <c r="B108" s="183"/>
      <c r="C108" s="183"/>
      <c r="D108" s="183"/>
      <c r="E108" s="184"/>
      <c r="F108" s="185"/>
      <c r="G108" s="174"/>
      <c r="H108" s="174"/>
      <c r="I108" s="175"/>
      <c r="J108" s="176"/>
      <c r="K108" s="175"/>
      <c r="L108" s="176"/>
      <c r="M108" s="177"/>
      <c r="N108" s="175"/>
      <c r="O108" s="178"/>
      <c r="P108" s="176"/>
      <c r="Q108" s="179"/>
      <c r="R108" s="180"/>
      <c r="S108" s="179"/>
      <c r="T108" s="179"/>
      <c r="U108" s="179"/>
      <c r="V108" s="179"/>
      <c r="W108" s="179"/>
      <c r="X108" s="179"/>
      <c r="Y108" s="179"/>
    </row>
    <row r="109" spans="1:25" hidden="1">
      <c r="A109" s="171">
        <v>4122</v>
      </c>
      <c r="B109" s="183"/>
      <c r="C109" s="183"/>
      <c r="D109" s="183"/>
      <c r="E109" s="184"/>
      <c r="F109" s="185"/>
      <c r="G109" s="174"/>
      <c r="H109" s="174"/>
      <c r="I109" s="175"/>
      <c r="J109" s="176"/>
      <c r="K109" s="175"/>
      <c r="L109" s="176"/>
      <c r="M109" s="177"/>
      <c r="N109" s="175"/>
      <c r="O109" s="178"/>
      <c r="P109" s="176"/>
      <c r="Q109" s="179"/>
      <c r="R109" s="180"/>
      <c r="S109" s="179"/>
      <c r="T109" s="179"/>
      <c r="U109" s="179"/>
      <c r="V109" s="179"/>
      <c r="W109" s="179"/>
      <c r="X109" s="179"/>
      <c r="Y109" s="179"/>
    </row>
    <row r="110" spans="1:25" ht="15.75" hidden="1" customHeight="1">
      <c r="A110" s="181" t="s">
        <v>233</v>
      </c>
      <c r="B110" s="183"/>
      <c r="C110" s="183"/>
      <c r="D110" s="183"/>
      <c r="E110" s="184"/>
      <c r="F110" s="219"/>
      <c r="G110" s="219"/>
      <c r="H110" s="219"/>
      <c r="I110" s="175"/>
      <c r="J110" s="176"/>
      <c r="K110" s="175"/>
      <c r="L110" s="176"/>
      <c r="M110" s="177"/>
      <c r="N110" s="175"/>
      <c r="O110" s="178"/>
      <c r="P110" s="176"/>
      <c r="Q110" s="179"/>
      <c r="R110" s="180"/>
      <c r="S110" s="179"/>
      <c r="T110" s="179"/>
      <c r="U110" s="179"/>
      <c r="V110" s="179"/>
      <c r="W110" s="179"/>
      <c r="X110" s="179"/>
      <c r="Y110" s="179"/>
    </row>
    <row r="111" spans="1:25" ht="15.75" hidden="1" customHeight="1">
      <c r="A111" s="3561" t="s">
        <v>277</v>
      </c>
      <c r="B111" s="3561"/>
      <c r="C111" s="3561"/>
      <c r="D111" s="3561"/>
      <c r="E111" s="3561"/>
      <c r="F111" s="3561"/>
      <c r="G111" s="3561"/>
      <c r="H111" s="3561"/>
      <c r="I111" s="3561"/>
      <c r="J111" s="156"/>
      <c r="K111" s="156"/>
      <c r="L111" s="156"/>
      <c r="M111" s="157"/>
      <c r="N111" s="156"/>
      <c r="O111" s="158"/>
      <c r="P111" s="156"/>
      <c r="Q111" s="159"/>
      <c r="R111" s="160">
        <f>+'[3]Compil Costing PPA 3 millions'!F16+'[3]Compil Costing PPA 3 millions'!F18+'[3]Compil Costing PPA 3 millions'!F19</f>
        <v>1137594.3333333335</v>
      </c>
      <c r="S111" s="161"/>
      <c r="T111" s="161"/>
      <c r="U111" s="161"/>
      <c r="V111" s="157"/>
      <c r="W111" s="157"/>
      <c r="X111" s="157"/>
      <c r="Y111" s="157"/>
    </row>
    <row r="112" spans="1:25" ht="16.5" hidden="1" customHeight="1">
      <c r="A112" s="163">
        <v>421</v>
      </c>
      <c r="B112" s="3559"/>
      <c r="C112" s="3559"/>
      <c r="D112" s="3559"/>
      <c r="E112" s="3559"/>
      <c r="F112" s="3559"/>
      <c r="G112" s="3559"/>
      <c r="H112" s="3559"/>
      <c r="I112" s="3559"/>
      <c r="J112" s="164"/>
      <c r="K112" s="165"/>
      <c r="L112" s="164"/>
      <c r="M112" s="166"/>
      <c r="N112" s="165"/>
      <c r="O112" s="167"/>
      <c r="P112" s="164"/>
      <c r="Q112" s="168"/>
      <c r="R112" s="169"/>
      <c r="S112" s="170"/>
      <c r="T112" s="170"/>
      <c r="U112" s="170"/>
      <c r="V112" s="170"/>
      <c r="W112" s="170"/>
      <c r="X112" s="170"/>
      <c r="Y112" s="170"/>
    </row>
    <row r="113" spans="1:25" hidden="1">
      <c r="A113" s="171">
        <v>4211</v>
      </c>
      <c r="B113" s="172"/>
      <c r="C113" s="172"/>
      <c r="D113" s="172"/>
      <c r="E113" s="173"/>
      <c r="F113" s="185"/>
      <c r="G113" s="174"/>
      <c r="H113" s="174"/>
      <c r="I113" s="175"/>
      <c r="J113" s="176"/>
      <c r="K113" s="175"/>
      <c r="L113" s="176"/>
      <c r="M113" s="177"/>
      <c r="N113" s="175"/>
      <c r="O113" s="178"/>
      <c r="P113" s="176"/>
      <c r="Q113" s="179"/>
      <c r="R113" s="180"/>
      <c r="S113" s="179"/>
      <c r="T113" s="179"/>
      <c r="U113" s="179"/>
      <c r="V113" s="179"/>
      <c r="W113" s="179"/>
      <c r="X113" s="179"/>
      <c r="Y113" s="179"/>
    </row>
    <row r="114" spans="1:25" hidden="1">
      <c r="A114" s="171">
        <v>4212</v>
      </c>
      <c r="B114" s="172"/>
      <c r="C114" s="172"/>
      <c r="D114" s="172"/>
      <c r="E114" s="173"/>
      <c r="F114" s="185"/>
      <c r="G114" s="174"/>
      <c r="H114" s="174"/>
      <c r="I114" s="175"/>
      <c r="J114" s="176"/>
      <c r="K114" s="175"/>
      <c r="L114" s="176"/>
      <c r="M114" s="177"/>
      <c r="N114" s="175"/>
      <c r="O114" s="178"/>
      <c r="P114" s="176"/>
      <c r="Q114" s="179"/>
      <c r="R114" s="180"/>
      <c r="S114" s="179"/>
      <c r="T114" s="179"/>
      <c r="U114" s="179"/>
      <c r="V114" s="179"/>
      <c r="W114" s="179"/>
      <c r="X114" s="179"/>
      <c r="Y114" s="179"/>
    </row>
    <row r="115" spans="1:25" hidden="1">
      <c r="A115" s="171">
        <v>4213</v>
      </c>
      <c r="B115" s="172"/>
      <c r="C115" s="172"/>
      <c r="D115" s="172"/>
      <c r="E115" s="173"/>
      <c r="F115" s="185"/>
      <c r="G115" s="174"/>
      <c r="H115" s="174"/>
      <c r="I115" s="175"/>
      <c r="J115" s="176"/>
      <c r="K115" s="175"/>
      <c r="L115" s="176"/>
      <c r="M115" s="177"/>
      <c r="N115" s="175"/>
      <c r="O115" s="178"/>
      <c r="P115" s="176"/>
      <c r="Q115" s="179"/>
      <c r="R115" s="180"/>
      <c r="S115" s="179"/>
      <c r="T115" s="179"/>
      <c r="U115" s="179"/>
      <c r="V115" s="179"/>
      <c r="W115" s="179"/>
      <c r="X115" s="179"/>
      <c r="Y115" s="179"/>
    </row>
    <row r="116" spans="1:25" ht="16.5" hidden="1" customHeight="1">
      <c r="A116" s="163">
        <v>422</v>
      </c>
      <c r="B116" s="3559"/>
      <c r="C116" s="3559"/>
      <c r="D116" s="3559"/>
      <c r="E116" s="3559"/>
      <c r="F116" s="3559"/>
      <c r="G116" s="3559"/>
      <c r="H116" s="3559"/>
      <c r="I116" s="3559"/>
      <c r="J116" s="164"/>
      <c r="K116" s="165"/>
      <c r="L116" s="164"/>
      <c r="M116" s="166"/>
      <c r="N116" s="165"/>
      <c r="O116" s="167"/>
      <c r="P116" s="164"/>
      <c r="Q116" s="168"/>
      <c r="R116" s="169"/>
      <c r="S116" s="170"/>
      <c r="T116" s="170"/>
      <c r="U116" s="170"/>
      <c r="V116" s="170"/>
      <c r="W116" s="170"/>
      <c r="X116" s="170"/>
      <c r="Y116" s="170"/>
    </row>
    <row r="117" spans="1:25" hidden="1">
      <c r="A117" s="171">
        <v>4221</v>
      </c>
      <c r="B117" s="172"/>
      <c r="C117" s="172"/>
      <c r="D117" s="172"/>
      <c r="E117" s="173"/>
      <c r="F117" s="185"/>
      <c r="G117" s="174"/>
      <c r="H117" s="174"/>
      <c r="I117" s="175"/>
      <c r="J117" s="176"/>
      <c r="K117" s="175"/>
      <c r="L117" s="176"/>
      <c r="M117" s="177"/>
      <c r="N117" s="175"/>
      <c r="O117" s="178"/>
      <c r="P117" s="176"/>
      <c r="Q117" s="179"/>
      <c r="R117" s="180"/>
      <c r="S117" s="179"/>
      <c r="T117" s="179"/>
      <c r="U117" s="179"/>
      <c r="V117" s="179"/>
      <c r="W117" s="179"/>
      <c r="X117" s="179"/>
      <c r="Y117" s="179"/>
    </row>
    <row r="118" spans="1:25" hidden="1">
      <c r="A118" s="171">
        <v>4222</v>
      </c>
      <c r="B118" s="172"/>
      <c r="C118" s="172"/>
      <c r="D118" s="172"/>
      <c r="E118" s="173"/>
      <c r="F118" s="185"/>
      <c r="G118" s="174"/>
      <c r="H118" s="174"/>
      <c r="I118" s="175"/>
      <c r="J118" s="176"/>
      <c r="K118" s="175"/>
      <c r="L118" s="176"/>
      <c r="M118" s="177"/>
      <c r="N118" s="175"/>
      <c r="O118" s="178"/>
      <c r="P118" s="176"/>
      <c r="Q118" s="179"/>
      <c r="R118" s="180"/>
      <c r="S118" s="179"/>
      <c r="T118" s="179"/>
      <c r="U118" s="179"/>
      <c r="V118" s="179"/>
      <c r="W118" s="179"/>
      <c r="X118" s="179"/>
      <c r="Y118" s="179"/>
    </row>
    <row r="119" spans="1:25" hidden="1">
      <c r="A119" s="181" t="s">
        <v>233</v>
      </c>
      <c r="B119" s="172"/>
      <c r="C119" s="172"/>
      <c r="D119" s="172"/>
      <c r="E119" s="173"/>
      <c r="F119" s="185"/>
      <c r="G119" s="174"/>
      <c r="H119" s="174"/>
      <c r="I119" s="175"/>
      <c r="J119" s="176"/>
      <c r="K119" s="175"/>
      <c r="L119" s="176"/>
      <c r="M119" s="177"/>
      <c r="N119" s="175"/>
      <c r="O119" s="178"/>
      <c r="P119" s="176"/>
      <c r="Q119" s="179"/>
      <c r="R119" s="180"/>
      <c r="S119" s="179"/>
      <c r="T119" s="179"/>
      <c r="U119" s="179"/>
      <c r="V119" s="179"/>
      <c r="W119" s="179"/>
      <c r="X119" s="179"/>
      <c r="Y119" s="179"/>
    </row>
    <row r="120" spans="1:25" ht="15.75" hidden="1" customHeight="1">
      <c r="A120" s="3561" t="s">
        <v>278</v>
      </c>
      <c r="B120" s="3561"/>
      <c r="C120" s="3561"/>
      <c r="D120" s="3561"/>
      <c r="E120" s="3561"/>
      <c r="F120" s="3561"/>
      <c r="G120" s="3561"/>
      <c r="H120" s="3561"/>
      <c r="I120" s="3561"/>
      <c r="J120" s="156"/>
      <c r="K120" s="156"/>
      <c r="L120" s="156"/>
      <c r="M120" s="157"/>
      <c r="N120" s="156"/>
      <c r="O120" s="158"/>
      <c r="P120" s="156"/>
      <c r="Q120" s="159"/>
      <c r="R120" s="160">
        <f>+'[3]Compil Costing PPA 3 millions'!F17</f>
        <v>108845.33</v>
      </c>
      <c r="S120" s="161"/>
      <c r="T120" s="161"/>
      <c r="U120" s="161"/>
      <c r="V120" s="157"/>
      <c r="W120" s="157"/>
      <c r="X120" s="157"/>
      <c r="Y120" s="157"/>
    </row>
    <row r="121" spans="1:25" ht="16.5" hidden="1" customHeight="1">
      <c r="A121" s="163">
        <v>431</v>
      </c>
      <c r="B121" s="3559"/>
      <c r="C121" s="3559"/>
      <c r="D121" s="3559"/>
      <c r="E121" s="3559"/>
      <c r="F121" s="3559"/>
      <c r="G121" s="3559"/>
      <c r="H121" s="3559"/>
      <c r="I121" s="3559"/>
      <c r="J121" s="164"/>
      <c r="K121" s="165"/>
      <c r="L121" s="164"/>
      <c r="M121" s="166"/>
      <c r="N121" s="165"/>
      <c r="O121" s="167"/>
      <c r="P121" s="164"/>
      <c r="Q121" s="168"/>
      <c r="R121" s="169"/>
      <c r="S121" s="170"/>
      <c r="T121" s="170"/>
      <c r="U121" s="170"/>
      <c r="V121" s="170"/>
      <c r="W121" s="170"/>
      <c r="X121" s="170"/>
      <c r="Y121" s="170"/>
    </row>
    <row r="122" spans="1:25" hidden="1">
      <c r="A122" s="171">
        <v>4311</v>
      </c>
      <c r="B122" s="172"/>
      <c r="C122" s="172"/>
      <c r="D122" s="172"/>
      <c r="E122" s="173"/>
      <c r="F122" s="185"/>
      <c r="G122" s="174"/>
      <c r="H122" s="174"/>
      <c r="I122" s="175"/>
      <c r="J122" s="176"/>
      <c r="K122" s="175"/>
      <c r="L122" s="176"/>
      <c r="M122" s="177"/>
      <c r="N122" s="175"/>
      <c r="O122" s="178"/>
      <c r="P122" s="176"/>
      <c r="Q122" s="179"/>
      <c r="R122" s="180"/>
      <c r="S122" s="179"/>
      <c r="T122" s="179"/>
      <c r="U122" s="179"/>
      <c r="V122" s="179"/>
      <c r="W122" s="179"/>
      <c r="X122" s="179"/>
      <c r="Y122" s="179"/>
    </row>
    <row r="123" spans="1:25" hidden="1">
      <c r="A123" s="171">
        <v>4312</v>
      </c>
      <c r="B123" s="172"/>
      <c r="C123" s="172"/>
      <c r="D123" s="172"/>
      <c r="E123" s="173"/>
      <c r="F123" s="185"/>
      <c r="G123" s="174"/>
      <c r="H123" s="174"/>
      <c r="I123" s="175"/>
      <c r="J123" s="176"/>
      <c r="K123" s="175"/>
      <c r="L123" s="176"/>
      <c r="M123" s="177"/>
      <c r="N123" s="175"/>
      <c r="O123" s="178"/>
      <c r="P123" s="176"/>
      <c r="Q123" s="179"/>
      <c r="R123" s="180"/>
      <c r="S123" s="179"/>
      <c r="T123" s="179"/>
      <c r="U123" s="179"/>
      <c r="V123" s="179"/>
      <c r="W123" s="179"/>
      <c r="X123" s="179"/>
      <c r="Y123" s="179"/>
    </row>
    <row r="124" spans="1:25" hidden="1">
      <c r="A124" s="171">
        <v>4313</v>
      </c>
      <c r="B124" s="172"/>
      <c r="C124" s="172"/>
      <c r="D124" s="172"/>
      <c r="E124" s="173"/>
      <c r="F124" s="185"/>
      <c r="G124" s="174"/>
      <c r="H124" s="174"/>
      <c r="I124" s="175"/>
      <c r="J124" s="176"/>
      <c r="K124" s="175"/>
      <c r="L124" s="176"/>
      <c r="M124" s="177"/>
      <c r="N124" s="175"/>
      <c r="O124" s="178"/>
      <c r="P124" s="176"/>
      <c r="Q124" s="179"/>
      <c r="R124" s="180"/>
      <c r="S124" s="179"/>
      <c r="T124" s="179"/>
      <c r="U124" s="179"/>
      <c r="V124" s="179"/>
      <c r="W124" s="179"/>
      <c r="X124" s="179"/>
      <c r="Y124" s="179"/>
    </row>
    <row r="125" spans="1:25" ht="16.5" hidden="1" customHeight="1">
      <c r="A125" s="163">
        <v>432</v>
      </c>
      <c r="B125" s="3559"/>
      <c r="C125" s="3559"/>
      <c r="D125" s="3559"/>
      <c r="E125" s="3559"/>
      <c r="F125" s="3559"/>
      <c r="G125" s="3559"/>
      <c r="H125" s="3559"/>
      <c r="I125" s="3559"/>
      <c r="J125" s="164"/>
      <c r="K125" s="165"/>
      <c r="L125" s="164"/>
      <c r="M125" s="166"/>
      <c r="N125" s="165"/>
      <c r="O125" s="167"/>
      <c r="P125" s="164"/>
      <c r="Q125" s="168"/>
      <c r="R125" s="169"/>
      <c r="S125" s="170"/>
      <c r="T125" s="170"/>
      <c r="U125" s="170"/>
      <c r="V125" s="170"/>
      <c r="W125" s="170"/>
      <c r="X125" s="170"/>
      <c r="Y125" s="170"/>
    </row>
    <row r="126" spans="1:25" hidden="1">
      <c r="A126" s="171">
        <v>4321</v>
      </c>
      <c r="B126" s="172"/>
      <c r="C126" s="172"/>
      <c r="D126" s="172"/>
      <c r="E126" s="173"/>
      <c r="F126" s="185"/>
      <c r="G126" s="174"/>
      <c r="H126" s="174"/>
      <c r="I126" s="175"/>
      <c r="J126" s="176"/>
      <c r="K126" s="175"/>
      <c r="L126" s="176"/>
      <c r="M126" s="177"/>
      <c r="N126" s="175"/>
      <c r="O126" s="178"/>
      <c r="P126" s="176"/>
      <c r="Q126" s="179"/>
      <c r="R126" s="180"/>
      <c r="S126" s="179"/>
      <c r="T126" s="179"/>
      <c r="U126" s="179"/>
      <c r="V126" s="179"/>
      <c r="W126" s="179"/>
      <c r="X126" s="179"/>
      <c r="Y126" s="179"/>
    </row>
    <row r="127" spans="1:25" hidden="1">
      <c r="A127" s="171">
        <v>4322</v>
      </c>
      <c r="B127" s="172"/>
      <c r="C127" s="172"/>
      <c r="D127" s="172"/>
      <c r="E127" s="173"/>
      <c r="F127" s="185"/>
      <c r="G127" s="174"/>
      <c r="H127" s="174"/>
      <c r="I127" s="175"/>
      <c r="J127" s="176"/>
      <c r="K127" s="175"/>
      <c r="L127" s="176"/>
      <c r="M127" s="177"/>
      <c r="N127" s="175"/>
      <c r="O127" s="178"/>
      <c r="P127" s="176"/>
      <c r="Q127" s="179"/>
      <c r="R127" s="180"/>
      <c r="S127" s="179"/>
      <c r="T127" s="179"/>
      <c r="U127" s="179"/>
      <c r="V127" s="179"/>
      <c r="W127" s="179"/>
      <c r="X127" s="179"/>
      <c r="Y127" s="179"/>
    </row>
    <row r="128" spans="1:25" hidden="1">
      <c r="A128" s="181" t="s">
        <v>233</v>
      </c>
      <c r="B128" s="172"/>
      <c r="C128" s="172"/>
      <c r="D128" s="172"/>
      <c r="E128" s="173"/>
      <c r="F128" s="185"/>
      <c r="G128" s="174"/>
      <c r="H128" s="174"/>
      <c r="I128" s="175"/>
      <c r="J128" s="176"/>
      <c r="K128" s="175"/>
      <c r="L128" s="176"/>
      <c r="M128" s="177"/>
      <c r="N128" s="175"/>
      <c r="O128" s="178"/>
      <c r="P128" s="176"/>
      <c r="Q128" s="179"/>
      <c r="R128" s="180"/>
      <c r="S128" s="179"/>
      <c r="T128" s="179"/>
      <c r="U128" s="179"/>
      <c r="V128" s="179"/>
      <c r="W128" s="179"/>
      <c r="X128" s="179"/>
      <c r="Y128" s="179"/>
    </row>
    <row r="129" spans="1:25" s="155" customFormat="1" ht="33.75" hidden="1" customHeight="1">
      <c r="A129" s="3563" t="s">
        <v>279</v>
      </c>
      <c r="B129" s="3563"/>
      <c r="C129" s="3563"/>
      <c r="D129" s="3563"/>
      <c r="E129" s="3563"/>
      <c r="F129" s="3563"/>
      <c r="G129" s="3563"/>
      <c r="H129" s="3563"/>
      <c r="I129" s="3563"/>
      <c r="J129" s="149"/>
      <c r="K129" s="149"/>
      <c r="L129" s="149"/>
      <c r="M129" s="150"/>
      <c r="N129" s="149"/>
      <c r="O129" s="151"/>
      <c r="P129" s="149"/>
      <c r="Q129" s="152"/>
      <c r="R129" s="153"/>
      <c r="S129" s="154"/>
      <c r="T129" s="154"/>
      <c r="U129" s="154"/>
      <c r="V129" s="154"/>
      <c r="W129" s="154"/>
      <c r="X129" s="154"/>
      <c r="Y129" s="154"/>
    </row>
    <row r="130" spans="1:25" ht="30" hidden="1" customHeight="1">
      <c r="A130" s="3561" t="s">
        <v>280</v>
      </c>
      <c r="B130" s="3561"/>
      <c r="C130" s="3561"/>
      <c r="D130" s="3561"/>
      <c r="E130" s="3561"/>
      <c r="F130" s="3561"/>
      <c r="G130" s="3561"/>
      <c r="H130" s="3561"/>
      <c r="I130" s="3561"/>
      <c r="J130" s="156"/>
      <c r="K130" s="156"/>
      <c r="L130" s="156"/>
      <c r="M130" s="157"/>
      <c r="N130" s="156"/>
      <c r="O130" s="158"/>
      <c r="P130" s="156"/>
      <c r="Q130" s="159"/>
      <c r="R130" s="160"/>
      <c r="S130" s="161"/>
      <c r="T130" s="161"/>
      <c r="U130" s="161"/>
      <c r="V130" s="157"/>
      <c r="W130" s="157"/>
      <c r="X130" s="157"/>
      <c r="Y130" s="157"/>
    </row>
    <row r="131" spans="1:25" ht="16.5" hidden="1" customHeight="1">
      <c r="A131" s="163">
        <v>511</v>
      </c>
      <c r="B131" s="3559"/>
      <c r="C131" s="3559"/>
      <c r="D131" s="3559"/>
      <c r="E131" s="3559"/>
      <c r="F131" s="3559"/>
      <c r="G131" s="3559"/>
      <c r="H131" s="3559"/>
      <c r="I131" s="3559"/>
      <c r="J131" s="164"/>
      <c r="K131" s="165"/>
      <c r="L131" s="164"/>
      <c r="M131" s="166"/>
      <c r="N131" s="165"/>
      <c r="O131" s="167"/>
      <c r="P131" s="164"/>
      <c r="Q131" s="168"/>
      <c r="R131" s="169"/>
      <c r="S131" s="170"/>
      <c r="T131" s="170"/>
      <c r="U131" s="170"/>
      <c r="V131" s="170"/>
      <c r="W131" s="170"/>
      <c r="X131" s="170"/>
      <c r="Y131" s="170"/>
    </row>
    <row r="132" spans="1:25" hidden="1">
      <c r="A132" s="220" t="s">
        <v>233</v>
      </c>
      <c r="B132" s="172"/>
      <c r="C132" s="172"/>
      <c r="D132" s="172"/>
      <c r="E132" s="173"/>
      <c r="F132" s="185"/>
      <c r="G132" s="174"/>
      <c r="H132" s="174"/>
      <c r="I132" s="175"/>
      <c r="J132" s="176"/>
      <c r="K132" s="175"/>
      <c r="L132" s="176"/>
      <c r="M132" s="177"/>
      <c r="N132" s="175"/>
      <c r="O132" s="178"/>
      <c r="P132" s="176"/>
      <c r="Q132" s="179"/>
      <c r="R132" s="180"/>
      <c r="S132" s="179"/>
      <c r="T132" s="179"/>
      <c r="U132" s="179"/>
      <c r="V132" s="179"/>
      <c r="W132" s="179"/>
      <c r="X132" s="179"/>
      <c r="Y132" s="179"/>
    </row>
    <row r="133" spans="1:25" s="155" customFormat="1" ht="33.75" hidden="1" customHeight="1">
      <c r="A133" s="3560" t="s">
        <v>281</v>
      </c>
      <c r="B133" s="3560"/>
      <c r="C133" s="3560"/>
      <c r="D133" s="3560"/>
      <c r="E133" s="3560"/>
      <c r="F133" s="3560"/>
      <c r="G133" s="3560"/>
      <c r="H133" s="3560"/>
      <c r="I133" s="3560"/>
      <c r="J133" s="221"/>
      <c r="K133" s="221"/>
      <c r="L133" s="221"/>
      <c r="M133" s="221"/>
      <c r="N133" s="221"/>
      <c r="O133" s="222"/>
      <c r="P133" s="221"/>
      <c r="Q133" s="222"/>
      <c r="R133" s="223">
        <f>+R134+R143+R152</f>
        <v>129747.66</v>
      </c>
      <c r="S133" s="154"/>
      <c r="T133" s="154"/>
      <c r="U133" s="154"/>
      <c r="V133" s="154"/>
      <c r="W133" s="154"/>
      <c r="X133" s="154"/>
      <c r="Y133" s="154"/>
    </row>
    <row r="134" spans="1:25" ht="33" hidden="1" customHeight="1">
      <c r="A134" s="3561" t="s">
        <v>282</v>
      </c>
      <c r="B134" s="3561"/>
      <c r="C134" s="3561"/>
      <c r="D134" s="3561"/>
      <c r="E134" s="3561"/>
      <c r="F134" s="3561"/>
      <c r="G134" s="3561"/>
      <c r="H134" s="3561"/>
      <c r="I134" s="3561"/>
      <c r="J134" s="156"/>
      <c r="K134" s="156"/>
      <c r="L134" s="156"/>
      <c r="M134" s="157"/>
      <c r="N134" s="156"/>
      <c r="O134" s="158"/>
      <c r="P134" s="156"/>
      <c r="Q134" s="159"/>
      <c r="R134" s="160"/>
      <c r="S134" s="161"/>
      <c r="T134" s="161"/>
      <c r="U134" s="161"/>
      <c r="V134" s="157"/>
      <c r="W134" s="157"/>
      <c r="X134" s="157"/>
      <c r="Y134" s="157"/>
    </row>
    <row r="135" spans="1:25" ht="16.5" hidden="1" customHeight="1">
      <c r="A135" s="163">
        <v>611</v>
      </c>
      <c r="B135" s="3559"/>
      <c r="C135" s="3559"/>
      <c r="D135" s="3559"/>
      <c r="E135" s="3559"/>
      <c r="F135" s="3559"/>
      <c r="G135" s="3559"/>
      <c r="H135" s="3559"/>
      <c r="I135" s="3559"/>
      <c r="J135" s="164"/>
      <c r="K135" s="165"/>
      <c r="L135" s="164"/>
      <c r="M135" s="166"/>
      <c r="N135" s="165"/>
      <c r="O135" s="167"/>
      <c r="P135" s="164"/>
      <c r="Q135" s="168"/>
      <c r="R135" s="169"/>
      <c r="S135" s="170"/>
      <c r="T135" s="170"/>
      <c r="U135" s="170"/>
      <c r="V135" s="170"/>
      <c r="W135" s="170"/>
      <c r="X135" s="170"/>
      <c r="Y135" s="170"/>
    </row>
    <row r="136" spans="1:25" hidden="1">
      <c r="A136" s="171">
        <v>6111</v>
      </c>
      <c r="B136" s="172"/>
      <c r="C136" s="172"/>
      <c r="D136" s="172"/>
      <c r="E136" s="173"/>
      <c r="F136" s="185"/>
      <c r="G136" s="174"/>
      <c r="H136" s="174"/>
      <c r="I136" s="175"/>
      <c r="J136" s="176"/>
      <c r="K136" s="175"/>
      <c r="L136" s="176"/>
      <c r="M136" s="177"/>
      <c r="N136" s="175"/>
      <c r="O136" s="178"/>
      <c r="P136" s="176"/>
      <c r="Q136" s="179"/>
      <c r="R136" s="180"/>
      <c r="S136" s="179"/>
      <c r="T136" s="179"/>
      <c r="U136" s="179"/>
      <c r="V136" s="179"/>
      <c r="W136" s="179"/>
      <c r="X136" s="179"/>
      <c r="Y136" s="179"/>
    </row>
    <row r="137" spans="1:25" hidden="1">
      <c r="A137" s="171">
        <v>6112</v>
      </c>
      <c r="B137" s="172"/>
      <c r="C137" s="172"/>
      <c r="D137" s="172"/>
      <c r="E137" s="173"/>
      <c r="F137" s="185"/>
      <c r="G137" s="174"/>
      <c r="H137" s="174"/>
      <c r="I137" s="175"/>
      <c r="J137" s="176"/>
      <c r="K137" s="175"/>
      <c r="L137" s="176"/>
      <c r="M137" s="177"/>
      <c r="N137" s="175"/>
      <c r="O137" s="178"/>
      <c r="P137" s="176"/>
      <c r="Q137" s="179"/>
      <c r="R137" s="180"/>
      <c r="S137" s="179"/>
      <c r="T137" s="179"/>
      <c r="U137" s="179"/>
      <c r="V137" s="179"/>
      <c r="W137" s="179"/>
      <c r="X137" s="179"/>
      <c r="Y137" s="179"/>
    </row>
    <row r="138" spans="1:25" hidden="1">
      <c r="A138" s="171">
        <v>6113</v>
      </c>
      <c r="B138" s="172"/>
      <c r="C138" s="172"/>
      <c r="D138" s="172"/>
      <c r="E138" s="173"/>
      <c r="F138" s="185"/>
      <c r="G138" s="174"/>
      <c r="H138" s="174"/>
      <c r="I138" s="175"/>
      <c r="J138" s="176"/>
      <c r="K138" s="175"/>
      <c r="L138" s="176"/>
      <c r="M138" s="177"/>
      <c r="N138" s="175"/>
      <c r="O138" s="178"/>
      <c r="P138" s="176"/>
      <c r="Q138" s="179"/>
      <c r="R138" s="180"/>
      <c r="S138" s="179"/>
      <c r="T138" s="179"/>
      <c r="U138" s="179"/>
      <c r="V138" s="179"/>
      <c r="W138" s="179"/>
      <c r="X138" s="179"/>
      <c r="Y138" s="179"/>
    </row>
    <row r="139" spans="1:25" ht="16.5" hidden="1" customHeight="1">
      <c r="A139" s="163">
        <v>612</v>
      </c>
      <c r="B139" s="3559"/>
      <c r="C139" s="3559"/>
      <c r="D139" s="3559"/>
      <c r="E139" s="3559"/>
      <c r="F139" s="3559"/>
      <c r="G139" s="3559"/>
      <c r="H139" s="3559"/>
      <c r="I139" s="3559"/>
      <c r="J139" s="164"/>
      <c r="K139" s="165"/>
      <c r="L139" s="164"/>
      <c r="M139" s="166"/>
      <c r="N139" s="165"/>
      <c r="O139" s="167"/>
      <c r="P139" s="164"/>
      <c r="Q139" s="168"/>
      <c r="R139" s="169"/>
      <c r="S139" s="170"/>
      <c r="T139" s="170"/>
      <c r="U139" s="170"/>
      <c r="V139" s="170"/>
      <c r="W139" s="170"/>
      <c r="X139" s="170"/>
      <c r="Y139" s="170"/>
    </row>
    <row r="140" spans="1:25" hidden="1">
      <c r="A140" s="171">
        <v>6121</v>
      </c>
      <c r="B140" s="172"/>
      <c r="C140" s="172"/>
      <c r="D140" s="172"/>
      <c r="E140" s="173"/>
      <c r="F140" s="185"/>
      <c r="G140" s="174"/>
      <c r="H140" s="174"/>
      <c r="I140" s="175"/>
      <c r="J140" s="176"/>
      <c r="K140" s="175"/>
      <c r="L140" s="176"/>
      <c r="M140" s="177"/>
      <c r="N140" s="175"/>
      <c r="O140" s="178"/>
      <c r="P140" s="176"/>
      <c r="Q140" s="179"/>
      <c r="R140" s="180"/>
      <c r="S140" s="179"/>
      <c r="T140" s="179"/>
      <c r="U140" s="179"/>
      <c r="V140" s="179"/>
      <c r="W140" s="179"/>
      <c r="X140" s="179"/>
      <c r="Y140" s="179"/>
    </row>
    <row r="141" spans="1:25" hidden="1">
      <c r="A141" s="171">
        <v>6122</v>
      </c>
      <c r="B141" s="172"/>
      <c r="C141" s="172"/>
      <c r="D141" s="172"/>
      <c r="E141" s="173"/>
      <c r="F141" s="185"/>
      <c r="G141" s="174"/>
      <c r="H141" s="174"/>
      <c r="I141" s="175"/>
      <c r="J141" s="176"/>
      <c r="K141" s="175"/>
      <c r="L141" s="176"/>
      <c r="M141" s="177"/>
      <c r="N141" s="175"/>
      <c r="O141" s="178"/>
      <c r="P141" s="176"/>
      <c r="Q141" s="179"/>
      <c r="R141" s="180"/>
      <c r="S141" s="179"/>
      <c r="T141" s="179"/>
      <c r="U141" s="179"/>
      <c r="V141" s="179"/>
      <c r="W141" s="179"/>
      <c r="X141" s="179"/>
      <c r="Y141" s="179"/>
    </row>
    <row r="142" spans="1:25" hidden="1">
      <c r="A142" s="181" t="s">
        <v>233</v>
      </c>
      <c r="B142" s="172"/>
      <c r="C142" s="172"/>
      <c r="D142" s="172"/>
      <c r="E142" s="173"/>
      <c r="F142" s="185"/>
      <c r="G142" s="174"/>
      <c r="H142" s="174"/>
      <c r="I142" s="175"/>
      <c r="J142" s="176"/>
      <c r="K142" s="175"/>
      <c r="L142" s="176"/>
      <c r="M142" s="177"/>
      <c r="N142" s="175"/>
      <c r="O142" s="178"/>
      <c r="P142" s="176"/>
      <c r="Q142" s="179"/>
      <c r="R142" s="180"/>
      <c r="S142" s="179"/>
      <c r="T142" s="179"/>
      <c r="U142" s="179"/>
      <c r="V142" s="179"/>
      <c r="W142" s="179"/>
      <c r="X142" s="179"/>
      <c r="Y142" s="179"/>
    </row>
    <row r="143" spans="1:25" ht="38.25" hidden="1" customHeight="1">
      <c r="A143" s="3561" t="s">
        <v>283</v>
      </c>
      <c r="B143" s="3561"/>
      <c r="C143" s="3561"/>
      <c r="D143" s="3561"/>
      <c r="E143" s="3561"/>
      <c r="F143" s="3561"/>
      <c r="G143" s="3561"/>
      <c r="H143" s="3561"/>
      <c r="I143" s="3561"/>
      <c r="J143" s="156"/>
      <c r="K143" s="156"/>
      <c r="L143" s="156"/>
      <c r="M143" s="157"/>
      <c r="N143" s="156"/>
      <c r="O143" s="158"/>
      <c r="P143" s="156"/>
      <c r="Q143" s="159"/>
      <c r="R143" s="160"/>
      <c r="S143" s="161"/>
      <c r="T143" s="161"/>
      <c r="U143" s="161"/>
      <c r="V143" s="157"/>
      <c r="W143" s="157"/>
      <c r="X143" s="157"/>
      <c r="Y143" s="157"/>
    </row>
    <row r="144" spans="1:25" ht="16.5" hidden="1" customHeight="1">
      <c r="A144" s="163">
        <v>621</v>
      </c>
      <c r="B144" s="3559"/>
      <c r="C144" s="3559"/>
      <c r="D144" s="3559"/>
      <c r="E144" s="3559"/>
      <c r="F144" s="3559"/>
      <c r="G144" s="3559"/>
      <c r="H144" s="3559"/>
      <c r="I144" s="3559"/>
      <c r="J144" s="164"/>
      <c r="K144" s="165"/>
      <c r="L144" s="164"/>
      <c r="M144" s="166"/>
      <c r="N144" s="165"/>
      <c r="O144" s="167"/>
      <c r="P144" s="164"/>
      <c r="Q144" s="168"/>
      <c r="R144" s="169"/>
      <c r="S144" s="170"/>
      <c r="T144" s="170"/>
      <c r="U144" s="170"/>
      <c r="V144" s="170"/>
      <c r="W144" s="170"/>
      <c r="X144" s="170"/>
      <c r="Y144" s="170"/>
    </row>
    <row r="145" spans="1:25" hidden="1">
      <c r="A145" s="171">
        <v>6211</v>
      </c>
      <c r="B145" s="172"/>
      <c r="C145" s="172"/>
      <c r="D145" s="172"/>
      <c r="E145" s="173"/>
      <c r="F145" s="185"/>
      <c r="G145" s="174"/>
      <c r="H145" s="174"/>
      <c r="I145" s="175"/>
      <c r="J145" s="176"/>
      <c r="K145" s="175"/>
      <c r="L145" s="176"/>
      <c r="M145" s="177"/>
      <c r="N145" s="175"/>
      <c r="O145" s="178"/>
      <c r="P145" s="176"/>
      <c r="Q145" s="179"/>
      <c r="R145" s="180"/>
      <c r="S145" s="179"/>
      <c r="T145" s="179"/>
      <c r="U145" s="179"/>
      <c r="V145" s="179"/>
      <c r="W145" s="179"/>
      <c r="X145" s="179"/>
      <c r="Y145" s="179"/>
    </row>
    <row r="146" spans="1:25" hidden="1">
      <c r="A146" s="171">
        <v>6212</v>
      </c>
      <c r="B146" s="172"/>
      <c r="C146" s="172"/>
      <c r="D146" s="172"/>
      <c r="E146" s="173"/>
      <c r="F146" s="185"/>
      <c r="G146" s="174"/>
      <c r="H146" s="174"/>
      <c r="I146" s="175"/>
      <c r="J146" s="176"/>
      <c r="K146" s="175"/>
      <c r="L146" s="176"/>
      <c r="M146" s="177"/>
      <c r="N146" s="175"/>
      <c r="O146" s="178"/>
      <c r="P146" s="176"/>
      <c r="Q146" s="179"/>
      <c r="R146" s="180"/>
      <c r="S146" s="179"/>
      <c r="T146" s="179"/>
      <c r="U146" s="179"/>
      <c r="V146" s="179"/>
      <c r="W146" s="179"/>
      <c r="X146" s="179"/>
      <c r="Y146" s="179"/>
    </row>
    <row r="147" spans="1:25" hidden="1">
      <c r="A147" s="171">
        <v>6213</v>
      </c>
      <c r="B147" s="172"/>
      <c r="C147" s="172"/>
      <c r="D147" s="172"/>
      <c r="E147" s="173"/>
      <c r="F147" s="185"/>
      <c r="G147" s="174"/>
      <c r="H147" s="174"/>
      <c r="I147" s="175"/>
      <c r="J147" s="176"/>
      <c r="K147" s="175"/>
      <c r="L147" s="176"/>
      <c r="M147" s="177"/>
      <c r="N147" s="175"/>
      <c r="O147" s="178"/>
      <c r="P147" s="176"/>
      <c r="Q147" s="179"/>
      <c r="R147" s="180"/>
      <c r="S147" s="179"/>
      <c r="T147" s="179"/>
      <c r="U147" s="179"/>
      <c r="V147" s="179"/>
      <c r="W147" s="179"/>
      <c r="X147" s="179"/>
      <c r="Y147" s="179"/>
    </row>
    <row r="148" spans="1:25" ht="16.5" hidden="1" customHeight="1">
      <c r="A148" s="163">
        <v>622</v>
      </c>
      <c r="B148" s="3559"/>
      <c r="C148" s="3559"/>
      <c r="D148" s="3559"/>
      <c r="E148" s="3559"/>
      <c r="F148" s="3559"/>
      <c r="G148" s="3559"/>
      <c r="H148" s="3559"/>
      <c r="I148" s="3559"/>
      <c r="J148" s="164"/>
      <c r="K148" s="165"/>
      <c r="L148" s="164"/>
      <c r="M148" s="166"/>
      <c r="N148" s="165"/>
      <c r="O148" s="167"/>
      <c r="P148" s="164"/>
      <c r="Q148" s="168"/>
      <c r="R148" s="169"/>
      <c r="S148" s="170"/>
      <c r="T148" s="170"/>
      <c r="U148" s="170"/>
      <c r="V148" s="170"/>
      <c r="W148" s="170"/>
      <c r="X148" s="170"/>
      <c r="Y148" s="170"/>
    </row>
    <row r="149" spans="1:25" hidden="1">
      <c r="A149" s="171">
        <v>6221</v>
      </c>
      <c r="B149" s="172"/>
      <c r="C149" s="172"/>
      <c r="D149" s="172"/>
      <c r="E149" s="173"/>
      <c r="F149" s="185"/>
      <c r="G149" s="174"/>
      <c r="H149" s="174"/>
      <c r="I149" s="175"/>
      <c r="J149" s="176"/>
      <c r="K149" s="175"/>
      <c r="L149" s="176"/>
      <c r="M149" s="177"/>
      <c r="N149" s="175"/>
      <c r="O149" s="178"/>
      <c r="P149" s="176"/>
      <c r="Q149" s="179"/>
      <c r="R149" s="180"/>
      <c r="S149" s="179"/>
      <c r="T149" s="179"/>
      <c r="U149" s="179"/>
      <c r="V149" s="179"/>
      <c r="W149" s="179"/>
      <c r="X149" s="179"/>
      <c r="Y149" s="179"/>
    </row>
    <row r="150" spans="1:25" hidden="1">
      <c r="A150" s="171">
        <v>6222</v>
      </c>
      <c r="B150" s="172"/>
      <c r="C150" s="172"/>
      <c r="D150" s="172"/>
      <c r="E150" s="173"/>
      <c r="F150" s="185"/>
      <c r="G150" s="174"/>
      <c r="H150" s="174"/>
      <c r="I150" s="175"/>
      <c r="J150" s="176"/>
      <c r="K150" s="175"/>
      <c r="L150" s="176"/>
      <c r="M150" s="177"/>
      <c r="N150" s="175"/>
      <c r="O150" s="178"/>
      <c r="P150" s="176"/>
      <c r="Q150" s="179"/>
      <c r="R150" s="180"/>
      <c r="S150" s="179"/>
      <c r="T150" s="179"/>
      <c r="U150" s="179"/>
      <c r="V150" s="179"/>
      <c r="W150" s="179"/>
      <c r="X150" s="179"/>
      <c r="Y150" s="179"/>
    </row>
    <row r="151" spans="1:25" hidden="1">
      <c r="A151" s="181" t="s">
        <v>233</v>
      </c>
      <c r="B151" s="172"/>
      <c r="C151" s="172"/>
      <c r="D151" s="172"/>
      <c r="E151" s="173"/>
      <c r="F151" s="185"/>
      <c r="G151" s="174"/>
      <c r="H151" s="174"/>
      <c r="I151" s="175"/>
      <c r="J151" s="176"/>
      <c r="K151" s="175"/>
      <c r="L151" s="176"/>
      <c r="M151" s="177"/>
      <c r="N151" s="175"/>
      <c r="O151" s="178"/>
      <c r="P151" s="176"/>
      <c r="Q151" s="179"/>
      <c r="R151" s="180"/>
      <c r="S151" s="179"/>
      <c r="T151" s="179"/>
      <c r="U151" s="179"/>
      <c r="V151" s="179"/>
      <c r="W151" s="179"/>
      <c r="X151" s="179"/>
      <c r="Y151" s="179"/>
    </row>
    <row r="152" spans="1:25" ht="38.25" hidden="1" customHeight="1">
      <c r="A152" s="3561" t="s">
        <v>284</v>
      </c>
      <c r="B152" s="3561"/>
      <c r="C152" s="3561"/>
      <c r="D152" s="3561"/>
      <c r="E152" s="3561"/>
      <c r="F152" s="3561"/>
      <c r="G152" s="3561"/>
      <c r="H152" s="3561"/>
      <c r="I152" s="3561"/>
      <c r="J152" s="156"/>
      <c r="K152" s="156"/>
      <c r="L152" s="156"/>
      <c r="M152" s="157"/>
      <c r="N152" s="156"/>
      <c r="O152" s="158"/>
      <c r="P152" s="156"/>
      <c r="Q152" s="159"/>
      <c r="R152" s="160">
        <f>+'[3]Compil Costing PPA 3 millions'!F20</f>
        <v>129747.66</v>
      </c>
      <c r="S152" s="161"/>
      <c r="T152" s="161"/>
      <c r="U152" s="161"/>
      <c r="V152" s="157"/>
      <c r="W152" s="157"/>
      <c r="X152" s="157"/>
      <c r="Y152" s="157"/>
    </row>
    <row r="153" spans="1:25" ht="16.5" hidden="1" customHeight="1">
      <c r="A153" s="163">
        <v>631</v>
      </c>
      <c r="B153" s="3559"/>
      <c r="C153" s="3559"/>
      <c r="D153" s="3559"/>
      <c r="E153" s="3559"/>
      <c r="F153" s="3559"/>
      <c r="G153" s="3559"/>
      <c r="H153" s="3559"/>
      <c r="I153" s="3559"/>
      <c r="J153" s="164"/>
      <c r="K153" s="165"/>
      <c r="L153" s="164"/>
      <c r="M153" s="166"/>
      <c r="N153" s="165"/>
      <c r="O153" s="167"/>
      <c r="P153" s="164"/>
      <c r="Q153" s="168"/>
      <c r="R153" s="169"/>
      <c r="S153" s="170"/>
      <c r="T153" s="170"/>
      <c r="U153" s="170"/>
      <c r="V153" s="170"/>
      <c r="W153" s="170"/>
      <c r="X153" s="170"/>
      <c r="Y153" s="170"/>
    </row>
    <row r="154" spans="1:25" hidden="1">
      <c r="A154" s="171">
        <v>6311</v>
      </c>
      <c r="B154" s="172"/>
      <c r="C154" s="172"/>
      <c r="D154" s="172"/>
      <c r="E154" s="173"/>
      <c r="F154" s="185"/>
      <c r="G154" s="174"/>
      <c r="H154" s="174"/>
      <c r="I154" s="175"/>
      <c r="J154" s="176"/>
      <c r="K154" s="175"/>
      <c r="L154" s="176"/>
      <c r="M154" s="177"/>
      <c r="N154" s="175"/>
      <c r="O154" s="178"/>
      <c r="P154" s="176"/>
      <c r="Q154" s="179"/>
      <c r="R154" s="180"/>
      <c r="S154" s="179"/>
      <c r="T154" s="179"/>
      <c r="U154" s="179"/>
      <c r="V154" s="179"/>
      <c r="W154" s="179"/>
      <c r="X154" s="179"/>
      <c r="Y154" s="179"/>
    </row>
    <row r="155" spans="1:25" hidden="1">
      <c r="A155" s="171">
        <v>6312</v>
      </c>
      <c r="B155" s="172"/>
      <c r="C155" s="172"/>
      <c r="D155" s="172"/>
      <c r="E155" s="173"/>
      <c r="F155" s="185"/>
      <c r="G155" s="174"/>
      <c r="H155" s="174"/>
      <c r="I155" s="175"/>
      <c r="J155" s="176"/>
      <c r="K155" s="175"/>
      <c r="L155" s="176"/>
      <c r="M155" s="177"/>
      <c r="N155" s="175"/>
      <c r="O155" s="178"/>
      <c r="P155" s="176"/>
      <c r="Q155" s="179"/>
      <c r="R155" s="180"/>
      <c r="S155" s="179"/>
      <c r="T155" s="179"/>
      <c r="U155" s="179"/>
      <c r="V155" s="179"/>
      <c r="W155" s="179"/>
      <c r="X155" s="179"/>
      <c r="Y155" s="179"/>
    </row>
    <row r="156" spans="1:25" hidden="1">
      <c r="A156" s="171">
        <v>6313</v>
      </c>
      <c r="B156" s="172"/>
      <c r="C156" s="172"/>
      <c r="D156" s="172"/>
      <c r="E156" s="173"/>
      <c r="F156" s="185"/>
      <c r="G156" s="174"/>
      <c r="H156" s="174"/>
      <c r="I156" s="175"/>
      <c r="J156" s="176"/>
      <c r="K156" s="175"/>
      <c r="L156" s="176"/>
      <c r="M156" s="177"/>
      <c r="N156" s="175"/>
      <c r="O156" s="178"/>
      <c r="P156" s="176"/>
      <c r="Q156" s="179"/>
      <c r="R156" s="180"/>
      <c r="S156" s="179"/>
      <c r="T156" s="179"/>
      <c r="U156" s="179"/>
      <c r="V156" s="179"/>
      <c r="W156" s="179"/>
      <c r="X156" s="179"/>
      <c r="Y156" s="179"/>
    </row>
    <row r="157" spans="1:25" ht="16.5" hidden="1" customHeight="1">
      <c r="A157" s="163">
        <v>632</v>
      </c>
      <c r="B157" s="3559"/>
      <c r="C157" s="3559"/>
      <c r="D157" s="3559"/>
      <c r="E157" s="3559"/>
      <c r="F157" s="3559"/>
      <c r="G157" s="3559"/>
      <c r="H157" s="3559"/>
      <c r="I157" s="3559"/>
      <c r="J157" s="164"/>
      <c r="K157" s="165"/>
      <c r="L157" s="164"/>
      <c r="M157" s="166"/>
      <c r="N157" s="165"/>
      <c r="O157" s="167"/>
      <c r="P157" s="164"/>
      <c r="Q157" s="168"/>
      <c r="R157" s="169"/>
      <c r="S157" s="170"/>
      <c r="T157" s="170"/>
      <c r="U157" s="170"/>
      <c r="V157" s="170"/>
      <c r="W157" s="170"/>
      <c r="X157" s="170"/>
      <c r="Y157" s="170"/>
    </row>
    <row r="158" spans="1:25" hidden="1">
      <c r="A158" s="171">
        <v>6321</v>
      </c>
      <c r="B158" s="172"/>
      <c r="C158" s="172"/>
      <c r="D158" s="172"/>
      <c r="E158" s="173"/>
      <c r="F158" s="185"/>
      <c r="G158" s="174"/>
      <c r="H158" s="174"/>
      <c r="I158" s="175"/>
      <c r="J158" s="176"/>
      <c r="K158" s="175"/>
      <c r="L158" s="176"/>
      <c r="M158" s="177"/>
      <c r="N158" s="175"/>
      <c r="O158" s="178"/>
      <c r="P158" s="176"/>
      <c r="Q158" s="179"/>
      <c r="R158" s="180"/>
      <c r="S158" s="179"/>
      <c r="T158" s="179"/>
      <c r="U158" s="179"/>
      <c r="V158" s="179"/>
      <c r="W158" s="179"/>
      <c r="X158" s="179"/>
      <c r="Y158" s="179"/>
    </row>
    <row r="159" spans="1:25" hidden="1">
      <c r="A159" s="171">
        <v>6322</v>
      </c>
      <c r="B159" s="172"/>
      <c r="C159" s="172"/>
      <c r="D159" s="172"/>
      <c r="E159" s="173"/>
      <c r="F159" s="185"/>
      <c r="G159" s="174"/>
      <c r="H159" s="174"/>
      <c r="I159" s="175"/>
      <c r="J159" s="176"/>
      <c r="K159" s="175"/>
      <c r="L159" s="176"/>
      <c r="M159" s="177"/>
      <c r="N159" s="175"/>
      <c r="O159" s="178"/>
      <c r="P159" s="176"/>
      <c r="Q159" s="179"/>
      <c r="R159" s="180"/>
      <c r="S159" s="179"/>
      <c r="T159" s="179"/>
      <c r="U159" s="179"/>
      <c r="V159" s="179"/>
      <c r="W159" s="179"/>
      <c r="X159" s="179"/>
      <c r="Y159" s="179"/>
    </row>
    <row r="160" spans="1:25">
      <c r="A160" s="181" t="s">
        <v>233</v>
      </c>
      <c r="B160" s="172"/>
      <c r="C160" s="172"/>
      <c r="D160" s="172"/>
      <c r="E160" s="173"/>
      <c r="F160" s="185"/>
      <c r="G160" s="174"/>
      <c r="H160" s="174"/>
      <c r="I160" s="175"/>
      <c r="J160" s="176"/>
      <c r="K160" s="175"/>
      <c r="L160" s="176"/>
      <c r="M160" s="177"/>
      <c r="N160" s="175"/>
      <c r="O160" s="178"/>
      <c r="P160" s="176"/>
      <c r="Q160" s="179"/>
      <c r="R160" s="180"/>
      <c r="S160" s="179"/>
      <c r="T160" s="179"/>
      <c r="U160" s="179"/>
      <c r="V160" s="179"/>
      <c r="W160" s="179"/>
      <c r="X160" s="179"/>
      <c r="Y160" s="179"/>
    </row>
    <row r="161" spans="8:18">
      <c r="H161" s="224"/>
      <c r="P161" s="229" t="s">
        <v>285</v>
      </c>
      <c r="Q161" s="231">
        <f>+Q7+Q26+Q55+Q101+Q129+Q133</f>
        <v>0</v>
      </c>
      <c r="R161" s="232">
        <f>+R7+R26+R55+R101+R129+R133</f>
        <v>3000000.2229166673</v>
      </c>
    </row>
  </sheetData>
  <mergeCells count="62">
    <mergeCell ref="A2:V2"/>
    <mergeCell ref="A5:A6"/>
    <mergeCell ref="B5:B6"/>
    <mergeCell ref="C5:C6"/>
    <mergeCell ref="D5:D6"/>
    <mergeCell ref="E5:E6"/>
    <mergeCell ref="F5:G5"/>
    <mergeCell ref="H5:H6"/>
    <mergeCell ref="I5:J5"/>
    <mergeCell ref="K5:K6"/>
    <mergeCell ref="L5:L6"/>
    <mergeCell ref="M5:M6"/>
    <mergeCell ref="R5:R6"/>
    <mergeCell ref="S5:Y5"/>
    <mergeCell ref="P5:P6"/>
    <mergeCell ref="Q5:Q6"/>
    <mergeCell ref="A55:I55"/>
    <mergeCell ref="B32:I32"/>
    <mergeCell ref="N5:N6"/>
    <mergeCell ref="O5:O6"/>
    <mergeCell ref="A26:I26"/>
    <mergeCell ref="B28:I28"/>
    <mergeCell ref="A8:I8"/>
    <mergeCell ref="B18:I18"/>
    <mergeCell ref="B22:I22"/>
    <mergeCell ref="A17:I17"/>
    <mergeCell ref="B9:I9"/>
    <mergeCell ref="B13:I13"/>
    <mergeCell ref="A27:I27"/>
    <mergeCell ref="B42:I42"/>
    <mergeCell ref="A46:I46"/>
    <mergeCell ref="B47:I47"/>
    <mergeCell ref="A130:I130"/>
    <mergeCell ref="A56:I56"/>
    <mergeCell ref="A92:I92"/>
    <mergeCell ref="B93:I93"/>
    <mergeCell ref="B97:I97"/>
    <mergeCell ref="A101:I101"/>
    <mergeCell ref="A36:I36"/>
    <mergeCell ref="B37:I37"/>
    <mergeCell ref="B148:I148"/>
    <mergeCell ref="A152:I152"/>
    <mergeCell ref="B131:I131"/>
    <mergeCell ref="A102:I102"/>
    <mergeCell ref="B103:I103"/>
    <mergeCell ref="B107:I107"/>
    <mergeCell ref="A111:I111"/>
    <mergeCell ref="B112:I112"/>
    <mergeCell ref="B116:I116"/>
    <mergeCell ref="A120:I120"/>
    <mergeCell ref="B121:I121"/>
    <mergeCell ref="B125:I125"/>
    <mergeCell ref="A129:I129"/>
    <mergeCell ref="B51:I51"/>
    <mergeCell ref="B153:I153"/>
    <mergeCell ref="B157:I157"/>
    <mergeCell ref="A133:I133"/>
    <mergeCell ref="A134:I134"/>
    <mergeCell ref="B135:I135"/>
    <mergeCell ref="B139:I139"/>
    <mergeCell ref="A143:I143"/>
    <mergeCell ref="B144:I14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C000"/>
  </sheetPr>
  <dimension ref="A1:Z26"/>
  <sheetViews>
    <sheetView topLeftCell="G7" zoomScale="84" zoomScaleNormal="84" workbookViewId="0">
      <selection activeCell="AA9" sqref="AA9"/>
    </sheetView>
  </sheetViews>
  <sheetFormatPr baseColWidth="10" defaultColWidth="11.42578125" defaultRowHeight="15.75"/>
  <cols>
    <col min="1" max="1" width="7.28515625" style="336" customWidth="1"/>
    <col min="2" max="2" width="41.42578125" style="337" customWidth="1"/>
    <col min="3" max="3" width="39.140625" style="337" customWidth="1"/>
    <col min="4" max="4" width="9.5703125" style="337" customWidth="1"/>
    <col min="5" max="5" width="13.140625" style="338" customWidth="1"/>
    <col min="6" max="6" width="16.28515625" style="339" customWidth="1"/>
    <col min="7" max="7" width="11.140625" style="340" bestFit="1" customWidth="1"/>
    <col min="8" max="8" width="15.28515625" style="340" customWidth="1"/>
    <col min="9" max="9" width="14" style="341" bestFit="1" customWidth="1"/>
    <col min="10" max="10" width="13.85546875" style="342" customWidth="1"/>
    <col min="11" max="11" width="28.140625" style="341" customWidth="1"/>
    <col min="12" max="12" width="13.85546875" style="367" customWidth="1"/>
    <col min="13" max="13" width="13.85546875" style="280" customWidth="1"/>
    <col min="14" max="14" width="13.85546875" style="341" customWidth="1"/>
    <col min="15" max="15" width="15.42578125" style="343" customWidth="1"/>
    <col min="16" max="16" width="14" style="342" customWidth="1"/>
    <col min="17" max="17" width="16.7109375" style="315" customWidth="1"/>
    <col min="18" max="18" width="17" style="344" bestFit="1" customWidth="1"/>
    <col min="19" max="19" width="10.42578125" style="315" customWidth="1"/>
    <col min="20" max="20" width="12.42578125" style="315" customWidth="1"/>
    <col min="21" max="21" width="10.42578125" style="315" customWidth="1"/>
    <col min="22" max="22" width="13.28515625" style="315" customWidth="1"/>
    <col min="23" max="23" width="12.28515625" style="315" customWidth="1"/>
    <col min="24" max="25" width="10.42578125" style="315" customWidth="1"/>
    <col min="26" max="26" width="16.5703125" style="280" customWidth="1"/>
    <col min="27" max="16384" width="11.42578125" style="280"/>
  </cols>
  <sheetData>
    <row r="1" spans="1:26" s="238" customFormat="1">
      <c r="A1" s="234"/>
      <c r="B1" s="235"/>
      <c r="C1" s="235"/>
      <c r="D1" s="235"/>
      <c r="E1" s="236"/>
      <c r="F1" s="237"/>
      <c r="G1" s="237"/>
      <c r="H1" s="237"/>
      <c r="I1" s="237"/>
      <c r="J1" s="237"/>
      <c r="K1" s="237"/>
      <c r="L1" s="346"/>
      <c r="N1" s="237"/>
      <c r="O1" s="239"/>
      <c r="P1" s="237"/>
      <c r="Q1" s="240"/>
      <c r="R1" s="241"/>
      <c r="S1" s="239"/>
      <c r="T1" s="239"/>
      <c r="U1" s="239"/>
      <c r="V1" s="239"/>
      <c r="W1" s="239"/>
      <c r="X1" s="239"/>
      <c r="Y1" s="239"/>
    </row>
    <row r="2" spans="1:26" s="238" customFormat="1" ht="22.5">
      <c r="A2" s="3443" t="s">
        <v>202</v>
      </c>
      <c r="B2" s="3443"/>
      <c r="C2" s="3443"/>
      <c r="D2" s="3443"/>
      <c r="E2" s="3443"/>
      <c r="F2" s="3443"/>
      <c r="G2" s="3443"/>
      <c r="H2" s="3443"/>
      <c r="I2" s="3443"/>
      <c r="J2" s="3443"/>
      <c r="K2" s="3443"/>
      <c r="L2" s="3443"/>
      <c r="M2" s="3443"/>
      <c r="N2" s="3443"/>
      <c r="O2" s="3443"/>
      <c r="P2" s="3443"/>
      <c r="Q2" s="3443"/>
      <c r="R2" s="3443"/>
      <c r="S2" s="3443"/>
      <c r="T2" s="3443"/>
      <c r="U2" s="3443"/>
      <c r="V2" s="3443"/>
    </row>
    <row r="3" spans="1:26" s="249" customFormat="1" ht="22.5">
      <c r="A3" s="244"/>
      <c r="B3" s="244"/>
      <c r="C3" s="244"/>
      <c r="D3" s="244"/>
      <c r="E3" s="245"/>
      <c r="F3" s="244"/>
      <c r="G3" s="244"/>
      <c r="H3" s="244"/>
      <c r="I3" s="245"/>
      <c r="J3" s="245"/>
      <c r="K3" s="245"/>
      <c r="L3" s="347"/>
      <c r="M3" s="244"/>
      <c r="N3" s="245"/>
      <c r="O3" s="246"/>
      <c r="P3" s="245"/>
      <c r="Q3" s="247"/>
      <c r="R3" s="248"/>
      <c r="S3" s="244"/>
      <c r="T3" s="244"/>
      <c r="U3" s="244"/>
      <c r="V3" s="244"/>
    </row>
    <row r="4" spans="1:26" s="255" customFormat="1" ht="15">
      <c r="A4" s="251"/>
      <c r="B4" s="252"/>
      <c r="C4" s="252"/>
      <c r="D4" s="252"/>
      <c r="E4" s="253"/>
      <c r="F4" s="254"/>
      <c r="G4" s="254"/>
      <c r="H4" s="254"/>
      <c r="I4" s="254"/>
      <c r="J4" s="254"/>
      <c r="K4" s="254"/>
      <c r="L4" s="348"/>
      <c r="N4" s="254"/>
      <c r="O4" s="256"/>
      <c r="P4" s="254"/>
      <c r="Q4" s="257"/>
      <c r="R4" s="258"/>
      <c r="S4" s="256"/>
      <c r="T4" s="256"/>
      <c r="U4" s="256"/>
      <c r="V4" s="256"/>
      <c r="W4" s="256"/>
      <c r="X4" s="256"/>
      <c r="Y4" s="256"/>
    </row>
    <row r="5" spans="1:26" s="238" customFormat="1">
      <c r="A5" s="3466" t="s">
        <v>203</v>
      </c>
      <c r="B5" s="3462" t="s">
        <v>204</v>
      </c>
      <c r="C5" s="3462" t="s">
        <v>205</v>
      </c>
      <c r="D5" s="3464" t="s">
        <v>206</v>
      </c>
      <c r="E5" s="3467" t="s">
        <v>207</v>
      </c>
      <c r="F5" s="3468" t="s">
        <v>208</v>
      </c>
      <c r="G5" s="3468"/>
      <c r="H5" s="3468" t="s">
        <v>209</v>
      </c>
      <c r="I5" s="3469" t="s">
        <v>210</v>
      </c>
      <c r="J5" s="3469"/>
      <c r="K5" s="3470" t="s">
        <v>211</v>
      </c>
      <c r="L5" s="3462" t="s">
        <v>212</v>
      </c>
      <c r="M5" s="3463" t="s">
        <v>213</v>
      </c>
      <c r="N5" s="3464" t="s">
        <v>214</v>
      </c>
      <c r="O5" s="3465" t="s">
        <v>215</v>
      </c>
      <c r="P5" s="3462" t="s">
        <v>216</v>
      </c>
      <c r="Q5" s="3465" t="s">
        <v>286</v>
      </c>
      <c r="R5" s="3471" t="s">
        <v>287</v>
      </c>
      <c r="S5" s="3472" t="s">
        <v>219</v>
      </c>
      <c r="T5" s="3472"/>
      <c r="U5" s="3472"/>
      <c r="V5" s="3472"/>
      <c r="W5" s="3472"/>
      <c r="X5" s="3472"/>
      <c r="Y5" s="3472"/>
    </row>
    <row r="6" spans="1:26" s="237" customFormat="1" ht="78.75">
      <c r="A6" s="3466"/>
      <c r="B6" s="3462"/>
      <c r="C6" s="3462"/>
      <c r="D6" s="3442"/>
      <c r="E6" s="3446"/>
      <c r="F6" s="260" t="s">
        <v>220</v>
      </c>
      <c r="G6" s="261" t="s">
        <v>221</v>
      </c>
      <c r="H6" s="3468"/>
      <c r="I6" s="262" t="s">
        <v>222</v>
      </c>
      <c r="J6" s="262" t="s">
        <v>288</v>
      </c>
      <c r="K6" s="3450"/>
      <c r="L6" s="3462"/>
      <c r="M6" s="3463"/>
      <c r="N6" s="3442"/>
      <c r="O6" s="3465"/>
      <c r="P6" s="3462"/>
      <c r="Q6" s="3465"/>
      <c r="R6" s="3471"/>
      <c r="S6" s="263" t="s">
        <v>224</v>
      </c>
      <c r="T6" s="263" t="s">
        <v>225</v>
      </c>
      <c r="U6" s="263" t="s">
        <v>226</v>
      </c>
      <c r="V6" s="263" t="s">
        <v>227</v>
      </c>
      <c r="W6" s="263" t="s">
        <v>228</v>
      </c>
      <c r="X6" s="263" t="s">
        <v>229</v>
      </c>
      <c r="Y6" s="263" t="s">
        <v>230</v>
      </c>
    </row>
    <row r="7" spans="1:26" s="272" customFormat="1" ht="16.5">
      <c r="A7" s="3458" t="s">
        <v>275</v>
      </c>
      <c r="B7" s="3458"/>
      <c r="C7" s="3458"/>
      <c r="D7" s="3458"/>
      <c r="E7" s="3458"/>
      <c r="F7" s="3458"/>
      <c r="G7" s="3458"/>
      <c r="H7" s="3458"/>
      <c r="I7" s="3458"/>
      <c r="J7" s="265"/>
      <c r="K7" s="265"/>
      <c r="L7" s="349"/>
      <c r="M7" s="266"/>
      <c r="N7" s="265"/>
      <c r="O7" s="267"/>
      <c r="P7" s="265"/>
      <c r="Q7" s="268"/>
      <c r="R7" s="269"/>
      <c r="S7" s="270"/>
      <c r="T7" s="270"/>
      <c r="U7" s="270"/>
      <c r="V7" s="270"/>
      <c r="W7" s="270"/>
      <c r="X7" s="270"/>
      <c r="Y7" s="270"/>
    </row>
    <row r="8" spans="1:26">
      <c r="A8" s="3457" t="s">
        <v>278</v>
      </c>
      <c r="B8" s="3457"/>
      <c r="C8" s="3457"/>
      <c r="D8" s="3457"/>
      <c r="E8" s="3457"/>
      <c r="F8" s="3457"/>
      <c r="G8" s="3457"/>
      <c r="H8" s="3457"/>
      <c r="I8" s="3457"/>
      <c r="J8" s="273"/>
      <c r="K8" s="273"/>
      <c r="L8" s="350"/>
      <c r="M8" s="274"/>
      <c r="N8" s="273"/>
      <c r="O8" s="275"/>
      <c r="P8" s="273"/>
      <c r="Q8" s="276">
        <f>Q9+Q13</f>
        <v>108838</v>
      </c>
      <c r="R8" s="277">
        <f>+'[18]Compil Costing PPA 3 millions'!F17</f>
        <v>108845.33</v>
      </c>
      <c r="S8" s="521"/>
      <c r="T8" s="278"/>
      <c r="U8" s="278"/>
      <c r="V8" s="274"/>
      <c r="W8" s="274"/>
      <c r="X8" s="274"/>
      <c r="Y8" s="274"/>
      <c r="Z8" s="280">
        <f>SUM(Z10:Z24)</f>
        <v>108838</v>
      </c>
    </row>
    <row r="9" spans="1:26">
      <c r="A9" s="281">
        <v>431</v>
      </c>
      <c r="B9" s="3456" t="s">
        <v>369</v>
      </c>
      <c r="C9" s="3456"/>
      <c r="D9" s="3456"/>
      <c r="E9" s="3456"/>
      <c r="F9" s="3456"/>
      <c r="G9" s="3456"/>
      <c r="H9" s="3456"/>
      <c r="I9" s="3456"/>
      <c r="J9" s="282"/>
      <c r="K9" s="283"/>
      <c r="L9" s="351"/>
      <c r="M9" s="284"/>
      <c r="N9" s="283"/>
      <c r="O9" s="285"/>
      <c r="P9" s="282"/>
      <c r="Q9" s="286">
        <f>SUM(Q10:Q12)</f>
        <v>9674</v>
      </c>
      <c r="R9" s="287"/>
      <c r="S9" s="288"/>
      <c r="T9" s="288"/>
      <c r="U9" s="288"/>
      <c r="V9" s="288"/>
      <c r="W9" s="288"/>
      <c r="X9" s="288"/>
      <c r="Y9" s="288"/>
    </row>
    <row r="10" spans="1:26" s="357" customFormat="1" ht="78.75">
      <c r="A10" s="290">
        <v>4311</v>
      </c>
      <c r="B10" s="352" t="s">
        <v>370</v>
      </c>
      <c r="C10" s="291" t="s">
        <v>371</v>
      </c>
      <c r="D10" s="291"/>
      <c r="E10" s="307">
        <f>3+30</f>
        <v>33</v>
      </c>
      <c r="F10" s="306">
        <f>G10-E10</f>
        <v>43184</v>
      </c>
      <c r="G10" s="293">
        <v>43217</v>
      </c>
      <c r="H10" s="293" t="s">
        <v>372</v>
      </c>
      <c r="I10" s="294" t="s">
        <v>169</v>
      </c>
      <c r="J10" s="307" t="s">
        <v>373</v>
      </c>
      <c r="K10" s="294" t="s">
        <v>374</v>
      </c>
      <c r="L10" s="353">
        <v>23173</v>
      </c>
      <c r="M10" s="326"/>
      <c r="N10" s="294"/>
      <c r="O10" s="354">
        <v>214</v>
      </c>
      <c r="P10" s="294">
        <v>1</v>
      </c>
      <c r="Q10" s="355">
        <f>O10*P10</f>
        <v>214</v>
      </c>
      <c r="R10" s="299"/>
      <c r="S10" s="355"/>
      <c r="T10" s="299">
        <f>100%*Q10</f>
        <v>214</v>
      </c>
      <c r="U10" s="355"/>
      <c r="V10" s="355"/>
      <c r="W10" s="355"/>
      <c r="X10" s="355"/>
      <c r="Y10" s="355"/>
      <c r="Z10" s="356">
        <f>SUM(S10:Y10)</f>
        <v>214</v>
      </c>
    </row>
    <row r="11" spans="1:26" s="357" customFormat="1" ht="78.75">
      <c r="A11" s="290">
        <v>4311</v>
      </c>
      <c r="B11" s="352" t="s">
        <v>370</v>
      </c>
      <c r="C11" s="291" t="s">
        <v>371</v>
      </c>
      <c r="D11" s="291"/>
      <c r="E11" s="307">
        <v>3</v>
      </c>
      <c r="F11" s="306">
        <f>G11-E11</f>
        <v>43214</v>
      </c>
      <c r="G11" s="293">
        <v>43217</v>
      </c>
      <c r="H11" s="293" t="s">
        <v>372</v>
      </c>
      <c r="I11" s="294" t="s">
        <v>180</v>
      </c>
      <c r="J11" s="307" t="s">
        <v>373</v>
      </c>
      <c r="K11" s="307" t="s">
        <v>375</v>
      </c>
      <c r="L11" s="353">
        <v>23174</v>
      </c>
      <c r="M11" s="326"/>
      <c r="N11" s="294"/>
      <c r="O11" s="354">
        <v>215</v>
      </c>
      <c r="P11" s="294">
        <v>44</v>
      </c>
      <c r="Q11" s="355">
        <f>O11*P11</f>
        <v>9460</v>
      </c>
      <c r="R11" s="299"/>
      <c r="S11" s="355"/>
      <c r="T11" s="299">
        <f>100%*Q11</f>
        <v>9460</v>
      </c>
      <c r="U11" s="355"/>
      <c r="V11" s="355"/>
      <c r="W11" s="355"/>
      <c r="X11" s="355"/>
      <c r="Y11" s="355"/>
      <c r="Z11" s="356">
        <f t="shared" ref="Z11:Z24" si="0">SUM(S11:Y11)</f>
        <v>9460</v>
      </c>
    </row>
    <row r="12" spans="1:26" s="357" customFormat="1">
      <c r="A12" s="290">
        <v>4312</v>
      </c>
      <c r="B12" s="291"/>
      <c r="C12" s="291"/>
      <c r="D12" s="291"/>
      <c r="E12" s="307"/>
      <c r="F12" s="306"/>
      <c r="G12" s="293"/>
      <c r="H12" s="293"/>
      <c r="I12" s="294"/>
      <c r="J12" s="294"/>
      <c r="K12" s="294"/>
      <c r="L12" s="353"/>
      <c r="M12" s="326"/>
      <c r="N12" s="294"/>
      <c r="O12" s="354"/>
      <c r="P12" s="294"/>
      <c r="Q12" s="355"/>
      <c r="R12" s="299"/>
      <c r="S12" s="355"/>
      <c r="T12" s="355"/>
      <c r="U12" s="355"/>
      <c r="V12" s="355"/>
      <c r="W12" s="355"/>
      <c r="X12" s="355"/>
      <c r="Y12" s="355"/>
      <c r="Z12" s="356">
        <f t="shared" si="0"/>
        <v>0</v>
      </c>
    </row>
    <row r="13" spans="1:26" s="357" customFormat="1">
      <c r="A13" s="281">
        <v>432</v>
      </c>
      <c r="B13" s="3575" t="s">
        <v>376</v>
      </c>
      <c r="C13" s="3575"/>
      <c r="D13" s="3575"/>
      <c r="E13" s="3575"/>
      <c r="F13" s="3575"/>
      <c r="G13" s="3575"/>
      <c r="H13" s="3575"/>
      <c r="I13" s="3575"/>
      <c r="J13" s="283"/>
      <c r="K13" s="283"/>
      <c r="L13" s="358"/>
      <c r="M13" s="359"/>
      <c r="N13" s="283"/>
      <c r="O13" s="360"/>
      <c r="P13" s="283"/>
      <c r="Q13" s="361">
        <f>SUM(Q14:Q24)</f>
        <v>99164</v>
      </c>
      <c r="R13" s="287"/>
      <c r="S13" s="362"/>
      <c r="T13" s="362"/>
      <c r="U13" s="362"/>
      <c r="V13" s="362"/>
      <c r="W13" s="362"/>
      <c r="X13" s="362"/>
      <c r="Y13" s="362"/>
      <c r="Z13" s="356">
        <f t="shared" si="0"/>
        <v>0</v>
      </c>
    </row>
    <row r="14" spans="1:26" s="357" customFormat="1" ht="31.5">
      <c r="A14" s="290">
        <v>4321</v>
      </c>
      <c r="B14" s="352" t="s">
        <v>377</v>
      </c>
      <c r="C14" s="363" t="s">
        <v>378</v>
      </c>
      <c r="D14" s="291"/>
      <c r="E14" s="307">
        <f>60+15</f>
        <v>75</v>
      </c>
      <c r="F14" s="306">
        <f t="shared" ref="F14:F24" si="1">G14-E14</f>
        <v>43188</v>
      </c>
      <c r="G14" s="293">
        <v>43263</v>
      </c>
      <c r="H14" s="293"/>
      <c r="I14" s="294" t="s">
        <v>169</v>
      </c>
      <c r="J14" s="307" t="s">
        <v>180</v>
      </c>
      <c r="K14" s="294" t="s">
        <v>365</v>
      </c>
      <c r="L14" s="353">
        <v>2313</v>
      </c>
      <c r="M14" s="326"/>
      <c r="N14" s="294"/>
      <c r="O14" s="354">
        <v>11250</v>
      </c>
      <c r="P14" s="294">
        <v>1</v>
      </c>
      <c r="Q14" s="355">
        <f>O14*P14</f>
        <v>11250</v>
      </c>
      <c r="R14" s="299"/>
      <c r="S14" s="299"/>
      <c r="T14" s="299"/>
      <c r="U14" s="299">
        <f>20%*Q14</f>
        <v>2250</v>
      </c>
      <c r="V14" s="299">
        <f>40%*Q14</f>
        <v>4500</v>
      </c>
      <c r="W14" s="299">
        <f>40%*Q14</f>
        <v>4500</v>
      </c>
      <c r="X14" s="299"/>
      <c r="Y14" s="299"/>
      <c r="Z14" s="356">
        <f t="shared" si="0"/>
        <v>11250</v>
      </c>
    </row>
    <row r="15" spans="1:26" s="357" customFormat="1" ht="31.5">
      <c r="A15" s="290">
        <v>4322</v>
      </c>
      <c r="B15" s="352" t="s">
        <v>379</v>
      </c>
      <c r="C15" s="364" t="s">
        <v>380</v>
      </c>
      <c r="D15" s="291"/>
      <c r="E15" s="307">
        <v>20</v>
      </c>
      <c r="F15" s="306">
        <f t="shared" si="1"/>
        <v>43266</v>
      </c>
      <c r="G15" s="293">
        <v>43286</v>
      </c>
      <c r="H15" s="293" t="s">
        <v>372</v>
      </c>
      <c r="I15" s="294" t="s">
        <v>169</v>
      </c>
      <c r="J15" s="307" t="s">
        <v>180</v>
      </c>
      <c r="K15" s="294" t="s">
        <v>365</v>
      </c>
      <c r="L15" s="353">
        <v>2313</v>
      </c>
      <c r="M15" s="326"/>
      <c r="N15" s="294"/>
      <c r="O15" s="354">
        <v>94</v>
      </c>
      <c r="P15" s="294">
        <v>60</v>
      </c>
      <c r="Q15" s="355">
        <f t="shared" ref="Q15:Q24" si="2">O15*P15</f>
        <v>5640</v>
      </c>
      <c r="R15" s="299"/>
      <c r="S15" s="299"/>
      <c r="T15" s="299"/>
      <c r="U15" s="299"/>
      <c r="V15" s="299">
        <f>100%*Q15</f>
        <v>5640</v>
      </c>
      <c r="W15" s="299"/>
      <c r="X15" s="299"/>
      <c r="Y15" s="299"/>
      <c r="Z15" s="356">
        <f t="shared" si="0"/>
        <v>5640</v>
      </c>
    </row>
    <row r="16" spans="1:26" s="357" customFormat="1" ht="31.5">
      <c r="A16" s="290">
        <v>4323</v>
      </c>
      <c r="B16" s="352" t="s">
        <v>381</v>
      </c>
      <c r="C16" s="364" t="s">
        <v>382</v>
      </c>
      <c r="D16" s="291"/>
      <c r="E16" s="307">
        <v>3</v>
      </c>
      <c r="F16" s="306">
        <f t="shared" si="1"/>
        <v>43293</v>
      </c>
      <c r="G16" s="293">
        <v>43296</v>
      </c>
      <c r="H16" s="293" t="s">
        <v>372</v>
      </c>
      <c r="I16" s="294" t="s">
        <v>180</v>
      </c>
      <c r="J16" s="294"/>
      <c r="K16" s="294" t="s">
        <v>383</v>
      </c>
      <c r="L16" s="353">
        <v>23174</v>
      </c>
      <c r="M16" s="326"/>
      <c r="N16" s="294"/>
      <c r="O16" s="354">
        <v>142</v>
      </c>
      <c r="P16" s="294">
        <v>144</v>
      </c>
      <c r="Q16" s="355">
        <f>O16*P16</f>
        <v>20448</v>
      </c>
      <c r="R16" s="299"/>
      <c r="S16" s="299"/>
      <c r="T16" s="299"/>
      <c r="U16" s="299"/>
      <c r="V16" s="299"/>
      <c r="W16" s="299">
        <f>100%*Q16</f>
        <v>20448</v>
      </c>
      <c r="X16" s="299"/>
      <c r="Y16" s="299"/>
      <c r="Z16" s="356">
        <f t="shared" si="0"/>
        <v>20448</v>
      </c>
    </row>
    <row r="17" spans="1:26" s="357" customFormat="1" ht="31.5">
      <c r="A17" s="290">
        <v>4323</v>
      </c>
      <c r="B17" s="352" t="s">
        <v>381</v>
      </c>
      <c r="C17" s="364" t="s">
        <v>382</v>
      </c>
      <c r="D17" s="291"/>
      <c r="E17" s="307">
        <f>3+30</f>
        <v>33</v>
      </c>
      <c r="F17" s="306">
        <f t="shared" si="1"/>
        <v>43263</v>
      </c>
      <c r="G17" s="293">
        <v>43296</v>
      </c>
      <c r="H17" s="293" t="s">
        <v>372</v>
      </c>
      <c r="I17" s="294" t="s">
        <v>169</v>
      </c>
      <c r="J17" s="294"/>
      <c r="K17" s="294" t="s">
        <v>384</v>
      </c>
      <c r="L17" s="353">
        <v>23173</v>
      </c>
      <c r="M17" s="326"/>
      <c r="N17" s="294"/>
      <c r="O17" s="354">
        <v>147</v>
      </c>
      <c r="P17" s="294">
        <v>6</v>
      </c>
      <c r="Q17" s="355">
        <f>O17*P17</f>
        <v>882</v>
      </c>
      <c r="R17" s="299"/>
      <c r="S17" s="299"/>
      <c r="T17" s="299"/>
      <c r="U17" s="299"/>
      <c r="V17" s="299"/>
      <c r="W17" s="299">
        <f>100%*Q17</f>
        <v>882</v>
      </c>
      <c r="X17" s="299"/>
      <c r="Y17" s="299"/>
      <c r="Z17" s="356">
        <f t="shared" si="0"/>
        <v>882</v>
      </c>
    </row>
    <row r="18" spans="1:26" s="357" customFormat="1" ht="63">
      <c r="A18" s="290">
        <v>4324</v>
      </c>
      <c r="B18" s="352" t="s">
        <v>385</v>
      </c>
      <c r="C18" s="365" t="s">
        <v>386</v>
      </c>
      <c r="D18" s="291"/>
      <c r="E18" s="307">
        <v>10</v>
      </c>
      <c r="F18" s="306">
        <f t="shared" si="1"/>
        <v>43256</v>
      </c>
      <c r="G18" s="293">
        <v>43266</v>
      </c>
      <c r="H18" s="293" t="s">
        <v>372</v>
      </c>
      <c r="I18" s="294" t="s">
        <v>180</v>
      </c>
      <c r="J18" s="307" t="s">
        <v>387</v>
      </c>
      <c r="K18" s="294"/>
      <c r="L18" s="353"/>
      <c r="M18" s="326"/>
      <c r="N18" s="294"/>
      <c r="O18" s="354"/>
      <c r="P18" s="294"/>
      <c r="Q18" s="355">
        <f t="shared" si="2"/>
        <v>0</v>
      </c>
      <c r="R18" s="299"/>
      <c r="S18" s="299"/>
      <c r="T18" s="299"/>
      <c r="U18" s="299"/>
      <c r="V18" s="299"/>
      <c r="W18" s="299"/>
      <c r="X18" s="299"/>
      <c r="Y18" s="299"/>
      <c r="Z18" s="356">
        <f t="shared" si="0"/>
        <v>0</v>
      </c>
    </row>
    <row r="19" spans="1:26" s="357" customFormat="1">
      <c r="A19" s="290">
        <v>43241</v>
      </c>
      <c r="B19" s="352" t="s">
        <v>388</v>
      </c>
      <c r="C19" s="326" t="s">
        <v>389</v>
      </c>
      <c r="D19" s="291"/>
      <c r="E19" s="307">
        <f>10+45</f>
        <v>55</v>
      </c>
      <c r="F19" s="306">
        <f t="shared" si="1"/>
        <v>43211</v>
      </c>
      <c r="G19" s="293">
        <v>43266</v>
      </c>
      <c r="H19" s="293" t="s">
        <v>390</v>
      </c>
      <c r="I19" s="294" t="s">
        <v>169</v>
      </c>
      <c r="J19" s="294"/>
      <c r="K19" s="294" t="s">
        <v>391</v>
      </c>
      <c r="L19" s="353">
        <v>23174</v>
      </c>
      <c r="M19" s="326"/>
      <c r="N19" s="294"/>
      <c r="O19" s="354">
        <v>469</v>
      </c>
      <c r="P19" s="294">
        <v>22</v>
      </c>
      <c r="Q19" s="355">
        <f t="shared" si="2"/>
        <v>10318</v>
      </c>
      <c r="R19" s="299"/>
      <c r="S19" s="299"/>
      <c r="T19" s="299"/>
      <c r="U19" s="299"/>
      <c r="V19" s="299">
        <f t="shared" ref="V19:V24" si="3">100%*Q19</f>
        <v>10318</v>
      </c>
      <c r="W19" s="299"/>
      <c r="X19" s="299"/>
      <c r="Y19" s="299"/>
      <c r="Z19" s="356">
        <f t="shared" si="0"/>
        <v>10318</v>
      </c>
    </row>
    <row r="20" spans="1:26" s="357" customFormat="1" ht="31.5">
      <c r="A20" s="290">
        <v>43242</v>
      </c>
      <c r="B20" s="366" t="s">
        <v>392</v>
      </c>
      <c r="C20" s="365" t="s">
        <v>393</v>
      </c>
      <c r="D20" s="291"/>
      <c r="E20" s="307">
        <f>10+45</f>
        <v>55</v>
      </c>
      <c r="F20" s="306">
        <f t="shared" si="1"/>
        <v>43211</v>
      </c>
      <c r="G20" s="293">
        <v>43266</v>
      </c>
      <c r="H20" s="293" t="s">
        <v>390</v>
      </c>
      <c r="I20" s="294" t="s">
        <v>169</v>
      </c>
      <c r="J20" s="294"/>
      <c r="K20" s="294" t="s">
        <v>391</v>
      </c>
      <c r="L20" s="353">
        <v>23174</v>
      </c>
      <c r="M20" s="326"/>
      <c r="N20" s="294"/>
      <c r="O20" s="354">
        <v>313</v>
      </c>
      <c r="P20" s="294">
        <v>22</v>
      </c>
      <c r="Q20" s="355">
        <f t="shared" si="2"/>
        <v>6886</v>
      </c>
      <c r="R20" s="299"/>
      <c r="S20" s="299"/>
      <c r="T20" s="299"/>
      <c r="U20" s="299"/>
      <c r="V20" s="299">
        <f t="shared" si="3"/>
        <v>6886</v>
      </c>
      <c r="W20" s="299"/>
      <c r="X20" s="299"/>
      <c r="Y20" s="299"/>
      <c r="Z20" s="356">
        <f t="shared" si="0"/>
        <v>6886</v>
      </c>
    </row>
    <row r="21" spans="1:26" s="357" customFormat="1" ht="30">
      <c r="A21" s="290">
        <v>43243</v>
      </c>
      <c r="B21" s="352" t="s">
        <v>394</v>
      </c>
      <c r="C21" s="291" t="s">
        <v>395</v>
      </c>
      <c r="D21" s="291"/>
      <c r="E21" s="307">
        <v>10</v>
      </c>
      <c r="F21" s="306">
        <f t="shared" si="1"/>
        <v>43256</v>
      </c>
      <c r="G21" s="293">
        <v>43266</v>
      </c>
      <c r="H21" s="293" t="s">
        <v>396</v>
      </c>
      <c r="I21" s="294" t="s">
        <v>180</v>
      </c>
      <c r="J21" s="294"/>
      <c r="K21" s="294" t="s">
        <v>397</v>
      </c>
      <c r="L21" s="353">
        <v>23174</v>
      </c>
      <c r="M21" s="326"/>
      <c r="N21" s="294"/>
      <c r="O21" s="354">
        <v>240</v>
      </c>
      <c r="P21" s="294">
        <v>88</v>
      </c>
      <c r="Q21" s="355">
        <f t="shared" si="2"/>
        <v>21120</v>
      </c>
      <c r="R21" s="299"/>
      <c r="S21" s="299"/>
      <c r="T21" s="299"/>
      <c r="U21" s="299"/>
      <c r="V21" s="299">
        <f t="shared" si="3"/>
        <v>21120</v>
      </c>
      <c r="W21" s="299"/>
      <c r="X21" s="299"/>
      <c r="Y21" s="299"/>
      <c r="Z21" s="356">
        <f t="shared" si="0"/>
        <v>21120</v>
      </c>
    </row>
    <row r="22" spans="1:26" s="357" customFormat="1" ht="31.5">
      <c r="A22" s="290">
        <v>43244</v>
      </c>
      <c r="B22" s="352" t="s">
        <v>398</v>
      </c>
      <c r="C22" s="291" t="s">
        <v>399</v>
      </c>
      <c r="D22" s="291"/>
      <c r="E22" s="307">
        <f>10+45</f>
        <v>55</v>
      </c>
      <c r="F22" s="306">
        <f t="shared" si="1"/>
        <v>43211</v>
      </c>
      <c r="G22" s="293">
        <v>43266</v>
      </c>
      <c r="H22" s="293" t="s">
        <v>390</v>
      </c>
      <c r="I22" s="294" t="s">
        <v>169</v>
      </c>
      <c r="J22" s="294"/>
      <c r="K22" s="294" t="s">
        <v>384</v>
      </c>
      <c r="L22" s="353">
        <v>23173</v>
      </c>
      <c r="M22" s="326"/>
      <c r="N22" s="294"/>
      <c r="O22" s="354">
        <v>313</v>
      </c>
      <c r="P22" s="294">
        <v>22</v>
      </c>
      <c r="Q22" s="355">
        <f t="shared" si="2"/>
        <v>6886</v>
      </c>
      <c r="R22" s="299"/>
      <c r="S22" s="299"/>
      <c r="T22" s="299"/>
      <c r="U22" s="299"/>
      <c r="V22" s="299">
        <f t="shared" si="3"/>
        <v>6886</v>
      </c>
      <c r="W22" s="299"/>
      <c r="X22" s="299"/>
      <c r="Y22" s="299"/>
      <c r="Z22" s="356">
        <f t="shared" si="0"/>
        <v>6886</v>
      </c>
    </row>
    <row r="23" spans="1:26" s="357" customFormat="1" ht="110.25">
      <c r="A23" s="290">
        <v>43245</v>
      </c>
      <c r="B23" s="352" t="s">
        <v>400</v>
      </c>
      <c r="C23" s="291" t="s">
        <v>401</v>
      </c>
      <c r="D23" s="291"/>
      <c r="E23" s="307">
        <f>45+10</f>
        <v>55</v>
      </c>
      <c r="F23" s="306">
        <f t="shared" si="1"/>
        <v>43211</v>
      </c>
      <c r="G23" s="293">
        <v>43266</v>
      </c>
      <c r="H23" s="293" t="s">
        <v>390</v>
      </c>
      <c r="I23" s="294" t="s">
        <v>169</v>
      </c>
      <c r="J23" s="294"/>
      <c r="K23" s="294" t="s">
        <v>384</v>
      </c>
      <c r="L23" s="353">
        <v>23173</v>
      </c>
      <c r="M23" s="326"/>
      <c r="N23" s="294"/>
      <c r="O23" s="354">
        <v>577</v>
      </c>
      <c r="P23" s="294">
        <v>22</v>
      </c>
      <c r="Q23" s="355">
        <f t="shared" si="2"/>
        <v>12694</v>
      </c>
      <c r="R23" s="299"/>
      <c r="S23" s="299"/>
      <c r="T23" s="299"/>
      <c r="U23" s="299"/>
      <c r="V23" s="299">
        <f t="shared" si="3"/>
        <v>12694</v>
      </c>
      <c r="W23" s="299"/>
      <c r="X23" s="299"/>
      <c r="Y23" s="299"/>
      <c r="Z23" s="356">
        <f t="shared" si="0"/>
        <v>12694</v>
      </c>
    </row>
    <row r="24" spans="1:26" s="357" customFormat="1" ht="31.5">
      <c r="A24" s="290">
        <v>43246</v>
      </c>
      <c r="B24" s="291" t="s">
        <v>402</v>
      </c>
      <c r="C24" s="365" t="s">
        <v>403</v>
      </c>
      <c r="D24" s="291"/>
      <c r="E24" s="307">
        <f>3+30</f>
        <v>33</v>
      </c>
      <c r="F24" s="306">
        <f t="shared" si="1"/>
        <v>43233</v>
      </c>
      <c r="G24" s="293">
        <v>43266</v>
      </c>
      <c r="H24" s="293" t="s">
        <v>372</v>
      </c>
      <c r="I24" s="294" t="s">
        <v>180</v>
      </c>
      <c r="J24" s="294"/>
      <c r="K24" s="294" t="s">
        <v>384</v>
      </c>
      <c r="L24" s="353">
        <v>23173</v>
      </c>
      <c r="M24" s="326"/>
      <c r="N24" s="294"/>
      <c r="O24" s="354">
        <v>47.5</v>
      </c>
      <c r="P24" s="294">
        <v>64</v>
      </c>
      <c r="Q24" s="355">
        <f t="shared" si="2"/>
        <v>3040</v>
      </c>
      <c r="R24" s="299"/>
      <c r="S24" s="299"/>
      <c r="T24" s="299"/>
      <c r="U24" s="299"/>
      <c r="V24" s="299">
        <f t="shared" si="3"/>
        <v>3040</v>
      </c>
      <c r="W24" s="299"/>
      <c r="X24" s="299"/>
      <c r="Y24" s="299"/>
      <c r="Z24" s="356">
        <f t="shared" si="0"/>
        <v>3040</v>
      </c>
    </row>
    <row r="26" spans="1:26">
      <c r="R26" s="344">
        <f>SUM(R10:R24)</f>
        <v>0</v>
      </c>
    </row>
  </sheetData>
  <mergeCells count="22">
    <mergeCell ref="A2:V2"/>
    <mergeCell ref="A5:A6"/>
    <mergeCell ref="B5:B6"/>
    <mergeCell ref="C5:C6"/>
    <mergeCell ref="D5:D6"/>
    <mergeCell ref="E5:E6"/>
    <mergeCell ref="F5:G5"/>
    <mergeCell ref="H5:H6"/>
    <mergeCell ref="I5:J5"/>
    <mergeCell ref="K5:K6"/>
    <mergeCell ref="R5:R6"/>
    <mergeCell ref="S5:Y5"/>
    <mergeCell ref="P5:P6"/>
    <mergeCell ref="Q5:Q6"/>
    <mergeCell ref="B13:I13"/>
    <mergeCell ref="L5:L6"/>
    <mergeCell ref="M5:M6"/>
    <mergeCell ref="N5:N6"/>
    <mergeCell ref="O5:O6"/>
    <mergeCell ref="A7:I7"/>
    <mergeCell ref="A8:I8"/>
    <mergeCell ref="B9:I9"/>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0000"/>
  </sheetPr>
  <dimension ref="A1:AC300"/>
  <sheetViews>
    <sheetView topLeftCell="A16" zoomScale="85" zoomScaleNormal="85" workbookViewId="0">
      <selection activeCell="A271" sqref="A271"/>
    </sheetView>
  </sheetViews>
  <sheetFormatPr baseColWidth="10" defaultColWidth="11.42578125" defaultRowHeight="15.75"/>
  <cols>
    <col min="1" max="1" width="9" style="336" bestFit="1" customWidth="1"/>
    <col min="2" max="2" width="92.7109375" style="337" bestFit="1" customWidth="1"/>
    <col min="3" max="3" width="92.5703125" style="337" bestFit="1" customWidth="1"/>
    <col min="4" max="4" width="13.28515625" style="337" bestFit="1" customWidth="1"/>
    <col min="5" max="5" width="18.7109375" style="338" bestFit="1" customWidth="1"/>
    <col min="6" max="6" width="14.7109375" style="339" bestFit="1" customWidth="1"/>
    <col min="7" max="7" width="14.140625" style="340" bestFit="1" customWidth="1"/>
    <col min="8" max="8" width="39" style="340" bestFit="1" customWidth="1"/>
    <col min="9" max="9" width="22.28515625" style="341" bestFit="1" customWidth="1"/>
    <col min="10" max="10" width="28.28515625" style="342" bestFit="1" customWidth="1"/>
    <col min="11" max="11" width="65.42578125" style="341" bestFit="1" customWidth="1"/>
    <col min="12" max="12" width="9.85546875" style="342" bestFit="1" customWidth="1"/>
    <col min="13" max="13" width="19" style="280" hidden="1" customWidth="1"/>
    <col min="14" max="14" width="33" style="341" hidden="1" customWidth="1"/>
    <col min="15" max="15" width="19.42578125" style="343" bestFit="1" customWidth="1"/>
    <col min="16" max="16" width="12" style="342" bestFit="1" customWidth="1"/>
    <col min="17" max="17" width="22" style="315" bestFit="1" customWidth="1"/>
    <col min="18" max="18" width="21.140625" style="344" bestFit="1" customWidth="1"/>
    <col min="19" max="19" width="11.5703125" style="315" bestFit="1" customWidth="1"/>
    <col min="20" max="20" width="10.85546875" style="315" bestFit="1" customWidth="1"/>
    <col min="21" max="25" width="20.5703125" style="315" bestFit="1" customWidth="1"/>
    <col min="26" max="26" width="15.42578125" style="345" bestFit="1" customWidth="1"/>
    <col min="27" max="27" width="19" style="345" bestFit="1" customWidth="1"/>
    <col min="28" max="28" width="16.5703125" style="345" bestFit="1" customWidth="1"/>
    <col min="29" max="29" width="20.140625" style="280" bestFit="1" customWidth="1"/>
    <col min="30" max="16384" width="11.42578125" style="280"/>
  </cols>
  <sheetData>
    <row r="1" spans="1:28" s="238" customFormat="1">
      <c r="A1" s="234"/>
      <c r="B1" s="235"/>
      <c r="C1" s="235"/>
      <c r="D1" s="235"/>
      <c r="E1" s="236"/>
      <c r="F1" s="237"/>
      <c r="G1" s="237"/>
      <c r="H1" s="237"/>
      <c r="I1" s="237"/>
      <c r="J1" s="237"/>
      <c r="K1" s="237"/>
      <c r="L1" s="237"/>
      <c r="N1" s="237"/>
      <c r="O1" s="239"/>
      <c r="P1" s="237"/>
      <c r="Q1" s="240"/>
      <c r="R1" s="241"/>
      <c r="S1" s="239"/>
      <c r="T1" s="239"/>
      <c r="U1" s="239"/>
      <c r="V1" s="239"/>
      <c r="W1" s="239"/>
      <c r="X1" s="239"/>
      <c r="Y1" s="239"/>
      <c r="Z1" s="242"/>
      <c r="AA1" s="242"/>
      <c r="AB1" s="242"/>
    </row>
    <row r="2" spans="1:28" s="238" customFormat="1" ht="15.75" customHeight="1">
      <c r="A2" s="3443" t="s">
        <v>202</v>
      </c>
      <c r="B2" s="3443"/>
      <c r="C2" s="3443"/>
      <c r="D2" s="3443"/>
      <c r="E2" s="3443"/>
      <c r="F2" s="3443"/>
      <c r="G2" s="3443"/>
      <c r="H2" s="3443"/>
      <c r="I2" s="3443"/>
      <c r="J2" s="3443"/>
      <c r="K2" s="3443"/>
      <c r="L2" s="3443"/>
      <c r="M2" s="3443"/>
      <c r="N2" s="3443"/>
      <c r="O2" s="3443"/>
      <c r="P2" s="3443"/>
      <c r="Q2" s="3443"/>
      <c r="R2" s="3443"/>
      <c r="S2" s="3443"/>
      <c r="T2" s="3443"/>
      <c r="U2" s="3443"/>
      <c r="V2" s="3443"/>
      <c r="Z2" s="243"/>
      <c r="AA2" s="243"/>
      <c r="AB2" s="243"/>
    </row>
    <row r="3" spans="1:28" s="249" customFormat="1" ht="15.75" customHeight="1">
      <c r="A3" s="244"/>
      <c r="B3" s="244"/>
      <c r="C3" s="244"/>
      <c r="D3" s="244"/>
      <c r="E3" s="245"/>
      <c r="F3" s="244"/>
      <c r="G3" s="244"/>
      <c r="H3" s="244"/>
      <c r="I3" s="245"/>
      <c r="J3" s="245"/>
      <c r="K3" s="245"/>
      <c r="L3" s="245"/>
      <c r="M3" s="244"/>
      <c r="N3" s="245"/>
      <c r="O3" s="246"/>
      <c r="P3" s="245"/>
      <c r="Q3" s="247"/>
      <c r="R3" s="248"/>
      <c r="S3" s="244"/>
      <c r="T3" s="244"/>
      <c r="U3" s="244"/>
      <c r="V3" s="244"/>
      <c r="Z3" s="250"/>
      <c r="AA3" s="250"/>
      <c r="AB3" s="250"/>
    </row>
    <row r="4" spans="1:28" s="255" customFormat="1" ht="15">
      <c r="A4" s="251"/>
      <c r="B4" s="252"/>
      <c r="C4" s="252"/>
      <c r="D4" s="252"/>
      <c r="E4" s="253"/>
      <c r="F4" s="254"/>
      <c r="G4" s="254"/>
      <c r="H4" s="254"/>
      <c r="I4" s="254"/>
      <c r="J4" s="254"/>
      <c r="K4" s="254"/>
      <c r="L4" s="254"/>
      <c r="N4" s="254"/>
      <c r="O4" s="256"/>
      <c r="P4" s="254"/>
      <c r="Q4" s="257"/>
      <c r="R4" s="258"/>
      <c r="S4" s="256"/>
      <c r="T4" s="256"/>
      <c r="U4" s="256"/>
      <c r="V4" s="256"/>
      <c r="W4" s="256"/>
      <c r="X4" s="256"/>
      <c r="Y4" s="256"/>
      <c r="Z4" s="259"/>
      <c r="AA4" s="259"/>
      <c r="AB4" s="259"/>
    </row>
    <row r="5" spans="1:28" s="238" customFormat="1" ht="34.5" customHeight="1">
      <c r="A5" s="3466" t="s">
        <v>203</v>
      </c>
      <c r="B5" s="3462" t="s">
        <v>204</v>
      </c>
      <c r="C5" s="3462" t="s">
        <v>205</v>
      </c>
      <c r="D5" s="3464" t="s">
        <v>206</v>
      </c>
      <c r="E5" s="3467" t="s">
        <v>207</v>
      </c>
      <c r="F5" s="3468" t="s">
        <v>208</v>
      </c>
      <c r="G5" s="3468"/>
      <c r="H5" s="3468" t="s">
        <v>209</v>
      </c>
      <c r="I5" s="3469" t="s">
        <v>210</v>
      </c>
      <c r="J5" s="3469"/>
      <c r="K5" s="3470" t="s">
        <v>211</v>
      </c>
      <c r="L5" s="3462" t="s">
        <v>212</v>
      </c>
      <c r="M5" s="3463" t="s">
        <v>213</v>
      </c>
      <c r="N5" s="3464" t="s">
        <v>214</v>
      </c>
      <c r="O5" s="3465" t="s">
        <v>215</v>
      </c>
      <c r="P5" s="3462" t="s">
        <v>216</v>
      </c>
      <c r="Q5" s="3465" t="s">
        <v>286</v>
      </c>
      <c r="R5" s="3471" t="s">
        <v>287</v>
      </c>
      <c r="S5" s="3472" t="s">
        <v>219</v>
      </c>
      <c r="T5" s="3472"/>
      <c r="U5" s="3472"/>
      <c r="V5" s="3472"/>
      <c r="W5" s="3472"/>
      <c r="X5" s="3472"/>
      <c r="Y5" s="3472"/>
      <c r="Z5" s="243"/>
      <c r="AA5" s="243"/>
      <c r="AB5" s="243"/>
    </row>
    <row r="6" spans="1:28" s="237" customFormat="1" ht="60" customHeight="1">
      <c r="A6" s="3466"/>
      <c r="B6" s="3462"/>
      <c r="C6" s="3462"/>
      <c r="D6" s="3442"/>
      <c r="E6" s="3446"/>
      <c r="F6" s="260" t="s">
        <v>220</v>
      </c>
      <c r="G6" s="261" t="s">
        <v>221</v>
      </c>
      <c r="H6" s="3468"/>
      <c r="I6" s="262" t="s">
        <v>222</v>
      </c>
      <c r="J6" s="262" t="s">
        <v>288</v>
      </c>
      <c r="K6" s="3450"/>
      <c r="L6" s="3462"/>
      <c r="M6" s="3463"/>
      <c r="N6" s="3442"/>
      <c r="O6" s="3465"/>
      <c r="P6" s="3462"/>
      <c r="Q6" s="3465"/>
      <c r="R6" s="3471"/>
      <c r="S6" s="263" t="s">
        <v>224</v>
      </c>
      <c r="T6" s="263" t="s">
        <v>225</v>
      </c>
      <c r="U6" s="263" t="s">
        <v>226</v>
      </c>
      <c r="V6" s="263" t="s">
        <v>227</v>
      </c>
      <c r="W6" s="263" t="s">
        <v>228</v>
      </c>
      <c r="X6" s="263" t="s">
        <v>229</v>
      </c>
      <c r="Y6" s="263" t="s">
        <v>230</v>
      </c>
      <c r="Z6" s="264" t="s">
        <v>289</v>
      </c>
      <c r="AA6" s="264" t="s">
        <v>290</v>
      </c>
      <c r="AB6" s="264" t="s">
        <v>291</v>
      </c>
    </row>
    <row r="7" spans="1:28" s="272" customFormat="1" ht="33.75" customHeight="1">
      <c r="A7" s="3458" t="s">
        <v>231</v>
      </c>
      <c r="B7" s="3458"/>
      <c r="C7" s="3458"/>
      <c r="D7" s="3458"/>
      <c r="E7" s="3458"/>
      <c r="F7" s="3458"/>
      <c r="G7" s="3458"/>
      <c r="H7" s="3458"/>
      <c r="I7" s="3458"/>
      <c r="J7" s="265"/>
      <c r="K7" s="265"/>
      <c r="L7" s="265"/>
      <c r="M7" s="266"/>
      <c r="N7" s="265"/>
      <c r="O7" s="267"/>
      <c r="P7" s="265"/>
      <c r="Q7" s="268"/>
      <c r="R7" s="269">
        <f>+'[2]Compil Costing PPA 3 millions'!F5</f>
        <v>449500</v>
      </c>
      <c r="S7" s="270"/>
      <c r="T7" s="270"/>
      <c r="U7" s="270"/>
      <c r="V7" s="270"/>
      <c r="W7" s="270"/>
      <c r="X7" s="270"/>
      <c r="Y7" s="270"/>
      <c r="Z7" s="271"/>
      <c r="AA7" s="271"/>
      <c r="AB7" s="271"/>
    </row>
    <row r="8" spans="1:28" ht="37.5" customHeight="1">
      <c r="A8" s="3457" t="s">
        <v>232</v>
      </c>
      <c r="B8" s="3457"/>
      <c r="C8" s="3457"/>
      <c r="D8" s="3457"/>
      <c r="E8" s="3457"/>
      <c r="F8" s="3457"/>
      <c r="G8" s="3457"/>
      <c r="H8" s="3457"/>
      <c r="I8" s="3457"/>
      <c r="J8" s="273"/>
      <c r="K8" s="273"/>
      <c r="L8" s="273"/>
      <c r="M8" s="274"/>
      <c r="N8" s="273"/>
      <c r="O8" s="275"/>
      <c r="P8" s="273"/>
      <c r="Q8" s="276"/>
      <c r="R8" s="277"/>
      <c r="S8" s="278"/>
      <c r="T8" s="278"/>
      <c r="U8" s="278"/>
      <c r="V8" s="274"/>
      <c r="W8" s="274"/>
      <c r="X8" s="274"/>
      <c r="Y8" s="274"/>
      <c r="Z8" s="279"/>
      <c r="AA8" s="279"/>
      <c r="AB8" s="279"/>
    </row>
    <row r="9" spans="1:28" ht="16.5" customHeight="1">
      <c r="A9" s="281">
        <v>111</v>
      </c>
      <c r="B9" s="3456"/>
      <c r="C9" s="3456"/>
      <c r="D9" s="3456"/>
      <c r="E9" s="3456"/>
      <c r="F9" s="3456"/>
      <c r="G9" s="3456"/>
      <c r="H9" s="3456"/>
      <c r="I9" s="3456"/>
      <c r="J9" s="282"/>
      <c r="K9" s="283"/>
      <c r="L9" s="282"/>
      <c r="M9" s="284"/>
      <c r="N9" s="283"/>
      <c r="O9" s="285"/>
      <c r="P9" s="282"/>
      <c r="Q9" s="286"/>
      <c r="R9" s="287"/>
      <c r="S9" s="288"/>
      <c r="T9" s="288"/>
      <c r="U9" s="288"/>
      <c r="V9" s="288"/>
      <c r="W9" s="288"/>
      <c r="X9" s="288"/>
      <c r="Y9" s="288"/>
      <c r="Z9" s="289"/>
      <c r="AA9" s="289"/>
      <c r="AB9" s="289"/>
    </row>
    <row r="10" spans="1:28">
      <c r="A10" s="290">
        <v>1111</v>
      </c>
      <c r="B10" s="291"/>
      <c r="C10" s="291"/>
      <c r="D10" s="291"/>
      <c r="E10" s="292"/>
      <c r="F10" s="293"/>
      <c r="G10" s="293"/>
      <c r="H10" s="293"/>
      <c r="I10" s="294"/>
      <c r="J10" s="295"/>
      <c r="K10" s="294"/>
      <c r="L10" s="295"/>
      <c r="M10" s="296"/>
      <c r="N10" s="294"/>
      <c r="O10" s="297"/>
      <c r="P10" s="295"/>
      <c r="Q10" s="298"/>
      <c r="R10" s="299"/>
      <c r="S10" s="298"/>
      <c r="T10" s="298"/>
      <c r="U10" s="298"/>
      <c r="V10" s="298"/>
      <c r="W10" s="298"/>
      <c r="X10" s="298"/>
      <c r="Y10" s="298"/>
      <c r="Z10" s="300"/>
      <c r="AA10" s="300"/>
      <c r="AB10" s="300"/>
    </row>
    <row r="11" spans="1:28" ht="16.5" customHeight="1">
      <c r="A11" s="290">
        <v>1112</v>
      </c>
      <c r="B11" s="291"/>
      <c r="C11" s="291"/>
      <c r="D11" s="291"/>
      <c r="E11" s="292"/>
      <c r="F11" s="293"/>
      <c r="G11" s="293"/>
      <c r="H11" s="293"/>
      <c r="I11" s="294"/>
      <c r="J11" s="295"/>
      <c r="K11" s="294"/>
      <c r="L11" s="295"/>
      <c r="M11" s="296"/>
      <c r="N11" s="294"/>
      <c r="O11" s="297"/>
      <c r="P11" s="295"/>
      <c r="Q11" s="298"/>
      <c r="R11" s="299"/>
      <c r="S11" s="298"/>
      <c r="T11" s="298"/>
      <c r="U11" s="298"/>
      <c r="V11" s="298"/>
      <c r="W11" s="298"/>
      <c r="X11" s="298"/>
      <c r="Y11" s="298"/>
      <c r="Z11" s="300"/>
      <c r="AA11" s="300"/>
      <c r="AB11" s="300"/>
    </row>
    <row r="12" spans="1:28" ht="16.5" customHeight="1">
      <c r="A12" s="290">
        <v>1113</v>
      </c>
      <c r="B12" s="291"/>
      <c r="C12" s="291"/>
      <c r="D12" s="291"/>
      <c r="E12" s="292"/>
      <c r="F12" s="293"/>
      <c r="G12" s="293"/>
      <c r="H12" s="293"/>
      <c r="I12" s="294"/>
      <c r="J12" s="295"/>
      <c r="K12" s="294"/>
      <c r="L12" s="295"/>
      <c r="M12" s="296"/>
      <c r="N12" s="294"/>
      <c r="O12" s="297"/>
      <c r="P12" s="295"/>
      <c r="Q12" s="298"/>
      <c r="R12" s="299"/>
      <c r="S12" s="298"/>
      <c r="T12" s="298"/>
      <c r="U12" s="298"/>
      <c r="V12" s="298"/>
      <c r="W12" s="298"/>
      <c r="X12" s="298"/>
      <c r="Y12" s="298"/>
      <c r="Z12" s="300"/>
      <c r="AA12" s="300"/>
      <c r="AB12" s="300"/>
    </row>
    <row r="13" spans="1:28" ht="16.5" customHeight="1">
      <c r="A13" s="281">
        <v>112</v>
      </c>
      <c r="B13" s="3456"/>
      <c r="C13" s="3456"/>
      <c r="D13" s="3456"/>
      <c r="E13" s="3456"/>
      <c r="F13" s="3456"/>
      <c r="G13" s="3456"/>
      <c r="H13" s="3456"/>
      <c r="I13" s="3456"/>
      <c r="J13" s="282"/>
      <c r="K13" s="283"/>
      <c r="L13" s="282"/>
      <c r="M13" s="284"/>
      <c r="N13" s="283"/>
      <c r="O13" s="285"/>
      <c r="P13" s="282"/>
      <c r="Q13" s="286"/>
      <c r="R13" s="287"/>
      <c r="S13" s="288"/>
      <c r="T13" s="288"/>
      <c r="U13" s="288"/>
      <c r="V13" s="288"/>
      <c r="W13" s="288"/>
      <c r="X13" s="288"/>
      <c r="Y13" s="288"/>
      <c r="Z13" s="289"/>
      <c r="AA13" s="289"/>
      <c r="AB13" s="289"/>
    </row>
    <row r="14" spans="1:28">
      <c r="A14" s="290">
        <v>1121</v>
      </c>
      <c r="B14" s="291"/>
      <c r="C14" s="291"/>
      <c r="D14" s="291"/>
      <c r="E14" s="292"/>
      <c r="F14" s="293"/>
      <c r="G14" s="293"/>
      <c r="H14" s="293"/>
      <c r="I14" s="294"/>
      <c r="J14" s="295"/>
      <c r="K14" s="294"/>
      <c r="L14" s="295"/>
      <c r="M14" s="296"/>
      <c r="N14" s="294"/>
      <c r="O14" s="297"/>
      <c r="P14" s="295"/>
      <c r="Q14" s="298"/>
      <c r="R14" s="299"/>
      <c r="S14" s="298"/>
      <c r="T14" s="298"/>
      <c r="U14" s="298"/>
      <c r="V14" s="298"/>
      <c r="W14" s="298"/>
      <c r="X14" s="298"/>
      <c r="Y14" s="298"/>
      <c r="Z14" s="300"/>
      <c r="AA14" s="300"/>
      <c r="AB14" s="300"/>
    </row>
    <row r="15" spans="1:28">
      <c r="A15" s="290">
        <v>1122</v>
      </c>
      <c r="B15" s="291"/>
      <c r="C15" s="291"/>
      <c r="D15" s="291"/>
      <c r="E15" s="292"/>
      <c r="F15" s="293"/>
      <c r="G15" s="293"/>
      <c r="H15" s="293"/>
      <c r="I15" s="294"/>
      <c r="J15" s="295"/>
      <c r="K15" s="294"/>
      <c r="L15" s="295"/>
      <c r="M15" s="296"/>
      <c r="N15" s="294"/>
      <c r="O15" s="297"/>
      <c r="P15" s="295"/>
      <c r="Q15" s="298"/>
      <c r="R15" s="299"/>
      <c r="S15" s="298"/>
      <c r="T15" s="298"/>
      <c r="U15" s="298"/>
      <c r="V15" s="298"/>
      <c r="W15" s="298"/>
      <c r="X15" s="298"/>
      <c r="Y15" s="298"/>
      <c r="Z15" s="300"/>
      <c r="AA15" s="300"/>
      <c r="AB15" s="300"/>
    </row>
    <row r="16" spans="1:28">
      <c r="A16" s="301" t="s">
        <v>233</v>
      </c>
      <c r="B16" s="291"/>
      <c r="C16" s="291"/>
      <c r="D16" s="291"/>
      <c r="E16" s="292"/>
      <c r="F16" s="293"/>
      <c r="G16" s="293"/>
      <c r="H16" s="293"/>
      <c r="I16" s="294"/>
      <c r="J16" s="295"/>
      <c r="K16" s="294"/>
      <c r="L16" s="295"/>
      <c r="M16" s="296"/>
      <c r="N16" s="294"/>
      <c r="O16" s="297"/>
      <c r="P16" s="295"/>
      <c r="Q16" s="298"/>
      <c r="R16" s="299"/>
      <c r="S16" s="298"/>
      <c r="T16" s="298"/>
      <c r="U16" s="298"/>
      <c r="V16" s="298"/>
      <c r="W16" s="298"/>
      <c r="X16" s="298"/>
      <c r="Y16" s="298"/>
      <c r="Z16" s="300"/>
      <c r="AA16" s="300"/>
      <c r="AB16" s="300"/>
    </row>
    <row r="17" spans="1:29" ht="37.5" customHeight="1">
      <c r="A17" s="3457" t="s">
        <v>234</v>
      </c>
      <c r="B17" s="3457"/>
      <c r="C17" s="3457"/>
      <c r="D17" s="3457"/>
      <c r="E17" s="3457"/>
      <c r="F17" s="3457"/>
      <c r="G17" s="3457"/>
      <c r="H17" s="3457"/>
      <c r="I17" s="3457"/>
      <c r="J17" s="273"/>
      <c r="K17" s="273"/>
      <c r="L17" s="273"/>
      <c r="M17" s="274"/>
      <c r="N17" s="273"/>
      <c r="O17" s="275"/>
      <c r="P17" s="273"/>
      <c r="Q17" s="276"/>
      <c r="R17" s="277"/>
      <c r="S17" s="278"/>
      <c r="T17" s="278"/>
      <c r="U17" s="278"/>
      <c r="V17" s="274"/>
      <c r="W17" s="274"/>
      <c r="X17" s="274"/>
      <c r="Y17" s="274"/>
      <c r="Z17" s="279"/>
      <c r="AA17" s="279"/>
      <c r="AB17" s="279"/>
    </row>
    <row r="18" spans="1:29" ht="16.5" customHeight="1">
      <c r="A18" s="281">
        <v>121</v>
      </c>
      <c r="B18" s="3456"/>
      <c r="C18" s="3456"/>
      <c r="D18" s="3456"/>
      <c r="E18" s="3456"/>
      <c r="F18" s="3456"/>
      <c r="G18" s="3456"/>
      <c r="H18" s="3456"/>
      <c r="I18" s="3456"/>
      <c r="J18" s="282"/>
      <c r="K18" s="283"/>
      <c r="L18" s="282"/>
      <c r="M18" s="284"/>
      <c r="N18" s="283"/>
      <c r="O18" s="285"/>
      <c r="P18" s="282"/>
      <c r="Q18" s="286"/>
      <c r="R18" s="287"/>
      <c r="S18" s="288"/>
      <c r="T18" s="288"/>
      <c r="U18" s="288"/>
      <c r="V18" s="288"/>
      <c r="W18" s="288"/>
      <c r="X18" s="288"/>
      <c r="Y18" s="288"/>
      <c r="Z18" s="289"/>
      <c r="AA18" s="289"/>
      <c r="AB18" s="289"/>
    </row>
    <row r="19" spans="1:29" ht="16.5" customHeight="1">
      <c r="A19" s="290">
        <v>1211</v>
      </c>
      <c r="B19" s="291"/>
      <c r="C19" s="291"/>
      <c r="D19" s="291"/>
      <c r="E19" s="292"/>
      <c r="F19" s="293"/>
      <c r="G19" s="293"/>
      <c r="H19" s="293"/>
      <c r="I19" s="294"/>
      <c r="J19" s="295"/>
      <c r="K19" s="294"/>
      <c r="L19" s="295"/>
      <c r="M19" s="296"/>
      <c r="N19" s="294"/>
      <c r="O19" s="297"/>
      <c r="P19" s="295"/>
      <c r="Q19" s="298"/>
      <c r="R19" s="299"/>
      <c r="S19" s="298"/>
      <c r="T19" s="298"/>
      <c r="U19" s="298"/>
      <c r="V19" s="298"/>
      <c r="W19" s="298"/>
      <c r="X19" s="298"/>
      <c r="Y19" s="298"/>
      <c r="Z19" s="300"/>
      <c r="AA19" s="300"/>
      <c r="AB19" s="300"/>
    </row>
    <row r="20" spans="1:29" ht="16.5" customHeight="1">
      <c r="A20" s="290">
        <v>1212</v>
      </c>
      <c r="B20" s="291"/>
      <c r="C20" s="291"/>
      <c r="D20" s="291"/>
      <c r="E20" s="292"/>
      <c r="F20" s="293"/>
      <c r="G20" s="293"/>
      <c r="H20" s="293"/>
      <c r="I20" s="294"/>
      <c r="J20" s="295"/>
      <c r="K20" s="294"/>
      <c r="L20" s="295"/>
      <c r="M20" s="296"/>
      <c r="N20" s="294"/>
      <c r="O20" s="297"/>
      <c r="P20" s="295"/>
      <c r="Q20" s="298"/>
      <c r="R20" s="299"/>
      <c r="S20" s="298"/>
      <c r="T20" s="298"/>
      <c r="U20" s="298"/>
      <c r="V20" s="298"/>
      <c r="W20" s="298"/>
      <c r="X20" s="298"/>
      <c r="Y20" s="298"/>
      <c r="Z20" s="300"/>
      <c r="AA20" s="300"/>
      <c r="AB20" s="300"/>
    </row>
    <row r="21" spans="1:29" ht="16.5" customHeight="1">
      <c r="A21" s="290">
        <v>1213</v>
      </c>
      <c r="B21" s="291"/>
      <c r="C21" s="291"/>
      <c r="D21" s="291"/>
      <c r="E21" s="292"/>
      <c r="F21" s="293"/>
      <c r="G21" s="293"/>
      <c r="H21" s="293"/>
      <c r="I21" s="294"/>
      <c r="J21" s="295"/>
      <c r="K21" s="294"/>
      <c r="L21" s="295"/>
      <c r="M21" s="296"/>
      <c r="N21" s="294"/>
      <c r="O21" s="297"/>
      <c r="P21" s="295"/>
      <c r="Q21" s="298"/>
      <c r="R21" s="299"/>
      <c r="S21" s="298"/>
      <c r="T21" s="298"/>
      <c r="U21" s="298"/>
      <c r="V21" s="298"/>
      <c r="W21" s="298"/>
      <c r="X21" s="298"/>
      <c r="Y21" s="298"/>
      <c r="Z21" s="300"/>
      <c r="AA21" s="300"/>
      <c r="AB21" s="300"/>
    </row>
    <row r="22" spans="1:29" ht="16.5" customHeight="1">
      <c r="A22" s="281">
        <v>122</v>
      </c>
      <c r="B22" s="3456"/>
      <c r="C22" s="3456"/>
      <c r="D22" s="3456"/>
      <c r="E22" s="3456"/>
      <c r="F22" s="3456"/>
      <c r="G22" s="3456"/>
      <c r="H22" s="3456"/>
      <c r="I22" s="3456"/>
      <c r="J22" s="282"/>
      <c r="K22" s="283"/>
      <c r="L22" s="282"/>
      <c r="M22" s="284"/>
      <c r="N22" s="283"/>
      <c r="O22" s="285"/>
      <c r="P22" s="282"/>
      <c r="Q22" s="286"/>
      <c r="R22" s="287"/>
      <c r="S22" s="288"/>
      <c r="T22" s="288"/>
      <c r="U22" s="288"/>
      <c r="V22" s="288"/>
      <c r="W22" s="288"/>
      <c r="X22" s="288"/>
      <c r="Y22" s="288"/>
      <c r="Z22" s="289"/>
      <c r="AA22" s="289"/>
      <c r="AB22" s="289"/>
    </row>
    <row r="23" spans="1:29" ht="16.5" customHeight="1">
      <c r="A23" s="290">
        <v>1221</v>
      </c>
      <c r="B23" s="291"/>
      <c r="C23" s="291"/>
      <c r="D23" s="291"/>
      <c r="E23" s="292"/>
      <c r="F23" s="293"/>
      <c r="G23" s="293"/>
      <c r="H23" s="293"/>
      <c r="I23" s="294"/>
      <c r="J23" s="295"/>
      <c r="K23" s="294"/>
      <c r="L23" s="295"/>
      <c r="M23" s="296"/>
      <c r="N23" s="294"/>
      <c r="O23" s="297"/>
      <c r="P23" s="295"/>
      <c r="Q23" s="298"/>
      <c r="R23" s="299"/>
      <c r="S23" s="298"/>
      <c r="T23" s="298"/>
      <c r="U23" s="298"/>
      <c r="V23" s="298"/>
      <c r="W23" s="298"/>
      <c r="X23" s="298"/>
      <c r="Y23" s="298"/>
      <c r="Z23" s="300"/>
      <c r="AA23" s="300"/>
      <c r="AB23" s="300"/>
    </row>
    <row r="24" spans="1:29" ht="16.5" customHeight="1">
      <c r="A24" s="290">
        <v>1222</v>
      </c>
      <c r="B24" s="291"/>
      <c r="C24" s="291"/>
      <c r="D24" s="291"/>
      <c r="E24" s="292"/>
      <c r="F24" s="293"/>
      <c r="G24" s="293"/>
      <c r="H24" s="293"/>
      <c r="I24" s="294"/>
      <c r="J24" s="295"/>
      <c r="K24" s="294"/>
      <c r="L24" s="295"/>
      <c r="M24" s="296"/>
      <c r="N24" s="294"/>
      <c r="O24" s="297"/>
      <c r="P24" s="295"/>
      <c r="Q24" s="298"/>
      <c r="R24" s="299"/>
      <c r="S24" s="298"/>
      <c r="T24" s="298"/>
      <c r="U24" s="298"/>
      <c r="V24" s="298"/>
      <c r="W24" s="298"/>
      <c r="X24" s="298"/>
      <c r="Y24" s="298"/>
      <c r="Z24" s="300"/>
      <c r="AA24" s="300"/>
      <c r="AB24" s="300"/>
    </row>
    <row r="25" spans="1:29">
      <c r="A25" s="301" t="s">
        <v>233</v>
      </c>
      <c r="B25" s="291"/>
      <c r="C25" s="291"/>
      <c r="D25" s="291"/>
      <c r="E25" s="292"/>
      <c r="F25" s="293"/>
      <c r="G25" s="293"/>
      <c r="H25" s="293"/>
      <c r="I25" s="294"/>
      <c r="J25" s="295"/>
      <c r="K25" s="294"/>
      <c r="L25" s="295"/>
      <c r="M25" s="296"/>
      <c r="N25" s="294"/>
      <c r="O25" s="297"/>
      <c r="P25" s="295"/>
      <c r="Q25" s="298"/>
      <c r="R25" s="299"/>
      <c r="S25" s="298"/>
      <c r="T25" s="298"/>
      <c r="U25" s="298"/>
      <c r="V25" s="298"/>
      <c r="W25" s="298"/>
      <c r="X25" s="298"/>
      <c r="Y25" s="298"/>
      <c r="Z25" s="300"/>
      <c r="AA25" s="300"/>
      <c r="AB25" s="300"/>
    </row>
    <row r="26" spans="1:29" s="272" customFormat="1" ht="33.75" customHeight="1">
      <c r="A26" s="3458" t="s">
        <v>235</v>
      </c>
      <c r="B26" s="3458"/>
      <c r="C26" s="3458"/>
      <c r="D26" s="3458"/>
      <c r="E26" s="3458"/>
      <c r="F26" s="3458"/>
      <c r="G26" s="3458"/>
      <c r="H26" s="3458"/>
      <c r="I26" s="3458"/>
      <c r="J26" s="265"/>
      <c r="K26" s="265"/>
      <c r="L26" s="265"/>
      <c r="M26" s="266"/>
      <c r="N26" s="265"/>
      <c r="O26" s="267"/>
      <c r="P26" s="265"/>
      <c r="Q26" s="268"/>
      <c r="R26" s="269">
        <f>+R27+R107+R118</f>
        <v>688782.21375999996</v>
      </c>
      <c r="S26" s="270"/>
      <c r="T26" s="270"/>
      <c r="U26" s="270"/>
      <c r="V26" s="270"/>
      <c r="W26" s="270"/>
      <c r="X26" s="270"/>
      <c r="Y26" s="270"/>
      <c r="Z26" s="271"/>
      <c r="AA26" s="271"/>
      <c r="AB26" s="271"/>
      <c r="AC26" s="272" t="s">
        <v>292</v>
      </c>
    </row>
    <row r="27" spans="1:29" ht="37.5" customHeight="1">
      <c r="A27" s="3457" t="s">
        <v>236</v>
      </c>
      <c r="B27" s="3457"/>
      <c r="C27" s="3457"/>
      <c r="D27" s="3457"/>
      <c r="E27" s="3457"/>
      <c r="F27" s="3457"/>
      <c r="G27" s="3457"/>
      <c r="H27" s="3457"/>
      <c r="I27" s="3457"/>
      <c r="J27" s="273"/>
      <c r="K27" s="273"/>
      <c r="L27" s="273"/>
      <c r="M27" s="274"/>
      <c r="N27" s="273"/>
      <c r="O27" s="275"/>
      <c r="P27" s="273"/>
      <c r="Q27" s="276">
        <f>+Q28+Q37+Q49+Q68+Q87</f>
        <v>300354.41666666669</v>
      </c>
      <c r="R27" s="277">
        <f>+'[2]Compil Costing PPA 3 millions'!F7</f>
        <v>300354.12</v>
      </c>
      <c r="S27" s="276">
        <f t="shared" ref="S27:AB27" si="0">+S28+S37+S49+S68+S87</f>
        <v>0</v>
      </c>
      <c r="T27" s="276">
        <f t="shared" si="0"/>
        <v>0</v>
      </c>
      <c r="U27" s="276">
        <f t="shared" si="0"/>
        <v>79470.75</v>
      </c>
      <c r="V27" s="276">
        <f t="shared" si="0"/>
        <v>40583.666666666672</v>
      </c>
      <c r="W27" s="276">
        <f t="shared" si="0"/>
        <v>54436</v>
      </c>
      <c r="X27" s="276">
        <f t="shared" si="0"/>
        <v>45624</v>
      </c>
      <c r="Y27" s="276">
        <f t="shared" si="0"/>
        <v>77200</v>
      </c>
      <c r="Z27" s="276">
        <f t="shared" si="0"/>
        <v>0</v>
      </c>
      <c r="AA27" s="276">
        <f t="shared" si="0"/>
        <v>3040</v>
      </c>
      <c r="AB27" s="276">
        <f t="shared" si="0"/>
        <v>0</v>
      </c>
      <c r="AC27" s="276">
        <f>SUM(S27:AB27)</f>
        <v>300354.41666666669</v>
      </c>
    </row>
    <row r="28" spans="1:29" ht="29.25" customHeight="1">
      <c r="A28" s="281">
        <v>211</v>
      </c>
      <c r="B28" s="302" t="s">
        <v>59</v>
      </c>
      <c r="C28" s="302"/>
      <c r="D28" s="302"/>
      <c r="E28" s="302"/>
      <c r="F28" s="302"/>
      <c r="G28" s="302"/>
      <c r="H28" s="302"/>
      <c r="I28" s="303"/>
      <c r="J28" s="282"/>
      <c r="K28" s="283"/>
      <c r="L28" s="282"/>
      <c r="M28" s="284"/>
      <c r="N28" s="283"/>
      <c r="O28" s="285"/>
      <c r="P28" s="282"/>
      <c r="Q28" s="304">
        <f>SUM(Q29:Q36)</f>
        <v>32625.75</v>
      </c>
      <c r="R28" s="287"/>
      <c r="S28" s="304">
        <f t="shared" ref="S28:AB28" si="1">SUM(S29:S36)</f>
        <v>0</v>
      </c>
      <c r="T28" s="304">
        <f t="shared" si="1"/>
        <v>0</v>
      </c>
      <c r="U28" s="304">
        <f t="shared" si="1"/>
        <v>32625.75</v>
      </c>
      <c r="V28" s="304">
        <f t="shared" si="1"/>
        <v>0</v>
      </c>
      <c r="W28" s="304">
        <f t="shared" si="1"/>
        <v>0</v>
      </c>
      <c r="X28" s="304">
        <f t="shared" si="1"/>
        <v>0</v>
      </c>
      <c r="Y28" s="304">
        <f t="shared" si="1"/>
        <v>0</v>
      </c>
      <c r="Z28" s="304">
        <f t="shared" si="1"/>
        <v>0</v>
      </c>
      <c r="AA28" s="304">
        <f t="shared" si="1"/>
        <v>0</v>
      </c>
      <c r="AB28" s="304">
        <f t="shared" si="1"/>
        <v>0</v>
      </c>
    </row>
    <row r="29" spans="1:29" ht="32.25" customHeight="1">
      <c r="A29" s="305">
        <v>2111</v>
      </c>
      <c r="B29" s="291" t="s">
        <v>59</v>
      </c>
      <c r="C29" s="291" t="s">
        <v>293</v>
      </c>
      <c r="D29" s="291"/>
      <c r="E29" s="292">
        <v>5</v>
      </c>
      <c r="F29" s="293">
        <v>43221</v>
      </c>
      <c r="G29" s="293">
        <f>+E29+F29</f>
        <v>43226</v>
      </c>
      <c r="H29" s="306" t="s">
        <v>294</v>
      </c>
      <c r="I29" s="294" t="s">
        <v>171</v>
      </c>
      <c r="J29" s="295" t="s">
        <v>295</v>
      </c>
      <c r="K29" s="307" t="s">
        <v>296</v>
      </c>
      <c r="L29" s="295">
        <v>23174</v>
      </c>
      <c r="M29" s="296"/>
      <c r="N29" s="294"/>
      <c r="O29" s="297">
        <v>1800</v>
      </c>
      <c r="P29" s="295">
        <v>3</v>
      </c>
      <c r="Q29" s="298">
        <f t="shared" ref="Q29:Q36" si="2">+O29*P29</f>
        <v>5400</v>
      </c>
      <c r="R29" s="299"/>
      <c r="S29" s="298"/>
      <c r="T29" s="298"/>
      <c r="U29" s="298">
        <f t="shared" ref="U29:U77" si="3">+Q29</f>
        <v>5400</v>
      </c>
      <c r="V29" s="298"/>
      <c r="W29" s="298"/>
      <c r="X29" s="298"/>
      <c r="Y29" s="298"/>
      <c r="Z29" s="300"/>
      <c r="AA29" s="300"/>
      <c r="AB29" s="300"/>
    </row>
    <row r="30" spans="1:29" ht="32.25" customHeight="1">
      <c r="A30" s="305">
        <v>2111</v>
      </c>
      <c r="B30" s="291" t="s">
        <v>59</v>
      </c>
      <c r="C30" s="291" t="s">
        <v>293</v>
      </c>
      <c r="D30" s="291"/>
      <c r="E30" s="292">
        <v>5</v>
      </c>
      <c r="F30" s="293">
        <v>43221</v>
      </c>
      <c r="G30" s="293">
        <f t="shared" ref="G30:G36" si="4">+E30+F30</f>
        <v>43226</v>
      </c>
      <c r="H30" s="306" t="s">
        <v>294</v>
      </c>
      <c r="I30" s="294" t="s">
        <v>171</v>
      </c>
      <c r="J30" s="295" t="s">
        <v>295</v>
      </c>
      <c r="K30" s="307" t="s">
        <v>297</v>
      </c>
      <c r="L30" s="295">
        <v>23174</v>
      </c>
      <c r="M30" s="296"/>
      <c r="N30" s="294"/>
      <c r="O30" s="297">
        <v>177.33333333333334</v>
      </c>
      <c r="P30" s="295">
        <v>3</v>
      </c>
      <c r="Q30" s="298">
        <f t="shared" si="2"/>
        <v>532</v>
      </c>
      <c r="R30" s="299"/>
      <c r="S30" s="298"/>
      <c r="T30" s="298"/>
      <c r="U30" s="298">
        <f t="shared" si="3"/>
        <v>532</v>
      </c>
      <c r="V30" s="298"/>
      <c r="W30" s="298"/>
      <c r="X30" s="298"/>
      <c r="Y30" s="298"/>
      <c r="Z30" s="300"/>
      <c r="AA30" s="300"/>
      <c r="AB30" s="300"/>
    </row>
    <row r="31" spans="1:29" ht="32.25" customHeight="1">
      <c r="A31" s="305">
        <v>2111</v>
      </c>
      <c r="B31" s="291" t="s">
        <v>59</v>
      </c>
      <c r="C31" s="291" t="s">
        <v>293</v>
      </c>
      <c r="D31" s="291"/>
      <c r="E31" s="292">
        <v>5</v>
      </c>
      <c r="F31" s="293">
        <v>43221</v>
      </c>
      <c r="G31" s="293">
        <f t="shared" si="4"/>
        <v>43226</v>
      </c>
      <c r="H31" s="306" t="s">
        <v>294</v>
      </c>
      <c r="I31" s="294" t="s">
        <v>171</v>
      </c>
      <c r="J31" s="295" t="s">
        <v>295</v>
      </c>
      <c r="K31" s="307" t="s">
        <v>298</v>
      </c>
      <c r="L31" s="295">
        <v>23174</v>
      </c>
      <c r="M31" s="296"/>
      <c r="N31" s="294"/>
      <c r="O31" s="297">
        <v>224</v>
      </c>
      <c r="P31" s="295">
        <v>3</v>
      </c>
      <c r="Q31" s="298">
        <f t="shared" si="2"/>
        <v>672</v>
      </c>
      <c r="R31" s="299"/>
      <c r="S31" s="298"/>
      <c r="T31" s="298"/>
      <c r="U31" s="298">
        <f t="shared" si="3"/>
        <v>672</v>
      </c>
      <c r="V31" s="298"/>
      <c r="W31" s="298"/>
      <c r="X31" s="298"/>
      <c r="Y31" s="298"/>
      <c r="Z31" s="300"/>
      <c r="AA31" s="300"/>
      <c r="AB31" s="300"/>
    </row>
    <row r="32" spans="1:29" ht="32.25" customHeight="1">
      <c r="A32" s="305">
        <v>2111</v>
      </c>
      <c r="B32" s="291" t="s">
        <v>59</v>
      </c>
      <c r="C32" s="291" t="s">
        <v>293</v>
      </c>
      <c r="D32" s="291"/>
      <c r="E32" s="292">
        <v>5</v>
      </c>
      <c r="F32" s="293">
        <v>43221</v>
      </c>
      <c r="G32" s="293">
        <f t="shared" si="4"/>
        <v>43226</v>
      </c>
      <c r="H32" s="306" t="s">
        <v>294</v>
      </c>
      <c r="I32" s="294" t="s">
        <v>171</v>
      </c>
      <c r="J32" s="295" t="s">
        <v>295</v>
      </c>
      <c r="K32" s="307" t="s">
        <v>299</v>
      </c>
      <c r="L32" s="295">
        <v>23174</v>
      </c>
      <c r="M32" s="296"/>
      <c r="N32" s="294"/>
      <c r="O32" s="297">
        <v>166.66666666666666</v>
      </c>
      <c r="P32" s="295">
        <v>3</v>
      </c>
      <c r="Q32" s="298">
        <f t="shared" si="2"/>
        <v>500</v>
      </c>
      <c r="R32" s="299"/>
      <c r="S32" s="298"/>
      <c r="T32" s="298"/>
      <c r="U32" s="298">
        <f t="shared" si="3"/>
        <v>500</v>
      </c>
      <c r="V32" s="298"/>
      <c r="W32" s="298"/>
      <c r="X32" s="298"/>
      <c r="Y32" s="298"/>
      <c r="Z32" s="300"/>
      <c r="AA32" s="300"/>
      <c r="AB32" s="300"/>
    </row>
    <row r="33" spans="1:28" ht="32.25" customHeight="1">
      <c r="A33" s="305">
        <v>2111</v>
      </c>
      <c r="B33" s="291" t="s">
        <v>59</v>
      </c>
      <c r="C33" s="291" t="s">
        <v>293</v>
      </c>
      <c r="D33" s="291"/>
      <c r="E33" s="292">
        <v>5</v>
      </c>
      <c r="F33" s="293">
        <v>43221</v>
      </c>
      <c r="G33" s="293">
        <f t="shared" si="4"/>
        <v>43226</v>
      </c>
      <c r="H33" s="306" t="s">
        <v>294</v>
      </c>
      <c r="I33" s="294" t="s">
        <v>171</v>
      </c>
      <c r="J33" s="295" t="s">
        <v>295</v>
      </c>
      <c r="K33" s="307" t="s">
        <v>300</v>
      </c>
      <c r="L33" s="295">
        <v>23174</v>
      </c>
      <c r="M33" s="296"/>
      <c r="N33" s="294"/>
      <c r="O33" s="297">
        <v>426.66666666666669</v>
      </c>
      <c r="P33" s="295">
        <v>3</v>
      </c>
      <c r="Q33" s="298">
        <f t="shared" si="2"/>
        <v>1280</v>
      </c>
      <c r="R33" s="299"/>
      <c r="S33" s="298"/>
      <c r="T33" s="298"/>
      <c r="U33" s="298">
        <f t="shared" si="3"/>
        <v>1280</v>
      </c>
      <c r="V33" s="298"/>
      <c r="W33" s="298"/>
      <c r="X33" s="298"/>
      <c r="Y33" s="298"/>
      <c r="Z33" s="300"/>
      <c r="AA33" s="300"/>
      <c r="AB33" s="300"/>
    </row>
    <row r="34" spans="1:28" ht="32.25" customHeight="1">
      <c r="A34" s="305">
        <v>2111</v>
      </c>
      <c r="B34" s="291" t="s">
        <v>59</v>
      </c>
      <c r="C34" s="291" t="s">
        <v>293</v>
      </c>
      <c r="D34" s="291"/>
      <c r="E34" s="292">
        <v>5</v>
      </c>
      <c r="F34" s="293">
        <v>43221</v>
      </c>
      <c r="G34" s="293">
        <f t="shared" si="4"/>
        <v>43226</v>
      </c>
      <c r="H34" s="306" t="s">
        <v>294</v>
      </c>
      <c r="I34" s="294" t="s">
        <v>171</v>
      </c>
      <c r="J34" s="295" t="s">
        <v>295</v>
      </c>
      <c r="K34" s="307" t="s">
        <v>301</v>
      </c>
      <c r="L34" s="295">
        <v>23172</v>
      </c>
      <c r="M34" s="296"/>
      <c r="N34" s="294"/>
      <c r="O34" s="297">
        <v>166.66666666666666</v>
      </c>
      <c r="P34" s="295">
        <v>3</v>
      </c>
      <c r="Q34" s="298">
        <f t="shared" si="2"/>
        <v>500</v>
      </c>
      <c r="R34" s="299"/>
      <c r="S34" s="298"/>
      <c r="T34" s="298"/>
      <c r="U34" s="298">
        <f t="shared" si="3"/>
        <v>500</v>
      </c>
      <c r="V34" s="298"/>
      <c r="W34" s="298"/>
      <c r="X34" s="298"/>
      <c r="Y34" s="298"/>
      <c r="Z34" s="300"/>
      <c r="AA34" s="300"/>
      <c r="AB34" s="300"/>
    </row>
    <row r="35" spans="1:28" ht="32.25" customHeight="1">
      <c r="A35" s="305">
        <v>2111</v>
      </c>
      <c r="B35" s="291" t="s">
        <v>59</v>
      </c>
      <c r="C35" s="291" t="s">
        <v>293</v>
      </c>
      <c r="D35" s="291"/>
      <c r="E35" s="292">
        <v>5</v>
      </c>
      <c r="F35" s="293">
        <v>43221</v>
      </c>
      <c r="G35" s="293">
        <f t="shared" si="4"/>
        <v>43226</v>
      </c>
      <c r="H35" s="306" t="s">
        <v>294</v>
      </c>
      <c r="I35" s="294" t="s">
        <v>171</v>
      </c>
      <c r="J35" s="295" t="s">
        <v>295</v>
      </c>
      <c r="K35" s="307" t="s">
        <v>302</v>
      </c>
      <c r="L35" s="295">
        <v>23173</v>
      </c>
      <c r="M35" s="296"/>
      <c r="N35" s="294"/>
      <c r="O35" s="297">
        <v>343.66666666666669</v>
      </c>
      <c r="P35" s="295">
        <v>3</v>
      </c>
      <c r="Q35" s="298">
        <f t="shared" si="2"/>
        <v>1031</v>
      </c>
      <c r="R35" s="299"/>
      <c r="S35" s="298"/>
      <c r="T35" s="298"/>
      <c r="U35" s="298">
        <f t="shared" si="3"/>
        <v>1031</v>
      </c>
      <c r="V35" s="298"/>
      <c r="W35" s="298"/>
      <c r="X35" s="298"/>
      <c r="Y35" s="298"/>
      <c r="Z35" s="300"/>
      <c r="AA35" s="300"/>
      <c r="AB35" s="300"/>
    </row>
    <row r="36" spans="1:28" ht="32.25" customHeight="1">
      <c r="A36" s="305">
        <v>2112</v>
      </c>
      <c r="B36" s="291" t="s">
        <v>303</v>
      </c>
      <c r="C36" s="291" t="s">
        <v>304</v>
      </c>
      <c r="D36" s="291"/>
      <c r="E36" s="292">
        <v>60</v>
      </c>
      <c r="F36" s="293">
        <v>43221</v>
      </c>
      <c r="G36" s="293">
        <f t="shared" si="4"/>
        <v>43281</v>
      </c>
      <c r="H36" s="306" t="s">
        <v>294</v>
      </c>
      <c r="I36" s="294" t="s">
        <v>171</v>
      </c>
      <c r="J36" s="295" t="s">
        <v>295</v>
      </c>
      <c r="K36" s="307" t="s">
        <v>305</v>
      </c>
      <c r="L36" s="295">
        <v>2461</v>
      </c>
      <c r="M36" s="296"/>
      <c r="N36" s="294"/>
      <c r="O36" s="297">
        <v>504.68333333333334</v>
      </c>
      <c r="P36" s="295">
        <v>45</v>
      </c>
      <c r="Q36" s="298">
        <f t="shared" si="2"/>
        <v>22710.75</v>
      </c>
      <c r="R36" s="299"/>
      <c r="S36" s="298"/>
      <c r="T36" s="298"/>
      <c r="U36" s="298">
        <f t="shared" si="3"/>
        <v>22710.75</v>
      </c>
      <c r="V36" s="298"/>
      <c r="W36" s="298"/>
      <c r="X36" s="298"/>
      <c r="Y36" s="298"/>
      <c r="Z36" s="300"/>
      <c r="AA36" s="300"/>
      <c r="AB36" s="300"/>
    </row>
    <row r="37" spans="1:28" ht="29.25" customHeight="1">
      <c r="A37" s="281">
        <v>212</v>
      </c>
      <c r="B37" s="302" t="s">
        <v>550</v>
      </c>
      <c r="C37" s="302"/>
      <c r="D37" s="302"/>
      <c r="E37" s="302"/>
      <c r="F37" s="302"/>
      <c r="G37" s="302"/>
      <c r="H37" s="302"/>
      <c r="I37" s="303"/>
      <c r="J37" s="282"/>
      <c r="K37" s="283"/>
      <c r="L37" s="282"/>
      <c r="M37" s="284"/>
      <c r="N37" s="283"/>
      <c r="O37" s="285"/>
      <c r="P37" s="282"/>
      <c r="Q37" s="304">
        <f>SUM(Q38:Q48)</f>
        <v>39681</v>
      </c>
      <c r="R37" s="287"/>
      <c r="S37" s="304">
        <f t="shared" ref="S37:AB37" si="5">SUM(S38:S48)</f>
        <v>0</v>
      </c>
      <c r="T37" s="304">
        <f t="shared" si="5"/>
        <v>0</v>
      </c>
      <c r="U37" s="304">
        <f t="shared" si="5"/>
        <v>11347.666666666666</v>
      </c>
      <c r="V37" s="304">
        <f t="shared" si="5"/>
        <v>0</v>
      </c>
      <c r="W37" s="304">
        <f t="shared" si="5"/>
        <v>28333.333333333336</v>
      </c>
      <c r="X37" s="304">
        <f t="shared" si="5"/>
        <v>0</v>
      </c>
      <c r="Y37" s="304">
        <f t="shared" si="5"/>
        <v>0</v>
      </c>
      <c r="Z37" s="304">
        <f t="shared" si="5"/>
        <v>0</v>
      </c>
      <c r="AA37" s="304">
        <f t="shared" si="5"/>
        <v>0</v>
      </c>
      <c r="AB37" s="304">
        <f t="shared" si="5"/>
        <v>0</v>
      </c>
    </row>
    <row r="38" spans="1:28" ht="32.25" customHeight="1">
      <c r="A38" s="305">
        <v>2121</v>
      </c>
      <c r="B38" s="291" t="s">
        <v>60</v>
      </c>
      <c r="C38" s="291" t="s">
        <v>307</v>
      </c>
      <c r="D38" s="291"/>
      <c r="E38" s="292">
        <v>2</v>
      </c>
      <c r="F38" s="293">
        <v>43227</v>
      </c>
      <c r="G38" s="293">
        <f t="shared" ref="G38:G48" si="6">+E38+F38</f>
        <v>43229</v>
      </c>
      <c r="H38" s="306" t="s">
        <v>294</v>
      </c>
      <c r="I38" s="294" t="s">
        <v>171</v>
      </c>
      <c r="J38" s="295" t="s">
        <v>295</v>
      </c>
      <c r="K38" s="307" t="s">
        <v>308</v>
      </c>
      <c r="L38" s="295">
        <v>23173</v>
      </c>
      <c r="M38" s="296"/>
      <c r="N38" s="294"/>
      <c r="O38" s="308">
        <v>270</v>
      </c>
      <c r="P38" s="295">
        <v>1</v>
      </c>
      <c r="Q38" s="298">
        <v>90</v>
      </c>
      <c r="R38" s="299"/>
      <c r="S38" s="298"/>
      <c r="T38" s="298"/>
      <c r="U38" s="298">
        <f t="shared" si="3"/>
        <v>90</v>
      </c>
      <c r="V38" s="298"/>
      <c r="W38" s="298"/>
      <c r="X38" s="298"/>
      <c r="Y38" s="298"/>
      <c r="Z38" s="300"/>
      <c r="AA38" s="300"/>
      <c r="AB38" s="300"/>
    </row>
    <row r="39" spans="1:28" ht="32.25" customHeight="1">
      <c r="A39" s="305">
        <v>2121</v>
      </c>
      <c r="B39" s="291" t="s">
        <v>60</v>
      </c>
      <c r="C39" s="291" t="s">
        <v>307</v>
      </c>
      <c r="D39" s="291"/>
      <c r="E39" s="292">
        <v>2</v>
      </c>
      <c r="F39" s="293">
        <v>43227</v>
      </c>
      <c r="G39" s="293">
        <f t="shared" si="6"/>
        <v>43229</v>
      </c>
      <c r="H39" s="306" t="s">
        <v>294</v>
      </c>
      <c r="I39" s="294" t="s">
        <v>171</v>
      </c>
      <c r="J39" s="295" t="s">
        <v>295</v>
      </c>
      <c r="K39" s="307" t="s">
        <v>309</v>
      </c>
      <c r="L39" s="295">
        <v>23173</v>
      </c>
      <c r="M39" s="296"/>
      <c r="N39" s="294"/>
      <c r="O39" s="308">
        <v>1260</v>
      </c>
      <c r="P39" s="295">
        <v>1</v>
      </c>
      <c r="Q39" s="298">
        <v>420</v>
      </c>
      <c r="R39" s="299"/>
      <c r="S39" s="298"/>
      <c r="T39" s="298"/>
      <c r="U39" s="298">
        <f t="shared" si="3"/>
        <v>420</v>
      </c>
      <c r="V39" s="298"/>
      <c r="W39" s="298"/>
      <c r="X39" s="298"/>
      <c r="Y39" s="298"/>
      <c r="Z39" s="300"/>
      <c r="AA39" s="300"/>
      <c r="AB39" s="300"/>
    </row>
    <row r="40" spans="1:28" ht="32.25" customHeight="1">
      <c r="A40" s="305">
        <v>2121</v>
      </c>
      <c r="B40" s="291" t="s">
        <v>60</v>
      </c>
      <c r="C40" s="291" t="s">
        <v>307</v>
      </c>
      <c r="D40" s="291"/>
      <c r="E40" s="292">
        <v>2</v>
      </c>
      <c r="F40" s="293">
        <v>43227</v>
      </c>
      <c r="G40" s="293">
        <f t="shared" si="6"/>
        <v>43229</v>
      </c>
      <c r="H40" s="306" t="s">
        <v>294</v>
      </c>
      <c r="I40" s="294" t="s">
        <v>171</v>
      </c>
      <c r="J40" s="295" t="s">
        <v>295</v>
      </c>
      <c r="K40" s="309" t="s">
        <v>310</v>
      </c>
      <c r="L40" s="295">
        <v>23174</v>
      </c>
      <c r="M40" s="296"/>
      <c r="N40" s="294"/>
      <c r="O40" s="308">
        <v>11400</v>
      </c>
      <c r="P40" s="295">
        <v>1</v>
      </c>
      <c r="Q40" s="298">
        <v>3800</v>
      </c>
      <c r="R40" s="299"/>
      <c r="S40" s="298"/>
      <c r="T40" s="298"/>
      <c r="U40" s="298">
        <f t="shared" si="3"/>
        <v>3800</v>
      </c>
      <c r="V40" s="298"/>
      <c r="W40" s="298"/>
      <c r="X40" s="298"/>
      <c r="Y40" s="298"/>
      <c r="Z40" s="300"/>
      <c r="AA40" s="300"/>
      <c r="AB40" s="300"/>
    </row>
    <row r="41" spans="1:28" ht="32.25" customHeight="1">
      <c r="A41" s="305">
        <v>2121</v>
      </c>
      <c r="B41" s="291" t="s">
        <v>60</v>
      </c>
      <c r="C41" s="291" t="s">
        <v>307</v>
      </c>
      <c r="D41" s="291"/>
      <c r="E41" s="292">
        <v>2</v>
      </c>
      <c r="F41" s="293">
        <v>43227</v>
      </c>
      <c r="G41" s="293">
        <f t="shared" si="6"/>
        <v>43229</v>
      </c>
      <c r="H41" s="306" t="s">
        <v>294</v>
      </c>
      <c r="I41" s="294" t="s">
        <v>171</v>
      </c>
      <c r="J41" s="295" t="s">
        <v>295</v>
      </c>
      <c r="K41" s="307" t="s">
        <v>311</v>
      </c>
      <c r="L41" s="295">
        <v>23174</v>
      </c>
      <c r="M41" s="296"/>
      <c r="N41" s="294"/>
      <c r="O41" s="308">
        <v>1200</v>
      </c>
      <c r="P41" s="295">
        <v>1</v>
      </c>
      <c r="Q41" s="298">
        <v>400</v>
      </c>
      <c r="R41" s="299"/>
      <c r="S41" s="298"/>
      <c r="T41" s="298"/>
      <c r="U41" s="298">
        <f t="shared" si="3"/>
        <v>400</v>
      </c>
      <c r="V41" s="298"/>
      <c r="W41" s="298"/>
      <c r="X41" s="298"/>
      <c r="Y41" s="298"/>
      <c r="Z41" s="300"/>
      <c r="AA41" s="300"/>
      <c r="AB41" s="300"/>
    </row>
    <row r="42" spans="1:28" ht="32.25" customHeight="1">
      <c r="A42" s="305">
        <v>2121</v>
      </c>
      <c r="B42" s="291" t="s">
        <v>60</v>
      </c>
      <c r="C42" s="291" t="s">
        <v>307</v>
      </c>
      <c r="D42" s="291"/>
      <c r="E42" s="292">
        <v>2</v>
      </c>
      <c r="F42" s="293">
        <v>43227</v>
      </c>
      <c r="G42" s="293">
        <f t="shared" si="6"/>
        <v>43229</v>
      </c>
      <c r="H42" s="306" t="s">
        <v>294</v>
      </c>
      <c r="I42" s="294" t="s">
        <v>171</v>
      </c>
      <c r="J42" s="295" t="s">
        <v>295</v>
      </c>
      <c r="K42" s="307" t="s">
        <v>301</v>
      </c>
      <c r="L42" s="295">
        <v>23172</v>
      </c>
      <c r="M42" s="296"/>
      <c r="N42" s="294"/>
      <c r="O42" s="308">
        <v>900</v>
      </c>
      <c r="P42" s="295">
        <v>1</v>
      </c>
      <c r="Q42" s="298">
        <v>300</v>
      </c>
      <c r="R42" s="299"/>
      <c r="S42" s="298"/>
      <c r="T42" s="298"/>
      <c r="U42" s="298">
        <f t="shared" si="3"/>
        <v>300</v>
      </c>
      <c r="V42" s="298"/>
      <c r="W42" s="298"/>
      <c r="X42" s="298"/>
      <c r="Y42" s="298"/>
      <c r="Z42" s="300"/>
      <c r="AA42" s="300"/>
      <c r="AB42" s="300"/>
    </row>
    <row r="43" spans="1:28" ht="32.25" customHeight="1">
      <c r="A43" s="305">
        <v>2121</v>
      </c>
      <c r="B43" s="291" t="s">
        <v>60</v>
      </c>
      <c r="C43" s="291" t="s">
        <v>307</v>
      </c>
      <c r="D43" s="291"/>
      <c r="E43" s="292">
        <v>2</v>
      </c>
      <c r="F43" s="293">
        <v>43227</v>
      </c>
      <c r="G43" s="293">
        <f t="shared" si="6"/>
        <v>43229</v>
      </c>
      <c r="H43" s="306" t="s">
        <v>294</v>
      </c>
      <c r="I43" s="294" t="s">
        <v>171</v>
      </c>
      <c r="J43" s="295" t="s">
        <v>295</v>
      </c>
      <c r="K43" s="309" t="s">
        <v>312</v>
      </c>
      <c r="L43" s="295">
        <v>23173</v>
      </c>
      <c r="M43" s="296"/>
      <c r="N43" s="294"/>
      <c r="O43" s="308">
        <v>300</v>
      </c>
      <c r="P43" s="295">
        <v>1</v>
      </c>
      <c r="Q43" s="298">
        <v>100</v>
      </c>
      <c r="R43" s="299"/>
      <c r="S43" s="298"/>
      <c r="T43" s="298"/>
      <c r="U43" s="298">
        <f t="shared" si="3"/>
        <v>100</v>
      </c>
      <c r="V43" s="298"/>
      <c r="W43" s="298"/>
      <c r="X43" s="298"/>
      <c r="Y43" s="298"/>
      <c r="Z43" s="300"/>
      <c r="AA43" s="300"/>
      <c r="AB43" s="300"/>
    </row>
    <row r="44" spans="1:28" ht="32.25" customHeight="1">
      <c r="A44" s="305">
        <v>2121</v>
      </c>
      <c r="B44" s="291" t="s">
        <v>60</v>
      </c>
      <c r="C44" s="291" t="s">
        <v>307</v>
      </c>
      <c r="D44" s="291"/>
      <c r="E44" s="292">
        <v>2</v>
      </c>
      <c r="F44" s="293">
        <v>43227</v>
      </c>
      <c r="G44" s="293">
        <f t="shared" si="6"/>
        <v>43229</v>
      </c>
      <c r="H44" s="306" t="s">
        <v>294</v>
      </c>
      <c r="I44" s="294" t="s">
        <v>171</v>
      </c>
      <c r="J44" s="295" t="s">
        <v>295</v>
      </c>
      <c r="K44" s="307" t="s">
        <v>302</v>
      </c>
      <c r="L44" s="295">
        <v>23173</v>
      </c>
      <c r="M44" s="296"/>
      <c r="N44" s="294"/>
      <c r="O44" s="308">
        <v>713</v>
      </c>
      <c r="P44" s="295">
        <v>1</v>
      </c>
      <c r="Q44" s="298">
        <v>237.66666666666666</v>
      </c>
      <c r="R44" s="299"/>
      <c r="S44" s="298"/>
      <c r="T44" s="298"/>
      <c r="U44" s="298">
        <f t="shared" si="3"/>
        <v>237.66666666666666</v>
      </c>
      <c r="V44" s="298"/>
      <c r="W44" s="298"/>
      <c r="X44" s="298"/>
      <c r="Y44" s="298"/>
      <c r="Z44" s="300"/>
      <c r="AA44" s="300"/>
      <c r="AB44" s="300"/>
    </row>
    <row r="45" spans="1:28" ht="32.25" customHeight="1">
      <c r="A45" s="305">
        <v>2122</v>
      </c>
      <c r="B45" s="291" t="s">
        <v>313</v>
      </c>
      <c r="C45" s="310" t="s">
        <v>314</v>
      </c>
      <c r="D45" s="291"/>
      <c r="E45" s="292">
        <v>60</v>
      </c>
      <c r="F45" s="293">
        <v>43221</v>
      </c>
      <c r="G45" s="293">
        <f t="shared" si="6"/>
        <v>43281</v>
      </c>
      <c r="H45" s="306" t="s">
        <v>294</v>
      </c>
      <c r="I45" s="294" t="s">
        <v>171</v>
      </c>
      <c r="J45" s="295" t="s">
        <v>295</v>
      </c>
      <c r="K45" s="307" t="s">
        <v>315</v>
      </c>
      <c r="L45" s="295">
        <v>2313</v>
      </c>
      <c r="M45" s="296"/>
      <c r="N45" s="294"/>
      <c r="O45" s="297">
        <v>3333.3333333333335</v>
      </c>
      <c r="P45" s="295">
        <v>1</v>
      </c>
      <c r="Q45" s="298">
        <f t="shared" ref="Q45:Q105" si="7">+O45*P45</f>
        <v>3333.3333333333335</v>
      </c>
      <c r="R45" s="299"/>
      <c r="S45" s="298"/>
      <c r="T45" s="298"/>
      <c r="U45" s="298">
        <f t="shared" si="3"/>
        <v>3333.3333333333335</v>
      </c>
      <c r="V45" s="298"/>
      <c r="W45" s="298"/>
      <c r="X45" s="298"/>
      <c r="Y45" s="298"/>
      <c r="Z45" s="300"/>
      <c r="AA45" s="300"/>
      <c r="AB45" s="300"/>
    </row>
    <row r="46" spans="1:28" ht="32.25" customHeight="1">
      <c r="A46" s="305">
        <v>2123</v>
      </c>
      <c r="B46" s="310" t="s">
        <v>316</v>
      </c>
      <c r="C46" s="310" t="s">
        <v>314</v>
      </c>
      <c r="D46" s="291"/>
      <c r="E46" s="292">
        <v>60</v>
      </c>
      <c r="F46" s="293">
        <v>43221</v>
      </c>
      <c r="G46" s="293">
        <f t="shared" si="6"/>
        <v>43281</v>
      </c>
      <c r="H46" s="306" t="s">
        <v>294</v>
      </c>
      <c r="I46" s="294" t="s">
        <v>171</v>
      </c>
      <c r="J46" s="295" t="s">
        <v>295</v>
      </c>
      <c r="K46" s="307" t="s">
        <v>317</v>
      </c>
      <c r="L46" s="295">
        <v>2313</v>
      </c>
      <c r="M46" s="296"/>
      <c r="N46" s="294"/>
      <c r="O46" s="297">
        <v>2666.6666666666665</v>
      </c>
      <c r="P46" s="295">
        <v>1</v>
      </c>
      <c r="Q46" s="298">
        <f t="shared" si="7"/>
        <v>2666.6666666666665</v>
      </c>
      <c r="R46" s="299"/>
      <c r="S46" s="298"/>
      <c r="T46" s="298"/>
      <c r="U46" s="298">
        <f t="shared" si="3"/>
        <v>2666.6666666666665</v>
      </c>
      <c r="V46" s="298"/>
      <c r="W46" s="298"/>
      <c r="X46" s="298"/>
      <c r="Y46" s="298"/>
      <c r="Z46" s="300"/>
      <c r="AA46" s="300"/>
      <c r="AB46" s="300"/>
    </row>
    <row r="47" spans="1:28" ht="32.25" customHeight="1">
      <c r="A47" s="305">
        <v>2124</v>
      </c>
      <c r="B47" s="310" t="s">
        <v>318</v>
      </c>
      <c r="C47" s="310" t="s">
        <v>319</v>
      </c>
      <c r="D47" s="291"/>
      <c r="E47" s="292">
        <v>15</v>
      </c>
      <c r="F47" s="293">
        <v>43283</v>
      </c>
      <c r="G47" s="293">
        <f t="shared" si="6"/>
        <v>43298</v>
      </c>
      <c r="H47" s="306" t="s">
        <v>294</v>
      </c>
      <c r="I47" s="294" t="s">
        <v>171</v>
      </c>
      <c r="J47" s="295" t="s">
        <v>295</v>
      </c>
      <c r="K47" s="311" t="s">
        <v>320</v>
      </c>
      <c r="L47" s="295">
        <v>23173</v>
      </c>
      <c r="M47" s="296"/>
      <c r="N47" s="294"/>
      <c r="O47" s="297">
        <v>16666.666666666668</v>
      </c>
      <c r="P47" s="297">
        <v>0.5</v>
      </c>
      <c r="Q47" s="298">
        <f t="shared" si="7"/>
        <v>8333.3333333333339</v>
      </c>
      <c r="R47" s="299"/>
      <c r="S47" s="298"/>
      <c r="T47" s="298"/>
      <c r="U47" s="298"/>
      <c r="V47" s="298"/>
      <c r="W47" s="298">
        <f>+Q47</f>
        <v>8333.3333333333339</v>
      </c>
      <c r="X47" s="298"/>
      <c r="Y47" s="298"/>
      <c r="Z47" s="300"/>
      <c r="AA47" s="300"/>
      <c r="AB47" s="300"/>
    </row>
    <row r="48" spans="1:28" ht="32.25" customHeight="1">
      <c r="A48" s="305">
        <v>2125</v>
      </c>
      <c r="B48" s="312" t="s">
        <v>61</v>
      </c>
      <c r="C48" s="313" t="s">
        <v>321</v>
      </c>
      <c r="D48" s="291"/>
      <c r="E48" s="292">
        <v>15</v>
      </c>
      <c r="F48" s="293">
        <v>43304</v>
      </c>
      <c r="G48" s="293">
        <f t="shared" si="6"/>
        <v>43319</v>
      </c>
      <c r="H48" s="306" t="s">
        <v>294</v>
      </c>
      <c r="I48" s="294" t="s">
        <v>171</v>
      </c>
      <c r="J48" s="295" t="s">
        <v>295</v>
      </c>
      <c r="K48" s="307" t="s">
        <v>322</v>
      </c>
      <c r="L48" s="295">
        <v>2315</v>
      </c>
      <c r="M48" s="296"/>
      <c r="N48" s="294"/>
      <c r="O48" s="297">
        <v>333.33333333333331</v>
      </c>
      <c r="P48" s="295">
        <v>60</v>
      </c>
      <c r="Q48" s="298">
        <f t="shared" si="7"/>
        <v>20000</v>
      </c>
      <c r="R48" s="299"/>
      <c r="S48" s="298"/>
      <c r="T48" s="298"/>
      <c r="U48" s="298"/>
      <c r="V48" s="298"/>
      <c r="W48" s="298">
        <f>+Q48</f>
        <v>20000</v>
      </c>
      <c r="X48" s="298"/>
      <c r="Y48" s="298"/>
      <c r="Z48" s="300"/>
      <c r="AA48" s="300"/>
      <c r="AB48" s="300"/>
    </row>
    <row r="49" spans="1:28" ht="29.25" customHeight="1">
      <c r="A49" s="281">
        <v>213</v>
      </c>
      <c r="B49" s="302" t="s">
        <v>323</v>
      </c>
      <c r="C49" s="302"/>
      <c r="D49" s="302"/>
      <c r="E49" s="302"/>
      <c r="F49" s="302"/>
      <c r="G49" s="302"/>
      <c r="H49" s="302"/>
      <c r="I49" s="303"/>
      <c r="J49" s="282"/>
      <c r="K49" s="283"/>
      <c r="L49" s="282"/>
      <c r="M49" s="284"/>
      <c r="N49" s="283"/>
      <c r="O49" s="285"/>
      <c r="P49" s="282"/>
      <c r="Q49" s="304">
        <f>SUM(Q50:Q67)</f>
        <v>127504</v>
      </c>
      <c r="R49" s="287"/>
      <c r="S49" s="304">
        <f t="shared" ref="S49:AB49" si="8">SUM(S50:S67)</f>
        <v>0</v>
      </c>
      <c r="T49" s="304">
        <f t="shared" si="8"/>
        <v>0</v>
      </c>
      <c r="U49" s="304">
        <f t="shared" si="8"/>
        <v>0</v>
      </c>
      <c r="V49" s="304">
        <f t="shared" si="8"/>
        <v>0</v>
      </c>
      <c r="W49" s="304">
        <f t="shared" si="8"/>
        <v>4680</v>
      </c>
      <c r="X49" s="304">
        <f t="shared" si="8"/>
        <v>45624</v>
      </c>
      <c r="Y49" s="304">
        <f t="shared" si="8"/>
        <v>77200</v>
      </c>
      <c r="Z49" s="304">
        <f t="shared" si="8"/>
        <v>0</v>
      </c>
      <c r="AA49" s="304">
        <f t="shared" si="8"/>
        <v>0</v>
      </c>
      <c r="AB49" s="304">
        <f t="shared" si="8"/>
        <v>0</v>
      </c>
    </row>
    <row r="50" spans="1:28" ht="32.25" customHeight="1">
      <c r="A50" s="305">
        <v>2131</v>
      </c>
      <c r="B50" s="310" t="s">
        <v>62</v>
      </c>
      <c r="C50" s="310" t="s">
        <v>324</v>
      </c>
      <c r="D50" s="291"/>
      <c r="E50" s="292">
        <v>1</v>
      </c>
      <c r="F50" s="293">
        <v>43318</v>
      </c>
      <c r="G50" s="293">
        <f t="shared" ref="G50:G67" si="9">+E50+F50</f>
        <v>43319</v>
      </c>
      <c r="H50" s="306" t="s">
        <v>294</v>
      </c>
      <c r="I50" s="294" t="s">
        <v>171</v>
      </c>
      <c r="J50" s="295" t="s">
        <v>295</v>
      </c>
      <c r="K50" s="309" t="s">
        <v>296</v>
      </c>
      <c r="L50" s="295">
        <v>23174</v>
      </c>
      <c r="M50" s="296"/>
      <c r="N50" s="294"/>
      <c r="O50" s="297">
        <v>36</v>
      </c>
      <c r="P50" s="295">
        <v>60</v>
      </c>
      <c r="Q50" s="298">
        <f t="shared" si="7"/>
        <v>2160</v>
      </c>
      <c r="R50" s="299"/>
      <c r="S50" s="298"/>
      <c r="T50" s="298"/>
      <c r="U50" s="298"/>
      <c r="V50" s="298"/>
      <c r="W50" s="298">
        <v>1080</v>
      </c>
      <c r="X50" s="298">
        <v>1080</v>
      </c>
      <c r="Y50" s="298"/>
      <c r="Z50" s="300"/>
      <c r="AA50" s="300"/>
      <c r="AB50" s="300"/>
    </row>
    <row r="51" spans="1:28" ht="32.25" customHeight="1">
      <c r="A51" s="305">
        <v>2131</v>
      </c>
      <c r="B51" s="310" t="s">
        <v>62</v>
      </c>
      <c r="C51" s="310" t="s">
        <v>324</v>
      </c>
      <c r="D51" s="291"/>
      <c r="E51" s="292">
        <v>1</v>
      </c>
      <c r="F51" s="293">
        <v>43304</v>
      </c>
      <c r="G51" s="293">
        <f t="shared" si="9"/>
        <v>43305</v>
      </c>
      <c r="H51" s="306" t="s">
        <v>294</v>
      </c>
      <c r="I51" s="294" t="s">
        <v>171</v>
      </c>
      <c r="J51" s="295" t="s">
        <v>295</v>
      </c>
      <c r="K51" s="309" t="s">
        <v>325</v>
      </c>
      <c r="L51" s="295">
        <v>23174</v>
      </c>
      <c r="M51" s="296"/>
      <c r="N51" s="294"/>
      <c r="O51" s="297">
        <v>10</v>
      </c>
      <c r="P51" s="295">
        <v>60</v>
      </c>
      <c r="Q51" s="298">
        <f t="shared" si="7"/>
        <v>600</v>
      </c>
      <c r="R51" s="299"/>
      <c r="S51" s="298"/>
      <c r="T51" s="298"/>
      <c r="U51" s="298"/>
      <c r="V51" s="298"/>
      <c r="W51" s="298">
        <v>300</v>
      </c>
      <c r="X51" s="298">
        <v>300</v>
      </c>
      <c r="Y51" s="298"/>
      <c r="Z51" s="300"/>
      <c r="AA51" s="300"/>
      <c r="AB51" s="300"/>
    </row>
    <row r="52" spans="1:28" ht="32.25" customHeight="1">
      <c r="A52" s="305">
        <v>2131</v>
      </c>
      <c r="B52" s="310" t="s">
        <v>62</v>
      </c>
      <c r="C52" s="310" t="s">
        <v>324</v>
      </c>
      <c r="D52" s="291"/>
      <c r="E52" s="292">
        <v>1</v>
      </c>
      <c r="F52" s="293">
        <v>43304</v>
      </c>
      <c r="G52" s="293">
        <f t="shared" si="9"/>
        <v>43305</v>
      </c>
      <c r="H52" s="306" t="s">
        <v>294</v>
      </c>
      <c r="I52" s="294" t="s">
        <v>171</v>
      </c>
      <c r="J52" s="295" t="s">
        <v>295</v>
      </c>
      <c r="K52" s="309" t="s">
        <v>326</v>
      </c>
      <c r="L52" s="295">
        <v>23174</v>
      </c>
      <c r="M52" s="296"/>
      <c r="N52" s="294"/>
      <c r="O52" s="297">
        <v>100</v>
      </c>
      <c r="P52" s="295">
        <v>60</v>
      </c>
      <c r="Q52" s="298">
        <f t="shared" si="7"/>
        <v>6000</v>
      </c>
      <c r="R52" s="299"/>
      <c r="S52" s="298"/>
      <c r="T52" s="298"/>
      <c r="U52" s="298"/>
      <c r="V52" s="298"/>
      <c r="W52" s="298">
        <v>3000</v>
      </c>
      <c r="X52" s="298">
        <v>3000</v>
      </c>
      <c r="Y52" s="298"/>
      <c r="Z52" s="300"/>
      <c r="AA52" s="300"/>
      <c r="AB52" s="300"/>
    </row>
    <row r="53" spans="1:28" ht="32.25" customHeight="1">
      <c r="A53" s="305">
        <v>2131</v>
      </c>
      <c r="B53" s="310" t="s">
        <v>62</v>
      </c>
      <c r="C53" s="310" t="s">
        <v>324</v>
      </c>
      <c r="D53" s="291"/>
      <c r="E53" s="292">
        <v>1</v>
      </c>
      <c r="F53" s="293">
        <v>43304</v>
      </c>
      <c r="G53" s="293">
        <f t="shared" si="9"/>
        <v>43305</v>
      </c>
      <c r="H53" s="306" t="s">
        <v>294</v>
      </c>
      <c r="I53" s="294" t="s">
        <v>171</v>
      </c>
      <c r="J53" s="295" t="s">
        <v>295</v>
      </c>
      <c r="K53" s="309" t="s">
        <v>312</v>
      </c>
      <c r="L53" s="295">
        <v>23173</v>
      </c>
      <c r="M53" s="296"/>
      <c r="N53" s="294"/>
      <c r="O53" s="297">
        <v>10</v>
      </c>
      <c r="P53" s="295">
        <v>60</v>
      </c>
      <c r="Q53" s="298">
        <f t="shared" si="7"/>
        <v>600</v>
      </c>
      <c r="R53" s="299"/>
      <c r="S53" s="298"/>
      <c r="T53" s="298"/>
      <c r="U53" s="298"/>
      <c r="V53" s="298"/>
      <c r="W53" s="298">
        <v>300</v>
      </c>
      <c r="X53" s="298">
        <v>300</v>
      </c>
      <c r="Y53" s="298"/>
      <c r="Z53" s="300"/>
      <c r="AA53" s="300"/>
      <c r="AB53" s="300"/>
    </row>
    <row r="54" spans="1:28" ht="32.25" customHeight="1">
      <c r="A54" s="305">
        <v>2132</v>
      </c>
      <c r="B54" s="310" t="s">
        <v>63</v>
      </c>
      <c r="C54" s="310" t="s">
        <v>327</v>
      </c>
      <c r="D54" s="291"/>
      <c r="E54" s="292">
        <v>3</v>
      </c>
      <c r="F54" s="293">
        <v>43318</v>
      </c>
      <c r="G54" s="293">
        <f t="shared" si="9"/>
        <v>43321</v>
      </c>
      <c r="H54" s="306" t="s">
        <v>294</v>
      </c>
      <c r="I54" s="294" t="s">
        <v>171</v>
      </c>
      <c r="J54" s="295" t="s">
        <v>295</v>
      </c>
      <c r="K54" s="309" t="s">
        <v>328</v>
      </c>
      <c r="L54" s="295">
        <v>23174</v>
      </c>
      <c r="M54" s="296"/>
      <c r="N54" s="294"/>
      <c r="O54" s="297">
        <v>380</v>
      </c>
      <c r="P54" s="295">
        <v>3</v>
      </c>
      <c r="Q54" s="298">
        <f t="shared" si="7"/>
        <v>1140</v>
      </c>
      <c r="R54" s="299"/>
      <c r="S54" s="298"/>
      <c r="T54" s="298"/>
      <c r="U54" s="298"/>
      <c r="V54" s="298"/>
      <c r="W54" s="298"/>
      <c r="X54" s="298">
        <f t="shared" ref="X54:X65" si="10">+Q54</f>
        <v>1140</v>
      </c>
      <c r="Y54" s="298"/>
      <c r="Z54" s="300"/>
      <c r="AA54" s="300"/>
      <c r="AB54" s="300"/>
    </row>
    <row r="55" spans="1:28" ht="32.25" customHeight="1">
      <c r="A55" s="305">
        <v>2132</v>
      </c>
      <c r="B55" s="310" t="s">
        <v>63</v>
      </c>
      <c r="C55" s="310" t="s">
        <v>327</v>
      </c>
      <c r="D55" s="291"/>
      <c r="E55" s="292">
        <v>3</v>
      </c>
      <c r="F55" s="293">
        <v>43318</v>
      </c>
      <c r="G55" s="293">
        <f t="shared" si="9"/>
        <v>43321</v>
      </c>
      <c r="H55" s="306" t="s">
        <v>294</v>
      </c>
      <c r="I55" s="294" t="s">
        <v>171</v>
      </c>
      <c r="J55" s="295" t="s">
        <v>295</v>
      </c>
      <c r="K55" s="309" t="s">
        <v>325</v>
      </c>
      <c r="L55" s="295">
        <v>23174</v>
      </c>
      <c r="M55" s="296"/>
      <c r="N55" s="294"/>
      <c r="O55" s="297">
        <v>96.666666666666671</v>
      </c>
      <c r="P55" s="295">
        <v>3</v>
      </c>
      <c r="Q55" s="298">
        <f t="shared" si="7"/>
        <v>290</v>
      </c>
      <c r="R55" s="299"/>
      <c r="S55" s="298"/>
      <c r="T55" s="298"/>
      <c r="U55" s="298"/>
      <c r="V55" s="298"/>
      <c r="W55" s="298"/>
      <c r="X55" s="298">
        <f t="shared" si="10"/>
        <v>290</v>
      </c>
      <c r="Y55" s="298"/>
      <c r="Z55" s="300"/>
      <c r="AA55" s="300"/>
      <c r="AB55" s="300"/>
    </row>
    <row r="56" spans="1:28" ht="32.25" customHeight="1">
      <c r="A56" s="305">
        <v>2132</v>
      </c>
      <c r="B56" s="310" t="s">
        <v>63</v>
      </c>
      <c r="C56" s="310" t="s">
        <v>327</v>
      </c>
      <c r="D56" s="291"/>
      <c r="E56" s="292">
        <v>3</v>
      </c>
      <c r="F56" s="293">
        <v>43318</v>
      </c>
      <c r="G56" s="293">
        <f t="shared" si="9"/>
        <v>43321</v>
      </c>
      <c r="H56" s="306" t="s">
        <v>294</v>
      </c>
      <c r="I56" s="294" t="s">
        <v>171</v>
      </c>
      <c r="J56" s="295" t="s">
        <v>295</v>
      </c>
      <c r="K56" s="309" t="s">
        <v>329</v>
      </c>
      <c r="L56" s="295">
        <v>23174</v>
      </c>
      <c r="M56" s="296"/>
      <c r="N56" s="294"/>
      <c r="O56" s="297">
        <v>1000</v>
      </c>
      <c r="P56" s="295">
        <v>3</v>
      </c>
      <c r="Q56" s="298">
        <f t="shared" si="7"/>
        <v>3000</v>
      </c>
      <c r="R56" s="299"/>
      <c r="S56" s="298"/>
      <c r="T56" s="298"/>
      <c r="U56" s="298"/>
      <c r="V56" s="298"/>
      <c r="W56" s="298"/>
      <c r="X56" s="298">
        <f t="shared" si="10"/>
        <v>3000</v>
      </c>
      <c r="Y56" s="298"/>
      <c r="Z56" s="300"/>
      <c r="AA56" s="300"/>
      <c r="AB56" s="300"/>
    </row>
    <row r="57" spans="1:28" ht="32.25" customHeight="1">
      <c r="A57" s="305">
        <v>2132</v>
      </c>
      <c r="B57" s="310" t="s">
        <v>63</v>
      </c>
      <c r="C57" s="310" t="s">
        <v>327</v>
      </c>
      <c r="D57" s="291"/>
      <c r="E57" s="292">
        <v>3</v>
      </c>
      <c r="F57" s="293">
        <v>43318</v>
      </c>
      <c r="G57" s="293">
        <f t="shared" si="9"/>
        <v>43321</v>
      </c>
      <c r="H57" s="306" t="s">
        <v>294</v>
      </c>
      <c r="I57" s="294" t="s">
        <v>171</v>
      </c>
      <c r="J57" s="295" t="s">
        <v>295</v>
      </c>
      <c r="K57" s="309" t="s">
        <v>326</v>
      </c>
      <c r="L57" s="295">
        <v>23174</v>
      </c>
      <c r="M57" s="295"/>
      <c r="N57" s="294"/>
      <c r="O57" s="297">
        <v>100</v>
      </c>
      <c r="P57" s="295">
        <v>3</v>
      </c>
      <c r="Q57" s="298">
        <f t="shared" si="7"/>
        <v>300</v>
      </c>
      <c r="R57" s="299"/>
      <c r="S57" s="298"/>
      <c r="T57" s="298"/>
      <c r="U57" s="298"/>
      <c r="V57" s="298"/>
      <c r="W57" s="298"/>
      <c r="X57" s="298">
        <f t="shared" si="10"/>
        <v>300</v>
      </c>
      <c r="Y57" s="298"/>
      <c r="Z57" s="300"/>
      <c r="AA57" s="300"/>
      <c r="AB57" s="300"/>
    </row>
    <row r="58" spans="1:28" ht="32.25" customHeight="1">
      <c r="A58" s="305">
        <v>2133</v>
      </c>
      <c r="B58" s="313" t="s">
        <v>64</v>
      </c>
      <c r="C58" s="313" t="s">
        <v>330</v>
      </c>
      <c r="D58" s="291"/>
      <c r="E58" s="292">
        <v>2</v>
      </c>
      <c r="F58" s="293">
        <v>43325</v>
      </c>
      <c r="G58" s="293">
        <f t="shared" si="9"/>
        <v>43327</v>
      </c>
      <c r="H58" s="306" t="s">
        <v>294</v>
      </c>
      <c r="I58" s="294" t="s">
        <v>171</v>
      </c>
      <c r="J58" s="295" t="s">
        <v>295</v>
      </c>
      <c r="K58" s="309" t="s">
        <v>296</v>
      </c>
      <c r="L58" s="295">
        <v>23174</v>
      </c>
      <c r="M58" s="295"/>
      <c r="N58" s="294"/>
      <c r="O58" s="297">
        <v>900</v>
      </c>
      <c r="P58" s="314">
        <v>3</v>
      </c>
      <c r="Q58" s="298">
        <f t="shared" si="7"/>
        <v>2700</v>
      </c>
      <c r="R58" s="299"/>
      <c r="S58" s="298"/>
      <c r="T58" s="298"/>
      <c r="U58" s="298"/>
      <c r="V58" s="298"/>
      <c r="W58" s="298"/>
      <c r="X58" s="298">
        <f t="shared" si="10"/>
        <v>2700</v>
      </c>
      <c r="Y58" s="298"/>
      <c r="Z58" s="300"/>
      <c r="AA58" s="300"/>
      <c r="AB58" s="300"/>
    </row>
    <row r="59" spans="1:28" ht="32.25" customHeight="1">
      <c r="A59" s="305">
        <v>2133</v>
      </c>
      <c r="B59" s="313" t="s">
        <v>64</v>
      </c>
      <c r="C59" s="313" t="s">
        <v>330</v>
      </c>
      <c r="D59" s="291"/>
      <c r="E59" s="292">
        <v>2</v>
      </c>
      <c r="F59" s="293">
        <v>43325</v>
      </c>
      <c r="G59" s="293">
        <f t="shared" si="9"/>
        <v>43327</v>
      </c>
      <c r="H59" s="306" t="s">
        <v>294</v>
      </c>
      <c r="I59" s="294" t="s">
        <v>171</v>
      </c>
      <c r="J59" s="295" t="s">
        <v>295</v>
      </c>
      <c r="K59" s="309" t="s">
        <v>297</v>
      </c>
      <c r="L59" s="295">
        <v>23174</v>
      </c>
      <c r="M59" s="295"/>
      <c r="N59" s="294"/>
      <c r="O59" s="297">
        <v>101.33333333333333</v>
      </c>
      <c r="P59" s="314">
        <v>3</v>
      </c>
      <c r="Q59" s="298">
        <f t="shared" si="7"/>
        <v>304</v>
      </c>
      <c r="R59" s="299"/>
      <c r="S59" s="298"/>
      <c r="T59" s="298"/>
      <c r="U59" s="298"/>
      <c r="V59" s="298"/>
      <c r="W59" s="298"/>
      <c r="X59" s="298">
        <f t="shared" si="10"/>
        <v>304</v>
      </c>
      <c r="Y59" s="298"/>
      <c r="Z59" s="300"/>
      <c r="AA59" s="300"/>
      <c r="AB59" s="300"/>
    </row>
    <row r="60" spans="1:28" ht="32.25" customHeight="1">
      <c r="A60" s="305">
        <v>2133</v>
      </c>
      <c r="B60" s="313" t="s">
        <v>64</v>
      </c>
      <c r="C60" s="313" t="s">
        <v>330</v>
      </c>
      <c r="D60" s="291"/>
      <c r="E60" s="292">
        <v>2</v>
      </c>
      <c r="F60" s="293">
        <v>43325</v>
      </c>
      <c r="G60" s="293">
        <f t="shared" si="9"/>
        <v>43327</v>
      </c>
      <c r="H60" s="306" t="s">
        <v>294</v>
      </c>
      <c r="I60" s="294" t="s">
        <v>171</v>
      </c>
      <c r="J60" s="295" t="s">
        <v>295</v>
      </c>
      <c r="K60" s="309" t="s">
        <v>331</v>
      </c>
      <c r="L60" s="295">
        <v>23174</v>
      </c>
      <c r="M60" s="295"/>
      <c r="N60" s="294"/>
      <c r="O60" s="297">
        <v>112</v>
      </c>
      <c r="P60" s="314">
        <v>3</v>
      </c>
      <c r="Q60" s="298">
        <f t="shared" si="7"/>
        <v>336</v>
      </c>
      <c r="R60" s="299"/>
      <c r="S60" s="298"/>
      <c r="T60" s="298"/>
      <c r="U60" s="298"/>
      <c r="V60" s="298"/>
      <c r="W60" s="298"/>
      <c r="X60" s="298">
        <f t="shared" si="10"/>
        <v>336</v>
      </c>
      <c r="Y60" s="298"/>
      <c r="Z60" s="300"/>
      <c r="AA60" s="300"/>
      <c r="AB60" s="300"/>
    </row>
    <row r="61" spans="1:28" ht="32.25" customHeight="1">
      <c r="A61" s="305">
        <v>2133</v>
      </c>
      <c r="B61" s="313" t="s">
        <v>64</v>
      </c>
      <c r="C61" s="313" t="s">
        <v>330</v>
      </c>
      <c r="D61" s="291"/>
      <c r="E61" s="292">
        <v>2</v>
      </c>
      <c r="F61" s="293">
        <v>43325</v>
      </c>
      <c r="G61" s="293">
        <f t="shared" si="9"/>
        <v>43327</v>
      </c>
      <c r="H61" s="306" t="s">
        <v>294</v>
      </c>
      <c r="I61" s="294" t="s">
        <v>171</v>
      </c>
      <c r="J61" s="295" t="s">
        <v>295</v>
      </c>
      <c r="K61" s="309" t="s">
        <v>332</v>
      </c>
      <c r="L61" s="295">
        <v>23174</v>
      </c>
      <c r="M61" s="295"/>
      <c r="N61" s="294"/>
      <c r="O61" s="297">
        <v>166.66666666666666</v>
      </c>
      <c r="P61" s="314">
        <v>3</v>
      </c>
      <c r="Q61" s="298">
        <f t="shared" si="7"/>
        <v>500</v>
      </c>
      <c r="R61" s="299"/>
      <c r="S61" s="298"/>
      <c r="T61" s="298"/>
      <c r="U61" s="298"/>
      <c r="V61" s="298"/>
      <c r="W61" s="298"/>
      <c r="X61" s="298">
        <f t="shared" si="10"/>
        <v>500</v>
      </c>
      <c r="Y61" s="298"/>
      <c r="Z61" s="300"/>
      <c r="AA61" s="300"/>
      <c r="AB61" s="300"/>
    </row>
    <row r="62" spans="1:28" ht="32.25" customHeight="1">
      <c r="A62" s="305">
        <v>2133</v>
      </c>
      <c r="B62" s="313" t="s">
        <v>64</v>
      </c>
      <c r="C62" s="313" t="s">
        <v>330</v>
      </c>
      <c r="D62" s="291"/>
      <c r="E62" s="292">
        <v>2</v>
      </c>
      <c r="F62" s="293">
        <v>43325</v>
      </c>
      <c r="G62" s="293">
        <f t="shared" si="9"/>
        <v>43327</v>
      </c>
      <c r="H62" s="306" t="s">
        <v>294</v>
      </c>
      <c r="I62" s="294" t="s">
        <v>171</v>
      </c>
      <c r="J62" s="295" t="s">
        <v>295</v>
      </c>
      <c r="K62" s="309" t="s">
        <v>311</v>
      </c>
      <c r="L62" s="295">
        <v>23174</v>
      </c>
      <c r="M62" s="295"/>
      <c r="N62" s="294"/>
      <c r="O62" s="297">
        <v>426.66666666666669</v>
      </c>
      <c r="P62" s="314">
        <v>3</v>
      </c>
      <c r="Q62" s="298">
        <f t="shared" si="7"/>
        <v>1280</v>
      </c>
      <c r="R62" s="299"/>
      <c r="S62" s="298"/>
      <c r="T62" s="298"/>
      <c r="U62" s="298"/>
      <c r="V62" s="298"/>
      <c r="W62" s="298"/>
      <c r="X62" s="298">
        <f t="shared" si="10"/>
        <v>1280</v>
      </c>
      <c r="Y62" s="298"/>
      <c r="Z62" s="300"/>
      <c r="AA62" s="300"/>
      <c r="AB62" s="300"/>
    </row>
    <row r="63" spans="1:28" ht="32.25" customHeight="1">
      <c r="A63" s="305">
        <v>2133</v>
      </c>
      <c r="B63" s="313" t="s">
        <v>64</v>
      </c>
      <c r="C63" s="313" t="s">
        <v>330</v>
      </c>
      <c r="D63" s="291"/>
      <c r="E63" s="292">
        <v>2</v>
      </c>
      <c r="F63" s="293">
        <v>43325</v>
      </c>
      <c r="G63" s="293">
        <f t="shared" si="9"/>
        <v>43327</v>
      </c>
      <c r="H63" s="306" t="s">
        <v>294</v>
      </c>
      <c r="I63" s="294" t="s">
        <v>171</v>
      </c>
      <c r="J63" s="295" t="s">
        <v>295</v>
      </c>
      <c r="K63" s="309" t="s">
        <v>301</v>
      </c>
      <c r="L63" s="295">
        <v>23172</v>
      </c>
      <c r="M63" s="295"/>
      <c r="N63" s="294"/>
      <c r="O63" s="297">
        <v>33.333333333333336</v>
      </c>
      <c r="P63" s="314">
        <v>3</v>
      </c>
      <c r="Q63" s="298">
        <f t="shared" si="7"/>
        <v>100</v>
      </c>
      <c r="R63" s="299"/>
      <c r="S63" s="298"/>
      <c r="T63" s="298"/>
      <c r="U63" s="298"/>
      <c r="V63" s="298"/>
      <c r="W63" s="298"/>
      <c r="X63" s="298">
        <f t="shared" si="10"/>
        <v>100</v>
      </c>
      <c r="Y63" s="298"/>
      <c r="Z63" s="300"/>
      <c r="AA63" s="300"/>
      <c r="AB63" s="300"/>
    </row>
    <row r="64" spans="1:28" ht="32.25" customHeight="1">
      <c r="A64" s="305">
        <v>2133</v>
      </c>
      <c r="B64" s="313" t="s">
        <v>64</v>
      </c>
      <c r="C64" s="313" t="s">
        <v>330</v>
      </c>
      <c r="D64" s="291"/>
      <c r="E64" s="292">
        <v>2</v>
      </c>
      <c r="F64" s="293">
        <v>43325</v>
      </c>
      <c r="G64" s="293">
        <f t="shared" si="9"/>
        <v>43327</v>
      </c>
      <c r="H64" s="306" t="s">
        <v>294</v>
      </c>
      <c r="I64" s="294" t="s">
        <v>171</v>
      </c>
      <c r="J64" s="295" t="s">
        <v>295</v>
      </c>
      <c r="K64" s="309" t="s">
        <v>302</v>
      </c>
      <c r="L64" s="295">
        <v>23173</v>
      </c>
      <c r="M64" s="295"/>
      <c r="N64" s="294"/>
      <c r="O64" s="297">
        <v>237.66666666666666</v>
      </c>
      <c r="P64" s="314">
        <v>3</v>
      </c>
      <c r="Q64" s="298">
        <f t="shared" si="7"/>
        <v>713</v>
      </c>
      <c r="R64" s="299"/>
      <c r="S64" s="298"/>
      <c r="T64" s="298"/>
      <c r="U64" s="298"/>
      <c r="V64" s="298"/>
      <c r="W64" s="298"/>
      <c r="X64" s="298">
        <f t="shared" si="10"/>
        <v>713</v>
      </c>
      <c r="Y64" s="298"/>
      <c r="Z64" s="300"/>
      <c r="AA64" s="300"/>
      <c r="AB64" s="300"/>
    </row>
    <row r="65" spans="1:28" ht="32.25" customHeight="1">
      <c r="A65" s="305">
        <v>2134</v>
      </c>
      <c r="B65" s="310" t="s">
        <v>333</v>
      </c>
      <c r="C65" s="310" t="s">
        <v>334</v>
      </c>
      <c r="D65" s="291"/>
      <c r="E65" s="292">
        <v>15</v>
      </c>
      <c r="F65" s="293">
        <v>43304</v>
      </c>
      <c r="G65" s="293">
        <f t="shared" si="9"/>
        <v>43319</v>
      </c>
      <c r="H65" s="306" t="s">
        <v>294</v>
      </c>
      <c r="I65" s="294" t="s">
        <v>171</v>
      </c>
      <c r="J65" s="295" t="s">
        <v>295</v>
      </c>
      <c r="K65" s="311" t="s">
        <v>335</v>
      </c>
      <c r="L65" s="311">
        <v>2461</v>
      </c>
      <c r="M65" s="295"/>
      <c r="N65" s="294"/>
      <c r="O65" s="297">
        <v>504.68333333333334</v>
      </c>
      <c r="P65" s="295">
        <v>60</v>
      </c>
      <c r="Q65" s="298">
        <f t="shared" si="7"/>
        <v>30281</v>
      </c>
      <c r="R65" s="299"/>
      <c r="S65" s="298"/>
      <c r="T65" s="298"/>
      <c r="U65" s="298"/>
      <c r="V65" s="298"/>
      <c r="W65" s="298"/>
      <c r="X65" s="298">
        <f t="shared" si="10"/>
        <v>30281</v>
      </c>
      <c r="Z65" s="300"/>
      <c r="AA65" s="300"/>
      <c r="AB65" s="300"/>
    </row>
    <row r="66" spans="1:28" ht="32.25" customHeight="1">
      <c r="A66" s="305">
        <v>2135</v>
      </c>
      <c r="B66" s="310" t="s">
        <v>65</v>
      </c>
      <c r="C66" s="310" t="s">
        <v>336</v>
      </c>
      <c r="D66" s="291"/>
      <c r="E66" s="292">
        <v>30</v>
      </c>
      <c r="F66" s="293">
        <v>43346</v>
      </c>
      <c r="G66" s="293">
        <f t="shared" si="9"/>
        <v>43376</v>
      </c>
      <c r="H66" s="306" t="s">
        <v>294</v>
      </c>
      <c r="I66" s="294" t="s">
        <v>171</v>
      </c>
      <c r="J66" s="295" t="s">
        <v>295</v>
      </c>
      <c r="K66" s="307" t="s">
        <v>337</v>
      </c>
      <c r="L66" s="295">
        <v>6552</v>
      </c>
      <c r="M66" s="296"/>
      <c r="N66" s="294"/>
      <c r="O66" s="297">
        <v>1166.6666666666667</v>
      </c>
      <c r="P66" s="295">
        <v>60</v>
      </c>
      <c r="Q66" s="298">
        <f t="shared" si="7"/>
        <v>70000</v>
      </c>
      <c r="R66" s="299"/>
      <c r="S66" s="298"/>
      <c r="T66" s="298"/>
      <c r="U66" s="298"/>
      <c r="V66" s="298"/>
      <c r="W66" s="298"/>
      <c r="X66" s="298"/>
      <c r="Y66" s="298">
        <f>+Q66</f>
        <v>70000</v>
      </c>
      <c r="Z66" s="300"/>
      <c r="AA66" s="300"/>
      <c r="AB66" s="300"/>
    </row>
    <row r="67" spans="1:28" ht="32.25" customHeight="1">
      <c r="A67" s="305">
        <v>2136</v>
      </c>
      <c r="B67" s="313" t="s">
        <v>66</v>
      </c>
      <c r="C67" s="313" t="s">
        <v>338</v>
      </c>
      <c r="D67" s="291"/>
      <c r="E67" s="292">
        <v>30</v>
      </c>
      <c r="F67" s="293">
        <v>43346</v>
      </c>
      <c r="G67" s="293">
        <f t="shared" si="9"/>
        <v>43376</v>
      </c>
      <c r="H67" s="306" t="s">
        <v>294</v>
      </c>
      <c r="I67" s="294" t="s">
        <v>171</v>
      </c>
      <c r="J67" s="295" t="s">
        <v>295</v>
      </c>
      <c r="K67" s="307" t="s">
        <v>339</v>
      </c>
      <c r="L67" s="316">
        <v>6565</v>
      </c>
      <c r="M67" s="296"/>
      <c r="N67" s="294"/>
      <c r="O67" s="297">
        <v>60</v>
      </c>
      <c r="P67" s="295">
        <v>120</v>
      </c>
      <c r="Q67" s="298">
        <f t="shared" si="7"/>
        <v>7200</v>
      </c>
      <c r="R67" s="299"/>
      <c r="S67" s="298"/>
      <c r="T67" s="298"/>
      <c r="U67" s="298"/>
      <c r="V67" s="298"/>
      <c r="W67" s="298"/>
      <c r="X67" s="298"/>
      <c r="Y67" s="298">
        <f>+Q67</f>
        <v>7200</v>
      </c>
      <c r="Z67" s="300"/>
      <c r="AA67" s="300"/>
      <c r="AB67" s="300"/>
    </row>
    <row r="68" spans="1:28" ht="29.25" customHeight="1">
      <c r="A68" s="281">
        <v>214</v>
      </c>
      <c r="B68" s="302" t="s">
        <v>340</v>
      </c>
      <c r="C68" s="302"/>
      <c r="D68" s="302"/>
      <c r="E68" s="302"/>
      <c r="F68" s="302"/>
      <c r="G68" s="302"/>
      <c r="H68" s="302"/>
      <c r="I68" s="303"/>
      <c r="J68" s="282"/>
      <c r="K68" s="283"/>
      <c r="L68" s="282"/>
      <c r="M68" s="284"/>
      <c r="N68" s="283"/>
      <c r="O68" s="285"/>
      <c r="P68" s="282"/>
      <c r="Q68" s="304">
        <f>SUM(Q69:Q86)</f>
        <v>47057.333333333336</v>
      </c>
      <c r="R68" s="287"/>
      <c r="S68" s="304">
        <f t="shared" ref="S68:AB68" si="11">SUM(S69:S86)</f>
        <v>0</v>
      </c>
      <c r="T68" s="304">
        <f t="shared" si="11"/>
        <v>0</v>
      </c>
      <c r="U68" s="304">
        <f t="shared" si="11"/>
        <v>22594.666666666668</v>
      </c>
      <c r="V68" s="304">
        <f t="shared" si="11"/>
        <v>0</v>
      </c>
      <c r="W68" s="304">
        <f t="shared" si="11"/>
        <v>21422.666666666668</v>
      </c>
      <c r="X68" s="304">
        <f t="shared" si="11"/>
        <v>0</v>
      </c>
      <c r="Y68" s="304">
        <f t="shared" si="11"/>
        <v>0</v>
      </c>
      <c r="Z68" s="304">
        <f t="shared" si="11"/>
        <v>0</v>
      </c>
      <c r="AA68" s="304">
        <f t="shared" si="11"/>
        <v>3040</v>
      </c>
      <c r="AB68" s="304">
        <f t="shared" si="11"/>
        <v>0</v>
      </c>
    </row>
    <row r="69" spans="1:28" ht="32.25" customHeight="1">
      <c r="A69" s="305">
        <v>2141</v>
      </c>
      <c r="B69" s="317" t="s">
        <v>341</v>
      </c>
      <c r="C69" s="310" t="s">
        <v>342</v>
      </c>
      <c r="D69" s="291"/>
      <c r="E69" s="292">
        <v>5</v>
      </c>
      <c r="F69" s="293">
        <v>43227</v>
      </c>
      <c r="G69" s="293">
        <f t="shared" ref="G69:G86" si="12">+E69+F69</f>
        <v>43232</v>
      </c>
      <c r="H69" s="306" t="s">
        <v>294</v>
      </c>
      <c r="I69" s="294" t="s">
        <v>171</v>
      </c>
      <c r="J69" s="295" t="s">
        <v>295</v>
      </c>
      <c r="K69" s="318" t="s">
        <v>343</v>
      </c>
      <c r="L69" s="295">
        <v>23173</v>
      </c>
      <c r="M69" s="307"/>
      <c r="N69" s="295"/>
      <c r="O69" s="297">
        <v>770</v>
      </c>
      <c r="P69" s="319">
        <v>2</v>
      </c>
      <c r="Q69" s="298">
        <f t="shared" si="7"/>
        <v>1540</v>
      </c>
      <c r="R69" s="299"/>
      <c r="S69" s="298"/>
      <c r="T69" s="298"/>
      <c r="U69" s="298">
        <f t="shared" si="3"/>
        <v>1540</v>
      </c>
      <c r="V69" s="298"/>
      <c r="W69" s="298"/>
      <c r="X69" s="298"/>
      <c r="Y69" s="298"/>
      <c r="Z69" s="300"/>
      <c r="AA69" s="300"/>
      <c r="AB69" s="300"/>
    </row>
    <row r="70" spans="1:28" ht="32.25" customHeight="1">
      <c r="A70" s="305">
        <v>2141</v>
      </c>
      <c r="B70" s="317" t="s">
        <v>341</v>
      </c>
      <c r="C70" s="310" t="s">
        <v>342</v>
      </c>
      <c r="D70" s="291"/>
      <c r="E70" s="292">
        <v>5</v>
      </c>
      <c r="F70" s="293">
        <v>43227</v>
      </c>
      <c r="G70" s="293">
        <f t="shared" si="12"/>
        <v>43232</v>
      </c>
      <c r="H70" s="306" t="s">
        <v>294</v>
      </c>
      <c r="I70" s="294" t="s">
        <v>171</v>
      </c>
      <c r="J70" s="295" t="s">
        <v>295</v>
      </c>
      <c r="K70" s="318" t="s">
        <v>344</v>
      </c>
      <c r="L70" s="295">
        <v>23173</v>
      </c>
      <c r="M70" s="307"/>
      <c r="N70" s="295"/>
      <c r="O70" s="297">
        <v>165</v>
      </c>
      <c r="P70" s="319">
        <v>2</v>
      </c>
      <c r="Q70" s="298">
        <f t="shared" si="7"/>
        <v>330</v>
      </c>
      <c r="R70" s="299"/>
      <c r="S70" s="298"/>
      <c r="T70" s="298"/>
      <c r="U70" s="298">
        <f t="shared" si="3"/>
        <v>330</v>
      </c>
      <c r="V70" s="298"/>
      <c r="W70" s="298"/>
      <c r="X70" s="298"/>
      <c r="Y70" s="298"/>
      <c r="Z70" s="300"/>
      <c r="AA70" s="300"/>
      <c r="AB70" s="300"/>
    </row>
    <row r="71" spans="1:28" ht="32.25" customHeight="1">
      <c r="A71" s="305">
        <v>2141</v>
      </c>
      <c r="B71" s="317" t="s">
        <v>341</v>
      </c>
      <c r="C71" s="310" t="s">
        <v>342</v>
      </c>
      <c r="D71" s="291"/>
      <c r="E71" s="292">
        <v>5</v>
      </c>
      <c r="F71" s="293">
        <v>43227</v>
      </c>
      <c r="G71" s="293">
        <f t="shared" si="12"/>
        <v>43232</v>
      </c>
      <c r="H71" s="306" t="s">
        <v>294</v>
      </c>
      <c r="I71" s="294" t="s">
        <v>171</v>
      </c>
      <c r="J71" s="295" t="s">
        <v>295</v>
      </c>
      <c r="K71" s="318" t="s">
        <v>310</v>
      </c>
      <c r="L71" s="295">
        <v>23174</v>
      </c>
      <c r="M71" s="309"/>
      <c r="N71" s="295"/>
      <c r="O71" s="297">
        <v>5320</v>
      </c>
      <c r="P71" s="319">
        <v>2</v>
      </c>
      <c r="Q71" s="298">
        <f t="shared" si="7"/>
        <v>10640</v>
      </c>
      <c r="R71" s="299"/>
      <c r="S71" s="298"/>
      <c r="T71" s="298"/>
      <c r="U71" s="298">
        <f t="shared" si="3"/>
        <v>10640</v>
      </c>
      <c r="V71" s="298"/>
      <c r="W71" s="298"/>
      <c r="X71" s="298"/>
      <c r="Y71" s="298"/>
      <c r="Z71" s="300"/>
      <c r="AA71" s="300"/>
      <c r="AB71" s="300"/>
    </row>
    <row r="72" spans="1:28" ht="32.25" customHeight="1">
      <c r="A72" s="305">
        <v>2141</v>
      </c>
      <c r="B72" s="317" t="s">
        <v>341</v>
      </c>
      <c r="C72" s="310" t="s">
        <v>342</v>
      </c>
      <c r="D72" s="291"/>
      <c r="E72" s="292">
        <v>5</v>
      </c>
      <c r="F72" s="293">
        <v>43227</v>
      </c>
      <c r="G72" s="293">
        <f t="shared" si="12"/>
        <v>43232</v>
      </c>
      <c r="H72" s="306" t="s">
        <v>294</v>
      </c>
      <c r="I72" s="294" t="s">
        <v>171</v>
      </c>
      <c r="J72" s="295" t="s">
        <v>295</v>
      </c>
      <c r="K72" s="320" t="s">
        <v>345</v>
      </c>
      <c r="L72" s="295">
        <v>23174</v>
      </c>
      <c r="M72" s="307"/>
      <c r="N72" s="295"/>
      <c r="O72" s="297">
        <v>532</v>
      </c>
      <c r="P72" s="319">
        <v>2</v>
      </c>
      <c r="Q72" s="298">
        <f t="shared" si="7"/>
        <v>1064</v>
      </c>
      <c r="R72" s="299"/>
      <c r="S72" s="298"/>
      <c r="T72" s="298"/>
      <c r="U72" s="298">
        <f t="shared" si="3"/>
        <v>1064</v>
      </c>
      <c r="V72" s="298"/>
      <c r="W72" s="298"/>
      <c r="X72" s="298"/>
      <c r="Y72" s="298"/>
      <c r="Z72" s="300"/>
      <c r="AA72" s="300"/>
      <c r="AB72" s="300"/>
    </row>
    <row r="73" spans="1:28" ht="32.25" customHeight="1">
      <c r="A73" s="305">
        <v>2141</v>
      </c>
      <c r="B73" s="317" t="s">
        <v>341</v>
      </c>
      <c r="C73" s="310" t="s">
        <v>342</v>
      </c>
      <c r="D73" s="291"/>
      <c r="E73" s="292">
        <v>5</v>
      </c>
      <c r="F73" s="293">
        <v>43227</v>
      </c>
      <c r="G73" s="293">
        <f t="shared" si="12"/>
        <v>43232</v>
      </c>
      <c r="H73" s="306" t="s">
        <v>294</v>
      </c>
      <c r="I73" s="294" t="s">
        <v>171</v>
      </c>
      <c r="J73" s="295" t="s">
        <v>295</v>
      </c>
      <c r="K73" s="318" t="s">
        <v>300</v>
      </c>
      <c r="L73" s="295">
        <v>23174</v>
      </c>
      <c r="M73" s="307"/>
      <c r="N73" s="295"/>
      <c r="O73" s="297">
        <v>1000</v>
      </c>
      <c r="P73" s="319">
        <v>2</v>
      </c>
      <c r="Q73" s="298">
        <f t="shared" si="7"/>
        <v>2000</v>
      </c>
      <c r="R73" s="299"/>
      <c r="S73" s="298"/>
      <c r="T73" s="298"/>
      <c r="U73" s="298">
        <f t="shared" si="3"/>
        <v>2000</v>
      </c>
      <c r="V73" s="298"/>
      <c r="W73" s="298"/>
      <c r="X73" s="298"/>
      <c r="Y73" s="298"/>
      <c r="Z73" s="300"/>
      <c r="AA73" s="300"/>
      <c r="AB73" s="300"/>
    </row>
    <row r="74" spans="1:28" ht="32.25" customHeight="1">
      <c r="A74" s="305">
        <v>2141</v>
      </c>
      <c r="B74" s="317" t="s">
        <v>341</v>
      </c>
      <c r="C74" s="310" t="s">
        <v>342</v>
      </c>
      <c r="D74" s="291"/>
      <c r="E74" s="292">
        <v>5</v>
      </c>
      <c r="F74" s="293">
        <v>43227</v>
      </c>
      <c r="G74" s="293">
        <f t="shared" si="12"/>
        <v>43232</v>
      </c>
      <c r="H74" s="306" t="s">
        <v>294</v>
      </c>
      <c r="I74" s="294" t="s">
        <v>171</v>
      </c>
      <c r="J74" s="295" t="s">
        <v>295</v>
      </c>
      <c r="K74" s="318" t="s">
        <v>346</v>
      </c>
      <c r="L74" s="295">
        <v>23174</v>
      </c>
      <c r="M74" s="309"/>
      <c r="N74" s="295"/>
      <c r="O74" s="297">
        <v>1000</v>
      </c>
      <c r="P74" s="319">
        <v>2</v>
      </c>
      <c r="Q74" s="298">
        <f t="shared" si="7"/>
        <v>2000</v>
      </c>
      <c r="R74" s="299"/>
      <c r="S74" s="298"/>
      <c r="T74" s="298"/>
      <c r="U74" s="298">
        <f t="shared" si="3"/>
        <v>2000</v>
      </c>
      <c r="V74" s="298"/>
      <c r="W74" s="298"/>
      <c r="X74" s="298"/>
      <c r="Y74" s="298"/>
      <c r="Z74" s="300"/>
      <c r="AA74" s="300"/>
      <c r="AB74" s="300"/>
    </row>
    <row r="75" spans="1:28" ht="32.25" customHeight="1">
      <c r="A75" s="305">
        <v>2141</v>
      </c>
      <c r="B75" s="317" t="s">
        <v>341</v>
      </c>
      <c r="C75" s="310" t="s">
        <v>342</v>
      </c>
      <c r="D75" s="291"/>
      <c r="E75" s="292">
        <v>5</v>
      </c>
      <c r="F75" s="293">
        <v>43227</v>
      </c>
      <c r="G75" s="293">
        <f t="shared" si="12"/>
        <v>43232</v>
      </c>
      <c r="H75" s="306" t="s">
        <v>294</v>
      </c>
      <c r="I75" s="294" t="s">
        <v>171</v>
      </c>
      <c r="J75" s="295" t="s">
        <v>295</v>
      </c>
      <c r="K75" s="318" t="s">
        <v>301</v>
      </c>
      <c r="L75" s="295">
        <v>23172</v>
      </c>
      <c r="M75" s="307"/>
      <c r="N75" s="295"/>
      <c r="O75" s="297">
        <v>500</v>
      </c>
      <c r="P75" s="319">
        <v>2</v>
      </c>
      <c r="Q75" s="298">
        <f t="shared" si="7"/>
        <v>1000</v>
      </c>
      <c r="R75" s="299"/>
      <c r="S75" s="298"/>
      <c r="T75" s="298"/>
      <c r="U75" s="298">
        <f t="shared" si="3"/>
        <v>1000</v>
      </c>
      <c r="V75" s="298"/>
      <c r="W75" s="298"/>
      <c r="X75" s="298"/>
      <c r="Y75" s="298"/>
      <c r="Z75" s="300"/>
      <c r="AA75" s="300"/>
      <c r="AB75" s="300"/>
    </row>
    <row r="76" spans="1:28" ht="32.25" customHeight="1">
      <c r="A76" s="305">
        <v>2141</v>
      </c>
      <c r="B76" s="317" t="s">
        <v>341</v>
      </c>
      <c r="C76" s="310" t="s">
        <v>342</v>
      </c>
      <c r="D76" s="291"/>
      <c r="E76" s="292">
        <v>5</v>
      </c>
      <c r="F76" s="293">
        <v>43227</v>
      </c>
      <c r="G76" s="293">
        <f t="shared" si="12"/>
        <v>43232</v>
      </c>
      <c r="H76" s="306" t="s">
        <v>294</v>
      </c>
      <c r="I76" s="294" t="s">
        <v>171</v>
      </c>
      <c r="J76" s="295" t="s">
        <v>295</v>
      </c>
      <c r="K76" s="318" t="s">
        <v>302</v>
      </c>
      <c r="L76" s="295">
        <v>23173</v>
      </c>
      <c r="M76" s="296"/>
      <c r="N76" s="294"/>
      <c r="O76" s="297">
        <v>677</v>
      </c>
      <c r="P76" s="319">
        <v>2</v>
      </c>
      <c r="Q76" s="298">
        <f t="shared" si="7"/>
        <v>1354</v>
      </c>
      <c r="R76" s="299"/>
      <c r="S76" s="298"/>
      <c r="T76" s="298"/>
      <c r="U76" s="298">
        <f t="shared" si="3"/>
        <v>1354</v>
      </c>
      <c r="V76" s="298"/>
      <c r="W76" s="298"/>
      <c r="X76" s="298"/>
      <c r="Y76" s="298"/>
      <c r="Z76" s="300"/>
      <c r="AA76" s="300"/>
      <c r="AB76" s="300"/>
    </row>
    <row r="77" spans="1:28" ht="32.25" customHeight="1">
      <c r="A77" s="305">
        <v>2141</v>
      </c>
      <c r="B77" s="317" t="s">
        <v>341</v>
      </c>
      <c r="C77" s="310" t="s">
        <v>314</v>
      </c>
      <c r="D77" s="291"/>
      <c r="E77" s="292">
        <v>5</v>
      </c>
      <c r="F77" s="293">
        <v>43227</v>
      </c>
      <c r="G77" s="293">
        <f t="shared" si="12"/>
        <v>43232</v>
      </c>
      <c r="H77" s="306" t="s">
        <v>294</v>
      </c>
      <c r="I77" s="294" t="s">
        <v>171</v>
      </c>
      <c r="J77" s="295" t="s">
        <v>295</v>
      </c>
      <c r="K77" s="307" t="s">
        <v>315</v>
      </c>
      <c r="L77" s="295">
        <v>2313</v>
      </c>
      <c r="M77" s="296"/>
      <c r="N77" s="294"/>
      <c r="O77" s="297">
        <v>2666.6666666666665</v>
      </c>
      <c r="P77" s="295">
        <v>1</v>
      </c>
      <c r="Q77" s="298">
        <f t="shared" si="7"/>
        <v>2666.6666666666665</v>
      </c>
      <c r="R77" s="299"/>
      <c r="S77" s="298"/>
      <c r="T77" s="298"/>
      <c r="U77" s="298">
        <f t="shared" si="3"/>
        <v>2666.6666666666665</v>
      </c>
      <c r="V77" s="298"/>
      <c r="W77" s="298"/>
      <c r="X77" s="298"/>
      <c r="Y77" s="298"/>
      <c r="Z77" s="300"/>
      <c r="AA77" s="300"/>
      <c r="AB77" s="300"/>
    </row>
    <row r="78" spans="1:28" ht="32.25" customHeight="1">
      <c r="A78" s="305">
        <v>2142</v>
      </c>
      <c r="B78" s="313" t="s">
        <v>347</v>
      </c>
      <c r="C78" s="313" t="s">
        <v>348</v>
      </c>
      <c r="D78" s="291"/>
      <c r="E78" s="292">
        <v>10</v>
      </c>
      <c r="F78" s="293">
        <v>43283</v>
      </c>
      <c r="G78" s="293">
        <f t="shared" si="12"/>
        <v>43293</v>
      </c>
      <c r="H78" s="306" t="s">
        <v>294</v>
      </c>
      <c r="I78" s="294" t="s">
        <v>171</v>
      </c>
      <c r="J78" s="295" t="s">
        <v>295</v>
      </c>
      <c r="K78" s="321" t="s">
        <v>301</v>
      </c>
      <c r="L78" s="295">
        <v>23172</v>
      </c>
      <c r="M78" s="296"/>
      <c r="N78" s="294"/>
      <c r="O78" s="297">
        <v>166.66666666666666</v>
      </c>
      <c r="P78" s="295">
        <v>4</v>
      </c>
      <c r="Q78" s="298">
        <f t="shared" si="7"/>
        <v>666.66666666666663</v>
      </c>
      <c r="R78" s="299"/>
      <c r="S78" s="298"/>
      <c r="T78" s="298"/>
      <c r="U78" s="298"/>
      <c r="V78" s="298"/>
      <c r="W78" s="298">
        <f t="shared" ref="W78:W84" si="13">+Q78</f>
        <v>666.66666666666663</v>
      </c>
      <c r="X78" s="298"/>
      <c r="Y78" s="298"/>
      <c r="Z78" s="300"/>
      <c r="AA78" s="300"/>
      <c r="AB78" s="300"/>
    </row>
    <row r="79" spans="1:28" ht="32.25" customHeight="1">
      <c r="A79" s="305">
        <v>2142</v>
      </c>
      <c r="B79" s="313" t="s">
        <v>347</v>
      </c>
      <c r="C79" s="313" t="s">
        <v>348</v>
      </c>
      <c r="D79" s="291"/>
      <c r="E79" s="292">
        <v>10</v>
      </c>
      <c r="F79" s="293">
        <v>43283</v>
      </c>
      <c r="G79" s="293">
        <f t="shared" si="12"/>
        <v>43293</v>
      </c>
      <c r="H79" s="306" t="s">
        <v>294</v>
      </c>
      <c r="I79" s="294" t="s">
        <v>171</v>
      </c>
      <c r="J79" s="295" t="s">
        <v>295</v>
      </c>
      <c r="K79" s="321" t="s">
        <v>302</v>
      </c>
      <c r="L79" s="295">
        <v>23173</v>
      </c>
      <c r="M79" s="296"/>
      <c r="N79" s="294"/>
      <c r="O79" s="297">
        <v>870.33333333333337</v>
      </c>
      <c r="P79" s="295">
        <v>4</v>
      </c>
      <c r="Q79" s="298">
        <f t="shared" si="7"/>
        <v>3481.3333333333335</v>
      </c>
      <c r="R79" s="299"/>
      <c r="S79" s="298"/>
      <c r="T79" s="298"/>
      <c r="U79" s="298"/>
      <c r="V79" s="298"/>
      <c r="W79" s="298">
        <f t="shared" si="13"/>
        <v>3481.3333333333335</v>
      </c>
      <c r="X79" s="298"/>
      <c r="Y79" s="298"/>
      <c r="Z79" s="300"/>
      <c r="AA79" s="300"/>
      <c r="AB79" s="300"/>
    </row>
    <row r="80" spans="1:28" ht="32.25" customHeight="1">
      <c r="A80" s="305">
        <v>2142</v>
      </c>
      <c r="B80" s="313" t="s">
        <v>347</v>
      </c>
      <c r="C80" s="313" t="s">
        <v>348</v>
      </c>
      <c r="D80" s="291"/>
      <c r="E80" s="292">
        <v>10</v>
      </c>
      <c r="F80" s="293">
        <v>43283</v>
      </c>
      <c r="G80" s="293">
        <f t="shared" si="12"/>
        <v>43293</v>
      </c>
      <c r="H80" s="306" t="s">
        <v>294</v>
      </c>
      <c r="I80" s="294" t="s">
        <v>171</v>
      </c>
      <c r="J80" s="295" t="s">
        <v>295</v>
      </c>
      <c r="K80" s="321" t="s">
        <v>296</v>
      </c>
      <c r="L80" s="295">
        <v>23174</v>
      </c>
      <c r="M80" s="296"/>
      <c r="N80" s="294"/>
      <c r="O80" s="297">
        <v>3000</v>
      </c>
      <c r="P80" s="295">
        <v>4</v>
      </c>
      <c r="Q80" s="298">
        <f t="shared" si="7"/>
        <v>12000</v>
      </c>
      <c r="R80" s="299"/>
      <c r="S80" s="298"/>
      <c r="T80" s="298"/>
      <c r="U80" s="298"/>
      <c r="V80" s="298"/>
      <c r="W80" s="298">
        <f t="shared" si="13"/>
        <v>12000</v>
      </c>
      <c r="X80" s="298"/>
      <c r="Y80" s="298"/>
      <c r="Z80" s="300"/>
      <c r="AA80" s="300"/>
      <c r="AB80" s="300"/>
    </row>
    <row r="81" spans="1:28" ht="32.25" customHeight="1">
      <c r="A81" s="305">
        <v>2142</v>
      </c>
      <c r="B81" s="313" t="s">
        <v>347</v>
      </c>
      <c r="C81" s="313" t="s">
        <v>348</v>
      </c>
      <c r="D81" s="291"/>
      <c r="E81" s="292">
        <v>10</v>
      </c>
      <c r="F81" s="293">
        <v>43283</v>
      </c>
      <c r="G81" s="293">
        <f t="shared" si="12"/>
        <v>43293</v>
      </c>
      <c r="H81" s="306" t="s">
        <v>294</v>
      </c>
      <c r="I81" s="294" t="s">
        <v>171</v>
      </c>
      <c r="J81" s="295" t="s">
        <v>295</v>
      </c>
      <c r="K81" s="321" t="s">
        <v>349</v>
      </c>
      <c r="L81" s="295">
        <v>23174</v>
      </c>
      <c r="M81" s="296"/>
      <c r="N81" s="294"/>
      <c r="O81" s="297">
        <v>304</v>
      </c>
      <c r="P81" s="295">
        <v>4</v>
      </c>
      <c r="Q81" s="298">
        <f t="shared" si="7"/>
        <v>1216</v>
      </c>
      <c r="R81" s="299"/>
      <c r="S81" s="298"/>
      <c r="T81" s="298"/>
      <c r="U81" s="298"/>
      <c r="V81" s="298"/>
      <c r="W81" s="298">
        <f t="shared" si="13"/>
        <v>1216</v>
      </c>
      <c r="X81" s="298"/>
      <c r="Y81" s="298"/>
      <c r="Z81" s="300"/>
      <c r="AA81" s="300"/>
      <c r="AB81" s="300"/>
    </row>
    <row r="82" spans="1:28" ht="32.25" customHeight="1">
      <c r="A82" s="305">
        <v>2142</v>
      </c>
      <c r="B82" s="313" t="s">
        <v>347</v>
      </c>
      <c r="C82" s="313" t="s">
        <v>348</v>
      </c>
      <c r="D82" s="291"/>
      <c r="E82" s="292">
        <v>10</v>
      </c>
      <c r="F82" s="293">
        <v>43283</v>
      </c>
      <c r="G82" s="293">
        <f t="shared" si="12"/>
        <v>43293</v>
      </c>
      <c r="H82" s="306" t="s">
        <v>294</v>
      </c>
      <c r="I82" s="294" t="s">
        <v>171</v>
      </c>
      <c r="J82" s="295" t="s">
        <v>295</v>
      </c>
      <c r="K82" s="321" t="s">
        <v>298</v>
      </c>
      <c r="L82" s="295">
        <v>23174</v>
      </c>
      <c r="M82" s="296"/>
      <c r="N82" s="294"/>
      <c r="O82" s="297">
        <v>448</v>
      </c>
      <c r="P82" s="295">
        <v>4</v>
      </c>
      <c r="Q82" s="298">
        <f t="shared" si="7"/>
        <v>1792</v>
      </c>
      <c r="R82" s="299"/>
      <c r="S82" s="298"/>
      <c r="T82" s="298"/>
      <c r="U82" s="298"/>
      <c r="V82" s="298"/>
      <c r="W82" s="298">
        <f t="shared" si="13"/>
        <v>1792</v>
      </c>
      <c r="X82" s="298"/>
      <c r="Y82" s="298"/>
      <c r="Z82" s="300"/>
      <c r="AA82" s="300"/>
      <c r="AB82" s="300"/>
    </row>
    <row r="83" spans="1:28" ht="32.25" customHeight="1">
      <c r="A83" s="305">
        <v>2142</v>
      </c>
      <c r="B83" s="313" t="s">
        <v>347</v>
      </c>
      <c r="C83" s="313" t="s">
        <v>348</v>
      </c>
      <c r="D83" s="291"/>
      <c r="E83" s="292">
        <v>10</v>
      </c>
      <c r="F83" s="293">
        <v>43283</v>
      </c>
      <c r="G83" s="293">
        <f t="shared" si="12"/>
        <v>43293</v>
      </c>
      <c r="H83" s="306" t="s">
        <v>294</v>
      </c>
      <c r="I83" s="294" t="s">
        <v>171</v>
      </c>
      <c r="J83" s="295" t="s">
        <v>295</v>
      </c>
      <c r="K83" s="321" t="s">
        <v>350</v>
      </c>
      <c r="L83" s="295">
        <v>23174</v>
      </c>
      <c r="M83" s="296"/>
      <c r="N83" s="294"/>
      <c r="O83" s="297">
        <v>166.66666666666666</v>
      </c>
      <c r="P83" s="295">
        <v>4</v>
      </c>
      <c r="Q83" s="298">
        <f t="shared" si="7"/>
        <v>666.66666666666663</v>
      </c>
      <c r="R83" s="299"/>
      <c r="S83" s="298"/>
      <c r="T83" s="298"/>
      <c r="U83" s="298"/>
      <c r="V83" s="298"/>
      <c r="W83" s="298">
        <f t="shared" si="13"/>
        <v>666.66666666666663</v>
      </c>
      <c r="X83" s="298"/>
      <c r="Y83" s="298"/>
      <c r="Z83" s="300"/>
      <c r="AA83" s="300"/>
      <c r="AB83" s="300"/>
    </row>
    <row r="84" spans="1:28" ht="32.25" customHeight="1">
      <c r="A84" s="305">
        <v>2142</v>
      </c>
      <c r="B84" s="313" t="s">
        <v>347</v>
      </c>
      <c r="C84" s="313" t="s">
        <v>348</v>
      </c>
      <c r="D84" s="291"/>
      <c r="E84" s="292">
        <v>10</v>
      </c>
      <c r="F84" s="293">
        <v>43283</v>
      </c>
      <c r="G84" s="293">
        <f t="shared" si="12"/>
        <v>43293</v>
      </c>
      <c r="H84" s="306" t="s">
        <v>294</v>
      </c>
      <c r="I84" s="294" t="s">
        <v>171</v>
      </c>
      <c r="J84" s="295" t="s">
        <v>295</v>
      </c>
      <c r="K84" s="321" t="s">
        <v>300</v>
      </c>
      <c r="L84" s="295">
        <v>23174</v>
      </c>
      <c r="M84" s="296"/>
      <c r="N84" s="294"/>
      <c r="O84" s="297">
        <v>400</v>
      </c>
      <c r="P84" s="295">
        <v>4</v>
      </c>
      <c r="Q84" s="298">
        <f t="shared" si="7"/>
        <v>1600</v>
      </c>
      <c r="R84" s="299"/>
      <c r="S84" s="298"/>
      <c r="T84" s="298"/>
      <c r="U84" s="298"/>
      <c r="V84" s="298"/>
      <c r="W84" s="298">
        <f t="shared" si="13"/>
        <v>1600</v>
      </c>
      <c r="X84" s="298"/>
      <c r="Y84" s="298"/>
      <c r="Z84" s="300"/>
      <c r="AA84" s="300"/>
      <c r="AB84" s="300"/>
    </row>
    <row r="85" spans="1:28" ht="32.25" customHeight="1">
      <c r="A85" s="305">
        <v>2143</v>
      </c>
      <c r="B85" s="313" t="s">
        <v>69</v>
      </c>
      <c r="C85" s="313" t="s">
        <v>351</v>
      </c>
      <c r="D85" s="291"/>
      <c r="E85" s="292">
        <v>1</v>
      </c>
      <c r="F85" s="293">
        <v>43409</v>
      </c>
      <c r="G85" s="293">
        <f t="shared" si="12"/>
        <v>43410</v>
      </c>
      <c r="H85" s="306" t="s">
        <v>294</v>
      </c>
      <c r="I85" s="294" t="s">
        <v>171</v>
      </c>
      <c r="J85" s="295" t="s">
        <v>295</v>
      </c>
      <c r="K85" s="307" t="s">
        <v>296</v>
      </c>
      <c r="L85" s="295">
        <v>23174</v>
      </c>
      <c r="M85" s="296"/>
      <c r="N85" s="294"/>
      <c r="O85" s="322">
        <v>24</v>
      </c>
      <c r="P85" s="314">
        <v>60</v>
      </c>
      <c r="Q85" s="298">
        <f t="shared" si="7"/>
        <v>1440</v>
      </c>
      <c r="R85" s="299"/>
      <c r="S85" s="298"/>
      <c r="T85" s="298"/>
      <c r="U85" s="298"/>
      <c r="V85" s="298"/>
      <c r="W85" s="298"/>
      <c r="X85" s="298"/>
      <c r="Y85" s="298"/>
      <c r="Z85" s="300"/>
      <c r="AA85" s="298">
        <f>+Q85</f>
        <v>1440</v>
      </c>
      <c r="AB85" s="300"/>
    </row>
    <row r="86" spans="1:28" ht="32.25" customHeight="1">
      <c r="A86" s="305">
        <v>2143</v>
      </c>
      <c r="B86" s="313" t="s">
        <v>69</v>
      </c>
      <c r="C86" s="313" t="s">
        <v>351</v>
      </c>
      <c r="D86" s="291"/>
      <c r="E86" s="292">
        <v>1</v>
      </c>
      <c r="F86" s="293">
        <v>43409</v>
      </c>
      <c r="G86" s="293">
        <f t="shared" si="12"/>
        <v>43410</v>
      </c>
      <c r="H86" s="306" t="s">
        <v>294</v>
      </c>
      <c r="I86" s="294" t="s">
        <v>171</v>
      </c>
      <c r="J86" s="295" t="s">
        <v>295</v>
      </c>
      <c r="K86" s="307" t="s">
        <v>352</v>
      </c>
      <c r="L86" s="295">
        <v>23174</v>
      </c>
      <c r="M86" s="296"/>
      <c r="N86" s="294"/>
      <c r="O86" s="297">
        <v>26.666666666666668</v>
      </c>
      <c r="P86" s="314">
        <v>60</v>
      </c>
      <c r="Q86" s="298">
        <f t="shared" si="7"/>
        <v>1600</v>
      </c>
      <c r="R86" s="299"/>
      <c r="S86" s="298"/>
      <c r="T86" s="298"/>
      <c r="U86" s="298"/>
      <c r="V86" s="298"/>
      <c r="W86" s="298"/>
      <c r="X86" s="298"/>
      <c r="Y86" s="298"/>
      <c r="Z86" s="300"/>
      <c r="AA86" s="298">
        <f>+Q86</f>
        <v>1600</v>
      </c>
      <c r="AB86" s="300"/>
    </row>
    <row r="87" spans="1:28" ht="29.25" customHeight="1">
      <c r="A87" s="281">
        <v>214</v>
      </c>
      <c r="B87" s="302" t="s">
        <v>353</v>
      </c>
      <c r="C87" s="302"/>
      <c r="D87" s="302"/>
      <c r="E87" s="302"/>
      <c r="F87" s="302"/>
      <c r="G87" s="302"/>
      <c r="H87" s="302"/>
      <c r="I87" s="303"/>
      <c r="J87" s="282"/>
      <c r="K87" s="283"/>
      <c r="L87" s="282"/>
      <c r="M87" s="284"/>
      <c r="N87" s="283"/>
      <c r="O87" s="285"/>
      <c r="P87" s="282"/>
      <c r="Q87" s="304">
        <f>SUM(Q88:Q105)</f>
        <v>53486.333333333343</v>
      </c>
      <c r="R87" s="287"/>
      <c r="S87" s="304">
        <f t="shared" ref="S87:AB87" si="14">SUM(S88:S105)</f>
        <v>0</v>
      </c>
      <c r="T87" s="304">
        <f t="shared" si="14"/>
        <v>0</v>
      </c>
      <c r="U87" s="304">
        <f t="shared" si="14"/>
        <v>12902.666666666664</v>
      </c>
      <c r="V87" s="304">
        <f t="shared" si="14"/>
        <v>40583.666666666672</v>
      </c>
      <c r="W87" s="304">
        <f t="shared" si="14"/>
        <v>0</v>
      </c>
      <c r="X87" s="304">
        <f t="shared" si="14"/>
        <v>0</v>
      </c>
      <c r="Y87" s="304">
        <f t="shared" si="14"/>
        <v>0</v>
      </c>
      <c r="Z87" s="304">
        <f t="shared" si="14"/>
        <v>0</v>
      </c>
      <c r="AA87" s="304">
        <f t="shared" si="14"/>
        <v>0</v>
      </c>
      <c r="AB87" s="304">
        <f t="shared" si="14"/>
        <v>0</v>
      </c>
    </row>
    <row r="88" spans="1:28" ht="32.25" customHeight="1">
      <c r="A88" s="305">
        <v>2141</v>
      </c>
      <c r="B88" s="310" t="s">
        <v>70</v>
      </c>
      <c r="C88" s="310" t="s">
        <v>307</v>
      </c>
      <c r="D88" s="291"/>
      <c r="E88" s="292">
        <v>2</v>
      </c>
      <c r="F88" s="293">
        <v>43269</v>
      </c>
      <c r="G88" s="293">
        <f t="shared" ref="G88:G105" si="15">+E88+F88</f>
        <v>43271</v>
      </c>
      <c r="H88" s="306" t="s">
        <v>294</v>
      </c>
      <c r="I88" s="294" t="s">
        <v>171</v>
      </c>
      <c r="J88" s="295" t="s">
        <v>295</v>
      </c>
      <c r="K88" s="307" t="s">
        <v>309</v>
      </c>
      <c r="L88" s="295">
        <v>23173</v>
      </c>
      <c r="M88" s="295"/>
      <c r="N88" s="294"/>
      <c r="O88" s="297">
        <v>205.33333333333334</v>
      </c>
      <c r="P88" s="314">
        <v>3</v>
      </c>
      <c r="Q88" s="298">
        <f t="shared" si="7"/>
        <v>616</v>
      </c>
      <c r="R88" s="299"/>
      <c r="S88" s="298"/>
      <c r="T88" s="298"/>
      <c r="U88" s="298"/>
      <c r="V88" s="298">
        <f t="shared" ref="V88:V95" si="16">+Q88</f>
        <v>616</v>
      </c>
      <c r="W88" s="298"/>
      <c r="X88" s="298"/>
      <c r="Y88" s="298"/>
      <c r="Z88" s="300"/>
      <c r="AA88" s="300"/>
      <c r="AB88" s="300"/>
    </row>
    <row r="89" spans="1:28" ht="32.25" customHeight="1">
      <c r="A89" s="305">
        <v>2141</v>
      </c>
      <c r="B89" s="310" t="s">
        <v>70</v>
      </c>
      <c r="C89" s="310" t="s">
        <v>307</v>
      </c>
      <c r="D89" s="291"/>
      <c r="E89" s="292">
        <v>2</v>
      </c>
      <c r="F89" s="293">
        <v>43269</v>
      </c>
      <c r="G89" s="293">
        <f t="shared" si="15"/>
        <v>43271</v>
      </c>
      <c r="H89" s="306" t="s">
        <v>294</v>
      </c>
      <c r="I89" s="294" t="s">
        <v>171</v>
      </c>
      <c r="J89" s="295" t="s">
        <v>295</v>
      </c>
      <c r="K89" s="307" t="s">
        <v>308</v>
      </c>
      <c r="L89" s="295">
        <v>23173</v>
      </c>
      <c r="M89" s="296"/>
      <c r="N89" s="294"/>
      <c r="O89" s="297">
        <v>44</v>
      </c>
      <c r="P89" s="314">
        <v>3</v>
      </c>
      <c r="Q89" s="298">
        <f t="shared" si="7"/>
        <v>132</v>
      </c>
      <c r="R89" s="299"/>
      <c r="S89" s="298"/>
      <c r="T89" s="298"/>
      <c r="U89" s="298"/>
      <c r="V89" s="298">
        <f t="shared" si="16"/>
        <v>132</v>
      </c>
      <c r="W89" s="298"/>
      <c r="X89" s="298"/>
      <c r="Y89" s="298"/>
      <c r="Z89" s="300"/>
      <c r="AA89" s="300"/>
      <c r="AB89" s="300"/>
    </row>
    <row r="90" spans="1:28" ht="32.25" customHeight="1">
      <c r="A90" s="305">
        <v>2141</v>
      </c>
      <c r="B90" s="310" t="s">
        <v>70</v>
      </c>
      <c r="C90" s="310" t="s">
        <v>307</v>
      </c>
      <c r="D90" s="291"/>
      <c r="E90" s="292">
        <v>2</v>
      </c>
      <c r="F90" s="293">
        <v>43269</v>
      </c>
      <c r="G90" s="293">
        <f t="shared" si="15"/>
        <v>43271</v>
      </c>
      <c r="H90" s="306" t="s">
        <v>294</v>
      </c>
      <c r="I90" s="294" t="s">
        <v>171</v>
      </c>
      <c r="J90" s="295" t="s">
        <v>295</v>
      </c>
      <c r="K90" s="307" t="s">
        <v>296</v>
      </c>
      <c r="L90" s="295">
        <v>23174</v>
      </c>
      <c r="M90" s="296"/>
      <c r="N90" s="294"/>
      <c r="O90" s="297">
        <v>480</v>
      </c>
      <c r="P90" s="314">
        <v>3</v>
      </c>
      <c r="Q90" s="298">
        <f t="shared" si="7"/>
        <v>1440</v>
      </c>
      <c r="R90" s="299"/>
      <c r="S90" s="298"/>
      <c r="T90" s="298"/>
      <c r="U90" s="298"/>
      <c r="V90" s="298">
        <f t="shared" si="16"/>
        <v>1440</v>
      </c>
      <c r="W90" s="298"/>
      <c r="X90" s="298"/>
      <c r="Y90" s="298"/>
      <c r="Z90" s="300"/>
      <c r="AA90" s="300"/>
      <c r="AB90" s="300"/>
    </row>
    <row r="91" spans="1:28" ht="32.25" customHeight="1">
      <c r="A91" s="305">
        <v>2141</v>
      </c>
      <c r="B91" s="310" t="s">
        <v>70</v>
      </c>
      <c r="C91" s="310" t="s">
        <v>307</v>
      </c>
      <c r="D91" s="291"/>
      <c r="E91" s="292">
        <v>2</v>
      </c>
      <c r="F91" s="293">
        <v>43269</v>
      </c>
      <c r="G91" s="293">
        <f t="shared" si="15"/>
        <v>43271</v>
      </c>
      <c r="H91" s="306" t="s">
        <v>294</v>
      </c>
      <c r="I91" s="294" t="s">
        <v>171</v>
      </c>
      <c r="J91" s="295" t="s">
        <v>295</v>
      </c>
      <c r="K91" s="307" t="s">
        <v>354</v>
      </c>
      <c r="L91" s="295">
        <v>23174</v>
      </c>
      <c r="M91" s="296"/>
      <c r="N91" s="294"/>
      <c r="O91" s="297">
        <v>202.66666666666666</v>
      </c>
      <c r="P91" s="314">
        <v>3</v>
      </c>
      <c r="Q91" s="298">
        <f t="shared" si="7"/>
        <v>608</v>
      </c>
      <c r="R91" s="299"/>
      <c r="S91" s="298"/>
      <c r="T91" s="298"/>
      <c r="U91" s="298"/>
      <c r="V91" s="298">
        <f t="shared" si="16"/>
        <v>608</v>
      </c>
      <c r="W91" s="298"/>
      <c r="X91" s="298"/>
      <c r="Y91" s="298"/>
      <c r="Z91" s="300"/>
      <c r="AA91" s="300"/>
      <c r="AB91" s="300"/>
    </row>
    <row r="92" spans="1:28" ht="32.25" customHeight="1">
      <c r="A92" s="305">
        <v>2141</v>
      </c>
      <c r="B92" s="310" t="s">
        <v>70</v>
      </c>
      <c r="C92" s="310" t="s">
        <v>307</v>
      </c>
      <c r="D92" s="291"/>
      <c r="E92" s="292">
        <v>2</v>
      </c>
      <c r="F92" s="293">
        <v>43269</v>
      </c>
      <c r="G92" s="293">
        <f t="shared" si="15"/>
        <v>43271</v>
      </c>
      <c r="H92" s="306" t="s">
        <v>294</v>
      </c>
      <c r="I92" s="294" t="s">
        <v>171</v>
      </c>
      <c r="J92" s="295" t="s">
        <v>295</v>
      </c>
      <c r="K92" s="307" t="s">
        <v>355</v>
      </c>
      <c r="L92" s="295">
        <v>23174</v>
      </c>
      <c r="M92" s="296"/>
      <c r="N92" s="294"/>
      <c r="O92" s="297">
        <v>333.33333333333331</v>
      </c>
      <c r="P92" s="314">
        <v>3</v>
      </c>
      <c r="Q92" s="298">
        <f t="shared" si="7"/>
        <v>1000</v>
      </c>
      <c r="R92" s="299"/>
      <c r="S92" s="298"/>
      <c r="T92" s="298"/>
      <c r="U92" s="298"/>
      <c r="V92" s="298">
        <f t="shared" si="16"/>
        <v>1000</v>
      </c>
      <c r="W92" s="298"/>
      <c r="X92" s="298"/>
      <c r="Y92" s="298"/>
      <c r="Z92" s="300"/>
      <c r="AA92" s="300"/>
      <c r="AB92" s="300"/>
    </row>
    <row r="93" spans="1:28" ht="32.25" customHeight="1">
      <c r="A93" s="305">
        <v>2141</v>
      </c>
      <c r="B93" s="310" t="s">
        <v>70</v>
      </c>
      <c r="C93" s="310" t="s">
        <v>307</v>
      </c>
      <c r="D93" s="291"/>
      <c r="E93" s="292">
        <v>2</v>
      </c>
      <c r="F93" s="293">
        <v>43269</v>
      </c>
      <c r="G93" s="293">
        <f t="shared" si="15"/>
        <v>43271</v>
      </c>
      <c r="H93" s="306" t="s">
        <v>294</v>
      </c>
      <c r="I93" s="294" t="s">
        <v>171</v>
      </c>
      <c r="J93" s="295" t="s">
        <v>295</v>
      </c>
      <c r="K93" s="307" t="s">
        <v>356</v>
      </c>
      <c r="L93" s="295">
        <v>23174</v>
      </c>
      <c r="M93" s="296"/>
      <c r="N93" s="294"/>
      <c r="O93" s="297">
        <v>133.33333333333334</v>
      </c>
      <c r="P93" s="314">
        <v>3</v>
      </c>
      <c r="Q93" s="298">
        <f t="shared" si="7"/>
        <v>400</v>
      </c>
      <c r="R93" s="299"/>
      <c r="S93" s="298"/>
      <c r="T93" s="298"/>
      <c r="U93" s="298"/>
      <c r="V93" s="298">
        <f t="shared" si="16"/>
        <v>400</v>
      </c>
      <c r="W93" s="298"/>
      <c r="X93" s="298"/>
      <c r="Y93" s="298"/>
      <c r="Z93" s="300"/>
      <c r="AA93" s="300"/>
      <c r="AB93" s="300"/>
    </row>
    <row r="94" spans="1:28" ht="32.25" customHeight="1">
      <c r="A94" s="305">
        <v>2141</v>
      </c>
      <c r="B94" s="310" t="s">
        <v>70</v>
      </c>
      <c r="C94" s="310" t="s">
        <v>307</v>
      </c>
      <c r="D94" s="291"/>
      <c r="E94" s="292">
        <v>2</v>
      </c>
      <c r="F94" s="293">
        <v>43269</v>
      </c>
      <c r="G94" s="293">
        <f t="shared" si="15"/>
        <v>43271</v>
      </c>
      <c r="H94" s="306" t="s">
        <v>294</v>
      </c>
      <c r="I94" s="294" t="s">
        <v>171</v>
      </c>
      <c r="J94" s="295" t="s">
        <v>295</v>
      </c>
      <c r="K94" s="307" t="s">
        <v>301</v>
      </c>
      <c r="L94" s="295">
        <v>23172</v>
      </c>
      <c r="M94" s="296"/>
      <c r="N94" s="294"/>
      <c r="O94" s="297">
        <v>200</v>
      </c>
      <c r="P94" s="314">
        <v>3</v>
      </c>
      <c r="Q94" s="298">
        <f t="shared" si="7"/>
        <v>600</v>
      </c>
      <c r="R94" s="299"/>
      <c r="S94" s="298"/>
      <c r="T94" s="298"/>
      <c r="U94" s="298"/>
      <c r="V94" s="298">
        <f t="shared" si="16"/>
        <v>600</v>
      </c>
      <c r="W94" s="298"/>
      <c r="X94" s="298"/>
      <c r="Y94" s="298"/>
      <c r="Z94" s="300"/>
      <c r="AA94" s="300"/>
      <c r="AB94" s="300"/>
    </row>
    <row r="95" spans="1:28" ht="32.25" customHeight="1">
      <c r="A95" s="305">
        <v>2141</v>
      </c>
      <c r="B95" s="310" t="s">
        <v>70</v>
      </c>
      <c r="C95" s="310" t="s">
        <v>307</v>
      </c>
      <c r="D95" s="291"/>
      <c r="E95" s="292">
        <v>2</v>
      </c>
      <c r="F95" s="293">
        <v>43269</v>
      </c>
      <c r="G95" s="293">
        <f t="shared" si="15"/>
        <v>43271</v>
      </c>
      <c r="H95" s="306" t="s">
        <v>294</v>
      </c>
      <c r="I95" s="294" t="s">
        <v>171</v>
      </c>
      <c r="J95" s="295" t="s">
        <v>295</v>
      </c>
      <c r="K95" s="307" t="s">
        <v>302</v>
      </c>
      <c r="L95" s="295">
        <v>23173</v>
      </c>
      <c r="M95" s="296"/>
      <c r="N95" s="294"/>
      <c r="O95" s="297">
        <v>207</v>
      </c>
      <c r="P95" s="314">
        <v>3</v>
      </c>
      <c r="Q95" s="298">
        <f t="shared" si="7"/>
        <v>621</v>
      </c>
      <c r="R95" s="299"/>
      <c r="S95" s="298"/>
      <c r="T95" s="298"/>
      <c r="U95" s="298"/>
      <c r="V95" s="298">
        <f t="shared" si="16"/>
        <v>621</v>
      </c>
      <c r="W95" s="298"/>
      <c r="X95" s="298"/>
      <c r="Y95" s="298"/>
      <c r="Z95" s="300"/>
      <c r="AA95" s="300"/>
      <c r="AB95" s="300"/>
    </row>
    <row r="96" spans="1:28" ht="32.25" customHeight="1">
      <c r="A96" s="305">
        <v>2142</v>
      </c>
      <c r="B96" s="323" t="s">
        <v>71</v>
      </c>
      <c r="C96" s="323" t="s">
        <v>307</v>
      </c>
      <c r="D96" s="291"/>
      <c r="E96" s="292">
        <v>5</v>
      </c>
      <c r="F96" s="293">
        <v>43234</v>
      </c>
      <c r="G96" s="293">
        <f t="shared" si="15"/>
        <v>43239</v>
      </c>
      <c r="H96" s="306" t="s">
        <v>294</v>
      </c>
      <c r="I96" s="294" t="s">
        <v>171</v>
      </c>
      <c r="J96" s="295" t="s">
        <v>295</v>
      </c>
      <c r="K96" s="307" t="s">
        <v>309</v>
      </c>
      <c r="L96" s="295">
        <v>23173</v>
      </c>
      <c r="M96" s="296"/>
      <c r="N96" s="294"/>
      <c r="O96" s="297">
        <v>933.33333333333337</v>
      </c>
      <c r="P96" s="295">
        <v>1</v>
      </c>
      <c r="Q96" s="298">
        <f t="shared" si="7"/>
        <v>933.33333333333337</v>
      </c>
      <c r="R96" s="299"/>
      <c r="S96" s="298"/>
      <c r="T96" s="298"/>
      <c r="U96" s="298">
        <f t="shared" ref="U96:U102" si="17">+Q96</f>
        <v>933.33333333333337</v>
      </c>
      <c r="V96" s="298"/>
      <c r="W96" s="298"/>
      <c r="X96" s="298"/>
      <c r="Y96" s="298"/>
      <c r="Z96" s="300"/>
      <c r="AA96" s="300"/>
      <c r="AB96" s="300"/>
    </row>
    <row r="97" spans="1:28" ht="32.25" customHeight="1">
      <c r="A97" s="305">
        <v>2142</v>
      </c>
      <c r="B97" s="323" t="s">
        <v>71</v>
      </c>
      <c r="C97" s="323" t="s">
        <v>307</v>
      </c>
      <c r="D97" s="291"/>
      <c r="E97" s="292">
        <v>5</v>
      </c>
      <c r="F97" s="293">
        <v>43234</v>
      </c>
      <c r="G97" s="293">
        <f t="shared" si="15"/>
        <v>43239</v>
      </c>
      <c r="H97" s="306" t="s">
        <v>294</v>
      </c>
      <c r="I97" s="294" t="s">
        <v>171</v>
      </c>
      <c r="J97" s="295" t="s">
        <v>295</v>
      </c>
      <c r="K97" s="307" t="s">
        <v>308</v>
      </c>
      <c r="L97" s="295">
        <v>23173</v>
      </c>
      <c r="M97" s="296"/>
      <c r="N97" s="294"/>
      <c r="O97" s="297">
        <v>200</v>
      </c>
      <c r="P97" s="295">
        <v>1</v>
      </c>
      <c r="Q97" s="298">
        <f t="shared" si="7"/>
        <v>200</v>
      </c>
      <c r="R97" s="299"/>
      <c r="S97" s="298"/>
      <c r="T97" s="298"/>
      <c r="U97" s="298">
        <f t="shared" si="17"/>
        <v>200</v>
      </c>
      <c r="V97" s="298"/>
      <c r="W97" s="298"/>
      <c r="X97" s="298"/>
      <c r="Y97" s="298"/>
      <c r="Z97" s="300"/>
      <c r="AA97" s="300"/>
      <c r="AB97" s="300"/>
    </row>
    <row r="98" spans="1:28" ht="32.25" customHeight="1">
      <c r="A98" s="305">
        <v>2142</v>
      </c>
      <c r="B98" s="323" t="s">
        <v>71</v>
      </c>
      <c r="C98" s="323" t="s">
        <v>307</v>
      </c>
      <c r="D98" s="291"/>
      <c r="E98" s="292">
        <v>5</v>
      </c>
      <c r="F98" s="293">
        <v>43234</v>
      </c>
      <c r="G98" s="293">
        <f t="shared" si="15"/>
        <v>43239</v>
      </c>
      <c r="H98" s="306" t="s">
        <v>294</v>
      </c>
      <c r="I98" s="294" t="s">
        <v>171</v>
      </c>
      <c r="J98" s="295" t="s">
        <v>295</v>
      </c>
      <c r="K98" s="318" t="s">
        <v>357</v>
      </c>
      <c r="L98" s="295">
        <v>23174</v>
      </c>
      <c r="M98" s="296"/>
      <c r="N98" s="294"/>
      <c r="O98" s="297">
        <v>7093.333333333333</v>
      </c>
      <c r="P98" s="295">
        <v>1</v>
      </c>
      <c r="Q98" s="298">
        <f t="shared" si="7"/>
        <v>7093.333333333333</v>
      </c>
      <c r="R98" s="299"/>
      <c r="S98" s="298"/>
      <c r="T98" s="298"/>
      <c r="U98" s="298">
        <f t="shared" si="17"/>
        <v>7093.333333333333</v>
      </c>
      <c r="V98" s="298"/>
      <c r="W98" s="298"/>
      <c r="X98" s="298"/>
      <c r="Y98" s="298"/>
      <c r="Z98" s="300"/>
      <c r="AA98" s="300"/>
      <c r="AB98" s="300"/>
    </row>
    <row r="99" spans="1:28" ht="32.25" customHeight="1">
      <c r="A99" s="305">
        <v>2142</v>
      </c>
      <c r="B99" s="323" t="s">
        <v>71</v>
      </c>
      <c r="C99" s="323" t="s">
        <v>307</v>
      </c>
      <c r="D99" s="291"/>
      <c r="E99" s="292">
        <v>5</v>
      </c>
      <c r="F99" s="293">
        <v>43234</v>
      </c>
      <c r="G99" s="293">
        <f t="shared" si="15"/>
        <v>43239</v>
      </c>
      <c r="H99" s="306" t="s">
        <v>294</v>
      </c>
      <c r="I99" s="294" t="s">
        <v>171</v>
      </c>
      <c r="J99" s="295" t="s">
        <v>295</v>
      </c>
      <c r="K99" s="318" t="s">
        <v>346</v>
      </c>
      <c r="L99" s="295">
        <v>23174</v>
      </c>
      <c r="M99" s="296"/>
      <c r="N99" s="294"/>
      <c r="O99" s="297">
        <v>2666.6666666666665</v>
      </c>
      <c r="P99" s="295">
        <v>1</v>
      </c>
      <c r="Q99" s="298">
        <f t="shared" si="7"/>
        <v>2666.6666666666665</v>
      </c>
      <c r="R99" s="299"/>
      <c r="S99" s="298"/>
      <c r="T99" s="298"/>
      <c r="U99" s="298">
        <f t="shared" si="17"/>
        <v>2666.6666666666665</v>
      </c>
      <c r="V99" s="298"/>
      <c r="W99" s="298"/>
      <c r="X99" s="298"/>
      <c r="Y99" s="298"/>
      <c r="Z99" s="300"/>
      <c r="AA99" s="300"/>
      <c r="AB99" s="300"/>
    </row>
    <row r="100" spans="1:28" ht="32.25" customHeight="1">
      <c r="A100" s="305">
        <v>2142</v>
      </c>
      <c r="B100" s="323" t="s">
        <v>71</v>
      </c>
      <c r="C100" s="323" t="s">
        <v>307</v>
      </c>
      <c r="D100" s="291"/>
      <c r="E100" s="292">
        <v>5</v>
      </c>
      <c r="F100" s="293">
        <v>43234</v>
      </c>
      <c r="G100" s="293">
        <f t="shared" si="15"/>
        <v>43239</v>
      </c>
      <c r="H100" s="306" t="s">
        <v>294</v>
      </c>
      <c r="I100" s="294" t="s">
        <v>171</v>
      </c>
      <c r="J100" s="295" t="s">
        <v>295</v>
      </c>
      <c r="K100" s="324" t="s">
        <v>358</v>
      </c>
      <c r="L100" s="295">
        <v>23174</v>
      </c>
      <c r="M100" s="296"/>
      <c r="N100" s="294"/>
      <c r="O100" s="297">
        <v>1066.6666666666667</v>
      </c>
      <c r="P100" s="295">
        <v>1</v>
      </c>
      <c r="Q100" s="298">
        <f t="shared" si="7"/>
        <v>1066.6666666666667</v>
      </c>
      <c r="R100" s="299"/>
      <c r="S100" s="298"/>
      <c r="T100" s="298"/>
      <c r="U100" s="298">
        <f t="shared" si="17"/>
        <v>1066.6666666666667</v>
      </c>
      <c r="V100" s="298"/>
      <c r="W100" s="298"/>
      <c r="X100" s="298"/>
      <c r="Y100" s="298"/>
      <c r="Z100" s="300"/>
      <c r="AA100" s="300"/>
      <c r="AB100" s="300"/>
    </row>
    <row r="101" spans="1:28" ht="32.25" customHeight="1">
      <c r="A101" s="305">
        <v>2142</v>
      </c>
      <c r="B101" s="323" t="s">
        <v>71</v>
      </c>
      <c r="C101" s="323" t="s">
        <v>307</v>
      </c>
      <c r="D101" s="291"/>
      <c r="E101" s="292">
        <v>5</v>
      </c>
      <c r="F101" s="293">
        <v>43234</v>
      </c>
      <c r="G101" s="293">
        <f t="shared" si="15"/>
        <v>43239</v>
      </c>
      <c r="H101" s="306" t="s">
        <v>294</v>
      </c>
      <c r="I101" s="294" t="s">
        <v>171</v>
      </c>
      <c r="J101" s="295" t="s">
        <v>295</v>
      </c>
      <c r="K101" s="318" t="s">
        <v>301</v>
      </c>
      <c r="L101" s="295">
        <v>23172</v>
      </c>
      <c r="M101" s="296"/>
      <c r="N101" s="294"/>
      <c r="O101" s="297">
        <v>666.66666666666663</v>
      </c>
      <c r="P101" s="295">
        <v>1</v>
      </c>
      <c r="Q101" s="298">
        <f t="shared" si="7"/>
        <v>666.66666666666663</v>
      </c>
      <c r="R101" s="299"/>
      <c r="S101" s="298"/>
      <c r="T101" s="298"/>
      <c r="U101" s="298">
        <f t="shared" si="17"/>
        <v>666.66666666666663</v>
      </c>
      <c r="V101" s="298"/>
      <c r="W101" s="298"/>
      <c r="X101" s="298"/>
      <c r="Y101" s="298"/>
      <c r="Z101" s="300"/>
      <c r="AA101" s="300"/>
      <c r="AB101" s="300"/>
    </row>
    <row r="102" spans="1:28" ht="32.25" customHeight="1">
      <c r="A102" s="305">
        <v>2142</v>
      </c>
      <c r="B102" s="323" t="s">
        <v>71</v>
      </c>
      <c r="C102" s="323" t="s">
        <v>307</v>
      </c>
      <c r="D102" s="291"/>
      <c r="E102" s="292">
        <v>5</v>
      </c>
      <c r="F102" s="293">
        <v>43234</v>
      </c>
      <c r="G102" s="293">
        <f t="shared" si="15"/>
        <v>43239</v>
      </c>
      <c r="H102" s="306" t="s">
        <v>294</v>
      </c>
      <c r="I102" s="294" t="s">
        <v>171</v>
      </c>
      <c r="J102" s="295" t="s">
        <v>295</v>
      </c>
      <c r="K102" s="318" t="s">
        <v>302</v>
      </c>
      <c r="L102" s="295">
        <v>23173</v>
      </c>
      <c r="M102" s="296"/>
      <c r="N102" s="294"/>
      <c r="O102" s="297">
        <v>276</v>
      </c>
      <c r="P102" s="295">
        <v>1</v>
      </c>
      <c r="Q102" s="298">
        <f t="shared" si="7"/>
        <v>276</v>
      </c>
      <c r="R102" s="299"/>
      <c r="S102" s="298"/>
      <c r="T102" s="298"/>
      <c r="U102" s="298">
        <f t="shared" si="17"/>
        <v>276</v>
      </c>
      <c r="V102" s="298"/>
      <c r="W102" s="298"/>
      <c r="X102" s="298"/>
      <c r="Y102" s="298"/>
      <c r="Z102" s="300"/>
      <c r="AA102" s="300"/>
      <c r="AB102" s="300"/>
    </row>
    <row r="103" spans="1:28" ht="32.25" customHeight="1">
      <c r="A103" s="305">
        <v>2143</v>
      </c>
      <c r="B103" s="310" t="s">
        <v>72</v>
      </c>
      <c r="C103" s="291" t="s">
        <v>359</v>
      </c>
      <c r="D103" s="291"/>
      <c r="E103" s="292">
        <v>30</v>
      </c>
      <c r="F103" s="293">
        <v>43255</v>
      </c>
      <c r="G103" s="293">
        <f t="shared" si="15"/>
        <v>43285</v>
      </c>
      <c r="H103" s="306" t="s">
        <v>294</v>
      </c>
      <c r="I103" s="294" t="s">
        <v>171</v>
      </c>
      <c r="J103" s="295" t="s">
        <v>295</v>
      </c>
      <c r="K103" s="307" t="s">
        <v>360</v>
      </c>
      <c r="L103" s="307">
        <v>23172</v>
      </c>
      <c r="M103" s="296"/>
      <c r="N103" s="294"/>
      <c r="O103" s="297">
        <v>133333.33333333334</v>
      </c>
      <c r="P103" s="295">
        <v>0.2</v>
      </c>
      <c r="Q103" s="298">
        <f t="shared" si="7"/>
        <v>26666.666666666672</v>
      </c>
      <c r="R103" s="299"/>
      <c r="S103" s="298"/>
      <c r="T103" s="298"/>
      <c r="U103" s="298"/>
      <c r="V103" s="298">
        <f>+Q103</f>
        <v>26666.666666666672</v>
      </c>
      <c r="W103" s="298"/>
      <c r="X103" s="298"/>
      <c r="Y103" s="298"/>
      <c r="Z103" s="300"/>
      <c r="AA103" s="300"/>
      <c r="AB103" s="300"/>
    </row>
    <row r="104" spans="1:28" ht="32.25" customHeight="1">
      <c r="A104" s="305">
        <v>2144</v>
      </c>
      <c r="B104" s="325" t="s">
        <v>73</v>
      </c>
      <c r="C104" s="291" t="s">
        <v>361</v>
      </c>
      <c r="D104" s="291"/>
      <c r="E104" s="292">
        <v>30</v>
      </c>
      <c r="F104" s="293">
        <v>43255</v>
      </c>
      <c r="G104" s="293">
        <f t="shared" si="15"/>
        <v>43285</v>
      </c>
      <c r="H104" s="306" t="s">
        <v>294</v>
      </c>
      <c r="I104" s="294" t="s">
        <v>171</v>
      </c>
      <c r="J104" s="295" t="s">
        <v>295</v>
      </c>
      <c r="K104" s="307" t="s">
        <v>360</v>
      </c>
      <c r="L104" s="307">
        <v>23172</v>
      </c>
      <c r="M104" s="296"/>
      <c r="N104" s="294"/>
      <c r="O104" s="297">
        <v>2000</v>
      </c>
      <c r="P104" s="295">
        <v>3</v>
      </c>
      <c r="Q104" s="298">
        <f t="shared" si="7"/>
        <v>6000</v>
      </c>
      <c r="R104" s="299"/>
      <c r="S104" s="298"/>
      <c r="T104" s="298"/>
      <c r="U104" s="298"/>
      <c r="V104" s="298">
        <f>+Q104</f>
        <v>6000</v>
      </c>
      <c r="W104" s="298"/>
      <c r="X104" s="298"/>
      <c r="Y104" s="298"/>
      <c r="Z104" s="300"/>
      <c r="AA104" s="300"/>
      <c r="AB104" s="300"/>
    </row>
    <row r="105" spans="1:28" ht="32.25" customHeight="1">
      <c r="A105" s="305">
        <v>2145</v>
      </c>
      <c r="B105" s="325" t="s">
        <v>74</v>
      </c>
      <c r="C105" s="310" t="s">
        <v>362</v>
      </c>
      <c r="D105" s="291"/>
      <c r="E105" s="292">
        <v>30</v>
      </c>
      <c r="F105" s="293">
        <v>43255</v>
      </c>
      <c r="G105" s="293">
        <f t="shared" si="15"/>
        <v>43285</v>
      </c>
      <c r="H105" s="306" t="s">
        <v>294</v>
      </c>
      <c r="I105" s="294" t="s">
        <v>171</v>
      </c>
      <c r="J105" s="295" t="s">
        <v>295</v>
      </c>
      <c r="K105" s="307" t="s">
        <v>360</v>
      </c>
      <c r="L105" s="307">
        <v>23172</v>
      </c>
      <c r="M105" s="296"/>
      <c r="N105" s="294"/>
      <c r="O105" s="297">
        <v>833.33333333333337</v>
      </c>
      <c r="P105" s="295">
        <v>3</v>
      </c>
      <c r="Q105" s="298">
        <f t="shared" si="7"/>
        <v>2500</v>
      </c>
      <c r="R105" s="299"/>
      <c r="S105" s="298"/>
      <c r="T105" s="298"/>
      <c r="U105" s="298"/>
      <c r="V105" s="298">
        <f>+Q105</f>
        <v>2500</v>
      </c>
      <c r="W105" s="298"/>
      <c r="X105" s="298"/>
      <c r="Y105" s="298"/>
      <c r="Z105" s="300"/>
      <c r="AA105" s="300"/>
      <c r="AB105" s="300"/>
    </row>
    <row r="106" spans="1:28">
      <c r="A106" s="307" t="s">
        <v>233</v>
      </c>
      <c r="B106" s="326"/>
      <c r="C106" s="291"/>
      <c r="D106" s="291"/>
      <c r="E106" s="292"/>
      <c r="F106" s="306"/>
      <c r="G106" s="293"/>
      <c r="H106" s="293"/>
      <c r="I106" s="294"/>
      <c r="J106" s="295"/>
      <c r="K106" s="294"/>
      <c r="L106" s="295"/>
      <c r="M106" s="296"/>
      <c r="N106" s="294"/>
      <c r="O106" s="297"/>
      <c r="P106" s="295"/>
      <c r="Q106" s="298"/>
      <c r="R106" s="299"/>
      <c r="S106" s="298"/>
      <c r="T106" s="298"/>
      <c r="U106" s="298"/>
      <c r="V106" s="298"/>
      <c r="W106" s="298"/>
      <c r="X106" s="298"/>
      <c r="Y106" s="298"/>
      <c r="Z106" s="300"/>
      <c r="AA106" s="300"/>
      <c r="AB106" s="300"/>
    </row>
    <row r="107" spans="1:28" ht="37.5" customHeight="1">
      <c r="A107" s="3457" t="s">
        <v>237</v>
      </c>
      <c r="B107" s="3457"/>
      <c r="C107" s="3457"/>
      <c r="D107" s="3457"/>
      <c r="E107" s="3457"/>
      <c r="F107" s="3457"/>
      <c r="G107" s="3457"/>
      <c r="H107" s="3457"/>
      <c r="I107" s="3457"/>
      <c r="J107" s="273"/>
      <c r="K107" s="273"/>
      <c r="L107" s="273"/>
      <c r="M107" s="274"/>
      <c r="N107" s="273"/>
      <c r="O107" s="275"/>
      <c r="P107" s="273"/>
      <c r="Q107" s="276"/>
      <c r="R107" s="277">
        <f>+'[2]Compil Costing PPA 3 millions'!F8</f>
        <v>300000</v>
      </c>
      <c r="S107" s="278"/>
      <c r="T107" s="278"/>
      <c r="U107" s="278"/>
      <c r="V107" s="274"/>
      <c r="W107" s="274"/>
      <c r="X107" s="274"/>
      <c r="Y107" s="274"/>
      <c r="Z107" s="279"/>
      <c r="AA107" s="279"/>
      <c r="AB107" s="279"/>
    </row>
    <row r="108" spans="1:28" ht="16.5" customHeight="1">
      <c r="A108" s="281">
        <v>221</v>
      </c>
      <c r="B108" s="3461" t="s">
        <v>238</v>
      </c>
      <c r="C108" s="3461"/>
      <c r="D108" s="3461"/>
      <c r="E108" s="3461"/>
      <c r="F108" s="3461"/>
      <c r="G108" s="3461"/>
      <c r="H108" s="3461"/>
      <c r="I108" s="3461"/>
      <c r="J108" s="282"/>
      <c r="K108" s="283"/>
      <c r="L108" s="282"/>
      <c r="M108" s="284"/>
      <c r="N108" s="283"/>
      <c r="O108" s="285"/>
      <c r="P108" s="282"/>
      <c r="Q108" s="286"/>
      <c r="R108" s="287"/>
      <c r="S108" s="288"/>
      <c r="T108" s="288"/>
      <c r="U108" s="288"/>
      <c r="V108" s="288"/>
      <c r="W108" s="288"/>
      <c r="X108" s="288"/>
      <c r="Y108" s="288"/>
      <c r="Z108" s="289"/>
      <c r="AA108" s="289"/>
      <c r="AB108" s="289"/>
    </row>
    <row r="109" spans="1:28" s="538" customFormat="1">
      <c r="A109" s="524">
        <v>2211</v>
      </c>
      <c r="B109" s="525" t="s">
        <v>363</v>
      </c>
      <c r="C109" s="526" t="s">
        <v>364</v>
      </c>
      <c r="D109" s="526"/>
      <c r="E109" s="527">
        <v>50</v>
      </c>
      <c r="F109" s="528">
        <v>43185</v>
      </c>
      <c r="G109" s="529">
        <f>+F109+E109</f>
        <v>43235</v>
      </c>
      <c r="H109" s="529"/>
      <c r="I109" s="530" t="s">
        <v>169</v>
      </c>
      <c r="J109" s="531" t="s">
        <v>174</v>
      </c>
      <c r="K109" s="532" t="s">
        <v>365</v>
      </c>
      <c r="L109" s="531">
        <v>2313</v>
      </c>
      <c r="M109" s="533"/>
      <c r="N109" s="530" t="s">
        <v>366</v>
      </c>
      <c r="O109" s="534">
        <v>27000</v>
      </c>
      <c r="P109" s="531">
        <v>1</v>
      </c>
      <c r="Q109" s="535">
        <f>+O109*P109</f>
        <v>27000</v>
      </c>
      <c r="R109" s="536"/>
      <c r="S109" s="535"/>
      <c r="T109" s="535"/>
      <c r="U109" s="535"/>
      <c r="V109" s="535"/>
      <c r="W109" s="535"/>
      <c r="X109" s="535"/>
      <c r="Y109" s="535"/>
      <c r="Z109" s="537"/>
      <c r="AA109" s="537"/>
      <c r="AB109" s="537"/>
    </row>
    <row r="110" spans="1:28" s="538" customFormat="1">
      <c r="A110" s="524">
        <v>2211</v>
      </c>
      <c r="B110" s="525" t="s">
        <v>363</v>
      </c>
      <c r="C110" s="526" t="s">
        <v>364</v>
      </c>
      <c r="D110" s="526"/>
      <c r="E110" s="527">
        <v>50</v>
      </c>
      <c r="F110" s="528">
        <v>43185</v>
      </c>
      <c r="G110" s="529">
        <f>+F110+E110</f>
        <v>43235</v>
      </c>
      <c r="H110" s="529"/>
      <c r="I110" s="530" t="s">
        <v>169</v>
      </c>
      <c r="J110" s="531" t="s">
        <v>174</v>
      </c>
      <c r="K110" s="532" t="s">
        <v>365</v>
      </c>
      <c r="L110" s="531">
        <v>2313</v>
      </c>
      <c r="M110" s="533"/>
      <c r="N110" s="530" t="s">
        <v>366</v>
      </c>
      <c r="O110" s="534">
        <v>27000</v>
      </c>
      <c r="P110" s="531">
        <v>1</v>
      </c>
      <c r="Q110" s="535">
        <f>+O110*P110</f>
        <v>27000</v>
      </c>
      <c r="R110" s="536"/>
      <c r="S110" s="535"/>
      <c r="T110" s="535"/>
      <c r="U110" s="535"/>
      <c r="V110" s="535"/>
      <c r="W110" s="535"/>
      <c r="X110" s="535"/>
      <c r="Y110" s="535"/>
      <c r="Z110" s="537"/>
      <c r="AA110" s="537"/>
      <c r="AB110" s="537"/>
    </row>
    <row r="111" spans="1:28" s="538" customFormat="1">
      <c r="A111" s="524">
        <v>2211</v>
      </c>
      <c r="B111" s="525" t="s">
        <v>363</v>
      </c>
      <c r="C111" s="526" t="s">
        <v>367</v>
      </c>
      <c r="D111" s="526"/>
      <c r="E111" s="527">
        <v>150</v>
      </c>
      <c r="F111" s="529">
        <f>+G110</f>
        <v>43235</v>
      </c>
      <c r="G111" s="528">
        <f>+G110+E111</f>
        <v>43385</v>
      </c>
      <c r="H111" s="529" t="s">
        <v>368</v>
      </c>
      <c r="I111" s="530" t="s">
        <v>174</v>
      </c>
      <c r="J111" s="531" t="s">
        <v>169</v>
      </c>
      <c r="K111" s="532" t="s">
        <v>365</v>
      </c>
      <c r="L111" s="531">
        <v>2313</v>
      </c>
      <c r="M111" s="533"/>
      <c r="N111" s="530" t="s">
        <v>366</v>
      </c>
      <c r="O111" s="534"/>
      <c r="P111" s="531"/>
      <c r="Q111" s="535"/>
      <c r="R111" s="536"/>
      <c r="S111" s="535"/>
      <c r="T111" s="535"/>
      <c r="U111" s="535"/>
      <c r="V111" s="535"/>
      <c r="W111" s="535"/>
      <c r="X111" s="535"/>
      <c r="Y111" s="535"/>
      <c r="Z111" s="537"/>
      <c r="AA111" s="537"/>
      <c r="AB111" s="537"/>
    </row>
    <row r="112" spans="1:28" s="538" customFormat="1">
      <c r="A112" s="539">
        <v>2212</v>
      </c>
      <c r="B112" s="526" t="s">
        <v>92</v>
      </c>
      <c r="C112" s="526"/>
      <c r="D112" s="526"/>
      <c r="E112" s="540"/>
      <c r="F112" s="528"/>
      <c r="G112" s="529"/>
      <c r="H112" s="529"/>
      <c r="I112" s="530"/>
      <c r="J112" s="531"/>
      <c r="K112" s="530"/>
      <c r="L112" s="531"/>
      <c r="M112" s="533"/>
      <c r="N112" s="530"/>
      <c r="O112" s="534"/>
      <c r="P112" s="531"/>
      <c r="Q112" s="535"/>
      <c r="R112" s="536"/>
      <c r="S112" s="535"/>
      <c r="T112" s="535"/>
      <c r="U112" s="535"/>
      <c r="V112" s="535"/>
      <c r="W112" s="535"/>
      <c r="X112" s="535"/>
      <c r="Y112" s="535"/>
      <c r="Z112" s="537"/>
      <c r="AA112" s="537"/>
      <c r="AB112" s="537"/>
    </row>
    <row r="113" spans="1:28" s="538" customFormat="1">
      <c r="A113" s="539">
        <v>2213</v>
      </c>
      <c r="B113" s="526" t="s">
        <v>93</v>
      </c>
      <c r="C113" s="526"/>
      <c r="D113" s="526"/>
      <c r="E113" s="527"/>
      <c r="F113" s="528"/>
      <c r="G113" s="529"/>
      <c r="H113" s="529"/>
      <c r="I113" s="530"/>
      <c r="J113" s="531"/>
      <c r="K113" s="530"/>
      <c r="L113" s="531"/>
      <c r="M113" s="533"/>
      <c r="N113" s="530"/>
      <c r="O113" s="534"/>
      <c r="P113" s="531"/>
      <c r="Q113" s="535"/>
      <c r="R113" s="536"/>
      <c r="S113" s="535"/>
      <c r="T113" s="535"/>
      <c r="U113" s="535"/>
      <c r="V113" s="535"/>
      <c r="W113" s="535"/>
      <c r="X113" s="535"/>
      <c r="Y113" s="535"/>
      <c r="Z113" s="537"/>
      <c r="AA113" s="537"/>
      <c r="AB113" s="537"/>
    </row>
    <row r="114" spans="1:28" ht="20.25" customHeight="1">
      <c r="A114" s="281">
        <v>222</v>
      </c>
      <c r="B114" s="3461" t="s">
        <v>239</v>
      </c>
      <c r="C114" s="3461"/>
      <c r="D114" s="3461"/>
      <c r="E114" s="3461"/>
      <c r="F114" s="3461"/>
      <c r="G114" s="3461"/>
      <c r="H114" s="3461"/>
      <c r="I114" s="3461"/>
      <c r="J114" s="282"/>
      <c r="K114" s="283"/>
      <c r="L114" s="282"/>
      <c r="M114" s="284"/>
      <c r="N114" s="283"/>
      <c r="O114" s="285"/>
      <c r="P114" s="282"/>
      <c r="Q114" s="286"/>
      <c r="R114" s="287"/>
      <c r="S114" s="288"/>
      <c r="T114" s="288"/>
      <c r="U114" s="288"/>
      <c r="V114" s="288"/>
      <c r="W114" s="288"/>
      <c r="X114" s="288"/>
      <c r="Y114" s="288"/>
      <c r="Z114" s="289"/>
      <c r="AA114" s="289"/>
      <c r="AB114" s="289"/>
    </row>
    <row r="115" spans="1:28">
      <c r="A115" s="290">
        <v>2221</v>
      </c>
      <c r="B115" s="330"/>
      <c r="C115" s="330"/>
      <c r="D115" s="330"/>
      <c r="E115" s="329"/>
      <c r="F115" s="306"/>
      <c r="G115" s="293"/>
      <c r="H115" s="293"/>
      <c r="I115" s="294"/>
      <c r="J115" s="295"/>
      <c r="K115" s="294"/>
      <c r="L115" s="295"/>
      <c r="M115" s="296"/>
      <c r="N115" s="294"/>
      <c r="O115" s="297"/>
      <c r="P115" s="295"/>
      <c r="Q115" s="298"/>
      <c r="R115" s="299"/>
      <c r="S115" s="298"/>
      <c r="T115" s="298"/>
      <c r="U115" s="298"/>
      <c r="V115" s="298"/>
      <c r="W115" s="298"/>
      <c r="X115" s="298"/>
      <c r="Y115" s="298"/>
      <c r="Z115" s="300"/>
      <c r="AA115" s="300"/>
      <c r="AB115" s="300"/>
    </row>
    <row r="116" spans="1:28">
      <c r="A116" s="290">
        <v>2222</v>
      </c>
      <c r="B116" s="330"/>
      <c r="C116" s="330"/>
      <c r="D116" s="330"/>
      <c r="E116" s="329"/>
      <c r="F116" s="306"/>
      <c r="G116" s="293"/>
      <c r="H116" s="293"/>
      <c r="I116" s="294"/>
      <c r="J116" s="295"/>
      <c r="K116" s="294"/>
      <c r="L116" s="295"/>
      <c r="M116" s="296"/>
      <c r="N116" s="294"/>
      <c r="O116" s="297"/>
      <c r="P116" s="295"/>
      <c r="Q116" s="298"/>
      <c r="R116" s="299"/>
      <c r="S116" s="298"/>
      <c r="T116" s="298"/>
      <c r="U116" s="298"/>
      <c r="V116" s="298"/>
      <c r="W116" s="298"/>
      <c r="X116" s="298"/>
      <c r="Y116" s="298"/>
      <c r="Z116" s="300"/>
      <c r="AA116" s="300"/>
      <c r="AB116" s="300"/>
    </row>
    <row r="117" spans="1:28">
      <c r="A117" s="307" t="s">
        <v>233</v>
      </c>
      <c r="B117" s="330"/>
      <c r="C117" s="330"/>
      <c r="D117" s="330"/>
      <c r="E117" s="329"/>
      <c r="F117" s="306"/>
      <c r="G117" s="293"/>
      <c r="H117" s="293"/>
      <c r="I117" s="294"/>
      <c r="J117" s="295"/>
      <c r="K117" s="294"/>
      <c r="L117" s="295"/>
      <c r="M117" s="296"/>
      <c r="N117" s="294"/>
      <c r="O117" s="297"/>
      <c r="P117" s="295"/>
      <c r="Q117" s="298"/>
      <c r="R117" s="299"/>
      <c r="S117" s="298"/>
      <c r="T117" s="298"/>
      <c r="U117" s="298"/>
      <c r="V117" s="298"/>
      <c r="W117" s="298"/>
      <c r="X117" s="298"/>
      <c r="Y117" s="298"/>
      <c r="Z117" s="300"/>
      <c r="AA117" s="300"/>
      <c r="AB117" s="300"/>
    </row>
    <row r="118" spans="1:28" ht="37.5" customHeight="1">
      <c r="A118" s="3457" t="s">
        <v>240</v>
      </c>
      <c r="B118" s="3457"/>
      <c r="C118" s="3457"/>
      <c r="D118" s="3457"/>
      <c r="E118" s="3457"/>
      <c r="F118" s="3457"/>
      <c r="G118" s="3457"/>
      <c r="H118" s="3457"/>
      <c r="I118" s="3457"/>
      <c r="J118" s="273"/>
      <c r="K118" s="273"/>
      <c r="L118" s="273"/>
      <c r="M118" s="274"/>
      <c r="N118" s="273"/>
      <c r="O118" s="275"/>
      <c r="P118" s="273"/>
      <c r="Q118" s="276"/>
      <c r="R118" s="277">
        <f>+SUM(R119,R122,R126,R129,R131)</f>
        <v>88428.093760000003</v>
      </c>
      <c r="S118" s="480"/>
      <c r="T118" s="278"/>
      <c r="U118" s="278"/>
      <c r="V118" s="274"/>
      <c r="W118" s="274"/>
      <c r="X118" s="274"/>
      <c r="Y118" s="274"/>
      <c r="Z118" s="280"/>
      <c r="AA118" s="280"/>
      <c r="AB118" s="280"/>
    </row>
    <row r="119" spans="1:28" ht="16.5" customHeight="1">
      <c r="A119" s="281">
        <v>231</v>
      </c>
      <c r="B119" s="3456" t="s">
        <v>511</v>
      </c>
      <c r="C119" s="3456"/>
      <c r="D119" s="3456"/>
      <c r="E119" s="3456"/>
      <c r="F119" s="3456"/>
      <c r="G119" s="3456"/>
      <c r="H119" s="3456"/>
      <c r="I119" s="3456"/>
      <c r="J119" s="282"/>
      <c r="K119" s="283"/>
      <c r="L119" s="282"/>
      <c r="M119" s="284"/>
      <c r="N119" s="283"/>
      <c r="O119" s="285"/>
      <c r="P119" s="282"/>
      <c r="Q119" s="286"/>
      <c r="R119" s="287">
        <f>Q121+Q120</f>
        <v>45378.293760000008</v>
      </c>
      <c r="S119" s="288"/>
      <c r="T119" s="288"/>
      <c r="U119" s="288"/>
      <c r="V119" s="288"/>
      <c r="W119" s="288"/>
      <c r="X119" s="288"/>
      <c r="Y119" s="288"/>
      <c r="Z119" s="280"/>
      <c r="AA119" s="280"/>
      <c r="AB119" s="280"/>
    </row>
    <row r="120" spans="1:28" ht="63">
      <c r="A120" s="290">
        <v>2311</v>
      </c>
      <c r="B120" s="481" t="s">
        <v>512</v>
      </c>
      <c r="C120" s="481" t="s">
        <v>513</v>
      </c>
      <c r="D120" s="482" t="s">
        <v>514</v>
      </c>
      <c r="E120" s="482">
        <v>150</v>
      </c>
      <c r="F120" s="483">
        <v>43193</v>
      </c>
      <c r="G120" s="483">
        <f>E120+F120</f>
        <v>43343</v>
      </c>
      <c r="H120" s="482" t="s">
        <v>515</v>
      </c>
      <c r="I120" s="482" t="s">
        <v>516</v>
      </c>
      <c r="J120" s="482" t="s">
        <v>517</v>
      </c>
      <c r="K120" s="482" t="s">
        <v>518</v>
      </c>
      <c r="L120" s="482">
        <v>23173</v>
      </c>
      <c r="M120" s="482"/>
      <c r="N120" s="482" t="s">
        <v>366</v>
      </c>
      <c r="O120" s="484">
        <v>0.12</v>
      </c>
      <c r="P120" s="485">
        <v>52301.824000000001</v>
      </c>
      <c r="Q120" s="484">
        <f>O120*P120</f>
        <v>6276.2188799999994</v>
      </c>
      <c r="R120" s="486"/>
      <c r="S120" s="487"/>
      <c r="T120" s="488"/>
      <c r="U120" s="487">
        <f>Q120</f>
        <v>6276.2188799999994</v>
      </c>
      <c r="V120" s="487"/>
      <c r="W120" s="487"/>
      <c r="X120" s="487"/>
      <c r="Y120" s="487"/>
      <c r="Z120" s="280"/>
      <c r="AA120" s="280"/>
      <c r="AB120" s="280"/>
    </row>
    <row r="121" spans="1:28" ht="63">
      <c r="A121" s="290">
        <v>2312</v>
      </c>
      <c r="B121" s="481" t="s">
        <v>519</v>
      </c>
      <c r="C121" s="481" t="s">
        <v>520</v>
      </c>
      <c r="D121" s="482" t="s">
        <v>514</v>
      </c>
      <c r="E121" s="482">
        <v>150</v>
      </c>
      <c r="F121" s="483">
        <v>43193</v>
      </c>
      <c r="G121" s="483">
        <f>E121+F121</f>
        <v>43343</v>
      </c>
      <c r="H121" s="482" t="s">
        <v>515</v>
      </c>
      <c r="I121" s="489" t="s">
        <v>516</v>
      </c>
      <c r="J121" s="482" t="s">
        <v>517</v>
      </c>
      <c r="K121" s="482" t="s">
        <v>521</v>
      </c>
      <c r="L121" s="482">
        <v>23173</v>
      </c>
      <c r="M121" s="490"/>
      <c r="N121" s="482" t="s">
        <v>366</v>
      </c>
      <c r="O121" s="491">
        <v>0.11</v>
      </c>
      <c r="P121" s="492">
        <v>355473.40800000005</v>
      </c>
      <c r="Q121" s="484">
        <f>O121*P121</f>
        <v>39102.074880000007</v>
      </c>
      <c r="R121" s="486"/>
      <c r="S121" s="493"/>
      <c r="T121" s="494"/>
      <c r="U121" s="487">
        <f>Q121</f>
        <v>39102.074880000007</v>
      </c>
      <c r="V121" s="493"/>
      <c r="W121" s="493"/>
      <c r="X121" s="493"/>
      <c r="Y121" s="493"/>
      <c r="Z121" s="280"/>
      <c r="AA121" s="280"/>
      <c r="AB121" s="280"/>
    </row>
    <row r="122" spans="1:28" ht="16.5" customHeight="1">
      <c r="A122" s="281">
        <v>232</v>
      </c>
      <c r="B122" s="495" t="s">
        <v>522</v>
      </c>
      <c r="C122" s="284"/>
      <c r="D122" s="284"/>
      <c r="E122" s="284"/>
      <c r="F122" s="284"/>
      <c r="G122" s="284"/>
      <c r="H122" s="284"/>
      <c r="I122" s="284"/>
      <c r="J122" s="282"/>
      <c r="K122" s="283"/>
      <c r="L122" s="282"/>
      <c r="M122" s="284"/>
      <c r="N122" s="283"/>
      <c r="O122" s="285"/>
      <c r="P122" s="282"/>
      <c r="Q122" s="286"/>
      <c r="R122" s="287">
        <f>SUM(Q123:Q125)</f>
        <v>32475</v>
      </c>
      <c r="S122" s="288"/>
      <c r="T122" s="288"/>
      <c r="U122" s="288"/>
      <c r="V122" s="288"/>
      <c r="W122" s="288"/>
      <c r="X122" s="288"/>
      <c r="Y122" s="288"/>
      <c r="Z122" s="280"/>
      <c r="AA122" s="280"/>
      <c r="AB122" s="280"/>
    </row>
    <row r="123" spans="1:28" ht="69" customHeight="1">
      <c r="A123" s="290">
        <v>2321</v>
      </c>
      <c r="B123" s="481" t="s">
        <v>523</v>
      </c>
      <c r="C123" s="481" t="s">
        <v>524</v>
      </c>
      <c r="D123" s="482" t="s">
        <v>514</v>
      </c>
      <c r="E123" s="482">
        <v>56</v>
      </c>
      <c r="F123" s="496">
        <v>43210</v>
      </c>
      <c r="G123" s="496">
        <f>E123+F123</f>
        <v>43266</v>
      </c>
      <c r="H123" s="482" t="s">
        <v>525</v>
      </c>
      <c r="I123" s="482" t="s">
        <v>526</v>
      </c>
      <c r="J123" s="482" t="s">
        <v>526</v>
      </c>
      <c r="K123" s="497" t="s">
        <v>527</v>
      </c>
      <c r="L123" s="498">
        <v>23174</v>
      </c>
      <c r="M123" s="490"/>
      <c r="N123" s="482" t="s">
        <v>366</v>
      </c>
      <c r="O123" s="499">
        <v>2104</v>
      </c>
      <c r="P123" s="498">
        <v>12</v>
      </c>
      <c r="Q123" s="500">
        <f t="shared" ref="Q123:Q128" si="18">O123*P123</f>
        <v>25248</v>
      </c>
      <c r="R123" s="486"/>
      <c r="S123" s="493"/>
      <c r="T123" s="493"/>
      <c r="U123" s="493"/>
      <c r="V123" s="494">
        <f>Q123</f>
        <v>25248</v>
      </c>
      <c r="W123" s="493"/>
      <c r="X123" s="493"/>
      <c r="Y123" s="493"/>
      <c r="Z123" s="280"/>
      <c r="AA123" s="280"/>
      <c r="AB123" s="280"/>
    </row>
    <row r="124" spans="1:28" ht="31.5">
      <c r="A124" s="290">
        <v>2322</v>
      </c>
      <c r="B124" s="481" t="s">
        <v>523</v>
      </c>
      <c r="C124" s="481" t="s">
        <v>528</v>
      </c>
      <c r="D124" s="482" t="s">
        <v>514</v>
      </c>
      <c r="E124" s="482">
        <v>56</v>
      </c>
      <c r="F124" s="496">
        <v>43210</v>
      </c>
      <c r="G124" s="496">
        <f>E124+F124</f>
        <v>43266</v>
      </c>
      <c r="H124" s="482" t="s">
        <v>529</v>
      </c>
      <c r="I124" s="482" t="s">
        <v>526</v>
      </c>
      <c r="J124" s="482" t="s">
        <v>295</v>
      </c>
      <c r="K124" s="497" t="s">
        <v>530</v>
      </c>
      <c r="L124" s="498">
        <v>23174</v>
      </c>
      <c r="M124" s="490"/>
      <c r="N124" s="482" t="s">
        <v>366</v>
      </c>
      <c r="O124" s="499">
        <v>6440</v>
      </c>
      <c r="P124" s="498">
        <v>1</v>
      </c>
      <c r="Q124" s="500">
        <f t="shared" si="18"/>
        <v>6440</v>
      </c>
      <c r="R124" s="486"/>
      <c r="S124" s="493"/>
      <c r="T124" s="493"/>
      <c r="U124" s="493"/>
      <c r="V124" s="494">
        <f>Q124</f>
        <v>6440</v>
      </c>
      <c r="W124" s="493"/>
      <c r="X124" s="493"/>
      <c r="Y124" s="493"/>
      <c r="Z124" s="280"/>
      <c r="AA124" s="280"/>
      <c r="AB124" s="280"/>
    </row>
    <row r="125" spans="1:28" ht="31.5">
      <c r="A125" s="290">
        <v>2322</v>
      </c>
      <c r="B125" s="481" t="s">
        <v>523</v>
      </c>
      <c r="C125" s="481" t="s">
        <v>531</v>
      </c>
      <c r="D125" s="482" t="s">
        <v>514</v>
      </c>
      <c r="E125" s="482">
        <v>56</v>
      </c>
      <c r="F125" s="496">
        <v>43210</v>
      </c>
      <c r="G125" s="496">
        <f>E125+F125</f>
        <v>43266</v>
      </c>
      <c r="H125" s="482" t="s">
        <v>529</v>
      </c>
      <c r="I125" s="482" t="s">
        <v>526</v>
      </c>
      <c r="J125" s="482" t="s">
        <v>532</v>
      </c>
      <c r="K125" s="497" t="s">
        <v>533</v>
      </c>
      <c r="L125" s="498">
        <v>23172</v>
      </c>
      <c r="M125" s="490"/>
      <c r="N125" s="482" t="s">
        <v>366</v>
      </c>
      <c r="O125" s="499">
        <v>787</v>
      </c>
      <c r="P125" s="498">
        <v>1</v>
      </c>
      <c r="Q125" s="500">
        <f t="shared" si="18"/>
        <v>787</v>
      </c>
      <c r="R125" s="486"/>
      <c r="S125" s="493"/>
      <c r="T125" s="493"/>
      <c r="U125" s="493"/>
      <c r="V125" s="494">
        <f>Q125</f>
        <v>787</v>
      </c>
      <c r="W125" s="493"/>
      <c r="X125" s="493"/>
      <c r="Y125" s="493"/>
      <c r="Z125" s="280"/>
      <c r="AA125" s="280"/>
      <c r="AB125" s="280"/>
    </row>
    <row r="126" spans="1:28" ht="16.5" customHeight="1">
      <c r="A126" s="281">
        <v>233</v>
      </c>
      <c r="B126" s="284" t="s">
        <v>534</v>
      </c>
      <c r="C126" s="284"/>
      <c r="D126" s="282"/>
      <c r="E126" s="284"/>
      <c r="F126" s="284"/>
      <c r="G126" s="284"/>
      <c r="H126" s="284"/>
      <c r="I126" s="282"/>
      <c r="J126" s="282"/>
      <c r="K126" s="283"/>
      <c r="L126" s="282"/>
      <c r="M126" s="284"/>
      <c r="N126" s="283"/>
      <c r="O126" s="285"/>
      <c r="P126" s="282"/>
      <c r="Q126" s="286"/>
      <c r="R126" s="287">
        <f>Q128+Q127</f>
        <v>3957.8</v>
      </c>
      <c r="S126" s="288"/>
      <c r="T126" s="288"/>
      <c r="U126" s="288"/>
      <c r="V126" s="288"/>
      <c r="W126" s="288"/>
      <c r="X126" s="288"/>
      <c r="Y126" s="288"/>
      <c r="Z126" s="280"/>
      <c r="AA126" s="280"/>
      <c r="AB126" s="280"/>
    </row>
    <row r="127" spans="1:28">
      <c r="A127" s="290">
        <v>2331</v>
      </c>
      <c r="B127" s="481" t="s">
        <v>535</v>
      </c>
      <c r="C127" s="481" t="s">
        <v>536</v>
      </c>
      <c r="D127" s="482" t="s">
        <v>514</v>
      </c>
      <c r="E127" s="482">
        <v>6</v>
      </c>
      <c r="F127" s="501">
        <v>43233</v>
      </c>
      <c r="G127" s="483">
        <f>E127+F127</f>
        <v>43239</v>
      </c>
      <c r="H127" s="482" t="s">
        <v>525</v>
      </c>
      <c r="I127" s="502" t="s">
        <v>526</v>
      </c>
      <c r="J127" s="497" t="s">
        <v>537</v>
      </c>
      <c r="K127" s="497" t="s">
        <v>527</v>
      </c>
      <c r="L127" s="482">
        <v>23174</v>
      </c>
      <c r="M127" s="503"/>
      <c r="N127" s="482" t="s">
        <v>366</v>
      </c>
      <c r="O127" s="499">
        <v>3477.8</v>
      </c>
      <c r="P127" s="498">
        <v>1</v>
      </c>
      <c r="Q127" s="500">
        <f t="shared" si="18"/>
        <v>3477.8</v>
      </c>
      <c r="R127" s="486"/>
      <c r="S127" s="493"/>
      <c r="T127" s="493"/>
      <c r="U127" s="494">
        <f>Q127</f>
        <v>3477.8</v>
      </c>
      <c r="V127" s="493"/>
      <c r="W127" s="493"/>
      <c r="X127" s="493"/>
      <c r="Y127" s="493"/>
      <c r="Z127" s="280"/>
      <c r="AA127" s="280"/>
      <c r="AB127" s="280"/>
    </row>
    <row r="128" spans="1:28">
      <c r="A128" s="290">
        <v>2332</v>
      </c>
      <c r="B128" s="481" t="s">
        <v>535</v>
      </c>
      <c r="C128" s="481" t="s">
        <v>536</v>
      </c>
      <c r="D128" s="482" t="s">
        <v>514</v>
      </c>
      <c r="E128" s="482">
        <v>4</v>
      </c>
      <c r="F128" s="501">
        <v>43234</v>
      </c>
      <c r="G128" s="483">
        <f>E128+F128</f>
        <v>43238</v>
      </c>
      <c r="H128" s="482" t="s">
        <v>525</v>
      </c>
      <c r="I128" s="502" t="s">
        <v>526</v>
      </c>
      <c r="J128" s="497" t="s">
        <v>537</v>
      </c>
      <c r="K128" s="497" t="s">
        <v>538</v>
      </c>
      <c r="L128" s="482">
        <v>23172</v>
      </c>
      <c r="M128" s="490"/>
      <c r="N128" s="482" t="s">
        <v>366</v>
      </c>
      <c r="O128" s="499">
        <v>480</v>
      </c>
      <c r="P128" s="498">
        <v>1</v>
      </c>
      <c r="Q128" s="500">
        <f t="shared" si="18"/>
        <v>480</v>
      </c>
      <c r="R128" s="486"/>
      <c r="S128" s="493"/>
      <c r="T128" s="493"/>
      <c r="U128" s="494">
        <f>Q128</f>
        <v>480</v>
      </c>
      <c r="V128" s="493"/>
      <c r="W128" s="493"/>
      <c r="X128" s="493"/>
      <c r="Y128" s="493"/>
      <c r="Z128" s="280"/>
      <c r="AA128" s="280"/>
      <c r="AB128" s="280"/>
    </row>
    <row r="129" spans="1:28" ht="35.25" customHeight="1">
      <c r="A129" s="281">
        <v>234</v>
      </c>
      <c r="B129" s="359" t="s">
        <v>539</v>
      </c>
      <c r="C129" s="284"/>
      <c r="D129" s="284"/>
      <c r="E129" s="284"/>
      <c r="F129" s="284"/>
      <c r="G129" s="284"/>
      <c r="H129" s="284"/>
      <c r="I129" s="282"/>
      <c r="J129" s="282"/>
      <c r="K129" s="283"/>
      <c r="L129" s="282"/>
      <c r="M129" s="284"/>
      <c r="N129" s="283"/>
      <c r="O129" s="285"/>
      <c r="P129" s="282"/>
      <c r="Q129" s="286"/>
      <c r="R129" s="287">
        <f>SUM(Q130:Q130)</f>
        <v>6277</v>
      </c>
      <c r="S129" s="288"/>
      <c r="T129" s="288"/>
      <c r="U129" s="288"/>
      <c r="V129" s="288"/>
      <c r="W129" s="288"/>
      <c r="X129" s="288"/>
      <c r="Y129" s="288"/>
      <c r="Z129" s="280"/>
      <c r="AA129" s="280"/>
      <c r="AB129" s="280"/>
    </row>
    <row r="130" spans="1:28" ht="31.5">
      <c r="A130" s="504">
        <v>2341</v>
      </c>
      <c r="B130" s="497" t="s">
        <v>540</v>
      </c>
      <c r="C130" s="497" t="s">
        <v>541</v>
      </c>
      <c r="D130" s="505" t="s">
        <v>542</v>
      </c>
      <c r="E130" s="502">
        <v>135</v>
      </c>
      <c r="F130" s="501">
        <v>43193</v>
      </c>
      <c r="G130" s="501">
        <f>E130+F130</f>
        <v>43328</v>
      </c>
      <c r="H130" s="502" t="s">
        <v>525</v>
      </c>
      <c r="I130" s="502" t="s">
        <v>169</v>
      </c>
      <c r="J130" s="506" t="s">
        <v>526</v>
      </c>
      <c r="K130" s="497" t="s">
        <v>543</v>
      </c>
      <c r="L130" s="482">
        <v>2463</v>
      </c>
      <c r="M130" s="490"/>
      <c r="N130" s="482" t="s">
        <v>366</v>
      </c>
      <c r="O130" s="491">
        <v>6277</v>
      </c>
      <c r="P130" s="507">
        <v>1</v>
      </c>
      <c r="Q130" s="484">
        <f>O130*P130</f>
        <v>6277</v>
      </c>
      <c r="R130" s="486"/>
      <c r="S130" s="493"/>
      <c r="T130" s="494"/>
      <c r="U130" s="493">
        <f>Q130</f>
        <v>6277</v>
      </c>
      <c r="V130" s="493"/>
      <c r="W130" s="493"/>
      <c r="X130" s="493"/>
      <c r="Y130" s="493"/>
      <c r="Z130" s="280"/>
      <c r="AA130" s="280"/>
      <c r="AB130" s="280"/>
    </row>
    <row r="131" spans="1:28">
      <c r="A131" s="281">
        <v>235</v>
      </c>
      <c r="B131" s="359" t="s">
        <v>544</v>
      </c>
      <c r="C131" s="508"/>
      <c r="D131" s="508"/>
      <c r="E131" s="509"/>
      <c r="F131" s="510"/>
      <c r="G131" s="511"/>
      <c r="H131" s="511"/>
      <c r="I131" s="512"/>
      <c r="J131" s="513"/>
      <c r="K131" s="512"/>
      <c r="L131" s="513"/>
      <c r="M131" s="514"/>
      <c r="N131" s="512"/>
      <c r="O131" s="515"/>
      <c r="P131" s="513"/>
      <c r="Q131" s="516"/>
      <c r="R131" s="287">
        <f>SUM(Q132:Q132)</f>
        <v>340</v>
      </c>
      <c r="S131" s="288"/>
      <c r="T131" s="288"/>
      <c r="U131" s="288"/>
      <c r="V131" s="288"/>
      <c r="W131" s="288"/>
      <c r="X131" s="288"/>
      <c r="Y131" s="288"/>
      <c r="Z131" s="280"/>
      <c r="AA131" s="280"/>
      <c r="AB131" s="280"/>
    </row>
    <row r="132" spans="1:28">
      <c r="A132" s="290">
        <v>2351</v>
      </c>
      <c r="B132" s="497" t="s">
        <v>545</v>
      </c>
      <c r="C132" s="497" t="s">
        <v>546</v>
      </c>
      <c r="D132" s="482" t="s">
        <v>514</v>
      </c>
      <c r="E132" s="482">
        <v>70</v>
      </c>
      <c r="F132" s="501">
        <v>43248</v>
      </c>
      <c r="G132" s="501">
        <f>E132+F132</f>
        <v>43318</v>
      </c>
      <c r="H132" s="482" t="s">
        <v>529</v>
      </c>
      <c r="I132" s="502" t="s">
        <v>169</v>
      </c>
      <c r="J132" s="506" t="s">
        <v>526</v>
      </c>
      <c r="K132" s="482" t="s">
        <v>547</v>
      </c>
      <c r="L132" s="506">
        <v>2464</v>
      </c>
      <c r="M132" s="296"/>
      <c r="N132" s="482" t="s">
        <v>366</v>
      </c>
      <c r="O132" s="517">
        <v>340</v>
      </c>
      <c r="P132" s="506">
        <v>1</v>
      </c>
      <c r="Q132" s="484">
        <f>O132*P132</f>
        <v>340</v>
      </c>
      <c r="R132" s="518"/>
      <c r="S132" s="493"/>
      <c r="T132" s="493"/>
      <c r="U132" s="494"/>
      <c r="V132" s="493">
        <f>Q132</f>
        <v>340</v>
      </c>
      <c r="W132" s="493"/>
      <c r="X132" s="493"/>
      <c r="Y132" s="493"/>
      <c r="Z132" s="280"/>
      <c r="AA132" s="280"/>
      <c r="AB132" s="280"/>
    </row>
    <row r="133" spans="1:28" s="272" customFormat="1" ht="33.75" customHeight="1">
      <c r="A133" s="3458" t="s">
        <v>241</v>
      </c>
      <c r="B133" s="3458"/>
      <c r="C133" s="3458"/>
      <c r="D133" s="3458"/>
      <c r="E133" s="3458"/>
      <c r="F133" s="3458"/>
      <c r="G133" s="3458"/>
      <c r="H133" s="3458"/>
      <c r="I133" s="3458"/>
      <c r="J133" s="265"/>
      <c r="K133" s="265"/>
      <c r="L133" s="265"/>
      <c r="M133" s="266"/>
      <c r="N133" s="265"/>
      <c r="O133" s="267"/>
      <c r="P133" s="265"/>
      <c r="Q133" s="268"/>
      <c r="R133" s="269">
        <f>+R134+R143</f>
        <v>29240.073333333334</v>
      </c>
      <c r="S133" s="270"/>
      <c r="T133" s="270"/>
      <c r="U133" s="270"/>
      <c r="V133" s="270"/>
      <c r="W133" s="270"/>
      <c r="X133" s="270"/>
      <c r="Y133" s="270"/>
      <c r="Z133" s="271"/>
      <c r="AA133" s="271"/>
      <c r="AB133" s="271"/>
    </row>
    <row r="134" spans="1:28" ht="15.75" customHeight="1">
      <c r="A134" s="3457" t="s">
        <v>242</v>
      </c>
      <c r="B134" s="3457"/>
      <c r="C134" s="3457"/>
      <c r="D134" s="3457"/>
      <c r="E134" s="3457"/>
      <c r="F134" s="3457"/>
      <c r="G134" s="3457"/>
      <c r="H134" s="3457"/>
      <c r="I134" s="3457"/>
      <c r="J134" s="273"/>
      <c r="K134" s="273"/>
      <c r="L134" s="273"/>
      <c r="M134" s="274"/>
      <c r="N134" s="273"/>
      <c r="O134" s="275"/>
      <c r="P134" s="273"/>
      <c r="Q134" s="276">
        <f>SUM(Q136:Q169)</f>
        <v>29720.666666666668</v>
      </c>
      <c r="R134" s="277">
        <f>+'[3]Compil Costing PPA 3 millions'!F11</f>
        <v>29240.073333333334</v>
      </c>
      <c r="S134" s="278"/>
      <c r="T134" s="278"/>
      <c r="U134" s="278"/>
      <c r="V134" s="274"/>
      <c r="W134" s="274"/>
      <c r="X134" s="274"/>
      <c r="Y134" s="274"/>
      <c r="Z134" s="279"/>
      <c r="AA134" s="279"/>
      <c r="AB134" s="279"/>
    </row>
    <row r="135" spans="1:28" s="162" customFormat="1">
      <c r="A135" s="163">
        <v>311</v>
      </c>
      <c r="B135" s="190" t="s">
        <v>243</v>
      </c>
      <c r="C135" s="190"/>
      <c r="D135" s="166"/>
      <c r="E135" s="166"/>
      <c r="F135" s="166"/>
      <c r="G135" s="166"/>
      <c r="H135" s="166"/>
      <c r="I135" s="166"/>
      <c r="J135" s="164"/>
      <c r="K135" s="165"/>
      <c r="L135" s="164"/>
      <c r="M135" s="166"/>
      <c r="N135" s="165"/>
      <c r="O135" s="167"/>
      <c r="P135" s="164"/>
      <c r="Q135" s="168"/>
      <c r="R135" s="169"/>
      <c r="S135" s="170"/>
      <c r="T135" s="170"/>
      <c r="U135" s="170"/>
      <c r="V135" s="170"/>
      <c r="W135" s="170"/>
      <c r="X135" s="170"/>
      <c r="Y135" s="170"/>
    </row>
    <row r="136" spans="1:28" s="162" customFormat="1" ht="57" customHeight="1">
      <c r="A136" s="191">
        <v>3111</v>
      </c>
      <c r="B136" s="192" t="s">
        <v>244</v>
      </c>
      <c r="C136" s="192" t="s">
        <v>245</v>
      </c>
      <c r="D136" s="193" t="s">
        <v>246</v>
      </c>
      <c r="E136" s="194">
        <f>70+55</f>
        <v>125</v>
      </c>
      <c r="F136" s="174">
        <v>43193</v>
      </c>
      <c r="G136" s="174">
        <f>+F136+E136</f>
        <v>43318</v>
      </c>
      <c r="H136" s="186" t="s">
        <v>247</v>
      </c>
      <c r="I136" s="175" t="s">
        <v>176</v>
      </c>
      <c r="J136" s="175" t="s">
        <v>169</v>
      </c>
      <c r="K136" s="186" t="s">
        <v>248</v>
      </c>
      <c r="L136" s="176">
        <v>2313</v>
      </c>
      <c r="M136" s="177"/>
      <c r="N136" s="175">
        <v>2313</v>
      </c>
      <c r="O136" s="195">
        <v>10643</v>
      </c>
      <c r="P136" s="196">
        <v>1</v>
      </c>
      <c r="Q136" s="519">
        <f>O136*P136</f>
        <v>10643</v>
      </c>
      <c r="R136" s="180"/>
      <c r="S136" s="179"/>
      <c r="T136" s="179"/>
      <c r="U136" s="179"/>
      <c r="V136" s="179"/>
      <c r="W136" s="179"/>
      <c r="X136" s="179">
        <f>Q136</f>
        <v>10643</v>
      </c>
      <c r="Y136" s="179"/>
    </row>
    <row r="137" spans="1:28" s="162" customFormat="1" ht="45" customHeight="1">
      <c r="A137" s="191">
        <v>3112</v>
      </c>
      <c r="B137" s="192" t="s">
        <v>249</v>
      </c>
      <c r="C137" s="197" t="s">
        <v>250</v>
      </c>
      <c r="D137" s="198"/>
      <c r="E137" s="184">
        <v>10</v>
      </c>
      <c r="F137" s="174">
        <f>G142</f>
        <v>43238</v>
      </c>
      <c r="G137" s="174">
        <f t="shared" ref="G137:G169" si="19">F137+E137</f>
        <v>43248</v>
      </c>
      <c r="H137" s="186" t="s">
        <v>247</v>
      </c>
      <c r="I137" s="175" t="s">
        <v>176</v>
      </c>
      <c r="J137" s="175" t="s">
        <v>169</v>
      </c>
      <c r="K137" s="175" t="s">
        <v>251</v>
      </c>
      <c r="L137" s="176">
        <v>2315</v>
      </c>
      <c r="M137" s="177"/>
      <c r="N137" s="175">
        <v>23174</v>
      </c>
      <c r="O137" s="199"/>
      <c r="P137" s="200"/>
      <c r="Q137" s="233"/>
      <c r="R137" s="201"/>
      <c r="S137" s="179"/>
      <c r="T137" s="179"/>
      <c r="U137" s="179">
        <f t="shared" ref="U137:U145" si="20">Q137</f>
        <v>0</v>
      </c>
      <c r="V137" s="179"/>
      <c r="W137" s="179"/>
      <c r="X137" s="179"/>
      <c r="Y137" s="179"/>
    </row>
    <row r="138" spans="1:28" s="162" customFormat="1" ht="57" customHeight="1">
      <c r="A138" s="202">
        <v>3112</v>
      </c>
      <c r="B138" s="203" t="s">
        <v>249</v>
      </c>
      <c r="C138" s="204" t="s">
        <v>250</v>
      </c>
      <c r="D138" s="193"/>
      <c r="E138" s="184">
        <v>10</v>
      </c>
      <c r="F138" s="174">
        <v>43238</v>
      </c>
      <c r="G138" s="174">
        <f t="shared" si="19"/>
        <v>43248</v>
      </c>
      <c r="H138" s="186" t="s">
        <v>247</v>
      </c>
      <c r="I138" s="175" t="s">
        <v>169</v>
      </c>
      <c r="J138" s="175" t="s">
        <v>176</v>
      </c>
      <c r="K138" s="205" t="s">
        <v>252</v>
      </c>
      <c r="L138" s="176"/>
      <c r="M138" s="177"/>
      <c r="N138" s="175">
        <v>23174</v>
      </c>
      <c r="O138" s="206">
        <f>36000/3000</f>
        <v>12</v>
      </c>
      <c r="P138" s="207">
        <f>15*7</f>
        <v>105</v>
      </c>
      <c r="Q138" s="206">
        <f>O138*P138</f>
        <v>1260</v>
      </c>
      <c r="R138" s="180"/>
      <c r="S138" s="179"/>
      <c r="T138" s="179"/>
      <c r="U138" s="179">
        <f t="shared" si="20"/>
        <v>1260</v>
      </c>
      <c r="V138" s="179"/>
      <c r="W138" s="179"/>
      <c r="X138" s="179"/>
      <c r="Y138" s="179"/>
    </row>
    <row r="139" spans="1:28" s="162" customFormat="1" ht="57" customHeight="1">
      <c r="A139" s="202">
        <v>3112</v>
      </c>
      <c r="B139" s="203" t="s">
        <v>249</v>
      </c>
      <c r="C139" s="204" t="s">
        <v>250</v>
      </c>
      <c r="D139" s="193"/>
      <c r="E139" s="184">
        <v>10</v>
      </c>
      <c r="F139" s="174">
        <v>43238</v>
      </c>
      <c r="G139" s="174">
        <f t="shared" si="19"/>
        <v>43248</v>
      </c>
      <c r="H139" s="186" t="s">
        <v>247</v>
      </c>
      <c r="I139" s="175" t="s">
        <v>169</v>
      </c>
      <c r="J139" s="175" t="s">
        <v>176</v>
      </c>
      <c r="K139" s="205" t="s">
        <v>253</v>
      </c>
      <c r="L139" s="176"/>
      <c r="M139" s="177"/>
      <c r="N139" s="175">
        <v>23174</v>
      </c>
      <c r="O139" s="208">
        <f>40000/3000</f>
        <v>13.333333333333334</v>
      </c>
      <c r="P139" s="175">
        <f>15*7</f>
        <v>105</v>
      </c>
      <c r="Q139" s="208">
        <f t="shared" ref="Q139:Q145" si="21">O139*P139</f>
        <v>1400</v>
      </c>
      <c r="R139" s="180"/>
      <c r="S139" s="179"/>
      <c r="T139" s="179"/>
      <c r="U139" s="179">
        <f t="shared" si="20"/>
        <v>1400</v>
      </c>
      <c r="V139" s="179"/>
      <c r="W139" s="179"/>
      <c r="X139" s="179"/>
      <c r="Y139" s="179"/>
    </row>
    <row r="140" spans="1:28" s="162" customFormat="1" ht="57" customHeight="1">
      <c r="A140" s="202">
        <v>3112</v>
      </c>
      <c r="B140" s="203" t="s">
        <v>249</v>
      </c>
      <c r="C140" s="204" t="s">
        <v>250</v>
      </c>
      <c r="D140" s="193"/>
      <c r="E140" s="184">
        <v>10</v>
      </c>
      <c r="F140" s="174">
        <v>43238</v>
      </c>
      <c r="G140" s="174">
        <f t="shared" si="19"/>
        <v>43248</v>
      </c>
      <c r="H140" s="186" t="s">
        <v>247</v>
      </c>
      <c r="I140" s="175" t="s">
        <v>169</v>
      </c>
      <c r="J140" s="175" t="s">
        <v>176</v>
      </c>
      <c r="K140" s="188" t="s">
        <v>254</v>
      </c>
      <c r="L140" s="176"/>
      <c r="M140" s="177"/>
      <c r="N140" s="175">
        <v>23174</v>
      </c>
      <c r="O140" s="209">
        <f>30000/3000</f>
        <v>10</v>
      </c>
      <c r="P140" s="210">
        <v>15</v>
      </c>
      <c r="Q140" s="208">
        <f t="shared" si="21"/>
        <v>150</v>
      </c>
      <c r="R140" s="180"/>
      <c r="S140" s="179"/>
      <c r="T140" s="179"/>
      <c r="U140" s="179">
        <f t="shared" si="20"/>
        <v>150</v>
      </c>
      <c r="V140" s="179"/>
      <c r="W140" s="179"/>
      <c r="X140" s="179"/>
      <c r="Y140" s="179"/>
    </row>
    <row r="141" spans="1:28" s="162" customFormat="1" ht="57" customHeight="1">
      <c r="A141" s="202">
        <v>3112</v>
      </c>
      <c r="B141" s="203" t="s">
        <v>249</v>
      </c>
      <c r="C141" s="204" t="s">
        <v>250</v>
      </c>
      <c r="D141" s="193"/>
      <c r="E141" s="184">
        <v>10</v>
      </c>
      <c r="F141" s="174">
        <v>43238</v>
      </c>
      <c r="G141" s="174">
        <f t="shared" si="19"/>
        <v>43248</v>
      </c>
      <c r="H141" s="186" t="s">
        <v>247</v>
      </c>
      <c r="I141" s="175" t="s">
        <v>169</v>
      </c>
      <c r="J141" s="175" t="s">
        <v>176</v>
      </c>
      <c r="K141" s="211" t="s">
        <v>255</v>
      </c>
      <c r="L141" s="176"/>
      <c r="M141" s="177"/>
      <c r="N141" s="175">
        <v>23174</v>
      </c>
      <c r="O141" s="209">
        <f>(0.15*4000*2)/3000</f>
        <v>0.4</v>
      </c>
      <c r="P141" s="210">
        <v>170</v>
      </c>
      <c r="Q141" s="208">
        <f t="shared" si="21"/>
        <v>68</v>
      </c>
      <c r="R141" s="180"/>
      <c r="S141" s="179"/>
      <c r="T141" s="179"/>
      <c r="U141" s="179">
        <f t="shared" si="20"/>
        <v>68</v>
      </c>
      <c r="V141" s="179"/>
      <c r="W141" s="179"/>
      <c r="X141" s="179"/>
      <c r="Y141" s="179"/>
    </row>
    <row r="142" spans="1:28" s="162" customFormat="1" ht="57" customHeight="1">
      <c r="A142" s="202">
        <v>3112</v>
      </c>
      <c r="B142" s="203" t="s">
        <v>249</v>
      </c>
      <c r="C142" s="204" t="s">
        <v>250</v>
      </c>
      <c r="D142" s="193"/>
      <c r="E142" s="184">
        <v>45</v>
      </c>
      <c r="F142" s="174">
        <v>43193</v>
      </c>
      <c r="G142" s="174">
        <f t="shared" si="19"/>
        <v>43238</v>
      </c>
      <c r="H142" s="186" t="s">
        <v>247</v>
      </c>
      <c r="I142" s="175" t="s">
        <v>169</v>
      </c>
      <c r="J142" s="175" t="s">
        <v>176</v>
      </c>
      <c r="K142" s="212" t="s">
        <v>256</v>
      </c>
      <c r="L142" s="176"/>
      <c r="M142" s="177"/>
      <c r="N142" s="175">
        <v>23173</v>
      </c>
      <c r="O142" s="209">
        <f>765000/3000</f>
        <v>255</v>
      </c>
      <c r="P142" s="210">
        <v>1</v>
      </c>
      <c r="Q142" s="208">
        <f t="shared" si="21"/>
        <v>255</v>
      </c>
      <c r="R142" s="180"/>
      <c r="S142" s="179"/>
      <c r="T142" s="179"/>
      <c r="U142" s="179">
        <f t="shared" si="20"/>
        <v>255</v>
      </c>
      <c r="V142" s="179"/>
      <c r="W142" s="179"/>
      <c r="X142" s="179"/>
      <c r="Y142" s="179"/>
    </row>
    <row r="143" spans="1:28" s="162" customFormat="1" ht="57" customHeight="1">
      <c r="A143" s="202">
        <v>3112</v>
      </c>
      <c r="B143" s="203" t="s">
        <v>249</v>
      </c>
      <c r="C143" s="204" t="s">
        <v>250</v>
      </c>
      <c r="D143" s="193"/>
      <c r="E143" s="184">
        <v>10</v>
      </c>
      <c r="F143" s="174">
        <v>43238</v>
      </c>
      <c r="G143" s="174">
        <f t="shared" si="19"/>
        <v>43248</v>
      </c>
      <c r="H143" s="186" t="s">
        <v>247</v>
      </c>
      <c r="I143" s="175" t="s">
        <v>169</v>
      </c>
      <c r="J143" s="175" t="s">
        <v>176</v>
      </c>
      <c r="K143" s="213" t="s">
        <v>257</v>
      </c>
      <c r="L143" s="176"/>
      <c r="M143" s="177"/>
      <c r="N143" s="175">
        <v>23172</v>
      </c>
      <c r="O143" s="209">
        <f>200000/3000</f>
        <v>66.666666666666671</v>
      </c>
      <c r="P143" s="210">
        <v>5</v>
      </c>
      <c r="Q143" s="208">
        <f t="shared" si="21"/>
        <v>333.33333333333337</v>
      </c>
      <c r="R143" s="180"/>
      <c r="S143" s="179"/>
      <c r="T143" s="179"/>
      <c r="U143" s="179">
        <f t="shared" si="20"/>
        <v>333.33333333333337</v>
      </c>
      <c r="V143" s="179"/>
      <c r="W143" s="179"/>
      <c r="X143" s="179"/>
      <c r="Y143" s="179"/>
    </row>
    <row r="144" spans="1:28" s="162" customFormat="1" ht="57" customHeight="1">
      <c r="A144" s="202">
        <v>3112</v>
      </c>
      <c r="B144" s="203" t="s">
        <v>249</v>
      </c>
      <c r="C144" s="204" t="s">
        <v>250</v>
      </c>
      <c r="D144" s="193"/>
      <c r="E144" s="184">
        <v>45</v>
      </c>
      <c r="F144" s="174">
        <v>43193</v>
      </c>
      <c r="G144" s="174">
        <f t="shared" si="19"/>
        <v>43238</v>
      </c>
      <c r="H144" s="186" t="s">
        <v>247</v>
      </c>
      <c r="I144" s="175" t="s">
        <v>169</v>
      </c>
      <c r="J144" s="175" t="s">
        <v>176</v>
      </c>
      <c r="K144" s="214" t="s">
        <v>258</v>
      </c>
      <c r="L144" s="176"/>
      <c r="M144" s="177"/>
      <c r="N144" s="175">
        <v>23173</v>
      </c>
      <c r="O144" s="215">
        <f>1850000/3000</f>
        <v>616.66666666666663</v>
      </c>
      <c r="P144" s="210">
        <v>1</v>
      </c>
      <c r="Q144" s="208">
        <f t="shared" si="21"/>
        <v>616.66666666666663</v>
      </c>
      <c r="R144" s="180"/>
      <c r="S144" s="179"/>
      <c r="T144" s="179"/>
      <c r="U144" s="179">
        <f t="shared" si="20"/>
        <v>616.66666666666663</v>
      </c>
      <c r="V144" s="179"/>
      <c r="W144" s="179"/>
      <c r="X144" s="179"/>
      <c r="Y144" s="179"/>
    </row>
    <row r="145" spans="1:25" s="162" customFormat="1" ht="57" customHeight="1">
      <c r="A145" s="202">
        <v>3112</v>
      </c>
      <c r="B145" s="203" t="s">
        <v>249</v>
      </c>
      <c r="C145" s="204" t="s">
        <v>250</v>
      </c>
      <c r="D145" s="193"/>
      <c r="E145" s="184">
        <v>45</v>
      </c>
      <c r="F145" s="174">
        <v>43193</v>
      </c>
      <c r="G145" s="174">
        <f t="shared" si="19"/>
        <v>43238</v>
      </c>
      <c r="H145" s="186" t="s">
        <v>247</v>
      </c>
      <c r="I145" s="175" t="s">
        <v>169</v>
      </c>
      <c r="J145" s="175" t="s">
        <v>176</v>
      </c>
      <c r="K145" s="216" t="s">
        <v>259</v>
      </c>
      <c r="L145" s="176"/>
      <c r="M145" s="177"/>
      <c r="N145" s="175">
        <v>23173</v>
      </c>
      <c r="O145" s="215">
        <f>6000000/3000</f>
        <v>2000</v>
      </c>
      <c r="P145" s="210">
        <v>1</v>
      </c>
      <c r="Q145" s="208">
        <f t="shared" si="21"/>
        <v>2000</v>
      </c>
      <c r="R145" s="180"/>
      <c r="S145" s="179"/>
      <c r="T145" s="179"/>
      <c r="U145" s="179">
        <f t="shared" si="20"/>
        <v>2000</v>
      </c>
      <c r="V145" s="179"/>
      <c r="W145" s="179"/>
      <c r="X145" s="179"/>
      <c r="Y145" s="179"/>
    </row>
    <row r="146" spans="1:25" s="162" customFormat="1" ht="57" customHeight="1">
      <c r="A146" s="191">
        <v>3113</v>
      </c>
      <c r="B146" s="192" t="s">
        <v>260</v>
      </c>
      <c r="C146" s="197" t="s">
        <v>261</v>
      </c>
      <c r="D146" s="193"/>
      <c r="E146" s="184">
        <v>15</v>
      </c>
      <c r="F146" s="174">
        <v>43248</v>
      </c>
      <c r="G146" s="174">
        <f t="shared" si="19"/>
        <v>43263</v>
      </c>
      <c r="H146" s="186" t="s">
        <v>247</v>
      </c>
      <c r="I146" s="175" t="s">
        <v>176</v>
      </c>
      <c r="J146" s="175" t="s">
        <v>169</v>
      </c>
      <c r="K146" s="175" t="s">
        <v>262</v>
      </c>
      <c r="L146" s="176">
        <v>23174</v>
      </c>
      <c r="M146" s="177"/>
      <c r="N146" s="175">
        <v>23174</v>
      </c>
      <c r="O146" s="208"/>
      <c r="P146" s="175"/>
      <c r="Q146" s="208"/>
      <c r="R146" s="180"/>
      <c r="S146" s="179"/>
      <c r="T146" s="179"/>
      <c r="U146" s="179"/>
      <c r="V146" s="179">
        <f>Q146</f>
        <v>0</v>
      </c>
      <c r="W146" s="179"/>
      <c r="X146" s="179"/>
      <c r="Y146" s="179"/>
    </row>
    <row r="147" spans="1:25" s="162" customFormat="1" ht="57" customHeight="1">
      <c r="A147" s="202">
        <v>3113</v>
      </c>
      <c r="B147" s="203" t="s">
        <v>260</v>
      </c>
      <c r="C147" s="204" t="s">
        <v>261</v>
      </c>
      <c r="D147" s="193"/>
      <c r="E147" s="184">
        <v>15</v>
      </c>
      <c r="F147" s="174">
        <v>43248</v>
      </c>
      <c r="G147" s="174">
        <f t="shared" si="19"/>
        <v>43263</v>
      </c>
      <c r="H147" s="186" t="s">
        <v>247</v>
      </c>
      <c r="I147" s="175" t="s">
        <v>169</v>
      </c>
      <c r="J147" s="175" t="s">
        <v>176</v>
      </c>
      <c r="K147" s="205" t="s">
        <v>252</v>
      </c>
      <c r="L147" s="176"/>
      <c r="M147" s="177"/>
      <c r="N147" s="175">
        <v>23174</v>
      </c>
      <c r="O147" s="217">
        <f>36000/3000</f>
        <v>12</v>
      </c>
      <c r="P147" s="175">
        <f>12*9</f>
        <v>108</v>
      </c>
      <c r="Q147" s="217">
        <f>O147*P147</f>
        <v>1296</v>
      </c>
      <c r="R147" s="180"/>
      <c r="S147" s="179"/>
      <c r="T147" s="179"/>
      <c r="U147" s="179"/>
      <c r="V147" s="179">
        <f t="shared" ref="V147:V156" si="22">Q147</f>
        <v>1296</v>
      </c>
      <c r="W147" s="179"/>
      <c r="X147" s="179"/>
      <c r="Y147" s="179"/>
    </row>
    <row r="148" spans="1:25" s="162" customFormat="1" ht="57" customHeight="1">
      <c r="A148" s="202">
        <v>3113</v>
      </c>
      <c r="B148" s="203" t="s">
        <v>260</v>
      </c>
      <c r="C148" s="204" t="s">
        <v>261</v>
      </c>
      <c r="D148" s="193"/>
      <c r="E148" s="184">
        <v>15</v>
      </c>
      <c r="F148" s="174">
        <v>43248</v>
      </c>
      <c r="G148" s="174">
        <f t="shared" si="19"/>
        <v>43263</v>
      </c>
      <c r="H148" s="186" t="s">
        <v>247</v>
      </c>
      <c r="I148" s="175" t="s">
        <v>169</v>
      </c>
      <c r="J148" s="175" t="s">
        <v>176</v>
      </c>
      <c r="K148" s="205" t="s">
        <v>253</v>
      </c>
      <c r="L148" s="176"/>
      <c r="M148" s="177"/>
      <c r="N148" s="175">
        <v>23174</v>
      </c>
      <c r="O148" s="208">
        <f>40000/3000</f>
        <v>13.333333333333334</v>
      </c>
      <c r="P148" s="175">
        <f>12*8</f>
        <v>96</v>
      </c>
      <c r="Q148" s="208">
        <f>O148*P148</f>
        <v>1280</v>
      </c>
      <c r="R148" s="180"/>
      <c r="S148" s="179"/>
      <c r="T148" s="179"/>
      <c r="U148" s="179"/>
      <c r="V148" s="179">
        <f t="shared" si="22"/>
        <v>1280</v>
      </c>
      <c r="W148" s="179"/>
      <c r="X148" s="179"/>
      <c r="Y148" s="179"/>
    </row>
    <row r="149" spans="1:25" s="162" customFormat="1" ht="57" customHeight="1">
      <c r="A149" s="202">
        <v>3113</v>
      </c>
      <c r="B149" s="203" t="s">
        <v>260</v>
      </c>
      <c r="C149" s="204" t="s">
        <v>261</v>
      </c>
      <c r="D149" s="193"/>
      <c r="E149" s="184">
        <v>15</v>
      </c>
      <c r="F149" s="174">
        <v>43248</v>
      </c>
      <c r="G149" s="174">
        <f t="shared" si="19"/>
        <v>43263</v>
      </c>
      <c r="H149" s="186" t="s">
        <v>247</v>
      </c>
      <c r="I149" s="175" t="s">
        <v>169</v>
      </c>
      <c r="J149" s="175" t="s">
        <v>176</v>
      </c>
      <c r="K149" s="188" t="s">
        <v>263</v>
      </c>
      <c r="L149" s="176"/>
      <c r="M149" s="177"/>
      <c r="N149" s="175">
        <v>23174</v>
      </c>
      <c r="O149" s="209">
        <f>175000/3000</f>
        <v>58.333333333333336</v>
      </c>
      <c r="P149" s="210">
        <v>4</v>
      </c>
      <c r="Q149" s="208">
        <f>O149*P149</f>
        <v>233.33333333333334</v>
      </c>
      <c r="R149" s="180"/>
      <c r="S149" s="179"/>
      <c r="T149" s="179"/>
      <c r="U149" s="179"/>
      <c r="V149" s="179">
        <f t="shared" si="22"/>
        <v>233.33333333333334</v>
      </c>
      <c r="W149" s="179"/>
      <c r="X149" s="179"/>
      <c r="Y149" s="179"/>
    </row>
    <row r="150" spans="1:25" s="162" customFormat="1" ht="57" customHeight="1">
      <c r="A150" s="202">
        <v>3113</v>
      </c>
      <c r="B150" s="203" t="s">
        <v>260</v>
      </c>
      <c r="C150" s="204" t="s">
        <v>261</v>
      </c>
      <c r="D150" s="193"/>
      <c r="E150" s="184">
        <v>15</v>
      </c>
      <c r="F150" s="174">
        <v>43248</v>
      </c>
      <c r="G150" s="174">
        <f t="shared" si="19"/>
        <v>43263</v>
      </c>
      <c r="H150" s="186" t="s">
        <v>247</v>
      </c>
      <c r="I150" s="175" t="s">
        <v>169</v>
      </c>
      <c r="J150" s="175" t="s">
        <v>176</v>
      </c>
      <c r="K150" s="188" t="s">
        <v>264</v>
      </c>
      <c r="L150" s="176"/>
      <c r="M150" s="177"/>
      <c r="N150" s="175">
        <v>23174</v>
      </c>
      <c r="O150" s="218">
        <f>109000/3000</f>
        <v>36.333333333333336</v>
      </c>
      <c r="P150" s="210">
        <v>4</v>
      </c>
      <c r="Q150" s="208">
        <f>O150*P150</f>
        <v>145.33333333333334</v>
      </c>
      <c r="R150" s="180"/>
      <c r="S150" s="179"/>
      <c r="T150" s="179"/>
      <c r="U150" s="179"/>
      <c r="V150" s="179">
        <f t="shared" si="22"/>
        <v>145.33333333333334</v>
      </c>
      <c r="W150" s="179"/>
      <c r="X150" s="179"/>
      <c r="Y150" s="179"/>
    </row>
    <row r="151" spans="1:25" s="162" customFormat="1" ht="57" customHeight="1">
      <c r="A151" s="202">
        <v>3113</v>
      </c>
      <c r="B151" s="203" t="s">
        <v>260</v>
      </c>
      <c r="C151" s="204" t="s">
        <v>261</v>
      </c>
      <c r="D151" s="193"/>
      <c r="E151" s="184">
        <v>15</v>
      </c>
      <c r="F151" s="174">
        <v>43248</v>
      </c>
      <c r="G151" s="174">
        <f t="shared" si="19"/>
        <v>43263</v>
      </c>
      <c r="H151" s="186" t="s">
        <v>247</v>
      </c>
      <c r="I151" s="175" t="s">
        <v>169</v>
      </c>
      <c r="J151" s="175" t="s">
        <v>176</v>
      </c>
      <c r="K151" s="188" t="s">
        <v>265</v>
      </c>
      <c r="L151" s="176"/>
      <c r="M151" s="177"/>
      <c r="N151" s="175">
        <v>23174</v>
      </c>
      <c r="O151" s="218">
        <f>215000/3000</f>
        <v>71.666666666666671</v>
      </c>
      <c r="P151" s="210">
        <v>4</v>
      </c>
      <c r="Q151" s="208">
        <f>O151*P151</f>
        <v>286.66666666666669</v>
      </c>
      <c r="R151" s="180"/>
      <c r="S151" s="179"/>
      <c r="T151" s="179"/>
      <c r="U151" s="179"/>
      <c r="V151" s="179">
        <f t="shared" si="22"/>
        <v>286.66666666666669</v>
      </c>
      <c r="W151" s="179"/>
      <c r="X151" s="179"/>
      <c r="Y151" s="179"/>
    </row>
    <row r="152" spans="1:25" s="162" customFormat="1" ht="57" customHeight="1">
      <c r="A152" s="191">
        <v>3114</v>
      </c>
      <c r="B152" s="192" t="s">
        <v>266</v>
      </c>
      <c r="C152" s="197" t="s">
        <v>267</v>
      </c>
      <c r="D152" s="193"/>
      <c r="E152" s="184">
        <v>15</v>
      </c>
      <c r="F152" s="174">
        <v>43269</v>
      </c>
      <c r="G152" s="174">
        <f t="shared" si="19"/>
        <v>43284</v>
      </c>
      <c r="H152" s="186" t="s">
        <v>247</v>
      </c>
      <c r="I152" s="175" t="s">
        <v>176</v>
      </c>
      <c r="J152" s="175" t="s">
        <v>169</v>
      </c>
      <c r="K152" s="175" t="s">
        <v>268</v>
      </c>
      <c r="L152" s="176">
        <v>2315</v>
      </c>
      <c r="M152" s="177"/>
      <c r="N152" s="175">
        <v>23174</v>
      </c>
      <c r="O152" s="208"/>
      <c r="P152" s="175"/>
      <c r="Q152" s="208"/>
      <c r="R152" s="180"/>
      <c r="S152" s="179"/>
      <c r="T152" s="179"/>
      <c r="U152" s="179"/>
      <c r="V152" s="179">
        <f>Q152</f>
        <v>0</v>
      </c>
      <c r="W152" s="179"/>
      <c r="X152" s="179"/>
      <c r="Y152" s="179"/>
    </row>
    <row r="153" spans="1:25" s="162" customFormat="1" ht="57" customHeight="1">
      <c r="A153" s="202">
        <v>3114</v>
      </c>
      <c r="B153" s="203" t="s">
        <v>266</v>
      </c>
      <c r="C153" s="204" t="s">
        <v>267</v>
      </c>
      <c r="D153" s="193"/>
      <c r="E153" s="184">
        <v>15</v>
      </c>
      <c r="F153" s="174">
        <v>43269</v>
      </c>
      <c r="G153" s="174">
        <f t="shared" si="19"/>
        <v>43284</v>
      </c>
      <c r="H153" s="186" t="s">
        <v>247</v>
      </c>
      <c r="I153" s="175" t="s">
        <v>169</v>
      </c>
      <c r="J153" s="175" t="s">
        <v>176</v>
      </c>
      <c r="K153" s="205" t="s">
        <v>252</v>
      </c>
      <c r="L153" s="176"/>
      <c r="M153" s="177"/>
      <c r="N153" s="175">
        <v>23174</v>
      </c>
      <c r="O153" s="217">
        <f>36000/3000</f>
        <v>12</v>
      </c>
      <c r="P153" s="175">
        <f>20*8</f>
        <v>160</v>
      </c>
      <c r="Q153" s="217">
        <f t="shared" ref="Q153:Q158" si="23">O153*P153</f>
        <v>1920</v>
      </c>
      <c r="R153" s="180"/>
      <c r="S153" s="179"/>
      <c r="T153" s="179"/>
      <c r="U153" s="179"/>
      <c r="V153" s="179">
        <f t="shared" si="22"/>
        <v>1920</v>
      </c>
      <c r="W153" s="179"/>
      <c r="X153" s="179"/>
      <c r="Y153" s="179"/>
    </row>
    <row r="154" spans="1:25" s="162" customFormat="1" ht="57" customHeight="1">
      <c r="A154" s="202">
        <v>3114</v>
      </c>
      <c r="B154" s="203" t="s">
        <v>266</v>
      </c>
      <c r="C154" s="204" t="s">
        <v>267</v>
      </c>
      <c r="D154" s="193"/>
      <c r="E154" s="184">
        <v>15</v>
      </c>
      <c r="F154" s="174">
        <v>43269</v>
      </c>
      <c r="G154" s="174">
        <f t="shared" si="19"/>
        <v>43284</v>
      </c>
      <c r="H154" s="186" t="s">
        <v>247</v>
      </c>
      <c r="I154" s="175" t="s">
        <v>169</v>
      </c>
      <c r="J154" s="175" t="s">
        <v>176</v>
      </c>
      <c r="K154" s="205" t="s">
        <v>253</v>
      </c>
      <c r="L154" s="176"/>
      <c r="M154" s="177"/>
      <c r="N154" s="175">
        <v>23174</v>
      </c>
      <c r="O154" s="208">
        <f>40000/3000</f>
        <v>13.333333333333334</v>
      </c>
      <c r="P154" s="175">
        <f>20*7</f>
        <v>140</v>
      </c>
      <c r="Q154" s="208">
        <f t="shared" si="23"/>
        <v>1866.6666666666667</v>
      </c>
      <c r="R154" s="180"/>
      <c r="S154" s="179"/>
      <c r="T154" s="179"/>
      <c r="U154" s="179"/>
      <c r="V154" s="179">
        <f t="shared" si="22"/>
        <v>1866.6666666666667</v>
      </c>
      <c r="W154" s="179"/>
      <c r="X154" s="179"/>
      <c r="Y154" s="179"/>
    </row>
    <row r="155" spans="1:25" s="162" customFormat="1" ht="57" customHeight="1">
      <c r="A155" s="202">
        <v>3114</v>
      </c>
      <c r="B155" s="203" t="s">
        <v>266</v>
      </c>
      <c r="C155" s="204" t="s">
        <v>267</v>
      </c>
      <c r="D155" s="193"/>
      <c r="E155" s="184">
        <v>15</v>
      </c>
      <c r="F155" s="174">
        <v>43269</v>
      </c>
      <c r="G155" s="174">
        <f t="shared" si="19"/>
        <v>43284</v>
      </c>
      <c r="H155" s="186" t="s">
        <v>247</v>
      </c>
      <c r="I155" s="175" t="s">
        <v>169</v>
      </c>
      <c r="J155" s="175" t="s">
        <v>176</v>
      </c>
      <c r="K155" s="188" t="s">
        <v>254</v>
      </c>
      <c r="L155" s="176"/>
      <c r="M155" s="177"/>
      <c r="N155" s="175">
        <v>23174</v>
      </c>
      <c r="O155" s="209">
        <f>30000/3000</f>
        <v>10</v>
      </c>
      <c r="P155" s="210">
        <v>20</v>
      </c>
      <c r="Q155" s="208">
        <f t="shared" si="23"/>
        <v>200</v>
      </c>
      <c r="R155" s="180"/>
      <c r="S155" s="179"/>
      <c r="T155" s="179"/>
      <c r="U155" s="179"/>
      <c r="V155" s="179">
        <f>Q155</f>
        <v>200</v>
      </c>
      <c r="W155" s="179"/>
      <c r="X155" s="179"/>
      <c r="Y155" s="179"/>
    </row>
    <row r="156" spans="1:25" s="162" customFormat="1" ht="57" customHeight="1">
      <c r="A156" s="202">
        <v>3114</v>
      </c>
      <c r="B156" s="203" t="s">
        <v>266</v>
      </c>
      <c r="C156" s="204" t="s">
        <v>267</v>
      </c>
      <c r="D156" s="193"/>
      <c r="E156" s="184">
        <v>15</v>
      </c>
      <c r="F156" s="174">
        <v>43269</v>
      </c>
      <c r="G156" s="174">
        <f t="shared" si="19"/>
        <v>43284</v>
      </c>
      <c r="H156" s="186" t="s">
        <v>247</v>
      </c>
      <c r="I156" s="175" t="s">
        <v>169</v>
      </c>
      <c r="J156" s="175" t="s">
        <v>176</v>
      </c>
      <c r="K156" s="211" t="s">
        <v>255</v>
      </c>
      <c r="L156" s="176"/>
      <c r="M156" s="177"/>
      <c r="N156" s="175">
        <v>23174</v>
      </c>
      <c r="O156" s="209">
        <f>(0.15*4000*2)/3000</f>
        <v>0.4</v>
      </c>
      <c r="P156" s="210">
        <v>170</v>
      </c>
      <c r="Q156" s="208">
        <f t="shared" si="23"/>
        <v>68</v>
      </c>
      <c r="R156" s="180"/>
      <c r="S156" s="179"/>
      <c r="T156" s="179"/>
      <c r="U156" s="179"/>
      <c r="V156" s="179">
        <f t="shared" si="22"/>
        <v>68</v>
      </c>
      <c r="W156" s="179"/>
      <c r="X156" s="179"/>
      <c r="Y156" s="179"/>
    </row>
    <row r="157" spans="1:25" s="162" customFormat="1" ht="57" customHeight="1">
      <c r="A157" s="202">
        <v>3114</v>
      </c>
      <c r="B157" s="203" t="s">
        <v>266</v>
      </c>
      <c r="C157" s="204" t="s">
        <v>267</v>
      </c>
      <c r="D157" s="193"/>
      <c r="E157" s="184">
        <v>45</v>
      </c>
      <c r="F157" s="174">
        <v>43193</v>
      </c>
      <c r="G157" s="174">
        <f t="shared" si="19"/>
        <v>43238</v>
      </c>
      <c r="H157" s="186" t="s">
        <v>247</v>
      </c>
      <c r="I157" s="175" t="s">
        <v>169</v>
      </c>
      <c r="J157" s="175" t="s">
        <v>176</v>
      </c>
      <c r="K157" s="212" t="s">
        <v>256</v>
      </c>
      <c r="L157" s="176"/>
      <c r="M157" s="177"/>
      <c r="N157" s="175">
        <v>23173</v>
      </c>
      <c r="O157" s="209">
        <f>45000/3000</f>
        <v>15</v>
      </c>
      <c r="P157" s="210">
        <v>1</v>
      </c>
      <c r="Q157" s="208">
        <f t="shared" si="23"/>
        <v>15</v>
      </c>
      <c r="R157" s="180"/>
      <c r="S157" s="179"/>
      <c r="T157" s="179"/>
      <c r="U157" s="179">
        <f>Q157</f>
        <v>15</v>
      </c>
      <c r="W157" s="179"/>
      <c r="X157" s="179"/>
      <c r="Y157" s="179"/>
    </row>
    <row r="158" spans="1:25" s="162" customFormat="1" ht="57" customHeight="1">
      <c r="A158" s="202">
        <v>3114</v>
      </c>
      <c r="B158" s="203" t="s">
        <v>266</v>
      </c>
      <c r="C158" s="204" t="s">
        <v>267</v>
      </c>
      <c r="D158" s="193"/>
      <c r="E158" s="184">
        <v>15</v>
      </c>
      <c r="F158" s="174">
        <v>43269</v>
      </c>
      <c r="G158" s="174">
        <f t="shared" si="19"/>
        <v>43284</v>
      </c>
      <c r="H158" s="186" t="s">
        <v>247</v>
      </c>
      <c r="I158" s="175" t="s">
        <v>169</v>
      </c>
      <c r="J158" s="175" t="s">
        <v>176</v>
      </c>
      <c r="K158" s="213" t="s">
        <v>257</v>
      </c>
      <c r="L158" s="176"/>
      <c r="M158" s="177"/>
      <c r="N158" s="175">
        <v>23172</v>
      </c>
      <c r="O158" s="209">
        <f>200000/3000</f>
        <v>66.666666666666671</v>
      </c>
      <c r="P158" s="210">
        <v>6</v>
      </c>
      <c r="Q158" s="208">
        <f t="shared" si="23"/>
        <v>400</v>
      </c>
      <c r="R158" s="180"/>
      <c r="S158" s="179"/>
      <c r="T158" s="179"/>
      <c r="U158" s="179"/>
      <c r="V158" s="179">
        <f>Q158</f>
        <v>400</v>
      </c>
      <c r="W158" s="179"/>
      <c r="X158" s="179"/>
      <c r="Y158" s="179"/>
    </row>
    <row r="159" spans="1:25" s="162" customFormat="1" ht="57" customHeight="1">
      <c r="A159" s="191">
        <v>3115</v>
      </c>
      <c r="B159" s="192" t="s">
        <v>269</v>
      </c>
      <c r="C159" s="197" t="s">
        <v>270</v>
      </c>
      <c r="D159" s="193"/>
      <c r="E159" s="184">
        <v>15</v>
      </c>
      <c r="F159" s="174">
        <v>43290</v>
      </c>
      <c r="G159" s="174">
        <f t="shared" si="19"/>
        <v>43305</v>
      </c>
      <c r="H159" s="186" t="s">
        <v>247</v>
      </c>
      <c r="I159" s="175" t="s">
        <v>176</v>
      </c>
      <c r="J159" s="175" t="s">
        <v>169</v>
      </c>
      <c r="K159" s="175" t="s">
        <v>268</v>
      </c>
      <c r="L159" s="176">
        <v>2315</v>
      </c>
      <c r="M159" s="177"/>
      <c r="N159" s="175"/>
      <c r="O159" s="208"/>
      <c r="P159" s="175"/>
      <c r="Q159" s="208"/>
      <c r="R159" s="180"/>
      <c r="S159" s="179"/>
      <c r="T159" s="179"/>
      <c r="U159" s="179"/>
      <c r="V159" s="179"/>
      <c r="W159" s="179">
        <f>Q159</f>
        <v>0</v>
      </c>
      <c r="X159" s="179"/>
      <c r="Y159" s="179"/>
    </row>
    <row r="160" spans="1:25" s="162" customFormat="1" ht="57" customHeight="1">
      <c r="A160" s="202">
        <v>3115</v>
      </c>
      <c r="B160" s="203" t="s">
        <v>269</v>
      </c>
      <c r="C160" s="204" t="s">
        <v>270</v>
      </c>
      <c r="D160" s="193"/>
      <c r="E160" s="184">
        <v>15</v>
      </c>
      <c r="F160" s="174">
        <v>43290</v>
      </c>
      <c r="G160" s="174">
        <f t="shared" si="19"/>
        <v>43305</v>
      </c>
      <c r="H160" s="186" t="s">
        <v>247</v>
      </c>
      <c r="I160" s="175" t="s">
        <v>169</v>
      </c>
      <c r="J160" s="175" t="s">
        <v>176</v>
      </c>
      <c r="K160" s="205" t="s">
        <v>252</v>
      </c>
      <c r="L160" s="176"/>
      <c r="M160" s="177"/>
      <c r="N160" s="175">
        <v>23174</v>
      </c>
      <c r="O160" s="217">
        <f>36000/3000</f>
        <v>12</v>
      </c>
      <c r="P160" s="175">
        <f>20*9</f>
        <v>180</v>
      </c>
      <c r="Q160" s="217">
        <f t="shared" ref="Q160:Q165" si="24">O160*P160</f>
        <v>2160</v>
      </c>
      <c r="R160" s="180"/>
      <c r="S160" s="179"/>
      <c r="T160" s="179"/>
      <c r="U160" s="179"/>
      <c r="V160" s="179"/>
      <c r="W160" s="179">
        <f t="shared" ref="W160:W165" si="25">Q160</f>
        <v>2160</v>
      </c>
      <c r="X160" s="179"/>
      <c r="Y160" s="179"/>
    </row>
    <row r="161" spans="1:28" s="162" customFormat="1" ht="57" customHeight="1">
      <c r="A161" s="202">
        <v>3115</v>
      </c>
      <c r="B161" s="203" t="s">
        <v>269</v>
      </c>
      <c r="C161" s="204" t="s">
        <v>270</v>
      </c>
      <c r="D161" s="193"/>
      <c r="E161" s="184">
        <v>15</v>
      </c>
      <c r="F161" s="174">
        <v>43290</v>
      </c>
      <c r="G161" s="174">
        <f t="shared" si="19"/>
        <v>43305</v>
      </c>
      <c r="H161" s="186" t="s">
        <v>247</v>
      </c>
      <c r="I161" s="175" t="s">
        <v>169</v>
      </c>
      <c r="J161" s="175" t="s">
        <v>176</v>
      </c>
      <c r="K161" s="205" t="s">
        <v>253</v>
      </c>
      <c r="L161" s="176"/>
      <c r="M161" s="177"/>
      <c r="N161" s="175">
        <v>23174</v>
      </c>
      <c r="O161" s="208">
        <f>40000/3000</f>
        <v>13.333333333333334</v>
      </c>
      <c r="P161" s="175">
        <f>20*8</f>
        <v>160</v>
      </c>
      <c r="Q161" s="208">
        <f t="shared" si="24"/>
        <v>2133.3333333333335</v>
      </c>
      <c r="R161" s="180"/>
      <c r="S161" s="179"/>
      <c r="T161" s="179"/>
      <c r="U161" s="179"/>
      <c r="V161" s="179"/>
      <c r="W161" s="179">
        <f t="shared" si="25"/>
        <v>2133.3333333333335</v>
      </c>
      <c r="X161" s="179"/>
      <c r="Y161" s="179"/>
    </row>
    <row r="162" spans="1:28" s="162" customFormat="1" ht="57" customHeight="1">
      <c r="A162" s="202">
        <v>3115</v>
      </c>
      <c r="B162" s="203" t="s">
        <v>269</v>
      </c>
      <c r="C162" s="204" t="s">
        <v>270</v>
      </c>
      <c r="D162" s="193"/>
      <c r="E162" s="184">
        <v>15</v>
      </c>
      <c r="F162" s="174">
        <v>43290</v>
      </c>
      <c r="G162" s="174">
        <f t="shared" si="19"/>
        <v>43305</v>
      </c>
      <c r="H162" s="186" t="s">
        <v>247</v>
      </c>
      <c r="I162" s="175" t="s">
        <v>169</v>
      </c>
      <c r="J162" s="175" t="s">
        <v>176</v>
      </c>
      <c r="K162" s="188" t="s">
        <v>254</v>
      </c>
      <c r="L162" s="176"/>
      <c r="M162" s="177"/>
      <c r="N162" s="175">
        <v>23174</v>
      </c>
      <c r="O162" s="209">
        <f>30000/3000</f>
        <v>10</v>
      </c>
      <c r="P162" s="210">
        <v>20</v>
      </c>
      <c r="Q162" s="208">
        <f t="shared" si="24"/>
        <v>200</v>
      </c>
      <c r="R162" s="180"/>
      <c r="S162" s="179"/>
      <c r="T162" s="179"/>
      <c r="U162" s="179"/>
      <c r="V162" s="179"/>
      <c r="W162" s="179">
        <f t="shared" si="25"/>
        <v>200</v>
      </c>
      <c r="X162" s="179"/>
      <c r="Y162" s="179"/>
    </row>
    <row r="163" spans="1:28" s="162" customFormat="1" ht="57" customHeight="1">
      <c r="A163" s="202">
        <v>3115</v>
      </c>
      <c r="B163" s="203" t="s">
        <v>269</v>
      </c>
      <c r="C163" s="204" t="s">
        <v>270</v>
      </c>
      <c r="D163" s="193"/>
      <c r="E163" s="184">
        <v>15</v>
      </c>
      <c r="F163" s="174">
        <v>43290</v>
      </c>
      <c r="G163" s="174">
        <f t="shared" si="19"/>
        <v>43305</v>
      </c>
      <c r="H163" s="186" t="s">
        <v>247</v>
      </c>
      <c r="I163" s="175" t="s">
        <v>169</v>
      </c>
      <c r="J163" s="175" t="s">
        <v>176</v>
      </c>
      <c r="K163" s="211" t="s">
        <v>255</v>
      </c>
      <c r="L163" s="176"/>
      <c r="M163" s="177"/>
      <c r="N163" s="175">
        <v>23174</v>
      </c>
      <c r="O163" s="209">
        <f>(0.15*4000*2)/3000</f>
        <v>0.4</v>
      </c>
      <c r="P163" s="210">
        <v>170</v>
      </c>
      <c r="Q163" s="208">
        <f t="shared" si="24"/>
        <v>68</v>
      </c>
      <c r="R163" s="180"/>
      <c r="S163" s="179"/>
      <c r="T163" s="179"/>
      <c r="U163" s="179"/>
      <c r="V163" s="179"/>
      <c r="W163" s="179">
        <f t="shared" si="25"/>
        <v>68</v>
      </c>
      <c r="X163" s="179"/>
      <c r="Y163" s="179"/>
    </row>
    <row r="164" spans="1:28" s="162" customFormat="1" ht="57" customHeight="1">
      <c r="A164" s="202">
        <v>3115</v>
      </c>
      <c r="B164" s="203" t="s">
        <v>269</v>
      </c>
      <c r="C164" s="204" t="s">
        <v>270</v>
      </c>
      <c r="D164" s="193"/>
      <c r="E164" s="184">
        <v>45</v>
      </c>
      <c r="F164" s="174">
        <v>43193</v>
      </c>
      <c r="G164" s="174">
        <f t="shared" si="19"/>
        <v>43238</v>
      </c>
      <c r="H164" s="186" t="s">
        <v>247</v>
      </c>
      <c r="I164" s="175" t="s">
        <v>169</v>
      </c>
      <c r="J164" s="175" t="s">
        <v>176</v>
      </c>
      <c r="K164" s="212" t="s">
        <v>256</v>
      </c>
      <c r="L164" s="176"/>
      <c r="M164" s="177"/>
      <c r="N164" s="175">
        <v>23173</v>
      </c>
      <c r="O164" s="209">
        <f>217000/3000</f>
        <v>72.333333333333329</v>
      </c>
      <c r="P164" s="210">
        <v>1</v>
      </c>
      <c r="Q164" s="208">
        <f t="shared" si="24"/>
        <v>72.333333333333329</v>
      </c>
      <c r="R164" s="180"/>
      <c r="S164" s="179"/>
      <c r="T164" s="179"/>
      <c r="U164" s="179">
        <f>Q164</f>
        <v>72.333333333333329</v>
      </c>
      <c r="V164" s="179"/>
      <c r="X164" s="179"/>
      <c r="Y164" s="179"/>
    </row>
    <row r="165" spans="1:28" s="162" customFormat="1" ht="57" customHeight="1">
      <c r="A165" s="202">
        <v>3115</v>
      </c>
      <c r="B165" s="203" t="s">
        <v>269</v>
      </c>
      <c r="C165" s="204" t="s">
        <v>270</v>
      </c>
      <c r="D165" s="193"/>
      <c r="E165" s="184">
        <v>15</v>
      </c>
      <c r="F165" s="174">
        <v>43290</v>
      </c>
      <c r="G165" s="174">
        <f t="shared" si="19"/>
        <v>43305</v>
      </c>
      <c r="H165" s="186" t="s">
        <v>247</v>
      </c>
      <c r="I165" s="175" t="s">
        <v>169</v>
      </c>
      <c r="J165" s="175" t="s">
        <v>176</v>
      </c>
      <c r="K165" s="213" t="s">
        <v>257</v>
      </c>
      <c r="L165" s="176"/>
      <c r="M165" s="177"/>
      <c r="N165" s="175">
        <v>23172</v>
      </c>
      <c r="O165" s="209">
        <f>200000/3000</f>
        <v>66.666666666666671</v>
      </c>
      <c r="P165" s="210">
        <v>7</v>
      </c>
      <c r="Q165" s="208">
        <f t="shared" si="24"/>
        <v>466.66666666666669</v>
      </c>
      <c r="R165" s="180"/>
      <c r="S165" s="179"/>
      <c r="T165" s="179"/>
      <c r="U165" s="179"/>
      <c r="V165" s="179"/>
      <c r="W165" s="179">
        <f t="shared" si="25"/>
        <v>466.66666666666669</v>
      </c>
      <c r="X165" s="179"/>
      <c r="Y165" s="179"/>
    </row>
    <row r="166" spans="1:28" s="162" customFormat="1" ht="57" customHeight="1">
      <c r="A166" s="191">
        <v>3116</v>
      </c>
      <c r="B166" s="192" t="s">
        <v>271</v>
      </c>
      <c r="C166" s="197" t="s">
        <v>272</v>
      </c>
      <c r="D166" s="193"/>
      <c r="E166" s="184">
        <v>15</v>
      </c>
      <c r="F166" s="185">
        <v>43311</v>
      </c>
      <c r="G166" s="174">
        <f t="shared" si="19"/>
        <v>43326</v>
      </c>
      <c r="H166" s="186" t="s">
        <v>247</v>
      </c>
      <c r="I166" s="175" t="s">
        <v>176</v>
      </c>
      <c r="J166" s="175" t="s">
        <v>169</v>
      </c>
      <c r="K166" s="175" t="s">
        <v>268</v>
      </c>
      <c r="L166" s="176">
        <v>2315</v>
      </c>
      <c r="M166" s="177"/>
      <c r="N166" s="175">
        <v>23173</v>
      </c>
      <c r="O166" s="208"/>
      <c r="P166" s="175"/>
      <c r="Q166" s="208"/>
      <c r="R166" s="180"/>
      <c r="S166" s="179"/>
      <c r="T166" s="179"/>
      <c r="U166" s="179"/>
      <c r="V166" s="179"/>
      <c r="W166" s="179"/>
      <c r="X166" s="179">
        <f>Q166</f>
        <v>0</v>
      </c>
      <c r="Y166" s="179"/>
    </row>
    <row r="167" spans="1:28" s="162" customFormat="1" ht="57" customHeight="1">
      <c r="A167" s="202">
        <v>3116</v>
      </c>
      <c r="B167" s="203" t="s">
        <v>271</v>
      </c>
      <c r="C167" s="204" t="s">
        <v>272</v>
      </c>
      <c r="D167" s="193"/>
      <c r="E167" s="184">
        <v>15</v>
      </c>
      <c r="F167" s="185">
        <v>43311</v>
      </c>
      <c r="G167" s="174">
        <f t="shared" si="19"/>
        <v>43326</v>
      </c>
      <c r="H167" s="186" t="s">
        <v>247</v>
      </c>
      <c r="I167" s="175" t="s">
        <v>169</v>
      </c>
      <c r="J167" s="175" t="s">
        <v>176</v>
      </c>
      <c r="K167" s="211" t="s">
        <v>273</v>
      </c>
      <c r="L167" s="176"/>
      <c r="M167" s="177"/>
      <c r="N167" s="175">
        <v>23173</v>
      </c>
      <c r="O167" s="209">
        <f>(0.15*4000*2)/3000</f>
        <v>0.4</v>
      </c>
      <c r="P167" s="210">
        <v>170</v>
      </c>
      <c r="Q167" s="208">
        <f>O167*P167</f>
        <v>68</v>
      </c>
      <c r="R167" s="180"/>
      <c r="S167" s="179"/>
      <c r="T167" s="179"/>
      <c r="U167" s="179"/>
      <c r="V167" s="179"/>
      <c r="W167" s="179"/>
      <c r="X167" s="179">
        <f>Q167</f>
        <v>68</v>
      </c>
      <c r="Y167" s="179"/>
    </row>
    <row r="168" spans="1:28" s="162" customFormat="1" ht="57" customHeight="1">
      <c r="A168" s="202">
        <v>3116</v>
      </c>
      <c r="B168" s="203" t="s">
        <v>271</v>
      </c>
      <c r="C168" s="204" t="s">
        <v>272</v>
      </c>
      <c r="D168" s="193"/>
      <c r="E168" s="184">
        <v>45</v>
      </c>
      <c r="F168" s="174">
        <v>43193</v>
      </c>
      <c r="G168" s="174">
        <f t="shared" si="19"/>
        <v>43238</v>
      </c>
      <c r="H168" s="186" t="s">
        <v>247</v>
      </c>
      <c r="I168" s="175" t="s">
        <v>169</v>
      </c>
      <c r="J168" s="175" t="s">
        <v>176</v>
      </c>
      <c r="K168" s="212" t="s">
        <v>256</v>
      </c>
      <c r="L168" s="176"/>
      <c r="M168" s="177"/>
      <c r="N168" s="175">
        <v>23173</v>
      </c>
      <c r="O168" s="209">
        <f>146000/3000</f>
        <v>48.666666666666664</v>
      </c>
      <c r="P168" s="210">
        <v>1</v>
      </c>
      <c r="Q168" s="208">
        <f>O168*P168</f>
        <v>48.666666666666664</v>
      </c>
      <c r="R168" s="180"/>
      <c r="S168" s="179"/>
      <c r="T168" s="179"/>
      <c r="U168" s="179">
        <f>Q168</f>
        <v>48.666666666666664</v>
      </c>
      <c r="V168" s="179"/>
      <c r="W168" s="179"/>
      <c r="Y168" s="179"/>
    </row>
    <row r="169" spans="1:28" s="162" customFormat="1" ht="57" customHeight="1">
      <c r="A169" s="202">
        <v>3116</v>
      </c>
      <c r="B169" s="203" t="s">
        <v>271</v>
      </c>
      <c r="C169" s="204" t="s">
        <v>272</v>
      </c>
      <c r="D169" s="193"/>
      <c r="E169" s="184">
        <v>15</v>
      </c>
      <c r="F169" s="185">
        <v>43311</v>
      </c>
      <c r="G169" s="174">
        <f t="shared" si="19"/>
        <v>43326</v>
      </c>
      <c r="H169" s="186" t="s">
        <v>247</v>
      </c>
      <c r="I169" s="175" t="s">
        <v>169</v>
      </c>
      <c r="J169" s="175" t="s">
        <v>176</v>
      </c>
      <c r="K169" s="213" t="s">
        <v>257</v>
      </c>
      <c r="L169" s="176"/>
      <c r="M169" s="177"/>
      <c r="N169" s="175">
        <v>23172</v>
      </c>
      <c r="O169" s="209">
        <f>200000/3000</f>
        <v>66.666666666666671</v>
      </c>
      <c r="P169" s="210">
        <v>1</v>
      </c>
      <c r="Q169" s="208">
        <f>O169*P169</f>
        <v>66.666666666666671</v>
      </c>
      <c r="R169" s="180"/>
      <c r="S169" s="179"/>
      <c r="T169" s="179"/>
      <c r="U169" s="179"/>
      <c r="V169" s="179"/>
      <c r="W169" s="179"/>
      <c r="X169" s="179">
        <f>Q169</f>
        <v>66.666666666666671</v>
      </c>
      <c r="Y169" s="179"/>
    </row>
    <row r="170" spans="1:28" ht="15.75" customHeight="1">
      <c r="A170" s="3457" t="s">
        <v>274</v>
      </c>
      <c r="B170" s="3457"/>
      <c r="C170" s="3457"/>
      <c r="D170" s="3457"/>
      <c r="E170" s="3457"/>
      <c r="F170" s="3457"/>
      <c r="G170" s="3457"/>
      <c r="H170" s="3457"/>
      <c r="I170" s="3457"/>
      <c r="J170" s="273"/>
      <c r="K170" s="273"/>
      <c r="L170" s="273"/>
      <c r="M170" s="274"/>
      <c r="N170" s="273"/>
      <c r="O170" s="275"/>
      <c r="P170" s="273"/>
      <c r="Q170" s="276"/>
      <c r="R170" s="277">
        <f>+'[2]Compil Costing PPA 3 millions'!F12</f>
        <v>100000</v>
      </c>
      <c r="S170" s="278"/>
      <c r="T170" s="278"/>
      <c r="U170" s="278"/>
      <c r="V170" s="274"/>
      <c r="W170" s="274"/>
      <c r="X170" s="274"/>
      <c r="Y170" s="274"/>
      <c r="Z170" s="279"/>
      <c r="AA170" s="279"/>
      <c r="AB170" s="279"/>
    </row>
    <row r="171" spans="1:28" ht="16.5" customHeight="1">
      <c r="A171" s="281">
        <v>321</v>
      </c>
      <c r="B171" s="3456"/>
      <c r="C171" s="3456"/>
      <c r="D171" s="3456"/>
      <c r="E171" s="3456"/>
      <c r="F171" s="3456"/>
      <c r="G171" s="3456"/>
      <c r="H171" s="3456"/>
      <c r="I171" s="3456"/>
      <c r="J171" s="282"/>
      <c r="K171" s="283"/>
      <c r="L171" s="282"/>
      <c r="M171" s="284"/>
      <c r="N171" s="283"/>
      <c r="O171" s="285"/>
      <c r="P171" s="282"/>
      <c r="Q171" s="286"/>
      <c r="R171" s="287"/>
      <c r="S171" s="288"/>
      <c r="T171" s="288"/>
      <c r="U171" s="288"/>
      <c r="V171" s="288"/>
      <c r="W171" s="288"/>
      <c r="X171" s="288"/>
      <c r="Y171" s="288"/>
      <c r="Z171" s="289"/>
      <c r="AA171" s="289"/>
      <c r="AB171" s="289"/>
    </row>
    <row r="172" spans="1:28" ht="15.75" customHeight="1">
      <c r="A172" s="290">
        <v>3211</v>
      </c>
      <c r="B172" s="330"/>
      <c r="C172" s="330"/>
      <c r="D172" s="330"/>
      <c r="E172" s="329"/>
      <c r="F172" s="331"/>
      <c r="G172" s="331"/>
      <c r="H172" s="331"/>
      <c r="I172" s="294"/>
      <c r="J172" s="295"/>
      <c r="K172" s="294"/>
      <c r="L172" s="295"/>
      <c r="M172" s="296"/>
      <c r="N172" s="294"/>
      <c r="O172" s="297"/>
      <c r="P172" s="295"/>
      <c r="Q172" s="298"/>
      <c r="R172" s="299"/>
      <c r="S172" s="298"/>
      <c r="T172" s="298"/>
      <c r="U172" s="298"/>
      <c r="V172" s="298"/>
      <c r="W172" s="298"/>
      <c r="X172" s="298"/>
      <c r="Y172" s="298"/>
      <c r="Z172" s="300"/>
      <c r="AA172" s="300"/>
      <c r="AB172" s="300"/>
    </row>
    <row r="173" spans="1:28" ht="15.75" customHeight="1">
      <c r="A173" s="290">
        <v>3212</v>
      </c>
      <c r="B173" s="330"/>
      <c r="C173" s="330"/>
      <c r="D173" s="330"/>
      <c r="E173" s="329"/>
      <c r="F173" s="331"/>
      <c r="G173" s="331"/>
      <c r="H173" s="331"/>
      <c r="I173" s="294"/>
      <c r="J173" s="295"/>
      <c r="K173" s="294"/>
      <c r="L173" s="295"/>
      <c r="M173" s="296"/>
      <c r="N173" s="294"/>
      <c r="O173" s="297"/>
      <c r="P173" s="295"/>
      <c r="Q173" s="298"/>
      <c r="R173" s="299"/>
      <c r="S173" s="298"/>
      <c r="T173" s="298"/>
      <c r="U173" s="298"/>
      <c r="V173" s="298"/>
      <c r="W173" s="298"/>
      <c r="X173" s="298"/>
      <c r="Y173" s="298"/>
      <c r="Z173" s="300"/>
      <c r="AA173" s="300"/>
      <c r="AB173" s="300"/>
    </row>
    <row r="174" spans="1:28" ht="15.75" customHeight="1">
      <c r="A174" s="290">
        <v>3213</v>
      </c>
      <c r="B174" s="330"/>
      <c r="C174" s="330"/>
      <c r="D174" s="330"/>
      <c r="E174" s="329"/>
      <c r="F174" s="331"/>
      <c r="G174" s="331"/>
      <c r="H174" s="331"/>
      <c r="I174" s="294"/>
      <c r="J174" s="295"/>
      <c r="K174" s="294"/>
      <c r="L174" s="295"/>
      <c r="M174" s="296"/>
      <c r="N174" s="294"/>
      <c r="O174" s="297"/>
      <c r="P174" s="295"/>
      <c r="Q174" s="298"/>
      <c r="R174" s="299"/>
      <c r="S174" s="298"/>
      <c r="T174" s="298"/>
      <c r="U174" s="298"/>
      <c r="V174" s="298"/>
      <c r="W174" s="298"/>
      <c r="X174" s="298"/>
      <c r="Y174" s="298"/>
      <c r="Z174" s="300"/>
      <c r="AA174" s="300"/>
      <c r="AB174" s="300"/>
    </row>
    <row r="175" spans="1:28" ht="16.5" customHeight="1">
      <c r="A175" s="281">
        <v>322</v>
      </c>
      <c r="B175" s="3456"/>
      <c r="C175" s="3456"/>
      <c r="D175" s="3456"/>
      <c r="E175" s="3456"/>
      <c r="F175" s="3456"/>
      <c r="G175" s="3456"/>
      <c r="H175" s="3456"/>
      <c r="I175" s="3456"/>
      <c r="J175" s="282"/>
      <c r="K175" s="283"/>
      <c r="L175" s="282"/>
      <c r="M175" s="284"/>
      <c r="N175" s="283"/>
      <c r="O175" s="285"/>
      <c r="P175" s="282"/>
      <c r="Q175" s="286"/>
      <c r="R175" s="287"/>
      <c r="S175" s="288"/>
      <c r="T175" s="288"/>
      <c r="U175" s="288"/>
      <c r="V175" s="288"/>
      <c r="W175" s="288"/>
      <c r="X175" s="288"/>
      <c r="Y175" s="288"/>
      <c r="Z175" s="289"/>
      <c r="AA175" s="289"/>
      <c r="AB175" s="289"/>
    </row>
    <row r="176" spans="1:28">
      <c r="A176" s="290">
        <v>3221</v>
      </c>
      <c r="B176" s="330"/>
      <c r="C176" s="330"/>
      <c r="D176" s="330"/>
      <c r="E176" s="329"/>
      <c r="F176" s="306"/>
      <c r="G176" s="293"/>
      <c r="H176" s="293"/>
      <c r="I176" s="294"/>
      <c r="J176" s="295"/>
      <c r="K176" s="294"/>
      <c r="L176" s="295"/>
      <c r="M176" s="296"/>
      <c r="N176" s="294"/>
      <c r="O176" s="297"/>
      <c r="P176" s="295"/>
      <c r="Q176" s="298"/>
      <c r="R176" s="299"/>
      <c r="S176" s="298"/>
      <c r="T176" s="298"/>
      <c r="U176" s="298"/>
      <c r="V176" s="298"/>
      <c r="W176" s="298"/>
      <c r="X176" s="298"/>
      <c r="Y176" s="298"/>
      <c r="Z176" s="300"/>
      <c r="AA176" s="300"/>
      <c r="AB176" s="300"/>
    </row>
    <row r="177" spans="1:28">
      <c r="A177" s="290">
        <v>3222</v>
      </c>
      <c r="B177" s="330"/>
      <c r="C177" s="330"/>
      <c r="D177" s="330"/>
      <c r="E177" s="329"/>
      <c r="F177" s="306"/>
      <c r="G177" s="293"/>
      <c r="H177" s="293"/>
      <c r="I177" s="294"/>
      <c r="J177" s="295"/>
      <c r="K177" s="294"/>
      <c r="L177" s="295"/>
      <c r="M177" s="296"/>
      <c r="N177" s="294"/>
      <c r="O177" s="297"/>
      <c r="P177" s="295"/>
      <c r="Q177" s="298"/>
      <c r="R177" s="299"/>
      <c r="S177" s="298"/>
      <c r="T177" s="298"/>
      <c r="U177" s="298"/>
      <c r="V177" s="298"/>
      <c r="W177" s="298"/>
      <c r="X177" s="298"/>
      <c r="Y177" s="298"/>
      <c r="Z177" s="300"/>
      <c r="AA177" s="300"/>
      <c r="AB177" s="300"/>
    </row>
    <row r="178" spans="1:28" ht="15.75" customHeight="1">
      <c r="A178" s="301" t="s">
        <v>233</v>
      </c>
      <c r="B178" s="330"/>
      <c r="C178" s="330"/>
      <c r="D178" s="330"/>
      <c r="E178" s="329"/>
      <c r="F178" s="331"/>
      <c r="G178" s="331"/>
      <c r="H178" s="331"/>
      <c r="I178" s="294"/>
      <c r="J178" s="295"/>
      <c r="K178" s="294"/>
      <c r="L178" s="295"/>
      <c r="M178" s="296"/>
      <c r="N178" s="294"/>
      <c r="O178" s="297"/>
      <c r="P178" s="295"/>
      <c r="Q178" s="298"/>
      <c r="R178" s="299"/>
      <c r="S178" s="298"/>
      <c r="T178" s="298"/>
      <c r="U178" s="298"/>
      <c r="V178" s="298"/>
      <c r="W178" s="298"/>
      <c r="X178" s="298"/>
      <c r="Y178" s="298"/>
      <c r="Z178" s="300"/>
      <c r="AA178" s="300"/>
      <c r="AB178" s="300"/>
    </row>
    <row r="179" spans="1:28" s="272" customFormat="1" ht="33.75" customHeight="1">
      <c r="A179" s="3458" t="s">
        <v>275</v>
      </c>
      <c r="B179" s="3458"/>
      <c r="C179" s="3458"/>
      <c r="D179" s="3458"/>
      <c r="E179" s="3458"/>
      <c r="F179" s="3458"/>
      <c r="G179" s="3458"/>
      <c r="H179" s="3458"/>
      <c r="I179" s="3458"/>
      <c r="J179" s="265"/>
      <c r="K179" s="265"/>
      <c r="L179" s="265"/>
      <c r="M179" s="266"/>
      <c r="N179" s="265"/>
      <c r="O179" s="267"/>
      <c r="P179" s="265"/>
      <c r="Q179" s="268"/>
      <c r="R179" s="269">
        <f>+R180+R189+R198</f>
        <v>1499105.0395833335</v>
      </c>
      <c r="S179" s="270"/>
      <c r="T179" s="270"/>
      <c r="U179" s="270"/>
      <c r="V179" s="270"/>
      <c r="W179" s="270"/>
      <c r="X179" s="270"/>
      <c r="Y179" s="270"/>
      <c r="Z179" s="271"/>
      <c r="AA179" s="271"/>
      <c r="AB179" s="271"/>
    </row>
    <row r="180" spans="1:28" ht="15.75" customHeight="1">
      <c r="A180" s="3457" t="s">
        <v>276</v>
      </c>
      <c r="B180" s="3457"/>
      <c r="C180" s="3457"/>
      <c r="D180" s="3457"/>
      <c r="E180" s="3457"/>
      <c r="F180" s="3457"/>
      <c r="G180" s="3457"/>
      <c r="H180" s="3457"/>
      <c r="I180" s="3457"/>
      <c r="J180" s="273"/>
      <c r="K180" s="273"/>
      <c r="L180" s="273"/>
      <c r="M180" s="274"/>
      <c r="N180" s="273"/>
      <c r="O180" s="275"/>
      <c r="P180" s="273"/>
      <c r="Q180" s="276"/>
      <c r="R180" s="277">
        <f>+'[2]Compil Costing PPA 3 millions'!F15</f>
        <v>356290.70624999999</v>
      </c>
      <c r="S180" s="278"/>
      <c r="T180" s="278"/>
      <c r="U180" s="278"/>
      <c r="V180" s="274"/>
      <c r="W180" s="274"/>
      <c r="X180" s="274"/>
      <c r="Y180" s="274"/>
      <c r="Z180" s="279"/>
      <c r="AA180" s="279"/>
      <c r="AB180" s="279"/>
    </row>
    <row r="181" spans="1:28" ht="16.5" customHeight="1">
      <c r="A181" s="281">
        <v>411</v>
      </c>
      <c r="B181" s="3456"/>
      <c r="C181" s="3456"/>
      <c r="D181" s="3456"/>
      <c r="E181" s="3456"/>
      <c r="F181" s="3456"/>
      <c r="G181" s="3456"/>
      <c r="H181" s="3456"/>
      <c r="I181" s="3456"/>
      <c r="J181" s="282"/>
      <c r="K181" s="283"/>
      <c r="L181" s="282"/>
      <c r="M181" s="284"/>
      <c r="N181" s="283"/>
      <c r="O181" s="285"/>
      <c r="P181" s="282"/>
      <c r="Q181" s="286"/>
      <c r="R181" s="287"/>
      <c r="S181" s="288"/>
      <c r="T181" s="288"/>
      <c r="U181" s="288"/>
      <c r="V181" s="288"/>
      <c r="W181" s="288"/>
      <c r="X181" s="288"/>
      <c r="Y181" s="288"/>
      <c r="Z181" s="289"/>
      <c r="AA181" s="289"/>
      <c r="AB181" s="289"/>
    </row>
    <row r="182" spans="1:28">
      <c r="A182" s="290">
        <v>4111</v>
      </c>
      <c r="B182" s="330"/>
      <c r="C182" s="330"/>
      <c r="D182" s="330"/>
      <c r="E182" s="329"/>
      <c r="F182" s="306"/>
      <c r="G182" s="293"/>
      <c r="H182" s="293"/>
      <c r="I182" s="294"/>
      <c r="J182" s="295"/>
      <c r="K182" s="294"/>
      <c r="L182" s="295"/>
      <c r="M182" s="296"/>
      <c r="N182" s="294"/>
      <c r="O182" s="297"/>
      <c r="P182" s="295"/>
      <c r="Q182" s="298"/>
      <c r="R182" s="299"/>
      <c r="S182" s="298"/>
      <c r="T182" s="298"/>
      <c r="U182" s="298"/>
      <c r="V182" s="298"/>
      <c r="W182" s="298"/>
      <c r="X182" s="298"/>
      <c r="Y182" s="298"/>
      <c r="Z182" s="300"/>
      <c r="AA182" s="300"/>
      <c r="AB182" s="300"/>
    </row>
    <row r="183" spans="1:28">
      <c r="A183" s="290">
        <v>4112</v>
      </c>
      <c r="B183" s="330"/>
      <c r="C183" s="330"/>
      <c r="D183" s="330"/>
      <c r="E183" s="329"/>
      <c r="F183" s="306"/>
      <c r="G183" s="293"/>
      <c r="H183" s="293"/>
      <c r="I183" s="294"/>
      <c r="J183" s="295"/>
      <c r="K183" s="294"/>
      <c r="L183" s="295"/>
      <c r="M183" s="296"/>
      <c r="N183" s="294"/>
      <c r="O183" s="297"/>
      <c r="P183" s="295"/>
      <c r="Q183" s="298"/>
      <c r="R183" s="299"/>
      <c r="S183" s="298"/>
      <c r="T183" s="298"/>
      <c r="U183" s="298"/>
      <c r="V183" s="298"/>
      <c r="W183" s="298"/>
      <c r="X183" s="298"/>
      <c r="Y183" s="298"/>
      <c r="Z183" s="300"/>
      <c r="AA183" s="300"/>
      <c r="AB183" s="300"/>
    </row>
    <row r="184" spans="1:28">
      <c r="A184" s="290">
        <v>4113</v>
      </c>
      <c r="B184" s="330"/>
      <c r="C184" s="330"/>
      <c r="D184" s="330"/>
      <c r="E184" s="329"/>
      <c r="F184" s="306"/>
      <c r="G184" s="293"/>
      <c r="H184" s="293"/>
      <c r="I184" s="294"/>
      <c r="J184" s="295"/>
      <c r="K184" s="294"/>
      <c r="L184" s="295"/>
      <c r="M184" s="296"/>
      <c r="N184" s="294"/>
      <c r="O184" s="297"/>
      <c r="P184" s="295"/>
      <c r="Q184" s="298"/>
      <c r="R184" s="299"/>
      <c r="S184" s="298"/>
      <c r="T184" s="298"/>
      <c r="U184" s="298"/>
      <c r="V184" s="298"/>
      <c r="W184" s="298"/>
      <c r="X184" s="298"/>
      <c r="Y184" s="298"/>
      <c r="Z184" s="300"/>
      <c r="AA184" s="300"/>
      <c r="AB184" s="300"/>
    </row>
    <row r="185" spans="1:28" ht="16.5" customHeight="1">
      <c r="A185" s="281">
        <v>412</v>
      </c>
      <c r="B185" s="3456"/>
      <c r="C185" s="3456"/>
      <c r="D185" s="3456"/>
      <c r="E185" s="3456"/>
      <c r="F185" s="3456"/>
      <c r="G185" s="3456"/>
      <c r="H185" s="3456"/>
      <c r="I185" s="3456"/>
      <c r="J185" s="282"/>
      <c r="K185" s="283"/>
      <c r="L185" s="282"/>
      <c r="M185" s="284"/>
      <c r="N185" s="283"/>
      <c r="O185" s="285"/>
      <c r="P185" s="282"/>
      <c r="Q185" s="286"/>
      <c r="R185" s="287"/>
      <c r="S185" s="288"/>
      <c r="T185" s="288"/>
      <c r="U185" s="288"/>
      <c r="V185" s="288"/>
      <c r="W185" s="288"/>
      <c r="X185" s="288"/>
      <c r="Y185" s="288"/>
      <c r="Z185" s="289"/>
      <c r="AA185" s="289"/>
      <c r="AB185" s="289"/>
    </row>
    <row r="186" spans="1:28">
      <c r="A186" s="290">
        <v>4121</v>
      </c>
      <c r="B186" s="330"/>
      <c r="C186" s="330"/>
      <c r="D186" s="330"/>
      <c r="E186" s="329"/>
      <c r="F186" s="306"/>
      <c r="G186" s="293"/>
      <c r="H186" s="293"/>
      <c r="I186" s="294"/>
      <c r="J186" s="295"/>
      <c r="K186" s="294"/>
      <c r="L186" s="295"/>
      <c r="M186" s="296"/>
      <c r="N186" s="294"/>
      <c r="O186" s="297"/>
      <c r="P186" s="295"/>
      <c r="Q186" s="298"/>
      <c r="R186" s="299"/>
      <c r="S186" s="298"/>
      <c r="T186" s="298"/>
      <c r="U186" s="298"/>
      <c r="V186" s="298"/>
      <c r="W186" s="298"/>
      <c r="X186" s="298"/>
      <c r="Y186" s="298"/>
      <c r="Z186" s="300"/>
      <c r="AA186" s="300"/>
      <c r="AB186" s="300"/>
    </row>
    <row r="187" spans="1:28">
      <c r="A187" s="290">
        <v>4122</v>
      </c>
      <c r="B187" s="330"/>
      <c r="C187" s="330"/>
      <c r="D187" s="330"/>
      <c r="E187" s="329"/>
      <c r="F187" s="306"/>
      <c r="G187" s="293"/>
      <c r="H187" s="293"/>
      <c r="I187" s="294"/>
      <c r="J187" s="295"/>
      <c r="K187" s="294"/>
      <c r="L187" s="295"/>
      <c r="M187" s="296"/>
      <c r="N187" s="294"/>
      <c r="O187" s="297"/>
      <c r="P187" s="295"/>
      <c r="Q187" s="298"/>
      <c r="R187" s="299"/>
      <c r="S187" s="298"/>
      <c r="T187" s="298"/>
      <c r="U187" s="298"/>
      <c r="V187" s="298"/>
      <c r="W187" s="298"/>
      <c r="X187" s="298"/>
      <c r="Y187" s="298"/>
      <c r="Z187" s="300"/>
      <c r="AA187" s="300"/>
      <c r="AB187" s="300"/>
    </row>
    <row r="188" spans="1:28" ht="15.75" customHeight="1">
      <c r="A188" s="301" t="s">
        <v>233</v>
      </c>
      <c r="B188" s="330"/>
      <c r="C188" s="330"/>
      <c r="D188" s="330"/>
      <c r="E188" s="329"/>
      <c r="F188" s="331"/>
      <c r="G188" s="331"/>
      <c r="H188" s="331"/>
      <c r="I188" s="294"/>
      <c r="J188" s="295"/>
      <c r="K188" s="294"/>
      <c r="L188" s="295"/>
      <c r="M188" s="296"/>
      <c r="N188" s="294"/>
      <c r="O188" s="297"/>
      <c r="P188" s="295"/>
      <c r="Q188" s="298"/>
      <c r="R188" s="299"/>
      <c r="S188" s="298"/>
      <c r="T188" s="298"/>
      <c r="U188" s="298"/>
      <c r="V188" s="298"/>
      <c r="W188" s="298"/>
      <c r="X188" s="298"/>
      <c r="Y188" s="298"/>
      <c r="Z188" s="300"/>
      <c r="AA188" s="300"/>
      <c r="AB188" s="300"/>
    </row>
    <row r="189" spans="1:28" ht="15.75" customHeight="1">
      <c r="A189" s="3457" t="s">
        <v>277</v>
      </c>
      <c r="B189" s="3457"/>
      <c r="C189" s="3457"/>
      <c r="D189" s="3457"/>
      <c r="E189" s="3457"/>
      <c r="F189" s="3457"/>
      <c r="G189" s="3457"/>
      <c r="H189" s="3457"/>
      <c r="I189" s="3457"/>
      <c r="J189" s="273"/>
      <c r="K189" s="273"/>
      <c r="L189" s="273"/>
      <c r="M189" s="274"/>
      <c r="N189" s="273"/>
      <c r="O189" s="275"/>
      <c r="P189" s="273"/>
      <c r="Q189" s="276"/>
      <c r="R189" s="277">
        <f>+'[7]Compil Costing PPA 3 millions'!F16+'[7]Compil Costing PPA 3 millions'!F18+'[7]Compil Costing PPA 3 millions'!F19</f>
        <v>1137594.3333333335</v>
      </c>
      <c r="S189" s="278"/>
      <c r="T189" s="278"/>
      <c r="U189" s="278"/>
      <c r="V189" s="274"/>
      <c r="W189" s="274"/>
      <c r="X189" s="274"/>
      <c r="Y189" s="274"/>
      <c r="Z189" s="280"/>
      <c r="AA189" s="280"/>
      <c r="AB189" s="280"/>
    </row>
    <row r="190" spans="1:28" ht="16.5" customHeight="1" thickBot="1">
      <c r="A190" s="281">
        <v>421</v>
      </c>
      <c r="B190" s="3456" t="s">
        <v>439</v>
      </c>
      <c r="C190" s="3456"/>
      <c r="D190" s="3456"/>
      <c r="E190" s="3456"/>
      <c r="F190" s="3456"/>
      <c r="G190" s="3456"/>
      <c r="H190" s="3456"/>
      <c r="I190" s="3456"/>
      <c r="J190" s="282"/>
      <c r="K190" s="283"/>
      <c r="L190" s="282"/>
      <c r="M190" s="284"/>
      <c r="N190" s="283"/>
      <c r="O190" s="285"/>
      <c r="P190" s="282"/>
      <c r="Q190" s="286"/>
      <c r="R190" s="287"/>
      <c r="S190" s="288"/>
      <c r="T190" s="288"/>
      <c r="U190" s="288"/>
      <c r="V190" s="288"/>
      <c r="W190" s="288"/>
      <c r="X190" s="288"/>
      <c r="Y190" s="288"/>
      <c r="Z190" s="280"/>
      <c r="AA190" s="280"/>
      <c r="AB190" s="280"/>
    </row>
    <row r="191" spans="1:28" ht="66" customHeight="1" thickTop="1" thickBot="1">
      <c r="A191" s="290">
        <v>4211</v>
      </c>
      <c r="B191" s="291" t="s">
        <v>440</v>
      </c>
      <c r="C191" s="291" t="s">
        <v>441</v>
      </c>
      <c r="D191" s="291"/>
      <c r="E191" s="307">
        <f>50</f>
        <v>50</v>
      </c>
      <c r="F191" s="460">
        <v>43186</v>
      </c>
      <c r="G191" s="461">
        <f t="shared" ref="G191:G196" si="26">+F191+E191</f>
        <v>43236</v>
      </c>
      <c r="H191" s="293" t="s">
        <v>368</v>
      </c>
      <c r="I191" s="294" t="s">
        <v>169</v>
      </c>
      <c r="J191" s="294" t="s">
        <v>442</v>
      </c>
      <c r="K191" s="307" t="s">
        <v>443</v>
      </c>
      <c r="L191" s="311">
        <v>2313</v>
      </c>
      <c r="M191" s="296"/>
      <c r="N191" s="294"/>
      <c r="O191" s="462">
        <v>217.5</v>
      </c>
      <c r="P191" s="463">
        <v>15</v>
      </c>
      <c r="Q191" s="462">
        <v>3262.5</v>
      </c>
      <c r="R191" s="462">
        <f>+Q191</f>
        <v>3262.5</v>
      </c>
      <c r="S191" s="463"/>
      <c r="T191" s="463"/>
      <c r="U191" s="463"/>
      <c r="V191" s="463">
        <v>3262.5</v>
      </c>
      <c r="W191" s="463"/>
      <c r="X191" s="463"/>
      <c r="Y191" s="463"/>
      <c r="Z191" s="280"/>
      <c r="AA191" s="479"/>
      <c r="AB191" s="280"/>
    </row>
    <row r="192" spans="1:28" ht="17.25" thickTop="1" thickBot="1">
      <c r="A192" s="290"/>
      <c r="B192" s="291"/>
      <c r="C192" s="291" t="s">
        <v>444</v>
      </c>
      <c r="D192" s="291"/>
      <c r="E192" s="307">
        <v>15</v>
      </c>
      <c r="F192" s="460">
        <v>43241</v>
      </c>
      <c r="G192" s="461">
        <f t="shared" si="26"/>
        <v>43256</v>
      </c>
      <c r="H192" s="293" t="s">
        <v>368</v>
      </c>
      <c r="I192" s="294" t="s">
        <v>442</v>
      </c>
      <c r="J192" s="294"/>
      <c r="K192" s="307" t="s">
        <v>445</v>
      </c>
      <c r="L192" s="311"/>
      <c r="M192" s="296"/>
      <c r="N192" s="294"/>
      <c r="O192" s="464"/>
      <c r="P192" s="464"/>
      <c r="Q192" s="464"/>
      <c r="R192" s="462">
        <f t="shared" ref="R192:R229" si="27">+Q192</f>
        <v>0</v>
      </c>
      <c r="S192" s="463"/>
      <c r="T192" s="463"/>
      <c r="U192" s="463"/>
      <c r="V192" s="463"/>
      <c r="W192" s="463"/>
      <c r="X192" s="463"/>
      <c r="Y192" s="463"/>
      <c r="Z192" s="280"/>
      <c r="AA192" s="280"/>
      <c r="AB192" s="280"/>
    </row>
    <row r="193" spans="1:28" ht="33" thickTop="1" thickBot="1">
      <c r="A193" s="290">
        <v>4212</v>
      </c>
      <c r="B193" s="291" t="s">
        <v>446</v>
      </c>
      <c r="C193" s="291" t="s">
        <v>441</v>
      </c>
      <c r="D193" s="291"/>
      <c r="E193" s="307">
        <v>70</v>
      </c>
      <c r="F193" s="460">
        <v>43186</v>
      </c>
      <c r="G193" s="461">
        <f t="shared" si="26"/>
        <v>43256</v>
      </c>
      <c r="H193" s="293" t="s">
        <v>368</v>
      </c>
      <c r="I193" s="294" t="s">
        <v>169</v>
      </c>
      <c r="J193" s="294" t="s">
        <v>442</v>
      </c>
      <c r="K193" s="307" t="s">
        <v>443</v>
      </c>
      <c r="L193" s="311">
        <v>2313</v>
      </c>
      <c r="M193" s="296"/>
      <c r="N193" s="294"/>
      <c r="O193" s="462">
        <v>217.5</v>
      </c>
      <c r="P193" s="463">
        <v>5</v>
      </c>
      <c r="Q193" s="463">
        <f>O193*P193</f>
        <v>1087.5</v>
      </c>
      <c r="R193" s="462">
        <f t="shared" si="27"/>
        <v>1087.5</v>
      </c>
      <c r="S193" s="463"/>
      <c r="T193" s="463"/>
      <c r="U193" s="463"/>
      <c r="V193" s="463"/>
      <c r="W193" s="463">
        <v>1087.5</v>
      </c>
      <c r="X193" s="463"/>
      <c r="Y193" s="463"/>
      <c r="Z193" s="280"/>
      <c r="AA193" s="280"/>
      <c r="AB193" s="280"/>
    </row>
    <row r="194" spans="1:28" ht="41.25" customHeight="1" thickTop="1" thickBot="1">
      <c r="A194" s="290"/>
      <c r="B194" s="291"/>
      <c r="C194" s="291" t="s">
        <v>447</v>
      </c>
      <c r="D194" s="291"/>
      <c r="E194" s="307">
        <v>5</v>
      </c>
      <c r="F194" s="460">
        <v>43283</v>
      </c>
      <c r="G194" s="461">
        <f t="shared" si="26"/>
        <v>43288</v>
      </c>
      <c r="H194" s="293" t="s">
        <v>368</v>
      </c>
      <c r="I194" s="294" t="s">
        <v>442</v>
      </c>
      <c r="J194" s="294"/>
      <c r="K194" s="307" t="s">
        <v>445</v>
      </c>
      <c r="L194" s="311"/>
      <c r="M194" s="296"/>
      <c r="N194" s="294"/>
      <c r="O194" s="464"/>
      <c r="P194" s="464"/>
      <c r="Q194" s="464"/>
      <c r="R194" s="462">
        <f t="shared" si="27"/>
        <v>0</v>
      </c>
      <c r="S194" s="463"/>
      <c r="T194" s="463"/>
      <c r="U194" s="463"/>
      <c r="V194" s="463"/>
      <c r="W194" s="463"/>
      <c r="X194" s="463"/>
      <c r="Y194" s="463"/>
      <c r="Z194" s="280"/>
      <c r="AA194" s="280"/>
      <c r="AB194" s="280"/>
    </row>
    <row r="195" spans="1:28" ht="33" thickTop="1" thickBot="1">
      <c r="A195" s="290">
        <v>4213</v>
      </c>
      <c r="B195" s="291" t="s">
        <v>448</v>
      </c>
      <c r="C195" s="291" t="s">
        <v>441</v>
      </c>
      <c r="D195" s="291"/>
      <c r="E195" s="307">
        <v>70</v>
      </c>
      <c r="F195" s="460">
        <v>43186</v>
      </c>
      <c r="G195" s="461">
        <f t="shared" si="26"/>
        <v>43256</v>
      </c>
      <c r="H195" s="293" t="s">
        <v>368</v>
      </c>
      <c r="I195" s="294" t="s">
        <v>169</v>
      </c>
      <c r="J195" s="294" t="s">
        <v>442</v>
      </c>
      <c r="K195" s="307" t="s">
        <v>443</v>
      </c>
      <c r="L195" s="311">
        <v>2313</v>
      </c>
      <c r="M195" s="296"/>
      <c r="N195" s="294"/>
      <c r="O195" s="462">
        <v>217.5</v>
      </c>
      <c r="P195" s="463">
        <v>5</v>
      </c>
      <c r="Q195" s="463">
        <f>O195*P195</f>
        <v>1087.5</v>
      </c>
      <c r="R195" s="462">
        <f t="shared" si="27"/>
        <v>1087.5</v>
      </c>
      <c r="S195" s="463"/>
      <c r="T195" s="463"/>
      <c r="U195" s="463"/>
      <c r="V195" s="463"/>
      <c r="W195" s="463"/>
      <c r="X195" s="463">
        <v>1087.5</v>
      </c>
      <c r="Y195" s="463"/>
      <c r="Z195" s="280"/>
      <c r="AA195" s="280"/>
      <c r="AB195" s="280"/>
    </row>
    <row r="196" spans="1:28" ht="16.5" thickTop="1">
      <c r="A196" s="290"/>
      <c r="B196" s="291"/>
      <c r="C196" s="291" t="s">
        <v>449</v>
      </c>
      <c r="D196" s="291"/>
      <c r="E196" s="307">
        <v>5</v>
      </c>
      <c r="F196" s="460">
        <v>43318</v>
      </c>
      <c r="G196" s="461">
        <f t="shared" si="26"/>
        <v>43323</v>
      </c>
      <c r="H196" s="293" t="s">
        <v>368</v>
      </c>
      <c r="I196" s="294" t="s">
        <v>442</v>
      </c>
      <c r="J196" s="294"/>
      <c r="K196" s="307" t="s">
        <v>445</v>
      </c>
      <c r="L196" s="311"/>
      <c r="M196" s="296"/>
      <c r="N196" s="294"/>
      <c r="O196" s="464"/>
      <c r="P196" s="464"/>
      <c r="Q196" s="464"/>
      <c r="R196" s="462">
        <f t="shared" si="27"/>
        <v>0</v>
      </c>
      <c r="S196" s="463"/>
      <c r="T196" s="463"/>
      <c r="U196" s="463"/>
      <c r="V196" s="463"/>
      <c r="W196" s="463"/>
      <c r="X196" s="463"/>
      <c r="Y196" s="463"/>
      <c r="Z196" s="280"/>
      <c r="AA196" s="280"/>
      <c r="AB196" s="280"/>
    </row>
    <row r="197" spans="1:28" ht="16.5" customHeight="1" thickBot="1">
      <c r="A197" s="281">
        <v>422</v>
      </c>
      <c r="B197" s="3456" t="s">
        <v>450</v>
      </c>
      <c r="C197" s="3456"/>
      <c r="D197" s="3456"/>
      <c r="E197" s="3456"/>
      <c r="F197" s="3456"/>
      <c r="G197" s="3456"/>
      <c r="H197" s="3456"/>
      <c r="I197" s="3456"/>
      <c r="J197" s="282"/>
      <c r="K197" s="283"/>
      <c r="L197" s="282"/>
      <c r="M197" s="284"/>
      <c r="N197" s="283"/>
      <c r="O197" s="285"/>
      <c r="P197" s="282"/>
      <c r="Q197" s="286"/>
      <c r="R197" s="462">
        <f t="shared" si="27"/>
        <v>0</v>
      </c>
      <c r="S197" s="288"/>
      <c r="T197" s="288"/>
      <c r="U197" s="288"/>
      <c r="V197" s="288"/>
      <c r="W197" s="288"/>
      <c r="X197" s="288"/>
      <c r="Y197" s="288"/>
      <c r="Z197" s="280"/>
      <c r="AA197" s="280"/>
      <c r="AB197" s="280"/>
    </row>
    <row r="198" spans="1:28" ht="31.5" thickTop="1" thickBot="1">
      <c r="A198" s="290">
        <v>4221</v>
      </c>
      <c r="B198" s="465" t="s">
        <v>451</v>
      </c>
      <c r="C198" s="291" t="s">
        <v>452</v>
      </c>
      <c r="D198" s="291"/>
      <c r="E198" s="307">
        <f>50</f>
        <v>50</v>
      </c>
      <c r="F198" s="460">
        <v>43186</v>
      </c>
      <c r="G198" s="461">
        <f>+F198+E198</f>
        <v>43236</v>
      </c>
      <c r="H198" s="293" t="s">
        <v>368</v>
      </c>
      <c r="I198" s="294" t="s">
        <v>169</v>
      </c>
      <c r="J198" s="294" t="s">
        <v>179</v>
      </c>
      <c r="K198" s="307" t="s">
        <v>365</v>
      </c>
      <c r="L198" s="311">
        <v>2313</v>
      </c>
      <c r="M198" s="296"/>
      <c r="N198" s="294"/>
      <c r="O198" s="462">
        <v>174</v>
      </c>
      <c r="P198" s="466">
        <v>30</v>
      </c>
      <c r="Q198" s="463">
        <f>O198*P198</f>
        <v>5220</v>
      </c>
      <c r="R198" s="462">
        <f t="shared" si="27"/>
        <v>5220</v>
      </c>
      <c r="S198" s="463"/>
      <c r="T198" s="463"/>
      <c r="U198" s="463"/>
      <c r="V198" s="463">
        <v>5220</v>
      </c>
      <c r="W198" s="298"/>
      <c r="X198" s="298"/>
      <c r="Y198" s="298"/>
      <c r="Z198" s="280"/>
      <c r="AA198" s="280"/>
      <c r="AB198" s="280"/>
    </row>
    <row r="199" spans="1:28" ht="33" thickTop="1" thickBot="1">
      <c r="A199" s="290">
        <v>4222</v>
      </c>
      <c r="B199" s="465" t="s">
        <v>453</v>
      </c>
      <c r="C199" s="291" t="s">
        <v>454</v>
      </c>
      <c r="D199" s="291"/>
      <c r="E199" s="465">
        <v>5</v>
      </c>
      <c r="F199" s="460">
        <v>43241</v>
      </c>
      <c r="G199" s="461">
        <f>+F199+E199-1</f>
        <v>43245</v>
      </c>
      <c r="H199" s="306" t="s">
        <v>455</v>
      </c>
      <c r="I199" s="294" t="s">
        <v>179</v>
      </c>
      <c r="J199" s="307" t="s">
        <v>456</v>
      </c>
      <c r="K199" s="307" t="s">
        <v>457</v>
      </c>
      <c r="L199" s="311">
        <v>23174</v>
      </c>
      <c r="M199" s="296"/>
      <c r="N199" s="294"/>
      <c r="O199" s="462">
        <v>160</v>
      </c>
      <c r="P199" s="463">
        <v>40</v>
      </c>
      <c r="Q199" s="463">
        <f>O199*P199</f>
        <v>6400</v>
      </c>
      <c r="R199" s="462">
        <f t="shared" si="27"/>
        <v>6400</v>
      </c>
      <c r="S199" s="463"/>
      <c r="T199" s="463"/>
      <c r="U199" s="463">
        <v>6400</v>
      </c>
      <c r="V199" s="463"/>
      <c r="W199" s="298"/>
      <c r="X199" s="298"/>
      <c r="Y199" s="298"/>
      <c r="Z199" s="280"/>
      <c r="AA199" s="280"/>
      <c r="AB199" s="280"/>
    </row>
    <row r="200" spans="1:28" ht="80.25" thickTop="1" thickBot="1">
      <c r="A200" s="290">
        <v>4223</v>
      </c>
      <c r="B200" s="465" t="s">
        <v>458</v>
      </c>
      <c r="C200" s="465" t="s">
        <v>459</v>
      </c>
      <c r="D200" s="291"/>
      <c r="E200" s="465">
        <v>3</v>
      </c>
      <c r="F200" s="460">
        <v>43248</v>
      </c>
      <c r="G200" s="461">
        <f>+F200+E200-1</f>
        <v>43250</v>
      </c>
      <c r="H200" s="306" t="s">
        <v>460</v>
      </c>
      <c r="I200" s="294" t="s">
        <v>179</v>
      </c>
      <c r="J200" s="306" t="s">
        <v>461</v>
      </c>
      <c r="K200" s="307" t="s">
        <v>457</v>
      </c>
      <c r="L200" s="311">
        <v>23174</v>
      </c>
      <c r="M200" s="296"/>
      <c r="N200" s="294"/>
      <c r="O200" s="462">
        <v>134.66666666666666</v>
      </c>
      <c r="P200" s="463">
        <v>8</v>
      </c>
      <c r="Q200" s="463">
        <f>O200*P200</f>
        <v>1077.3333333333333</v>
      </c>
      <c r="R200" s="462">
        <f t="shared" si="27"/>
        <v>1077.3333333333333</v>
      </c>
      <c r="S200" s="298"/>
      <c r="T200" s="298"/>
      <c r="U200" s="463">
        <v>1077.3333333333333</v>
      </c>
      <c r="V200" s="298"/>
      <c r="W200" s="298"/>
      <c r="X200" s="298"/>
      <c r="Y200" s="298"/>
      <c r="Z200" s="280"/>
      <c r="AA200" s="280"/>
      <c r="AB200" s="280"/>
    </row>
    <row r="201" spans="1:28" ht="32.25" thickTop="1">
      <c r="A201" s="290">
        <v>4224</v>
      </c>
      <c r="B201" s="465" t="s">
        <v>462</v>
      </c>
      <c r="C201" s="465" t="s">
        <v>463</v>
      </c>
      <c r="D201" s="291"/>
      <c r="E201" s="465">
        <v>5</v>
      </c>
      <c r="F201" s="460">
        <v>43255</v>
      </c>
      <c r="G201" s="461">
        <f>+F201+E201-1</f>
        <v>43259</v>
      </c>
      <c r="H201" s="306" t="s">
        <v>455</v>
      </c>
      <c r="I201" s="294" t="s">
        <v>179</v>
      </c>
      <c r="J201" s="306" t="s">
        <v>461</v>
      </c>
      <c r="K201" s="307" t="s">
        <v>457</v>
      </c>
      <c r="L201" s="311">
        <v>23174</v>
      </c>
      <c r="M201" s="296"/>
      <c r="N201" s="294"/>
      <c r="O201" s="462">
        <v>84</v>
      </c>
      <c r="P201" s="463">
        <v>30</v>
      </c>
      <c r="Q201" s="463">
        <f>O201*P201</f>
        <v>2520</v>
      </c>
      <c r="R201" s="462">
        <f t="shared" si="27"/>
        <v>2520</v>
      </c>
      <c r="S201" s="463"/>
      <c r="T201" s="463"/>
      <c r="U201" s="463">
        <v>2520</v>
      </c>
      <c r="V201" s="463"/>
      <c r="W201" s="463"/>
      <c r="X201" s="298"/>
      <c r="Y201" s="298"/>
      <c r="Z201" s="280"/>
      <c r="AA201" s="280"/>
      <c r="AB201" s="280"/>
    </row>
    <row r="202" spans="1:28" ht="16.5" customHeight="1" thickBot="1">
      <c r="A202" s="281">
        <v>423</v>
      </c>
      <c r="B202" s="3473" t="s">
        <v>464</v>
      </c>
      <c r="C202" s="3474"/>
      <c r="D202" s="3474"/>
      <c r="E202" s="3474"/>
      <c r="F202" s="3474"/>
      <c r="G202" s="3474"/>
      <c r="H202" s="3474"/>
      <c r="I202" s="3475"/>
      <c r="J202" s="282"/>
      <c r="K202" s="283"/>
      <c r="L202" s="282"/>
      <c r="M202" s="284"/>
      <c r="N202" s="283"/>
      <c r="O202" s="285"/>
      <c r="P202" s="282"/>
      <c r="Q202" s="286"/>
      <c r="R202" s="462">
        <f t="shared" si="27"/>
        <v>0</v>
      </c>
      <c r="S202" s="288"/>
      <c r="T202" s="288"/>
      <c r="U202" s="288"/>
      <c r="V202" s="288"/>
      <c r="W202" s="288"/>
      <c r="X202" s="288"/>
      <c r="Y202" s="288"/>
      <c r="Z202" s="280"/>
      <c r="AA202" s="280"/>
      <c r="AB202" s="280"/>
    </row>
    <row r="203" spans="1:28" ht="51" customHeight="1" thickTop="1">
      <c r="A203" s="290">
        <v>4231</v>
      </c>
      <c r="B203" s="465" t="s">
        <v>465</v>
      </c>
      <c r="C203" s="465" t="s">
        <v>466</v>
      </c>
      <c r="D203" s="465"/>
      <c r="E203" s="465">
        <v>5</v>
      </c>
      <c r="F203" s="460">
        <v>43269</v>
      </c>
      <c r="G203" s="461">
        <f>+F203+E203-1</f>
        <v>43273</v>
      </c>
      <c r="H203" s="465" t="s">
        <v>368</v>
      </c>
      <c r="I203" s="465" t="s">
        <v>179</v>
      </c>
      <c r="J203" s="306" t="s">
        <v>461</v>
      </c>
      <c r="K203" s="307" t="s">
        <v>457</v>
      </c>
      <c r="L203" s="295">
        <v>23174</v>
      </c>
      <c r="M203" s="465"/>
      <c r="N203" s="465"/>
      <c r="O203" s="462">
        <v>160</v>
      </c>
      <c r="P203" s="462">
        <v>40</v>
      </c>
      <c r="Q203" s="462">
        <f>O203*P203</f>
        <v>6400</v>
      </c>
      <c r="R203" s="462">
        <f t="shared" si="27"/>
        <v>6400</v>
      </c>
      <c r="S203" s="463"/>
      <c r="T203" s="463"/>
      <c r="U203" s="463"/>
      <c r="V203" s="463">
        <v>6400</v>
      </c>
      <c r="W203" s="463"/>
      <c r="X203" s="465"/>
      <c r="Y203" s="465"/>
      <c r="Z203" s="280"/>
      <c r="AA203" s="280"/>
      <c r="AB203" s="280"/>
    </row>
    <row r="204" spans="1:28" ht="18.75" customHeight="1" thickBot="1">
      <c r="A204" s="281">
        <v>424</v>
      </c>
      <c r="B204" s="3473" t="s">
        <v>467</v>
      </c>
      <c r="C204" s="3474"/>
      <c r="D204" s="3474"/>
      <c r="E204" s="3474"/>
      <c r="F204" s="3474"/>
      <c r="G204" s="3474"/>
      <c r="H204" s="3474"/>
      <c r="I204" s="3475"/>
      <c r="J204" s="282"/>
      <c r="K204" s="283"/>
      <c r="L204" s="282"/>
      <c r="M204" s="284"/>
      <c r="N204" s="283"/>
      <c r="O204" s="285"/>
      <c r="P204" s="282"/>
      <c r="Q204" s="286"/>
      <c r="R204" s="462">
        <f t="shared" si="27"/>
        <v>0</v>
      </c>
      <c r="S204" s="288"/>
      <c r="T204" s="288"/>
      <c r="U204" s="288"/>
      <c r="V204" s="288"/>
      <c r="W204" s="288"/>
      <c r="X204" s="288"/>
      <c r="Y204" s="288"/>
      <c r="Z204" s="280"/>
      <c r="AA204" s="280"/>
      <c r="AB204" s="280"/>
    </row>
    <row r="205" spans="1:28" ht="32.25" thickTop="1">
      <c r="A205" s="290">
        <v>4241</v>
      </c>
      <c r="B205" s="465" t="s">
        <v>468</v>
      </c>
      <c r="C205" s="467" t="s">
        <v>469</v>
      </c>
      <c r="D205" s="291"/>
      <c r="E205" s="465">
        <v>2</v>
      </c>
      <c r="F205" s="460">
        <v>43283</v>
      </c>
      <c r="G205" s="461">
        <f>+F205+E205-1</f>
        <v>43284</v>
      </c>
      <c r="H205" s="306" t="s">
        <v>470</v>
      </c>
      <c r="I205" s="294" t="s">
        <v>179</v>
      </c>
      <c r="J205" s="306" t="s">
        <v>461</v>
      </c>
      <c r="K205" s="307" t="s">
        <v>457</v>
      </c>
      <c r="L205" s="295">
        <v>23174</v>
      </c>
      <c r="M205" s="296"/>
      <c r="N205" s="294"/>
      <c r="O205" s="462">
        <v>3045</v>
      </c>
      <c r="P205" s="462">
        <v>22</v>
      </c>
      <c r="Q205" s="462">
        <f>O205*P205</f>
        <v>66990</v>
      </c>
      <c r="R205" s="462">
        <f t="shared" si="27"/>
        <v>66990</v>
      </c>
      <c r="S205" s="463"/>
      <c r="T205" s="463"/>
      <c r="U205" s="463"/>
      <c r="V205" s="463">
        <v>66990</v>
      </c>
      <c r="W205" s="463"/>
      <c r="X205" s="298"/>
      <c r="Y205" s="298"/>
      <c r="Z205" s="280"/>
      <c r="AA205" s="280"/>
      <c r="AB205" s="280"/>
    </row>
    <row r="206" spans="1:28" ht="16.5" customHeight="1" thickBot="1">
      <c r="A206" s="281">
        <v>425</v>
      </c>
      <c r="B206" s="3473" t="s">
        <v>471</v>
      </c>
      <c r="C206" s="3474"/>
      <c r="D206" s="3474"/>
      <c r="E206" s="3474"/>
      <c r="F206" s="3474"/>
      <c r="G206" s="3474"/>
      <c r="H206" s="3474"/>
      <c r="I206" s="3475"/>
      <c r="J206" s="282"/>
      <c r="K206" s="283"/>
      <c r="L206" s="282"/>
      <c r="M206" s="284"/>
      <c r="N206" s="283"/>
      <c r="O206" s="285"/>
      <c r="P206" s="282"/>
      <c r="Q206" s="286"/>
      <c r="R206" s="462">
        <f t="shared" si="27"/>
        <v>0</v>
      </c>
      <c r="S206" s="288"/>
      <c r="T206" s="288"/>
      <c r="U206" s="288"/>
      <c r="V206" s="288"/>
      <c r="W206" s="288"/>
      <c r="X206" s="288"/>
      <c r="Y206" s="288"/>
      <c r="Z206" s="280"/>
      <c r="AA206" s="280"/>
      <c r="AB206" s="280"/>
    </row>
    <row r="207" spans="1:28" ht="17.25" thickTop="1" thickBot="1">
      <c r="A207" s="290">
        <v>4251</v>
      </c>
      <c r="B207" s="467" t="s">
        <v>472</v>
      </c>
      <c r="C207" s="467" t="s">
        <v>473</v>
      </c>
      <c r="D207" s="291"/>
      <c r="E207" s="292">
        <v>15</v>
      </c>
      <c r="F207" s="460">
        <v>43201</v>
      </c>
      <c r="G207" s="461">
        <f>+F207+E207-1</f>
        <v>43215</v>
      </c>
      <c r="H207" s="293" t="s">
        <v>474</v>
      </c>
      <c r="I207" s="294" t="s">
        <v>179</v>
      </c>
      <c r="J207" s="294" t="s">
        <v>169</v>
      </c>
      <c r="K207" s="307" t="s">
        <v>252</v>
      </c>
      <c r="L207" s="295">
        <v>23174</v>
      </c>
      <c r="M207" s="296"/>
      <c r="N207" s="294"/>
      <c r="O207" s="462">
        <v>0.23333333333333334</v>
      </c>
      <c r="P207" s="462">
        <v>57500</v>
      </c>
      <c r="Q207" s="462">
        <f>O207*P207</f>
        <v>13416.666666666666</v>
      </c>
      <c r="R207" s="462">
        <f t="shared" si="27"/>
        <v>13416.666666666666</v>
      </c>
      <c r="S207" s="298"/>
      <c r="T207" s="463">
        <v>13416.666666666666</v>
      </c>
      <c r="U207" s="463"/>
      <c r="V207" s="463"/>
      <c r="W207" s="298"/>
      <c r="X207" s="298"/>
      <c r="Y207" s="298"/>
      <c r="Z207" s="280"/>
      <c r="AA207" s="280"/>
      <c r="AB207" s="280"/>
    </row>
    <row r="208" spans="1:28" ht="17.25" thickTop="1" thickBot="1">
      <c r="A208" s="290">
        <v>4252</v>
      </c>
      <c r="B208" s="467" t="s">
        <v>475</v>
      </c>
      <c r="C208" s="467" t="s">
        <v>476</v>
      </c>
      <c r="D208" s="291"/>
      <c r="E208" s="292">
        <v>10</v>
      </c>
      <c r="F208" s="460">
        <v>43213</v>
      </c>
      <c r="G208" s="461">
        <f>+F208+E208-1</f>
        <v>43222</v>
      </c>
      <c r="H208" s="293" t="s">
        <v>474</v>
      </c>
      <c r="I208" s="294" t="s">
        <v>179</v>
      </c>
      <c r="J208" s="294" t="s">
        <v>180</v>
      </c>
      <c r="K208" s="307" t="s">
        <v>457</v>
      </c>
      <c r="L208" s="295">
        <v>23174</v>
      </c>
      <c r="M208" s="296"/>
      <c r="N208" s="294"/>
      <c r="O208" s="462">
        <v>350</v>
      </c>
      <c r="P208" s="462">
        <v>228</v>
      </c>
      <c r="Q208" s="462">
        <f>O208*P208</f>
        <v>79800</v>
      </c>
      <c r="R208" s="462">
        <f t="shared" si="27"/>
        <v>79800</v>
      </c>
      <c r="S208" s="298"/>
      <c r="T208" s="463">
        <v>79800</v>
      </c>
      <c r="U208" s="463"/>
      <c r="V208" s="463"/>
      <c r="W208" s="298"/>
      <c r="X208" s="298"/>
      <c r="Y208" s="298"/>
      <c r="Z208" s="280"/>
      <c r="AA208" s="280"/>
      <c r="AB208" s="280"/>
    </row>
    <row r="209" spans="1:28" ht="17.25" thickTop="1" thickBot="1">
      <c r="A209" s="290">
        <v>4253</v>
      </c>
      <c r="B209" s="468" t="s">
        <v>477</v>
      </c>
      <c r="C209" s="467" t="s">
        <v>478</v>
      </c>
      <c r="D209" s="291"/>
      <c r="E209" s="292">
        <v>10</v>
      </c>
      <c r="F209" s="460">
        <v>43227</v>
      </c>
      <c r="G209" s="461">
        <f t="shared" ref="G209:G220" si="28">+F209+E209-1</f>
        <v>43236</v>
      </c>
      <c r="H209" s="293" t="s">
        <v>368</v>
      </c>
      <c r="I209" s="294" t="s">
        <v>179</v>
      </c>
      <c r="J209" s="295" t="s">
        <v>180</v>
      </c>
      <c r="K209" s="307" t="s">
        <v>457</v>
      </c>
      <c r="L209" s="295">
        <v>23174</v>
      </c>
      <c r="M209" s="296"/>
      <c r="N209" s="294"/>
      <c r="O209" s="462">
        <v>260</v>
      </c>
      <c r="P209" s="462">
        <v>26</v>
      </c>
      <c r="Q209" s="462">
        <f>O209*P209</f>
        <v>6760</v>
      </c>
      <c r="R209" s="462">
        <f t="shared" si="27"/>
        <v>6760</v>
      </c>
      <c r="S209" s="463"/>
      <c r="T209" s="463"/>
      <c r="U209" s="463">
        <v>6760</v>
      </c>
      <c r="V209" s="463"/>
      <c r="W209" s="298"/>
      <c r="X209" s="298"/>
      <c r="Y209" s="298"/>
      <c r="Z209" s="280"/>
      <c r="AA209" s="280"/>
      <c r="AB209" s="280"/>
    </row>
    <row r="210" spans="1:28" ht="30.75" thickTop="1">
      <c r="A210" s="290">
        <v>4254</v>
      </c>
      <c r="B210" s="469" t="s">
        <v>479</v>
      </c>
      <c r="C210" s="465" t="s">
        <v>480</v>
      </c>
      <c r="D210" s="291"/>
      <c r="E210" s="292">
        <v>6</v>
      </c>
      <c r="F210" s="460">
        <v>43269</v>
      </c>
      <c r="G210" s="461">
        <f t="shared" si="28"/>
        <v>43274</v>
      </c>
      <c r="H210" s="293" t="s">
        <v>368</v>
      </c>
      <c r="I210" s="294" t="s">
        <v>179</v>
      </c>
      <c r="J210" s="295" t="s">
        <v>180</v>
      </c>
      <c r="K210" s="307" t="s">
        <v>457</v>
      </c>
      <c r="L210" s="295">
        <v>23174</v>
      </c>
      <c r="M210" s="296"/>
      <c r="N210" s="294"/>
      <c r="O210" s="462">
        <v>177.48</v>
      </c>
      <c r="P210" s="462">
        <v>25</v>
      </c>
      <c r="Q210" s="462">
        <f>O210*P210</f>
        <v>4437</v>
      </c>
      <c r="R210" s="462">
        <f t="shared" si="27"/>
        <v>4437</v>
      </c>
      <c r="S210" s="463"/>
      <c r="T210" s="463"/>
      <c r="U210" s="463"/>
      <c r="V210" s="463">
        <v>4437</v>
      </c>
      <c r="W210" s="298"/>
      <c r="X210" s="298"/>
      <c r="Y210" s="298"/>
      <c r="Z210" s="280"/>
      <c r="AA210" s="280"/>
      <c r="AB210" s="280"/>
    </row>
    <row r="211" spans="1:28" ht="16.5" thickBot="1">
      <c r="A211" s="281">
        <v>426</v>
      </c>
      <c r="B211" s="3473" t="s">
        <v>481</v>
      </c>
      <c r="C211" s="3474"/>
      <c r="D211" s="3474"/>
      <c r="E211" s="3474"/>
      <c r="F211" s="3474"/>
      <c r="G211" s="3474"/>
      <c r="H211" s="3474"/>
      <c r="I211" s="3475"/>
      <c r="J211" s="295"/>
      <c r="K211" s="294"/>
      <c r="L211" s="295"/>
      <c r="M211" s="296"/>
      <c r="N211" s="294"/>
      <c r="O211" s="297"/>
      <c r="P211" s="295"/>
      <c r="Q211" s="298"/>
      <c r="R211" s="462">
        <f t="shared" si="27"/>
        <v>0</v>
      </c>
      <c r="S211" s="298"/>
      <c r="T211" s="298"/>
      <c r="U211" s="298"/>
      <c r="V211" s="298"/>
      <c r="W211" s="298"/>
      <c r="X211" s="298"/>
      <c r="Y211" s="298"/>
      <c r="Z211" s="280"/>
      <c r="AA211" s="280"/>
      <c r="AB211" s="280"/>
    </row>
    <row r="212" spans="1:28" ht="17.25" thickTop="1" thickBot="1">
      <c r="A212" s="290">
        <v>4261</v>
      </c>
      <c r="B212" s="467" t="s">
        <v>482</v>
      </c>
      <c r="C212" s="467" t="s">
        <v>483</v>
      </c>
      <c r="D212" s="291"/>
      <c r="E212" s="292">
        <v>50</v>
      </c>
      <c r="F212" s="460">
        <v>43186</v>
      </c>
      <c r="G212" s="461">
        <f>+F212+E212-3</f>
        <v>43233</v>
      </c>
      <c r="H212" s="293" t="s">
        <v>368</v>
      </c>
      <c r="I212" s="294" t="s">
        <v>169</v>
      </c>
      <c r="J212" s="295" t="s">
        <v>179</v>
      </c>
      <c r="K212" s="311" t="s">
        <v>365</v>
      </c>
      <c r="L212" s="311">
        <v>2313</v>
      </c>
      <c r="M212" s="296"/>
      <c r="N212" s="294"/>
      <c r="O212" s="462">
        <v>174</v>
      </c>
      <c r="P212" s="462">
        <v>45</v>
      </c>
      <c r="Q212" s="462">
        <f t="shared" ref="Q212:Q218" si="29">O212*P212</f>
        <v>7830</v>
      </c>
      <c r="R212" s="462">
        <f t="shared" si="27"/>
        <v>7830</v>
      </c>
      <c r="S212" s="462"/>
      <c r="T212" s="462"/>
      <c r="U212" s="462"/>
      <c r="V212" s="462">
        <v>7830</v>
      </c>
      <c r="W212" s="462"/>
      <c r="X212" s="298"/>
      <c r="Y212" s="298"/>
      <c r="Z212" s="280"/>
      <c r="AA212" s="280"/>
      <c r="AB212" s="280"/>
    </row>
    <row r="213" spans="1:28" ht="17.25" thickTop="1" thickBot="1">
      <c r="A213" s="290">
        <v>4262</v>
      </c>
      <c r="B213" s="467" t="s">
        <v>484</v>
      </c>
      <c r="C213" s="467" t="s">
        <v>485</v>
      </c>
      <c r="D213" s="291"/>
      <c r="E213" s="292">
        <v>6</v>
      </c>
      <c r="F213" s="460">
        <v>43234</v>
      </c>
      <c r="G213" s="461">
        <f t="shared" si="28"/>
        <v>43239</v>
      </c>
      <c r="H213" s="293" t="s">
        <v>368</v>
      </c>
      <c r="I213" s="294" t="s">
        <v>179</v>
      </c>
      <c r="J213" s="295"/>
      <c r="K213" s="307" t="s">
        <v>457</v>
      </c>
      <c r="L213" s="311">
        <v>23174</v>
      </c>
      <c r="M213" s="296"/>
      <c r="N213" s="294"/>
      <c r="O213" s="462">
        <v>5076.666666666667</v>
      </c>
      <c r="P213" s="462">
        <v>1</v>
      </c>
      <c r="Q213" s="462">
        <f t="shared" si="29"/>
        <v>5076.666666666667</v>
      </c>
      <c r="R213" s="462">
        <f t="shared" si="27"/>
        <v>5076.666666666667</v>
      </c>
      <c r="S213" s="462"/>
      <c r="T213" s="462"/>
      <c r="U213" s="462">
        <v>5076.666666666667</v>
      </c>
      <c r="V213" s="462"/>
      <c r="W213" s="462"/>
      <c r="X213" s="298"/>
      <c r="Y213" s="298"/>
      <c r="Z213" s="280"/>
      <c r="AA213" s="280"/>
      <c r="AB213" s="280"/>
    </row>
    <row r="214" spans="1:28" ht="17.25" thickTop="1" thickBot="1">
      <c r="A214" s="290"/>
      <c r="B214" s="467"/>
      <c r="C214" s="467"/>
      <c r="D214" s="291"/>
      <c r="E214" s="292">
        <v>6</v>
      </c>
      <c r="F214" s="460">
        <v>43234</v>
      </c>
      <c r="G214" s="461">
        <f t="shared" si="28"/>
        <v>43239</v>
      </c>
      <c r="H214" s="293" t="s">
        <v>368</v>
      </c>
      <c r="I214" s="294" t="s">
        <v>179</v>
      </c>
      <c r="J214" s="295"/>
      <c r="K214" s="307" t="s">
        <v>320</v>
      </c>
      <c r="L214" s="311">
        <v>23173</v>
      </c>
      <c r="M214" s="296"/>
      <c r="N214" s="294"/>
      <c r="O214" s="462">
        <v>165.83333333333334</v>
      </c>
      <c r="P214" s="462">
        <v>1</v>
      </c>
      <c r="Q214" s="462">
        <f t="shared" si="29"/>
        <v>165.83333333333334</v>
      </c>
      <c r="R214" s="462">
        <f t="shared" si="27"/>
        <v>165.83333333333334</v>
      </c>
      <c r="S214" s="462"/>
      <c r="T214" s="462"/>
      <c r="U214" s="462">
        <v>165.83333333333334</v>
      </c>
      <c r="V214" s="462"/>
      <c r="W214" s="462"/>
      <c r="X214" s="298"/>
      <c r="Y214" s="298"/>
      <c r="Z214" s="280"/>
      <c r="AA214" s="280"/>
      <c r="AB214" s="280"/>
    </row>
    <row r="215" spans="1:28" ht="17.25" thickTop="1" thickBot="1">
      <c r="A215" s="290"/>
      <c r="B215" s="467"/>
      <c r="C215" s="467"/>
      <c r="D215" s="291"/>
      <c r="E215" s="292">
        <v>6</v>
      </c>
      <c r="F215" s="460">
        <v>43234</v>
      </c>
      <c r="G215" s="461">
        <f t="shared" si="28"/>
        <v>43239</v>
      </c>
      <c r="H215" s="293" t="s">
        <v>368</v>
      </c>
      <c r="I215" s="294" t="s">
        <v>179</v>
      </c>
      <c r="J215" s="295"/>
      <c r="K215" s="307" t="s">
        <v>486</v>
      </c>
      <c r="L215" s="311">
        <v>23172</v>
      </c>
      <c r="M215" s="296"/>
      <c r="N215" s="294"/>
      <c r="O215" s="462">
        <v>10</v>
      </c>
      <c r="P215" s="462">
        <v>5</v>
      </c>
      <c r="Q215" s="462">
        <f t="shared" si="29"/>
        <v>50</v>
      </c>
      <c r="R215" s="462">
        <f t="shared" si="27"/>
        <v>50</v>
      </c>
      <c r="S215" s="462"/>
      <c r="T215" s="462"/>
      <c r="U215" s="462">
        <v>50</v>
      </c>
      <c r="V215" s="462"/>
      <c r="W215" s="462"/>
      <c r="X215" s="298"/>
      <c r="Y215" s="298"/>
      <c r="Z215" s="280"/>
      <c r="AA215" s="280"/>
      <c r="AB215" s="280"/>
    </row>
    <row r="216" spans="1:28" ht="17.25" thickTop="1" thickBot="1">
      <c r="A216" s="290">
        <v>4263</v>
      </c>
      <c r="B216" s="467" t="s">
        <v>487</v>
      </c>
      <c r="C216" s="467" t="s">
        <v>488</v>
      </c>
      <c r="D216" s="291"/>
      <c r="E216" s="292">
        <v>10</v>
      </c>
      <c r="F216" s="460">
        <v>43241</v>
      </c>
      <c r="G216" s="461">
        <f t="shared" si="28"/>
        <v>43250</v>
      </c>
      <c r="H216" s="295" t="s">
        <v>372</v>
      </c>
      <c r="I216" s="294" t="s">
        <v>179</v>
      </c>
      <c r="J216" s="295"/>
      <c r="K216" s="307" t="s">
        <v>457</v>
      </c>
      <c r="L216" s="311">
        <v>23174</v>
      </c>
      <c r="M216" s="296"/>
      <c r="N216" s="294"/>
      <c r="O216" s="462">
        <v>20400</v>
      </c>
      <c r="P216" s="462">
        <v>1</v>
      </c>
      <c r="Q216" s="462">
        <f t="shared" si="29"/>
        <v>20400</v>
      </c>
      <c r="R216" s="462">
        <f t="shared" si="27"/>
        <v>20400</v>
      </c>
      <c r="S216" s="462"/>
      <c r="T216" s="462"/>
      <c r="U216" s="462">
        <v>20400</v>
      </c>
      <c r="V216" s="462"/>
      <c r="W216" s="462"/>
      <c r="X216" s="298"/>
      <c r="Y216" s="298"/>
      <c r="Z216" s="280"/>
      <c r="AA216" s="280"/>
      <c r="AB216" s="280"/>
    </row>
    <row r="217" spans="1:28" ht="17.25" thickTop="1" thickBot="1">
      <c r="A217" s="290"/>
      <c r="B217" s="467"/>
      <c r="C217" s="467"/>
      <c r="D217" s="291"/>
      <c r="E217" s="292">
        <v>10</v>
      </c>
      <c r="F217" s="460">
        <v>43241</v>
      </c>
      <c r="G217" s="461">
        <f t="shared" si="28"/>
        <v>43250</v>
      </c>
      <c r="H217" s="295" t="s">
        <v>372</v>
      </c>
      <c r="I217" s="294" t="s">
        <v>179</v>
      </c>
      <c r="J217" s="295"/>
      <c r="K217" s="307" t="s">
        <v>320</v>
      </c>
      <c r="L217" s="311">
        <v>23173</v>
      </c>
      <c r="M217" s="296"/>
      <c r="N217" s="294"/>
      <c r="O217" s="462">
        <v>356.33333333333331</v>
      </c>
      <c r="P217" s="470">
        <v>1</v>
      </c>
      <c r="Q217" s="470">
        <f t="shared" si="29"/>
        <v>356.33333333333331</v>
      </c>
      <c r="R217" s="462">
        <f t="shared" si="27"/>
        <v>356.33333333333331</v>
      </c>
      <c r="S217" s="298"/>
      <c r="T217" s="298"/>
      <c r="U217" s="462">
        <v>356.33333333333331</v>
      </c>
      <c r="V217" s="298"/>
      <c r="W217" s="298"/>
      <c r="X217" s="298"/>
      <c r="Y217" s="298"/>
      <c r="Z217" s="280"/>
      <c r="AA217" s="280"/>
      <c r="AB217" s="280"/>
    </row>
    <row r="218" spans="1:28" ht="17.25" thickTop="1" thickBot="1">
      <c r="A218" s="290"/>
      <c r="B218" s="467"/>
      <c r="C218" s="467"/>
      <c r="D218" s="291"/>
      <c r="E218" s="292">
        <v>10</v>
      </c>
      <c r="F218" s="460">
        <v>43241</v>
      </c>
      <c r="G218" s="461">
        <f t="shared" si="28"/>
        <v>43250</v>
      </c>
      <c r="H218" s="295" t="s">
        <v>372</v>
      </c>
      <c r="I218" s="294" t="s">
        <v>179</v>
      </c>
      <c r="J218" s="295"/>
      <c r="K218" s="307" t="s">
        <v>486</v>
      </c>
      <c r="L218" s="311">
        <v>23172</v>
      </c>
      <c r="M218" s="296"/>
      <c r="N218" s="294"/>
      <c r="O218" s="462">
        <v>10</v>
      </c>
      <c r="P218" s="470">
        <v>10</v>
      </c>
      <c r="Q218" s="470">
        <f t="shared" si="29"/>
        <v>100</v>
      </c>
      <c r="R218" s="462">
        <f t="shared" si="27"/>
        <v>100</v>
      </c>
      <c r="S218" s="298"/>
      <c r="T218" s="298"/>
      <c r="U218" s="462">
        <v>100</v>
      </c>
      <c r="V218" s="298"/>
      <c r="W218" s="298"/>
      <c r="X218" s="298"/>
      <c r="Y218" s="298"/>
      <c r="Z218" s="280"/>
      <c r="AA218" s="280"/>
      <c r="AB218" s="280"/>
    </row>
    <row r="219" spans="1:28" ht="17.25" thickTop="1" thickBot="1">
      <c r="A219" s="290">
        <v>4264</v>
      </c>
      <c r="B219" s="467" t="s">
        <v>458</v>
      </c>
      <c r="C219" s="467" t="s">
        <v>489</v>
      </c>
      <c r="D219" s="291"/>
      <c r="E219" s="292">
        <v>2</v>
      </c>
      <c r="F219" s="460">
        <v>43255</v>
      </c>
      <c r="G219" s="461">
        <f t="shared" si="28"/>
        <v>43256</v>
      </c>
      <c r="H219" s="295" t="s">
        <v>490</v>
      </c>
      <c r="I219" s="294" t="s">
        <v>179</v>
      </c>
      <c r="J219" s="295"/>
      <c r="K219" s="307" t="s">
        <v>457</v>
      </c>
      <c r="L219" s="311">
        <v>23174</v>
      </c>
      <c r="M219" s="296"/>
      <c r="N219" s="294"/>
      <c r="O219" s="462">
        <v>0</v>
      </c>
      <c r="P219" s="470"/>
      <c r="Q219" s="470"/>
      <c r="R219" s="462">
        <f t="shared" si="27"/>
        <v>0</v>
      </c>
      <c r="S219" s="298"/>
      <c r="T219" s="298"/>
      <c r="U219" s="462"/>
      <c r="V219" s="298"/>
      <c r="W219" s="298"/>
      <c r="X219" s="298"/>
      <c r="Y219" s="298"/>
      <c r="Z219" s="280"/>
      <c r="AA219" s="280"/>
      <c r="AB219" s="280"/>
    </row>
    <row r="220" spans="1:28" ht="66" customHeight="1" thickTop="1">
      <c r="A220" s="290">
        <v>4265</v>
      </c>
      <c r="B220" s="467" t="s">
        <v>491</v>
      </c>
      <c r="C220" s="467" t="s">
        <v>492</v>
      </c>
      <c r="D220" s="291"/>
      <c r="E220" s="307">
        <v>5</v>
      </c>
      <c r="F220" s="460">
        <v>43261</v>
      </c>
      <c r="G220" s="461">
        <f t="shared" si="28"/>
        <v>43265</v>
      </c>
      <c r="H220" s="307" t="s">
        <v>493</v>
      </c>
      <c r="I220" s="294" t="s">
        <v>179</v>
      </c>
      <c r="J220" s="294"/>
      <c r="K220" s="307" t="s">
        <v>457</v>
      </c>
      <c r="L220" s="311">
        <v>23174</v>
      </c>
      <c r="M220" s="296"/>
      <c r="N220" s="294"/>
      <c r="O220" s="462">
        <v>750</v>
      </c>
      <c r="P220" s="470">
        <v>10</v>
      </c>
      <c r="Q220" s="470">
        <f>O220*P220</f>
        <v>7500</v>
      </c>
      <c r="R220" s="462">
        <f t="shared" si="27"/>
        <v>7500</v>
      </c>
      <c r="S220" s="298"/>
      <c r="T220" s="298"/>
      <c r="U220" s="462">
        <v>7500</v>
      </c>
      <c r="V220" s="298"/>
      <c r="W220" s="298"/>
      <c r="X220" s="298"/>
      <c r="Y220" s="298"/>
      <c r="Z220" s="280"/>
      <c r="AA220" s="280"/>
      <c r="AB220" s="280"/>
    </row>
    <row r="221" spans="1:28" ht="18.75" customHeight="1" thickBot="1">
      <c r="A221" s="281">
        <v>427</v>
      </c>
      <c r="B221" s="3473" t="s">
        <v>494</v>
      </c>
      <c r="C221" s="3474"/>
      <c r="D221" s="3474"/>
      <c r="E221" s="3474"/>
      <c r="F221" s="3474"/>
      <c r="G221" s="3474"/>
      <c r="H221" s="3474"/>
      <c r="I221" s="3475"/>
      <c r="J221" s="282"/>
      <c r="K221" s="283"/>
      <c r="L221" s="282"/>
      <c r="M221" s="284"/>
      <c r="N221" s="283"/>
      <c r="O221" s="285"/>
      <c r="P221" s="282"/>
      <c r="Q221" s="286"/>
      <c r="R221" s="462">
        <f t="shared" si="27"/>
        <v>0</v>
      </c>
      <c r="S221" s="288"/>
      <c r="T221" s="288"/>
      <c r="U221" s="288"/>
      <c r="V221" s="288"/>
      <c r="W221" s="288"/>
      <c r="X221" s="288"/>
      <c r="Y221" s="288"/>
      <c r="Z221" s="280"/>
      <c r="AA221" s="280"/>
      <c r="AB221" s="280"/>
    </row>
    <row r="222" spans="1:28" ht="33" thickTop="1" thickBot="1">
      <c r="A222" s="290">
        <v>4271</v>
      </c>
      <c r="B222" s="471" t="s">
        <v>495</v>
      </c>
      <c r="C222" s="472" t="s">
        <v>496</v>
      </c>
      <c r="D222" s="291"/>
      <c r="E222" s="307">
        <v>50</v>
      </c>
      <c r="F222" s="460">
        <v>43186</v>
      </c>
      <c r="G222" s="461">
        <f>+F222+E222-1</f>
        <v>43235</v>
      </c>
      <c r="H222" s="293"/>
      <c r="I222" s="294" t="s">
        <v>169</v>
      </c>
      <c r="J222" s="294" t="s">
        <v>179</v>
      </c>
      <c r="K222" s="294" t="s">
        <v>365</v>
      </c>
      <c r="L222" s="311">
        <v>2313</v>
      </c>
      <c r="M222" s="296"/>
      <c r="N222" s="294"/>
      <c r="O222" s="462">
        <v>217.5</v>
      </c>
      <c r="P222" s="462">
        <v>15</v>
      </c>
      <c r="Q222" s="462">
        <f>O222*P222</f>
        <v>3262.5</v>
      </c>
      <c r="R222" s="462">
        <f t="shared" si="27"/>
        <v>3262.5</v>
      </c>
      <c r="S222" s="298"/>
      <c r="T222" s="298"/>
      <c r="U222" s="298"/>
      <c r="V222" s="299">
        <v>3262.5</v>
      </c>
      <c r="W222" s="298"/>
      <c r="X222" s="298"/>
      <c r="Y222" s="298"/>
      <c r="Z222" s="280"/>
      <c r="AA222" s="280"/>
      <c r="AB222" s="280"/>
    </row>
    <row r="223" spans="1:28" ht="16.5" thickTop="1">
      <c r="A223" s="290">
        <v>4272</v>
      </c>
      <c r="B223" s="471" t="s">
        <v>497</v>
      </c>
      <c r="C223" s="472"/>
      <c r="D223" s="291"/>
      <c r="E223" s="307">
        <v>3</v>
      </c>
      <c r="F223" s="460">
        <v>43240</v>
      </c>
      <c r="G223" s="461">
        <f>+F223+E223-1</f>
        <v>43242</v>
      </c>
      <c r="H223" s="307" t="s">
        <v>493</v>
      </c>
      <c r="I223" s="294" t="s">
        <v>179</v>
      </c>
      <c r="K223" s="307" t="s">
        <v>457</v>
      </c>
      <c r="L223" s="311">
        <v>23174</v>
      </c>
      <c r="M223" s="296"/>
      <c r="N223" s="294"/>
      <c r="O223" s="462">
        <v>750</v>
      </c>
      <c r="P223" s="462">
        <v>10</v>
      </c>
      <c r="Q223" s="462">
        <f>O223*P223</f>
        <v>7500</v>
      </c>
      <c r="R223" s="462">
        <f t="shared" si="27"/>
        <v>7500</v>
      </c>
      <c r="S223" s="298"/>
      <c r="T223" s="298"/>
      <c r="U223" s="299">
        <v>7500</v>
      </c>
      <c r="V223" s="298"/>
      <c r="W223" s="298"/>
      <c r="X223" s="298"/>
      <c r="Y223" s="298"/>
      <c r="Z223" s="280"/>
      <c r="AA223" s="280"/>
      <c r="AB223" s="280"/>
    </row>
    <row r="224" spans="1:28" ht="18.75" customHeight="1" thickBot="1">
      <c r="A224" s="281">
        <v>428</v>
      </c>
      <c r="B224" s="3473" t="s">
        <v>498</v>
      </c>
      <c r="C224" s="3474"/>
      <c r="D224" s="3474"/>
      <c r="E224" s="3474"/>
      <c r="F224" s="3474"/>
      <c r="G224" s="3474"/>
      <c r="H224" s="3474"/>
      <c r="I224" s="3475"/>
      <c r="J224" s="282"/>
      <c r="K224" s="283"/>
      <c r="L224" s="282"/>
      <c r="M224" s="284"/>
      <c r="N224" s="283"/>
      <c r="O224" s="285"/>
      <c r="P224" s="282"/>
      <c r="Q224" s="286"/>
      <c r="R224" s="462">
        <f t="shared" si="27"/>
        <v>0</v>
      </c>
      <c r="S224" s="288"/>
      <c r="T224" s="288"/>
      <c r="U224" s="288"/>
      <c r="V224" s="288"/>
      <c r="W224" s="288"/>
      <c r="X224" s="288"/>
      <c r="Y224" s="288"/>
      <c r="Z224" s="280"/>
      <c r="AA224" s="280"/>
      <c r="AB224" s="280"/>
    </row>
    <row r="225" spans="1:28" ht="33" thickTop="1" thickBot="1">
      <c r="A225" s="290">
        <v>4281</v>
      </c>
      <c r="B225" s="473" t="s">
        <v>499</v>
      </c>
      <c r="C225" s="474" t="s">
        <v>500</v>
      </c>
      <c r="D225" s="291"/>
      <c r="E225" s="307">
        <v>50</v>
      </c>
      <c r="F225" s="460">
        <v>43186</v>
      </c>
      <c r="G225" s="461">
        <f>+F225+E225-1</f>
        <v>43235</v>
      </c>
      <c r="H225" s="306" t="s">
        <v>501</v>
      </c>
      <c r="I225" s="294" t="s">
        <v>169</v>
      </c>
      <c r="J225" s="295" t="s">
        <v>179</v>
      </c>
      <c r="K225" s="307" t="s">
        <v>502</v>
      </c>
      <c r="L225" s="311">
        <v>2313</v>
      </c>
      <c r="M225" s="296"/>
      <c r="N225" s="462"/>
      <c r="O225" s="462">
        <v>907.67376190476193</v>
      </c>
      <c r="P225" s="462">
        <v>14</v>
      </c>
      <c r="Q225" s="462">
        <f>+O225*P225</f>
        <v>12707.432666666668</v>
      </c>
      <c r="R225" s="462">
        <f t="shared" si="27"/>
        <v>12707.432666666668</v>
      </c>
      <c r="S225" s="462"/>
      <c r="T225" s="298"/>
      <c r="U225" s="462"/>
      <c r="V225" s="462">
        <v>12707.432666666668</v>
      </c>
      <c r="W225" s="298"/>
      <c r="X225" s="298"/>
      <c r="Y225" s="298"/>
      <c r="Z225" s="280"/>
      <c r="AA225" s="280"/>
      <c r="AB225" s="280"/>
    </row>
    <row r="226" spans="1:28" ht="33" thickTop="1" thickBot="1">
      <c r="A226" s="290">
        <v>4282</v>
      </c>
      <c r="B226" s="473" t="s">
        <v>503</v>
      </c>
      <c r="C226" s="474" t="s">
        <v>504</v>
      </c>
      <c r="D226" s="291"/>
      <c r="E226" s="307">
        <v>50</v>
      </c>
      <c r="F226" s="460">
        <v>43186</v>
      </c>
      <c r="G226" s="461">
        <f>+F226+E226-1</f>
        <v>43235</v>
      </c>
      <c r="H226" s="306" t="s">
        <v>501</v>
      </c>
      <c r="I226" s="294" t="s">
        <v>169</v>
      </c>
      <c r="J226" s="295" t="s">
        <v>179</v>
      </c>
      <c r="K226" s="307" t="s">
        <v>502</v>
      </c>
      <c r="L226" s="311">
        <v>2313</v>
      </c>
      <c r="M226" s="296"/>
      <c r="N226" s="294"/>
      <c r="O226" s="462">
        <v>208.73557142857143</v>
      </c>
      <c r="P226" s="462">
        <f>14*3</f>
        <v>42</v>
      </c>
      <c r="Q226" s="462">
        <f>+O226*P226</f>
        <v>8766.8940000000002</v>
      </c>
      <c r="R226" s="462">
        <f t="shared" si="27"/>
        <v>8766.8940000000002</v>
      </c>
      <c r="S226" s="462"/>
      <c r="T226" s="298"/>
      <c r="U226" s="462"/>
      <c r="V226" s="462">
        <v>8766.8940000000002</v>
      </c>
      <c r="W226" s="298"/>
      <c r="X226" s="298"/>
      <c r="Y226" s="298"/>
      <c r="Z226" s="280"/>
      <c r="AA226" s="280"/>
      <c r="AB226" s="280"/>
    </row>
    <row r="227" spans="1:28" ht="33" thickTop="1" thickBot="1">
      <c r="A227" s="290">
        <v>4283</v>
      </c>
      <c r="B227" s="473" t="s">
        <v>505</v>
      </c>
      <c r="C227" s="474" t="s">
        <v>506</v>
      </c>
      <c r="D227" s="291"/>
      <c r="E227" s="475">
        <v>15</v>
      </c>
      <c r="F227" s="460">
        <v>43255</v>
      </c>
      <c r="G227" s="461">
        <f>+F227+E227-1</f>
        <v>43269</v>
      </c>
      <c r="H227" s="306" t="s">
        <v>501</v>
      </c>
      <c r="I227" s="294" t="s">
        <v>179</v>
      </c>
      <c r="J227" s="294" t="s">
        <v>507</v>
      </c>
      <c r="K227" s="307" t="s">
        <v>457</v>
      </c>
      <c r="L227" s="311">
        <v>23174</v>
      </c>
      <c r="M227" s="296"/>
      <c r="N227" s="294"/>
      <c r="O227" s="462">
        <v>17989.099333333332</v>
      </c>
      <c r="P227" s="462">
        <v>1</v>
      </c>
      <c r="Q227" s="462">
        <f>O227*P227</f>
        <v>17989.099333333332</v>
      </c>
      <c r="R227" s="462">
        <f t="shared" si="27"/>
        <v>17989.099333333332</v>
      </c>
      <c r="S227" s="470"/>
      <c r="T227" s="298"/>
      <c r="U227" s="462"/>
      <c r="V227" s="462">
        <v>17989.099333333332</v>
      </c>
      <c r="W227" s="298"/>
      <c r="X227" s="298"/>
      <c r="Y227" s="298"/>
      <c r="Z227" s="280"/>
      <c r="AA227" s="280"/>
      <c r="AB227" s="280"/>
    </row>
    <row r="228" spans="1:28" ht="17.25" thickTop="1" thickBot="1">
      <c r="A228" s="290"/>
      <c r="B228" s="473"/>
      <c r="C228" s="474"/>
      <c r="D228" s="291"/>
      <c r="E228" s="475"/>
      <c r="F228" s="460"/>
      <c r="G228" s="461"/>
      <c r="H228" s="306"/>
      <c r="I228" s="294"/>
      <c r="J228" s="294"/>
      <c r="K228" s="307" t="s">
        <v>320</v>
      </c>
      <c r="L228" s="311">
        <v>23173</v>
      </c>
      <c r="M228" s="296"/>
      <c r="N228" s="294"/>
      <c r="O228" s="462">
        <v>1060.0740000000001</v>
      </c>
      <c r="P228" s="462">
        <v>1</v>
      </c>
      <c r="Q228" s="462">
        <f>O228*P228</f>
        <v>1060.0740000000001</v>
      </c>
      <c r="R228" s="462">
        <f t="shared" si="27"/>
        <v>1060.0740000000001</v>
      </c>
      <c r="S228" s="476"/>
      <c r="T228" s="298"/>
      <c r="U228" s="462"/>
      <c r="V228" s="462">
        <f>R228</f>
        <v>1060.0740000000001</v>
      </c>
      <c r="W228" s="298"/>
      <c r="X228" s="298"/>
      <c r="Y228" s="298"/>
      <c r="Z228" s="280"/>
      <c r="AA228" s="280"/>
      <c r="AB228" s="280"/>
    </row>
    <row r="229" spans="1:28" ht="17.25" thickTop="1" thickBot="1">
      <c r="A229" s="290"/>
      <c r="B229" s="473"/>
      <c r="C229" s="474"/>
      <c r="D229" s="291"/>
      <c r="E229" s="475"/>
      <c r="F229" s="460"/>
      <c r="G229" s="461"/>
      <c r="H229" s="306"/>
      <c r="I229" s="294"/>
      <c r="J229" s="294"/>
      <c r="K229" s="307" t="s">
        <v>486</v>
      </c>
      <c r="L229" s="311">
        <v>23172</v>
      </c>
      <c r="M229" s="296"/>
      <c r="N229" s="294"/>
      <c r="O229" s="462">
        <v>33.333333333333336</v>
      </c>
      <c r="P229" s="462">
        <v>12</v>
      </c>
      <c r="Q229" s="462">
        <f>O229*P229</f>
        <v>400</v>
      </c>
      <c r="R229" s="462">
        <f t="shared" si="27"/>
        <v>400</v>
      </c>
      <c r="S229" s="477"/>
      <c r="T229" s="298"/>
      <c r="U229" s="462"/>
      <c r="V229" s="462">
        <f>R229</f>
        <v>400</v>
      </c>
      <c r="W229" s="298"/>
      <c r="X229" s="298"/>
      <c r="Y229" s="298"/>
      <c r="Z229" s="280"/>
      <c r="AA229" s="280"/>
      <c r="AB229" s="280"/>
    </row>
    <row r="230" spans="1:28" ht="16.5" thickTop="1">
      <c r="A230" s="290">
        <v>4284</v>
      </c>
      <c r="B230" s="467" t="s">
        <v>508</v>
      </c>
      <c r="C230" s="465" t="s">
        <v>509</v>
      </c>
      <c r="D230" s="291"/>
      <c r="E230" s="307">
        <v>50</v>
      </c>
      <c r="F230" s="460">
        <v>43186</v>
      </c>
      <c r="G230" s="461">
        <f>+F230+E230-1</f>
        <v>43235</v>
      </c>
      <c r="H230" s="306" t="s">
        <v>179</v>
      </c>
      <c r="I230" s="294" t="s">
        <v>169</v>
      </c>
      <c r="J230" s="295"/>
      <c r="K230" s="294" t="s">
        <v>510</v>
      </c>
      <c r="L230" s="311">
        <v>2472</v>
      </c>
      <c r="M230" s="296"/>
      <c r="N230" s="294"/>
      <c r="O230" s="462">
        <v>28275</v>
      </c>
      <c r="P230" s="462">
        <v>2</v>
      </c>
      <c r="Q230" s="462">
        <f>O230*P230</f>
        <v>56550</v>
      </c>
      <c r="R230" s="462">
        <f>+Q230</f>
        <v>56550</v>
      </c>
      <c r="S230" s="298"/>
      <c r="T230" s="298"/>
      <c r="U230" s="462">
        <v>56550</v>
      </c>
      <c r="V230" s="462"/>
      <c r="W230" s="298"/>
      <c r="X230" s="298"/>
      <c r="Y230" s="298"/>
      <c r="Z230" s="280"/>
      <c r="AA230" s="280"/>
      <c r="AB230" s="280"/>
    </row>
    <row r="231" spans="1:28">
      <c r="A231" s="301" t="s">
        <v>233</v>
      </c>
      <c r="B231" s="291"/>
      <c r="C231" s="291"/>
      <c r="D231" s="291"/>
      <c r="E231" s="292"/>
      <c r="F231" s="306"/>
      <c r="G231" s="293"/>
      <c r="H231" s="293"/>
      <c r="I231" s="294"/>
      <c r="J231" s="295"/>
      <c r="K231" s="294"/>
      <c r="L231" s="295"/>
      <c r="M231" s="296"/>
      <c r="N231" s="294"/>
      <c r="O231" s="297"/>
      <c r="P231" s="295"/>
      <c r="Q231" s="298"/>
      <c r="R231" s="299"/>
      <c r="S231" s="298"/>
      <c r="T231" s="298"/>
      <c r="U231" s="298"/>
      <c r="V231" s="298"/>
      <c r="W231" s="298"/>
      <c r="X231" s="298"/>
      <c r="Y231" s="298"/>
      <c r="Z231" s="280"/>
      <c r="AA231" s="280"/>
      <c r="AB231" s="280"/>
    </row>
    <row r="232" spans="1:28">
      <c r="A232" s="3457" t="s">
        <v>278</v>
      </c>
      <c r="B232" s="3457"/>
      <c r="C232" s="3457"/>
      <c r="D232" s="3457"/>
      <c r="E232" s="3457"/>
      <c r="F232" s="3457"/>
      <c r="G232" s="3457"/>
      <c r="H232" s="3457"/>
      <c r="I232" s="3457"/>
      <c r="J232" s="273"/>
      <c r="K232" s="273"/>
      <c r="L232" s="350"/>
      <c r="M232" s="274"/>
      <c r="N232" s="273"/>
      <c r="O232" s="275"/>
      <c r="P232" s="273"/>
      <c r="Q232" s="276">
        <f>Q233+Q237</f>
        <v>108838</v>
      </c>
      <c r="R232" s="277">
        <f>+'[7]Compil Costing PPA 3 millions'!F17</f>
        <v>108845.33</v>
      </c>
      <c r="S232" s="521"/>
      <c r="T232" s="278"/>
      <c r="U232" s="278"/>
      <c r="V232" s="274"/>
      <c r="W232" s="274"/>
      <c r="X232" s="274"/>
      <c r="Y232" s="274"/>
      <c r="Z232" s="479">
        <f>SUM(Z234:Z248)</f>
        <v>108838</v>
      </c>
      <c r="AA232" s="280"/>
      <c r="AB232" s="280"/>
    </row>
    <row r="233" spans="1:28">
      <c r="A233" s="281">
        <v>431</v>
      </c>
      <c r="B233" s="3456" t="s">
        <v>369</v>
      </c>
      <c r="C233" s="3456"/>
      <c r="D233" s="3456"/>
      <c r="E233" s="3456"/>
      <c r="F233" s="3456"/>
      <c r="G233" s="3456"/>
      <c r="H233" s="3456"/>
      <c r="I233" s="3456"/>
      <c r="J233" s="282"/>
      <c r="K233" s="283"/>
      <c r="L233" s="351"/>
      <c r="M233" s="284"/>
      <c r="N233" s="283"/>
      <c r="O233" s="285"/>
      <c r="P233" s="282"/>
      <c r="Q233" s="286">
        <f>SUM(Q234:Q236)</f>
        <v>9674</v>
      </c>
      <c r="R233" s="287"/>
      <c r="S233" s="288"/>
      <c r="T233" s="288"/>
      <c r="U233" s="288"/>
      <c r="V233" s="288"/>
      <c r="W233" s="288"/>
      <c r="X233" s="288"/>
      <c r="Y233" s="288"/>
      <c r="Z233" s="280"/>
      <c r="AA233" s="280"/>
      <c r="AB233" s="280"/>
    </row>
    <row r="234" spans="1:28" s="357" customFormat="1" ht="47.25">
      <c r="A234" s="290">
        <v>4311</v>
      </c>
      <c r="B234" s="352" t="s">
        <v>370</v>
      </c>
      <c r="C234" s="291" t="s">
        <v>371</v>
      </c>
      <c r="D234" s="291"/>
      <c r="E234" s="307">
        <f>3+30</f>
        <v>33</v>
      </c>
      <c r="F234" s="306">
        <f>G234-E234</f>
        <v>43184</v>
      </c>
      <c r="G234" s="293">
        <v>43217</v>
      </c>
      <c r="H234" s="293" t="s">
        <v>372</v>
      </c>
      <c r="I234" s="294" t="s">
        <v>169</v>
      </c>
      <c r="J234" s="307" t="s">
        <v>373</v>
      </c>
      <c r="K234" s="294" t="s">
        <v>374</v>
      </c>
      <c r="L234" s="353">
        <v>23173</v>
      </c>
      <c r="M234" s="326"/>
      <c r="N234" s="294"/>
      <c r="O234" s="354">
        <v>214</v>
      </c>
      <c r="P234" s="294">
        <v>1</v>
      </c>
      <c r="Q234" s="355">
        <f>O234*P234</f>
        <v>214</v>
      </c>
      <c r="R234" s="299"/>
      <c r="S234" s="355"/>
      <c r="T234" s="299">
        <f>100%*Q234</f>
        <v>214</v>
      </c>
      <c r="U234" s="355"/>
      <c r="V234" s="355"/>
      <c r="W234" s="355"/>
      <c r="X234" s="355"/>
      <c r="Y234" s="355"/>
      <c r="Z234" s="356">
        <f>SUM(S234:Y234)</f>
        <v>214</v>
      </c>
    </row>
    <row r="235" spans="1:28" s="357" customFormat="1" ht="47.25">
      <c r="A235" s="290">
        <v>4311</v>
      </c>
      <c r="B235" s="352" t="s">
        <v>370</v>
      </c>
      <c r="C235" s="291" t="s">
        <v>371</v>
      </c>
      <c r="D235" s="291"/>
      <c r="E235" s="307">
        <v>3</v>
      </c>
      <c r="F235" s="306">
        <f>G235-E235</f>
        <v>43214</v>
      </c>
      <c r="G235" s="293">
        <v>43217</v>
      </c>
      <c r="H235" s="293" t="s">
        <v>372</v>
      </c>
      <c r="I235" s="294" t="s">
        <v>180</v>
      </c>
      <c r="J235" s="307" t="s">
        <v>373</v>
      </c>
      <c r="K235" s="307" t="s">
        <v>375</v>
      </c>
      <c r="L235" s="353">
        <v>23174</v>
      </c>
      <c r="M235" s="326"/>
      <c r="N235" s="294"/>
      <c r="O235" s="354">
        <v>215</v>
      </c>
      <c r="P235" s="294">
        <v>44</v>
      </c>
      <c r="Q235" s="355">
        <f>O235*P235</f>
        <v>9460</v>
      </c>
      <c r="R235" s="299"/>
      <c r="S235" s="355"/>
      <c r="T235" s="299">
        <f>100%*Q235</f>
        <v>9460</v>
      </c>
      <c r="U235" s="355"/>
      <c r="V235" s="355"/>
      <c r="W235" s="355"/>
      <c r="X235" s="355"/>
      <c r="Y235" s="355"/>
      <c r="Z235" s="356">
        <f t="shared" ref="Z235:Z248" si="30">SUM(S235:Y235)</f>
        <v>9460</v>
      </c>
    </row>
    <row r="236" spans="1:28" s="357" customFormat="1">
      <c r="A236" s="290">
        <v>4312</v>
      </c>
      <c r="B236" s="291"/>
      <c r="C236" s="291"/>
      <c r="D236" s="291"/>
      <c r="E236" s="307"/>
      <c r="F236" s="306"/>
      <c r="G236" s="293"/>
      <c r="H236" s="293"/>
      <c r="I236" s="294"/>
      <c r="J236" s="294"/>
      <c r="K236" s="294"/>
      <c r="L236" s="353"/>
      <c r="M236" s="326"/>
      <c r="N236" s="294"/>
      <c r="O236" s="354"/>
      <c r="P236" s="294"/>
      <c r="Q236" s="355"/>
      <c r="R236" s="299"/>
      <c r="S236" s="355"/>
      <c r="T236" s="355"/>
      <c r="U236" s="355"/>
      <c r="V236" s="355"/>
      <c r="W236" s="355"/>
      <c r="X236" s="355"/>
      <c r="Y236" s="355"/>
      <c r="Z236" s="356">
        <f t="shared" si="30"/>
        <v>0</v>
      </c>
    </row>
    <row r="237" spans="1:28" s="357" customFormat="1">
      <c r="A237" s="281">
        <v>432</v>
      </c>
      <c r="B237" s="3575" t="s">
        <v>376</v>
      </c>
      <c r="C237" s="3575"/>
      <c r="D237" s="3575"/>
      <c r="E237" s="3575"/>
      <c r="F237" s="3575"/>
      <c r="G237" s="3575"/>
      <c r="H237" s="3575"/>
      <c r="I237" s="3575"/>
      <c r="J237" s="283"/>
      <c r="K237" s="283"/>
      <c r="L237" s="358"/>
      <c r="M237" s="359"/>
      <c r="N237" s="283"/>
      <c r="O237" s="360"/>
      <c r="P237" s="283"/>
      <c r="Q237" s="361">
        <f>SUM(Q238:Q248)</f>
        <v>99164</v>
      </c>
      <c r="R237" s="287"/>
      <c r="S237" s="362"/>
      <c r="T237" s="362"/>
      <c r="U237" s="362"/>
      <c r="V237" s="362"/>
      <c r="W237" s="362"/>
      <c r="X237" s="362"/>
      <c r="Y237" s="362"/>
      <c r="Z237" s="356">
        <f t="shared" si="30"/>
        <v>0</v>
      </c>
    </row>
    <row r="238" spans="1:28" s="357" customFormat="1" ht="31.5">
      <c r="A238" s="290">
        <v>4321</v>
      </c>
      <c r="B238" s="352" t="s">
        <v>377</v>
      </c>
      <c r="C238" s="363" t="s">
        <v>378</v>
      </c>
      <c r="D238" s="291"/>
      <c r="E238" s="307">
        <f>60+15</f>
        <v>75</v>
      </c>
      <c r="F238" s="306">
        <f t="shared" ref="F238:F248" si="31">G238-E238</f>
        <v>43188</v>
      </c>
      <c r="G238" s="293">
        <v>43263</v>
      </c>
      <c r="H238" s="293"/>
      <c r="I238" s="294" t="s">
        <v>169</v>
      </c>
      <c r="J238" s="307" t="s">
        <v>180</v>
      </c>
      <c r="K238" s="294" t="s">
        <v>365</v>
      </c>
      <c r="L238" s="353">
        <v>2313</v>
      </c>
      <c r="M238" s="326"/>
      <c r="N238" s="294"/>
      <c r="O238" s="354">
        <v>11250</v>
      </c>
      <c r="P238" s="294">
        <v>1</v>
      </c>
      <c r="Q238" s="355">
        <f>O238*P238</f>
        <v>11250</v>
      </c>
      <c r="R238" s="299"/>
      <c r="S238" s="299"/>
      <c r="T238" s="299"/>
      <c r="U238" s="299">
        <f>20%*Q238</f>
        <v>2250</v>
      </c>
      <c r="V238" s="299">
        <f>40%*Q238</f>
        <v>4500</v>
      </c>
      <c r="W238" s="299">
        <f>40%*Q238</f>
        <v>4500</v>
      </c>
      <c r="X238" s="299"/>
      <c r="Y238" s="299"/>
      <c r="Z238" s="356">
        <f t="shared" si="30"/>
        <v>11250</v>
      </c>
    </row>
    <row r="239" spans="1:28" s="357" customFormat="1">
      <c r="A239" s="290">
        <v>4322</v>
      </c>
      <c r="B239" s="352" t="s">
        <v>379</v>
      </c>
      <c r="C239" s="364" t="s">
        <v>380</v>
      </c>
      <c r="D239" s="291"/>
      <c r="E239" s="307">
        <v>20</v>
      </c>
      <c r="F239" s="306">
        <f t="shared" si="31"/>
        <v>43266</v>
      </c>
      <c r="G239" s="293">
        <v>43286</v>
      </c>
      <c r="H239" s="293" t="s">
        <v>372</v>
      </c>
      <c r="I239" s="294" t="s">
        <v>169</v>
      </c>
      <c r="J239" s="307" t="s">
        <v>180</v>
      </c>
      <c r="K239" s="294" t="s">
        <v>365</v>
      </c>
      <c r="L239" s="353">
        <v>2313</v>
      </c>
      <c r="M239" s="326"/>
      <c r="N239" s="294"/>
      <c r="O239" s="354">
        <v>94</v>
      </c>
      <c r="P239" s="294">
        <v>60</v>
      </c>
      <c r="Q239" s="355">
        <f t="shared" ref="Q239:Q248" si="32">O239*P239</f>
        <v>5640</v>
      </c>
      <c r="R239" s="299"/>
      <c r="S239" s="299"/>
      <c r="T239" s="299"/>
      <c r="U239" s="299"/>
      <c r="V239" s="299">
        <f>100%*Q239</f>
        <v>5640</v>
      </c>
      <c r="W239" s="299"/>
      <c r="X239" s="299"/>
      <c r="Y239" s="299"/>
      <c r="Z239" s="356">
        <f t="shared" si="30"/>
        <v>5640</v>
      </c>
    </row>
    <row r="240" spans="1:28" s="357" customFormat="1">
      <c r="A240" s="290">
        <v>4323</v>
      </c>
      <c r="B240" s="352" t="s">
        <v>381</v>
      </c>
      <c r="C240" s="364" t="s">
        <v>382</v>
      </c>
      <c r="D240" s="291"/>
      <c r="E240" s="307">
        <v>3</v>
      </c>
      <c r="F240" s="306">
        <f t="shared" si="31"/>
        <v>43293</v>
      </c>
      <c r="G240" s="293">
        <v>43296</v>
      </c>
      <c r="H240" s="293" t="s">
        <v>372</v>
      </c>
      <c r="I240" s="294" t="s">
        <v>180</v>
      </c>
      <c r="J240" s="294"/>
      <c r="K240" s="294" t="s">
        <v>383</v>
      </c>
      <c r="L240" s="353">
        <v>23174</v>
      </c>
      <c r="M240" s="326"/>
      <c r="N240" s="294"/>
      <c r="O240" s="354">
        <v>142</v>
      </c>
      <c r="P240" s="294">
        <v>144</v>
      </c>
      <c r="Q240" s="355">
        <f>O240*P240</f>
        <v>20448</v>
      </c>
      <c r="R240" s="299"/>
      <c r="S240" s="299"/>
      <c r="T240" s="299"/>
      <c r="U240" s="299"/>
      <c r="V240" s="299"/>
      <c r="W240" s="299">
        <f>100%*Q240</f>
        <v>20448</v>
      </c>
      <c r="X240" s="299"/>
      <c r="Y240" s="299"/>
      <c r="Z240" s="356">
        <f t="shared" si="30"/>
        <v>20448</v>
      </c>
    </row>
    <row r="241" spans="1:26" s="357" customFormat="1">
      <c r="A241" s="290">
        <v>4323</v>
      </c>
      <c r="B241" s="352" t="s">
        <v>381</v>
      </c>
      <c r="C241" s="364" t="s">
        <v>382</v>
      </c>
      <c r="D241" s="291"/>
      <c r="E241" s="307">
        <f>3+30</f>
        <v>33</v>
      </c>
      <c r="F241" s="306">
        <f t="shared" si="31"/>
        <v>43263</v>
      </c>
      <c r="G241" s="293">
        <v>43296</v>
      </c>
      <c r="H241" s="293" t="s">
        <v>372</v>
      </c>
      <c r="I241" s="294" t="s">
        <v>169</v>
      </c>
      <c r="J241" s="294"/>
      <c r="K241" s="294" t="s">
        <v>384</v>
      </c>
      <c r="L241" s="353">
        <v>23173</v>
      </c>
      <c r="M241" s="326"/>
      <c r="N241" s="294"/>
      <c r="O241" s="354">
        <v>147</v>
      </c>
      <c r="P241" s="294">
        <v>6</v>
      </c>
      <c r="Q241" s="355">
        <f>O241*P241</f>
        <v>882</v>
      </c>
      <c r="R241" s="299"/>
      <c r="S241" s="299"/>
      <c r="T241" s="299"/>
      <c r="U241" s="299"/>
      <c r="V241" s="299"/>
      <c r="W241" s="299">
        <f>100%*Q241</f>
        <v>882</v>
      </c>
      <c r="X241" s="299"/>
      <c r="Y241" s="299"/>
      <c r="Z241" s="356">
        <f t="shared" si="30"/>
        <v>882</v>
      </c>
    </row>
    <row r="242" spans="1:26" s="357" customFormat="1" ht="47.25">
      <c r="A242" s="290">
        <v>4324</v>
      </c>
      <c r="B242" s="352" t="s">
        <v>385</v>
      </c>
      <c r="C242" s="365" t="s">
        <v>386</v>
      </c>
      <c r="D242" s="291"/>
      <c r="E242" s="307">
        <v>10</v>
      </c>
      <c r="F242" s="306">
        <f t="shared" si="31"/>
        <v>43256</v>
      </c>
      <c r="G242" s="293">
        <v>43266</v>
      </c>
      <c r="H242" s="293" t="s">
        <v>372</v>
      </c>
      <c r="I242" s="294" t="s">
        <v>180</v>
      </c>
      <c r="J242" s="307" t="s">
        <v>387</v>
      </c>
      <c r="K242" s="294"/>
      <c r="L242" s="353"/>
      <c r="M242" s="326"/>
      <c r="N242" s="294"/>
      <c r="O242" s="354"/>
      <c r="P242" s="294"/>
      <c r="Q242" s="355">
        <f t="shared" si="32"/>
        <v>0</v>
      </c>
      <c r="R242" s="299"/>
      <c r="S242" s="299"/>
      <c r="T242" s="299"/>
      <c r="U242" s="299"/>
      <c r="V242" s="299"/>
      <c r="W242" s="299"/>
      <c r="X242" s="299"/>
      <c r="Y242" s="299"/>
      <c r="Z242" s="356">
        <f t="shared" si="30"/>
        <v>0</v>
      </c>
    </row>
    <row r="243" spans="1:26" s="357" customFormat="1">
      <c r="A243" s="290">
        <v>43241</v>
      </c>
      <c r="B243" s="352" t="s">
        <v>388</v>
      </c>
      <c r="C243" s="326" t="s">
        <v>389</v>
      </c>
      <c r="D243" s="291"/>
      <c r="E243" s="307">
        <f>10+45</f>
        <v>55</v>
      </c>
      <c r="F243" s="306">
        <f t="shared" si="31"/>
        <v>43211</v>
      </c>
      <c r="G243" s="293">
        <v>43266</v>
      </c>
      <c r="H243" s="293" t="s">
        <v>390</v>
      </c>
      <c r="I243" s="294" t="s">
        <v>169</v>
      </c>
      <c r="J243" s="294"/>
      <c r="K243" s="294" t="s">
        <v>391</v>
      </c>
      <c r="L243" s="353">
        <v>23174</v>
      </c>
      <c r="M243" s="326"/>
      <c r="N243" s="294"/>
      <c r="O243" s="354">
        <v>469</v>
      </c>
      <c r="P243" s="294">
        <v>22</v>
      </c>
      <c r="Q243" s="355">
        <f t="shared" si="32"/>
        <v>10318</v>
      </c>
      <c r="R243" s="299"/>
      <c r="S243" s="299"/>
      <c r="T243" s="299"/>
      <c r="U243" s="299"/>
      <c r="V243" s="299">
        <f t="shared" ref="V243:V248" si="33">100%*Q243</f>
        <v>10318</v>
      </c>
      <c r="W243" s="299"/>
      <c r="X243" s="299"/>
      <c r="Y243" s="299"/>
      <c r="Z243" s="356">
        <f t="shared" si="30"/>
        <v>10318</v>
      </c>
    </row>
    <row r="244" spans="1:26" s="357" customFormat="1">
      <c r="A244" s="290">
        <v>43242</v>
      </c>
      <c r="B244" s="366" t="s">
        <v>392</v>
      </c>
      <c r="C244" s="365" t="s">
        <v>393</v>
      </c>
      <c r="D244" s="291"/>
      <c r="E244" s="307">
        <f>10+45</f>
        <v>55</v>
      </c>
      <c r="F244" s="306">
        <f t="shared" si="31"/>
        <v>43211</v>
      </c>
      <c r="G244" s="293">
        <v>43266</v>
      </c>
      <c r="H244" s="293" t="s">
        <v>390</v>
      </c>
      <c r="I244" s="294" t="s">
        <v>169</v>
      </c>
      <c r="J244" s="294"/>
      <c r="K244" s="294" t="s">
        <v>391</v>
      </c>
      <c r="L244" s="353">
        <v>23174</v>
      </c>
      <c r="M244" s="326"/>
      <c r="N244" s="294"/>
      <c r="O244" s="354">
        <v>313</v>
      </c>
      <c r="P244" s="294">
        <v>22</v>
      </c>
      <c r="Q244" s="355">
        <f t="shared" si="32"/>
        <v>6886</v>
      </c>
      <c r="R244" s="299"/>
      <c r="S244" s="299"/>
      <c r="T244" s="299"/>
      <c r="U244" s="299"/>
      <c r="V244" s="299">
        <f t="shared" si="33"/>
        <v>6886</v>
      </c>
      <c r="W244" s="299"/>
      <c r="X244" s="299"/>
      <c r="Y244" s="299"/>
      <c r="Z244" s="356">
        <f t="shared" si="30"/>
        <v>6886</v>
      </c>
    </row>
    <row r="245" spans="1:26" s="357" customFormat="1">
      <c r="A245" s="290">
        <v>43243</v>
      </c>
      <c r="B245" s="352" t="s">
        <v>394</v>
      </c>
      <c r="C245" s="291" t="s">
        <v>395</v>
      </c>
      <c r="D245" s="291"/>
      <c r="E245" s="307">
        <v>10</v>
      </c>
      <c r="F245" s="306">
        <f t="shared" si="31"/>
        <v>43256</v>
      </c>
      <c r="G245" s="293">
        <v>43266</v>
      </c>
      <c r="H245" s="293" t="s">
        <v>396</v>
      </c>
      <c r="I245" s="294" t="s">
        <v>180</v>
      </c>
      <c r="J245" s="294"/>
      <c r="K245" s="294" t="s">
        <v>397</v>
      </c>
      <c r="L245" s="353">
        <v>23174</v>
      </c>
      <c r="M245" s="326"/>
      <c r="N245" s="294"/>
      <c r="O245" s="354">
        <v>240</v>
      </c>
      <c r="P245" s="294">
        <v>88</v>
      </c>
      <c r="Q245" s="355">
        <f t="shared" si="32"/>
        <v>21120</v>
      </c>
      <c r="R245" s="299"/>
      <c r="S245" s="299"/>
      <c r="T245" s="299"/>
      <c r="U245" s="299"/>
      <c r="V245" s="299">
        <f t="shared" si="33"/>
        <v>21120</v>
      </c>
      <c r="W245" s="299"/>
      <c r="X245" s="299"/>
      <c r="Y245" s="299"/>
      <c r="Z245" s="356">
        <f t="shared" si="30"/>
        <v>21120</v>
      </c>
    </row>
    <row r="246" spans="1:26" s="357" customFormat="1">
      <c r="A246" s="290">
        <v>43244</v>
      </c>
      <c r="B246" s="352" t="s">
        <v>398</v>
      </c>
      <c r="C246" s="291" t="s">
        <v>399</v>
      </c>
      <c r="D246" s="291"/>
      <c r="E246" s="307">
        <f>10+45</f>
        <v>55</v>
      </c>
      <c r="F246" s="306">
        <f t="shared" si="31"/>
        <v>43211</v>
      </c>
      <c r="G246" s="293">
        <v>43266</v>
      </c>
      <c r="H246" s="293" t="s">
        <v>390</v>
      </c>
      <c r="I246" s="294" t="s">
        <v>169</v>
      </c>
      <c r="J246" s="294"/>
      <c r="K246" s="294" t="s">
        <v>384</v>
      </c>
      <c r="L246" s="353">
        <v>23173</v>
      </c>
      <c r="M246" s="326"/>
      <c r="N246" s="294"/>
      <c r="O246" s="354">
        <v>313</v>
      </c>
      <c r="P246" s="294">
        <v>22</v>
      </c>
      <c r="Q246" s="355">
        <f t="shared" si="32"/>
        <v>6886</v>
      </c>
      <c r="R246" s="299"/>
      <c r="S246" s="299"/>
      <c r="T246" s="299"/>
      <c r="U246" s="299"/>
      <c r="V246" s="299">
        <f t="shared" si="33"/>
        <v>6886</v>
      </c>
      <c r="W246" s="299"/>
      <c r="X246" s="299"/>
      <c r="Y246" s="299"/>
      <c r="Z246" s="356">
        <f t="shared" si="30"/>
        <v>6886</v>
      </c>
    </row>
    <row r="247" spans="1:26" s="357" customFormat="1" ht="47.25">
      <c r="A247" s="290">
        <v>43245</v>
      </c>
      <c r="B247" s="352" t="s">
        <v>400</v>
      </c>
      <c r="C247" s="291" t="s">
        <v>401</v>
      </c>
      <c r="D247" s="291"/>
      <c r="E247" s="307">
        <f>45+10</f>
        <v>55</v>
      </c>
      <c r="F247" s="306">
        <f t="shared" si="31"/>
        <v>43211</v>
      </c>
      <c r="G247" s="293">
        <v>43266</v>
      </c>
      <c r="H247" s="293" t="s">
        <v>390</v>
      </c>
      <c r="I247" s="294" t="s">
        <v>169</v>
      </c>
      <c r="J247" s="294"/>
      <c r="K247" s="294" t="s">
        <v>384</v>
      </c>
      <c r="L247" s="353">
        <v>23173</v>
      </c>
      <c r="M247" s="326"/>
      <c r="N247" s="294"/>
      <c r="O247" s="354">
        <v>577</v>
      </c>
      <c r="P247" s="294">
        <v>22</v>
      </c>
      <c r="Q247" s="355">
        <f t="shared" si="32"/>
        <v>12694</v>
      </c>
      <c r="R247" s="299"/>
      <c r="S247" s="299"/>
      <c r="T247" s="299"/>
      <c r="U247" s="299"/>
      <c r="V247" s="299">
        <f t="shared" si="33"/>
        <v>12694</v>
      </c>
      <c r="W247" s="299"/>
      <c r="X247" s="299"/>
      <c r="Y247" s="299"/>
      <c r="Z247" s="356">
        <f t="shared" si="30"/>
        <v>12694</v>
      </c>
    </row>
    <row r="248" spans="1:26" s="357" customFormat="1">
      <c r="A248" s="290">
        <v>43246</v>
      </c>
      <c r="B248" s="291" t="s">
        <v>402</v>
      </c>
      <c r="C248" s="365" t="s">
        <v>403</v>
      </c>
      <c r="D248" s="291"/>
      <c r="E248" s="307">
        <f>3+30</f>
        <v>33</v>
      </c>
      <c r="F248" s="306">
        <f t="shared" si="31"/>
        <v>43233</v>
      </c>
      <c r="G248" s="293">
        <v>43266</v>
      </c>
      <c r="H248" s="293" t="s">
        <v>372</v>
      </c>
      <c r="I248" s="294" t="s">
        <v>180</v>
      </c>
      <c r="J248" s="294"/>
      <c r="K248" s="294" t="s">
        <v>384</v>
      </c>
      <c r="L248" s="353">
        <v>23173</v>
      </c>
      <c r="M248" s="326"/>
      <c r="N248" s="294"/>
      <c r="O248" s="354">
        <v>47.5</v>
      </c>
      <c r="P248" s="294">
        <v>64</v>
      </c>
      <c r="Q248" s="355">
        <f t="shared" si="32"/>
        <v>3040</v>
      </c>
      <c r="R248" s="299"/>
      <c r="S248" s="299"/>
      <c r="T248" s="299"/>
      <c r="U248" s="299"/>
      <c r="V248" s="299">
        <f t="shared" si="33"/>
        <v>3040</v>
      </c>
      <c r="W248" s="299"/>
      <c r="X248" s="299"/>
      <c r="Y248" s="299"/>
      <c r="Z248" s="356">
        <f t="shared" si="30"/>
        <v>3040</v>
      </c>
    </row>
    <row r="249" spans="1:26" s="398" customFormat="1" ht="33.75" customHeight="1">
      <c r="A249" s="3478" t="s">
        <v>279</v>
      </c>
      <c r="B249" s="3478"/>
      <c r="C249" s="3478"/>
      <c r="D249" s="3478"/>
      <c r="E249" s="3478"/>
      <c r="F249" s="3478"/>
      <c r="G249" s="3478"/>
      <c r="H249" s="3478"/>
      <c r="I249" s="3478"/>
      <c r="J249" s="392"/>
      <c r="K249" s="392"/>
      <c r="L249" s="392"/>
      <c r="M249" s="393"/>
      <c r="N249" s="392"/>
      <c r="O249" s="394"/>
      <c r="P249" s="392"/>
      <c r="Q249" s="395"/>
      <c r="R249" s="396"/>
      <c r="S249" s="397"/>
      <c r="T249" s="397"/>
      <c r="U249" s="397"/>
      <c r="V249" s="397"/>
      <c r="W249" s="397"/>
      <c r="X249" s="397"/>
      <c r="Y249" s="397"/>
    </row>
    <row r="250" spans="1:26" s="405" customFormat="1" ht="30" customHeight="1">
      <c r="A250" s="3477" t="s">
        <v>280</v>
      </c>
      <c r="B250" s="3477"/>
      <c r="C250" s="3477"/>
      <c r="D250" s="3477"/>
      <c r="E250" s="3477"/>
      <c r="F250" s="3477"/>
      <c r="G250" s="3477"/>
      <c r="H250" s="3477"/>
      <c r="I250" s="3477"/>
      <c r="J250" s="399"/>
      <c r="K250" s="399"/>
      <c r="L250" s="399"/>
      <c r="M250" s="400"/>
      <c r="N250" s="399"/>
      <c r="O250" s="401"/>
      <c r="P250" s="399"/>
      <c r="Q250" s="402"/>
      <c r="R250" s="403"/>
      <c r="S250" s="404"/>
      <c r="T250" s="404"/>
      <c r="U250" s="404"/>
      <c r="V250" s="400"/>
      <c r="W250" s="400"/>
      <c r="X250" s="400"/>
      <c r="Y250" s="400"/>
    </row>
    <row r="251" spans="1:26" s="405" customFormat="1" ht="16.5" customHeight="1">
      <c r="A251" s="406">
        <v>511</v>
      </c>
      <c r="B251" s="3476"/>
      <c r="C251" s="3476"/>
      <c r="D251" s="3476"/>
      <c r="E251" s="3476"/>
      <c r="F251" s="3476"/>
      <c r="G251" s="3476"/>
      <c r="H251" s="3476"/>
      <c r="I251" s="3476"/>
      <c r="J251" s="407"/>
      <c r="K251" s="407"/>
      <c r="L251" s="407"/>
      <c r="M251" s="408"/>
      <c r="N251" s="407"/>
      <c r="O251" s="409"/>
      <c r="P251" s="407"/>
      <c r="Q251" s="410"/>
      <c r="R251" s="411"/>
      <c r="S251" s="412"/>
      <c r="T251" s="412"/>
      <c r="U251" s="412"/>
      <c r="V251" s="412"/>
      <c r="W251" s="412"/>
      <c r="X251" s="412"/>
      <c r="Y251" s="412"/>
    </row>
    <row r="252" spans="1:26" s="405" customFormat="1">
      <c r="A252" s="429" t="s">
        <v>233</v>
      </c>
      <c r="B252" s="414"/>
      <c r="C252" s="414"/>
      <c r="D252" s="414"/>
      <c r="E252" s="415"/>
      <c r="F252" s="426"/>
      <c r="G252" s="416"/>
      <c r="H252" s="416"/>
      <c r="I252" s="417"/>
      <c r="J252" s="417"/>
      <c r="K252" s="417"/>
      <c r="L252" s="417"/>
      <c r="M252" s="418"/>
      <c r="N252" s="417"/>
      <c r="O252" s="419"/>
      <c r="P252" s="417"/>
      <c r="Q252" s="420"/>
      <c r="R252" s="421"/>
      <c r="S252" s="420"/>
      <c r="T252" s="420"/>
      <c r="U252" s="420"/>
      <c r="V252" s="420"/>
      <c r="W252" s="420"/>
      <c r="X252" s="420"/>
      <c r="Y252" s="420"/>
    </row>
    <row r="253" spans="1:26" s="398" customFormat="1" ht="33.75" customHeight="1">
      <c r="A253" s="3479" t="s">
        <v>281</v>
      </c>
      <c r="B253" s="3479"/>
      <c r="C253" s="3479"/>
      <c r="D253" s="3479"/>
      <c r="E253" s="3479"/>
      <c r="F253" s="3479"/>
      <c r="G253" s="3479"/>
      <c r="H253" s="3479"/>
      <c r="I253" s="3480"/>
      <c r="J253" s="430"/>
      <c r="K253" s="430"/>
      <c r="L253" s="430"/>
      <c r="M253" s="430"/>
      <c r="N253" s="430"/>
      <c r="O253" s="431"/>
      <c r="P253" s="430"/>
      <c r="Q253" s="431"/>
      <c r="R253" s="432">
        <f>+R254+R263+R272</f>
        <v>129747.66</v>
      </c>
      <c r="S253" s="397"/>
      <c r="T253" s="397"/>
      <c r="U253" s="397"/>
      <c r="V253" s="397"/>
      <c r="W253" s="397"/>
      <c r="X253" s="397"/>
      <c r="Y253" s="397"/>
    </row>
    <row r="254" spans="1:26" s="405" customFormat="1" ht="33" customHeight="1">
      <c r="A254" s="3477" t="s">
        <v>282</v>
      </c>
      <c r="B254" s="3477"/>
      <c r="C254" s="3477"/>
      <c r="D254" s="3477"/>
      <c r="E254" s="3477"/>
      <c r="F254" s="3477"/>
      <c r="G254" s="3477"/>
      <c r="H254" s="3477"/>
      <c r="I254" s="3477"/>
      <c r="J254" s="399"/>
      <c r="K254" s="399"/>
      <c r="L254" s="399"/>
      <c r="M254" s="400"/>
      <c r="N254" s="399"/>
      <c r="O254" s="401"/>
      <c r="P254" s="399"/>
      <c r="Q254" s="402"/>
      <c r="R254" s="403"/>
      <c r="S254" s="404"/>
      <c r="T254" s="404"/>
      <c r="U254" s="404"/>
      <c r="V254" s="400"/>
      <c r="W254" s="400"/>
      <c r="X254" s="400"/>
      <c r="Y254" s="400"/>
    </row>
    <row r="255" spans="1:26" s="405" customFormat="1" ht="16.5" customHeight="1">
      <c r="A255" s="406">
        <v>611</v>
      </c>
      <c r="B255" s="3476"/>
      <c r="C255" s="3476"/>
      <c r="D255" s="3476"/>
      <c r="E255" s="3476"/>
      <c r="F255" s="3476"/>
      <c r="G255" s="3476"/>
      <c r="H255" s="3476"/>
      <c r="I255" s="3476"/>
      <c r="J255" s="407"/>
      <c r="K255" s="407"/>
      <c r="L255" s="407"/>
      <c r="M255" s="408"/>
      <c r="N255" s="407"/>
      <c r="O255" s="409"/>
      <c r="P255" s="407"/>
      <c r="Q255" s="410"/>
      <c r="R255" s="411"/>
      <c r="S255" s="412"/>
      <c r="T255" s="412"/>
      <c r="U255" s="412"/>
      <c r="V255" s="412"/>
      <c r="W255" s="412"/>
      <c r="X255" s="412"/>
      <c r="Y255" s="412"/>
    </row>
    <row r="256" spans="1:26" s="405" customFormat="1">
      <c r="A256" s="413">
        <v>6111</v>
      </c>
      <c r="B256" s="414"/>
      <c r="C256" s="414"/>
      <c r="D256" s="414"/>
      <c r="E256" s="415"/>
      <c r="F256" s="426"/>
      <c r="G256" s="416"/>
      <c r="H256" s="416"/>
      <c r="I256" s="417"/>
      <c r="J256" s="417"/>
      <c r="K256" s="417"/>
      <c r="L256" s="417"/>
      <c r="M256" s="418"/>
      <c r="N256" s="417"/>
      <c r="O256" s="419"/>
      <c r="P256" s="417"/>
      <c r="Q256" s="420"/>
      <c r="R256" s="421"/>
      <c r="S256" s="420"/>
      <c r="T256" s="420"/>
      <c r="U256" s="420"/>
      <c r="V256" s="420"/>
      <c r="W256" s="420"/>
      <c r="X256" s="420"/>
      <c r="Y256" s="420"/>
    </row>
    <row r="257" spans="1:25" s="405" customFormat="1">
      <c r="A257" s="413">
        <v>6112</v>
      </c>
      <c r="B257" s="414"/>
      <c r="C257" s="414"/>
      <c r="D257" s="414"/>
      <c r="E257" s="415"/>
      <c r="F257" s="426"/>
      <c r="G257" s="416"/>
      <c r="H257" s="416"/>
      <c r="I257" s="417"/>
      <c r="J257" s="417"/>
      <c r="K257" s="417"/>
      <c r="L257" s="417"/>
      <c r="M257" s="418"/>
      <c r="N257" s="417"/>
      <c r="O257" s="419"/>
      <c r="P257" s="417"/>
      <c r="Q257" s="420"/>
      <c r="R257" s="421"/>
      <c r="S257" s="420"/>
      <c r="T257" s="420"/>
      <c r="U257" s="420"/>
      <c r="V257" s="420"/>
      <c r="W257" s="420"/>
      <c r="X257" s="420"/>
      <c r="Y257" s="420"/>
    </row>
    <row r="258" spans="1:25" s="405" customFormat="1">
      <c r="A258" s="413">
        <v>6113</v>
      </c>
      <c r="B258" s="414"/>
      <c r="C258" s="414"/>
      <c r="D258" s="414"/>
      <c r="E258" s="415"/>
      <c r="F258" s="426"/>
      <c r="G258" s="416"/>
      <c r="H258" s="416"/>
      <c r="I258" s="417"/>
      <c r="J258" s="417"/>
      <c r="K258" s="417"/>
      <c r="L258" s="417"/>
      <c r="M258" s="418"/>
      <c r="N258" s="417"/>
      <c r="O258" s="419"/>
      <c r="P258" s="417"/>
      <c r="Q258" s="420"/>
      <c r="R258" s="421"/>
      <c r="S258" s="420"/>
      <c r="T258" s="420"/>
      <c r="U258" s="420"/>
      <c r="V258" s="420"/>
      <c r="W258" s="420"/>
      <c r="X258" s="420"/>
      <c r="Y258" s="420"/>
    </row>
    <row r="259" spans="1:25" s="405" customFormat="1" ht="16.5" customHeight="1">
      <c r="A259" s="406">
        <v>612</v>
      </c>
      <c r="B259" s="3476"/>
      <c r="C259" s="3476"/>
      <c r="D259" s="3476"/>
      <c r="E259" s="3476"/>
      <c r="F259" s="3476"/>
      <c r="G259" s="3476"/>
      <c r="H259" s="3476"/>
      <c r="I259" s="3476"/>
      <c r="J259" s="407"/>
      <c r="K259" s="407"/>
      <c r="L259" s="407"/>
      <c r="M259" s="408"/>
      <c r="N259" s="407"/>
      <c r="O259" s="409"/>
      <c r="P259" s="407"/>
      <c r="Q259" s="410"/>
      <c r="R259" s="411"/>
      <c r="S259" s="412"/>
      <c r="T259" s="412"/>
      <c r="U259" s="412"/>
      <c r="V259" s="412"/>
      <c r="W259" s="412"/>
      <c r="X259" s="412"/>
      <c r="Y259" s="412"/>
    </row>
    <row r="260" spans="1:25" s="405" customFormat="1">
      <c r="A260" s="413">
        <v>6121</v>
      </c>
      <c r="B260" s="414"/>
      <c r="C260" s="414"/>
      <c r="D260" s="414"/>
      <c r="E260" s="415"/>
      <c r="F260" s="426"/>
      <c r="G260" s="416"/>
      <c r="H260" s="416"/>
      <c r="I260" s="417"/>
      <c r="J260" s="417"/>
      <c r="K260" s="417"/>
      <c r="L260" s="417"/>
      <c r="M260" s="418"/>
      <c r="N260" s="417"/>
      <c r="O260" s="419"/>
      <c r="P260" s="417"/>
      <c r="Q260" s="420"/>
      <c r="R260" s="421"/>
      <c r="S260" s="420"/>
      <c r="T260" s="420"/>
      <c r="U260" s="420"/>
      <c r="V260" s="420"/>
      <c r="W260" s="420"/>
      <c r="X260" s="420"/>
      <c r="Y260" s="420"/>
    </row>
    <row r="261" spans="1:25" s="405" customFormat="1">
      <c r="A261" s="413">
        <v>6122</v>
      </c>
      <c r="B261" s="414"/>
      <c r="C261" s="414"/>
      <c r="D261" s="414"/>
      <c r="E261" s="415"/>
      <c r="F261" s="426"/>
      <c r="G261" s="416"/>
      <c r="H261" s="416"/>
      <c r="I261" s="417"/>
      <c r="J261" s="417"/>
      <c r="K261" s="417"/>
      <c r="L261" s="417"/>
      <c r="M261" s="418"/>
      <c r="N261" s="417"/>
      <c r="O261" s="419"/>
      <c r="P261" s="417"/>
      <c r="Q261" s="420"/>
      <c r="R261" s="421"/>
      <c r="S261" s="420"/>
      <c r="T261" s="420"/>
      <c r="U261" s="420"/>
      <c r="V261" s="420"/>
      <c r="W261" s="420"/>
      <c r="X261" s="420"/>
      <c r="Y261" s="420"/>
    </row>
    <row r="262" spans="1:25" s="405" customFormat="1">
      <c r="A262" s="422" t="s">
        <v>233</v>
      </c>
      <c r="B262" s="414"/>
      <c r="C262" s="414"/>
      <c r="D262" s="414"/>
      <c r="E262" s="415"/>
      <c r="F262" s="426"/>
      <c r="G262" s="416"/>
      <c r="H262" s="416"/>
      <c r="I262" s="417"/>
      <c r="J262" s="417"/>
      <c r="K262" s="417"/>
      <c r="L262" s="417"/>
      <c r="M262" s="418"/>
      <c r="N262" s="417"/>
      <c r="O262" s="419"/>
      <c r="P262" s="417"/>
      <c r="Q262" s="420"/>
      <c r="R262" s="421"/>
      <c r="S262" s="420"/>
      <c r="T262" s="420"/>
      <c r="U262" s="420"/>
      <c r="V262" s="420"/>
      <c r="W262" s="420"/>
      <c r="X262" s="420"/>
      <c r="Y262" s="420"/>
    </row>
    <row r="263" spans="1:25" s="405" customFormat="1" ht="38.25" customHeight="1">
      <c r="A263" s="3477" t="s">
        <v>283</v>
      </c>
      <c r="B263" s="3477"/>
      <c r="C263" s="3477"/>
      <c r="D263" s="3477"/>
      <c r="E263" s="3477"/>
      <c r="F263" s="3477"/>
      <c r="G263" s="3477"/>
      <c r="H263" s="3477"/>
      <c r="I263" s="3477"/>
      <c r="J263" s="399"/>
      <c r="K263" s="399"/>
      <c r="L263" s="399"/>
      <c r="M263" s="400"/>
      <c r="N263" s="399"/>
      <c r="O263" s="401"/>
      <c r="P263" s="399"/>
      <c r="Q263" s="402"/>
      <c r="R263" s="403"/>
      <c r="S263" s="404"/>
      <c r="T263" s="404"/>
      <c r="U263" s="404"/>
      <c r="V263" s="400"/>
      <c r="W263" s="400"/>
      <c r="X263" s="400"/>
      <c r="Y263" s="400"/>
    </row>
    <row r="264" spans="1:25" s="405" customFormat="1" ht="16.5" customHeight="1">
      <c r="A264" s="406">
        <v>621</v>
      </c>
      <c r="B264" s="3476"/>
      <c r="C264" s="3476"/>
      <c r="D264" s="3476"/>
      <c r="E264" s="3476"/>
      <c r="F264" s="3476"/>
      <c r="G264" s="3476"/>
      <c r="H264" s="3476"/>
      <c r="I264" s="3476"/>
      <c r="J264" s="407"/>
      <c r="K264" s="407"/>
      <c r="L264" s="407"/>
      <c r="M264" s="408"/>
      <c r="N264" s="407"/>
      <c r="O264" s="409"/>
      <c r="P264" s="407"/>
      <c r="Q264" s="410"/>
      <c r="R264" s="411"/>
      <c r="S264" s="412"/>
      <c r="T264" s="412"/>
      <c r="U264" s="412"/>
      <c r="V264" s="412"/>
      <c r="W264" s="412"/>
      <c r="X264" s="412"/>
      <c r="Y264" s="412"/>
    </row>
    <row r="265" spans="1:25" s="405" customFormat="1">
      <c r="A265" s="413">
        <v>6211</v>
      </c>
      <c r="B265" s="414"/>
      <c r="C265" s="414"/>
      <c r="D265" s="414"/>
      <c r="E265" s="415"/>
      <c r="F265" s="426"/>
      <c r="G265" s="416"/>
      <c r="H265" s="416"/>
      <c r="I265" s="417"/>
      <c r="J265" s="417"/>
      <c r="K265" s="417"/>
      <c r="L265" s="417"/>
      <c r="M265" s="418"/>
      <c r="N265" s="417"/>
      <c r="O265" s="419"/>
      <c r="P265" s="417"/>
      <c r="Q265" s="420"/>
      <c r="R265" s="421"/>
      <c r="S265" s="420"/>
      <c r="T265" s="420"/>
      <c r="U265" s="420"/>
      <c r="V265" s="420"/>
      <c r="W265" s="420"/>
      <c r="X265" s="420"/>
      <c r="Y265" s="420"/>
    </row>
    <row r="266" spans="1:25" s="405" customFormat="1">
      <c r="A266" s="413">
        <v>6212</v>
      </c>
      <c r="B266" s="414"/>
      <c r="C266" s="414"/>
      <c r="D266" s="414"/>
      <c r="E266" s="415"/>
      <c r="F266" s="426"/>
      <c r="G266" s="416"/>
      <c r="H266" s="416"/>
      <c r="I266" s="417"/>
      <c r="J266" s="417"/>
      <c r="K266" s="417"/>
      <c r="L266" s="417"/>
      <c r="M266" s="418"/>
      <c r="N266" s="417"/>
      <c r="O266" s="419"/>
      <c r="P266" s="417"/>
      <c r="Q266" s="420"/>
      <c r="R266" s="421"/>
      <c r="S266" s="420"/>
      <c r="T266" s="420"/>
      <c r="U266" s="420"/>
      <c r="V266" s="420"/>
      <c r="W266" s="420"/>
      <c r="X266" s="420"/>
      <c r="Y266" s="420"/>
    </row>
    <row r="267" spans="1:25" s="405" customFormat="1">
      <c r="A267" s="413">
        <v>6213</v>
      </c>
      <c r="B267" s="414"/>
      <c r="C267" s="414"/>
      <c r="D267" s="414"/>
      <c r="E267" s="415"/>
      <c r="F267" s="426"/>
      <c r="G267" s="416"/>
      <c r="H267" s="416"/>
      <c r="I267" s="417"/>
      <c r="J267" s="417"/>
      <c r="K267" s="417"/>
      <c r="L267" s="417"/>
      <c r="M267" s="418"/>
      <c r="N267" s="417"/>
      <c r="O267" s="419"/>
      <c r="P267" s="417"/>
      <c r="Q267" s="420"/>
      <c r="R267" s="421"/>
      <c r="S267" s="420"/>
      <c r="T267" s="420"/>
      <c r="U267" s="420"/>
      <c r="V267" s="420"/>
      <c r="W267" s="420"/>
      <c r="X267" s="420"/>
      <c r="Y267" s="420"/>
    </row>
    <row r="268" spans="1:25" s="405" customFormat="1" ht="16.5" customHeight="1">
      <c r="A268" s="406">
        <v>622</v>
      </c>
      <c r="B268" s="3476"/>
      <c r="C268" s="3476"/>
      <c r="D268" s="3476"/>
      <c r="E268" s="3476"/>
      <c r="F268" s="3476"/>
      <c r="G268" s="3476"/>
      <c r="H268" s="3476"/>
      <c r="I268" s="3476"/>
      <c r="J268" s="407"/>
      <c r="K268" s="407"/>
      <c r="L268" s="407"/>
      <c r="M268" s="408"/>
      <c r="N268" s="407"/>
      <c r="O268" s="409"/>
      <c r="P268" s="407"/>
      <c r="Q268" s="410"/>
      <c r="R268" s="411"/>
      <c r="S268" s="412"/>
      <c r="T268" s="412"/>
      <c r="U268" s="412"/>
      <c r="V268" s="412"/>
      <c r="W268" s="412"/>
      <c r="X268" s="412"/>
      <c r="Y268" s="412"/>
    </row>
    <row r="269" spans="1:25" s="405" customFormat="1">
      <c r="A269" s="413">
        <v>6221</v>
      </c>
      <c r="B269" s="414"/>
      <c r="C269" s="414"/>
      <c r="D269" s="414"/>
      <c r="E269" s="415"/>
      <c r="F269" s="426"/>
      <c r="G269" s="416"/>
      <c r="H269" s="416"/>
      <c r="I269" s="417"/>
      <c r="J269" s="417"/>
      <c r="K269" s="417"/>
      <c r="L269" s="417"/>
      <c r="M269" s="418"/>
      <c r="N269" s="417"/>
      <c r="O269" s="419"/>
      <c r="P269" s="417"/>
      <c r="Q269" s="420"/>
      <c r="R269" s="421"/>
      <c r="S269" s="420"/>
      <c r="T269" s="420"/>
      <c r="U269" s="420"/>
      <c r="V269" s="420"/>
      <c r="W269" s="420"/>
      <c r="X269" s="420"/>
      <c r="Y269" s="420"/>
    </row>
    <row r="270" spans="1:25" s="405" customFormat="1">
      <c r="A270" s="413">
        <v>6222</v>
      </c>
      <c r="B270" s="414"/>
      <c r="C270" s="414"/>
      <c r="D270" s="414"/>
      <c r="E270" s="415"/>
      <c r="F270" s="426"/>
      <c r="G270" s="416"/>
      <c r="H270" s="416"/>
      <c r="I270" s="417"/>
      <c r="J270" s="417"/>
      <c r="K270" s="417"/>
      <c r="L270" s="417"/>
      <c r="M270" s="418"/>
      <c r="N270" s="417"/>
      <c r="O270" s="419"/>
      <c r="P270" s="417"/>
      <c r="Q270" s="420"/>
      <c r="R270" s="421"/>
      <c r="S270" s="420"/>
      <c r="T270" s="420"/>
      <c r="U270" s="420"/>
      <c r="V270" s="420"/>
      <c r="W270" s="420"/>
      <c r="X270" s="420"/>
      <c r="Y270" s="420"/>
    </row>
    <row r="271" spans="1:25" s="405" customFormat="1">
      <c r="A271" s="422" t="s">
        <v>233</v>
      </c>
      <c r="B271" s="414"/>
      <c r="C271" s="414"/>
      <c r="D271" s="414"/>
      <c r="E271" s="415"/>
      <c r="F271" s="426"/>
      <c r="G271" s="416"/>
      <c r="H271" s="416"/>
      <c r="I271" s="417"/>
      <c r="J271" s="417"/>
      <c r="K271" s="417"/>
      <c r="L271" s="417"/>
      <c r="M271" s="418"/>
      <c r="N271" s="417"/>
      <c r="O271" s="419"/>
      <c r="P271" s="417"/>
      <c r="Q271" s="420"/>
      <c r="R271" s="421"/>
      <c r="S271" s="420"/>
      <c r="T271" s="420"/>
      <c r="U271" s="420"/>
      <c r="V271" s="420"/>
      <c r="W271" s="420"/>
      <c r="X271" s="420"/>
      <c r="Y271" s="420"/>
    </row>
    <row r="272" spans="1:25" s="405" customFormat="1" ht="38.25" customHeight="1">
      <c r="A272" s="3477" t="s">
        <v>284</v>
      </c>
      <c r="B272" s="3477"/>
      <c r="C272" s="3477"/>
      <c r="D272" s="3477"/>
      <c r="E272" s="3477"/>
      <c r="F272" s="3477"/>
      <c r="G272" s="3477"/>
      <c r="H272" s="3477"/>
      <c r="I272" s="3477"/>
      <c r="J272" s="399"/>
      <c r="K272" s="399"/>
      <c r="L272" s="399"/>
      <c r="M272" s="400"/>
      <c r="N272" s="399"/>
      <c r="O272" s="401"/>
      <c r="P272" s="399"/>
      <c r="Q272" s="402"/>
      <c r="R272" s="403">
        <f>+'[7]Compil Costing PPA 3 millions'!F20</f>
        <v>129747.66</v>
      </c>
      <c r="S272" s="404"/>
      <c r="T272" s="404"/>
      <c r="U272" s="404"/>
      <c r="V272" s="400"/>
      <c r="W272" s="400"/>
      <c r="X272" s="400"/>
      <c r="Y272" s="400"/>
    </row>
    <row r="273" spans="1:25" s="405" customFormat="1" ht="16.5" customHeight="1">
      <c r="A273" s="406">
        <v>631</v>
      </c>
      <c r="B273" s="3476" t="s">
        <v>140</v>
      </c>
      <c r="C273" s="3476"/>
      <c r="D273" s="3476"/>
      <c r="E273" s="3476"/>
      <c r="F273" s="3476"/>
      <c r="G273" s="3476"/>
      <c r="H273" s="3476"/>
      <c r="I273" s="3476"/>
      <c r="J273" s="407"/>
      <c r="K273" s="407"/>
      <c r="L273" s="407"/>
      <c r="M273" s="408"/>
      <c r="N273" s="407"/>
      <c r="O273" s="409"/>
      <c r="P273" s="407"/>
      <c r="Q273" s="410"/>
      <c r="R273" s="411"/>
      <c r="S273" s="412"/>
      <c r="T273" s="412"/>
      <c r="U273" s="412"/>
      <c r="V273" s="412"/>
      <c r="W273" s="412"/>
      <c r="X273" s="412"/>
      <c r="Y273" s="412"/>
    </row>
    <row r="274" spans="1:25" s="405" customFormat="1">
      <c r="A274" s="413">
        <v>6311</v>
      </c>
      <c r="B274" s="414" t="s">
        <v>404</v>
      </c>
      <c r="C274" s="414" t="s">
        <v>405</v>
      </c>
      <c r="D274" s="414"/>
      <c r="E274" s="415"/>
      <c r="F274" s="433">
        <v>43205</v>
      </c>
      <c r="G274" s="434">
        <v>43342</v>
      </c>
      <c r="H274" s="435" t="s">
        <v>406</v>
      </c>
      <c r="I274" s="417" t="s">
        <v>181</v>
      </c>
      <c r="J274" s="417" t="s">
        <v>407</v>
      </c>
      <c r="K274" s="436" t="s">
        <v>408</v>
      </c>
      <c r="L274" s="417">
        <v>6283</v>
      </c>
      <c r="M274" s="418"/>
      <c r="N274" s="417"/>
      <c r="O274" s="437">
        <v>18000</v>
      </c>
      <c r="P274" s="438">
        <v>1</v>
      </c>
      <c r="Q274" s="439">
        <f>O274*P274</f>
        <v>18000</v>
      </c>
      <c r="R274" s="421"/>
      <c r="S274" s="421"/>
      <c r="T274" s="421">
        <f>Q274*20/100</f>
        <v>3600</v>
      </c>
      <c r="U274" s="421"/>
      <c r="V274" s="421"/>
      <c r="W274" s="421">
        <f>Q274*40/100</f>
        <v>7200</v>
      </c>
      <c r="X274" s="421">
        <f>Q274*40/100</f>
        <v>7200</v>
      </c>
      <c r="Y274" s="421"/>
    </row>
    <row r="275" spans="1:25" s="405" customFormat="1" ht="60.6" customHeight="1">
      <c r="A275" s="413">
        <v>6312</v>
      </c>
      <c r="B275" s="414" t="s">
        <v>409</v>
      </c>
      <c r="C275" s="440" t="s">
        <v>410</v>
      </c>
      <c r="D275" s="414"/>
      <c r="E275" s="415"/>
      <c r="F275" s="426">
        <v>43241</v>
      </c>
      <c r="G275" s="426">
        <v>43273</v>
      </c>
      <c r="H275" s="441" t="s">
        <v>406</v>
      </c>
      <c r="I275" s="417" t="s">
        <v>181</v>
      </c>
      <c r="J275" s="415" t="s">
        <v>411</v>
      </c>
      <c r="K275" s="417"/>
      <c r="L275" s="417"/>
      <c r="M275" s="418"/>
      <c r="N275" s="417"/>
      <c r="O275" s="437"/>
      <c r="P275" s="438"/>
      <c r="Q275" s="442">
        <f>SUM(Q276:Q279)</f>
        <v>20400</v>
      </c>
      <c r="R275" s="421"/>
      <c r="S275" s="421"/>
      <c r="T275" s="421"/>
      <c r="U275" s="421">
        <f>$Q$128/2</f>
        <v>240</v>
      </c>
      <c r="V275" s="421">
        <f>$Q$128/2</f>
        <v>240</v>
      </c>
      <c r="W275" s="421"/>
      <c r="X275" s="421"/>
      <c r="Y275" s="421"/>
    </row>
    <row r="276" spans="1:25" s="405" customFormat="1" ht="17.45" customHeight="1">
      <c r="A276" s="413"/>
      <c r="B276" s="427"/>
      <c r="C276" s="443"/>
      <c r="D276" s="414"/>
      <c r="E276" s="415"/>
      <c r="F276" s="426"/>
      <c r="G276" s="416"/>
      <c r="H276" s="416"/>
      <c r="I276" s="417"/>
      <c r="J276" s="417"/>
      <c r="K276" s="427" t="s">
        <v>412</v>
      </c>
      <c r="L276" s="417">
        <v>6241</v>
      </c>
      <c r="M276" s="418"/>
      <c r="N276" s="417"/>
      <c r="O276" s="437">
        <v>2100</v>
      </c>
      <c r="P276" s="438">
        <v>4</v>
      </c>
      <c r="Q276" s="439">
        <f>O276*P276</f>
        <v>8400</v>
      </c>
      <c r="R276" s="421"/>
      <c r="S276" s="421"/>
      <c r="T276" s="421"/>
      <c r="U276" s="421"/>
      <c r="V276" s="421"/>
      <c r="W276" s="421"/>
      <c r="X276" s="421"/>
      <c r="Y276" s="421"/>
    </row>
    <row r="277" spans="1:25" s="405" customFormat="1">
      <c r="A277" s="413"/>
      <c r="B277" s="427"/>
      <c r="C277" s="443"/>
      <c r="D277" s="414"/>
      <c r="E277" s="415"/>
      <c r="F277" s="426"/>
      <c r="G277" s="416"/>
      <c r="H277" s="416"/>
      <c r="I277" s="417"/>
      <c r="J277" s="417"/>
      <c r="K277" s="427" t="s">
        <v>413</v>
      </c>
      <c r="L277" s="417">
        <v>6241</v>
      </c>
      <c r="M277" s="418"/>
      <c r="N277" s="417"/>
      <c r="O277" s="437">
        <v>2000</v>
      </c>
      <c r="P277" s="438">
        <v>4</v>
      </c>
      <c r="Q277" s="439">
        <f>O277*P277</f>
        <v>8000</v>
      </c>
      <c r="R277" s="421"/>
      <c r="S277" s="421"/>
      <c r="T277" s="421"/>
      <c r="U277" s="421"/>
      <c r="V277" s="421"/>
      <c r="W277" s="421"/>
      <c r="X277" s="421"/>
      <c r="Y277" s="421"/>
    </row>
    <row r="278" spans="1:25" s="405" customFormat="1">
      <c r="A278" s="413"/>
      <c r="B278" s="427"/>
      <c r="C278" s="443"/>
      <c r="D278" s="414"/>
      <c r="E278" s="415"/>
      <c r="F278" s="426"/>
      <c r="G278" s="416"/>
      <c r="H278" s="416"/>
      <c r="I278" s="417"/>
      <c r="J278" s="417"/>
      <c r="K278" s="427" t="s">
        <v>414</v>
      </c>
      <c r="L278" s="417">
        <v>6231</v>
      </c>
      <c r="M278" s="418"/>
      <c r="N278" s="417"/>
      <c r="O278" s="437">
        <v>833.25</v>
      </c>
      <c r="P278" s="438">
        <v>4</v>
      </c>
      <c r="Q278" s="439">
        <f>O278*P278</f>
        <v>3333</v>
      </c>
      <c r="R278" s="421"/>
      <c r="S278" s="421"/>
      <c r="T278" s="421"/>
      <c r="U278" s="421"/>
      <c r="V278" s="421"/>
      <c r="W278" s="421"/>
      <c r="X278" s="421"/>
      <c r="Y278" s="421"/>
    </row>
    <row r="279" spans="1:25" s="405" customFormat="1">
      <c r="A279" s="413"/>
      <c r="B279" s="427"/>
      <c r="C279" s="443"/>
      <c r="D279" s="414"/>
      <c r="E279" s="415"/>
      <c r="F279" s="426"/>
      <c r="G279" s="416"/>
      <c r="H279" s="416"/>
      <c r="I279" s="417"/>
      <c r="J279" s="417"/>
      <c r="K279" s="427" t="s">
        <v>415</v>
      </c>
      <c r="L279" s="417">
        <v>6275</v>
      </c>
      <c r="M279" s="418"/>
      <c r="N279" s="417"/>
      <c r="O279" s="437">
        <v>166.75</v>
      </c>
      <c r="P279" s="438">
        <v>4</v>
      </c>
      <c r="Q279" s="439">
        <f>O279*P279</f>
        <v>667</v>
      </c>
      <c r="R279" s="421"/>
      <c r="S279" s="421"/>
      <c r="T279" s="421"/>
      <c r="U279" s="421"/>
      <c r="V279" s="421"/>
      <c r="W279" s="421"/>
      <c r="X279" s="421"/>
      <c r="Y279" s="421"/>
    </row>
    <row r="280" spans="1:25" s="405" customFormat="1" ht="46.15" customHeight="1">
      <c r="A280" s="413">
        <v>6313</v>
      </c>
      <c r="B280" s="414" t="s">
        <v>416</v>
      </c>
      <c r="C280" s="414" t="s">
        <v>417</v>
      </c>
      <c r="D280" s="414"/>
      <c r="E280" s="415"/>
      <c r="F280" s="426">
        <v>43294</v>
      </c>
      <c r="G280" s="426">
        <v>43294</v>
      </c>
      <c r="H280" s="441" t="s">
        <v>406</v>
      </c>
      <c r="I280" s="417" t="s">
        <v>181</v>
      </c>
      <c r="J280" s="415" t="s">
        <v>411</v>
      </c>
      <c r="K280" s="417"/>
      <c r="L280" s="417"/>
      <c r="M280" s="418"/>
      <c r="N280" s="417"/>
      <c r="O280" s="437"/>
      <c r="P280" s="438"/>
      <c r="Q280" s="442">
        <f>Q281+Q282</f>
        <v>1000.0000000000014</v>
      </c>
      <c r="R280" s="421"/>
      <c r="S280" s="421"/>
      <c r="T280" s="421"/>
      <c r="U280" s="421"/>
      <c r="V280" s="421"/>
      <c r="W280" s="421">
        <f>Q280</f>
        <v>1000.0000000000014</v>
      </c>
      <c r="X280" s="421"/>
      <c r="Y280" s="421"/>
    </row>
    <row r="281" spans="1:25" s="405" customFormat="1">
      <c r="A281" s="413"/>
      <c r="B281" s="427"/>
      <c r="C281" s="443"/>
      <c r="D281" s="414"/>
      <c r="E281" s="415"/>
      <c r="F281" s="426"/>
      <c r="G281" s="416"/>
      <c r="H281" s="416"/>
      <c r="I281" s="417"/>
      <c r="J281" s="417"/>
      <c r="K281" s="427" t="s">
        <v>418</v>
      </c>
      <c r="L281" s="417">
        <v>6225</v>
      </c>
      <c r="M281" s="418"/>
      <c r="N281" s="417"/>
      <c r="O281" s="437">
        <v>666.66666666666799</v>
      </c>
      <c r="P281" s="438">
        <v>1</v>
      </c>
      <c r="Q281" s="439">
        <f>O281*P281</f>
        <v>666.66666666666799</v>
      </c>
      <c r="R281" s="421"/>
      <c r="S281" s="421"/>
      <c r="T281" s="421"/>
      <c r="U281" s="421"/>
      <c r="V281" s="421"/>
      <c r="W281" s="421"/>
      <c r="X281" s="421"/>
      <c r="Y281" s="421"/>
    </row>
    <row r="282" spans="1:25" s="405" customFormat="1">
      <c r="A282" s="413"/>
      <c r="B282" s="427"/>
      <c r="C282" s="443"/>
      <c r="D282" s="414"/>
      <c r="E282" s="415"/>
      <c r="F282" s="426"/>
      <c r="G282" s="416"/>
      <c r="H282" s="416"/>
      <c r="I282" s="417"/>
      <c r="J282" s="417"/>
      <c r="K282" s="427" t="s">
        <v>415</v>
      </c>
      <c r="L282" s="417">
        <v>6275</v>
      </c>
      <c r="M282" s="418"/>
      <c r="N282" s="417"/>
      <c r="O282" s="437">
        <v>333.33333333333331</v>
      </c>
      <c r="P282" s="438">
        <v>1</v>
      </c>
      <c r="Q282" s="439">
        <f>O282*P282</f>
        <v>333.33333333333331</v>
      </c>
      <c r="R282" s="421"/>
      <c r="S282" s="421"/>
      <c r="T282" s="421"/>
      <c r="U282" s="421"/>
      <c r="V282" s="421"/>
      <c r="W282" s="421"/>
      <c r="X282" s="421"/>
      <c r="Y282" s="421"/>
    </row>
    <row r="283" spans="1:25" s="405" customFormat="1" ht="16.5" customHeight="1">
      <c r="A283" s="406">
        <v>632</v>
      </c>
      <c r="B283" s="3476" t="s">
        <v>141</v>
      </c>
      <c r="C283" s="3476"/>
      <c r="D283" s="3476"/>
      <c r="E283" s="3476"/>
      <c r="F283" s="3476"/>
      <c r="G283" s="3476"/>
      <c r="H283" s="3476"/>
      <c r="I283" s="3476"/>
      <c r="J283" s="407"/>
      <c r="K283" s="407"/>
      <c r="L283" s="407"/>
      <c r="M283" s="408"/>
      <c r="N283" s="407"/>
      <c r="O283" s="444"/>
      <c r="P283" s="445"/>
      <c r="Q283" s="446"/>
      <c r="R283" s="411"/>
      <c r="S283" s="421"/>
      <c r="T283" s="421"/>
      <c r="U283" s="421"/>
      <c r="V283" s="421"/>
      <c r="W283" s="421"/>
      <c r="X283" s="421"/>
      <c r="Y283" s="421"/>
    </row>
    <row r="284" spans="1:25" s="405" customFormat="1" ht="62.45" customHeight="1">
      <c r="A284" s="413">
        <v>6321</v>
      </c>
      <c r="B284" s="414" t="s">
        <v>419</v>
      </c>
      <c r="C284" s="414" t="s">
        <v>420</v>
      </c>
      <c r="D284" s="414"/>
      <c r="E284" s="415"/>
      <c r="F284" s="447">
        <v>43205</v>
      </c>
      <c r="G284" s="448">
        <v>43311</v>
      </c>
      <c r="H284" s="441" t="s">
        <v>421</v>
      </c>
      <c r="I284" s="417" t="s">
        <v>181</v>
      </c>
      <c r="J284" s="417" t="s">
        <v>407</v>
      </c>
      <c r="K284" s="436" t="s">
        <v>408</v>
      </c>
      <c r="L284" s="417">
        <v>6283</v>
      </c>
      <c r="M284" s="418"/>
      <c r="N284" s="417"/>
      <c r="O284" s="437">
        <v>33750</v>
      </c>
      <c r="P284" s="438">
        <v>1</v>
      </c>
      <c r="Q284" s="439">
        <f>O284*P284</f>
        <v>33750</v>
      </c>
      <c r="R284" s="421"/>
      <c r="S284" s="421"/>
      <c r="T284" s="421">
        <f>Q284*20/100</f>
        <v>6750</v>
      </c>
      <c r="U284" s="421"/>
      <c r="V284" s="421"/>
      <c r="W284" s="421">
        <f>$Q$137*40/100</f>
        <v>0</v>
      </c>
      <c r="X284" s="421">
        <f>$Q$137*40/100</f>
        <v>0</v>
      </c>
      <c r="Y284" s="421"/>
    </row>
    <row r="285" spans="1:25" s="405" customFormat="1" ht="62.45" customHeight="1">
      <c r="A285" s="413">
        <v>6322</v>
      </c>
      <c r="B285" s="414" t="s">
        <v>422</v>
      </c>
      <c r="C285" s="443"/>
      <c r="D285" s="414"/>
      <c r="E285" s="415"/>
      <c r="F285" s="449">
        <v>43227</v>
      </c>
      <c r="G285" s="450">
        <v>43238</v>
      </c>
      <c r="H285" s="441" t="s">
        <v>421</v>
      </c>
      <c r="I285" s="417" t="s">
        <v>181</v>
      </c>
      <c r="J285" s="415" t="s">
        <v>423</v>
      </c>
      <c r="K285" s="417"/>
      <c r="L285" s="417"/>
      <c r="M285" s="418"/>
      <c r="N285" s="417"/>
      <c r="O285" s="437"/>
      <c r="P285" s="438"/>
      <c r="Q285" s="442">
        <f>Q286+Q287+Q288+Q289+Q290</f>
        <v>17583</v>
      </c>
      <c r="R285" s="421"/>
      <c r="S285" s="420"/>
      <c r="T285" s="420"/>
      <c r="U285" s="421">
        <f>Q285</f>
        <v>17583</v>
      </c>
      <c r="V285" s="420"/>
      <c r="W285" s="420"/>
      <c r="X285" s="420"/>
      <c r="Y285" s="420"/>
    </row>
    <row r="286" spans="1:25" s="405" customFormat="1">
      <c r="A286" s="413"/>
      <c r="B286" s="427"/>
      <c r="C286" s="443"/>
      <c r="D286" s="414"/>
      <c r="E286" s="415"/>
      <c r="F286" s="426"/>
      <c r="G286" s="416"/>
      <c r="H286" s="416"/>
      <c r="I286" s="417"/>
      <c r="J286" s="417"/>
      <c r="K286" s="427" t="s">
        <v>424</v>
      </c>
      <c r="L286" s="417">
        <v>6241</v>
      </c>
      <c r="M286" s="418"/>
      <c r="N286" s="417"/>
      <c r="O286" s="437">
        <v>3360</v>
      </c>
      <c r="P286" s="438">
        <v>2</v>
      </c>
      <c r="Q286" s="439">
        <f>O286*P286</f>
        <v>6720</v>
      </c>
      <c r="R286" s="421"/>
      <c r="S286" s="420"/>
      <c r="T286" s="420"/>
      <c r="U286" s="420"/>
      <c r="V286" s="420"/>
      <c r="W286" s="420"/>
      <c r="X286" s="420"/>
      <c r="Y286" s="420"/>
    </row>
    <row r="287" spans="1:25" s="405" customFormat="1">
      <c r="A287" s="413"/>
      <c r="B287" s="427"/>
      <c r="C287" s="443"/>
      <c r="D287" s="414"/>
      <c r="E287" s="415"/>
      <c r="F287" s="426"/>
      <c r="G287" s="416"/>
      <c r="H287" s="416"/>
      <c r="I287" s="417"/>
      <c r="J287" s="417"/>
      <c r="K287" s="427" t="s">
        <v>425</v>
      </c>
      <c r="L287" s="417">
        <v>6241</v>
      </c>
      <c r="M287" s="418"/>
      <c r="N287" s="417"/>
      <c r="O287" s="437">
        <v>3200</v>
      </c>
      <c r="P287" s="438">
        <v>2</v>
      </c>
      <c r="Q287" s="439">
        <f t="shared" ref="Q287:Q294" si="34">O287*P287</f>
        <v>6400</v>
      </c>
      <c r="R287" s="421"/>
      <c r="S287" s="420"/>
      <c r="T287" s="420"/>
      <c r="U287" s="420"/>
      <c r="V287" s="420"/>
      <c r="W287" s="420"/>
      <c r="X287" s="420"/>
      <c r="Y287" s="420"/>
    </row>
    <row r="288" spans="1:25" s="405" customFormat="1">
      <c r="A288" s="413"/>
      <c r="B288" s="427"/>
      <c r="C288" s="443"/>
      <c r="D288" s="414"/>
      <c r="E288" s="415"/>
      <c r="F288" s="426"/>
      <c r="G288" s="416"/>
      <c r="H288" s="416"/>
      <c r="I288" s="417"/>
      <c r="J288" s="417"/>
      <c r="K288" s="427" t="s">
        <v>426</v>
      </c>
      <c r="L288" s="417">
        <v>6231</v>
      </c>
      <c r="M288" s="418"/>
      <c r="N288" s="417"/>
      <c r="O288" s="437">
        <v>1333.3333333333333</v>
      </c>
      <c r="P288" s="438">
        <v>2</v>
      </c>
      <c r="Q288" s="439">
        <f t="shared" si="34"/>
        <v>2666.6666666666665</v>
      </c>
      <c r="R288" s="421"/>
      <c r="S288" s="420"/>
      <c r="T288" s="420"/>
      <c r="U288" s="420"/>
      <c r="V288" s="420"/>
      <c r="W288" s="420"/>
      <c r="X288" s="420"/>
      <c r="Y288" s="420"/>
    </row>
    <row r="289" spans="1:25" s="405" customFormat="1">
      <c r="A289" s="413"/>
      <c r="B289" s="427"/>
      <c r="C289" s="443"/>
      <c r="D289" s="414"/>
      <c r="E289" s="415"/>
      <c r="F289" s="426"/>
      <c r="G289" s="416"/>
      <c r="H289" s="416"/>
      <c r="I289" s="417"/>
      <c r="J289" s="417"/>
      <c r="K289" s="427" t="s">
        <v>415</v>
      </c>
      <c r="L289" s="417">
        <v>6275</v>
      </c>
      <c r="M289" s="418"/>
      <c r="N289" s="417"/>
      <c r="O289" s="437">
        <v>166.66666666666666</v>
      </c>
      <c r="P289" s="438">
        <v>2</v>
      </c>
      <c r="Q289" s="439">
        <f t="shared" si="34"/>
        <v>333.33333333333331</v>
      </c>
      <c r="R289" s="421"/>
      <c r="S289" s="420"/>
      <c r="T289" s="420"/>
      <c r="U289" s="420"/>
      <c r="V289" s="420"/>
      <c r="W289" s="420"/>
      <c r="X289" s="420"/>
      <c r="Y289" s="420"/>
    </row>
    <row r="290" spans="1:25" s="405" customFormat="1" ht="28.15" customHeight="1">
      <c r="A290" s="413"/>
      <c r="B290" s="427"/>
      <c r="C290" s="443"/>
      <c r="D290" s="414"/>
      <c r="E290" s="415"/>
      <c r="F290" s="426"/>
      <c r="G290" s="416"/>
      <c r="H290" s="416"/>
      <c r="I290" s="417"/>
      <c r="J290" s="417"/>
      <c r="K290" s="427" t="s">
        <v>427</v>
      </c>
      <c r="L290" s="417">
        <v>6111</v>
      </c>
      <c r="M290" s="418"/>
      <c r="N290" s="417"/>
      <c r="O290" s="437">
        <v>1463</v>
      </c>
      <c r="P290" s="438">
        <v>1</v>
      </c>
      <c r="Q290" s="439">
        <f t="shared" si="34"/>
        <v>1463</v>
      </c>
      <c r="R290" s="421"/>
      <c r="S290" s="420"/>
      <c r="T290" s="420"/>
      <c r="U290" s="420"/>
      <c r="V290" s="420"/>
      <c r="W290" s="420"/>
      <c r="X290" s="420"/>
      <c r="Y290" s="420"/>
    </row>
    <row r="291" spans="1:25" s="405" customFormat="1" ht="28.15" customHeight="1">
      <c r="A291" s="422">
        <v>6323</v>
      </c>
      <c r="B291" s="414" t="s">
        <v>428</v>
      </c>
      <c r="C291" s="414" t="s">
        <v>429</v>
      </c>
      <c r="D291" s="414"/>
      <c r="E291" s="415"/>
      <c r="F291" s="449">
        <v>43264</v>
      </c>
      <c r="G291" s="449">
        <v>43264</v>
      </c>
      <c r="H291" s="441" t="s">
        <v>421</v>
      </c>
      <c r="I291" s="417" t="s">
        <v>181</v>
      </c>
      <c r="J291" s="415" t="s">
        <v>423</v>
      </c>
      <c r="K291" s="417"/>
      <c r="L291" s="417"/>
      <c r="M291" s="418"/>
      <c r="N291" s="417"/>
      <c r="O291" s="437"/>
      <c r="P291" s="438"/>
      <c r="Q291" s="442">
        <f>Q292+Q293+Q294</f>
        <v>5666</v>
      </c>
      <c r="R291" s="421"/>
      <c r="S291" s="420"/>
      <c r="T291" s="420"/>
      <c r="U291" s="420"/>
      <c r="V291" s="421">
        <f>Q292+Q293</f>
        <v>1000</v>
      </c>
      <c r="W291" s="421">
        <f>Q294</f>
        <v>4666</v>
      </c>
      <c r="X291" s="420"/>
      <c r="Y291" s="420"/>
    </row>
    <row r="292" spans="1:25" s="405" customFormat="1">
      <c r="A292" s="422"/>
      <c r="B292" s="427"/>
      <c r="C292" s="414"/>
      <c r="D292" s="414"/>
      <c r="E292" s="415"/>
      <c r="F292" s="426"/>
      <c r="G292" s="416"/>
      <c r="H292" s="416"/>
      <c r="I292" s="417"/>
      <c r="J292" s="417"/>
      <c r="K292" s="427" t="s">
        <v>418</v>
      </c>
      <c r="L292" s="417">
        <v>6225</v>
      </c>
      <c r="M292" s="418"/>
      <c r="N292" s="417"/>
      <c r="O292" s="437">
        <v>666.66666666666663</v>
      </c>
      <c r="P292" s="438">
        <v>1</v>
      </c>
      <c r="Q292" s="439">
        <f t="shared" si="34"/>
        <v>666.66666666666663</v>
      </c>
      <c r="R292" s="421"/>
      <c r="S292" s="420"/>
      <c r="T292" s="420"/>
      <c r="U292" s="420"/>
      <c r="V292" s="420"/>
      <c r="W292" s="420"/>
      <c r="X292" s="420"/>
      <c r="Y292" s="420"/>
    </row>
    <row r="293" spans="1:25" s="405" customFormat="1">
      <c r="A293" s="422"/>
      <c r="B293" s="427"/>
      <c r="C293" s="414"/>
      <c r="D293" s="414"/>
      <c r="E293" s="415"/>
      <c r="F293" s="426"/>
      <c r="G293" s="416"/>
      <c r="H293" s="416"/>
      <c r="I293" s="417"/>
      <c r="J293" s="417"/>
      <c r="K293" s="427" t="s">
        <v>415</v>
      </c>
      <c r="L293" s="417">
        <v>6275</v>
      </c>
      <c r="M293" s="418"/>
      <c r="N293" s="417"/>
      <c r="O293" s="437">
        <v>333.33333333333331</v>
      </c>
      <c r="P293" s="438">
        <v>1</v>
      </c>
      <c r="Q293" s="439">
        <f t="shared" si="34"/>
        <v>333.33333333333331</v>
      </c>
      <c r="R293" s="421"/>
      <c r="S293" s="420"/>
      <c r="T293" s="420"/>
      <c r="U293" s="420"/>
      <c r="V293" s="420"/>
      <c r="W293" s="420"/>
      <c r="X293" s="420"/>
      <c r="Y293" s="420"/>
    </row>
    <row r="294" spans="1:25" s="405" customFormat="1" ht="16.149999999999999" customHeight="1">
      <c r="A294" s="422"/>
      <c r="B294" s="427"/>
      <c r="C294" s="414"/>
      <c r="D294" s="414"/>
      <c r="E294" s="415"/>
      <c r="F294" s="426"/>
      <c r="G294" s="416"/>
      <c r="H294" s="416"/>
      <c r="I294" s="417"/>
      <c r="J294" s="417"/>
      <c r="K294" s="427" t="s">
        <v>430</v>
      </c>
      <c r="L294" s="417">
        <v>6224</v>
      </c>
      <c r="M294" s="418"/>
      <c r="N294" s="417"/>
      <c r="O294" s="437">
        <v>23.33</v>
      </c>
      <c r="P294" s="438">
        <v>200</v>
      </c>
      <c r="Q294" s="439">
        <f t="shared" si="34"/>
        <v>4666</v>
      </c>
      <c r="R294" s="421"/>
      <c r="S294" s="420"/>
      <c r="T294" s="420"/>
      <c r="U294" s="420"/>
      <c r="V294" s="420"/>
      <c r="W294" s="420"/>
      <c r="X294" s="420"/>
      <c r="Y294" s="420"/>
    </row>
    <row r="295" spans="1:25" s="405" customFormat="1" ht="87.6" customHeight="1">
      <c r="A295" s="415">
        <v>6324</v>
      </c>
      <c r="B295" s="414" t="s">
        <v>431</v>
      </c>
      <c r="C295" s="414" t="s">
        <v>432</v>
      </c>
      <c r="D295" s="414"/>
      <c r="E295" s="415"/>
      <c r="F295" s="449">
        <v>43255</v>
      </c>
      <c r="G295" s="450">
        <v>43287</v>
      </c>
      <c r="H295" s="441" t="s">
        <v>421</v>
      </c>
      <c r="I295" s="417" t="s">
        <v>181</v>
      </c>
      <c r="J295" s="415" t="s">
        <v>423</v>
      </c>
      <c r="K295" s="417"/>
      <c r="L295" s="417"/>
      <c r="M295" s="418"/>
      <c r="N295" s="417"/>
      <c r="O295" s="437"/>
      <c r="P295" s="438"/>
      <c r="Q295" s="442">
        <f>Q296+Q297+Q298+Q299+Q300</f>
        <v>33345.979999999996</v>
      </c>
      <c r="R295" s="421"/>
      <c r="S295" s="420"/>
      <c r="T295" s="420"/>
      <c r="U295" s="421"/>
      <c r="V295" s="421">
        <f>($Q$148-$Q$153)*2/3</f>
        <v>-426.66666666666669</v>
      </c>
      <c r="W295" s="421">
        <f>($Q$148-$Q$153)*1/3</f>
        <v>-213.33333333333334</v>
      </c>
      <c r="X295" s="421">
        <f>Q300</f>
        <v>4666</v>
      </c>
      <c r="Y295" s="420"/>
    </row>
    <row r="296" spans="1:25" s="405" customFormat="1">
      <c r="A296" s="422"/>
      <c r="B296" s="427"/>
      <c r="C296" s="414"/>
      <c r="D296" s="414"/>
      <c r="E296" s="415"/>
      <c r="F296" s="426"/>
      <c r="G296" s="416"/>
      <c r="H296" s="416"/>
      <c r="I296" s="417"/>
      <c r="J296" s="417"/>
      <c r="K296" s="427" t="s">
        <v>433</v>
      </c>
      <c r="L296" s="417">
        <v>6241</v>
      </c>
      <c r="M296" s="418"/>
      <c r="N296" s="417"/>
      <c r="O296" s="437">
        <v>3360</v>
      </c>
      <c r="P296" s="438">
        <v>3</v>
      </c>
      <c r="Q296" s="439">
        <f>O296*P296</f>
        <v>10080</v>
      </c>
      <c r="R296" s="421"/>
      <c r="S296" s="420"/>
      <c r="T296" s="420"/>
      <c r="U296" s="420"/>
      <c r="V296" s="420"/>
      <c r="W296" s="420"/>
      <c r="X296" s="420"/>
      <c r="Y296" s="420"/>
    </row>
    <row r="297" spans="1:25" s="405" customFormat="1">
      <c r="A297" s="422"/>
      <c r="B297" s="427"/>
      <c r="C297" s="414"/>
      <c r="D297" s="414"/>
      <c r="E297" s="415"/>
      <c r="F297" s="426"/>
      <c r="G297" s="416"/>
      <c r="H297" s="416"/>
      <c r="I297" s="417"/>
      <c r="J297" s="417"/>
      <c r="K297" s="427" t="s">
        <v>434</v>
      </c>
      <c r="L297" s="417">
        <v>6241</v>
      </c>
      <c r="M297" s="418"/>
      <c r="N297" s="417"/>
      <c r="O297" s="437">
        <v>3200</v>
      </c>
      <c r="P297" s="438">
        <v>3</v>
      </c>
      <c r="Q297" s="439">
        <f>O297*P297</f>
        <v>9600</v>
      </c>
      <c r="R297" s="421"/>
      <c r="S297" s="420"/>
      <c r="T297" s="420"/>
      <c r="U297" s="420"/>
      <c r="V297" s="420"/>
      <c r="W297" s="420"/>
      <c r="X297" s="420"/>
      <c r="Y297" s="420"/>
    </row>
    <row r="298" spans="1:25" s="405" customFormat="1">
      <c r="A298" s="422"/>
      <c r="B298" s="427"/>
      <c r="C298" s="414"/>
      <c r="D298" s="414"/>
      <c r="E298" s="415"/>
      <c r="F298" s="426"/>
      <c r="G298" s="416"/>
      <c r="H298" s="416"/>
      <c r="I298" s="417"/>
      <c r="J298" s="417"/>
      <c r="K298" s="427" t="s">
        <v>435</v>
      </c>
      <c r="L298" s="417">
        <v>6231</v>
      </c>
      <c r="M298" s="418"/>
      <c r="N298" s="417"/>
      <c r="O298" s="437">
        <v>1333.3333333333333</v>
      </c>
      <c r="P298" s="438">
        <v>3</v>
      </c>
      <c r="Q298" s="439">
        <f>O298*P298</f>
        <v>4000</v>
      </c>
      <c r="R298" s="421"/>
      <c r="S298" s="420"/>
      <c r="T298" s="420"/>
      <c r="U298" s="420"/>
      <c r="V298" s="420"/>
      <c r="W298" s="420"/>
      <c r="X298" s="420"/>
      <c r="Y298" s="420"/>
    </row>
    <row r="299" spans="1:25" s="405" customFormat="1">
      <c r="A299" s="422"/>
      <c r="B299" s="427"/>
      <c r="C299" s="414"/>
      <c r="D299" s="414"/>
      <c r="E299" s="415"/>
      <c r="F299" s="426"/>
      <c r="G299" s="416"/>
      <c r="H299" s="416"/>
      <c r="I299" s="417"/>
      <c r="J299" s="417"/>
      <c r="K299" s="427" t="s">
        <v>415</v>
      </c>
      <c r="L299" s="417">
        <v>6275</v>
      </c>
      <c r="M299" s="418"/>
      <c r="N299" s="417"/>
      <c r="O299" s="437">
        <v>1666.66</v>
      </c>
      <c r="P299" s="438">
        <v>3</v>
      </c>
      <c r="Q299" s="439">
        <f>O299*P299</f>
        <v>4999.9800000000005</v>
      </c>
      <c r="R299" s="421"/>
      <c r="S299" s="420"/>
      <c r="T299" s="420"/>
      <c r="U299" s="420"/>
      <c r="V299" s="420"/>
      <c r="W299" s="420"/>
      <c r="X299" s="420"/>
      <c r="Y299" s="420"/>
    </row>
    <row r="300" spans="1:25" s="405" customFormat="1" ht="17.45" customHeight="1">
      <c r="A300" s="422"/>
      <c r="B300" s="427"/>
      <c r="C300" s="414"/>
      <c r="D300" s="414"/>
      <c r="E300" s="415"/>
      <c r="F300" s="426"/>
      <c r="G300" s="416"/>
      <c r="H300" s="416"/>
      <c r="I300" s="417"/>
      <c r="J300" s="417"/>
      <c r="K300" s="427" t="s">
        <v>436</v>
      </c>
      <c r="L300" s="417">
        <v>6224</v>
      </c>
      <c r="M300" s="418"/>
      <c r="N300" s="417"/>
      <c r="O300" s="437">
        <v>23.33</v>
      </c>
      <c r="P300" s="438">
        <v>200</v>
      </c>
      <c r="Q300" s="439">
        <f>O300*P300</f>
        <v>4666</v>
      </c>
      <c r="R300" s="421"/>
      <c r="S300" s="420"/>
      <c r="T300" s="420"/>
      <c r="U300" s="420"/>
      <c r="V300" s="420"/>
      <c r="W300" s="420"/>
      <c r="X300" s="420"/>
      <c r="Y300" s="420"/>
    </row>
  </sheetData>
  <mergeCells count="66">
    <mergeCell ref="A2:V2"/>
    <mergeCell ref="A5:A6"/>
    <mergeCell ref="B5:B6"/>
    <mergeCell ref="C5:C6"/>
    <mergeCell ref="D5:D6"/>
    <mergeCell ref="E5:E6"/>
    <mergeCell ref="F5:G5"/>
    <mergeCell ref="H5:H6"/>
    <mergeCell ref="I5:J5"/>
    <mergeCell ref="K5:K6"/>
    <mergeCell ref="R5:R6"/>
    <mergeCell ref="S5:Y5"/>
    <mergeCell ref="P5:P6"/>
    <mergeCell ref="Q5:Q6"/>
    <mergeCell ref="B13:I13"/>
    <mergeCell ref="L5:L6"/>
    <mergeCell ref="M5:M6"/>
    <mergeCell ref="N5:N6"/>
    <mergeCell ref="O5:O6"/>
    <mergeCell ref="A7:I7"/>
    <mergeCell ref="A8:I8"/>
    <mergeCell ref="B9:I9"/>
    <mergeCell ref="A134:I134"/>
    <mergeCell ref="A17:I17"/>
    <mergeCell ref="B18:I18"/>
    <mergeCell ref="B22:I22"/>
    <mergeCell ref="A26:I26"/>
    <mergeCell ref="A27:I27"/>
    <mergeCell ref="A107:I107"/>
    <mergeCell ref="B108:I108"/>
    <mergeCell ref="B114:I114"/>
    <mergeCell ref="A118:I118"/>
    <mergeCell ref="B119:I119"/>
    <mergeCell ref="A133:I133"/>
    <mergeCell ref="B204:I204"/>
    <mergeCell ref="A170:I170"/>
    <mergeCell ref="B171:I171"/>
    <mergeCell ref="B175:I175"/>
    <mergeCell ref="A179:I179"/>
    <mergeCell ref="A180:I180"/>
    <mergeCell ref="B181:I181"/>
    <mergeCell ref="B185:I185"/>
    <mergeCell ref="A189:I189"/>
    <mergeCell ref="B190:I190"/>
    <mergeCell ref="B197:I197"/>
    <mergeCell ref="B202:I202"/>
    <mergeCell ref="A254:I254"/>
    <mergeCell ref="B206:I206"/>
    <mergeCell ref="B211:I211"/>
    <mergeCell ref="B221:I221"/>
    <mergeCell ref="B224:I224"/>
    <mergeCell ref="A232:I232"/>
    <mergeCell ref="B233:I233"/>
    <mergeCell ref="B237:I237"/>
    <mergeCell ref="A249:I249"/>
    <mergeCell ref="A250:I250"/>
    <mergeCell ref="B251:I251"/>
    <mergeCell ref="A253:I253"/>
    <mergeCell ref="B273:I273"/>
    <mergeCell ref="B283:I283"/>
    <mergeCell ref="B255:I255"/>
    <mergeCell ref="B259:I259"/>
    <mergeCell ref="A263:I263"/>
    <mergeCell ref="B264:I264"/>
    <mergeCell ref="B268:I268"/>
    <mergeCell ref="A272:I272"/>
  </mergeCells>
  <conditionalFormatting sqref="F191:G196">
    <cfRule type="cellIs" dxfId="7" priority="1" operator="lessThanOrEqual">
      <formula>0</formula>
    </cfRule>
  </conditionalFormatting>
  <conditionalFormatting sqref="F198:G201">
    <cfRule type="cellIs" dxfId="6" priority="35" operator="lessThanOrEqual">
      <formula>0</formula>
    </cfRule>
  </conditionalFormatting>
  <conditionalFormatting sqref="F203:G203">
    <cfRule type="cellIs" dxfId="5" priority="33" operator="lessThanOrEqual">
      <formula>0</formula>
    </cfRule>
  </conditionalFormatting>
  <conditionalFormatting sqref="F205:G205">
    <cfRule type="cellIs" dxfId="4" priority="31" operator="lessThanOrEqual">
      <formula>0</formula>
    </cfRule>
  </conditionalFormatting>
  <conditionalFormatting sqref="F207:G210">
    <cfRule type="cellIs" dxfId="3" priority="54" operator="lessThanOrEqual">
      <formula>0</formula>
    </cfRule>
  </conditionalFormatting>
  <conditionalFormatting sqref="F212:G220">
    <cfRule type="cellIs" dxfId="2" priority="13" operator="lessThanOrEqual">
      <formula>0</formula>
    </cfRule>
  </conditionalFormatting>
  <conditionalFormatting sqref="F222:G223">
    <cfRule type="cellIs" dxfId="1" priority="21" operator="lessThanOrEqual">
      <formula>0</formula>
    </cfRule>
  </conditionalFormatting>
  <conditionalFormatting sqref="F225:G230">
    <cfRule type="cellIs" dxfId="0" priority="15" operator="lessThanOrEqual">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36</vt:i4>
      </vt:variant>
      <vt:variant>
        <vt:lpstr>Plages nommées</vt:lpstr>
      </vt:variant>
      <vt:variant>
        <vt:i4>10</vt:i4>
      </vt:variant>
    </vt:vector>
  </HeadingPairs>
  <TitlesOfParts>
    <vt:vector size="46" baseType="lpstr">
      <vt:lpstr>Budget par Comp&amp;S Comp-marche</vt:lpstr>
      <vt:lpstr>Recap_pourcentage</vt:lpstr>
      <vt:lpstr>Compil Costing PPA 3 millions</vt:lpstr>
      <vt:lpstr>COMPIL</vt:lpstr>
      <vt:lpstr>COMPIL V2</vt:lpstr>
      <vt:lpstr>COMPLIL V3</vt:lpstr>
      <vt:lpstr>PTBA PAR PCOP</vt:lpstr>
      <vt:lpstr>PTBA  comp sc code 4</vt:lpstr>
      <vt:lpstr>Feuil1</vt:lpstr>
      <vt:lpstr>Modèle PE REVU</vt:lpstr>
      <vt:lpstr>Modèle AF</vt:lpstr>
      <vt:lpstr>Modèle EDDF-AF</vt:lpstr>
      <vt:lpstr>PTBA-AMBOASARY SUD</vt:lpstr>
      <vt:lpstr>recap par PCOP</vt:lpstr>
      <vt:lpstr>RECAP PAR ACTIVITE</vt:lpstr>
      <vt:lpstr>PTBA-AMBOASARY SUD (2 MOIS)</vt:lpstr>
      <vt:lpstr>ACHAT FOURNITURE</vt:lpstr>
      <vt:lpstr>192 ENSEIGNANTS</vt:lpstr>
      <vt:lpstr>22_ZAP</vt:lpstr>
      <vt:lpstr>MULTIGRADES</vt:lpstr>
      <vt:lpstr>recap comp sscp code 3</vt:lpstr>
      <vt:lpstr>PTBA COMP SC RECAP</vt:lpstr>
      <vt:lpstr>PTBA PAR C PAR SC PAR PCOP</vt:lpstr>
      <vt:lpstr>UFP</vt:lpstr>
      <vt:lpstr>DETAILS CF UFP</vt:lpstr>
      <vt:lpstr>DEPA</vt:lpstr>
      <vt:lpstr>DPE</vt:lpstr>
      <vt:lpstr>DRH</vt:lpstr>
      <vt:lpstr>DSSDRH</vt:lpstr>
      <vt:lpstr>DCI</vt:lpstr>
      <vt:lpstr>INFP</vt:lpstr>
      <vt:lpstr>DEIPEF</vt:lpstr>
      <vt:lpstr>DPFI</vt:lpstr>
      <vt:lpstr>DEF</vt:lpstr>
      <vt:lpstr>DTIC</vt:lpstr>
      <vt:lpstr>recap comp ss comp</vt:lpstr>
      <vt:lpstr>'192 ENSEIGNANTS'!Impression_des_titres</vt:lpstr>
      <vt:lpstr>MULTIGRADES!Impression_des_titres</vt:lpstr>
      <vt:lpstr>'192 ENSEIGNANTS'!Zone_d_impression</vt:lpstr>
      <vt:lpstr>'ACHAT FOURNITURE'!Zone_d_impression</vt:lpstr>
      <vt:lpstr>'Modèle AF'!Zone_d_impression</vt:lpstr>
      <vt:lpstr>'Modèle EDDF-AF'!Zone_d_impression</vt:lpstr>
      <vt:lpstr>'Modèle PE REVU'!Zone_d_impression</vt:lpstr>
      <vt:lpstr>MULTIGRADES!Zone_d_impression</vt:lpstr>
      <vt:lpstr>'PTBA-AMBOASARY SUD'!Zone_d_impression</vt:lpstr>
      <vt:lpstr>'PTBA-AMBOASARY SUD (2 MOIS)'!Zone_d_impression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UAT</dc:creator>
  <cp:lastModifiedBy>T-FAN</cp:lastModifiedBy>
  <cp:lastPrinted>2021-10-27T17:23:03Z</cp:lastPrinted>
  <dcterms:created xsi:type="dcterms:W3CDTF">2017-11-17T07:51:58Z</dcterms:created>
  <dcterms:modified xsi:type="dcterms:W3CDTF">2023-09-12T13:45:07Z</dcterms:modified>
</cp:coreProperties>
</file>